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دوره" sheetId="1" r:id="rId4"/>
    <sheet state="visible" name="گفت‌وگوی تحول" sheetId="2" r:id="rId5"/>
    <sheet state="visible" name="تیم اجرایی" sheetId="3" r:id="rId6"/>
    <sheet state="visible" name="شرکت‌ها" sheetId="4" r:id="rId7"/>
    <sheet state="visible" name="waiting list" sheetId="5" r:id="rId8"/>
    <sheet state="visible" name="سالن‌ها" sheetId="6" r:id="rId9"/>
    <sheet state="visible" name="پذیرایی" sheetId="7" r:id="rId10"/>
    <sheet state="visible" name="تجربه‌گرها" sheetId="8" r:id="rId11"/>
    <sheet state="visible" name="temp" sheetId="9" r:id="rId12"/>
    <sheet state="visible" name="آمار تجربه‌گرها" sheetId="10" r:id="rId13"/>
    <sheet state="visible" name="شرکت" sheetId="11" r:id="rId14"/>
  </sheets>
  <definedNames>
    <definedName hidden="1" localSheetId="5" name="_xlnm._FilterDatabase">'سالن‌ها'!$A$1:$R$1017</definedName>
    <definedName hidden="1" localSheetId="9" name="_xlnm._FilterDatabase">'آمار تجربه‌گرها'!$A$1:$T$1549</definedName>
  </definedNames>
  <calcPr/>
</workbook>
</file>

<file path=xl/sharedStrings.xml><?xml version="1.0" encoding="utf-8"?>
<sst xmlns="http://schemas.openxmlformats.org/spreadsheetml/2006/main" count="15290" uniqueCount="7402">
  <si>
    <t>شماره دوره</t>
  </si>
  <si>
    <t>نام دوره</t>
  </si>
  <si>
    <t>زیر عنوان</t>
  </si>
  <si>
    <t>تاریخ</t>
  </si>
  <si>
    <t>محل برگزاری</t>
  </si>
  <si>
    <t>تعداد شرکت کننده مورد انتظار</t>
  </si>
  <si>
    <t>تعداد شرکت کننده</t>
  </si>
  <si>
    <t>تجربه‌سازان</t>
  </si>
  <si>
    <t>روز و ساعات دوره</t>
  </si>
  <si>
    <t>بانی</t>
  </si>
  <si>
    <t>قیمت</t>
  </si>
  <si>
    <t>تحقق دوره مورد انتظار</t>
  </si>
  <si>
    <t>تخقق دوره</t>
  </si>
  <si>
    <t>تعداد انصرافی</t>
  </si>
  <si>
    <t>ارزیابی میزبانی</t>
  </si>
  <si>
    <t>ارزیابی تجربه‌سازی</t>
  </si>
  <si>
    <t>ارزیابی روایت</t>
  </si>
  <si>
    <t>پیش‌وایی</t>
  </si>
  <si>
    <t>بهمن ۹۷</t>
  </si>
  <si>
    <t>هتل پارسیان یزد</t>
  </si>
  <si>
    <t>احتمالا مجید و مسعود ملک</t>
  </si>
  <si>
    <t>۱۵ - ۲۲ شهریور ۹۸</t>
  </si>
  <si>
    <t>هتل پارسیان کرمانشاه</t>
  </si>
  <si>
    <t>مجید- مسعود ملک و خشایار</t>
  </si>
  <si>
    <t>رابطه</t>
  </si>
  <si>
    <t>۱۹ مهر ۹۸</t>
  </si>
  <si>
    <t>علی بابا</t>
  </si>
  <si>
    <t>مجید</t>
  </si>
  <si>
    <t>۴ - ۱۱ بهمن ۹۸</t>
  </si>
  <si>
    <t>دانشگاه شریف</t>
  </si>
  <si>
    <t>۰.۵</t>
  </si>
  <si>
    <t>جان کلام</t>
  </si>
  <si>
    <t>۲۳ خرداد ۹۹</t>
  </si>
  <si>
    <t>شهریور ۹۹</t>
  </si>
  <si>
    <t>کارخانه نوآوری - دفتر روز اول</t>
  </si>
  <si>
    <t>مجید و مسعود</t>
  </si>
  <si>
    <t>بهمن ۹۹</t>
  </si>
  <si>
    <t>۱۱ تیر ۱۴۰۰</t>
  </si>
  <si>
    <t>۲۳ شهریور ۱۴۰۰</t>
  </si>
  <si>
    <t>آنلاین</t>
  </si>
  <si>
    <t>مجید و احسان</t>
  </si>
  <si>
    <t>۱۳ - ۲۰ خرداد ۱۴۰۱</t>
  </si>
  <si>
    <t>هتل ایل گلی تبریز</t>
  </si>
  <si>
    <t>۷ بهمن ۱۴۰۱</t>
  </si>
  <si>
    <t>۱۲ - ۱۹ خرداد ۱۴۰۲</t>
  </si>
  <si>
    <t>هتل هما تهران</t>
  </si>
  <si>
    <t>مجید و هاشم</t>
  </si>
  <si>
    <t>شهریور تا دی ۱۴۰۲</t>
  </si>
  <si>
    <t>هتل آتانا</t>
  </si>
  <si>
    <t>بهمن و اسفند ۱۴۰۲</t>
  </si>
  <si>
    <t>هتل انقلاب پارسیان</t>
  </si>
  <si>
    <t>تحویل سال</t>
  </si>
  <si>
    <t>اسفند ۴۰۲</t>
  </si>
  <si>
    <t>هاشم</t>
  </si>
  <si>
    <t>۲۴ و ۲۵ اسفند ۱۴۰۲</t>
  </si>
  <si>
    <t>هتل پارسیان نمک آبرود</t>
  </si>
  <si>
    <t>هاشم کیانی و علیرضا طالعی</t>
  </si>
  <si>
    <t>اردیبهشت و خرداد ۱۴۰۳</t>
  </si>
  <si>
    <t>علیرضا طالعی و احسان محسنیان و سارا بردستانی</t>
  </si>
  <si>
    <t>خرداد ۱۴۰۳</t>
  </si>
  <si>
    <t>۱ تیر ۱۴۰۳</t>
  </si>
  <si>
    <t>هتل عباسی اصفهان</t>
  </si>
  <si>
    <t>هاشم کیانی</t>
  </si>
  <si>
    <t xml:space="preserve">14 و 15 تیر + 21 و 22 تیر + 4 و 5 مرداد </t>
  </si>
  <si>
    <t>هاشم با همراهی مجید</t>
  </si>
  <si>
    <t>مواجهه</t>
  </si>
  <si>
    <t>۱۱ تا ۳۰ تیر ۱۴۰۳</t>
  </si>
  <si>
    <t>۷ مرداد تا ۲۶ مرداد</t>
  </si>
  <si>
    <t>نیما و محمد با همراهی مجید و هاشم</t>
  </si>
  <si>
    <t>از مرداد تا آبان ۱۴۰۳</t>
  </si>
  <si>
    <t>کاشانک(باشگاه بهشت)</t>
  </si>
  <si>
    <t>اصغر و فرزاد</t>
  </si>
  <si>
    <t>مرداد تا مهر ۱۴۰۳</t>
  </si>
  <si>
    <t>مهران میکائیلی</t>
  </si>
  <si>
    <t>۱۷ شهریور - ۸ جلسه ۱۴۰۳</t>
  </si>
  <si>
    <t>9.5 که ۶.۵ دانشجویی شد و ۲.۵ برای بچه‌های اجرایی و ۷ سازمانی</t>
  </si>
  <si>
    <t xml:space="preserve">از شهریور تا آبان ۱۴۰۳ </t>
  </si>
  <si>
    <t>مسعود طباطبایی</t>
  </si>
  <si>
    <t>شهریور ۱۴۰۳</t>
  </si>
  <si>
    <t>۲ زودهنگام و ۴ عادی</t>
  </si>
  <si>
    <t>آبان ۱۴۰۳</t>
  </si>
  <si>
    <t>اصفهان</t>
  </si>
  <si>
    <t>محسن ملک‌محمدی</t>
  </si>
  <si>
    <t>15-10</t>
  </si>
  <si>
    <t>79.62%
93.26%</t>
  </si>
  <si>
    <t>65.15%
93.75%</t>
  </si>
  <si>
    <t>آذر تا اسفند ۱۴۰۳</t>
  </si>
  <si>
    <t>مهران و نیما</t>
  </si>
  <si>
    <t>۱۴ جلسه، شنبه‌ها ۱۹.۳۰ تا ۲۲.۳۰</t>
  </si>
  <si>
    <t>آذر ۱۴۰۳</t>
  </si>
  <si>
    <t>محمود کاشف</t>
  </si>
  <si>
    <t>۱۲ بهمن ۱۴۰۳</t>
  </si>
  <si>
    <t>امین کشاورز</t>
  </si>
  <si>
    <t>پویش</t>
  </si>
  <si>
    <t>دستاورد</t>
  </si>
  <si>
    <t>۲۵ بهمن ۱۴۰۳</t>
  </si>
  <si>
    <t>تهران</t>
  </si>
  <si>
    <t>۲۵ بهمن صبح تا عصر</t>
  </si>
  <si>
    <t>نیما و فرزاد</t>
  </si>
  <si>
    <t>۲۳ - ۲۵ - ۲۷ اسفند</t>
  </si>
  <si>
    <t>هاشم و بهروز نظری</t>
  </si>
  <si>
    <t>۲۳، ۲۵، ۲۷ اسفند ۸.۵ تا ۱۰</t>
  </si>
  <si>
    <t>نیما</t>
  </si>
  <si>
    <t>پیله</t>
  </si>
  <si>
    <t>۱۷ تا ۱۹ اردیبهشت ۱۴۰۳</t>
  </si>
  <si>
    <t>۱۷ تا ۱۹ اردیبهشت</t>
  </si>
  <si>
    <t>۲۵، ۲۶، ۲۷ و ۳۱ اردیبهشت و ۱ و ۲ خرداد</t>
  </si>
  <si>
    <t>۲۴ و ۲۵ اردیبهشت
۲۸ و ۲۹ خرداد
۲۵ و ۲۶ تیر</t>
  </si>
  <si>
    <t>15 — 8</t>
  </si>
  <si>
    <t>۱۹ و ۲۰ تیر</t>
  </si>
  <si>
    <t>۲۶ تیر</t>
  </si>
  <si>
    <t>۲۶ و ۲۷ تیر</t>
  </si>
  <si>
    <t xml:space="preserve"> ۲،۳،۴،۸،۹،۱۰ مرداد</t>
  </si>
  <si>
    <t>۳۱ مرداد</t>
  </si>
  <si>
    <t>۱۶ مرداد</t>
  </si>
  <si>
    <t>۱۳ شهریور یا ۲۷ شهریور</t>
  </si>
  <si>
    <t>مشهد</t>
  </si>
  <si>
    <t>سعید ذبیحی</t>
  </si>
  <si>
    <t>همایش</t>
  </si>
  <si>
    <t>۲۸ اردیبهشت</t>
  </si>
  <si>
    <t>جاباما</t>
  </si>
  <si>
    <t>۴۰</t>
  </si>
  <si>
    <t>۳۰</t>
  </si>
  <si>
    <t>احمد ایزدپور</t>
  </si>
  <si>
    <t>سه قانون عملکرد</t>
  </si>
  <si>
    <t>دی ۱۴۰۳</t>
  </si>
  <si>
    <t>انتخاب</t>
  </si>
  <si>
    <t>تجربه‌درونی</t>
  </si>
  <si>
    <t>تعادل اسما</t>
  </si>
  <si>
    <t>اقدام‌های گفتاری</t>
  </si>
  <si>
    <t>پیش‌وایی کسب‌وکار</t>
  </si>
  <si>
    <t>جلسه ۱ گفت‌وگو</t>
  </si>
  <si>
    <t>نام و نام خانوادگی</t>
  </si>
  <si>
    <t>رابط</t>
  </si>
  <si>
    <t>14030204</t>
  </si>
  <si>
    <t>محمد جواد ظریف</t>
  </si>
  <si>
    <t>دعوت نشده</t>
  </si>
  <si>
    <t>مهدی انصاری</t>
  </si>
  <si>
    <t>مصطفی زمانیان</t>
  </si>
  <si>
    <t>منوچهر</t>
  </si>
  <si>
    <t>حضور</t>
  </si>
  <si>
    <t>بابک بادکوبه</t>
  </si>
  <si>
    <t>اعلام غیبت</t>
  </si>
  <si>
    <t>فرشته میرهاشمی</t>
  </si>
  <si>
    <t>پدرام طالبی‌طاهر</t>
  </si>
  <si>
    <t>سعید امین‌الرعایا</t>
  </si>
  <si>
    <t>عدم پذیرش دعوت</t>
  </si>
  <si>
    <t>حسام ایپک‌چی</t>
  </si>
  <si>
    <t>مرتضی ایمانی‌راد</t>
  </si>
  <si>
    <t>مسعود ملک‌محمدی</t>
  </si>
  <si>
    <t>حمیدرضا حکاکی</t>
  </si>
  <si>
    <t>آی‌سان بنی‌هاشمی</t>
  </si>
  <si>
    <t>بهزاد صادقی</t>
  </si>
  <si>
    <t>Name</t>
  </si>
  <si>
    <t>Last Name</t>
  </si>
  <si>
    <t>Phone</t>
  </si>
  <si>
    <t>Email</t>
  </si>
  <si>
    <t>استان</t>
  </si>
  <si>
    <t>باشگاه تجربه‌سازان</t>
  </si>
  <si>
    <t>باشگاه راویان</t>
  </si>
  <si>
    <t>باشگاه باشگاه داران</t>
  </si>
  <si>
    <t>باشگاه توسعه قلمرو</t>
  </si>
  <si>
    <t>مشتاقان شرکت در پویش تیم</t>
  </si>
  <si>
    <t>حسام ایپکچی</t>
  </si>
  <si>
    <t>نام</t>
  </si>
  <si>
    <t>راه ارتباطی</t>
  </si>
  <si>
    <t>آرمینا</t>
  </si>
  <si>
    <t>خبازان</t>
  </si>
  <si>
    <t>989120961128
09122029864</t>
  </si>
  <si>
    <t>Arminakhabbazan28@gmail.com</t>
  </si>
  <si>
    <t>سطح ۱</t>
  </si>
  <si>
    <t>سطح ۲</t>
  </si>
  <si>
    <t>سطح ۳</t>
  </si>
  <si>
    <t>سطح ۴</t>
  </si>
  <si>
    <t>معارفه</t>
  </si>
  <si>
    <t>کاندید</t>
  </si>
  <si>
    <t>اطلاعات تماس</t>
  </si>
  <si>
    <t>محمد حسن مرصعی</t>
  </si>
  <si>
    <t>علیرضا سهرابی</t>
  </si>
  <si>
    <t>@Alirezasohrabicoaching</t>
  </si>
  <si>
    <t>آزاده</t>
  </si>
  <si>
    <t>هرمزی</t>
  </si>
  <si>
    <t>989106845524</t>
  </si>
  <si>
    <t>Azade.hormozi90@gmail.com</t>
  </si>
  <si>
    <t>نیما بهرنگ</t>
  </si>
  <si>
    <t>مهران</t>
  </si>
  <si>
    <t>فرزاد</t>
  </si>
  <si>
    <t>نفیسه</t>
  </si>
  <si>
    <t>نوید نوریان</t>
  </si>
  <si>
    <t>@nouraninavid</t>
  </si>
  <si>
    <t>سمنان</t>
  </si>
  <si>
    <t>ابوطالب صفدری</t>
  </si>
  <si>
    <t>امیرحسین</t>
  </si>
  <si>
    <t>رضازاده</t>
  </si>
  <si>
    <t>9212792657</t>
  </si>
  <si>
    <t>Amirhossein.rzd@gmail.com</t>
  </si>
  <si>
    <t>سایه</t>
  </si>
  <si>
    <t>اصغر</t>
  </si>
  <si>
    <t>مریم سید حسین</t>
  </si>
  <si>
    <t>عطا</t>
  </si>
  <si>
    <t>احسان</t>
  </si>
  <si>
    <t>محسنیان</t>
  </si>
  <si>
    <t>ستاره</t>
  </si>
  <si>
    <t>زهره جدی</t>
  </si>
  <si>
    <t>شیوا توکلی</t>
  </si>
  <si>
    <t>سیستان</t>
  </si>
  <si>
    <t>افسانه</t>
  </si>
  <si>
    <t>کبیریان</t>
  </si>
  <si>
    <t>989125353360</t>
  </si>
  <si>
    <t>بهروز</t>
  </si>
  <si>
    <t>علی‌اکبر سلطان‌پور</t>
  </si>
  <si>
    <t>مرجان</t>
  </si>
  <si>
    <t>ائل‌نور</t>
  </si>
  <si>
    <t>تبریز</t>
  </si>
  <si>
    <t>بهاره</t>
  </si>
  <si>
    <t>نظری پور</t>
  </si>
  <si>
    <t>989127761219</t>
  </si>
  <si>
    <t>kasandan6987@gmail.com</t>
  </si>
  <si>
    <t>نیما قاضی + مریم نجفی</t>
  </si>
  <si>
    <t>دیبا</t>
  </si>
  <si>
    <t>نرگس جوان‌پور</t>
  </si>
  <si>
    <t>زاهدان</t>
  </si>
  <si>
    <t>بهنام</t>
  </si>
  <si>
    <t>کبیری</t>
  </si>
  <si>
    <t>989199928832</t>
  </si>
  <si>
    <t>behnamkabiri2003@gmail.com</t>
  </si>
  <si>
    <t>مهرداد مظاهری</t>
  </si>
  <si>
    <t>شهاب آذرکسب</t>
  </si>
  <si>
    <t>امید حیدری</t>
  </si>
  <si>
    <t>بندر عباس</t>
  </si>
  <si>
    <t>حامی</t>
  </si>
  <si>
    <t>موسوی</t>
  </si>
  <si>
    <t>s.hami.mousavi63@gmail.com</t>
  </si>
  <si>
    <t>سپیده هیتاوی</t>
  </si>
  <si>
    <t>سعیده تماسی</t>
  </si>
  <si>
    <t>شیراز</t>
  </si>
  <si>
    <t>رها</t>
  </si>
  <si>
    <t>فرهادی</t>
  </si>
  <si>
    <t>989355344963</t>
  </si>
  <si>
    <t>r.farhadiasl@gmail.com</t>
  </si>
  <si>
    <t>نجار دیسفاری - لومیناک</t>
  </si>
  <si>
    <t>فاطمه ولایتی‌پور</t>
  </si>
  <si>
    <t>زارعی</t>
  </si>
  <si>
    <t>989224830197</t>
  </si>
  <si>
    <t>sayehzarei93@gmail.com</t>
  </si>
  <si>
    <t>سام ضرابی</t>
  </si>
  <si>
    <t>صنم نیک‌عادت</t>
  </si>
  <si>
    <t>سجاد</t>
  </si>
  <si>
    <t>صفری</t>
  </si>
  <si>
    <t>s96.safari@gmail.com</t>
  </si>
  <si>
    <t>مریم نجفی</t>
  </si>
  <si>
    <t>فاطمه توکل‌زاده</t>
  </si>
  <si>
    <t>علی‌آرمیده، ملیکا، محمدیاسین زارع</t>
  </si>
  <si>
    <t>شریف</t>
  </si>
  <si>
    <t>نیک‌نژاد</t>
  </si>
  <si>
    <t>09122508371</t>
  </si>
  <si>
    <t>setareh.niknezhad@gmail.com</t>
  </si>
  <si>
    <t>شیوا ناصری</t>
  </si>
  <si>
    <t>مائده حوایی</t>
  </si>
  <si>
    <t>علیرضا</t>
  </si>
  <si>
    <t>طالعی</t>
  </si>
  <si>
    <t>989132763021</t>
  </si>
  <si>
    <t>a.talei92@gmail.com</t>
  </si>
  <si>
    <t>مدیرعامل نستله</t>
  </si>
  <si>
    <t>Mina Moeini</t>
  </si>
  <si>
    <t>جداری</t>
  </si>
  <si>
    <t>09121435900</t>
  </si>
  <si>
    <t>Atajedari@gmail.com</t>
  </si>
  <si>
    <t>محمد نجفی</t>
  </si>
  <si>
    <t>@aliahmadlo</t>
  </si>
  <si>
    <t>کرج</t>
  </si>
  <si>
    <t>اسدالله زاده</t>
  </si>
  <si>
    <t>989125052440</t>
  </si>
  <si>
    <t>ساناز حبیب‌نژاد</t>
  </si>
  <si>
    <t>فاطمه</t>
  </si>
  <si>
    <t>رجب‌لو</t>
  </si>
  <si>
    <t>989391383826</t>
  </si>
  <si>
    <t>مظاهری</t>
  </si>
  <si>
    <t>989384154314</t>
  </si>
  <si>
    <t>me.mazaheri98@gmail.com</t>
  </si>
  <si>
    <t>ولایتی‌پور</t>
  </si>
  <si>
    <t>9308438392</t>
  </si>
  <si>
    <t>fatemehvelayatipour@gmail.com</t>
  </si>
  <si>
    <t>سلطان آبادی</t>
  </si>
  <si>
    <t>989125936532</t>
  </si>
  <si>
    <t>Farzad8160@gmail.com</t>
  </si>
  <si>
    <t>مهدی</t>
  </si>
  <si>
    <t>مهدی پور</t>
  </si>
  <si>
    <t>989124753107</t>
  </si>
  <si>
    <t>میکائیلی</t>
  </si>
  <si>
    <t>989125085090</t>
  </si>
  <si>
    <t>Mehran.mikaeili93@gmail.com</t>
  </si>
  <si>
    <t>مریم</t>
  </si>
  <si>
    <t>سید حسین</t>
  </si>
  <si>
    <t>9912363048</t>
  </si>
  <si>
    <t>mari.seyedhossein@gmail.com</t>
  </si>
  <si>
    <t>جاوید</t>
  </si>
  <si>
    <t>09126261105</t>
  </si>
  <si>
    <t>Maryjavide@gmail.com</t>
  </si>
  <si>
    <t>محمود</t>
  </si>
  <si>
    <t>کاشف</t>
  </si>
  <si>
    <t>09103000558</t>
  </si>
  <si>
    <t>mahmood71kashef@gmail.com</t>
  </si>
  <si>
    <t>محمد</t>
  </si>
  <si>
    <t>بیات</t>
  </si>
  <si>
    <t>989196797540</t>
  </si>
  <si>
    <t>me@OkBayat.com</t>
  </si>
  <si>
    <t>محمدرضا</t>
  </si>
  <si>
    <t>موسوی‌نسب</t>
  </si>
  <si>
    <t>9155583008</t>
  </si>
  <si>
    <t>Moosavinasab2020@gmail.com</t>
  </si>
  <si>
    <t>محسن</t>
  </si>
  <si>
    <t>ملک محمدی</t>
  </si>
  <si>
    <t>989132148482</t>
  </si>
  <si>
    <t>malekmohammadi@yahoo.com</t>
  </si>
  <si>
    <t>حسینی نژاد</t>
  </si>
  <si>
    <t>989121005556</t>
  </si>
  <si>
    <t>نسترن</t>
  </si>
  <si>
    <t>نعمتی</t>
  </si>
  <si>
    <t>9216045140</t>
  </si>
  <si>
    <t>nastaran.nmt@gmail.com</t>
  </si>
  <si>
    <t>منوچهری</t>
  </si>
  <si>
    <t>9125089650</t>
  </si>
  <si>
    <t>nmanouchehri11@gmail.com</t>
  </si>
  <si>
    <t>بهرنگ</t>
  </si>
  <si>
    <t>989195258134</t>
  </si>
  <si>
    <t>nimacbehrang@gmail.com</t>
  </si>
  <si>
    <t>کیانی</t>
  </si>
  <si>
    <t>dr.hashem.kiani@gmail.com</t>
  </si>
  <si>
    <t>نگین</t>
  </si>
  <si>
    <t>محمودی</t>
  </si>
  <si>
    <t>negin.fmahmoudi@gmail.com</t>
  </si>
  <si>
    <t>هلیا</t>
  </si>
  <si>
    <t>عطارد</t>
  </si>
  <si>
    <t>شایان</t>
  </si>
  <si>
    <t>حدادی</t>
  </si>
  <si>
    <t>گیتا</t>
  </si>
  <si>
    <t>زهرایی</t>
  </si>
  <si>
    <t>gitazahraei@gmail.com</t>
  </si>
  <si>
    <t>لطیف</t>
  </si>
  <si>
    <t>باش قره</t>
  </si>
  <si>
    <t>latif.hse@gmail.com</t>
  </si>
  <si>
    <t>آرش</t>
  </si>
  <si>
    <t>سروی</t>
  </si>
  <si>
    <t>09143159445</t>
  </si>
  <si>
    <t>arash.sarvi@gmail.com</t>
  </si>
  <si>
    <t>شیوا</t>
  </si>
  <si>
    <t>توکلی</t>
  </si>
  <si>
    <t>09126068481</t>
  </si>
  <si>
    <t>راحله</t>
  </si>
  <si>
    <t>شیری حکم آبادی</t>
  </si>
  <si>
    <t>09127386077</t>
  </si>
  <si>
    <t>بندرعباس</t>
  </si>
  <si>
    <t>مهرداد</t>
  </si>
  <si>
    <t>نایب</t>
  </si>
  <si>
    <t>09151024047</t>
  </si>
  <si>
    <t>ittop.ir@gmail.com</t>
  </si>
  <si>
    <t>زکیه</t>
  </si>
  <si>
    <t>باقری</t>
  </si>
  <si>
    <t>09198888906</t>
  </si>
  <si>
    <t>zakiebagheri.zb@gmail.com</t>
  </si>
  <si>
    <t>اسم شرکت</t>
  </si>
  <si>
    <t>رابط نشا</t>
  </si>
  <si>
    <t>نام رابط سازمان</t>
  </si>
  <si>
    <t>شماره رابط سازمان</t>
  </si>
  <si>
    <t>توضیحات رابط</t>
  </si>
  <si>
    <t>اکالا</t>
  </si>
  <si>
    <t>zeynab</t>
  </si>
  <si>
    <t>دنسه</t>
  </si>
  <si>
    <t>negar khalaj - sayeh zarei</t>
  </si>
  <si>
    <t>اسمارتک</t>
  </si>
  <si>
    <t>امیرحسین قربانی</t>
  </si>
  <si>
    <t>یکتانت</t>
  </si>
  <si>
    <t>توسن</t>
  </si>
  <si>
    <t>دیجی کالا</t>
  </si>
  <si>
    <t>رهنما کالج</t>
  </si>
  <si>
    <t>حامد دولت</t>
  </si>
  <si>
    <t>فارغ‌التحصیلان شریف</t>
  </si>
  <si>
    <t>نیما / فرزاد</t>
  </si>
  <si>
    <t>علیرضا اسدالله زاده</t>
  </si>
  <si>
    <t>نیما / مهران</t>
  </si>
  <si>
    <t>منصور</t>
  </si>
  <si>
    <t>دانشگاه تهران - کارآفرینی</t>
  </si>
  <si>
    <t>نیم / فرزاد</t>
  </si>
  <si>
    <t>صدف علیدوست	09366314477	Sadaf_ald</t>
  </si>
  <si>
    <t>بنیاد حامی</t>
  </si>
  <si>
    <t>جیوگی</t>
  </si>
  <si>
    <t>نیما / ادمین</t>
  </si>
  <si>
    <t>حسین‌تهرانی</t>
  </si>
  <si>
    <t>مدیر آموزش - دوره ۱۹ رو اومده و رضا اسپرغم هم مغرف بوده</t>
  </si>
  <si>
    <t>رضا اسپرغم</t>
  </si>
  <si>
    <t>راست‌چین</t>
  </si>
  <si>
    <t>ادمین / دیبا / نیما</t>
  </si>
  <si>
    <t>کامران یزدانیان</t>
  </si>
  <si>
    <t>دوره ۱۸ رو بوده</t>
  </si>
  <si>
    <t>مرتا</t>
  </si>
  <si>
    <t>ادمین</t>
  </si>
  <si>
    <t>محمد حسینی</t>
  </si>
  <si>
    <t>دوره ۸ یا ۹ رو اومده</t>
  </si>
  <si>
    <t>خانمی</t>
  </si>
  <si>
    <t>میلاد نصیری</t>
  </si>
  <si>
    <t>@milladnasirii</t>
  </si>
  <si>
    <t>ماورا - کوچینگ</t>
  </si>
  <si>
    <t>سودا محجوب</t>
  </si>
  <si>
    <t>@SEVDAMAHJOOB</t>
  </si>
  <si>
    <t>معادی‌خواه و بچه‌های کوچینگ در ارتباطه</t>
  </si>
  <si>
    <t>بیت‌پین</t>
  </si>
  <si>
    <t>آنیتا جمشیدی</t>
  </si>
  <si>
    <t>@nita_jam
+98 938 969 8530</t>
  </si>
  <si>
    <t>بنیاد زندگی</t>
  </si>
  <si>
    <t>نیما / هاشم</t>
  </si>
  <si>
    <t>محمدمهدی جعفری</t>
  </si>
  <si>
    <t>قدرت‌بخشی سازمان‌های مردم‌نهاد و خیریه‌ها</t>
  </si>
  <si>
    <t>تلفن</t>
  </si>
  <si>
    <t>معرف</t>
  </si>
  <si>
    <t>دوره مورد نظر</t>
  </si>
  <si>
    <t>شهر</t>
  </si>
  <si>
    <t>توضیحات</t>
  </si>
  <si>
    <t>mohammad gharib</t>
  </si>
  <si>
    <t>۰۹۱۹۴۳۵۱۵۱۹</t>
  </si>
  <si>
    <t>پیش‌‌وایی</t>
  </si>
  <si>
    <t>گرگان</t>
  </si>
  <si>
    <t>پیام به پشتیبانی - خودش پیدا کرده مارو</t>
  </si>
  <si>
    <t>گلیانی</t>
  </si>
  <si>
    <t>بنیاد کرامت رضوی</t>
  </si>
  <si>
    <t>بصیر قیصری</t>
  </si>
  <si>
    <t>@basirgheysari</t>
  </si>
  <si>
    <t>۳۰ نفر کارمندانش برای دوره پیله تهران - خودش اومده دوره ۱۹</t>
  </si>
  <si>
    <t>سعید عباس‌نژاد</t>
  </si>
  <si>
    <t>@Saeedabbasiiiiiii</t>
  </si>
  <si>
    <t>۴۰ نفر کارمنداش - دوره ۱۹ اومده</t>
  </si>
  <si>
    <t>خانمی - دوره ۱۹ اومده</t>
  </si>
  <si>
    <t xml:space="preserve">عنوان </t>
  </si>
  <si>
    <t>سالن</t>
  </si>
  <si>
    <t>نشانی</t>
  </si>
  <si>
    <t>مجوز</t>
  </si>
  <si>
    <t>ظرفیت</t>
  </si>
  <si>
    <t>قیمت نیم روز</t>
  </si>
  <si>
    <t>قیمت تمام روز</t>
  </si>
  <si>
    <t>زمان قابل رزرو</t>
  </si>
  <si>
    <t>هزینه پذیرایی</t>
  </si>
  <si>
    <t>هزینه فضای پذیرایی</t>
  </si>
  <si>
    <t>امکان کترینگ</t>
  </si>
  <si>
    <t>امکان و هزینه پارکینگ</t>
  </si>
  <si>
    <t>هزینه فضای جانبی</t>
  </si>
  <si>
    <t>شماره تماس</t>
  </si>
  <si>
    <t>سایر امکانات جانبی</t>
  </si>
  <si>
    <t>لینک تصاویر سالن</t>
  </si>
  <si>
    <t xml:space="preserve"> علی بابا</t>
  </si>
  <si>
    <t>سالن همایش دفتر روز اول</t>
  </si>
  <si>
    <t>کارخانه نوآوری آزادی</t>
  </si>
  <si>
    <t>پارک علم وفناوری</t>
  </si>
  <si>
    <t>۱۰۰</t>
  </si>
  <si>
    <t>۶۰</t>
  </si>
  <si>
    <t>رستوران نزدیک وجود دارد</t>
  </si>
  <si>
    <t>دارد</t>
  </si>
  <si>
    <t>پارکینگ ندارد</t>
  </si>
  <si>
    <t>سعید حسینی</t>
  </si>
  <si>
    <t>۰۹۱۲۹۴۵۵۵۳۸</t>
  </si>
  <si>
    <t>سالن هم‌آوا</t>
  </si>
  <si>
    <t>سالن آمفی تئاتر</t>
  </si>
  <si>
    <t>۱۴۰</t>
  </si>
  <si>
    <t>۱۰</t>
  </si>
  <si>
    <t>۲۰</t>
  </si>
  <si>
    <t>ندارد</t>
  </si>
  <si>
    <t>آقای سعیدی</t>
  </si>
  <si>
    <t>۰۹۳۵۸۱۱۵۸۹۵</t>
  </si>
  <si>
    <t>سالن تا ۱۰۰ نفر دید خوبی دارد</t>
  </si>
  <si>
    <t xml:space="preserve"> هفت و هشت</t>
  </si>
  <si>
    <t xml:space="preserve">سالن آمفی‌تئاتر </t>
  </si>
  <si>
    <t>۵۰</t>
  </si>
  <si>
    <t>۴</t>
  </si>
  <si>
    <t>۸</t>
  </si>
  <si>
    <t>۰۲۱-۴۴۶۵۳۴۷۰</t>
  </si>
  <si>
    <t>در زیر زمین سالن هست</t>
  </si>
  <si>
    <t>پلنت</t>
  </si>
  <si>
    <t>سالن همایش</t>
  </si>
  <si>
    <t>۱۶</t>
  </si>
  <si>
    <t>آکوستیک نیست</t>
  </si>
  <si>
    <t>باغ ملی گیاه شناسی</t>
  </si>
  <si>
    <t>چیتگر</t>
  </si>
  <si>
    <t>۸۰</t>
  </si>
  <si>
    <t>مهندس صمدی</t>
  </si>
  <si>
    <t>۰۹۱۲۳۴۸۶۷۴۹</t>
  </si>
  <si>
    <t>کافی شاپ و رستوران</t>
  </si>
  <si>
    <t>۲۰۰</t>
  </si>
  <si>
    <t>یه ربع فاصله با رستوران هست</t>
  </si>
  <si>
    <t>کتابخانه ملی</t>
  </si>
  <si>
    <t>تالار قلم</t>
  </si>
  <si>
    <t>تهران، بزرگراه شهيد حقانی، بعد از ايستگاه مترو حقانی، خروجی كتابخانه ملی</t>
  </si>
  <si>
    <t>60میلیون</t>
  </si>
  <si>
    <t>*</t>
  </si>
  <si>
    <t>هزینه پذیرایی ناهار
 بستگی به انتخاب منو دارد )متغییر(
 اعلام نشد )منوط به درخواست کتبی و
 مشخص شدن تاریخ دقیق برگزاری(</t>
  </si>
  <si>
    <t>15میلیون</t>
  </si>
  <si>
    <t>8الی 10 میلیون</t>
  </si>
  <si>
    <t>400متر فضای جانبی
 220هزار تومان برای هر متر مربع</t>
  </si>
  <si>
    <t>آقای الیاسی</t>
  </si>
  <si>
    <t>هزینه پارکینگ و سالن پذیرایی به شکل مجزا محاسبه می شود
 )به نسبت سال گذشته افزایش قیمت زیادی نداشته
 اند(</t>
  </si>
  <si>
    <t>امکان ترجمه همزمان تا 6 زبان و قابلیت افزایش آن تا 16 کانال
 دارا بودن سیستم صوت حرفه ای و کنفرانسی جهت میز هسات رئیسه
 امکان ارائه مقالات پشت تریبون و همچنینی استفاده از میکروفون های بی سیم در تمامی نقاط سالنمجهز به دوربین های حرفه ای تصویر برداری از اخل سالن
 مجهز به انواع دستگاه های پخشتصویر شامل: ویدئو پرژکتور، اسلاید پرژکتور، VCD، DVD
 مجهز به سیستم های صبط تصاویر از داخل تالار
 امکان نمایش برنامه های کامپیوتری از طریق ویدئو پرژکتور
 مجهز به سیستم نور قابل تنظیم و امکان نورپردازی حرفه ای و جلوه های ویژهمجهز به شبکه اینترنت و قابلیت پخش زنده بر روی سایت های اینترنتی</t>
  </si>
  <si>
    <t>هتل پارسیان استقلال</t>
  </si>
  <si>
    <t>دریای نور</t>
  </si>
  <si>
    <t>تهران ، تقاطع بزرگراه شهید چمران و ولی عصر، هتل بین المللی پارسیان استقلال تهران.</t>
  </si>
  <si>
    <t>تا 1000</t>
  </si>
  <si>
    <t>150میلیون تومان
 با میان وعده بدون غذا
 اجاره سالن با غذامیلیون تومان 80</t>
  </si>
  <si>
    <t>200میلیون تومان با میان وعده بدون غذا
 اجاره سالن با غذا150میلیون تومان</t>
  </si>
  <si>
    <t>1400میلیون تومان الی 2500 میلیون
 تومان)به این مبلغ هزینه پذیرایی میان
 وعده نیز اضافه می
 (گردد</t>
  </si>
  <si>
    <t>رایگان</t>
  </si>
  <si>
    <t>هر نفر6 هزار تومان</t>
  </si>
  <si>
    <t>200مترفضای جانبی
 (کریدورها)</t>
  </si>
  <si>
    <t>آقای عباس پور</t>
  </si>
  <si>
    <t>اجازه جهت یک روز نمایشگاه بدون غذا 300 میلیون تومان
 اجاره سالن نوفل لوشاتو تا 100 نفر 100میلیون توماناجازه سالن یاس1 تا 170نفر 100میلیون تومان
 اجاره سالن یاس 2 تا 130 نفر 100 میلیون توماناجاره اتاق جلسات نصف روز 8 میلیون تومان</t>
  </si>
  <si>
    <t>چیدمانهای مختلف اعم از یو شکل تا 200 نفر؛ کلاسی تا 600 نفر؛ سینمایی تا 800 نفر؛ کنفرانسی با
 میزهای گرد روبه سن تا 600 نفر و جشن های سالیانه شرکتی به صورت میهمانی تا 850 نفر در این سالن قابل اجرا است. از دیگر قابلیت های دیگر این سالن، امکان تفکیک آن به دو تا چهار سالن کاملا جدا از
 هم می باشد</t>
  </si>
  <si>
    <t>هتل پارسیان آزادی</t>
  </si>
  <si>
    <t>سالن زرین</t>
  </si>
  <si>
    <t>تهران ، بزرگراه شهید چمران ، تقاطع یادگار امام )ره(، هتل پارسیان آزادی</t>
  </si>
  <si>
    <t>حداکثر 350</t>
  </si>
  <si>
    <t>25میلیون</t>
  </si>
  <si>
    <t>30میلیون</t>
  </si>
  <si>
    <t>800الی1260
 (وعده ناهار)
 230الی330
 (میان وعده)</t>
  </si>
  <si>
    <t>فعلا رایگان</t>
  </si>
  <si>
    <t>آقای علی نیا
 آقای سلیمانیخانم قری</t>
  </si>
  <si>
    <t>از سالن کناری سالن زمرد می توان برای فضای جانبی نمایشگاهی استفاده کرد
 در صورت دارا بودن فضای نمایشگاهی بیشتر هزینه
 رزرو سالن نمایشگاهی محاسبه می شود
 )روزانه 100 میلیون تومان(
 در صورت اجاره تجهیزات جانبی هزینه به شکل مجز محاسبه می شود</t>
  </si>
  <si>
    <t>سالن دارای بخش رختکن بوده و دو جفت ورودی و خروجی مجزا داشته و به سرویس های بهداشتی مختص خود مجهز است.</t>
  </si>
  <si>
    <t>هتل پارسیان اوین</t>
  </si>
  <si>
    <t>کوه نور</t>
  </si>
  <si>
    <t>تهران، بزرگراه شهید چمران، تقاطع یادگارامام )ره(، هتل پارسیان اوین</t>
  </si>
  <si>
    <t>حداکثر 760)دو طبقه (</t>
  </si>
  <si>
    <t>از 1400 به بالا)برای هر نفر(</t>
  </si>
  <si>
    <t>12میلیون درصورت رزرو)
 (طبقه دوم</t>
  </si>
  <si>
    <t>خانم حسن
 بیگی ، مدیریت بازاریابی و فروش</t>
  </si>
  <si>
    <t>9129634970
 2740444/555</t>
  </si>
  <si>
    <t>طبقه اول 380 نفره می باشد )طبقه دوم مناسب فضای پذیرایی(
 اجاره نیم روز هر طبقه از سالن های کوه نور
 نمایشگاهی بدون غرفه بندی و کف سازی
 100 میلیون تومان می باشد
 پارکینگ بدون محدودیت و رایگان</t>
  </si>
  <si>
    <t>هر طبقه دارای ورودی مجزا، دو سرویس بهداشتی مجزا، رختکن می باشد.
 طبقه دوم کوه نور با ارتفاع سقف حدود 10 متر یکی از زیباترین سالن های بدون ستون در سطح کشور است
 سیستم سمیناری مخصوص سالن پارسا 2500 میلیون تومان
 سیستم سمیناری مخصوص سالن کوه نور 3 میلیون تومانویدیو پروژکتور 2 میلیون تومان
 میکروفن کنفرانسی و سیستم مترجم همزمان 4500 میلیون تومانفرستنده دستگاه مرکزی، LED تلویزیون شهری، میکروفن بی سیم، میکروفن هدستاجاره هر ساعت اتاق جلسات یک الی دو میلیون</t>
  </si>
  <si>
    <t>مرکز همایش های بین المللی رایزن</t>
  </si>
  <si>
    <t>رسول اکرم</t>
  </si>
  <si>
    <t>تهران، نیاوران، کاشانک، نرسیده به سه راه آجودانیه، شمارۀ ۲۱۰</t>
  </si>
  <si>
    <t>89
 میلیون تا 8 ساعت اول هر ساعت اضافه 6400)(میلیون اضافه می گردد</t>
  </si>
  <si>
    <t>6500الی
 9میلیون
 (برای هر نفر) پذیرایی میان وعده به این مبالغ اضافهمی گردد</t>
  </si>
  <si>
    <t>موکول به اولین جلسه</t>
  </si>
  <si>
    <t>آقای زالی</t>
  </si>
  <si>
    <t>۱۰۹۹۰۸۲۲-3
 9122788048</t>
  </si>
  <si>
    <t>هزینه نیم روز تا 8 ساعت اول محاسبه می شودتالار اندیشه 143 نفر ه61 میلیون تومان
 تالار فردوسی 350 نفره89 میلیون تومانتالار سخن 50 نفره 38 میلیون تومانتالار خیام جهت پذیرایی 60 عدد میز گرد 8 نفره 70 میلیون تومان
 تالار ابن سیناچند منظوره 32میلیون تومانتالار امیر المومنین150 نفره 51میلیون تومان</t>
  </si>
  <si>
    <t>داشتن نمایشگرهای ال ای دی طولی، دو عدد نمایشگر پلاسمای صدوپنج اینچی و یک عدد نمایش گر شصت وپنج اینچی، اسکرین عریض چهار متری جهت نمایش تصاویر ویدئو پروژکتور و دوربین های
 فیلم برداری حرفه ای</t>
  </si>
  <si>
    <t>مرکز همایش های بین
 المللی صدا و سیما</t>
  </si>
  <si>
    <t>مولانا</t>
  </si>
  <si>
    <t>اتوبان شهید چمران ؛ نرسیده به هتل استقلال ، ورودی شمالی سازمان صدا و سیما ؛ درب اختصاصی مرکز همایش های بین المللی صدا و سیما</t>
  </si>
  <si>
    <t>338الی650 هزار تومان
 )قیمت پایه غذا به شکل پرسی(
 )هزینه میان وعده
 100الی 450 (</t>
  </si>
  <si>
    <t>3میلیون
 (200ماشین)</t>
  </si>
  <si>
    <t>قابل مذاکره</t>
  </si>
  <si>
    <t>خانم بدیعی</t>
  </si>
  <si>
    <t>هزینه برای ساعات 8 الی 13 و یا 16 الی 22 می باشدهزینه پذیرایی، خدمات فنی ،گل ارایی، عکاسی و سایر هزینه ها و تجهیزات مورد نیاز به صورت مجزا دریافت می گرددهزینه تالار خواجه نصیر 700 نفره 75 میلیون تومانتالار فیض یا عطار 167 نفر 16 میلیون تومانتالار شیخ مفید 80نفره 13 میلیون تومانتالار شیخ بهایی33 نفره 13میلیون تومانهزینه اتاق های مذاکره به شکل مجزا محاسبه می گردد.</t>
  </si>
  <si>
    <t>دارای ۳۴۱ صندلی شامل ۳۳۶ صندلی برای اعضاء ، ۵ صندلی برای مقاماتدارای امکان ترجمه همزمان توسط گروه مترجمین تا ۳ زبان زنده دنیاتحویل منابع ضبط شده بلافاصله بعد از پایان همایشدارای ۴ دوربین حرفه ای رباتیکمجهز به شبکه اینترنت و پخش اینترنت و پخش زنده بر روی سایت های اینترنتیو…..</t>
  </si>
  <si>
    <t>هتل اسپیناس</t>
  </si>
  <si>
    <t>امیران 1 و 2</t>
  </si>
  <si>
    <t>تهران - بزرگراه یادگار امام - سعادت آباد - بلوار پیام – میدان بهرود - خیابان عابدی - کوچه ۳۳</t>
  </si>
  <si>
    <t>45میلیون</t>
  </si>
  <si>
    <t>هزینه غذای اصلی با توجه به منوی
 انتخاب شده می باشد
 )هزینه میان وعده
 600الی 1800(</t>
  </si>
  <si>
    <t>هزینه روزانه سالن ها به صورت نمایشگاه یا معرفی محصول بین
 20 الی 100 میلیون تومان می باشد</t>
  </si>
  <si>
    <t>آقای مقدم</t>
  </si>
  <si>
    <t>ساعت روزانه همایش ها از ساعت 8الی 17 و یا 17 الی 23 می باشداجاره پالاس هال و تالار پاسه و نالار دیوان روزانه 34 میلیونگرند هال 70 میلیوندیبا هال 13 میلیون رستوران دیبا 34 میلیون VIPرستوران دیبا 13 میلیون</t>
  </si>
  <si>
    <t>اتاق VIP
 امکان سرو غذا و میان وعده
 اینترنت وای فایسایر خدمات شامل گل آرایی، سیستم صوتی، ویدیو پروجکشن،LED، LCD، سیستم ترجمه همزمان، گوشی ترجمه همزمان، میکروفن کنفرانس و ریکوردر به صورت مجزا دریافت می گردد.</t>
  </si>
  <si>
    <t>برج میلاد</t>
  </si>
  <si>
    <t>سعدی</t>
  </si>
  <si>
    <t>تهران،کوی نصر،بزرگراه شیخ فضل الله،خ مسیر اختصاصی برج میلاد-طبقه -2</t>
  </si>
  <si>
    <t>24میلیون برای 4 ساعت
 )بعد از 4 ساعت هر
 ساعت اضافه 3600 (</t>
  </si>
  <si>
    <t>قابل مذاکره با پیمانکار</t>
  </si>
  <si>
    <t>قابل مذاکره
 ورودی 9 هزار تومان</t>
  </si>
  <si>
    <t>خانم جعفری</t>
  </si>
  <si>
    <t>پیمانکاران غذا:
 آقای رضوی رستوران فارسی
 09122703986آقای چگینی تشریفات قریشی
 09128162532آقای جانی
 09121784941
 هماهنگی با آقای تهرانی جهت پارکینگ
 09125256002
 قیمت های مرکز همایش های برج میلاد مربوط به سال 1402 می باشد</t>
  </si>
  <si>
    <t>نمایشگر پلاسما 101 اینچ
 دو دستگاه 64 LCD اینچ
 2 دستگاه ویدئو پروژکتور
 2 عدد پرده نمایش متحرکشبکه اینترنت بدون سیم</t>
  </si>
  <si>
    <t>مرکز همایش های
 پژوهشگاه نیرو</t>
  </si>
  <si>
    <t>خلیج فارس دو طبقه
 )طبقه اول 600 نفره و طبقه دوم
 400 نفره(</t>
  </si>
  <si>
    <t>تهران، شهرک غرب، انتهای بلوار دادمان، پژوهشگاه نیرو</t>
  </si>
  <si>
    <t>80میلیون روزهای تعطیل و پنج
 شنبه و جمعه 40 درصدافزایش می یابد</t>
  </si>
  <si>
    <t>به عهده پیمانکار می باشد</t>
  </si>
  <si>
    <t>به عهده پیمانکار می باشد و
 پذیرایی در سال
 مجزای ناهارخوری
 1000 نفره انجام می شود</t>
  </si>
  <si>
    <t>رایگان
 )30خودرو(برای روزهای تعطیل</t>
  </si>
  <si>
    <t>فضای پارکینگ و فضای لابی که برای نمایشگاه مورد
 استفاده قرار می
 گیرد متری 1 میلیون تومان</t>
  </si>
  <si>
    <t>آقای آندرواژ</t>
  </si>
  <si>
    <t>)دو فضای نمایشگاهی
 280 الی 400 متر (</t>
  </si>
  <si>
    <t>ظرفیت سالن 1000 نفر در دو طبقه
 امکانات صوتی و تصویری حرفه ای
 اتاق فرمان و اتاق ترجمه همزماننور پردازی حرفه ای
 سالن پذیرایی با 1000 نفر ظرفیت در سه طبقه</t>
  </si>
  <si>
    <t>مرکز همایش های بین المللی دانشگاه شهید بهشتی</t>
  </si>
  <si>
    <t>ابوریحان بیرونی</t>
  </si>
  <si>
    <t>بزرگراه شهید چمران - خیابان یمن - میدان شهید شهریاری -</t>
  </si>
  <si>
    <t>هر ساعت
 9میلیون و 400روزهای پنج شنبه و
 جمعه 15درصد افزایش قیمت لحاظ می شود</t>
  </si>
  <si>
    <t>نفری 37.5 هزار تومان</t>
  </si>
  <si>
    <t>هر خودرو 5625</t>
  </si>
  <si>
    <t>خانم برتر
 آقای رضایی</t>
  </si>
  <si>
    <t>هر سالن یک سالن مجزا جهت نمایشگاه جانبی دارد
 هزینه غرفه سازی فضای نمایشگاهی به مبلغ
 10 درصد از قیمت کل فضای نمایشگاهی روزانه محاسبه می شود.</t>
  </si>
  <si>
    <t>ویدیو وال منحصر به فرد با قابلیت نمایش فیلم وتصاویر با کیفیت Full HD با ابعاد 30 متر مربع )بدون نیاز به خاموش کردن چراغ های داخل سالن(سیستم صدابرداری حرفه ای با میکسر دیجیتال MIDAS و دیوارهای صوتی با پوشش یکنواخت صوتی در تمام نقاط سالن
 چهار دوربین حرفه ای برای تصویربرداری همراه با کارگردانی
 پانل تخصصی هیات رئیسه با ظرفیت متغیرمجهز به ژنراتور و برق اظطراری )UPS(
 فضاهای نمایشگاهی سرپوشیده ویژه با مساحت 3000 مترمربع
 سالن غذا خوری با ظرفیت متغیر تا 700 نفراتاق مذاکرات و مهمانان ویژه )VIP(</t>
  </si>
  <si>
    <t>دانشگاه علوم پزشکی ایران
 مرکز همایش های بین المللی رازی</t>
  </si>
  <si>
    <t>سالن2</t>
  </si>
  <si>
    <t>تهران -بزرگراه همت-جنب برج میلاد-دانشگاه علوم پزشکی ایران -مرکز همایش های بین المللی رازی</t>
  </si>
  <si>
    <t>۱۵ میلیون روزانه</t>
  </si>
  <si>
    <t>هر 50خودرو
 )یک میلیون و پانصد(</t>
  </si>
  <si>
    <t>یک میلیون تومان هر متر مربع</t>
  </si>
  <si>
    <t>خانم بهاری</t>
  </si>
  <si>
    <t>86702700
 86702701
 88622536
 86702711-3</t>
  </si>
  <si>
    <t>اجاره فضای نمایشگاهی هر متر مربع یک میلیون تومان
 قیمت های مرکز همایش های بین المللی رازی مربوط به سال 1402 می باشد</t>
  </si>
  <si>
    <t>پخش تصاویر کامپیوتر
 دیتا پرژکتور نصب شده بر روی سقفسیستم صوتی 8کاناله
 میکروفون بی سیم دستی و یقه ای هر کدام یک دستگاه</t>
  </si>
  <si>
    <t>دانشکده مدیریت
 دانشگاه تهران</t>
  </si>
  <si>
    <t>سالن الغدیر
 )دو طبقه پایین و بالکن(</t>
  </si>
  <si>
    <t>تهران، تقاطع بزرگراه چمران و خیابان جلال آل احمد، ضلع جنوب شرقی زیرگذر گیشا</t>
  </si>
  <si>
    <t>12میلیون</t>
  </si>
  <si>
    <t>20میلیون</t>
  </si>
  <si>
    <t>موکول به اولین جلسه
 )پذیرایی در سلف دانشجویی در ساعت 14 با پرداخت وردیه(</t>
  </si>
  <si>
    <t>رایگان
 )به شکل محدود(</t>
  </si>
  <si>
    <t>آقای پیروی
 آقای مزیدی</t>
  </si>
  <si>
    <t>61117644
 66117650</t>
  </si>
  <si>
    <t>روزهای دوشنبه، چهارشنبه ، پنج شنبه و جمعه امکان رزرو وجود ندارد) جهت رزرو تاریخ باید یک
 ماه قبل اقدام نمود
 تنها فضای جانبی در لابی هست که اجازه غرفه سازی وجود ندارد
 در خصوص شرایط پذیرایی باید با آقای مزیدی
 صحبت شود هفته آینده</t>
  </si>
  <si>
    <t>امکان فیلمبرداری )با کیفیت محدود( و عکاسی حرفه ای از برنامه به شکل رایگان
 استفاده از کلاسهای مجهز به امکانات آموزشی جهت برگزاری کارگاه های جانبی</t>
  </si>
  <si>
    <t>مرکز همایش های سازمان مدیریت صنعتی</t>
  </si>
  <si>
    <t>دکتر عادل آذر</t>
  </si>
  <si>
    <t>تهران، خبابان شیخ بهایی جنوبی، شهرک والفجر، خیابان ایرانشناسی، خیابان نهم، پلاک 6</t>
  </si>
  <si>
    <t>35میلیون</t>
  </si>
  <si>
    <t>50الی145میان وعده
 حداقل هزینه برای
 تک پرس 270 هزارتومان</t>
  </si>
  <si>
    <t>10پارکینگرایگان</t>
  </si>
  <si>
    <t>آقای صادقی
 آقای سهره وریآقای ابوقداره</t>
  </si>
  <si>
    <t>هماهنگی در صورت قطعی شدن تاریخ برگزاری با آقای صادقی</t>
  </si>
  <si>
    <t>طراحی ویژه و مدرن با استانداردهای ارگونومیک پنل هیئت رئیسه 6 نفر
 فضای ویژه VIP جهت پذیرایی مقامات پذیرایی در فضای مناسب و سالن جنبی فضای مناسبنصب پوستر های علمی، آموزشی و نمایشگاه</t>
  </si>
  <si>
    <t>کاخ سعدآباد</t>
  </si>
  <si>
    <t>فضای باز</t>
  </si>
  <si>
    <t>تهران، خیابان ولیعصر، خیابان شهید فلاحی )زعفرانیه(، انتهای خیابان شهید کمال طاهری</t>
  </si>
  <si>
    <t>2000حداکثر</t>
  </si>
  <si>
    <t>خانم رضایی
 روابط عمومی</t>
  </si>
  <si>
    <t>22752031-9
 22752079
 ۲۷۹۴۰۰۰۰
 27940378</t>
  </si>
  <si>
    <t>باید درخواست کتبا خطاب به آقای دکتر علوی به شماره فکس22751003 ارسال گردد
 جهت موارد قابل مذاکره باید با خانم علی پور
 هماهنگ گردد)27940319(</t>
  </si>
  <si>
    <t>سالن سینمایی ملت با ظرفیت 150 نفر امکان رزرو را دارد</t>
  </si>
  <si>
    <t>خانه همایش</t>
  </si>
  <si>
    <t>آمفی تاتر</t>
  </si>
  <si>
    <t>تهران، شماره ۴۶ خیابان فرشته</t>
  </si>
  <si>
    <t>حدودا هر نفر هشت میلیون تومان برای پیکیج کامل)
 پذیرایی welcoming، میدان وعده ،پارکینگ،فضای جانبی و ...(</t>
  </si>
  <si>
    <t>رایگان )50 خودرو(</t>
  </si>
  <si>
    <t>خانم زاهد</t>
  </si>
  <si>
    <t>22653772 09121240755</t>
  </si>
  <si>
    <t>هزینه سالن به صورت پیکیج کامل محاسبه می شودترجیحا عکاسی و فیلم برداری از طریف خانه همایش است و در صورت اصرار مجری با رعایت پروتکل ها امکان پذیر می باشدسالن سمینار و سالن های جنب سالن آمفی تاتر برای نمایشگاه جانبی مناسب است
 با توجه به محدویت پارکینگ امکان استفاده از پارک جنب مجموعه )پلاک 24( با دریافت ورودی فراهم است</t>
  </si>
  <si>
    <t>مجهز به کلیه امکانات صوتی و تصویریترجمه همزمان دو زبانصدای دالبیفیلمبرداری 360 درجه داخل سالنضبط صدا</t>
  </si>
  <si>
    <t>مرکز همایش های بین
 المللی جمهوری اسلامی ایران
 )سالن اجلاس سران(</t>
  </si>
  <si>
    <t>سالن های
 همایش</t>
  </si>
  <si>
    <t>تهران، خیابان ولنجک، خیابان تابناک، سالن اجلاس سران</t>
  </si>
  <si>
    <t>1800
 )سالن اصلی(
 500
 )سالن کنفرانس(
 360</t>
  </si>
  <si>
    <t>سالن همایش ها با تجهیزات صوتی و تأسیساتیسیستم روشنایی هوشمندسیستم جامع مخابراتی برای برقراری ارتباط و ارسال و دریافت ماهواره ای صوت و تصویرسیستم کنفرانس و ترجمه هم زمان از نوع با سیم و مادون قرمز تا هشت زبان در تالار اصلی و شش زبان در تالار کنفرانسظرفیت در سالن اصلی: 1800 نفر ظرفیتدو سالن کنفرانس: 500 نفر ظرفیتدو سالن U شکل : 360 نفر</t>
  </si>
  <si>
    <t>دانشگاه خاتم</t>
  </si>
  <si>
    <t>تهران- خیابان ملاصدرا- خ شیراز شمالی- خ حکیم اعظم- پلاک 30</t>
  </si>
  <si>
    <t>خانم فتاحی</t>
  </si>
  <si>
    <t>89174004
 89174007</t>
  </si>
  <si>
    <t>رزرو فقط برای بانک پاسارگاد و شرکت های
 زیر مجموعه گروه مالی پاسارگاد امکان پذیر می باشد</t>
  </si>
  <si>
    <t>89174921خانم شکیبایی</t>
  </si>
  <si>
    <t xml:space="preserve">فرهنگ‌سرا </t>
  </si>
  <si>
    <t>سالن اجتماعات برج‌ها: آ اس پ - برج تهران</t>
  </si>
  <si>
    <t>دانشگاه تهران</t>
  </si>
  <si>
    <t>مرکز همایش‌های سازمان مدیریت صنعتی ایران</t>
  </si>
  <si>
    <t>مال‌ها</t>
  </si>
  <si>
    <t>سالن سینمایی</t>
  </si>
  <si>
    <t>باغ کتاب</t>
  </si>
  <si>
    <t>https://salonyab.evand.com/</t>
  </si>
  <si>
    <t>https://salonetgroup.com/spaces?j=jj</t>
  </si>
  <si>
    <t>https://www.alaedin.travel/event-halls</t>
  </si>
  <si>
    <t>https://salamherfei.com/conference-centers/</t>
  </si>
  <si>
    <t>https://sooranto.com/</t>
  </si>
  <si>
    <t>https://hall.app.iranfair.com/halls</t>
  </si>
  <si>
    <t>تالار علامه امینی</t>
  </si>
  <si>
    <t>تهران، خیابان انقلاب- خ 16 آذر پردیس مرکزی دانشگاه تهران</t>
  </si>
  <si>
    <t>آقای کاشی</t>
  </si>
  <si>
    <t>روزهای جمعه با توجه به امکان نماز جمعه تعطیل میباشد</t>
  </si>
  <si>
    <t>https://library.ut.ac.ir/fa/page/10893/سالنهای-همایش-و-جلسات</t>
  </si>
  <si>
    <t xml:space="preserve">تالار ایرج افشار </t>
  </si>
  <si>
    <t xml:space="preserve">https://library.ut.ac.ir/fa/page/10893/سالنهای-همایش-و-جلسات </t>
  </si>
  <si>
    <t xml:space="preserve">سالن شورا </t>
  </si>
  <si>
    <t>آمفی تئاتر دانشکده فنی</t>
  </si>
  <si>
    <t>سالن همایش دانشکده اقتصاد</t>
  </si>
  <si>
    <t>خیابان کارگر شمالی،نبش خیابان جلال آل احمد،دانشکده اقتصاد دانشگاه تهران</t>
  </si>
  <si>
    <t>یک ماه قبل</t>
  </si>
  <si>
    <t>آقای امیری</t>
  </si>
  <si>
    <t>سالن کنفرانس دانشکده اقتصاد</t>
  </si>
  <si>
    <t>https://www.electrovision.ir/Portfolio/سالن-کنفرانس-دانشکده-اقتصاد-دانشگاه-ت/</t>
  </si>
  <si>
    <t xml:space="preserve">سالن همایش دانشکده مدیریت </t>
  </si>
  <si>
    <t xml:space="preserve">دانشکده مدیریت </t>
  </si>
  <si>
    <t>آقای مزیدی</t>
  </si>
  <si>
    <t>سه روز پایانی هفته امکان رزرو وجود ندارد</t>
  </si>
  <si>
    <t>https://management.ut.ac.ir/fa/page/11357/تصاویر-سالن-همایش</t>
  </si>
  <si>
    <t>سالن همایش دانشکده علوم پزشکی</t>
  </si>
  <si>
    <t>دانشکده علوم پزشکی</t>
  </si>
  <si>
    <t>https://dentistry.tums.ac.ir/news/تامزلایف:-سالن-همایش%E2%80%8Cهای-دانشکده-دندانپزشکی-دانشگاه-علوم-پزشکی-تهران؛-فضای
ی-مجهز-برای-رویدادهای-علمی-و-تخصصی</t>
  </si>
  <si>
    <t>سالن همایش دانشکده کارافرینی</t>
  </si>
  <si>
    <t>دانشکده کارافرینی</t>
  </si>
  <si>
    <t>سالن دانشکده فنی ( مهندس مکانیک)</t>
  </si>
  <si>
    <t xml:space="preserve">دانشکده فنی </t>
  </si>
  <si>
    <t>https://www.mech.sharif.ir/halls</t>
  </si>
  <si>
    <t>سالن دانشکده تربیت بدنی</t>
  </si>
  <si>
    <t xml:space="preserve">دانشکده پردیس شمالی </t>
  </si>
  <si>
    <t>تالار ابن خلدون دانشکده علوم اجتماعی</t>
  </si>
  <si>
    <t xml:space="preserve">تهران، بزرگراه جلال آل احمد، جنب بیمارستان دکتر شریعتی </t>
  </si>
  <si>
    <t>آقای ربیعی</t>
  </si>
  <si>
    <t>تالار شریعتی دانشکده علوم اجتماعی</t>
  </si>
  <si>
    <t>تالار گفتگو دانشکده علوم اجتماعی</t>
  </si>
  <si>
    <t>نشانی:تهران، جلال آل احمد، پل نصر</t>
  </si>
  <si>
    <t>آقای میرزایی</t>
  </si>
  <si>
    <t>دانشگاه تربیت مدرس</t>
  </si>
  <si>
    <t>آمفی تئاتر دانشکده علوم پایه</t>
  </si>
  <si>
    <t xml:space="preserve">https://arvinmp.ir/آمفی-تئاتر-دانشکده-علوم-پایه-دانشگاه-ت/ </t>
  </si>
  <si>
    <t>شماره</t>
  </si>
  <si>
    <t>شماره معرف</t>
  </si>
  <si>
    <t>پذیرایی</t>
  </si>
  <si>
    <t>قیمت نفری هر وعده</t>
  </si>
  <si>
    <t>elahe azami</t>
  </si>
  <si>
    <t>09102355212</t>
  </si>
  <si>
    <t>کوکی</t>
  </si>
  <si>
    <t>اشکان خواجه‌نوری</t>
  </si>
  <si>
    <t>۰۹۱۲۵۹۳۶۵۳۲</t>
  </si>
  <si>
    <t>هلیا عطارد</t>
  </si>
  <si>
    <t>گرانولا صبحانه</t>
  </si>
  <si>
    <t xml:space="preserve">وعده استاندارد مصرفی گرانولا، ۵۰-۶۰ گرم در نظر گرفته می‌شود. که برای جمعیت ۲۰۰ نفری با فرض اینکه ۵۰ درصدشان برای صبحانه گرانولا مصرف کنند (۱۰۰ نفر) حدود ۶ کیلوگرم می شود (برای هر وعده صبحانه). در نتیجه برای ۶ روز می‌شود ۳۶ کیلوگرم.
قیمت گرانولا چاربان به صورت فله‌ای ۴۰۰ هزار تومان در کیلو است که ۲۵ درصد تخفیف هم به عنوان هدیه به دوره لیدرشیپ تقدیم می‌شود.
در نتیجه مجموعا با فرضیات فوق، ۱۰ میلیون و هشتصد هزار تومان خواهد شد. </t>
  </si>
  <si>
    <t>اصغر قاسمی</t>
  </si>
  <si>
    <t>۰۹۱۲۱۴۴۷۲۱۴۳</t>
  </si>
  <si>
    <t>میوه</t>
  </si>
  <si>
    <t>به صورت کلی یا سینی میوه با قیمت و کیفیت مناسب</t>
  </si>
  <si>
    <t>id</t>
  </si>
  <si>
    <t>موبایل</t>
  </si>
  <si>
    <t>fixed phone</t>
  </si>
  <si>
    <t>جنسیت</t>
  </si>
  <si>
    <t>ایمیل</t>
  </si>
  <si>
    <t>آی‌دی تلگرام</t>
  </si>
  <si>
    <t>کد ملی</t>
  </si>
  <si>
    <t>نام‌خانوادگی</t>
  </si>
  <si>
    <t>Surname</t>
  </si>
  <si>
    <t>کانال ثبت‌نام</t>
  </si>
  <si>
    <t>وضعیت</t>
  </si>
  <si>
    <t>کیوان پوریاور</t>
  </si>
  <si>
    <t>9125269321</t>
  </si>
  <si>
    <t>M</t>
  </si>
  <si>
    <t>K.Pouryavar@alibaba.ir</t>
  </si>
  <si>
    <t>1882237341</t>
  </si>
  <si>
    <t>کیوان</t>
  </si>
  <si>
    <t>پوریاور</t>
  </si>
  <si>
    <t>Keyvan</t>
  </si>
  <si>
    <t>Pouriavar</t>
  </si>
  <si>
    <t>سامانه آموزشی</t>
  </si>
  <si>
    <t>مجید منوچهری</t>
  </si>
  <si>
    <t>9195606985</t>
  </si>
  <si>
    <t>M.manochehri@Alibaba.ir</t>
  </si>
  <si>
    <t>11086221</t>
  </si>
  <si>
    <t>Majid</t>
  </si>
  <si>
    <t>Manouchehri</t>
  </si>
  <si>
    <t>لیلا واژیر</t>
  </si>
  <si>
    <t>9359550435</t>
  </si>
  <si>
    <t>F</t>
  </si>
  <si>
    <t>leila.vazhir@gmail.com</t>
  </si>
  <si>
    <t>84146516</t>
  </si>
  <si>
    <t>لیلا</t>
  </si>
  <si>
    <t>واژیر</t>
  </si>
  <si>
    <t>Leila</t>
  </si>
  <si>
    <t>Vajir</t>
  </si>
  <si>
    <t>پرس لاین همراه</t>
  </si>
  <si>
    <t>سعید عالم ورزنه اصفهانی</t>
  </si>
  <si>
    <t>9366205771</t>
  </si>
  <si>
    <t>S.Alem@Alibaba.ir</t>
  </si>
  <si>
    <t>386570515</t>
  </si>
  <si>
    <t>سعید</t>
  </si>
  <si>
    <t>عالم ورزنه اصفهانی</t>
  </si>
  <si>
    <t>Saeid</t>
  </si>
  <si>
    <t>Alam</t>
  </si>
  <si>
    <t>ندا بزرگی کیان</t>
  </si>
  <si>
    <t>9360559862</t>
  </si>
  <si>
    <t>n.kian65@gmail.com</t>
  </si>
  <si>
    <t>78084571</t>
  </si>
  <si>
    <t>ندا</t>
  </si>
  <si>
    <t>بزرگی کیان</t>
  </si>
  <si>
    <t>Neda</t>
  </si>
  <si>
    <t>Bozorgi</t>
  </si>
  <si>
    <t>سیاوش ناصری</t>
  </si>
  <si>
    <t>9398370087</t>
  </si>
  <si>
    <t>M.Naseri@Alibaba.ir</t>
  </si>
  <si>
    <t>78042364</t>
  </si>
  <si>
    <t>سیاوش</t>
  </si>
  <si>
    <t>ناصری</t>
  </si>
  <si>
    <t>Siavash</t>
  </si>
  <si>
    <t>Naseri</t>
  </si>
  <si>
    <t>انوش شفیعی</t>
  </si>
  <si>
    <t>9101963046</t>
  </si>
  <si>
    <t>A.Shafiee@Alibaba.ir</t>
  </si>
  <si>
    <t>1199889695</t>
  </si>
  <si>
    <t>انوش</t>
  </si>
  <si>
    <t>شفیعی</t>
  </si>
  <si>
    <t>Anoush</t>
  </si>
  <si>
    <t>Shafiee</t>
  </si>
  <si>
    <t>مریم افضلی</t>
  </si>
  <si>
    <t>marigoldflora@gmail.com</t>
  </si>
  <si>
    <t>73536857</t>
  </si>
  <si>
    <t>افضلی</t>
  </si>
  <si>
    <t>Maryam</t>
  </si>
  <si>
    <t>Afzali</t>
  </si>
  <si>
    <t>پریسا امیرنژاد</t>
  </si>
  <si>
    <t>9193143750</t>
  </si>
  <si>
    <t>P.Amirnezhad@Alibaba.ir</t>
  </si>
  <si>
    <t>15341951</t>
  </si>
  <si>
    <t>پریسا</t>
  </si>
  <si>
    <t>امیرنژاد</t>
  </si>
  <si>
    <t>Parisa</t>
  </si>
  <si>
    <t>Amirnejad</t>
  </si>
  <si>
    <t>نیلوفر امیرنژاد</t>
  </si>
  <si>
    <t>9304229459</t>
  </si>
  <si>
    <t>nellishady@gmail.com</t>
  </si>
  <si>
    <t>23234776</t>
  </si>
  <si>
    <t>نیلوفر</t>
  </si>
  <si>
    <t>Niloufar</t>
  </si>
  <si>
    <t>محمد علی صابری</t>
  </si>
  <si>
    <t>9122091903</t>
  </si>
  <si>
    <t>ma.saberi@Alibaba.ir</t>
  </si>
  <si>
    <t>75058723</t>
  </si>
  <si>
    <t>محمد علی</t>
  </si>
  <si>
    <t>صابری</t>
  </si>
  <si>
    <t>Mohammadali</t>
  </si>
  <si>
    <t>Saberi</t>
  </si>
  <si>
    <t>اعظم ثابت</t>
  </si>
  <si>
    <t>9125661359</t>
  </si>
  <si>
    <t>azam.sabet@gmail.com</t>
  </si>
  <si>
    <t>73608165</t>
  </si>
  <si>
    <t>اعظم</t>
  </si>
  <si>
    <t>ثابت</t>
  </si>
  <si>
    <t>Azam</t>
  </si>
  <si>
    <t>Sabeti</t>
  </si>
  <si>
    <t>محبوبه صابری</t>
  </si>
  <si>
    <t>9127094319</t>
  </si>
  <si>
    <t>ma.saberi@gmail.com</t>
  </si>
  <si>
    <t>75391562</t>
  </si>
  <si>
    <t>محبوبه</t>
  </si>
  <si>
    <t>Mahboubeh</t>
  </si>
  <si>
    <t>فاطمه صابری</t>
  </si>
  <si>
    <t>9303749039</t>
  </si>
  <si>
    <t>fatima.saberi@gmail.com</t>
  </si>
  <si>
    <t>19635683</t>
  </si>
  <si>
    <t>Fatemeh</t>
  </si>
  <si>
    <t>آزاده اعتصامی</t>
  </si>
  <si>
    <t>9192386071</t>
  </si>
  <si>
    <t>A.Etesami@Alibaba.ir</t>
  </si>
  <si>
    <t>78882443</t>
  </si>
  <si>
    <t>اعتصامی</t>
  </si>
  <si>
    <t>Azadeh</t>
  </si>
  <si>
    <t>Etesami</t>
  </si>
  <si>
    <t>مسعود شریفی پور</t>
  </si>
  <si>
    <t>9127746737</t>
  </si>
  <si>
    <t>M.Sharifipoor@Alibaba.ir</t>
  </si>
  <si>
    <t>5080063033</t>
  </si>
  <si>
    <t>مسعود</t>
  </si>
  <si>
    <t>شریفی پور</t>
  </si>
  <si>
    <t>Masoud</t>
  </si>
  <si>
    <t>Sharifipour</t>
  </si>
  <si>
    <t>زهره سلطانیان</t>
  </si>
  <si>
    <t>9211850019</t>
  </si>
  <si>
    <t>zohresoltanian22@gmail.com</t>
  </si>
  <si>
    <t>4890197508</t>
  </si>
  <si>
    <t>زهره</t>
  </si>
  <si>
    <t>سلطانیان</t>
  </si>
  <si>
    <t>Zohreh</t>
  </si>
  <si>
    <t>Soltanian</t>
  </si>
  <si>
    <t>حفصه احراری</t>
  </si>
  <si>
    <t>9178810797</t>
  </si>
  <si>
    <t>Hafseh@hellopersia.com</t>
  </si>
  <si>
    <t>2500155595</t>
  </si>
  <si>
    <t>حفصه</t>
  </si>
  <si>
    <t>احراری</t>
  </si>
  <si>
    <t>Hafseh</t>
  </si>
  <si>
    <t>Ahrari</t>
  </si>
  <si>
    <t>ستاره نیک نژاد</t>
  </si>
  <si>
    <t>9122508371</t>
  </si>
  <si>
    <t>S.Niknezhad@alibaba.ir</t>
  </si>
  <si>
    <t>13770497</t>
  </si>
  <si>
    <t>نیک نژاد</t>
  </si>
  <si>
    <t>Setareh</t>
  </si>
  <si>
    <t>Niknejad</t>
  </si>
  <si>
    <t>سیاوش رحمانی</t>
  </si>
  <si>
    <t>9122683744</t>
  </si>
  <si>
    <t>Rahmani.siavash@gmail.com</t>
  </si>
  <si>
    <t>310719623</t>
  </si>
  <si>
    <t>رحمانی</t>
  </si>
  <si>
    <t>Rahmani</t>
  </si>
  <si>
    <t>آرش آل بیگی غلامی</t>
  </si>
  <si>
    <t>9390372267</t>
  </si>
  <si>
    <t>A.Albeigi@Alibaba.ir</t>
  </si>
  <si>
    <t>532562836</t>
  </si>
  <si>
    <t>آل بیگی غلامی</t>
  </si>
  <si>
    <t>Arash</t>
  </si>
  <si>
    <t>Albeigi</t>
  </si>
  <si>
    <t>آیدین کاظمی</t>
  </si>
  <si>
    <t>9129151073</t>
  </si>
  <si>
    <t>i.kazemi@Alibaba.ir</t>
  </si>
  <si>
    <t>19529112</t>
  </si>
  <si>
    <t>آیدین</t>
  </si>
  <si>
    <t>کاظمی</t>
  </si>
  <si>
    <t>Aidin</t>
  </si>
  <si>
    <t>Kazemi</t>
  </si>
  <si>
    <t>حسین ستوده</t>
  </si>
  <si>
    <t>0</t>
  </si>
  <si>
    <t>h.sotudeh@Alibaba.ir</t>
  </si>
  <si>
    <t>2219153630</t>
  </si>
  <si>
    <t>حسین</t>
  </si>
  <si>
    <t>ستوده</t>
  </si>
  <si>
    <t>Hosein</t>
  </si>
  <si>
    <t>Setoudeh</t>
  </si>
  <si>
    <t>نیما ابراهیمی</t>
  </si>
  <si>
    <t>9192441792</t>
  </si>
  <si>
    <t>n.ebrahimi@alibaba.ir</t>
  </si>
  <si>
    <t>10045902</t>
  </si>
  <si>
    <t>ابراهیمی</t>
  </si>
  <si>
    <t>Nima</t>
  </si>
  <si>
    <t>Ebrahimi</t>
  </si>
  <si>
    <t>سپیده کلاته سیفری</t>
  </si>
  <si>
    <t>9122982045</t>
  </si>
  <si>
    <t>Sepid.kalateh@yahoo.com</t>
  </si>
  <si>
    <t>10960546</t>
  </si>
  <si>
    <t>سپیده</t>
  </si>
  <si>
    <t>کلاته سیفری</t>
  </si>
  <si>
    <t>Sepideh</t>
  </si>
  <si>
    <t>Kalateh</t>
  </si>
  <si>
    <t>وحیدرضا سلیمانی</t>
  </si>
  <si>
    <t>9123711752</t>
  </si>
  <si>
    <t>VR.Soleimani@alibaba.ir</t>
  </si>
  <si>
    <t>75320185</t>
  </si>
  <si>
    <t>وحیدرضا</t>
  </si>
  <si>
    <t>سلیمانی</t>
  </si>
  <si>
    <t>Vahidreza</t>
  </si>
  <si>
    <t>Soleymani</t>
  </si>
  <si>
    <t>سپیده حسینیان</t>
  </si>
  <si>
    <t>9351211297</t>
  </si>
  <si>
    <t>S.Hosseynian@Alibaba.ir</t>
  </si>
  <si>
    <t>79043542</t>
  </si>
  <si>
    <t>حسینیان</t>
  </si>
  <si>
    <t>Hoseinian</t>
  </si>
  <si>
    <t>جاوید ایزدفر</t>
  </si>
  <si>
    <t>9011837978</t>
  </si>
  <si>
    <t>J.Izadfar@Alibaba.ir</t>
  </si>
  <si>
    <t>17071593</t>
  </si>
  <si>
    <t>ایزدفر</t>
  </si>
  <si>
    <t>Javid</t>
  </si>
  <si>
    <t>Izadfar</t>
  </si>
  <si>
    <t>ستاره کریمی</t>
  </si>
  <si>
    <t>9361070325</t>
  </si>
  <si>
    <t>setarekarimi.kh@gmail.com</t>
  </si>
  <si>
    <t>15737055</t>
  </si>
  <si>
    <t>کریمی</t>
  </si>
  <si>
    <t>Karimi</t>
  </si>
  <si>
    <t>جلال احمدیان</t>
  </si>
  <si>
    <t>9128145230</t>
  </si>
  <si>
    <t>j.ahmadian@Alibaba.ir</t>
  </si>
  <si>
    <t>16621042</t>
  </si>
  <si>
    <t>جلال</t>
  </si>
  <si>
    <t>احمدیان</t>
  </si>
  <si>
    <t>Jalal</t>
  </si>
  <si>
    <t>Ahmadian</t>
  </si>
  <si>
    <t>بهروز بختیاری</t>
  </si>
  <si>
    <t>9126975602</t>
  </si>
  <si>
    <t>B.Bakhtiari@Alibaba.ir</t>
  </si>
  <si>
    <t>534693822</t>
  </si>
  <si>
    <t>بختیاری</t>
  </si>
  <si>
    <t>Behrouz</t>
  </si>
  <si>
    <t>Bakhtiari</t>
  </si>
  <si>
    <t>9391991004</t>
  </si>
  <si>
    <t>a.izadpour@alibaba.ir</t>
  </si>
  <si>
    <t>4670129740</t>
  </si>
  <si>
    <t>احمد</t>
  </si>
  <si>
    <t>ایزدپور</t>
  </si>
  <si>
    <t>Ahmad</t>
  </si>
  <si>
    <t>Izadpour</t>
  </si>
  <si>
    <t>رامین پهلوان حسینی</t>
  </si>
  <si>
    <t>9131585507</t>
  </si>
  <si>
    <t>R.Pahlavan@alibaba.ir</t>
  </si>
  <si>
    <t>4420013036</t>
  </si>
  <si>
    <t>رامین</t>
  </si>
  <si>
    <t>پهلوان حسینی</t>
  </si>
  <si>
    <t>Ramin</t>
  </si>
  <si>
    <t>Pahlvanhoseini</t>
  </si>
  <si>
    <t>مریم عبدپور</t>
  </si>
  <si>
    <t>9125063294</t>
  </si>
  <si>
    <t>m.abdpour@alibaba.ir</t>
  </si>
  <si>
    <t>77058674</t>
  </si>
  <si>
    <t>عبدپور</t>
  </si>
  <si>
    <t>Abdpour</t>
  </si>
  <si>
    <t>9120323882</t>
  </si>
  <si>
    <t>a.ghorbani@alibaba.ir</t>
  </si>
  <si>
    <t>21657191</t>
  </si>
  <si>
    <t>قربانی</t>
  </si>
  <si>
    <t>Amirhosein</t>
  </si>
  <si>
    <t>Ghorbani</t>
  </si>
  <si>
    <t>طناز منتظر</t>
  </si>
  <si>
    <t>9199218472</t>
  </si>
  <si>
    <t>T.Montazer@alibaba.ir</t>
  </si>
  <si>
    <t>10456961</t>
  </si>
  <si>
    <t>طناز</t>
  </si>
  <si>
    <t>منتظر</t>
  </si>
  <si>
    <t>Tanaz</t>
  </si>
  <si>
    <t>Montazer</t>
  </si>
  <si>
    <t>حسام بادامی</t>
  </si>
  <si>
    <t>9123865374</t>
  </si>
  <si>
    <t>H.Badami@Alibaba.ir</t>
  </si>
  <si>
    <t>73623301</t>
  </si>
  <si>
    <t>حسام</t>
  </si>
  <si>
    <t>بادامی</t>
  </si>
  <si>
    <t>Hesam</t>
  </si>
  <si>
    <t>Badami</t>
  </si>
  <si>
    <t>حامد رضایی فرخ</t>
  </si>
  <si>
    <t>9126798482</t>
  </si>
  <si>
    <t>h.farrokh@alibaba.ir</t>
  </si>
  <si>
    <t>82785201</t>
  </si>
  <si>
    <t>حامد</t>
  </si>
  <si>
    <t>رضایی فرخ</t>
  </si>
  <si>
    <t>Hamed</t>
  </si>
  <si>
    <t>Rezaei</t>
  </si>
  <si>
    <t>فاطمه محمدی</t>
  </si>
  <si>
    <t>9127023774</t>
  </si>
  <si>
    <t>Niloofarmohamadi.72@gmail.com</t>
  </si>
  <si>
    <t>16414373</t>
  </si>
  <si>
    <t>محمدی</t>
  </si>
  <si>
    <t>Mohammadi</t>
  </si>
  <si>
    <t>علی احمدی</t>
  </si>
  <si>
    <t>9124369973</t>
  </si>
  <si>
    <t>al.ahmadi@alibaba.ir</t>
  </si>
  <si>
    <t>84094567</t>
  </si>
  <si>
    <t>علی</t>
  </si>
  <si>
    <t>احمدی</t>
  </si>
  <si>
    <t>Ali</t>
  </si>
  <si>
    <t>محمدرضا مبین علی</t>
  </si>
  <si>
    <t>9125570953</t>
  </si>
  <si>
    <t>MR.MobinAli@Alibaba.ir</t>
  </si>
  <si>
    <t>14173492</t>
  </si>
  <si>
    <t>مبین علی</t>
  </si>
  <si>
    <t>Mohammadreza</t>
  </si>
  <si>
    <t>Mobinali</t>
  </si>
  <si>
    <t>آذین شریفزاده علمداری</t>
  </si>
  <si>
    <t>9375807234</t>
  </si>
  <si>
    <t>A.Sharifzadeh@Alibaba.ir</t>
  </si>
  <si>
    <t>17180538</t>
  </si>
  <si>
    <t>آذین</t>
  </si>
  <si>
    <t>شریفزاده علمداری</t>
  </si>
  <si>
    <t>Azin</t>
  </si>
  <si>
    <t>Sharifzadeh</t>
  </si>
  <si>
    <t>افروز حسینی شاکر</t>
  </si>
  <si>
    <t>9360494149</t>
  </si>
  <si>
    <t>A.HoseiniShaker@Alibaba.ir</t>
  </si>
  <si>
    <t>81668376</t>
  </si>
  <si>
    <t>افروز</t>
  </si>
  <si>
    <t>حسینی شاکر</t>
  </si>
  <si>
    <t>Afrouz</t>
  </si>
  <si>
    <t>Hosseinishaker</t>
  </si>
  <si>
    <t>فرزاد محسن وند</t>
  </si>
  <si>
    <t>9198191915</t>
  </si>
  <si>
    <t>f.mohsenvand@Alibaba.ir</t>
  </si>
  <si>
    <t>12253227</t>
  </si>
  <si>
    <t>محسن وند</t>
  </si>
  <si>
    <t>Farzad</t>
  </si>
  <si>
    <t>Mohsenvand</t>
  </si>
  <si>
    <t>فرید معماریانی</t>
  </si>
  <si>
    <t>9109105210</t>
  </si>
  <si>
    <t>f.memariani@Jabama.ir</t>
  </si>
  <si>
    <t>670174033</t>
  </si>
  <si>
    <t>فرید</t>
  </si>
  <si>
    <t>معماریانی</t>
  </si>
  <si>
    <t>Farid</t>
  </si>
  <si>
    <t>Memariani</t>
  </si>
  <si>
    <t>ساسان عبیری</t>
  </si>
  <si>
    <t>9010615151</t>
  </si>
  <si>
    <t>s.abiri@alibaba.ir</t>
  </si>
  <si>
    <t>1190126796</t>
  </si>
  <si>
    <t>ساسان</t>
  </si>
  <si>
    <t>عبیری</t>
  </si>
  <si>
    <t>Sasan</t>
  </si>
  <si>
    <t>Abiri</t>
  </si>
  <si>
    <t>سحر قاسمی سنگریزه</t>
  </si>
  <si>
    <t>9363274420</t>
  </si>
  <si>
    <t>Sa.ghasemi@Alibaba.ir</t>
  </si>
  <si>
    <t>2093523541</t>
  </si>
  <si>
    <t>سحر</t>
  </si>
  <si>
    <t>قاسمی سنگریزه</t>
  </si>
  <si>
    <t>Sahar</t>
  </si>
  <si>
    <t>Ghasemi</t>
  </si>
  <si>
    <t>فرید تمیمی</t>
  </si>
  <si>
    <t>9128249673</t>
  </si>
  <si>
    <t>f.tamimi@Alibaba.ir</t>
  </si>
  <si>
    <t>81675038</t>
  </si>
  <si>
    <t>تمیمی</t>
  </si>
  <si>
    <t>Tamimi</t>
  </si>
  <si>
    <t>امیررضا رجبی</t>
  </si>
  <si>
    <t>9120248432</t>
  </si>
  <si>
    <t>am.rajabi@alibaba.ir</t>
  </si>
  <si>
    <t>20893388</t>
  </si>
  <si>
    <t>امیررضا</t>
  </si>
  <si>
    <t>رجبی</t>
  </si>
  <si>
    <t>Amirreza</t>
  </si>
  <si>
    <t>Rajabi</t>
  </si>
  <si>
    <t>احسان آراسته</t>
  </si>
  <si>
    <t>E.Arasteh@alibaba.ir</t>
  </si>
  <si>
    <t>123456789</t>
  </si>
  <si>
    <t>آراسته</t>
  </si>
  <si>
    <t>Ehsan</t>
  </si>
  <si>
    <t>Arasteh</t>
  </si>
  <si>
    <t>عروه نادر</t>
  </si>
  <si>
    <t>o.nader@Alibaba.ir</t>
  </si>
  <si>
    <t>6977469</t>
  </si>
  <si>
    <t>عروه</t>
  </si>
  <si>
    <t>نادر</t>
  </si>
  <si>
    <t>Orveh</t>
  </si>
  <si>
    <t>Nader</t>
  </si>
  <si>
    <t>لین عوض</t>
  </si>
  <si>
    <t>N011264323</t>
  </si>
  <si>
    <t>لین</t>
  </si>
  <si>
    <t>عوض</t>
  </si>
  <si>
    <t>Lean</t>
  </si>
  <si>
    <t>Avaz</t>
  </si>
  <si>
    <t>فرحانه جلیلیان</t>
  </si>
  <si>
    <t>9126840502</t>
  </si>
  <si>
    <t>F.jalilian@alibaba.ir</t>
  </si>
  <si>
    <t>4710744823</t>
  </si>
  <si>
    <t>فرحانه</t>
  </si>
  <si>
    <t>جلیلیان</t>
  </si>
  <si>
    <t>Farhaneh</t>
  </si>
  <si>
    <t>Jalilian</t>
  </si>
  <si>
    <t>شراره حاتمی</t>
  </si>
  <si>
    <t>9372263993</t>
  </si>
  <si>
    <t>s.hatami@Alibaba.ir</t>
  </si>
  <si>
    <t>3241344649</t>
  </si>
  <si>
    <t>شراره</t>
  </si>
  <si>
    <t>حاتمی</t>
  </si>
  <si>
    <t>Sharare</t>
  </si>
  <si>
    <t>Hatami</t>
  </si>
  <si>
    <t>فرید اسدی</t>
  </si>
  <si>
    <t>9120236971</t>
  </si>
  <si>
    <t>f.asadi@alibaba.ir</t>
  </si>
  <si>
    <t>2282041275</t>
  </si>
  <si>
    <t>اسدی</t>
  </si>
  <si>
    <t>Asadi</t>
  </si>
  <si>
    <t>پرنیان سیفی</t>
  </si>
  <si>
    <t>9120659108</t>
  </si>
  <si>
    <t>p.seifi@Alibaba.ir</t>
  </si>
  <si>
    <t>17075459</t>
  </si>
  <si>
    <t>پرنیان</t>
  </si>
  <si>
    <t>سیفی</t>
  </si>
  <si>
    <t>Parnian</t>
  </si>
  <si>
    <t>Seifi</t>
  </si>
  <si>
    <t>احسان میرزارضی دهقی</t>
  </si>
  <si>
    <t>9123630854</t>
  </si>
  <si>
    <t>e.mirzarazi@Alibaba.ir</t>
  </si>
  <si>
    <t>64751805</t>
  </si>
  <si>
    <t>میرزارضی دهقی</t>
  </si>
  <si>
    <t>Mirzarazi</t>
  </si>
  <si>
    <t>ندا کاردان زیرک</t>
  </si>
  <si>
    <t>9197437481</t>
  </si>
  <si>
    <t>N.Kardan@Alibaba.ir</t>
  </si>
  <si>
    <t>2669880703</t>
  </si>
  <si>
    <t>کاردان زیرک</t>
  </si>
  <si>
    <t>Kardan</t>
  </si>
  <si>
    <t>الناز منقاد</t>
  </si>
  <si>
    <t>9123797862</t>
  </si>
  <si>
    <t>E.Menghad@Alibaba.ir</t>
  </si>
  <si>
    <t>453510159</t>
  </si>
  <si>
    <t>الناز</t>
  </si>
  <si>
    <t>منقاد</t>
  </si>
  <si>
    <t>Elnaz</t>
  </si>
  <si>
    <t>Menghad</t>
  </si>
  <si>
    <t>سینا منقاد</t>
  </si>
  <si>
    <t>sinamenghad@yahoo.com</t>
  </si>
  <si>
    <t>15358321</t>
  </si>
  <si>
    <t>سینا</t>
  </si>
  <si>
    <t>Sina</t>
  </si>
  <si>
    <t>میثم هوشمند</t>
  </si>
  <si>
    <t>9190703697</t>
  </si>
  <si>
    <t>M.Hooshmand@Alibaba.ir</t>
  </si>
  <si>
    <t>11174481</t>
  </si>
  <si>
    <t>میثم</t>
  </si>
  <si>
    <t>هوشمند</t>
  </si>
  <si>
    <t>Meysam</t>
  </si>
  <si>
    <t>Houshmand</t>
  </si>
  <si>
    <t>مهری قراخانلو</t>
  </si>
  <si>
    <t>9124798007</t>
  </si>
  <si>
    <t>m.gharakhanlu@Alibaba.ir</t>
  </si>
  <si>
    <t>80977170</t>
  </si>
  <si>
    <t>مهری</t>
  </si>
  <si>
    <t>قراخانلو</t>
  </si>
  <si>
    <t>Mehri</t>
  </si>
  <si>
    <t>Gharakhanlou</t>
  </si>
  <si>
    <t>مهشید ابوعلی شمشیر پوریان</t>
  </si>
  <si>
    <t>9191621927</t>
  </si>
  <si>
    <t>M.Purian@alibaba.ir</t>
  </si>
  <si>
    <t>3490066375</t>
  </si>
  <si>
    <t>مهشید</t>
  </si>
  <si>
    <t>ابوعلی شمشیر پوریان</t>
  </si>
  <si>
    <t>Mahshid</t>
  </si>
  <si>
    <t>Pourian</t>
  </si>
  <si>
    <t>سجاد احمدی</t>
  </si>
  <si>
    <t>sa.ahmadi@Alibaba.ir</t>
  </si>
  <si>
    <t>1271332043</t>
  </si>
  <si>
    <t>Sajad</t>
  </si>
  <si>
    <t>Ahmadi</t>
  </si>
  <si>
    <t>حسین اخباریه</t>
  </si>
  <si>
    <t>9124109104</t>
  </si>
  <si>
    <t>H.Akhbarieh@Jabama.ir</t>
  </si>
  <si>
    <t>78005035</t>
  </si>
  <si>
    <t>اخباریه</t>
  </si>
  <si>
    <t>Akhbarieh</t>
  </si>
  <si>
    <t>فاطمه زهرا صالحی شهرودی</t>
  </si>
  <si>
    <t>h.akhbarieh3@gmail.com</t>
  </si>
  <si>
    <t>440261015</t>
  </si>
  <si>
    <t>فاطمه زهرا</t>
  </si>
  <si>
    <t>صالحی شهرودی</t>
  </si>
  <si>
    <t>Fatemehzahra</t>
  </si>
  <si>
    <t>Salehishahroudi</t>
  </si>
  <si>
    <t>مهرداد صنوبری وایقان</t>
  </si>
  <si>
    <t>9122587689</t>
  </si>
  <si>
    <t>M.Senobari@Alibaba.ir</t>
  </si>
  <si>
    <t>74955888</t>
  </si>
  <si>
    <t>صنوبری وایقان</t>
  </si>
  <si>
    <t>Mehrdad</t>
  </si>
  <si>
    <t>Senobari</t>
  </si>
  <si>
    <t>ندا قاضی</t>
  </si>
  <si>
    <t>nedaqazi@gmail.com</t>
  </si>
  <si>
    <t>70148937</t>
  </si>
  <si>
    <t>قاضی</t>
  </si>
  <si>
    <t>Qazi</t>
  </si>
  <si>
    <t>تارا صنوبری</t>
  </si>
  <si>
    <t>تارا</t>
  </si>
  <si>
    <t>صنوبری</t>
  </si>
  <si>
    <t>علی اکبر سلطانلو</t>
  </si>
  <si>
    <t>9122822695</t>
  </si>
  <si>
    <t>A.Soltanloo@Alibaba.ir</t>
  </si>
  <si>
    <t>4322348637</t>
  </si>
  <si>
    <t>علی اکبر</t>
  </si>
  <si>
    <t>سلطان لو</t>
  </si>
  <si>
    <t>Aliakbar</t>
  </si>
  <si>
    <t>Soltanlou</t>
  </si>
  <si>
    <t>معصومه کوه نورد</t>
  </si>
  <si>
    <t>9127941917</t>
  </si>
  <si>
    <t>M.Koohnavard@Jabama.ir</t>
  </si>
  <si>
    <t>76987094</t>
  </si>
  <si>
    <t>معصومه</t>
  </si>
  <si>
    <t>کوه نورد</t>
  </si>
  <si>
    <t>Masoumeh</t>
  </si>
  <si>
    <t>Kouhnavard</t>
  </si>
  <si>
    <t>هانیه قلی نژاد</t>
  </si>
  <si>
    <t>9031586747</t>
  </si>
  <si>
    <t>H.Gholinejad@Alibaba.ir</t>
  </si>
  <si>
    <t>12512745</t>
  </si>
  <si>
    <t>هانیه</t>
  </si>
  <si>
    <t>قلی نژاد</t>
  </si>
  <si>
    <t>Hanirh</t>
  </si>
  <si>
    <t>Gholinejad</t>
  </si>
  <si>
    <t>جواد خسروی مقدم</t>
  </si>
  <si>
    <t>9123375316</t>
  </si>
  <si>
    <t>J.Khosravi@Alibaba.ir</t>
  </si>
  <si>
    <t>490317251</t>
  </si>
  <si>
    <t>جواد</t>
  </si>
  <si>
    <t>خسروی مقدم</t>
  </si>
  <si>
    <t>Javad</t>
  </si>
  <si>
    <t>Khosravi</t>
  </si>
  <si>
    <t>لیلا سلطانی</t>
  </si>
  <si>
    <t>9353366724</t>
  </si>
  <si>
    <t>L.Soltani@Alibaba.ir</t>
  </si>
  <si>
    <t>12934844</t>
  </si>
  <si>
    <t>سلطانی</t>
  </si>
  <si>
    <t>Soltani</t>
  </si>
  <si>
    <t>میترا مسعودی</t>
  </si>
  <si>
    <t>9334860672</t>
  </si>
  <si>
    <t>F.Masoudi@Alibaba.ir</t>
  </si>
  <si>
    <t>2420149505</t>
  </si>
  <si>
    <t>میترا</t>
  </si>
  <si>
    <t>مسعودی</t>
  </si>
  <si>
    <t>Mitra</t>
  </si>
  <si>
    <t>Masoudi</t>
  </si>
  <si>
    <t>محمدعلی سماک مقدم</t>
  </si>
  <si>
    <t>sammak.msm@gmail.com</t>
  </si>
  <si>
    <t>2640025473</t>
  </si>
  <si>
    <t>محمدعلی</t>
  </si>
  <si>
    <t>سماک مقدم</t>
  </si>
  <si>
    <t>Moghadam</t>
  </si>
  <si>
    <t>بهنام الماسی</t>
  </si>
  <si>
    <t>9354421262</t>
  </si>
  <si>
    <t>B.Almasi@Alibaba.ir</t>
  </si>
  <si>
    <t>4270469943</t>
  </si>
  <si>
    <t>الماسی</t>
  </si>
  <si>
    <t>Behnam</t>
  </si>
  <si>
    <t>Almasi</t>
  </si>
  <si>
    <t>هانیه لطفی</t>
  </si>
  <si>
    <t>hanieh.lotfi72@ut.ac.ir</t>
  </si>
  <si>
    <t>1450699170</t>
  </si>
  <si>
    <t>لطفی</t>
  </si>
  <si>
    <t>Hanieh</t>
  </si>
  <si>
    <t>Lotfi</t>
  </si>
  <si>
    <t>میلاد محمدی</t>
  </si>
  <si>
    <t>9014557156</t>
  </si>
  <si>
    <t>mi.mohammadi@alibaba.ir</t>
  </si>
  <si>
    <t>22190910</t>
  </si>
  <si>
    <t>میلاد</t>
  </si>
  <si>
    <t>Milad</t>
  </si>
  <si>
    <t>امیرحسین علمداران</t>
  </si>
  <si>
    <t>9379089822</t>
  </si>
  <si>
    <t>A.Alamdaran@Alibaba.ir</t>
  </si>
  <si>
    <t>440263654</t>
  </si>
  <si>
    <t>علمداران</t>
  </si>
  <si>
    <t>Amirhossein</t>
  </si>
  <si>
    <t>Alamdaran</t>
  </si>
  <si>
    <t>مونا حسینی</t>
  </si>
  <si>
    <t>9356584946</t>
  </si>
  <si>
    <t>m.hosseini@Alibaba.ir</t>
  </si>
  <si>
    <t>10597948</t>
  </si>
  <si>
    <t>مونا</t>
  </si>
  <si>
    <t>حسینی</t>
  </si>
  <si>
    <t>Mona</t>
  </si>
  <si>
    <t>Hosseini</t>
  </si>
  <si>
    <t>مهشید السادات حسینی</t>
  </si>
  <si>
    <t>Mahshid.hoseini2017@gmail.com</t>
  </si>
  <si>
    <t>62115154</t>
  </si>
  <si>
    <t>مهشید السادات</t>
  </si>
  <si>
    <t>بهنوش حسینی</t>
  </si>
  <si>
    <t>9194203646</t>
  </si>
  <si>
    <t>B.Hosseini@Alibaba.ir</t>
  </si>
  <si>
    <t>2121751025</t>
  </si>
  <si>
    <t>بهنوش</t>
  </si>
  <si>
    <t>Behnoush</t>
  </si>
  <si>
    <t>کامران گرامی حقیقی</t>
  </si>
  <si>
    <t>9334260133</t>
  </si>
  <si>
    <t>K.Gerami@Alibaba.ir</t>
  </si>
  <si>
    <t>58139915</t>
  </si>
  <si>
    <t>کامران</t>
  </si>
  <si>
    <t>گرامی حقیقی</t>
  </si>
  <si>
    <t>Kamran</t>
  </si>
  <si>
    <t>Gerami</t>
  </si>
  <si>
    <t>ندا آهنی</t>
  </si>
  <si>
    <t>neda.ahani@gmail.com</t>
  </si>
  <si>
    <t>62115928</t>
  </si>
  <si>
    <t>آهنی</t>
  </si>
  <si>
    <t>Ahani</t>
  </si>
  <si>
    <t>سیاوش فرهمند</t>
  </si>
  <si>
    <t>9122115049</t>
  </si>
  <si>
    <t>S.Farahmand@Alibaba.ir</t>
  </si>
  <si>
    <t>79690963</t>
  </si>
  <si>
    <t>فرهمند</t>
  </si>
  <si>
    <t>Farahmand</t>
  </si>
  <si>
    <t>بهار گلشن</t>
  </si>
  <si>
    <t>#N/A</t>
  </si>
  <si>
    <t>bahar.golschan@gmail.com</t>
  </si>
  <si>
    <t>بهار</t>
  </si>
  <si>
    <t>گلشن</t>
  </si>
  <si>
    <t>Bahar</t>
  </si>
  <si>
    <t>Golshan</t>
  </si>
  <si>
    <t>سایه زارعی</t>
  </si>
  <si>
    <t>9224830197</t>
  </si>
  <si>
    <t>S.Zarei@alibaba.ir</t>
  </si>
  <si>
    <t>453733468</t>
  </si>
  <si>
    <t>Sayeh</t>
  </si>
  <si>
    <t>Zarei</t>
  </si>
  <si>
    <t>حمید طاهری</t>
  </si>
  <si>
    <t>bonchenarii@gmail.com</t>
  </si>
  <si>
    <t>75345099</t>
  </si>
  <si>
    <t>حمید</t>
  </si>
  <si>
    <t>طاهری</t>
  </si>
  <si>
    <t>Hamid</t>
  </si>
  <si>
    <t>Taheri</t>
  </si>
  <si>
    <t>کسری سلیمانی فرد</t>
  </si>
  <si>
    <t>9125720554</t>
  </si>
  <si>
    <t>k.soleymanifard@Alibaba.ir</t>
  </si>
  <si>
    <t>451520777</t>
  </si>
  <si>
    <t>کسری</t>
  </si>
  <si>
    <t>سلیمانی فرد</t>
  </si>
  <si>
    <t>Kasra</t>
  </si>
  <si>
    <t>Soleymanifard</t>
  </si>
  <si>
    <t>فروغ خراسانی</t>
  </si>
  <si>
    <t>Forooough.kh@gmail.com</t>
  </si>
  <si>
    <t>78693969</t>
  </si>
  <si>
    <t>فروغ</t>
  </si>
  <si>
    <t>خراسانی</t>
  </si>
  <si>
    <t>Forough</t>
  </si>
  <si>
    <t>Khorasani</t>
  </si>
  <si>
    <t>امیر خراسانچی</t>
  </si>
  <si>
    <t>9127929218</t>
  </si>
  <si>
    <t>A.Khorasanchi@Alibaba.ir</t>
  </si>
  <si>
    <t>62967932</t>
  </si>
  <si>
    <t>امیر</t>
  </si>
  <si>
    <t>خراسانچی</t>
  </si>
  <si>
    <t>Amir</t>
  </si>
  <si>
    <t>Khorasanchi</t>
  </si>
  <si>
    <t>انیسه آل یاسین</t>
  </si>
  <si>
    <t>anise.aleyasin@gmail.com</t>
  </si>
  <si>
    <t>2298289689</t>
  </si>
  <si>
    <t>انیسه</t>
  </si>
  <si>
    <t>آل یاسین</t>
  </si>
  <si>
    <t>Ensieh</t>
  </si>
  <si>
    <t>Aleyasin</t>
  </si>
  <si>
    <t>مسعود ملک محمدی</t>
  </si>
  <si>
    <t>9124493681</t>
  </si>
  <si>
    <t>m.malek@alibaba.ir</t>
  </si>
  <si>
    <t>81668211</t>
  </si>
  <si>
    <t>9122037453</t>
  </si>
  <si>
    <t>m.tabatabaei@alibaba.ir</t>
  </si>
  <si>
    <t>70456119</t>
  </si>
  <si>
    <t>طباطبایی</t>
  </si>
  <si>
    <t>Tabatabaei</t>
  </si>
  <si>
    <t>آراد طباطبایی</t>
  </si>
  <si>
    <t>آراد</t>
  </si>
  <si>
    <t>زهرا خاوری</t>
  </si>
  <si>
    <t>Azita.Tb@gmail.com</t>
  </si>
  <si>
    <t>زهرا</t>
  </si>
  <si>
    <t>خاوری</t>
  </si>
  <si>
    <t>مجید حسینی نژاد</t>
  </si>
  <si>
    <t>9123377910</t>
  </si>
  <si>
    <t>majid@alibaba.ir</t>
  </si>
  <si>
    <t>492616205</t>
  </si>
  <si>
    <t>Hosseininejad</t>
  </si>
  <si>
    <t>مسعود حبیبی پناه</t>
  </si>
  <si>
    <t>9123863288</t>
  </si>
  <si>
    <t>e.habibipanah@alibaba.ir</t>
  </si>
  <si>
    <t>76329747</t>
  </si>
  <si>
    <t>حبیبی پناه</t>
  </si>
  <si>
    <t>Habibipanah</t>
  </si>
  <si>
    <t>مسعود جمشیدیان</t>
  </si>
  <si>
    <t>9309054003</t>
  </si>
  <si>
    <t>m.jamshidian@alibaba.ir</t>
  </si>
  <si>
    <t>1092316256</t>
  </si>
  <si>
    <t>جمشیدیان</t>
  </si>
  <si>
    <t>Jamshidian</t>
  </si>
  <si>
    <t>رسول جمشیدیان</t>
  </si>
  <si>
    <t>1091691681</t>
  </si>
  <si>
    <t>رسول</t>
  </si>
  <si>
    <t>Rasoul</t>
  </si>
  <si>
    <t>پگاه تربتی</t>
  </si>
  <si>
    <t>9331009972</t>
  </si>
  <si>
    <t>P.torbati@alibaba.ir</t>
  </si>
  <si>
    <t>3240381222</t>
  </si>
  <si>
    <t>پگاه</t>
  </si>
  <si>
    <t>تربتی</t>
  </si>
  <si>
    <t>Torbati</t>
  </si>
  <si>
    <t>Pegah</t>
  </si>
  <si>
    <t>حامد قادری پور</t>
  </si>
  <si>
    <t>9132161839</t>
  </si>
  <si>
    <t>h.ghaderipour@alibaba.ir</t>
  </si>
  <si>
    <t>1292547669</t>
  </si>
  <si>
    <t>قادری پور</t>
  </si>
  <si>
    <t>Ghaderipour</t>
  </si>
  <si>
    <t>نیما پیرمرادیان</t>
  </si>
  <si>
    <t>9123366943</t>
  </si>
  <si>
    <t>n.pirmoradian@alibaba.ir</t>
  </si>
  <si>
    <t>491849893</t>
  </si>
  <si>
    <t>پیرمرادیان</t>
  </si>
  <si>
    <t>Pirmoradian</t>
  </si>
  <si>
    <t>مینا عبدی</t>
  </si>
  <si>
    <t>9039102939</t>
  </si>
  <si>
    <t>m.abdi@Alibaba.ir</t>
  </si>
  <si>
    <t>2930014784</t>
  </si>
  <si>
    <t>مینا</t>
  </si>
  <si>
    <t>عبدی</t>
  </si>
  <si>
    <t>Abdi</t>
  </si>
  <si>
    <t>Mina</t>
  </si>
  <si>
    <t>محمد نصری</t>
  </si>
  <si>
    <t>9121388231</t>
  </si>
  <si>
    <t>Nasri@ariamedtour.com</t>
  </si>
  <si>
    <t>نصری</t>
  </si>
  <si>
    <t>mohammad</t>
  </si>
  <si>
    <t>Nasri</t>
  </si>
  <si>
    <t>ایوند</t>
  </si>
  <si>
    <t>رضا زرنوخی</t>
  </si>
  <si>
    <t>9121988114</t>
  </si>
  <si>
    <t>Rezazarn@gmail.com</t>
  </si>
  <si>
    <t>رضا</t>
  </si>
  <si>
    <t>زرنوخی</t>
  </si>
  <si>
    <t>Reza</t>
  </si>
  <si>
    <t>Zarnoukhi</t>
  </si>
  <si>
    <t>امیرعلی حسینخان</t>
  </si>
  <si>
    <t>9123441962</t>
  </si>
  <si>
    <t>amiralihoseinkhan@gmail.com</t>
  </si>
  <si>
    <t>امیرعلی</t>
  </si>
  <si>
    <t>حسینخان</t>
  </si>
  <si>
    <t>Amirali</t>
  </si>
  <si>
    <t>Hoseinkhani</t>
  </si>
  <si>
    <t>مصطفی حسامی</t>
  </si>
  <si>
    <t>9355408007</t>
  </si>
  <si>
    <t>hessami.mostafa@gmail.com</t>
  </si>
  <si>
    <t>مصطفی</t>
  </si>
  <si>
    <t>حسامی</t>
  </si>
  <si>
    <t>Mostafa</t>
  </si>
  <si>
    <t>Hesami</t>
  </si>
  <si>
    <t>احسان مسلمی</t>
  </si>
  <si>
    <t>9127972737</t>
  </si>
  <si>
    <t>ehsanmoslemi_em11@yahoo.com</t>
  </si>
  <si>
    <t>مسلمی</t>
  </si>
  <si>
    <t>Moslemi</t>
  </si>
  <si>
    <t>علی کریمی</t>
  </si>
  <si>
    <t>9355907971</t>
  </si>
  <si>
    <t>karimi_mak1985@yahoo.com</t>
  </si>
  <si>
    <t>مسعود بختیاری</t>
  </si>
  <si>
    <t>9123988422</t>
  </si>
  <si>
    <t>mb3988422@gmail.com</t>
  </si>
  <si>
    <t>رحیم قرآنی</t>
  </si>
  <si>
    <t>9120296998</t>
  </si>
  <si>
    <t>rahim.ghorani@gmail.com</t>
  </si>
  <si>
    <t>رحیم</t>
  </si>
  <si>
    <t>قرآنی</t>
  </si>
  <si>
    <t>Rahim</t>
  </si>
  <si>
    <t>Ghorani</t>
  </si>
  <si>
    <t>علی سید مظفری</t>
  </si>
  <si>
    <t>9132659906</t>
  </si>
  <si>
    <t>ali.seyed.m@gmail.com</t>
  </si>
  <si>
    <t>علی سید</t>
  </si>
  <si>
    <t>مظفری</t>
  </si>
  <si>
    <t>Seyedmozafari</t>
  </si>
  <si>
    <t>مهسا خالوباقری</t>
  </si>
  <si>
    <t>9122859576</t>
  </si>
  <si>
    <t>mahsa.bagheri001@gmail.com</t>
  </si>
  <si>
    <t>مهسا</t>
  </si>
  <si>
    <t>خالوباقری</t>
  </si>
  <si>
    <t>Mahsa</t>
  </si>
  <si>
    <t>Khaloubagheri</t>
  </si>
  <si>
    <t>فرهاد تهرانی</t>
  </si>
  <si>
    <t>9334443753</t>
  </si>
  <si>
    <t>farhadtehrani1399@gmail.com</t>
  </si>
  <si>
    <t>فرهاد</t>
  </si>
  <si>
    <t>تهرانی</t>
  </si>
  <si>
    <t>Farhad</t>
  </si>
  <si>
    <t>Tehrani</t>
  </si>
  <si>
    <t>ماهان خالوباقری</t>
  </si>
  <si>
    <t>9120840040</t>
  </si>
  <si>
    <t>mahanf27@yahoo.com</t>
  </si>
  <si>
    <t>ماهان</t>
  </si>
  <si>
    <t>Mahan</t>
  </si>
  <si>
    <t>سهراب بهروزیان</t>
  </si>
  <si>
    <t>9125991914</t>
  </si>
  <si>
    <t>s.behrouzian@alibaba.ir</t>
  </si>
  <si>
    <t>453306462</t>
  </si>
  <si>
    <t>سهراب</t>
  </si>
  <si>
    <t>بهروزیان</t>
  </si>
  <si>
    <t>Sohrab</t>
  </si>
  <si>
    <t>Behrouzian</t>
  </si>
  <si>
    <t>معصومه معتقدی بارفروشی</t>
  </si>
  <si>
    <t>m_motaghedi@yahoo.com</t>
  </si>
  <si>
    <t>2064801863</t>
  </si>
  <si>
    <t>معتقدی بارفروشی</t>
  </si>
  <si>
    <t>Motaghedi</t>
  </si>
  <si>
    <t>خشایار پاکفر</t>
  </si>
  <si>
    <t>k.pakfar@jabama.ir</t>
  </si>
  <si>
    <t>خشایار</t>
  </si>
  <si>
    <t>پاکفر</t>
  </si>
  <si>
    <t>Khashayar</t>
  </si>
  <si>
    <t>Pakfar</t>
  </si>
  <si>
    <t>مجتبی سجودی</t>
  </si>
  <si>
    <t>9125549247</t>
  </si>
  <si>
    <t>m.sojodi@alibaba.ir</t>
  </si>
  <si>
    <t>78778931</t>
  </si>
  <si>
    <t>مجتبی</t>
  </si>
  <si>
    <t>سجودی</t>
  </si>
  <si>
    <t>Mojtaba</t>
  </si>
  <si>
    <t>Sojoudi</t>
  </si>
  <si>
    <t>راحله رجبی</t>
  </si>
  <si>
    <t>r.rajabi@outlook.com</t>
  </si>
  <si>
    <t>4324376621</t>
  </si>
  <si>
    <t>Raheleh</t>
  </si>
  <si>
    <t>سیدمحمود حسینی</t>
  </si>
  <si>
    <t>K.Hosseini@Alibaba.ir</t>
  </si>
  <si>
    <t>2229944797</t>
  </si>
  <si>
    <t>سیدمحمود</t>
  </si>
  <si>
    <t>Mahmoud</t>
  </si>
  <si>
    <t>فاطمه اشرفی</t>
  </si>
  <si>
    <t>9128093617</t>
  </si>
  <si>
    <t>f.ashrafi@alibaba.ir</t>
  </si>
  <si>
    <t>اشرفی</t>
  </si>
  <si>
    <t>Ashrafi</t>
  </si>
  <si>
    <t>مجید کمالو</t>
  </si>
  <si>
    <t>9126953220</t>
  </si>
  <si>
    <t>majid.kamalo@gmail.com</t>
  </si>
  <si>
    <t>کمالو</t>
  </si>
  <si>
    <t>Kamaloo</t>
  </si>
  <si>
    <t>حسن روشن روان</t>
  </si>
  <si>
    <t>9121039590</t>
  </si>
  <si>
    <t>Hassan.roshanravan@yahoo.com</t>
  </si>
  <si>
    <t>حسن</t>
  </si>
  <si>
    <t>روشن روان</t>
  </si>
  <si>
    <t>Roshanravan</t>
  </si>
  <si>
    <t>Hasan</t>
  </si>
  <si>
    <t>سمانه صادقی</t>
  </si>
  <si>
    <t>9123839759</t>
  </si>
  <si>
    <t>ssadeghii@gmail.com</t>
  </si>
  <si>
    <t>سمانه</t>
  </si>
  <si>
    <t>صادقی</t>
  </si>
  <si>
    <t>Sadeghi</t>
  </si>
  <si>
    <t>Samaneh</t>
  </si>
  <si>
    <t>رامتین شهرت</t>
  </si>
  <si>
    <t>9194057118</t>
  </si>
  <si>
    <t>ramtin.s2020@gmail.com</t>
  </si>
  <si>
    <t>رامتین</t>
  </si>
  <si>
    <t>شهرت</t>
  </si>
  <si>
    <t>Shohrat</t>
  </si>
  <si>
    <t>Ramtin</t>
  </si>
  <si>
    <t>مجتبی انصاری</t>
  </si>
  <si>
    <t>9128486090</t>
  </si>
  <si>
    <t>Mojtabaansari.mail@gmail.com</t>
  </si>
  <si>
    <t>انصاری</t>
  </si>
  <si>
    <t>Ansari</t>
  </si>
  <si>
    <t>امیررضا فتحی</t>
  </si>
  <si>
    <t>9399887614</t>
  </si>
  <si>
    <t>amirreza.f.amirreza@gmail.com</t>
  </si>
  <si>
    <t>فتحی</t>
  </si>
  <si>
    <t>Fathi</t>
  </si>
  <si>
    <t>شایان شریفی</t>
  </si>
  <si>
    <t>9331991386</t>
  </si>
  <si>
    <t>shayan@wingco.ir</t>
  </si>
  <si>
    <t>شریفی</t>
  </si>
  <si>
    <t>Sharifi</t>
  </si>
  <si>
    <t>Shayan</t>
  </si>
  <si>
    <t>حسن فراهانی</t>
  </si>
  <si>
    <t>9367498998</t>
  </si>
  <si>
    <t>hfarahani1374@gmail.com</t>
  </si>
  <si>
    <t>فراهانی</t>
  </si>
  <si>
    <t>Farahani</t>
  </si>
  <si>
    <t>سمانه ایوبی</t>
  </si>
  <si>
    <t>9123049318</t>
  </si>
  <si>
    <t>Sa.Ayoobi@Alibaba.ir</t>
  </si>
  <si>
    <t>62337149</t>
  </si>
  <si>
    <t>ایوبی</t>
  </si>
  <si>
    <t>Ayoubi</t>
  </si>
  <si>
    <t>سپهر حسینی</t>
  </si>
  <si>
    <t>9133159437</t>
  </si>
  <si>
    <t>se.hosseini@Alibaba.ir</t>
  </si>
  <si>
    <t>سپهر</t>
  </si>
  <si>
    <t>Sepehr</t>
  </si>
  <si>
    <t>صبا ایوبی</t>
  </si>
  <si>
    <t>9199690189</t>
  </si>
  <si>
    <t>S.Ayoobi@Alibaba.ir</t>
  </si>
  <si>
    <t>13326031</t>
  </si>
  <si>
    <t>صبا</t>
  </si>
  <si>
    <t>Saba</t>
  </si>
  <si>
    <t>مریم جاشی</t>
  </si>
  <si>
    <t>9364046101</t>
  </si>
  <si>
    <t>m.jashi@Alibaba.ir</t>
  </si>
  <si>
    <t>جاشی</t>
  </si>
  <si>
    <t>Jashi</t>
  </si>
  <si>
    <t>یاسمن بقینی</t>
  </si>
  <si>
    <t>9124386498</t>
  </si>
  <si>
    <t>y.yaghini@gmail.com</t>
  </si>
  <si>
    <t>یاسمن</t>
  </si>
  <si>
    <t>بقینی</t>
  </si>
  <si>
    <t>Yaghini</t>
  </si>
  <si>
    <t>Yasaman</t>
  </si>
  <si>
    <t>علیرضا محمودزاده</t>
  </si>
  <si>
    <t>9306609403</t>
  </si>
  <si>
    <t>alireza0mv@gmail.com</t>
  </si>
  <si>
    <t>محمودزاده</t>
  </si>
  <si>
    <t>Mahmoudzadeh</t>
  </si>
  <si>
    <t>Alireza</t>
  </si>
  <si>
    <t>پگاه بصیری کیا</t>
  </si>
  <si>
    <t>9129246466</t>
  </si>
  <si>
    <t>pegahbasiri1373@gmail.com</t>
  </si>
  <si>
    <t>پگاه بصیری</t>
  </si>
  <si>
    <t>کیا</t>
  </si>
  <si>
    <t>Basirikia</t>
  </si>
  <si>
    <t>سید هانی امام جمعه</t>
  </si>
  <si>
    <t>9128300124</t>
  </si>
  <si>
    <t>sh.emamjomeh@gmail.com</t>
  </si>
  <si>
    <t>سید هانی</t>
  </si>
  <si>
    <t>امام جمعه</t>
  </si>
  <si>
    <t>Emamjomeh</t>
  </si>
  <si>
    <t>Seyed Hani</t>
  </si>
  <si>
    <t>سید محمد حسین کاظمی</t>
  </si>
  <si>
    <t>9102242927</t>
  </si>
  <si>
    <t>smhk1375@icloud.com</t>
  </si>
  <si>
    <t>سید محمد حسین</t>
  </si>
  <si>
    <t>Seyed Mohammadhossein</t>
  </si>
  <si>
    <t>فاطمه غلاملو</t>
  </si>
  <si>
    <t>9124156426</t>
  </si>
  <si>
    <t>f_gholamloo2000@yahoo.com</t>
  </si>
  <si>
    <t>غلاملو</t>
  </si>
  <si>
    <t>Gholamlou</t>
  </si>
  <si>
    <t>محمدحسین راودمند</t>
  </si>
  <si>
    <t>9128454353</t>
  </si>
  <si>
    <t>MH.Ravadmand@Alibaba.ir</t>
  </si>
  <si>
    <t>60503424</t>
  </si>
  <si>
    <t>محمدحسین</t>
  </si>
  <si>
    <t>راودمند</t>
  </si>
  <si>
    <t>Mohammadhossein</t>
  </si>
  <si>
    <t>Ravadmand</t>
  </si>
  <si>
    <t>امین عارف پوراکبری</t>
  </si>
  <si>
    <t>9126798943</t>
  </si>
  <si>
    <t>A.Aref@Alibaba.ir</t>
  </si>
  <si>
    <t>1292272783</t>
  </si>
  <si>
    <t>امین</t>
  </si>
  <si>
    <t>عارف</t>
  </si>
  <si>
    <t>Amin</t>
  </si>
  <si>
    <t>Aref</t>
  </si>
  <si>
    <t>سارا مهرابی</t>
  </si>
  <si>
    <t>9122078705</t>
  </si>
  <si>
    <t>S.Mehrabi@alibaba.ir</t>
  </si>
  <si>
    <t>سارا</t>
  </si>
  <si>
    <t>مهرابی</t>
  </si>
  <si>
    <t>Mehrabi</t>
  </si>
  <si>
    <t>Sara</t>
  </si>
  <si>
    <t>الهام موسوی</t>
  </si>
  <si>
    <t>9387470229</t>
  </si>
  <si>
    <t>E.Mousavi@alibaba.ir</t>
  </si>
  <si>
    <t>الهام</t>
  </si>
  <si>
    <t>Mousavi</t>
  </si>
  <si>
    <t>Elham</t>
  </si>
  <si>
    <t>حسین طالبی</t>
  </si>
  <si>
    <t>9356615332</t>
  </si>
  <si>
    <t>H.Talebi@Alibaba.ir</t>
  </si>
  <si>
    <t>طالبی</t>
  </si>
  <si>
    <t>Talebi</t>
  </si>
  <si>
    <t>Hossein</t>
  </si>
  <si>
    <t>امید گودرزی</t>
  </si>
  <si>
    <t>9198131805</t>
  </si>
  <si>
    <t>O.Godarzi@Alibaba.ir</t>
  </si>
  <si>
    <t>امید</t>
  </si>
  <si>
    <t>گودرزی</t>
  </si>
  <si>
    <t>Goudarzi</t>
  </si>
  <si>
    <t>Omid</t>
  </si>
  <si>
    <t>علی قرائتی</t>
  </si>
  <si>
    <t>9191081209</t>
  </si>
  <si>
    <t>aligharaat110@gmail.com</t>
  </si>
  <si>
    <t>قرائتی</t>
  </si>
  <si>
    <t>Gherati</t>
  </si>
  <si>
    <t>فرحناز محب</t>
  </si>
  <si>
    <t>9121407287</t>
  </si>
  <si>
    <t>Farahnaz_m@yahoo.com</t>
  </si>
  <si>
    <t>فرحناز</t>
  </si>
  <si>
    <t>محب</t>
  </si>
  <si>
    <t>Moheb</t>
  </si>
  <si>
    <t>Farahnaz</t>
  </si>
  <si>
    <t>محمد زارع</t>
  </si>
  <si>
    <t>14372990260</t>
  </si>
  <si>
    <t>s.ghasemee@gmail.com</t>
  </si>
  <si>
    <t>زارع</t>
  </si>
  <si>
    <t>Zare</t>
  </si>
  <si>
    <t>Mohammad</t>
  </si>
  <si>
    <t>امیرحسین مظاهری سیف</t>
  </si>
  <si>
    <t>9121044718</t>
  </si>
  <si>
    <t>mazaheri200@yahoo.com</t>
  </si>
  <si>
    <t>مظاهری سیف</t>
  </si>
  <si>
    <t>Mazaheri</t>
  </si>
  <si>
    <t>سعید شفیعی سرارودی</t>
  </si>
  <si>
    <t>9129306678</t>
  </si>
  <si>
    <t>shafiei_77@yahoo.com</t>
  </si>
  <si>
    <t>شفیعی سرارودی</t>
  </si>
  <si>
    <t>هومن حقیقی فرد</t>
  </si>
  <si>
    <t>hooman.hf@gmail.com</t>
  </si>
  <si>
    <t>هومن</t>
  </si>
  <si>
    <t>حقیقی فرد</t>
  </si>
  <si>
    <t>Haghighifar</t>
  </si>
  <si>
    <t>Houman</t>
  </si>
  <si>
    <t>بهاره نظری</t>
  </si>
  <si>
    <t>B.Nazaripour@Alibaba.ir</t>
  </si>
  <si>
    <t>نظری</t>
  </si>
  <si>
    <t>Nazari</t>
  </si>
  <si>
    <t>Bahareh</t>
  </si>
  <si>
    <t>محمدعلى طائبى</t>
  </si>
  <si>
    <t>9203109686</t>
  </si>
  <si>
    <t>m.taheri@alibaba.ir</t>
  </si>
  <si>
    <t>محمدعلى</t>
  </si>
  <si>
    <t>طائبى</t>
  </si>
  <si>
    <t>Taebi</t>
  </si>
  <si>
    <t>کامیاب فرهادی</t>
  </si>
  <si>
    <t>9184764661</t>
  </si>
  <si>
    <t>k.farhadi@alibaba.ir</t>
  </si>
  <si>
    <t>کامیاب</t>
  </si>
  <si>
    <t>Farhadi</t>
  </si>
  <si>
    <t>Kamyeb</t>
  </si>
  <si>
    <t>مجتبی سلحشور</t>
  </si>
  <si>
    <t>9122086856</t>
  </si>
  <si>
    <t>m.salahshour@alibaba.ir</t>
  </si>
  <si>
    <t>سلحشور</t>
  </si>
  <si>
    <t>Salahshoor</t>
  </si>
  <si>
    <t>زینب یاسری‌نژاد</t>
  </si>
  <si>
    <t>9126190475</t>
  </si>
  <si>
    <t>z.yaserinejad@gmail.com</t>
  </si>
  <si>
    <t>زینب</t>
  </si>
  <si>
    <t>یاسری‌نژاد</t>
  </si>
  <si>
    <t>Yaserinejad</t>
  </si>
  <si>
    <t>Zeynab</t>
  </si>
  <si>
    <t>امید سلحشور</t>
  </si>
  <si>
    <t>Salahshour</t>
  </si>
  <si>
    <t>ملیکا لسانی</t>
  </si>
  <si>
    <t>m.lesani@alibaba.ir</t>
  </si>
  <si>
    <t>ملیکا</t>
  </si>
  <si>
    <t>لسانی</t>
  </si>
  <si>
    <t>Lesani</t>
  </si>
  <si>
    <t>Melika</t>
  </si>
  <si>
    <t>حامد محمدی</t>
  </si>
  <si>
    <t>ha.mohammadi@alibaba.ir</t>
  </si>
  <si>
    <t>مارال احمدی</t>
  </si>
  <si>
    <t>9394310605</t>
  </si>
  <si>
    <t>ma.ahmadi@alibaba.ir</t>
  </si>
  <si>
    <t>مارال</t>
  </si>
  <si>
    <t>Maral</t>
  </si>
  <si>
    <t>محمد حسین میر مجیدی</t>
  </si>
  <si>
    <t>mh.mirmajidi@alibab.ir</t>
  </si>
  <si>
    <t>محمد حسین</t>
  </si>
  <si>
    <t>میر مجیدی</t>
  </si>
  <si>
    <t>Mirmajidi</t>
  </si>
  <si>
    <t>امیرحسین نیکنام</t>
  </si>
  <si>
    <t>ah.niknam@alibaba.ir</t>
  </si>
  <si>
    <t>نیکنام</t>
  </si>
  <si>
    <t>Niknam</t>
  </si>
  <si>
    <t>فروغ زکالوند</t>
  </si>
  <si>
    <t>f.zakalvand@Alibaba.ir</t>
  </si>
  <si>
    <t>زکالوند</t>
  </si>
  <si>
    <t>zakalvand</t>
  </si>
  <si>
    <t>forough</t>
  </si>
  <si>
    <t>علیرضا طالعی</t>
  </si>
  <si>
    <t>A.Talei@alibaba.ir</t>
  </si>
  <si>
    <t>talaie</t>
  </si>
  <si>
    <t>alireza</t>
  </si>
  <si>
    <t>مرجان قربان موسوی</t>
  </si>
  <si>
    <t>ma.mousavi@Alibaba.ir</t>
  </si>
  <si>
    <t>قربان موسوی</t>
  </si>
  <si>
    <t>mousavi</t>
  </si>
  <si>
    <t>marjan</t>
  </si>
  <si>
    <t>سمیه حسنی</t>
  </si>
  <si>
    <t>hasani.smy@gmail.com</t>
  </si>
  <si>
    <t>سمیه</t>
  </si>
  <si>
    <t>حسنی</t>
  </si>
  <si>
    <t>somayeh</t>
  </si>
  <si>
    <t>مهدی فلاح</t>
  </si>
  <si>
    <t>m.fallah@alibaba.ir</t>
  </si>
  <si>
    <t>فلاح</t>
  </si>
  <si>
    <t>fallah</t>
  </si>
  <si>
    <t>mehdi</t>
  </si>
  <si>
    <t>آرزو نصیری</t>
  </si>
  <si>
    <t>a.nasiri@alibaba.ir</t>
  </si>
  <si>
    <t>آرزو</t>
  </si>
  <si>
    <t>نصیری</t>
  </si>
  <si>
    <t>Arezoo</t>
  </si>
  <si>
    <t>علی حاجی محمدی</t>
  </si>
  <si>
    <t>9122017299</t>
  </si>
  <si>
    <t>Hajimohamadimail@gmail.com</t>
  </si>
  <si>
    <t>حاجی محمدی</t>
  </si>
  <si>
    <t>Hajimohammadi</t>
  </si>
  <si>
    <t>فرشته کسرایی</t>
  </si>
  <si>
    <t>9122409384</t>
  </si>
  <si>
    <t>F.kasraei@gmail.com</t>
  </si>
  <si>
    <t>فرشته</t>
  </si>
  <si>
    <t>کسرایی</t>
  </si>
  <si>
    <t>Kasraei</t>
  </si>
  <si>
    <t>Fereshteh</t>
  </si>
  <si>
    <t>پریسا رحیم‌ پور</t>
  </si>
  <si>
    <t>9133586176</t>
  </si>
  <si>
    <t>Alidad86@gmail.com</t>
  </si>
  <si>
    <t>رحیم‌ پور</t>
  </si>
  <si>
    <t>Rahimpour</t>
  </si>
  <si>
    <t>فرید دالایی</t>
  </si>
  <si>
    <t>Farid@Alibaba.ir</t>
  </si>
  <si>
    <t>دالایی</t>
  </si>
  <si>
    <t>Dalaei</t>
  </si>
  <si>
    <t>farid</t>
  </si>
  <si>
    <t>پرویز جهانگیری</t>
  </si>
  <si>
    <t>9123078248</t>
  </si>
  <si>
    <t>پرویز</t>
  </si>
  <si>
    <t>جهانگیری</t>
  </si>
  <si>
    <t>مهناز شریفی</t>
  </si>
  <si>
    <t>Mahnaz.sharifi@gmail.com</t>
  </si>
  <si>
    <t>مهناز</t>
  </si>
  <si>
    <t>Mahnaz</t>
  </si>
  <si>
    <t>ریحانه ذوالفقاری</t>
  </si>
  <si>
    <t>ریحانه</t>
  </si>
  <si>
    <t>ذوالفقاری</t>
  </si>
  <si>
    <t>کامران فرنیان</t>
  </si>
  <si>
    <t>فرنیان</t>
  </si>
  <si>
    <t>علی داد</t>
  </si>
  <si>
    <t>داد</t>
  </si>
  <si>
    <t>Dad</t>
  </si>
  <si>
    <t>سمیه یوسفی</t>
  </si>
  <si>
    <t>s.yousefi@alibaba.ir</t>
  </si>
  <si>
    <t>یوسفی</t>
  </si>
  <si>
    <t>Yousefi</t>
  </si>
  <si>
    <t>Somayeh</t>
  </si>
  <si>
    <t>ابوالفضل شرافت</t>
  </si>
  <si>
    <t>taktaaco@gmail.com</t>
  </si>
  <si>
    <t>ابوالفضل</t>
  </si>
  <si>
    <t>شرافت</t>
  </si>
  <si>
    <t>Sherafat</t>
  </si>
  <si>
    <t>Abolfazl</t>
  </si>
  <si>
    <t>آیدا آریانژاد</t>
  </si>
  <si>
    <t>9188787615</t>
  </si>
  <si>
    <t>ida.arianezhad@gmail.com</t>
  </si>
  <si>
    <t>3733052358</t>
  </si>
  <si>
    <t>آیدا</t>
  </si>
  <si>
    <t>آریانژاد</t>
  </si>
  <si>
    <t>علی اکبر سلطان لو</t>
  </si>
  <si>
    <t>امین عارف</t>
  </si>
  <si>
    <t>امیر حسینی</t>
  </si>
  <si>
    <t>9354205407</t>
  </si>
  <si>
    <t>Ah.hosseini@alibaba.ir</t>
  </si>
  <si>
    <t>16070641</t>
  </si>
  <si>
    <t>انیس امیر ارجمند</t>
  </si>
  <si>
    <t>9122840846</t>
  </si>
  <si>
    <t>a.amirArjmandi@Alibaba.ir</t>
  </si>
  <si>
    <t>2093587701</t>
  </si>
  <si>
    <t>انیس امیر</t>
  </si>
  <si>
    <t>ارجمند</t>
  </si>
  <si>
    <t>محمدرضا احمدی</t>
  </si>
  <si>
    <t>9128908388</t>
  </si>
  <si>
    <t>MR.Ahmadi@Alibaba.ir</t>
  </si>
  <si>
    <t>480480011</t>
  </si>
  <si>
    <t>فاطمه اسکندرزاده</t>
  </si>
  <si>
    <t>9386888384</t>
  </si>
  <si>
    <t>f.eskandarzadeh@alibaba.ir</t>
  </si>
  <si>
    <t>73399558</t>
  </si>
  <si>
    <t>اسکندرزاده</t>
  </si>
  <si>
    <t>jalalahmadian1372@gmail.com</t>
  </si>
  <si>
    <t>محمدعلی نیک‌سجل</t>
  </si>
  <si>
    <t>9124024683</t>
  </si>
  <si>
    <t>a.niksejel@alibaba.ir</t>
  </si>
  <si>
    <t>80040578</t>
  </si>
  <si>
    <t>نیک‌سجل</t>
  </si>
  <si>
    <t>محمدعلی آزاده</t>
  </si>
  <si>
    <t>9125904837</t>
  </si>
  <si>
    <t>m.azadeh@alibaba.ir</t>
  </si>
  <si>
    <t>945015240</t>
  </si>
  <si>
    <t>محمد مرادی</t>
  </si>
  <si>
    <t>9123611874</t>
  </si>
  <si>
    <t>mh.moradi@alibaba.ir</t>
  </si>
  <si>
    <t>321762258</t>
  </si>
  <si>
    <t>مرادی</t>
  </si>
  <si>
    <t>مرجان روستا</t>
  </si>
  <si>
    <t>9125147559</t>
  </si>
  <si>
    <t>Marjanroosta2002@gmail.com</t>
  </si>
  <si>
    <t>532492382</t>
  </si>
  <si>
    <t>روستا</t>
  </si>
  <si>
    <t>ملورین مرادی</t>
  </si>
  <si>
    <t>NA</t>
  </si>
  <si>
    <t>442476507</t>
  </si>
  <si>
    <t>ملورین</t>
  </si>
  <si>
    <t>محمدعلی صابری</t>
  </si>
  <si>
    <t>نیکو شاکری</t>
  </si>
  <si>
    <t>9127987968</t>
  </si>
  <si>
    <t>n.shakeri@alibaba.ir</t>
  </si>
  <si>
    <t>80201164</t>
  </si>
  <si>
    <t>نیکو</t>
  </si>
  <si>
    <t>شاکری</t>
  </si>
  <si>
    <t>پگاه نجفی</t>
  </si>
  <si>
    <t>9102383352</t>
  </si>
  <si>
    <t>p.najafi@alibaba.ir</t>
  </si>
  <si>
    <t>2150052555</t>
  </si>
  <si>
    <t>نجفی</t>
  </si>
  <si>
    <t>رضا آقایی</t>
  </si>
  <si>
    <t>9102107976</t>
  </si>
  <si>
    <t>reza.da89@gmail.com</t>
  </si>
  <si>
    <t>430066120</t>
  </si>
  <si>
    <t>آقایی</t>
  </si>
  <si>
    <t>شقایق سرمست</t>
  </si>
  <si>
    <t>9351413277</t>
  </si>
  <si>
    <t>sh.sarmast@alibaba.ir</t>
  </si>
  <si>
    <t>2710220334</t>
  </si>
  <si>
    <t>شقایق</t>
  </si>
  <si>
    <t>سرمست</t>
  </si>
  <si>
    <t>۳۲۴۰۳۸۱۲۲۲</t>
  </si>
  <si>
    <t>رضا نامجو</t>
  </si>
  <si>
    <t>9128837331</t>
  </si>
  <si>
    <t>r.namjoo@alibaba.ir</t>
  </si>
  <si>
    <t>1610193210</t>
  </si>
  <si>
    <t>نامجو</t>
  </si>
  <si>
    <t>سید مهدی حسینی</t>
  </si>
  <si>
    <t>9120375156</t>
  </si>
  <si>
    <t>m.hoseini87@hotmail.com</t>
  </si>
  <si>
    <t>2090641861</t>
  </si>
  <si>
    <t>سید مهدی</t>
  </si>
  <si>
    <t>میثم پیریایی</t>
  </si>
  <si>
    <t>9391347201</t>
  </si>
  <si>
    <t>m.piriaee@jabama.ir</t>
  </si>
  <si>
    <t>4219853715</t>
  </si>
  <si>
    <t>پیریایی</t>
  </si>
  <si>
    <t>مهدی راد</t>
  </si>
  <si>
    <t>9353282218</t>
  </si>
  <si>
    <t>m.raad@alibaba.ir</t>
  </si>
  <si>
    <t>384900186</t>
  </si>
  <si>
    <t>راد</t>
  </si>
  <si>
    <t>M.Malek@alibaba.ir</t>
  </si>
  <si>
    <t>یاسمن حکیمی</t>
  </si>
  <si>
    <t>9364005357</t>
  </si>
  <si>
    <t>yhakimi71@gmail.com</t>
  </si>
  <si>
    <t>14612429</t>
  </si>
  <si>
    <t>حکیمی</t>
  </si>
  <si>
    <t>محمدعلی طائبی</t>
  </si>
  <si>
    <t>ma.taebi@Alibaba.ir</t>
  </si>
  <si>
    <t>1292323256</t>
  </si>
  <si>
    <t>طائبی</t>
  </si>
  <si>
    <t>مریم کریمی</t>
  </si>
  <si>
    <t>m.karimi.e@gmail.com</t>
  </si>
  <si>
    <t>13717642</t>
  </si>
  <si>
    <t>سهند طائبی</t>
  </si>
  <si>
    <t>153710640</t>
  </si>
  <si>
    <t>سهند</t>
  </si>
  <si>
    <t>هامون طائبی</t>
  </si>
  <si>
    <t>442450826</t>
  </si>
  <si>
    <t>هامون</t>
  </si>
  <si>
    <t>9127876736</t>
  </si>
  <si>
    <t>rrajabi@outlook.com</t>
  </si>
  <si>
    <t>تینا اسلامی زاده</t>
  </si>
  <si>
    <t>9375566608</t>
  </si>
  <si>
    <t>t.eslamizad@alibaba.ir</t>
  </si>
  <si>
    <t>3501522762</t>
  </si>
  <si>
    <t>تینا</t>
  </si>
  <si>
    <t>اسلامی زاده</t>
  </si>
  <si>
    <t>علی زین دارباشی</t>
  </si>
  <si>
    <t>9359966652</t>
  </si>
  <si>
    <t>azindarbashi@gmail.com</t>
  </si>
  <si>
    <t>77815211</t>
  </si>
  <si>
    <t>علی زین</t>
  </si>
  <si>
    <t>دارباشی</t>
  </si>
  <si>
    <t>ملیسا اسلامی زاده</t>
  </si>
  <si>
    <t>9125041081</t>
  </si>
  <si>
    <t>Melissaeslamizad@gmail.com</t>
  </si>
  <si>
    <t>61773115</t>
  </si>
  <si>
    <t>ملیسا</t>
  </si>
  <si>
    <t>N.Ebrahimi@Alibaba.ir</t>
  </si>
  <si>
    <t>محمدرضا زمردی</t>
  </si>
  <si>
    <t>9121009490</t>
  </si>
  <si>
    <t>mr.zomorrodi@gmail.com</t>
  </si>
  <si>
    <t>زمردی</t>
  </si>
  <si>
    <t>نیما نعیمی‌خواه</t>
  </si>
  <si>
    <t>9124337301</t>
  </si>
  <si>
    <t>noyan10@gmail.com</t>
  </si>
  <si>
    <t>نعیمی‌خواه</t>
  </si>
  <si>
    <t>آذین بی همتا</t>
  </si>
  <si>
    <t>9192065596</t>
  </si>
  <si>
    <t>azin.bihamta@gmail.com</t>
  </si>
  <si>
    <t>14428237</t>
  </si>
  <si>
    <t>آذین بی</t>
  </si>
  <si>
    <t>همتا</t>
  </si>
  <si>
    <t>افشین حدیدی</t>
  </si>
  <si>
    <t>9122487256</t>
  </si>
  <si>
    <t>افشین</t>
  </si>
  <si>
    <t>حدیدی</t>
  </si>
  <si>
    <t>جواد پاکدامن</t>
  </si>
  <si>
    <t>9124147140</t>
  </si>
  <si>
    <t>pakdaman.j@gmail.com</t>
  </si>
  <si>
    <t>پاکدامن</t>
  </si>
  <si>
    <t>امید رحمتی</t>
  </si>
  <si>
    <t>9364658668</t>
  </si>
  <si>
    <t>rahmatiomid1@gmail.com</t>
  </si>
  <si>
    <t>رحمتی</t>
  </si>
  <si>
    <t>نرگس شریفی</t>
  </si>
  <si>
    <t>9124843386</t>
  </si>
  <si>
    <t>narges.sharifi@yahoo.com</t>
  </si>
  <si>
    <t>نرگس</t>
  </si>
  <si>
    <t>جواد عربلو</t>
  </si>
  <si>
    <t>9122623715</t>
  </si>
  <si>
    <t>javad.arablu@yahoo.com</t>
  </si>
  <si>
    <t>322067545</t>
  </si>
  <si>
    <t>عربلو</t>
  </si>
  <si>
    <t>نسرین منوری</t>
  </si>
  <si>
    <t>9123685485</t>
  </si>
  <si>
    <t>nasrin_monavari@cloud.com</t>
  </si>
  <si>
    <t>نسرین</t>
  </si>
  <si>
    <t>منوری</t>
  </si>
  <si>
    <t>سلیمه محفوظی</t>
  </si>
  <si>
    <t>9352449300</t>
  </si>
  <si>
    <t>s.mahfoozi86@gmail.com</t>
  </si>
  <si>
    <t>سلیمه</t>
  </si>
  <si>
    <t>محفوظی</t>
  </si>
  <si>
    <t>مجتبی چنانی</t>
  </si>
  <si>
    <t>9373358797</t>
  </si>
  <si>
    <t>chenani@outlook.com</t>
  </si>
  <si>
    <t>۱۷۴۰۴۲۳۹۲۵</t>
  </si>
  <si>
    <t>چنانی</t>
  </si>
  <si>
    <t>حیفا دورقی</t>
  </si>
  <si>
    <t>9398465449</t>
  </si>
  <si>
    <t>حیفا</t>
  </si>
  <si>
    <t>دورقی</t>
  </si>
  <si>
    <t>ستاره هاشمی علیا</t>
  </si>
  <si>
    <t>9120218166</t>
  </si>
  <si>
    <t>s.hashemi@alibaba.ir</t>
  </si>
  <si>
    <t>453388892</t>
  </si>
  <si>
    <t>هاشمی علیا</t>
  </si>
  <si>
    <t>امیرعلی حسین‌خان</t>
  </si>
  <si>
    <t>79508812</t>
  </si>
  <si>
    <t>حسین‌خان</t>
  </si>
  <si>
    <t>بهاره اشرفی</t>
  </si>
  <si>
    <t>9199355646</t>
  </si>
  <si>
    <t>b.ashrafi@alibaba.ir</t>
  </si>
  <si>
    <t>492696810</t>
  </si>
  <si>
    <t>مژگان نوری</t>
  </si>
  <si>
    <t>9121323741</t>
  </si>
  <si>
    <t>M.nouri@alibaba.ir</t>
  </si>
  <si>
    <t>۰۰۶۰۸۸۴۵۶۸</t>
  </si>
  <si>
    <t>مژگان</t>
  </si>
  <si>
    <t>نوری</t>
  </si>
  <si>
    <t>علی روشن</t>
  </si>
  <si>
    <t>9121328677</t>
  </si>
  <si>
    <t>a.roshan@alibaba.ir</t>
  </si>
  <si>
    <t>452677009</t>
  </si>
  <si>
    <t>روشن</t>
  </si>
  <si>
    <t>آرش آل‌بیگی</t>
  </si>
  <si>
    <t>aralkabir@gmail.com</t>
  </si>
  <si>
    <t>آل‌بیگی</t>
  </si>
  <si>
    <t>68886136</t>
  </si>
  <si>
    <t>جلال آقازاده</t>
  </si>
  <si>
    <t>9358306041</t>
  </si>
  <si>
    <t>j.aghazadehh@gmail.com</t>
  </si>
  <si>
    <t>83042431</t>
  </si>
  <si>
    <t>آقازاده</t>
  </si>
  <si>
    <t>مرجان دژیاب</t>
  </si>
  <si>
    <t>9124900132</t>
  </si>
  <si>
    <t>m.dejyab@alibaba.ir</t>
  </si>
  <si>
    <t>72369442</t>
  </si>
  <si>
    <t>دژیاب</t>
  </si>
  <si>
    <t>مریم مسیح آبادی</t>
  </si>
  <si>
    <t>9122769645</t>
  </si>
  <si>
    <t>m.masihabadi@alibaba.ir</t>
  </si>
  <si>
    <t>940920573</t>
  </si>
  <si>
    <t>مسیح آبادی</t>
  </si>
  <si>
    <t>مسعود الیاسی</t>
  </si>
  <si>
    <t>9124968165</t>
  </si>
  <si>
    <t>m.elyasi@alibaba.ir</t>
  </si>
  <si>
    <t>942074416</t>
  </si>
  <si>
    <t>الیاسی</t>
  </si>
  <si>
    <t>سعید عالم</t>
  </si>
  <si>
    <t>عالم</t>
  </si>
  <si>
    <t>rahmani.siavash@gmail.com</t>
  </si>
  <si>
    <t>یاسر نظریانی</t>
  </si>
  <si>
    <t>9143457756</t>
  </si>
  <si>
    <t>y.nazariani@alibaba.ir</t>
  </si>
  <si>
    <t>2740282524</t>
  </si>
  <si>
    <t>یاسر</t>
  </si>
  <si>
    <t>نظریانی</t>
  </si>
  <si>
    <t>مجید مادی</t>
  </si>
  <si>
    <t>9125970461</t>
  </si>
  <si>
    <t>majid.madi62@gmail.com</t>
  </si>
  <si>
    <t>60509996</t>
  </si>
  <si>
    <t>مادی</t>
  </si>
  <si>
    <t>فاطمه شعاعی فرد خامش</t>
  </si>
  <si>
    <t>9127221674</t>
  </si>
  <si>
    <t>77800028</t>
  </si>
  <si>
    <t xml:space="preserve"> شعاعی فرد خامش</t>
  </si>
  <si>
    <t>امیرعلی معادی</t>
  </si>
  <si>
    <t>154512524</t>
  </si>
  <si>
    <t>معادی</t>
  </si>
  <si>
    <t>محمدعلی سماک‌مقدم</t>
  </si>
  <si>
    <t>9351850366</t>
  </si>
  <si>
    <t>سماک‌مقدم</t>
  </si>
  <si>
    <t>۷۵۳۲۰۱۸۵</t>
  </si>
  <si>
    <t>عرفانه ابوالقاسم</t>
  </si>
  <si>
    <t>عرفانه</t>
  </si>
  <si>
    <t>ابوالقاسم</t>
  </si>
  <si>
    <t>افشین فارغی علمداری</t>
  </si>
  <si>
    <t>9122093788</t>
  </si>
  <si>
    <t>afshin.joel@gmail.com</t>
  </si>
  <si>
    <t>1378447174</t>
  </si>
  <si>
    <t>فارغی علمداری</t>
  </si>
  <si>
    <t>آزاده شاکری</t>
  </si>
  <si>
    <t>77901282</t>
  </si>
  <si>
    <t>بابک محمدی اصل</t>
  </si>
  <si>
    <t>9122209406</t>
  </si>
  <si>
    <t>B.Mohammadiasl@Jabama.ir</t>
  </si>
  <si>
    <t>81704747</t>
  </si>
  <si>
    <t>بابک</t>
  </si>
  <si>
    <t>محمدی اصل</t>
  </si>
  <si>
    <t>علیرضا سعادتمند</t>
  </si>
  <si>
    <t>9192180514</t>
  </si>
  <si>
    <t>A.Saadatmand@Jabama.ir</t>
  </si>
  <si>
    <t>3490164881</t>
  </si>
  <si>
    <t>سعادتمند</t>
  </si>
  <si>
    <t>احسان فرهی</t>
  </si>
  <si>
    <t>9387967905</t>
  </si>
  <si>
    <t>E.Farahi@Alibaba.ir</t>
  </si>
  <si>
    <t>440356008</t>
  </si>
  <si>
    <t>فرهی</t>
  </si>
  <si>
    <t>احسان ساری اصلانی</t>
  </si>
  <si>
    <t>9128665530</t>
  </si>
  <si>
    <t>E.SariAslani@Alibaba.ir</t>
  </si>
  <si>
    <t>3370061422</t>
  </si>
  <si>
    <t>ساری اصلانی</t>
  </si>
  <si>
    <t>بابک برزگر</t>
  </si>
  <si>
    <t>9395209689</t>
  </si>
  <si>
    <t>B.Barzegar@Alibaba.ir</t>
  </si>
  <si>
    <t>16835956</t>
  </si>
  <si>
    <t>برزگر</t>
  </si>
  <si>
    <t>مهسا فرشادی نیا</t>
  </si>
  <si>
    <t>9363134423</t>
  </si>
  <si>
    <t>M.Farshadinia@alibaba.ir</t>
  </si>
  <si>
    <t>310550300</t>
  </si>
  <si>
    <t>فرشادی نیا</t>
  </si>
  <si>
    <t>علیرضا گل زاده</t>
  </si>
  <si>
    <t>9124805019</t>
  </si>
  <si>
    <t>A.Golzadeh@Jabama.ir</t>
  </si>
  <si>
    <t>3860545132</t>
  </si>
  <si>
    <t>گل‌زاده</t>
  </si>
  <si>
    <t>سیده زینب حسینی</t>
  </si>
  <si>
    <t>سیده زینب</t>
  </si>
  <si>
    <t>علی میرزایی</t>
  </si>
  <si>
    <t>9129452968</t>
  </si>
  <si>
    <t>a.mirzaei@Alibaba.ir</t>
  </si>
  <si>
    <t>3961865701</t>
  </si>
  <si>
    <t>میرزایی</t>
  </si>
  <si>
    <t>A.Shafiee@alibaba.ir</t>
  </si>
  <si>
    <t>S.Zareie@Alibaba.ir</t>
  </si>
  <si>
    <t>Bonchenarii@gmail.com</t>
  </si>
  <si>
    <t>9353373473</t>
  </si>
  <si>
    <t>kh.pakfar@alibaba.ir</t>
  </si>
  <si>
    <t>80165273</t>
  </si>
  <si>
    <t>Majid@Alibaba.ir</t>
  </si>
  <si>
    <t>تارا حسینی نژاد</t>
  </si>
  <si>
    <t>رایان حسینی نژاد</t>
  </si>
  <si>
    <t>رایان</t>
  </si>
  <si>
    <t>M.Tabatabaei@alibaba.ir</t>
  </si>
  <si>
    <t>s.niknejad@alibaba.ir</t>
  </si>
  <si>
    <t>اکبر هاشمی</t>
  </si>
  <si>
    <t>9127202144</t>
  </si>
  <si>
    <t>akbarhashemi38@gmail.com</t>
  </si>
  <si>
    <t>اکبر</t>
  </si>
  <si>
    <t>هاشمی</t>
  </si>
  <si>
    <t>مصطفی داودی</t>
  </si>
  <si>
    <t>9126330975</t>
  </si>
  <si>
    <t>mustafadavoodi@gmail.com</t>
  </si>
  <si>
    <t>داودی</t>
  </si>
  <si>
    <t>یاسمن یقینی</t>
  </si>
  <si>
    <t>Y.yaghini@gmail.com</t>
  </si>
  <si>
    <t>یقینی</t>
  </si>
  <si>
    <t>زینب سلطانی</t>
  </si>
  <si>
    <t>9197050074</t>
  </si>
  <si>
    <t>zeinab.soltani1990@gmail.com</t>
  </si>
  <si>
    <t>4270157542</t>
  </si>
  <si>
    <t>محمدعلی بابازادگان</t>
  </si>
  <si>
    <t>9037199579</t>
  </si>
  <si>
    <t>ma.babazadegan@gmail.com</t>
  </si>
  <si>
    <t>1741003792</t>
  </si>
  <si>
    <t>بابازادگان</t>
  </si>
  <si>
    <t>نازنین سلیمانیان میرحاجی</t>
  </si>
  <si>
    <t>9163077757</t>
  </si>
  <si>
    <t>nazaninsoleimanian@yahoo.fr</t>
  </si>
  <si>
    <t>1740878892</t>
  </si>
  <si>
    <t>نازنین</t>
  </si>
  <si>
    <t>سلیمانیان میرحاجی</t>
  </si>
  <si>
    <t>امیرحسین فقیهی</t>
  </si>
  <si>
    <t>9128881277</t>
  </si>
  <si>
    <t>amirehosein@gmail.com</t>
  </si>
  <si>
    <t>1270480375</t>
  </si>
  <si>
    <t>فقیهی</t>
  </si>
  <si>
    <t>s.farahmand@alibaba.ir</t>
  </si>
  <si>
    <t>الهه عظیمی اول</t>
  </si>
  <si>
    <t>9125715934</t>
  </si>
  <si>
    <t>elahehazimi55@gmail.com</t>
  </si>
  <si>
    <t>الهه</t>
  </si>
  <si>
    <t>عظیمی اول</t>
  </si>
  <si>
    <t>فرهاد عظیمی نیک</t>
  </si>
  <si>
    <t>9395490277</t>
  </si>
  <si>
    <t>عظیمی نیک</t>
  </si>
  <si>
    <t>نیلوفر آصفی پور</t>
  </si>
  <si>
    <t>9194964516</t>
  </si>
  <si>
    <t>Nilofar.asefipour@gmail.Com</t>
  </si>
  <si>
    <t>آصفی پور</t>
  </si>
  <si>
    <t>مریم آزادی</t>
  </si>
  <si>
    <t>9125431920</t>
  </si>
  <si>
    <t>Maryam.Azadi@panatin.Com</t>
  </si>
  <si>
    <t>آزادی</t>
  </si>
  <si>
    <t>Hassan.Roshanravan@yahoo.Com</t>
  </si>
  <si>
    <t>سپنتا روشن روان</t>
  </si>
  <si>
    <t>سپنتا</t>
  </si>
  <si>
    <t>82031096</t>
  </si>
  <si>
    <t>ویدا حیدریان</t>
  </si>
  <si>
    <t>9361425985</t>
  </si>
  <si>
    <t>vida.heidariyan@gmail.com</t>
  </si>
  <si>
    <t>۰۰۱۰۷۶۵۰۵۰</t>
  </si>
  <si>
    <t>ویدا</t>
  </si>
  <si>
    <t>حیدریان</t>
  </si>
  <si>
    <t>سیدصادق طباطبایی</t>
  </si>
  <si>
    <t>9125961343</t>
  </si>
  <si>
    <t>rahahamed@yahoo.com</t>
  </si>
  <si>
    <t>سید صادق</t>
  </si>
  <si>
    <t>یوسف نظری</t>
  </si>
  <si>
    <t>9128355965</t>
  </si>
  <si>
    <t>yousef.nazari@gmail.com</t>
  </si>
  <si>
    <t>2269808029</t>
  </si>
  <si>
    <t>یوسف</t>
  </si>
  <si>
    <t>فاطمه بابایی صادق</t>
  </si>
  <si>
    <t>9121259786</t>
  </si>
  <si>
    <t>Ordibeheshts_girl@yahoo.com</t>
  </si>
  <si>
    <t>۰۰۶۷۸۳۶۵۸۵</t>
  </si>
  <si>
    <t>بابایی صادق</t>
  </si>
  <si>
    <t>9120199974</t>
  </si>
  <si>
    <t>shayansharifi14@gmail.com</t>
  </si>
  <si>
    <t>5560536334</t>
  </si>
  <si>
    <t>9120555019</t>
  </si>
  <si>
    <t>cao@iranbazr.co</t>
  </si>
  <si>
    <t>1757101683</t>
  </si>
  <si>
    <t>حمیدرضا لاچین</t>
  </si>
  <si>
    <t>9366673711</t>
  </si>
  <si>
    <t>h.lachin@alibaba.ir</t>
  </si>
  <si>
    <t>311420818</t>
  </si>
  <si>
    <t>حمیدرضا</t>
  </si>
  <si>
    <t>لاچین</t>
  </si>
  <si>
    <t>محمدرضا تقی پور</t>
  </si>
  <si>
    <t>9918859951</t>
  </si>
  <si>
    <t>mohammadtaghipoor@yahoo.com</t>
  </si>
  <si>
    <t>16627253</t>
  </si>
  <si>
    <t>تقی پور</t>
  </si>
  <si>
    <t>شهلا طالبی</t>
  </si>
  <si>
    <t>9129580296</t>
  </si>
  <si>
    <t>s.talebi@saravapars.com</t>
  </si>
  <si>
    <t>55087061</t>
  </si>
  <si>
    <t>شهلا</t>
  </si>
  <si>
    <t>حسن قاسمی نژاد</t>
  </si>
  <si>
    <t>9125277216</t>
  </si>
  <si>
    <t>H.Ghaseminezhad@Alibaba.ir</t>
  </si>
  <si>
    <t>2648651772</t>
  </si>
  <si>
    <t>قاسمی نژاد</t>
  </si>
  <si>
    <t>وحیده مالکی</t>
  </si>
  <si>
    <t>9127129074</t>
  </si>
  <si>
    <t>وحیده</t>
  </si>
  <si>
    <t>مالکی</t>
  </si>
  <si>
    <t>هیراد قاسمی نژاد</t>
  </si>
  <si>
    <t>هیراد</t>
  </si>
  <si>
    <t>مرتضی رستگار</t>
  </si>
  <si>
    <t>9121501411</t>
  </si>
  <si>
    <t>Rastegarmorteza40@yahoo.com</t>
  </si>
  <si>
    <t>مرتضی</t>
  </si>
  <si>
    <t>رستگار</t>
  </si>
  <si>
    <t>فاطمه فتاحی</t>
  </si>
  <si>
    <t>9129464843</t>
  </si>
  <si>
    <t>f.fattahi@alibaba.ir</t>
  </si>
  <si>
    <t>2050081723</t>
  </si>
  <si>
    <t>فتاحی</t>
  </si>
  <si>
    <t>حمیدرضا حر</t>
  </si>
  <si>
    <t>9367704992</t>
  </si>
  <si>
    <t>Horhamidreza@gmail.com</t>
  </si>
  <si>
    <t>21386331</t>
  </si>
  <si>
    <t>حر</t>
  </si>
  <si>
    <t>9127146258</t>
  </si>
  <si>
    <t>یاسر فاضلی فرسانی</t>
  </si>
  <si>
    <t>9125905693</t>
  </si>
  <si>
    <t>y.fazeli@alibaba.ir</t>
  </si>
  <si>
    <t>4670104888</t>
  </si>
  <si>
    <t>فاضلی فرسانی</t>
  </si>
  <si>
    <t>shafiei.saeed@gmail.com</t>
  </si>
  <si>
    <t>لیلا برنگی</t>
  </si>
  <si>
    <t>9126335887</t>
  </si>
  <si>
    <t>leilabarangi@gmail.com</t>
  </si>
  <si>
    <t>322562732</t>
  </si>
  <si>
    <t>برنگی</t>
  </si>
  <si>
    <t>نیکا شفیعی سرارودی</t>
  </si>
  <si>
    <t>نیکا</t>
  </si>
  <si>
    <t>نیکی شفیعی سرارودی</t>
  </si>
  <si>
    <t>نیکی</t>
  </si>
  <si>
    <t>مهدی خدادادی</t>
  </si>
  <si>
    <t>9126861091</t>
  </si>
  <si>
    <t>tanzmahdi@gmail.com</t>
  </si>
  <si>
    <t>خدادادی</t>
  </si>
  <si>
    <t>نگین اسكندری</t>
  </si>
  <si>
    <t>9141594478</t>
  </si>
  <si>
    <t>Neginskandary@yahoo.com</t>
  </si>
  <si>
    <t>1450676006</t>
  </si>
  <si>
    <t>اسكندری</t>
  </si>
  <si>
    <t>هادی شجری</t>
  </si>
  <si>
    <t>9127646953</t>
  </si>
  <si>
    <t>kntu11811@gmail.com</t>
  </si>
  <si>
    <t>۰۴۸۰۱۹۰۷۹۸</t>
  </si>
  <si>
    <t>هادی</t>
  </si>
  <si>
    <t>شجری</t>
  </si>
  <si>
    <t>نفیسه خیراندیش</t>
  </si>
  <si>
    <t>9124582691</t>
  </si>
  <si>
    <t>n.kheirandish68@gmail.com</t>
  </si>
  <si>
    <t>4900020885</t>
  </si>
  <si>
    <t>خیراندیش</t>
  </si>
  <si>
    <t>مربی مهد</t>
  </si>
  <si>
    <t>مربی</t>
  </si>
  <si>
    <t>مهد</t>
  </si>
  <si>
    <t>فاطمه حیدر</t>
  </si>
  <si>
    <t>9122102955</t>
  </si>
  <si>
    <t>fatemehheidar@gmail.com</t>
  </si>
  <si>
    <t>حیدر</t>
  </si>
  <si>
    <t>فواد قمرزاد</t>
  </si>
  <si>
    <t>9121473921</t>
  </si>
  <si>
    <t>fghamarzad@yahoo.com</t>
  </si>
  <si>
    <t>فواد</t>
  </si>
  <si>
    <t>قمرزاد</t>
  </si>
  <si>
    <t>سروش قمرزاد</t>
  </si>
  <si>
    <t>سروش</t>
  </si>
  <si>
    <t>بیتا قمرزاد</t>
  </si>
  <si>
    <t>بیتا</t>
  </si>
  <si>
    <t>علیرضا عظیمی</t>
  </si>
  <si>
    <t>9126101060</t>
  </si>
  <si>
    <t>Azimi.ir@gmail.com</t>
  </si>
  <si>
    <t>عظیمی</t>
  </si>
  <si>
    <t>مهدی مستوری</t>
  </si>
  <si>
    <t>9126351076</t>
  </si>
  <si>
    <t>mahdi.mastoori@yahoo.com</t>
  </si>
  <si>
    <t>مستوری</t>
  </si>
  <si>
    <t>لیلا اسدپور</t>
  </si>
  <si>
    <t>اسدپور</t>
  </si>
  <si>
    <t>مهدیار مستوری</t>
  </si>
  <si>
    <t>مهدیار</t>
  </si>
  <si>
    <t>محسن عبدالهی پور</t>
  </si>
  <si>
    <t>9354200350</t>
  </si>
  <si>
    <t>abdolahiimohsen74@gmail.com</t>
  </si>
  <si>
    <t>371210984</t>
  </si>
  <si>
    <t>عبدالهی پور</t>
  </si>
  <si>
    <t>بهاره حاتمی</t>
  </si>
  <si>
    <t>9122613400</t>
  </si>
  <si>
    <t>bahare.hatamy@gmail.com</t>
  </si>
  <si>
    <t>67910300</t>
  </si>
  <si>
    <t>اصغر مزارعی</t>
  </si>
  <si>
    <t>9122834309</t>
  </si>
  <si>
    <t>dr.mazarei@gmail.com</t>
  </si>
  <si>
    <t>مزارعی</t>
  </si>
  <si>
    <t>صدرا مزارعی</t>
  </si>
  <si>
    <t>صدرا</t>
  </si>
  <si>
    <t>hafseh@Hellopersia.com</t>
  </si>
  <si>
    <t>هانی امام جمعه</t>
  </si>
  <si>
    <t>79297226</t>
  </si>
  <si>
    <t>هانی</t>
  </si>
  <si>
    <t>فرزند هانی امام جمعه</t>
  </si>
  <si>
    <t>فرزند</t>
  </si>
  <si>
    <t>سیامک ملکی</t>
  </si>
  <si>
    <t>9121168744</t>
  </si>
  <si>
    <t>Malekisia@yahoo.com</t>
  </si>
  <si>
    <t>67268722</t>
  </si>
  <si>
    <t>سیامک</t>
  </si>
  <si>
    <t>ملکی</t>
  </si>
  <si>
    <t>احسان افشاری</t>
  </si>
  <si>
    <t>9124943107</t>
  </si>
  <si>
    <t>ehsan_metal@aut.ac.ir</t>
  </si>
  <si>
    <t>۰۰۷۸۴۵۹۰۰۱</t>
  </si>
  <si>
    <t>افشاری</t>
  </si>
  <si>
    <t>یوسف رجبی</t>
  </si>
  <si>
    <t>9122659154</t>
  </si>
  <si>
    <t>manager.electromarket@gmail.com</t>
  </si>
  <si>
    <t>داود ایمانی</t>
  </si>
  <si>
    <t>9122211132</t>
  </si>
  <si>
    <t>Rimanism@gmail.com</t>
  </si>
  <si>
    <t>491491336</t>
  </si>
  <si>
    <t>داود</t>
  </si>
  <si>
    <t>ایمانی</t>
  </si>
  <si>
    <t>محسن میرزاده</t>
  </si>
  <si>
    <t>9122333878</t>
  </si>
  <si>
    <t>m.mirzade@yahoo.com</t>
  </si>
  <si>
    <t>۰۰۶۴۶۱۵۹۵۲</t>
  </si>
  <si>
    <t>میرزاده</t>
  </si>
  <si>
    <t>امیر نورالدین</t>
  </si>
  <si>
    <t>9351527313</t>
  </si>
  <si>
    <t>A.Noureddini@Alibaba.ir</t>
  </si>
  <si>
    <t>13860135</t>
  </si>
  <si>
    <t>نورالدین</t>
  </si>
  <si>
    <t>بهنام کبیری</t>
  </si>
  <si>
    <t>9199928832</t>
  </si>
  <si>
    <t>B.Kabiri@Jabama.ir</t>
  </si>
  <si>
    <t>1130041883</t>
  </si>
  <si>
    <t>بهروز نظری</t>
  </si>
  <si>
    <t>9121385290</t>
  </si>
  <si>
    <t>Behrouz.nazari@yahoo.com</t>
  </si>
  <si>
    <t>78401151</t>
  </si>
  <si>
    <t>حامد آسترکی</t>
  </si>
  <si>
    <t>9365245121</t>
  </si>
  <si>
    <t>ha.astaraki@yahoo.com</t>
  </si>
  <si>
    <t>4219869956</t>
  </si>
  <si>
    <t>آسترکی</t>
  </si>
  <si>
    <t>ارسطو جلالی</t>
  </si>
  <si>
    <t>9122967627</t>
  </si>
  <si>
    <t>Ar.Jalali@Jabama.ir</t>
  </si>
  <si>
    <t>2281114211</t>
  </si>
  <si>
    <t>ارسطو</t>
  </si>
  <si>
    <t>جلالی</t>
  </si>
  <si>
    <t>مریم نامغ</t>
  </si>
  <si>
    <t>9126158197</t>
  </si>
  <si>
    <t>m.namegh@gmail.com</t>
  </si>
  <si>
    <t>نامغ</t>
  </si>
  <si>
    <t>یاسمین کنعانی</t>
  </si>
  <si>
    <t>9122089386</t>
  </si>
  <si>
    <t>yasamin.kanaani14@gmail.com</t>
  </si>
  <si>
    <t>یاسمین</t>
  </si>
  <si>
    <t>کنعانی</t>
  </si>
  <si>
    <t>فرزاد سلطان آبادی</t>
  </si>
  <si>
    <t>9125936532</t>
  </si>
  <si>
    <t>farzad8160@gmail.com</t>
  </si>
  <si>
    <t>3309838781</t>
  </si>
  <si>
    <t>فریده صمدی</t>
  </si>
  <si>
    <t>9128844083</t>
  </si>
  <si>
    <t>f.samadi@alibaba.ir</t>
  </si>
  <si>
    <t>11914327</t>
  </si>
  <si>
    <t>فریده</t>
  </si>
  <si>
    <t>صمدی</t>
  </si>
  <si>
    <t>الهام سنبلی</t>
  </si>
  <si>
    <t>9125330742</t>
  </si>
  <si>
    <t>elham.sonboli1985@gmail.com</t>
  </si>
  <si>
    <t>2755495601</t>
  </si>
  <si>
    <t>سنبلی</t>
  </si>
  <si>
    <t>نرگس ذوالقدری</t>
  </si>
  <si>
    <t>9355578192</t>
  </si>
  <si>
    <t>N.Zolghadri@Alibaba.ir</t>
  </si>
  <si>
    <t>12383295</t>
  </si>
  <si>
    <t>ذوالقدری</t>
  </si>
  <si>
    <t>احسان اسماعیلی</t>
  </si>
  <si>
    <t>9122723063</t>
  </si>
  <si>
    <t>esmaili@hushmail.com</t>
  </si>
  <si>
    <t>60440988</t>
  </si>
  <si>
    <t>اسماعیلی</t>
  </si>
  <si>
    <t>المیرا رسول امینی</t>
  </si>
  <si>
    <t>9125141965</t>
  </si>
  <si>
    <t>E.Amini@Alibaba.ir</t>
  </si>
  <si>
    <t>81149980</t>
  </si>
  <si>
    <t>المیرا</t>
  </si>
  <si>
    <t>رسول امینی</t>
  </si>
  <si>
    <t>میعاد توکلی</t>
  </si>
  <si>
    <t>Miadbarcai@gmail.com</t>
  </si>
  <si>
    <t>11906537</t>
  </si>
  <si>
    <t>میعاد</t>
  </si>
  <si>
    <t>شروین شمس</t>
  </si>
  <si>
    <t>sh_shams@yahoo.com</t>
  </si>
  <si>
    <t>69133621</t>
  </si>
  <si>
    <t>شروین</t>
  </si>
  <si>
    <t>شمس</t>
  </si>
  <si>
    <t>منصوره محمدیان</t>
  </si>
  <si>
    <t>9125575325</t>
  </si>
  <si>
    <t>68919808</t>
  </si>
  <si>
    <t>منصوره</t>
  </si>
  <si>
    <t>محمدیان</t>
  </si>
  <si>
    <t>نیکا شمس</t>
  </si>
  <si>
    <t>دیبا شمس</t>
  </si>
  <si>
    <t>نگار خلج</t>
  </si>
  <si>
    <t>9121857390</t>
  </si>
  <si>
    <t>n.khalaj@Alibaba.ir</t>
  </si>
  <si>
    <t>62310951</t>
  </si>
  <si>
    <t>نگار</t>
  </si>
  <si>
    <t>خلج</t>
  </si>
  <si>
    <t>شبنم مرتضوی</t>
  </si>
  <si>
    <t>Mortazavishabnam8@gmail.com</t>
  </si>
  <si>
    <t>۴۴۲۰۵۵۲۶۹۷</t>
  </si>
  <si>
    <t>شبنم</t>
  </si>
  <si>
    <t>مرتضوی</t>
  </si>
  <si>
    <t>علی منصور</t>
  </si>
  <si>
    <t>9126482972</t>
  </si>
  <si>
    <t>a.mansour@alibaba.ir</t>
  </si>
  <si>
    <t>ماریا دیاری علمداری</t>
  </si>
  <si>
    <t>9124301448</t>
  </si>
  <si>
    <t>mariahalamdari@gmail.com</t>
  </si>
  <si>
    <t>1370919328</t>
  </si>
  <si>
    <t>ماریا</t>
  </si>
  <si>
    <t>دیاری علمداری</t>
  </si>
  <si>
    <t>شهرام مظفری اناری</t>
  </si>
  <si>
    <t>9125041990</t>
  </si>
  <si>
    <t>sh_mozaffari@yahoo.com</t>
  </si>
  <si>
    <t>2992607193</t>
  </si>
  <si>
    <t>شهرام</t>
  </si>
  <si>
    <t>مظفری اناری</t>
  </si>
  <si>
    <t>کاوه گودرزی</t>
  </si>
  <si>
    <t>9123816727</t>
  </si>
  <si>
    <t>kaveh.goudarz@gmail.com</t>
  </si>
  <si>
    <t>۰۰۱۵۸۵۳۵۳۵</t>
  </si>
  <si>
    <t>کاوه</t>
  </si>
  <si>
    <t>مازیار معانی</t>
  </si>
  <si>
    <t>9123241798</t>
  </si>
  <si>
    <t>mazmaani@yahoo.com</t>
  </si>
  <si>
    <t>47768541</t>
  </si>
  <si>
    <t>مازیار</t>
  </si>
  <si>
    <t>معانی</t>
  </si>
  <si>
    <t>سید همام الدین جوادزاده</t>
  </si>
  <si>
    <t>9130216071</t>
  </si>
  <si>
    <t>homamjavadzade@gmail.com</t>
  </si>
  <si>
    <t>682462977</t>
  </si>
  <si>
    <t>سید همام الدین</t>
  </si>
  <si>
    <t>جوادزاده</t>
  </si>
  <si>
    <t>علی اقدم</t>
  </si>
  <si>
    <t>9121155875</t>
  </si>
  <si>
    <t>info@betterstudio.com</t>
  </si>
  <si>
    <t>اقدم</t>
  </si>
  <si>
    <t>9193900036</t>
  </si>
  <si>
    <t>نازنین نجفی</t>
  </si>
  <si>
    <t>9912378478</t>
  </si>
  <si>
    <t>Nazaninnajafi74@yahoo.com</t>
  </si>
  <si>
    <t>430098375</t>
  </si>
  <si>
    <t>سعید حدادی</t>
  </si>
  <si>
    <t>9122071294</t>
  </si>
  <si>
    <t>Hadadisaeed@yahoo.com</t>
  </si>
  <si>
    <t>آتنا غلامی فارسی</t>
  </si>
  <si>
    <t>9126274623</t>
  </si>
  <si>
    <t>freemind.ma@gmail.com</t>
  </si>
  <si>
    <t>77505484</t>
  </si>
  <si>
    <t>آتنا</t>
  </si>
  <si>
    <t>غلامی فارسی</t>
  </si>
  <si>
    <t>محمد جعفری</t>
  </si>
  <si>
    <t>9126931988</t>
  </si>
  <si>
    <t>mohammadojafri.1990@gmail.com</t>
  </si>
  <si>
    <t>2380120021</t>
  </si>
  <si>
    <t>جعفری</t>
  </si>
  <si>
    <t>محمد ملکشاهی</t>
  </si>
  <si>
    <t>9131798395</t>
  </si>
  <si>
    <t>Mo.malekshahi@gmail.com</t>
  </si>
  <si>
    <t>ملکشاهی</t>
  </si>
  <si>
    <t>رعنا نظیفی</t>
  </si>
  <si>
    <t>رعنا</t>
  </si>
  <si>
    <t>نظیفی</t>
  </si>
  <si>
    <t>سید علی هاشمی فشارکی</t>
  </si>
  <si>
    <t>9125983840</t>
  </si>
  <si>
    <t>Sahashemif@yahoo.com</t>
  </si>
  <si>
    <t>70103161</t>
  </si>
  <si>
    <t>سید علی</t>
  </si>
  <si>
    <t>هاشمی فشارکی</t>
  </si>
  <si>
    <t>مسیح مقدم</t>
  </si>
  <si>
    <t>9123206425</t>
  </si>
  <si>
    <t>masih32@gmail.com</t>
  </si>
  <si>
    <t>مسیح</t>
  </si>
  <si>
    <t>مقدم</t>
  </si>
  <si>
    <t>مصطفی حصامی</t>
  </si>
  <si>
    <t>mostafa_hessami@hotmail.com</t>
  </si>
  <si>
    <t>حصامی</t>
  </si>
  <si>
    <t>سحر المعی</t>
  </si>
  <si>
    <t>9361549229</t>
  </si>
  <si>
    <t>Saharalmaei1368@gmail.com</t>
  </si>
  <si>
    <t>المعی</t>
  </si>
  <si>
    <t>ناصر صفری نیا</t>
  </si>
  <si>
    <t>9193350810</t>
  </si>
  <si>
    <t>nassersafari@gmail.com</t>
  </si>
  <si>
    <t>77609093</t>
  </si>
  <si>
    <t>ناصر</t>
  </si>
  <si>
    <t>صفری نیا</t>
  </si>
  <si>
    <t>فاطمه منصوری</t>
  </si>
  <si>
    <t>منصوری</t>
  </si>
  <si>
    <t>طهورا صفری نیا</t>
  </si>
  <si>
    <t>طهورا</t>
  </si>
  <si>
    <t>نورا صفری نیا</t>
  </si>
  <si>
    <t>نورا</t>
  </si>
  <si>
    <t>مریم نظری</t>
  </si>
  <si>
    <t>9198942822</t>
  </si>
  <si>
    <t>maryammnazarii@gmail.com</t>
  </si>
  <si>
    <t>76433935</t>
  </si>
  <si>
    <t>محمد اژدری</t>
  </si>
  <si>
    <t>9124351938</t>
  </si>
  <si>
    <t>m.azhdari@Alibaba.ir</t>
  </si>
  <si>
    <t>اژدری</t>
  </si>
  <si>
    <t>پریا قاسمی</t>
  </si>
  <si>
    <t>9195300603</t>
  </si>
  <si>
    <t>paria.ghasemi@gmail.com</t>
  </si>
  <si>
    <t>10667105</t>
  </si>
  <si>
    <t>پریا</t>
  </si>
  <si>
    <t>قاسمی</t>
  </si>
  <si>
    <t>نسرین معین</t>
  </si>
  <si>
    <t>9125228467</t>
  </si>
  <si>
    <t>nm.moeen@gmail.com</t>
  </si>
  <si>
    <t>72232552</t>
  </si>
  <si>
    <t>معین</t>
  </si>
  <si>
    <t>محمد سبحانی</t>
  </si>
  <si>
    <t>سبحانی</t>
  </si>
  <si>
    <t>محمد شعبانی</t>
  </si>
  <si>
    <t>9121576410</t>
  </si>
  <si>
    <t>Mshabani14187@gmail.com</t>
  </si>
  <si>
    <t>۰۰۶۳۳۱۰۱۱۲</t>
  </si>
  <si>
    <t>شعبانی</t>
  </si>
  <si>
    <t>رضا آزاد</t>
  </si>
  <si>
    <t>9120212441</t>
  </si>
  <si>
    <t>azad.photograph@gmail.com</t>
  </si>
  <si>
    <t>1292362812</t>
  </si>
  <si>
    <t>آزاد</t>
  </si>
  <si>
    <t>ندا خفری</t>
  </si>
  <si>
    <t>9125873623</t>
  </si>
  <si>
    <t>neda.khafri@gmail.com</t>
  </si>
  <si>
    <t>1239946139</t>
  </si>
  <si>
    <t>خفری</t>
  </si>
  <si>
    <t>الهه مهریان</t>
  </si>
  <si>
    <t>9122263600</t>
  </si>
  <si>
    <t>elahe.mehrian@gmail.com</t>
  </si>
  <si>
    <t>مهریان</t>
  </si>
  <si>
    <t>نیلوفر زینعلی</t>
  </si>
  <si>
    <t>9125141952</t>
  </si>
  <si>
    <t>Zeinali.niloofar@gmail.com</t>
  </si>
  <si>
    <t>زینعلی</t>
  </si>
  <si>
    <t>روشنک خبازی</t>
  </si>
  <si>
    <t>9122986445</t>
  </si>
  <si>
    <t>roshanak.khabazi59@gmail.com</t>
  </si>
  <si>
    <t>۰۰۶۲۰۹۹۴۷۷</t>
  </si>
  <si>
    <t>روشنک</t>
  </si>
  <si>
    <t>خبازی</t>
  </si>
  <si>
    <t>پرنیان السادات صفاپور</t>
  </si>
  <si>
    <t>9191147416</t>
  </si>
  <si>
    <t>safapour.p@gmail.com</t>
  </si>
  <si>
    <t>پرنیان السادات</t>
  </si>
  <si>
    <t>صفاپور</t>
  </si>
  <si>
    <t>فرزانه هراتی</t>
  </si>
  <si>
    <t>9122498488</t>
  </si>
  <si>
    <t>haratifarzane@yahoo.com</t>
  </si>
  <si>
    <t>3621947973</t>
  </si>
  <si>
    <t>فرزانه</t>
  </si>
  <si>
    <t>هراتی</t>
  </si>
  <si>
    <t>آرش کرمی</t>
  </si>
  <si>
    <t>9124992941</t>
  </si>
  <si>
    <t>arashkarami88@gmail.com</t>
  </si>
  <si>
    <t>534976085</t>
  </si>
  <si>
    <t>کرمی</t>
  </si>
  <si>
    <t>9177516316</t>
  </si>
  <si>
    <t>mohammadi_f36@yahoo.com</t>
  </si>
  <si>
    <t>مهدیه نانکلی</t>
  </si>
  <si>
    <t>9372733220</t>
  </si>
  <si>
    <t>mahdie.nankali@gmail.com</t>
  </si>
  <si>
    <t>78801613</t>
  </si>
  <si>
    <t>مهدیه</t>
  </si>
  <si>
    <t>نانکلی</t>
  </si>
  <si>
    <t>شبنم فاروقی</t>
  </si>
  <si>
    <t>9369625520</t>
  </si>
  <si>
    <t>karina.girlshabnam@yahoo.com</t>
  </si>
  <si>
    <t>فاروقی</t>
  </si>
  <si>
    <t>حمید آهنگری</t>
  </si>
  <si>
    <t>9122830456</t>
  </si>
  <si>
    <t>hamidahangari70@yahoo.com</t>
  </si>
  <si>
    <t>آهنگری</t>
  </si>
  <si>
    <t>حسن زارعی</t>
  </si>
  <si>
    <t>9121785020</t>
  </si>
  <si>
    <t>H.Zarei@Alibaba.ir</t>
  </si>
  <si>
    <t>6169573351</t>
  </si>
  <si>
    <t>زینب رحیمی شلمانی</t>
  </si>
  <si>
    <t>9111352374</t>
  </si>
  <si>
    <t>۲۵۹۴۵۸۰۰۸۲</t>
  </si>
  <si>
    <t>رحیمی شلمانی</t>
  </si>
  <si>
    <t>majidmanochehri@gmail.com</t>
  </si>
  <si>
    <t>Leila.vazhir@gmail.com</t>
  </si>
  <si>
    <t>hooshmand.meysam@gmail.com</t>
  </si>
  <si>
    <t>123123</t>
  </si>
  <si>
    <t>محمد دل آرام</t>
  </si>
  <si>
    <t>9022468490</t>
  </si>
  <si>
    <t>delaram1404@gmail.com</t>
  </si>
  <si>
    <t>۰۰۱۰۷۹۶۷۶۲</t>
  </si>
  <si>
    <t>دل آرام</t>
  </si>
  <si>
    <t>حامد سلیمانی</t>
  </si>
  <si>
    <t>9125063572</t>
  </si>
  <si>
    <t>mr.soleymani@gmail.com</t>
  </si>
  <si>
    <t>فریدون ایزدی</t>
  </si>
  <si>
    <t>9113726846</t>
  </si>
  <si>
    <t>fereydoon.izady@gmail.com</t>
  </si>
  <si>
    <t>فریدون</t>
  </si>
  <si>
    <t>ایزدی</t>
  </si>
  <si>
    <t>امیر اخوت</t>
  </si>
  <si>
    <t>9122064560</t>
  </si>
  <si>
    <t>okhovat.amir@gmail.com</t>
  </si>
  <si>
    <t>81802323</t>
  </si>
  <si>
    <t>اخوت</t>
  </si>
  <si>
    <t>ارشاد بحرانی</t>
  </si>
  <si>
    <t>9127249525</t>
  </si>
  <si>
    <t>ershad.e.bh@gmail.com</t>
  </si>
  <si>
    <t>10430741</t>
  </si>
  <si>
    <t>ارشاد</t>
  </si>
  <si>
    <t>بحرانی</t>
  </si>
  <si>
    <t>3241490386</t>
  </si>
  <si>
    <t>رضا ذوالفقاری</t>
  </si>
  <si>
    <t>9122217484</t>
  </si>
  <si>
    <t>r.zolfaghari@tourictravel.ir</t>
  </si>
  <si>
    <t>مهفام حسنی</t>
  </si>
  <si>
    <t>9121425430</t>
  </si>
  <si>
    <t>M.hasani@tourictrave.ir</t>
  </si>
  <si>
    <t>مهفام</t>
  </si>
  <si>
    <t>مریم فتح الله</t>
  </si>
  <si>
    <t>9124248013</t>
  </si>
  <si>
    <t>Maryam.fatolah@gmail.com</t>
  </si>
  <si>
    <t>13309064</t>
  </si>
  <si>
    <t>فتح الله</t>
  </si>
  <si>
    <t>پارسا جانباز</t>
  </si>
  <si>
    <t>9121780521</t>
  </si>
  <si>
    <t>p.janbaz@alibaba.ir</t>
  </si>
  <si>
    <t>79216064</t>
  </si>
  <si>
    <t>پارسا</t>
  </si>
  <si>
    <t>جانباز</t>
  </si>
  <si>
    <t>بهروز باجغلی</t>
  </si>
  <si>
    <t>9138009498</t>
  </si>
  <si>
    <t>behrouzbajoghli@gmail.com</t>
  </si>
  <si>
    <t>باجغلی</t>
  </si>
  <si>
    <t>امیر مهدی قاسمی</t>
  </si>
  <si>
    <t>9356771677</t>
  </si>
  <si>
    <t>ammaghsa@gmail.com</t>
  </si>
  <si>
    <t>امیر مهدی</t>
  </si>
  <si>
    <t>حامد غضنفری</t>
  </si>
  <si>
    <t>9128128172</t>
  </si>
  <si>
    <t>hmd.ghazanfari@gmail.com</t>
  </si>
  <si>
    <t>81338147</t>
  </si>
  <si>
    <t>غضنفری</t>
  </si>
  <si>
    <t>هامون حقیقی فرد</t>
  </si>
  <si>
    <t>9125361405</t>
  </si>
  <si>
    <t>Hamoon.haghighi@gmail.com</t>
  </si>
  <si>
    <t>حسین ساداتی‌پور</t>
  </si>
  <si>
    <t>9120436325</t>
  </si>
  <si>
    <t>h.sadatipour@alibaba.ir</t>
  </si>
  <si>
    <t>21843961</t>
  </si>
  <si>
    <t>ساداتی‌پور</t>
  </si>
  <si>
    <t>اکبر غریب‌نواز</t>
  </si>
  <si>
    <t>9123865703</t>
  </si>
  <si>
    <t>a_gharibnavaz@yahoo.com</t>
  </si>
  <si>
    <t>غریب‌نواز</t>
  </si>
  <si>
    <t>محمد بیات</t>
  </si>
  <si>
    <t>9196797540</t>
  </si>
  <si>
    <t>ok.bayat@gmail.com</t>
  </si>
  <si>
    <t>هستی قایم‌آبادی</t>
  </si>
  <si>
    <t>9191268204</t>
  </si>
  <si>
    <t>h.ghaemabadi@alibaba.ir</t>
  </si>
  <si>
    <t>533003601</t>
  </si>
  <si>
    <t>هستی</t>
  </si>
  <si>
    <t>قایم‌آبادی</t>
  </si>
  <si>
    <t>e.arasteh@alibaba.ir</t>
  </si>
  <si>
    <t>ماهان زهرایی</t>
  </si>
  <si>
    <t>m.zahraei@alibaba.ir</t>
  </si>
  <si>
    <t>صفا وحیدافشار</t>
  </si>
  <si>
    <t>safa.vahidafshar5001@gmail.com</t>
  </si>
  <si>
    <t>صفا</t>
  </si>
  <si>
    <t>وحیدافشار</t>
  </si>
  <si>
    <t>حسین حسینیان</t>
  </si>
  <si>
    <t>9355960670</t>
  </si>
  <si>
    <t>h.hosseinian@Alibaba.ir</t>
  </si>
  <si>
    <t>یلدا بیانی</t>
  </si>
  <si>
    <t>9122095894</t>
  </si>
  <si>
    <t>y.bayani@Alibaba.ir</t>
  </si>
  <si>
    <t>68317840</t>
  </si>
  <si>
    <t>یلدا</t>
  </si>
  <si>
    <t>بیانی</t>
  </si>
  <si>
    <t>محمدرضا وحدتی</t>
  </si>
  <si>
    <t>mohammadreza_3348@yahoo.com</t>
  </si>
  <si>
    <t>55362672</t>
  </si>
  <si>
    <t>وحدتی</t>
  </si>
  <si>
    <t>رکسانا قره خانی</t>
  </si>
  <si>
    <t>رکسانا</t>
  </si>
  <si>
    <t>قره خانی</t>
  </si>
  <si>
    <t>مسعود واحدی</t>
  </si>
  <si>
    <t>واحدی</t>
  </si>
  <si>
    <t>مهسا قمری ادیان</t>
  </si>
  <si>
    <t>قمری ادیان</t>
  </si>
  <si>
    <t>علی نورایی</t>
  </si>
  <si>
    <t>9186854616</t>
  </si>
  <si>
    <t>noraee.ali@gmail.com</t>
  </si>
  <si>
    <t>نورایی</t>
  </si>
  <si>
    <t>سینا رضایی</t>
  </si>
  <si>
    <t>9122909211</t>
  </si>
  <si>
    <t>Rezaeisn@yahoo.com</t>
  </si>
  <si>
    <t>رضایی</t>
  </si>
  <si>
    <t>عباس بهادری پور</t>
  </si>
  <si>
    <t>9391246785</t>
  </si>
  <si>
    <t>abbasbahadoria@gmail.com</t>
  </si>
  <si>
    <t>عباس</t>
  </si>
  <si>
    <t>بهادری پور</t>
  </si>
  <si>
    <t>مرتضی پرنده</t>
  </si>
  <si>
    <t>9120330544</t>
  </si>
  <si>
    <t>MORTEZAPARANDEH1@GMAIL.COM</t>
  </si>
  <si>
    <t>پرنده</t>
  </si>
  <si>
    <t>حمیدرضا حق‌شناس</t>
  </si>
  <si>
    <t>حق‌شناس</t>
  </si>
  <si>
    <t>9354886450</t>
  </si>
  <si>
    <t>e.mousavi@Alibaba.ir</t>
  </si>
  <si>
    <t>79188631</t>
  </si>
  <si>
    <t>440542650</t>
  </si>
  <si>
    <t>مریم خدمتیان</t>
  </si>
  <si>
    <t>9127388204</t>
  </si>
  <si>
    <t>Maryam.khedmatian@gmail.com</t>
  </si>
  <si>
    <t>2064750878</t>
  </si>
  <si>
    <t>خدمتیان</t>
  </si>
  <si>
    <t>مهدی كیامهر</t>
  </si>
  <si>
    <t>9123173347</t>
  </si>
  <si>
    <t>m.kiamehr@gmail.com</t>
  </si>
  <si>
    <t>4431810722</t>
  </si>
  <si>
    <t>كیامهر</t>
  </si>
  <si>
    <t>ایوب دولتخواه</t>
  </si>
  <si>
    <t>9118784667</t>
  </si>
  <si>
    <t>miraldolati@gmail.com</t>
  </si>
  <si>
    <t>2032327570</t>
  </si>
  <si>
    <t>ایوب</t>
  </si>
  <si>
    <t>دولتخواه</t>
  </si>
  <si>
    <t>سید محمد حسین میزبان</t>
  </si>
  <si>
    <t>9128027859</t>
  </si>
  <si>
    <t>mhossein.mizban@gmail.com</t>
  </si>
  <si>
    <t>12827819</t>
  </si>
  <si>
    <t>میزبان</t>
  </si>
  <si>
    <t>محمدرضا حمیدی نژاد</t>
  </si>
  <si>
    <t>9360487799</t>
  </si>
  <si>
    <t>hamidinejad@gmail.com</t>
  </si>
  <si>
    <t>534787606</t>
  </si>
  <si>
    <t>حمیدی نژاد</t>
  </si>
  <si>
    <t>پرهام قبادی</t>
  </si>
  <si>
    <t>9122250704</t>
  </si>
  <si>
    <t>parhamghobadi0@gmail.com</t>
  </si>
  <si>
    <t>79018564</t>
  </si>
  <si>
    <t>پرهام</t>
  </si>
  <si>
    <t>قبادی</t>
  </si>
  <si>
    <t>علی رودگر</t>
  </si>
  <si>
    <t>9121018151</t>
  </si>
  <si>
    <t>roodgar@yahoo.com</t>
  </si>
  <si>
    <t>57057044</t>
  </si>
  <si>
    <t>رودگر</t>
  </si>
  <si>
    <t>فاطمه نوحی تهرانی</t>
  </si>
  <si>
    <t>9123265287</t>
  </si>
  <si>
    <t>elaheh.hashempour@gmail.com</t>
  </si>
  <si>
    <t>37041234</t>
  </si>
  <si>
    <t>نوحی تهرانی</t>
  </si>
  <si>
    <t>سارا چرتابیان</t>
  </si>
  <si>
    <t>9123836460</t>
  </si>
  <si>
    <t>sara.chartabian@gmail.com</t>
  </si>
  <si>
    <t>76735540</t>
  </si>
  <si>
    <t>چرتابیان</t>
  </si>
  <si>
    <t>ابوالفضل سلمانی</t>
  </si>
  <si>
    <t>9204712421</t>
  </si>
  <si>
    <t>engineertwo13@gmail.com</t>
  </si>
  <si>
    <t>4570089232</t>
  </si>
  <si>
    <t>سلمانی</t>
  </si>
  <si>
    <t>حمیدرضا فتحی</t>
  </si>
  <si>
    <t>9354575485</t>
  </si>
  <si>
    <t>hfathi76@yahoo.com</t>
  </si>
  <si>
    <t>19835124</t>
  </si>
  <si>
    <t>محمودرضا فتحی</t>
  </si>
  <si>
    <t>9126804620</t>
  </si>
  <si>
    <t>hmr.fathi@gmail.com</t>
  </si>
  <si>
    <t>4449409787</t>
  </si>
  <si>
    <t>محمودرضا</t>
  </si>
  <si>
    <t>ناهید ثقفی</t>
  </si>
  <si>
    <t>9127245851</t>
  </si>
  <si>
    <t>nahid.saghafi@gmail.com</t>
  </si>
  <si>
    <t>39439151</t>
  </si>
  <si>
    <t>ناهید</t>
  </si>
  <si>
    <t>ثقفی</t>
  </si>
  <si>
    <t>حسن محمودی</t>
  </si>
  <si>
    <t>9123057342</t>
  </si>
  <si>
    <t>mahmoodihassan94@gmail.com</t>
  </si>
  <si>
    <t>6269926270</t>
  </si>
  <si>
    <t>عبداللطیف باش قره</t>
  </si>
  <si>
    <t>9193255089</t>
  </si>
  <si>
    <t>4979827551</t>
  </si>
  <si>
    <t>عبداللطیف</t>
  </si>
  <si>
    <t>زهرا قاسمی</t>
  </si>
  <si>
    <t>9122878675</t>
  </si>
  <si>
    <t>mehrbina@yahoo.com</t>
  </si>
  <si>
    <t>57660174</t>
  </si>
  <si>
    <t>رضا حبیبی خویی</t>
  </si>
  <si>
    <t>9123377205</t>
  </si>
  <si>
    <t>Reza_Habibi_PH@yahoo.com</t>
  </si>
  <si>
    <t>65331362</t>
  </si>
  <si>
    <t>حبیبی خویی</t>
  </si>
  <si>
    <t>حسین پورباقری</t>
  </si>
  <si>
    <t>9125356858</t>
  </si>
  <si>
    <t>Bgrtradingco@gmail.com</t>
  </si>
  <si>
    <t>61337048</t>
  </si>
  <si>
    <t>پورباقری</t>
  </si>
  <si>
    <t>امین عباسپور</t>
  </si>
  <si>
    <t>9122979138</t>
  </si>
  <si>
    <t>amin.abaspur@gmail.com</t>
  </si>
  <si>
    <t>78618762</t>
  </si>
  <si>
    <t>عباسپور</t>
  </si>
  <si>
    <t>علی رضا رحمت الله</t>
  </si>
  <si>
    <t>9121522585</t>
  </si>
  <si>
    <t>alirezarahmatalah@gmail.com</t>
  </si>
  <si>
    <t>385964056</t>
  </si>
  <si>
    <t>علی رضا</t>
  </si>
  <si>
    <t>رحمت الله</t>
  </si>
  <si>
    <t>سید مهدی تقوی</t>
  </si>
  <si>
    <t>9126819077</t>
  </si>
  <si>
    <t>mahdinba24@yahoo.com</t>
  </si>
  <si>
    <t>4311161271</t>
  </si>
  <si>
    <t>تقوی</t>
  </si>
  <si>
    <t>امیرعلی علیئی</t>
  </si>
  <si>
    <t>9126342125</t>
  </si>
  <si>
    <t>amirali.aliee@gmail.com</t>
  </si>
  <si>
    <t>21345465</t>
  </si>
  <si>
    <t>علیئی</t>
  </si>
  <si>
    <t>9122587828</t>
  </si>
  <si>
    <t>alirezasohrabi@rocketmail.com</t>
  </si>
  <si>
    <t>68350848</t>
  </si>
  <si>
    <t>سهرابی</t>
  </si>
  <si>
    <t>علی مقصود</t>
  </si>
  <si>
    <t>9021336248</t>
  </si>
  <si>
    <t>alimagh1377@gmail.com</t>
  </si>
  <si>
    <t>21533660</t>
  </si>
  <si>
    <t>مقصود</t>
  </si>
  <si>
    <t>نوشین ابراهیم زاده</t>
  </si>
  <si>
    <t>9124148406</t>
  </si>
  <si>
    <t>n.ebrahimzade@gmail.com</t>
  </si>
  <si>
    <t>1189347539</t>
  </si>
  <si>
    <t>نوشین</t>
  </si>
  <si>
    <t>ابراهیم زاده</t>
  </si>
  <si>
    <t>نگار مساوات</t>
  </si>
  <si>
    <t>9120908216</t>
  </si>
  <si>
    <t>negarmosavatt@gmail.com</t>
  </si>
  <si>
    <t>2080568558</t>
  </si>
  <si>
    <t>مساوات</t>
  </si>
  <si>
    <t>سعید شادکام</t>
  </si>
  <si>
    <t>9121034511</t>
  </si>
  <si>
    <t>saeedshadkam70@gmail.com</t>
  </si>
  <si>
    <t>19003072</t>
  </si>
  <si>
    <t>شادکام</t>
  </si>
  <si>
    <t>علی بهرامی</t>
  </si>
  <si>
    <t>9138373707</t>
  </si>
  <si>
    <t>alibahrami777@yahoo.com</t>
  </si>
  <si>
    <t>1270894757</t>
  </si>
  <si>
    <t>بهرامی</t>
  </si>
  <si>
    <t>یحیی منصور موید</t>
  </si>
  <si>
    <t>9121268317</t>
  </si>
  <si>
    <t>raminshahbazzadeh@yahoo.com</t>
  </si>
  <si>
    <t>452621798</t>
  </si>
  <si>
    <t>یحیی</t>
  </si>
  <si>
    <t>منصور موید</t>
  </si>
  <si>
    <t>علی اكبر عبدالملكی</t>
  </si>
  <si>
    <t>9188720190</t>
  </si>
  <si>
    <t>3801216837</t>
  </si>
  <si>
    <t>علی اكبر</t>
  </si>
  <si>
    <t>عبدالملكی</t>
  </si>
  <si>
    <t>محمد قاسمی</t>
  </si>
  <si>
    <t>9120713503</t>
  </si>
  <si>
    <t>hamidmg22@gmail.com</t>
  </si>
  <si>
    <t>3950377158</t>
  </si>
  <si>
    <t>حسین محمدی نصرآبادی</t>
  </si>
  <si>
    <t>9127068358</t>
  </si>
  <si>
    <t>hmnasrabadi@gmail.com</t>
  </si>
  <si>
    <t>4450008278</t>
  </si>
  <si>
    <t>محمدی نصرآبادی</t>
  </si>
  <si>
    <t>امیرمظفر معزی</t>
  </si>
  <si>
    <t>9353405127</t>
  </si>
  <si>
    <t>amirmozaffar.moezzi@gmail.com</t>
  </si>
  <si>
    <t>451636287</t>
  </si>
  <si>
    <t>امیرمظفر</t>
  </si>
  <si>
    <t>معزی</t>
  </si>
  <si>
    <t>سپیده طیبی</t>
  </si>
  <si>
    <t>9124469385</t>
  </si>
  <si>
    <t>tayyebi591@gmail.com</t>
  </si>
  <si>
    <t>2161766181</t>
  </si>
  <si>
    <t>طیبی</t>
  </si>
  <si>
    <t>حفیظ الله فتحی پور</t>
  </si>
  <si>
    <t>9013282298</t>
  </si>
  <si>
    <t>f.hafiz2025@gmail.com</t>
  </si>
  <si>
    <t>4810138135</t>
  </si>
  <si>
    <t>حفیظ الله</t>
  </si>
  <si>
    <t>فتحی پور</t>
  </si>
  <si>
    <t>مجید احمدی</t>
  </si>
  <si>
    <t>9128128482</t>
  </si>
  <si>
    <t>majid@hamsaa.ir</t>
  </si>
  <si>
    <t>493366237</t>
  </si>
  <si>
    <t>الناز شاهمرادی</t>
  </si>
  <si>
    <t>9128487839</t>
  </si>
  <si>
    <t>shahmoradi.e@gmail.com</t>
  </si>
  <si>
    <t>1240054149</t>
  </si>
  <si>
    <t>شاهمرادی</t>
  </si>
  <si>
    <t>سحر كرباسی</t>
  </si>
  <si>
    <t>9123335194</t>
  </si>
  <si>
    <t>sahar.karbasi@gmail.com</t>
  </si>
  <si>
    <t>3800044791</t>
  </si>
  <si>
    <t>كرباسی</t>
  </si>
  <si>
    <t>محمدرضا نوقابی</t>
  </si>
  <si>
    <t>9126494826</t>
  </si>
  <si>
    <t>mohammadreza.noghabi@gmail.com</t>
  </si>
  <si>
    <t>16695151</t>
  </si>
  <si>
    <t>نوقابی</t>
  </si>
  <si>
    <t>آیدا نوروزی</t>
  </si>
  <si>
    <t>9128900514</t>
  </si>
  <si>
    <t>aida.aram00@yahoo.com</t>
  </si>
  <si>
    <t>18710298</t>
  </si>
  <si>
    <t>نوروزی</t>
  </si>
  <si>
    <t>مهران پاكند</t>
  </si>
  <si>
    <t>9126710295</t>
  </si>
  <si>
    <t>mehranpakand@gmail.com</t>
  </si>
  <si>
    <t>2740925468</t>
  </si>
  <si>
    <t>پاكند</t>
  </si>
  <si>
    <t>علیرضا فیروزبخش</t>
  </si>
  <si>
    <t>9018991249</t>
  </si>
  <si>
    <t>Firoozbakhshalireza@gmail.com</t>
  </si>
  <si>
    <t>2110891947</t>
  </si>
  <si>
    <t>فیروزبخش</t>
  </si>
  <si>
    <t>سپیده زیادی پناه</t>
  </si>
  <si>
    <t>9010131603</t>
  </si>
  <si>
    <t>P.ksepideh@yahoo.com</t>
  </si>
  <si>
    <t>371737923</t>
  </si>
  <si>
    <t>زیادی پناه</t>
  </si>
  <si>
    <t>محسن باقریان فرح آبادی</t>
  </si>
  <si>
    <t>9122440696</t>
  </si>
  <si>
    <t>mohsenbaqerian@gmail.com</t>
  </si>
  <si>
    <t>2092112163</t>
  </si>
  <si>
    <t>باقریان فرح آبادی</t>
  </si>
  <si>
    <t>محمدرضا هوشنگی</t>
  </si>
  <si>
    <t>9351606300</t>
  </si>
  <si>
    <t>Hooshangimrh@gmail.com</t>
  </si>
  <si>
    <t>24204757</t>
  </si>
  <si>
    <t>هوشنگی</t>
  </si>
  <si>
    <t>فرزانه مردوخ روحانی</t>
  </si>
  <si>
    <t>9369223039</t>
  </si>
  <si>
    <t>farz.mardukh@gmail.com</t>
  </si>
  <si>
    <t>3241364577</t>
  </si>
  <si>
    <t>Mوخ روحانی</t>
  </si>
  <si>
    <t>امیرعلی محمدحسینی</t>
  </si>
  <si>
    <t>9398618023</t>
  </si>
  <si>
    <t>aliiihosseini1376@gmail.com</t>
  </si>
  <si>
    <t>440684080</t>
  </si>
  <si>
    <t>محمدحسینی</t>
  </si>
  <si>
    <t>مجید نظری</t>
  </si>
  <si>
    <t>9125711430</t>
  </si>
  <si>
    <t>m.nazari64@yahoo.com</t>
  </si>
  <si>
    <t>3933931193</t>
  </si>
  <si>
    <t>حسین شیرزاد</t>
  </si>
  <si>
    <t>9037199117</t>
  </si>
  <si>
    <t>h.shirzad293@gmail.com</t>
  </si>
  <si>
    <t>1870502949</t>
  </si>
  <si>
    <t>شیرزاد</t>
  </si>
  <si>
    <t>غزاله جنتی</t>
  </si>
  <si>
    <t>9380585911</t>
  </si>
  <si>
    <t>gh.jannati@gmail.com</t>
  </si>
  <si>
    <t>670507431</t>
  </si>
  <si>
    <t>غزاله</t>
  </si>
  <si>
    <t>جنتی</t>
  </si>
  <si>
    <t>زهرا ظاهری</t>
  </si>
  <si>
    <t>9123205523</t>
  </si>
  <si>
    <t>zzaheri@ymail.com</t>
  </si>
  <si>
    <t>440546060</t>
  </si>
  <si>
    <t>ظاهری</t>
  </si>
  <si>
    <t>عرفان غیرتمند</t>
  </si>
  <si>
    <t>9216678183</t>
  </si>
  <si>
    <t>Gheiratmand.erfan@gmail.com</t>
  </si>
  <si>
    <t>24538183</t>
  </si>
  <si>
    <t>عرفان</t>
  </si>
  <si>
    <t>غیرتمند</t>
  </si>
  <si>
    <t>مهدی پورقیصری</t>
  </si>
  <si>
    <t>9124752430</t>
  </si>
  <si>
    <t>m.pourgheisari@gmail.com</t>
  </si>
  <si>
    <t>1091567271</t>
  </si>
  <si>
    <t>پورقیصری</t>
  </si>
  <si>
    <t>حامد عراقی</t>
  </si>
  <si>
    <t>9148537168</t>
  </si>
  <si>
    <t>hamed.araghi95@gmail.com</t>
  </si>
  <si>
    <t>2740980566</t>
  </si>
  <si>
    <t>عراقی</t>
  </si>
  <si>
    <t>رسول مرکزی</t>
  </si>
  <si>
    <t>9126107242</t>
  </si>
  <si>
    <t>Rasool.markazi74@gmail.com</t>
  </si>
  <si>
    <t>18196527</t>
  </si>
  <si>
    <t>مرکزی</t>
  </si>
  <si>
    <t>نیما ناصح</t>
  </si>
  <si>
    <t>9198412261</t>
  </si>
  <si>
    <t>Nima.naseh@ymail.com</t>
  </si>
  <si>
    <t>17538920</t>
  </si>
  <si>
    <t>ناصح</t>
  </si>
  <si>
    <t>9195258134</t>
  </si>
  <si>
    <t>michael12sco@gmail.com</t>
  </si>
  <si>
    <t>22225404</t>
  </si>
  <si>
    <t>زهرا قنبریان</t>
  </si>
  <si>
    <t>9381394100</t>
  </si>
  <si>
    <t>ghanbarian1993@gmail.com</t>
  </si>
  <si>
    <t>1271632047</t>
  </si>
  <si>
    <t>قنبریان</t>
  </si>
  <si>
    <t>ایمان نجار</t>
  </si>
  <si>
    <t>9333608495</t>
  </si>
  <si>
    <t>najjar.itman@gmail.com</t>
  </si>
  <si>
    <t>920450199</t>
  </si>
  <si>
    <t>ایمان</t>
  </si>
  <si>
    <t>نجار</t>
  </si>
  <si>
    <t>حمیدرضا حكاكی فرد</t>
  </si>
  <si>
    <t>9122274650</t>
  </si>
  <si>
    <t>h.hakaki@gmail.com</t>
  </si>
  <si>
    <t>73627542</t>
  </si>
  <si>
    <t>حكاكی فرد</t>
  </si>
  <si>
    <t>9122712880</t>
  </si>
  <si>
    <t>banihashemi.isun@gmail.com</t>
  </si>
  <si>
    <t>81530366</t>
  </si>
  <si>
    <t>آی‌سان (نجمیه سادات)</t>
  </si>
  <si>
    <t>بنی‌هاشمی</t>
  </si>
  <si>
    <t>سید امیرحسین چكامه</t>
  </si>
  <si>
    <t>9118493732</t>
  </si>
  <si>
    <t>achakameh@gmail.com</t>
  </si>
  <si>
    <t>2730133860</t>
  </si>
  <si>
    <t>سید امیرحسین</t>
  </si>
  <si>
    <t>چكامه</t>
  </si>
  <si>
    <t>مجید عظیمی</t>
  </si>
  <si>
    <t>9382105492</t>
  </si>
  <si>
    <t>majid_azimi880@yahoo.com</t>
  </si>
  <si>
    <t>13711997</t>
  </si>
  <si>
    <t>بهروز فخری شوشتری</t>
  </si>
  <si>
    <t>9128498138</t>
  </si>
  <si>
    <t>bshoushtari@gmail.com</t>
  </si>
  <si>
    <t>1270341596</t>
  </si>
  <si>
    <t>فخری شوشتری</t>
  </si>
  <si>
    <t>Rahim.Ghorani@gmail.com</t>
  </si>
  <si>
    <t>1270343874</t>
  </si>
  <si>
    <t>سهیل حمزه بیگی</t>
  </si>
  <si>
    <t>9128018825</t>
  </si>
  <si>
    <t>soheil2000.h@gmail.com</t>
  </si>
  <si>
    <t>23538961</t>
  </si>
  <si>
    <t>سهیل</t>
  </si>
  <si>
    <t>حمزه بیگی</t>
  </si>
  <si>
    <t>امیر محمد وكیلی</t>
  </si>
  <si>
    <t>9128625449</t>
  </si>
  <si>
    <t>avakili13@gmail.com</t>
  </si>
  <si>
    <t>4900567485</t>
  </si>
  <si>
    <t>امیر محمد</t>
  </si>
  <si>
    <t>وكیلی</t>
  </si>
  <si>
    <t>آریانا سلطانی</t>
  </si>
  <si>
    <t>9197272005</t>
  </si>
  <si>
    <t>a_soltani96@yahoo.com</t>
  </si>
  <si>
    <t>4900557781</t>
  </si>
  <si>
    <t>آریانا</t>
  </si>
  <si>
    <t>18562401</t>
  </si>
  <si>
    <t>سعید دهقانی</t>
  </si>
  <si>
    <t>9125118270</t>
  </si>
  <si>
    <t>Saeed.dehghani@gmail.com</t>
  </si>
  <si>
    <t>4849452418</t>
  </si>
  <si>
    <t>دهقانی</t>
  </si>
  <si>
    <t>فرناز نزاكتی</t>
  </si>
  <si>
    <t>9120127548</t>
  </si>
  <si>
    <t>farnnezakati@yahoo.com</t>
  </si>
  <si>
    <t>15145654</t>
  </si>
  <si>
    <t>فرناز</t>
  </si>
  <si>
    <t>نزاكتی</t>
  </si>
  <si>
    <t>كاوه برنجی</t>
  </si>
  <si>
    <t>9122835543</t>
  </si>
  <si>
    <t>kbjbiz@gmail.com</t>
  </si>
  <si>
    <t>943360110</t>
  </si>
  <si>
    <t>كاوه</t>
  </si>
  <si>
    <t>برنجی</t>
  </si>
  <si>
    <t>میلاد امیری</t>
  </si>
  <si>
    <t>9361323233</t>
  </si>
  <si>
    <t>miladamiri70@gmail.com</t>
  </si>
  <si>
    <t>2380202796</t>
  </si>
  <si>
    <t>امیری</t>
  </si>
  <si>
    <t>ساناز پرگر</t>
  </si>
  <si>
    <t>9191274534</t>
  </si>
  <si>
    <t>sannazpargar@gmail.com</t>
  </si>
  <si>
    <t>10802428</t>
  </si>
  <si>
    <t>ساناز</t>
  </si>
  <si>
    <t>پرگر</t>
  </si>
  <si>
    <t>محمد مهدی زاده</t>
  </si>
  <si>
    <t>9339085993</t>
  </si>
  <si>
    <t>karya.factory@gmail.com</t>
  </si>
  <si>
    <t>6300058247</t>
  </si>
  <si>
    <t>مهدی زاده</t>
  </si>
  <si>
    <t>مصطفی مونسان</t>
  </si>
  <si>
    <t>9204270081</t>
  </si>
  <si>
    <t>63467623</t>
  </si>
  <si>
    <t>مونسان</t>
  </si>
  <si>
    <t>آبتین غلامپور</t>
  </si>
  <si>
    <t>9193971104</t>
  </si>
  <si>
    <t>coltrane_17@ymail.com</t>
  </si>
  <si>
    <t>16024133</t>
  </si>
  <si>
    <t>آبتین</t>
  </si>
  <si>
    <t>غلامپور</t>
  </si>
  <si>
    <t>سعید روشن روان</t>
  </si>
  <si>
    <t>9121717762</t>
  </si>
  <si>
    <t>hyperbest1@yahoo.com</t>
  </si>
  <si>
    <t>493510869</t>
  </si>
  <si>
    <t>علی اكبر قاسمی</t>
  </si>
  <si>
    <t>9361279273</t>
  </si>
  <si>
    <t>Ali.akbar.qasemi@gmail.com</t>
  </si>
  <si>
    <t>921445830</t>
  </si>
  <si>
    <t>سجاد مغانلو</t>
  </si>
  <si>
    <t>4271141119</t>
  </si>
  <si>
    <t>مغانلو</t>
  </si>
  <si>
    <t>وحید كریمی</t>
  </si>
  <si>
    <t>9362103523</t>
  </si>
  <si>
    <t>73105430</t>
  </si>
  <si>
    <t>وحید</t>
  </si>
  <si>
    <t>كریمی</t>
  </si>
  <si>
    <t>محمد داودوندی</t>
  </si>
  <si>
    <t>9308023759</t>
  </si>
  <si>
    <t>داودوندی</t>
  </si>
  <si>
    <t>سپیده بختیاری</t>
  </si>
  <si>
    <t>9127367411</t>
  </si>
  <si>
    <t>12571164</t>
  </si>
  <si>
    <t>پریسا مرادی</t>
  </si>
  <si>
    <t>9195099207</t>
  </si>
  <si>
    <t>10129057</t>
  </si>
  <si>
    <t>مهین سلیمی</t>
  </si>
  <si>
    <t>9217382757</t>
  </si>
  <si>
    <t>3770152174</t>
  </si>
  <si>
    <t>مهین</t>
  </si>
  <si>
    <t>سلیمی</t>
  </si>
  <si>
    <t>موسی روشن روان</t>
  </si>
  <si>
    <t>9124231570</t>
  </si>
  <si>
    <t>merora39@gmail.com</t>
  </si>
  <si>
    <t>60095822</t>
  </si>
  <si>
    <t>موسی</t>
  </si>
  <si>
    <t>كبری ارس‌خانی</t>
  </si>
  <si>
    <t>9122148857</t>
  </si>
  <si>
    <t>K.Arasskhani@outlook.com</t>
  </si>
  <si>
    <t>320674592</t>
  </si>
  <si>
    <t>كبری</t>
  </si>
  <si>
    <t>ارس‌خانی</t>
  </si>
  <si>
    <t>امیررضا صافحیان</t>
  </si>
  <si>
    <t>9206856323</t>
  </si>
  <si>
    <t>safehian_amirreza@yahoo.com</t>
  </si>
  <si>
    <t>1050769181</t>
  </si>
  <si>
    <t>صافحیان</t>
  </si>
  <si>
    <t>غزل صالحی</t>
  </si>
  <si>
    <t>9122347590</t>
  </si>
  <si>
    <t>ghazalsalehi90@gmail.com</t>
  </si>
  <si>
    <t>11983922</t>
  </si>
  <si>
    <t>غزل</t>
  </si>
  <si>
    <t>صالحی</t>
  </si>
  <si>
    <t>محمدجواد طبی كبیر</t>
  </si>
  <si>
    <t>9210803122</t>
  </si>
  <si>
    <t>mj.hoonam@gmail.com</t>
  </si>
  <si>
    <t>410516491</t>
  </si>
  <si>
    <t>محمدجواد</t>
  </si>
  <si>
    <t>طبی كبیر</t>
  </si>
  <si>
    <t>افسانه احسانی</t>
  </si>
  <si>
    <t>9121945921</t>
  </si>
  <si>
    <t>ehsaniafsaneh.eco@gmail.com</t>
  </si>
  <si>
    <t>4323423969</t>
  </si>
  <si>
    <t>احسانی</t>
  </si>
  <si>
    <t>نیما آذری</t>
  </si>
  <si>
    <t>9126878330</t>
  </si>
  <si>
    <t>azarinima@yahoo.com</t>
  </si>
  <si>
    <t>70588031</t>
  </si>
  <si>
    <t>آذری</t>
  </si>
  <si>
    <t>محمد جعفرزاده</t>
  </si>
  <si>
    <t>9124763609</t>
  </si>
  <si>
    <t>jafarzadeh8@gmail.com</t>
  </si>
  <si>
    <t>493515054</t>
  </si>
  <si>
    <t>جعفرزاده</t>
  </si>
  <si>
    <t>میثم حاجی محمدی</t>
  </si>
  <si>
    <t>9122051783</t>
  </si>
  <si>
    <t>hajimohamadi5@gmail.com</t>
  </si>
  <si>
    <t>62143131</t>
  </si>
  <si>
    <t>محمدرضا اعتمادیان</t>
  </si>
  <si>
    <t>9124376757</t>
  </si>
  <si>
    <t>Etemadian@me.com</t>
  </si>
  <si>
    <t>4420599596</t>
  </si>
  <si>
    <t>اعتمادیان</t>
  </si>
  <si>
    <t>شیما آزادی</t>
  </si>
  <si>
    <t>9125997136</t>
  </si>
  <si>
    <t>shima.azadi@ymail.com</t>
  </si>
  <si>
    <t>62301896</t>
  </si>
  <si>
    <t>شیما</t>
  </si>
  <si>
    <t>مهدی عبیدی سیاوشانی</t>
  </si>
  <si>
    <t>9125501775</t>
  </si>
  <si>
    <t>amirmahdi_abidi@yahoo.com</t>
  </si>
  <si>
    <t>492885028</t>
  </si>
  <si>
    <t>عبیدی سیاوشانی</t>
  </si>
  <si>
    <t>سید احمد داداش نژاد</t>
  </si>
  <si>
    <t>9126227446</t>
  </si>
  <si>
    <t>ahmad.dadashnejad@gmail.com</t>
  </si>
  <si>
    <t>4989897684</t>
  </si>
  <si>
    <t>سید احمد</t>
  </si>
  <si>
    <t>داداش نژاد</t>
  </si>
  <si>
    <t>4911533552</t>
  </si>
  <si>
    <t>سید مهرداد مصطفوی پور</t>
  </si>
  <si>
    <t>9134515027</t>
  </si>
  <si>
    <t>Mostafavi@persisgen.com</t>
  </si>
  <si>
    <t>5030034773</t>
  </si>
  <si>
    <t>سید مهرداد</t>
  </si>
  <si>
    <t>مصطفوی پور</t>
  </si>
  <si>
    <t>5080049472</t>
  </si>
  <si>
    <t>امین امینی</t>
  </si>
  <si>
    <t>9361487270</t>
  </si>
  <si>
    <t>aminamini9190@gmail.com</t>
  </si>
  <si>
    <t>371415111</t>
  </si>
  <si>
    <t>امینی</t>
  </si>
  <si>
    <t>علی هنزكیان</t>
  </si>
  <si>
    <t>9127778613</t>
  </si>
  <si>
    <t>ali.hanzakian@gmail.com</t>
  </si>
  <si>
    <t>20061617</t>
  </si>
  <si>
    <t>هنزكیان</t>
  </si>
  <si>
    <t>منا غرابادیان</t>
  </si>
  <si>
    <t>9158708848</t>
  </si>
  <si>
    <t>mona.gharabadiyan@gmail.com</t>
  </si>
  <si>
    <t>923631267</t>
  </si>
  <si>
    <t>منا</t>
  </si>
  <si>
    <t>غرابادیان</t>
  </si>
  <si>
    <t>حدیثه شریفی</t>
  </si>
  <si>
    <t>9118427708</t>
  </si>
  <si>
    <t>h2.sharifi1994@gmail.com</t>
  </si>
  <si>
    <t>2710203499</t>
  </si>
  <si>
    <t>حدیثه</t>
  </si>
  <si>
    <t>سید علی موسوی</t>
  </si>
  <si>
    <t>9107673676</t>
  </si>
  <si>
    <t>ali.mousavi4878@gmail.com</t>
  </si>
  <si>
    <t>22451951</t>
  </si>
  <si>
    <t>ناعمه اعظمی</t>
  </si>
  <si>
    <t>9152261430</t>
  </si>
  <si>
    <t>Naeme.abp@gmail.com</t>
  </si>
  <si>
    <t>760220352</t>
  </si>
  <si>
    <t>ناعمه</t>
  </si>
  <si>
    <t>اعظمی</t>
  </si>
  <si>
    <t>علی سریزدی</t>
  </si>
  <si>
    <t>9131579864</t>
  </si>
  <si>
    <t>yazd4030@gmail.com</t>
  </si>
  <si>
    <t>4433638791</t>
  </si>
  <si>
    <t>سریزدی</t>
  </si>
  <si>
    <t>سید علیرضا موسوی</t>
  </si>
  <si>
    <t>9126966242</t>
  </si>
  <si>
    <t>a.amirabolhasani@gmail.com</t>
  </si>
  <si>
    <t>440382122</t>
  </si>
  <si>
    <t>سید علیرضا</t>
  </si>
  <si>
    <t>علی بنده زاده</t>
  </si>
  <si>
    <t>9121342818</t>
  </si>
  <si>
    <t>ali@rundeman.com</t>
  </si>
  <si>
    <t>452469767</t>
  </si>
  <si>
    <t>بنده زاده</t>
  </si>
  <si>
    <t>كیمیا حریری</t>
  </si>
  <si>
    <t>9118218261</t>
  </si>
  <si>
    <t>Kimia.hariri1995@gmail.com</t>
  </si>
  <si>
    <t>2130413714</t>
  </si>
  <si>
    <t>كیمیا</t>
  </si>
  <si>
    <t>حریری</t>
  </si>
  <si>
    <t>سكینه عارفی</t>
  </si>
  <si>
    <t>9123720845</t>
  </si>
  <si>
    <t>Ziba.arefiii@gmail.com</t>
  </si>
  <si>
    <t>41766271</t>
  </si>
  <si>
    <t>سكینه</t>
  </si>
  <si>
    <t>عارفی</t>
  </si>
  <si>
    <t>صنم رودكی</t>
  </si>
  <si>
    <t>9125867948</t>
  </si>
  <si>
    <t>s.roodaki21@gmail.com</t>
  </si>
  <si>
    <t>11330521</t>
  </si>
  <si>
    <t>صنم</t>
  </si>
  <si>
    <t>رودكی</t>
  </si>
  <si>
    <t>درسا جلایی</t>
  </si>
  <si>
    <t>9124943004</t>
  </si>
  <si>
    <t>jalaei@persisgen.com</t>
  </si>
  <si>
    <t>18215084</t>
  </si>
  <si>
    <t>درسا</t>
  </si>
  <si>
    <t>جلایی</t>
  </si>
  <si>
    <t>حسین فریدونی</t>
  </si>
  <si>
    <t>9128438374</t>
  </si>
  <si>
    <t>hfereidoni@yahoo.com</t>
  </si>
  <si>
    <t>71784306</t>
  </si>
  <si>
    <t>فریدونی</t>
  </si>
  <si>
    <t>شیما میهن دوست</t>
  </si>
  <si>
    <t>9122187139</t>
  </si>
  <si>
    <t>Mihandust.shima@gmail.com</t>
  </si>
  <si>
    <t>4520029864</t>
  </si>
  <si>
    <t>میهن دوست</t>
  </si>
  <si>
    <t>بردیا سیداحمدنیا</t>
  </si>
  <si>
    <t>9210895989</t>
  </si>
  <si>
    <t>ahmadnia18@gmail.com</t>
  </si>
  <si>
    <t>18481590</t>
  </si>
  <si>
    <t>بردیا</t>
  </si>
  <si>
    <t>سیداحمدنیا</t>
  </si>
  <si>
    <t>حانیه محمدعلی زاده</t>
  </si>
  <si>
    <t>9369915829</t>
  </si>
  <si>
    <t>haniealizadeh@yahoo.com</t>
  </si>
  <si>
    <t>780498402</t>
  </si>
  <si>
    <t>حانیه</t>
  </si>
  <si>
    <t>محمدعلی زاده</t>
  </si>
  <si>
    <t>مریم شیخ لو</t>
  </si>
  <si>
    <t>9369958764</t>
  </si>
  <si>
    <t>maryam.sheikhlou94@gmail.com</t>
  </si>
  <si>
    <t>311172733</t>
  </si>
  <si>
    <t>شیخ لو</t>
  </si>
  <si>
    <t>نازنین نصیری</t>
  </si>
  <si>
    <t>9384949646</t>
  </si>
  <si>
    <t>nazanin_nassiri@yahoo.com</t>
  </si>
  <si>
    <t>17570281</t>
  </si>
  <si>
    <t>محمد آنالویی</t>
  </si>
  <si>
    <t>9017963311</t>
  </si>
  <si>
    <t>analooei95@gmail.com</t>
  </si>
  <si>
    <t>520857798</t>
  </si>
  <si>
    <t>آنالویی</t>
  </si>
  <si>
    <t>شهره بی آزار</t>
  </si>
  <si>
    <t>9371977359</t>
  </si>
  <si>
    <t>shohreh.b7@gmail.com</t>
  </si>
  <si>
    <t>2291443615</t>
  </si>
  <si>
    <t>شهره</t>
  </si>
  <si>
    <t>بی آزار</t>
  </si>
  <si>
    <t>سینا رنج كش زاده</t>
  </si>
  <si>
    <t>9144873093</t>
  </si>
  <si>
    <t>heyezairsina1996@gmail.com</t>
  </si>
  <si>
    <t>2790666210</t>
  </si>
  <si>
    <t>رنج كش زاده</t>
  </si>
  <si>
    <t>علی منظمی</t>
  </si>
  <si>
    <t>9193218398</t>
  </si>
  <si>
    <t>a.monazzami2@gmail.com</t>
  </si>
  <si>
    <t>590305689</t>
  </si>
  <si>
    <t>منظمی</t>
  </si>
  <si>
    <t>مصطفی علوی نیك</t>
  </si>
  <si>
    <t>9125140924</t>
  </si>
  <si>
    <t>alavinik@gmail.com</t>
  </si>
  <si>
    <t>3621857621</t>
  </si>
  <si>
    <t>علوی نیك</t>
  </si>
  <si>
    <t>ثنا محمدزاده</t>
  </si>
  <si>
    <t>9128801664</t>
  </si>
  <si>
    <t>sana.mohammadzadeh@gmail.com</t>
  </si>
  <si>
    <t>4311023918</t>
  </si>
  <si>
    <t>ثنا</t>
  </si>
  <si>
    <t>محمدزاده</t>
  </si>
  <si>
    <t>محمدحسن جهانگیری</t>
  </si>
  <si>
    <t>9361846577</t>
  </si>
  <si>
    <t>hassan.jahan@gmail.com</t>
  </si>
  <si>
    <t>3979845729</t>
  </si>
  <si>
    <t>محمدحسن</t>
  </si>
  <si>
    <t>سمانه خسروی</t>
  </si>
  <si>
    <t>9134819020</t>
  </si>
  <si>
    <t>S.khosravi@nanoalvand.com</t>
  </si>
  <si>
    <t>6290019619</t>
  </si>
  <si>
    <t>خسروی</t>
  </si>
  <si>
    <t>آرمان كریمی</t>
  </si>
  <si>
    <t>9205212014</t>
  </si>
  <si>
    <t>armankarimi76@gmail.com</t>
  </si>
  <si>
    <t>924111801</t>
  </si>
  <si>
    <t>آرمان</t>
  </si>
  <si>
    <t>66629111</t>
  </si>
  <si>
    <t>عبدا... شاه علی</t>
  </si>
  <si>
    <t>9122468029</t>
  </si>
  <si>
    <t>ashahali81@gmail.com</t>
  </si>
  <si>
    <t>74214985</t>
  </si>
  <si>
    <t>عبدا...</t>
  </si>
  <si>
    <t>شاه علی</t>
  </si>
  <si>
    <t>فاطمه درویشی</t>
  </si>
  <si>
    <t>9927962791</t>
  </si>
  <si>
    <t>f.darvishi93@gmail.com</t>
  </si>
  <si>
    <t>890384401</t>
  </si>
  <si>
    <t>درویشی</t>
  </si>
  <si>
    <t>علی افسری</t>
  </si>
  <si>
    <t>9124522729</t>
  </si>
  <si>
    <t>aliafsari20@gmail.com</t>
  </si>
  <si>
    <t>370316150</t>
  </si>
  <si>
    <t>افسری</t>
  </si>
  <si>
    <t>حسام عبیری</t>
  </si>
  <si>
    <t>9366037615</t>
  </si>
  <si>
    <t>hesam.abiri16@gmail.com</t>
  </si>
  <si>
    <t>922571848</t>
  </si>
  <si>
    <t>سعید محمدی زكی</t>
  </si>
  <si>
    <t>9122026008</t>
  </si>
  <si>
    <t>saeedmohamadi235@gmail.com</t>
  </si>
  <si>
    <t>1375958224</t>
  </si>
  <si>
    <t>محمدی زكی</t>
  </si>
  <si>
    <t>محمدحسن زارعی</t>
  </si>
  <si>
    <t>9178164926</t>
  </si>
  <si>
    <t>mhasan.zarei@yahoo.com</t>
  </si>
  <si>
    <t>6700007161</t>
  </si>
  <si>
    <t>نیما كاوه</t>
  </si>
  <si>
    <t>9376868602</t>
  </si>
  <si>
    <t>nimahadadkaveh@gmail.com</t>
  </si>
  <si>
    <t>19041136</t>
  </si>
  <si>
    <t>حسن حمیدی</t>
  </si>
  <si>
    <t>9355073105</t>
  </si>
  <si>
    <t>Hassan.hamidi@yahoo.com</t>
  </si>
  <si>
    <t>4900061409</t>
  </si>
  <si>
    <t>حمیدی</t>
  </si>
  <si>
    <t>سعید بهجت</t>
  </si>
  <si>
    <t>9398679668</t>
  </si>
  <si>
    <t>saeed.behjat@yahoo.com</t>
  </si>
  <si>
    <t>1730033288</t>
  </si>
  <si>
    <t>بهجت</t>
  </si>
  <si>
    <t>زهرا صباغ</t>
  </si>
  <si>
    <t>9124849142</t>
  </si>
  <si>
    <t>sabbagh.zahra@gmail.com</t>
  </si>
  <si>
    <t>15668584</t>
  </si>
  <si>
    <t>صباغ</t>
  </si>
  <si>
    <t>سعیده یادگاری</t>
  </si>
  <si>
    <t>9128601825</t>
  </si>
  <si>
    <t>saya2069@gmail.com</t>
  </si>
  <si>
    <t>310512069</t>
  </si>
  <si>
    <t>سعیده</t>
  </si>
  <si>
    <t>یادگاری</t>
  </si>
  <si>
    <t>محمد عباسی</t>
  </si>
  <si>
    <t>9021852525</t>
  </si>
  <si>
    <t>mab.abbasi1374@gmail.com</t>
  </si>
  <si>
    <t>عباسی</t>
  </si>
  <si>
    <t>مریم کبیری</t>
  </si>
  <si>
    <t>9198197842</t>
  </si>
  <si>
    <t>best.daily.612@gmail.com</t>
  </si>
  <si>
    <t>1141348780</t>
  </si>
  <si>
    <t>کورش کوهی</t>
  </si>
  <si>
    <t>9123369054</t>
  </si>
  <si>
    <t>k.kouhi@gmail.com</t>
  </si>
  <si>
    <t>1282783807</t>
  </si>
  <si>
    <t>کورش</t>
  </si>
  <si>
    <t>کوهی</t>
  </si>
  <si>
    <t>علی زواشکیانی</t>
  </si>
  <si>
    <t>9128178864</t>
  </si>
  <si>
    <t>Ali.zuashkiani@gmail.com</t>
  </si>
  <si>
    <t>934296006</t>
  </si>
  <si>
    <t>زواشکیانی</t>
  </si>
  <si>
    <t>الناز رفیع زاده</t>
  </si>
  <si>
    <t>9203541227</t>
  </si>
  <si>
    <t>e.rafizadeh@alibaba.ir</t>
  </si>
  <si>
    <t>15284433</t>
  </si>
  <si>
    <t>رفیع زاده</t>
  </si>
  <si>
    <t>9125003785</t>
  </si>
  <si>
    <t>1639921109</t>
  </si>
  <si>
    <t>فرزاد اقبالی</t>
  </si>
  <si>
    <t>9125596126</t>
  </si>
  <si>
    <t>baloot.fe@gmail.com</t>
  </si>
  <si>
    <t>83577904</t>
  </si>
  <si>
    <t>اقبالی</t>
  </si>
  <si>
    <t>الهام اوسطی</t>
  </si>
  <si>
    <t>9127215979</t>
  </si>
  <si>
    <t>e.osati@alibaba.ir</t>
  </si>
  <si>
    <t>15696871</t>
  </si>
  <si>
    <t>اوسطی</t>
  </si>
  <si>
    <t>امیر بهدانی</t>
  </si>
  <si>
    <t>9125122059</t>
  </si>
  <si>
    <t>a.behdani@alibaba.ir</t>
  </si>
  <si>
    <t>640189318</t>
  </si>
  <si>
    <t>بهدانی</t>
  </si>
  <si>
    <t>ماهین میرشمس</t>
  </si>
  <si>
    <t>9129217881</t>
  </si>
  <si>
    <t>m.mirshams66@gmail.com</t>
  </si>
  <si>
    <t>1272305325</t>
  </si>
  <si>
    <t>ماهین</t>
  </si>
  <si>
    <t>میرشمس</t>
  </si>
  <si>
    <t>هادی فرقانی</t>
  </si>
  <si>
    <t>9132957050</t>
  </si>
  <si>
    <t>Hadi.Forghani@Gmail.com</t>
  </si>
  <si>
    <t>2991661089</t>
  </si>
  <si>
    <t>فرقانی</t>
  </si>
  <si>
    <t>خاطره شهبازی الموتی</t>
  </si>
  <si>
    <t>9123101049</t>
  </si>
  <si>
    <t>kh.shahbazi@alibaba.ir</t>
  </si>
  <si>
    <t>77523784</t>
  </si>
  <si>
    <t>خاطره</t>
  </si>
  <si>
    <t>شهبازی الموتی</t>
  </si>
  <si>
    <t>نازنین علم دوست</t>
  </si>
  <si>
    <t>9391938399</t>
  </si>
  <si>
    <t>nazaninelmdoost87@gmail.com</t>
  </si>
  <si>
    <t>78389437</t>
  </si>
  <si>
    <t>علم دوست</t>
  </si>
  <si>
    <t>نوید نیک پی</t>
  </si>
  <si>
    <t>9126880288</t>
  </si>
  <si>
    <t>navidnikpey@gmail.com</t>
  </si>
  <si>
    <t>2889821064</t>
  </si>
  <si>
    <t>نوید</t>
  </si>
  <si>
    <t>نیک پی</t>
  </si>
  <si>
    <t>مسعود باقری</t>
  </si>
  <si>
    <t>9127429213</t>
  </si>
  <si>
    <t>md.bagheri@alibaba.ir</t>
  </si>
  <si>
    <t>۴۳۱۰۵۱۳۰۰۱</t>
  </si>
  <si>
    <t>علیرضا طاهری</t>
  </si>
  <si>
    <t>9123994727</t>
  </si>
  <si>
    <t>Ar.taheri@alibaba.ir</t>
  </si>
  <si>
    <t>82912181</t>
  </si>
  <si>
    <t>saeed.alemve@gmail.com</t>
  </si>
  <si>
    <t>۰۳۸۶۵۷۰۵۱۵</t>
  </si>
  <si>
    <t>یاسر فاضلی</t>
  </si>
  <si>
    <t>9383862468</t>
  </si>
  <si>
    <t>yasserff69@gmail.com</t>
  </si>
  <si>
    <t>فاضلی</t>
  </si>
  <si>
    <t>ایمان عدل خواه</t>
  </si>
  <si>
    <t>9126220266</t>
  </si>
  <si>
    <t>iman.adlkhah@gmail.com</t>
  </si>
  <si>
    <t>453422349</t>
  </si>
  <si>
    <t>عدل خواه</t>
  </si>
  <si>
    <t>ابوالفضل کاکائی</t>
  </si>
  <si>
    <t>9364041401</t>
  </si>
  <si>
    <t>a.kakaei@alibaba.ir</t>
  </si>
  <si>
    <t>370902475</t>
  </si>
  <si>
    <t>کاکائی</t>
  </si>
  <si>
    <t>مصطفی فرهادی</t>
  </si>
  <si>
    <t>9122492004</t>
  </si>
  <si>
    <t>farhadi.mostafa986@gmail.com</t>
  </si>
  <si>
    <t>4689870322</t>
  </si>
  <si>
    <t>علی شاهرخی</t>
  </si>
  <si>
    <t>9122899010</t>
  </si>
  <si>
    <t>a.shahrokhi581@gmail.com</t>
  </si>
  <si>
    <t>4072351717</t>
  </si>
  <si>
    <t>شاهرخی</t>
  </si>
  <si>
    <t>علی کولیوند</t>
  </si>
  <si>
    <t>ali.koolivand@gmail.com</t>
  </si>
  <si>
    <t>4072642835</t>
  </si>
  <si>
    <t>کولیوند</t>
  </si>
  <si>
    <t>شهرام محبی</t>
  </si>
  <si>
    <t>9121986945</t>
  </si>
  <si>
    <t>shmohebbi@yahoo.com</t>
  </si>
  <si>
    <t>72684259</t>
  </si>
  <si>
    <t>محبی</t>
  </si>
  <si>
    <t>Parhamghobadi0@gmail.com</t>
  </si>
  <si>
    <t>سولماز کوهی</t>
  </si>
  <si>
    <t>9197850306</t>
  </si>
  <si>
    <t>arashkouhi@yahoo.com</t>
  </si>
  <si>
    <t>۲۶۴۸۶۴۳۳۰۳</t>
  </si>
  <si>
    <t>سولماز</t>
  </si>
  <si>
    <t>هومن وکیلی</t>
  </si>
  <si>
    <t>9127146154</t>
  </si>
  <si>
    <t>h.vakili.3rdi@gmail.com</t>
  </si>
  <si>
    <t>وکیلی</t>
  </si>
  <si>
    <t>حسین خارستانی</t>
  </si>
  <si>
    <t>9126157311</t>
  </si>
  <si>
    <t>hosein_shoka@yahoo.com</t>
  </si>
  <si>
    <t>خارستانی</t>
  </si>
  <si>
    <t>ابراهیم تقوی</t>
  </si>
  <si>
    <t>۹۱۲۵۱۱۹۰۸۲</t>
  </si>
  <si>
    <t>Ebi.taghvaei@gmail.com</t>
  </si>
  <si>
    <t>ابراهیم</t>
  </si>
  <si>
    <t>محسن اشکانی</t>
  </si>
  <si>
    <t>9127108022</t>
  </si>
  <si>
    <t>mohsen11071@yahoo.com</t>
  </si>
  <si>
    <t>اشکانی</t>
  </si>
  <si>
    <t>فرناز وکیلی</t>
  </si>
  <si>
    <t>09384806803</t>
  </si>
  <si>
    <t>Farnaz.vakilinia@gmail.com</t>
  </si>
  <si>
    <t>09017963311</t>
  </si>
  <si>
    <t>پویا دارابی</t>
  </si>
  <si>
    <t>9331503497</t>
  </si>
  <si>
    <t>p.darabi@phinix.dev</t>
  </si>
  <si>
    <t>520965620</t>
  </si>
  <si>
    <t>پویا</t>
  </si>
  <si>
    <t>دارابی</t>
  </si>
  <si>
    <t>Iman</t>
  </si>
  <si>
    <t>Adlkhah</t>
  </si>
  <si>
    <t>عادل پارسا</t>
  </si>
  <si>
    <t>9127742208</t>
  </si>
  <si>
    <t>parsa.adel@gmail.com</t>
  </si>
  <si>
    <t>۱۲۶۰۵۰۹۱۰۹</t>
  </si>
  <si>
    <t>عادل</t>
  </si>
  <si>
    <t>مهدی یوسف تبار</t>
  </si>
  <si>
    <t>9122365642</t>
  </si>
  <si>
    <t>myouseftabar@icloud.com</t>
  </si>
  <si>
    <t>17822000</t>
  </si>
  <si>
    <t>یوسف تبار</t>
  </si>
  <si>
    <t>ژینوس روشندل</t>
  </si>
  <si>
    <t>9122880104</t>
  </si>
  <si>
    <t>J.roshandel@phinix.dev</t>
  </si>
  <si>
    <t>451733142</t>
  </si>
  <si>
    <t>ژینوس</t>
  </si>
  <si>
    <t>روشندل</t>
  </si>
  <si>
    <t>امیریوسف صلحی</t>
  </si>
  <si>
    <t>9121768693</t>
  </si>
  <si>
    <t>a.solhi@Alibaba.ir</t>
  </si>
  <si>
    <t>-</t>
  </si>
  <si>
    <t>امیریوسف</t>
  </si>
  <si>
    <t>صلحی</t>
  </si>
  <si>
    <t>ایمان ربّی</t>
  </si>
  <si>
    <t>9900987308</t>
  </si>
  <si>
    <t>imra.prv@gmail.com</t>
  </si>
  <si>
    <t>520985192</t>
  </si>
  <si>
    <t>ربّی</t>
  </si>
  <si>
    <t>سجاد سعیدنیا</t>
  </si>
  <si>
    <t>9125189949</t>
  </si>
  <si>
    <t>saeidnia@gmail.com</t>
  </si>
  <si>
    <t>383686229</t>
  </si>
  <si>
    <t>سعیدنیا</t>
  </si>
  <si>
    <t>احسان اله ضیغمی</t>
  </si>
  <si>
    <t>9120409980</t>
  </si>
  <si>
    <t>ehsan.zeighami@gmail.com</t>
  </si>
  <si>
    <t>533220769</t>
  </si>
  <si>
    <t>احسان اله</t>
  </si>
  <si>
    <t>ضیغمی</t>
  </si>
  <si>
    <t>بهاره عسگرزاده</t>
  </si>
  <si>
    <t>09127305229-09226840839</t>
  </si>
  <si>
    <t>yasaminyar@yahoo.com</t>
  </si>
  <si>
    <t>69357579</t>
  </si>
  <si>
    <t>عسگرزاده</t>
  </si>
  <si>
    <t>حسن ناصر تبریزی</t>
  </si>
  <si>
    <t>09129723455- 9059636994</t>
  </si>
  <si>
    <t>tabrizi.hasan@yahoo.com</t>
  </si>
  <si>
    <t>76282521</t>
  </si>
  <si>
    <t>ناصر تبریزی</t>
  </si>
  <si>
    <t>سیدمحمد دبیر</t>
  </si>
  <si>
    <t>9382574015</t>
  </si>
  <si>
    <t>s.mohammad.dabir@gmail.com</t>
  </si>
  <si>
    <t>520858786</t>
  </si>
  <si>
    <t>سیدمحمد</t>
  </si>
  <si>
    <t>دبیر</t>
  </si>
  <si>
    <t>حسین اکبری</t>
  </si>
  <si>
    <t>9123371250</t>
  </si>
  <si>
    <t>akbari1400@gmail.com</t>
  </si>
  <si>
    <t>59031085</t>
  </si>
  <si>
    <t>اکبری</t>
  </si>
  <si>
    <t>محمد جواد اکبری</t>
  </si>
  <si>
    <t>9024288237</t>
  </si>
  <si>
    <t>mj.akbari@alibaba.ir</t>
  </si>
  <si>
    <t>2080214942</t>
  </si>
  <si>
    <t>محمد جواد</t>
  </si>
  <si>
    <t>حامد قاسمیان</t>
  </si>
  <si>
    <t>قاسمیان</t>
  </si>
  <si>
    <t>علی عصاره نژاد</t>
  </si>
  <si>
    <t>9162053103</t>
  </si>
  <si>
    <t>assareh73@gmail.com</t>
  </si>
  <si>
    <t>1870355792</t>
  </si>
  <si>
    <t>عصاره نژاد</t>
  </si>
  <si>
    <t>مرجان شیرازی</t>
  </si>
  <si>
    <t>9122154378</t>
  </si>
  <si>
    <t>marjan.shirazi.editor@gmail.com</t>
  </si>
  <si>
    <t>2002578517</t>
  </si>
  <si>
    <t>شیرازی</t>
  </si>
  <si>
    <t>یوسف درویشوند</t>
  </si>
  <si>
    <t>9335759009</t>
  </si>
  <si>
    <t>shamsmahsa100@gmail.com</t>
  </si>
  <si>
    <t>2659016275</t>
  </si>
  <si>
    <t>درویشوند</t>
  </si>
  <si>
    <t>فاطیما پاک نیا</t>
  </si>
  <si>
    <t>9128161007</t>
  </si>
  <si>
    <t>fpakniya1010@yahoo.com</t>
  </si>
  <si>
    <t>11340649</t>
  </si>
  <si>
    <t>فاطیما</t>
  </si>
  <si>
    <t>پاک نیا</t>
  </si>
  <si>
    <t>کامیار ایرانی</t>
  </si>
  <si>
    <t>9123938892</t>
  </si>
  <si>
    <t>kamiar.irani@gmail.com</t>
  </si>
  <si>
    <t>57827389</t>
  </si>
  <si>
    <t>کامیار</t>
  </si>
  <si>
    <t>ایرانی</t>
  </si>
  <si>
    <t>9122985163</t>
  </si>
  <si>
    <t>Melikalesani@gmail.com</t>
  </si>
  <si>
    <t>10514120</t>
  </si>
  <si>
    <t>محمد رجبی</t>
  </si>
  <si>
    <t>9123182643</t>
  </si>
  <si>
    <t>Rajabi1543@gmail.com</t>
  </si>
  <si>
    <t>4899707258</t>
  </si>
  <si>
    <t>پانته‌آ توتونچیان</t>
  </si>
  <si>
    <t>9354664186</t>
  </si>
  <si>
    <t>p.totonchian@jabama.com</t>
  </si>
  <si>
    <t>14209411</t>
  </si>
  <si>
    <t>پانته‌آ</t>
  </si>
  <si>
    <t>توتونچیان</t>
  </si>
  <si>
    <t>علیرضا واحدی</t>
  </si>
  <si>
    <t>9128627279</t>
  </si>
  <si>
    <t>alireza.vaahedi@gmail.com</t>
  </si>
  <si>
    <t>2281021653</t>
  </si>
  <si>
    <t>محمد دبیری</t>
  </si>
  <si>
    <t>9171116662</t>
  </si>
  <si>
    <t>dabiri.ir@outlook.com dabiriaftab@gmail.com</t>
  </si>
  <si>
    <t>2559916037</t>
  </si>
  <si>
    <t>دبیری</t>
  </si>
  <si>
    <t>محمدامین قاسم‌زاده</t>
  </si>
  <si>
    <t>9217199196</t>
  </si>
  <si>
    <t>m.aghasemzadeh@yahoo.com</t>
  </si>
  <si>
    <t>22843078</t>
  </si>
  <si>
    <t>محمدامین</t>
  </si>
  <si>
    <t>قاسم‌زاده</t>
  </si>
  <si>
    <t>p.ksepideh@yahoo.com</t>
  </si>
  <si>
    <t>امیر ایروانی</t>
  </si>
  <si>
    <t>9120697966</t>
  </si>
  <si>
    <t>a.iravani1996@gmail.com</t>
  </si>
  <si>
    <t>18842811</t>
  </si>
  <si>
    <t>ایروانی</t>
  </si>
  <si>
    <t>علی جهانگیری</t>
  </si>
  <si>
    <t>9120955264</t>
  </si>
  <si>
    <t>alijahangiri2010@yahoo.com</t>
  </si>
  <si>
    <t>372558747</t>
  </si>
  <si>
    <t>زهرا عالی مقدم</t>
  </si>
  <si>
    <t>9122345714</t>
  </si>
  <si>
    <t>z.moghaddam@alibaba.ir</t>
  </si>
  <si>
    <t>81958749</t>
  </si>
  <si>
    <t>عالی مقدم</t>
  </si>
  <si>
    <t>میلاد آقاعلی خانی</t>
  </si>
  <si>
    <t>9122777586</t>
  </si>
  <si>
    <t>Milaad.alikhani@gmail.com</t>
  </si>
  <si>
    <t>77984250</t>
  </si>
  <si>
    <t>آقاعلی خانی</t>
  </si>
  <si>
    <t>مصطفی لطیفیان</t>
  </si>
  <si>
    <t>9160611168</t>
  </si>
  <si>
    <t>mr.latifian2000@gmail.com</t>
  </si>
  <si>
    <t>1742253873</t>
  </si>
  <si>
    <t>لطیفیان</t>
  </si>
  <si>
    <t>محمدرضا نوروزی</t>
  </si>
  <si>
    <t>9134044240</t>
  </si>
  <si>
    <t>mohamad.norouzi8@gmail.com</t>
  </si>
  <si>
    <t>1130314091</t>
  </si>
  <si>
    <t>محمدحسین امیری</t>
  </si>
  <si>
    <t>9372011223</t>
  </si>
  <si>
    <t>mh.amiri75@gmail.com</t>
  </si>
  <si>
    <t>311496075</t>
  </si>
  <si>
    <t>علیرضا ضیایی</t>
  </si>
  <si>
    <t>9103144078</t>
  </si>
  <si>
    <t>alirezaziaei@outlook.com</t>
  </si>
  <si>
    <t>1270570399</t>
  </si>
  <si>
    <t>ضیایی</t>
  </si>
  <si>
    <t>محسن ادیغ</t>
  </si>
  <si>
    <t>9036174842</t>
  </si>
  <si>
    <t>eddigh.mohsen@gmail.com</t>
  </si>
  <si>
    <t>520892011</t>
  </si>
  <si>
    <t>ادیغ</t>
  </si>
  <si>
    <t>فاطمه مدنیان محمدی</t>
  </si>
  <si>
    <t>9907352570</t>
  </si>
  <si>
    <t>fatemeh.madanian79@gmail.com</t>
  </si>
  <si>
    <t>1743290608</t>
  </si>
  <si>
    <t>مدنیان محمدی</t>
  </si>
  <si>
    <t>محمد حسین قمری</t>
  </si>
  <si>
    <t>9127957942</t>
  </si>
  <si>
    <t>mh.ghamary@gmail.com</t>
  </si>
  <si>
    <t>14961032</t>
  </si>
  <si>
    <t>قمری</t>
  </si>
  <si>
    <t>گلدخت آنالویی</t>
  </si>
  <si>
    <t>9120355431</t>
  </si>
  <si>
    <t>goldokhtana@yahoo.com</t>
  </si>
  <si>
    <t>520887891</t>
  </si>
  <si>
    <t>گلدخت</t>
  </si>
  <si>
    <t>محمد امامیان</t>
  </si>
  <si>
    <t>9384200110</t>
  </si>
  <si>
    <t>memamiansci@gmail.com</t>
  </si>
  <si>
    <t>18711022</t>
  </si>
  <si>
    <t>امامیان</t>
  </si>
  <si>
    <t>سولماز صدوقی شبستری</t>
  </si>
  <si>
    <t>9124707706</t>
  </si>
  <si>
    <t>ss_shabestari@yahoo.com</t>
  </si>
  <si>
    <t>15668711</t>
  </si>
  <si>
    <t>صدوقی شبستری</t>
  </si>
  <si>
    <t>آراز صدوقی شبستری</t>
  </si>
  <si>
    <t>9127147937</t>
  </si>
  <si>
    <t>araz_shabestary@yahoo.com</t>
  </si>
  <si>
    <t>13979124</t>
  </si>
  <si>
    <t>آراز</t>
  </si>
  <si>
    <t>آذر کاظمی</t>
  </si>
  <si>
    <t>9353675724</t>
  </si>
  <si>
    <t>az.kazemii68@gmail.com</t>
  </si>
  <si>
    <t>۰۰۱۱۲۷۷۹۲۰</t>
  </si>
  <si>
    <t>آذر</t>
  </si>
  <si>
    <t>رامیار حیدریان</t>
  </si>
  <si>
    <t>9361341925</t>
  </si>
  <si>
    <t>ramyar.heidarian98@gmail.com</t>
  </si>
  <si>
    <t>3720363996</t>
  </si>
  <si>
    <t>رامیار</t>
  </si>
  <si>
    <t>علی حاجی میر</t>
  </si>
  <si>
    <t>9355007907</t>
  </si>
  <si>
    <t>alihajimir75@gmail.com</t>
  </si>
  <si>
    <t>19437390</t>
  </si>
  <si>
    <t>حاجی میر</t>
  </si>
  <si>
    <t>سحر ایاززاده شیرازی</t>
  </si>
  <si>
    <t>9128264399</t>
  </si>
  <si>
    <t>saharayazzade0051@gmail.com</t>
  </si>
  <si>
    <t>13519085</t>
  </si>
  <si>
    <t>ایاززاده شیرازی</t>
  </si>
  <si>
    <t>رضا خاموشی</t>
  </si>
  <si>
    <t>9133560929</t>
  </si>
  <si>
    <t>R.khamooshi@yahoo.com</t>
  </si>
  <si>
    <t>5030008799</t>
  </si>
  <si>
    <t>خاموشی</t>
  </si>
  <si>
    <t>صالح اسکندرزاده</t>
  </si>
  <si>
    <t>9128895095</t>
  </si>
  <si>
    <t>saleh.eskandarzade@gmail.com</t>
  </si>
  <si>
    <t>17204194</t>
  </si>
  <si>
    <t>صالح</t>
  </si>
  <si>
    <t>امیرحسین معصوم خانی</t>
  </si>
  <si>
    <t>9108823927</t>
  </si>
  <si>
    <t>amirhosein.masoumkhani@gmail.com</t>
  </si>
  <si>
    <t>371757551</t>
  </si>
  <si>
    <t>معصوم خانی</t>
  </si>
  <si>
    <t>امیر حسین ناصرصرافها</t>
  </si>
  <si>
    <t>9120481789</t>
  </si>
  <si>
    <t>c.sarafha12@gmail.com</t>
  </si>
  <si>
    <t>23760184</t>
  </si>
  <si>
    <t>امیر حسین</t>
  </si>
  <si>
    <t>ناصرصرافها</t>
  </si>
  <si>
    <t>میلاد میرزازاده</t>
  </si>
  <si>
    <t>9124922268</t>
  </si>
  <si>
    <t>milad.mirzazadeh@yahoo.com</t>
  </si>
  <si>
    <t>22426752</t>
  </si>
  <si>
    <t>میرزازاده</t>
  </si>
  <si>
    <t>حسین حسین وند</t>
  </si>
  <si>
    <t>9192573008</t>
  </si>
  <si>
    <t>h.hosseinvand@gmail.com</t>
  </si>
  <si>
    <t>1361547421</t>
  </si>
  <si>
    <t>حسین وند</t>
  </si>
  <si>
    <t>محمد رضائی شریف آبادی</t>
  </si>
  <si>
    <t>9120397881</t>
  </si>
  <si>
    <t>mo.rezaei@alibaba.ir</t>
  </si>
  <si>
    <t>20359772</t>
  </si>
  <si>
    <t>رضائی شریف آبادی</t>
  </si>
  <si>
    <t>هما عسگری</t>
  </si>
  <si>
    <t>9373672545</t>
  </si>
  <si>
    <t>هما</t>
  </si>
  <si>
    <t>عسگری</t>
  </si>
  <si>
    <t>مونیکا حضرت زاده</t>
  </si>
  <si>
    <t>9126000338</t>
  </si>
  <si>
    <t>monica.eternal@gmail.com</t>
  </si>
  <si>
    <t>مونیکا</t>
  </si>
  <si>
    <t>حضرت زاده</t>
  </si>
  <si>
    <t>نگار پورمحمد</t>
  </si>
  <si>
    <t>9127932318</t>
  </si>
  <si>
    <t>pourmohamad.negar@gmail.com</t>
  </si>
  <si>
    <t>پورمحمد</t>
  </si>
  <si>
    <t>امین انصاری</t>
  </si>
  <si>
    <t>9013282244</t>
  </si>
  <si>
    <t>amin.ansari90@yahoo.com</t>
  </si>
  <si>
    <t>سید رضا بطحایی</t>
  </si>
  <si>
    <t>9127453264</t>
  </si>
  <si>
    <t>rezabathaei8@gmail.com</t>
  </si>
  <si>
    <t>سید رضا</t>
  </si>
  <si>
    <t>بطحایی</t>
  </si>
  <si>
    <t>مسعود دانش پور</t>
  </si>
  <si>
    <t>9124855037</t>
  </si>
  <si>
    <t>masoud.net@hotmail.com</t>
  </si>
  <si>
    <t>دانش پور</t>
  </si>
  <si>
    <t>پریسا برامکی</t>
  </si>
  <si>
    <t>9038238012</t>
  </si>
  <si>
    <t>parisabaramaki77@gmail.com</t>
  </si>
  <si>
    <t>برامکی</t>
  </si>
  <si>
    <t>الهام رضوی</t>
  </si>
  <si>
    <t>9125579097</t>
  </si>
  <si>
    <t>elham.razavi@outlook.com</t>
  </si>
  <si>
    <t>رضوی</t>
  </si>
  <si>
    <t>حامد سعیدی</t>
  </si>
  <si>
    <t>9151247322</t>
  </si>
  <si>
    <t>hamedsaidir@gmail.com</t>
  </si>
  <si>
    <t>سعیدی</t>
  </si>
  <si>
    <t>کسرا هاشمی شبستری</t>
  </si>
  <si>
    <t>9120058499</t>
  </si>
  <si>
    <t>k.hashemi@alibaba.ir</t>
  </si>
  <si>
    <t>کسرا</t>
  </si>
  <si>
    <t>هاشمی شبستری</t>
  </si>
  <si>
    <t>هدی خورسندی</t>
  </si>
  <si>
    <t>9125863580</t>
  </si>
  <si>
    <t>Hoda.khorsandi@gmail.com</t>
  </si>
  <si>
    <t>هدی</t>
  </si>
  <si>
    <t>خورسندی</t>
  </si>
  <si>
    <t>آرمین نشاط</t>
  </si>
  <si>
    <t>9125962702</t>
  </si>
  <si>
    <t>a.neshat@drnext.ir</t>
  </si>
  <si>
    <t>آرمین</t>
  </si>
  <si>
    <t>نشاط</t>
  </si>
  <si>
    <t>الهام ملکی</t>
  </si>
  <si>
    <t>9123129095</t>
  </si>
  <si>
    <t>maleki132@yahoo.com</t>
  </si>
  <si>
    <t>سیدجمال یوسفی</t>
  </si>
  <si>
    <t>9122415365</t>
  </si>
  <si>
    <t>sjyoosefi@yahoo.com</t>
  </si>
  <si>
    <t>سیدجمال</t>
  </si>
  <si>
    <t>امیرحسین مهرزاد</t>
  </si>
  <si>
    <t>9130322702</t>
  </si>
  <si>
    <t>Amirmzd81@gmail.com</t>
  </si>
  <si>
    <t>مهرزاد</t>
  </si>
  <si>
    <t>هاله میرجلیلی</t>
  </si>
  <si>
    <t>9383370890</t>
  </si>
  <si>
    <t>haleh.mirjalili@gmail.com</t>
  </si>
  <si>
    <t>هاله</t>
  </si>
  <si>
    <t>میرجلیلی</t>
  </si>
  <si>
    <t>رضا غلامزاده</t>
  </si>
  <si>
    <t>9374412397</t>
  </si>
  <si>
    <t>gholamzadehreza848@gmail.com</t>
  </si>
  <si>
    <t>غلامزاده</t>
  </si>
  <si>
    <t>مسعود مشهدی</t>
  </si>
  <si>
    <t>9155039642</t>
  </si>
  <si>
    <t>torisoft@gmail.com</t>
  </si>
  <si>
    <t>مشهدی</t>
  </si>
  <si>
    <t>امیر حسین به زاده جاوید</t>
  </si>
  <si>
    <t>9358966892</t>
  </si>
  <si>
    <t>amirbehzadeh@gmail.com</t>
  </si>
  <si>
    <t>به زاده جاوید</t>
  </si>
  <si>
    <t>نیکا بهجتی</t>
  </si>
  <si>
    <t>9125948797</t>
  </si>
  <si>
    <t>n.behjati@alibaba.ir</t>
  </si>
  <si>
    <t>بهجتی</t>
  </si>
  <si>
    <t>کیهانه مهدوی</t>
  </si>
  <si>
    <t>9117274961</t>
  </si>
  <si>
    <t>K.Mahdavi@alibaba.ir</t>
  </si>
  <si>
    <t>کیهانه</t>
  </si>
  <si>
    <t>مهدوی</t>
  </si>
  <si>
    <t>9195224269</t>
  </si>
  <si>
    <t>elnaz.alizade65@gmail.com</t>
  </si>
  <si>
    <t>مهیار خوش سیما</t>
  </si>
  <si>
    <t>9123169663</t>
  </si>
  <si>
    <t>mahyarkhoshsimay@gmail.com</t>
  </si>
  <si>
    <t>مهیار</t>
  </si>
  <si>
    <t>خوش سیما</t>
  </si>
  <si>
    <t>بهزاد موحدنژاد</t>
  </si>
  <si>
    <t>9149101379</t>
  </si>
  <si>
    <t>64.behzad@gmail.com</t>
  </si>
  <si>
    <t>بهزاد</t>
  </si>
  <si>
    <t>موحدنژاد</t>
  </si>
  <si>
    <t>اندیشه کرم بخش</t>
  </si>
  <si>
    <t>9122829116</t>
  </si>
  <si>
    <t>a.karambakhsh@gmail.com</t>
  </si>
  <si>
    <t>اندیشه</t>
  </si>
  <si>
    <t>کرم بخش</t>
  </si>
  <si>
    <t>رژین نقوی</t>
  </si>
  <si>
    <t>9128125942</t>
  </si>
  <si>
    <t>rojin.naghavi@gmail.com</t>
  </si>
  <si>
    <t>Rojin</t>
  </si>
  <si>
    <t>Naghavi</t>
  </si>
  <si>
    <t>علی قره‌خانی</t>
  </si>
  <si>
    <t>9122092892</t>
  </si>
  <si>
    <t>ali.gharekhani@gmail.com</t>
  </si>
  <si>
    <t>قره‌خانی</t>
  </si>
  <si>
    <t>علی حیدر</t>
  </si>
  <si>
    <t>9121331770</t>
  </si>
  <si>
    <t>heidar@prcons.com</t>
  </si>
  <si>
    <t>یاسمن رزمجوئی</t>
  </si>
  <si>
    <t>9217974091</t>
  </si>
  <si>
    <t>yas.razmejoo@gmail.com</t>
  </si>
  <si>
    <t>رزمجوئی</t>
  </si>
  <si>
    <t>محمد اخروی</t>
  </si>
  <si>
    <t>9154150086</t>
  </si>
  <si>
    <t>okhravi.mohamad@gmail.com</t>
  </si>
  <si>
    <t>اخروی</t>
  </si>
  <si>
    <t>نگار آتشی</t>
  </si>
  <si>
    <t>آتشی</t>
  </si>
  <si>
    <t>مهدی سامع</t>
  </si>
  <si>
    <t>9125246145</t>
  </si>
  <si>
    <t>same.mehdi@gmail.com</t>
  </si>
  <si>
    <t>سامع</t>
  </si>
  <si>
    <t>سیده مریم عارف زاده</t>
  </si>
  <si>
    <t>9171749165</t>
  </si>
  <si>
    <t>maryam.arefzadeh@gmail.com</t>
  </si>
  <si>
    <t>سیده مریم</t>
  </si>
  <si>
    <t>عارف زاده</t>
  </si>
  <si>
    <t>آی‌سان</t>
  </si>
  <si>
    <t>امیرحسین جندقیان</t>
  </si>
  <si>
    <t>9109870870</t>
  </si>
  <si>
    <t>amirh.jandaghian@gmail.com</t>
  </si>
  <si>
    <t>جندقیان</t>
  </si>
  <si>
    <t>حکاکی</t>
  </si>
  <si>
    <t>زهرا سلیمانی تبار</t>
  </si>
  <si>
    <t>9395064351</t>
  </si>
  <si>
    <t>negin.soleymani71@gmail.com</t>
  </si>
  <si>
    <t>سلیمانی تبار</t>
  </si>
  <si>
    <t>پریسا پوران</t>
  </si>
  <si>
    <t>46720171720</t>
  </si>
  <si>
    <t>pouranparisa@gmail.com</t>
  </si>
  <si>
    <t>پوران</t>
  </si>
  <si>
    <t>محمدحسین افضلی</t>
  </si>
  <si>
    <t>mh.afzali86@gmail.com</t>
  </si>
  <si>
    <t>عبدالرحیم ؟ کوردی</t>
  </si>
  <si>
    <t>عبدالرحیم ؟</t>
  </si>
  <si>
    <t>کوردی</t>
  </si>
  <si>
    <t>فائزه جلائی</t>
  </si>
  <si>
    <t>9120585033</t>
  </si>
  <si>
    <t>f.jalaei@alibaba.ir</t>
  </si>
  <si>
    <t>فائزه</t>
  </si>
  <si>
    <t>جلائی</t>
  </si>
  <si>
    <t>سهیل فرید</t>
  </si>
  <si>
    <t>9194060500</t>
  </si>
  <si>
    <t>s.farid@alibaba.ir</t>
  </si>
  <si>
    <t>تارا ضرابیان</t>
  </si>
  <si>
    <t>9122079561</t>
  </si>
  <si>
    <t>zarabiant@gmail.com</t>
  </si>
  <si>
    <t>ضرابیان</t>
  </si>
  <si>
    <t>سید امیر حسین بطحایی</t>
  </si>
  <si>
    <t>9104751916</t>
  </si>
  <si>
    <t>bathaei@beatlife.ir</t>
  </si>
  <si>
    <t>سید امیر حسین</t>
  </si>
  <si>
    <t>شبنم کریمی رهنما</t>
  </si>
  <si>
    <t>9141039561</t>
  </si>
  <si>
    <t>karimi.rahnama22@gmail.com</t>
  </si>
  <si>
    <t>کریمی رهنما</t>
  </si>
  <si>
    <t>سید محمد امین قاسمی زاده</t>
  </si>
  <si>
    <t>9120509940</t>
  </si>
  <si>
    <t>ma.ghasemizadeh@yahoo.com</t>
  </si>
  <si>
    <t>سید محمد امین</t>
  </si>
  <si>
    <t>قاسمی زاده</t>
  </si>
  <si>
    <t>محسن کلانتریان</t>
  </si>
  <si>
    <t>9120158957</t>
  </si>
  <si>
    <t>sm.kalantaryan@gmail.com</t>
  </si>
  <si>
    <t>کلانتریان</t>
  </si>
  <si>
    <t>عارفه دانا</t>
  </si>
  <si>
    <t>bkhshytktm@gmail.com</t>
  </si>
  <si>
    <t>عارفه</t>
  </si>
  <si>
    <t>دانا</t>
  </si>
  <si>
    <t>مرتضی ایمان پور</t>
  </si>
  <si>
    <t>morteza_imanpour@yahoo.com</t>
  </si>
  <si>
    <t>ایمان پور</t>
  </si>
  <si>
    <t>تینا یزدانی</t>
  </si>
  <si>
    <t>9124447730</t>
  </si>
  <si>
    <t>tinayazdani@ymail.com</t>
  </si>
  <si>
    <t>یزدانی</t>
  </si>
  <si>
    <t>محمد کیانی</t>
  </si>
  <si>
    <t>9919472624</t>
  </si>
  <si>
    <t>kianiabari78@gmail.com</t>
  </si>
  <si>
    <t>محمدامین صالحی</t>
  </si>
  <si>
    <t>9307678137</t>
  </si>
  <si>
    <t>amin.salehi1995@gmail.com</t>
  </si>
  <si>
    <t>صابر خورشیدی</t>
  </si>
  <si>
    <t>saber.k@chmail.ir</t>
  </si>
  <si>
    <t>صابر</t>
  </si>
  <si>
    <t>خورشیدی</t>
  </si>
  <si>
    <t>سارا مولا هویزه</t>
  </si>
  <si>
    <t>mola.sarah.h@gmail.com</t>
  </si>
  <si>
    <t>مولا هویزه</t>
  </si>
  <si>
    <t>نوشین علی اشرفی</t>
  </si>
  <si>
    <t>9148331349</t>
  </si>
  <si>
    <t>naliashrafi1368@gamil.com</t>
  </si>
  <si>
    <t>علی اشرفی</t>
  </si>
  <si>
    <t>آرش خسرویان</t>
  </si>
  <si>
    <t>9127192230</t>
  </si>
  <si>
    <t>khosraviian@gmail.com</t>
  </si>
  <si>
    <t>خسرویان</t>
  </si>
  <si>
    <t>علیرضا سعیدی</t>
  </si>
  <si>
    <t>9155127849</t>
  </si>
  <si>
    <t>alisaeedir@gmail.com</t>
  </si>
  <si>
    <t>احمد محمدی</t>
  </si>
  <si>
    <t>9163918667</t>
  </si>
  <si>
    <t>Ahmad.m8886@gmail.com</t>
  </si>
  <si>
    <t>حسام ؟</t>
  </si>
  <si>
    <t>؟</t>
  </si>
  <si>
    <t>احمد الموسوی</t>
  </si>
  <si>
    <t>7830776620</t>
  </si>
  <si>
    <t>ahmed.s@sindibad.iq</t>
  </si>
  <si>
    <t>Ahmed</t>
  </si>
  <si>
    <t>Al-Musawi</t>
  </si>
  <si>
    <t>محسن جعفری</t>
  </si>
  <si>
    <t>9154527323</t>
  </si>
  <si>
    <t>jafari.sefid@gmail.com</t>
  </si>
  <si>
    <t>سعید طاهری</t>
  </si>
  <si>
    <t>9124309373</t>
  </si>
  <si>
    <t>s.taheri@alibaba.ir</t>
  </si>
  <si>
    <t>زهرا تجویدیان</t>
  </si>
  <si>
    <t>۹۱۲۹۳۸۲۸۴۲</t>
  </si>
  <si>
    <t>zahratajvidian879@gmail.com</t>
  </si>
  <si>
    <t>تجویدیان</t>
  </si>
  <si>
    <t>9125398521</t>
  </si>
  <si>
    <t>Samzarrabi276@gmail.com</t>
  </si>
  <si>
    <t>SAM</t>
  </si>
  <si>
    <t>ZARRABI</t>
  </si>
  <si>
    <t>سارا حمید</t>
  </si>
  <si>
    <t>9929536993</t>
  </si>
  <si>
    <t>sarahamidi097@gmail.com</t>
  </si>
  <si>
    <t>مهسا انوری کیا</t>
  </si>
  <si>
    <t>9142501663</t>
  </si>
  <si>
    <t>anvarikia.mahsa@gmail.com</t>
  </si>
  <si>
    <t>انوری کیا</t>
  </si>
  <si>
    <t>علیرضا مروج</t>
  </si>
  <si>
    <t>9121352110</t>
  </si>
  <si>
    <t>armoravej@gmail.com</t>
  </si>
  <si>
    <t>مروج</t>
  </si>
  <si>
    <t>علیرضا رحمت الله</t>
  </si>
  <si>
    <t>۹۱۲۸۵۲۲۵۸۵</t>
  </si>
  <si>
    <t>alirezarahmatolah@gmail.com</t>
  </si>
  <si>
    <t>شهرام شینی کرم</t>
  </si>
  <si>
    <t>9125209524</t>
  </si>
  <si>
    <t>Dr_sheini@yahoo.com</t>
  </si>
  <si>
    <t>شینی کرم</t>
  </si>
  <si>
    <t>شقایق بحرانی</t>
  </si>
  <si>
    <t>9165280522</t>
  </si>
  <si>
    <t>shaghayegh.b8886@gmail.com</t>
  </si>
  <si>
    <t>نفیسه ساجی</t>
  </si>
  <si>
    <t>9126066927</t>
  </si>
  <si>
    <t>nafiseh.saji@gmail.com</t>
  </si>
  <si>
    <t>ساجی</t>
  </si>
  <si>
    <t>علی خزاعی</t>
  </si>
  <si>
    <t>9037766234</t>
  </si>
  <si>
    <t>ali.saeed.alkhazaei@outlook.com</t>
  </si>
  <si>
    <t>خزاعی</t>
  </si>
  <si>
    <t>زهرا قربانی</t>
  </si>
  <si>
    <t>۹۳۷۶۵۴۶۱۶۶</t>
  </si>
  <si>
    <t>Zghorbani.9651@gmail.com</t>
  </si>
  <si>
    <t>مهدی عباسیان</t>
  </si>
  <si>
    <t>09354299258</t>
  </si>
  <si>
    <t>m.abbasian@gmail.com</t>
  </si>
  <si>
    <t>عباسیان</t>
  </si>
  <si>
    <t>مهدی نجار</t>
  </si>
  <si>
    <t>9122597327</t>
  </si>
  <si>
    <t>mnajjard@gmail.com</t>
  </si>
  <si>
    <t>هادی صفری</t>
  </si>
  <si>
    <t>09123201068</t>
  </si>
  <si>
    <t>hdsafari7@gmail.com</t>
  </si>
  <si>
    <t>شاهرخ موذن</t>
  </si>
  <si>
    <t>09124672363</t>
  </si>
  <si>
    <t>Sh.moazzen@yahoo.com</t>
  </si>
  <si>
    <t>شاهرخ</t>
  </si>
  <si>
    <t>موذن</t>
  </si>
  <si>
    <t>masoudbagheri79@gmail.com</t>
  </si>
  <si>
    <t>راشین کاویتی</t>
  </si>
  <si>
    <t>rashinktv@gmail.com</t>
  </si>
  <si>
    <t>راشین</t>
  </si>
  <si>
    <t>کاویتی</t>
  </si>
  <si>
    <t>مونا سیوانی</t>
  </si>
  <si>
    <t>09374869963</t>
  </si>
  <si>
    <t>mona.seyvani74@gmail.com</t>
  </si>
  <si>
    <t>سیوانی</t>
  </si>
  <si>
    <t>رضا احمدی</t>
  </si>
  <si>
    <t>9124980423</t>
  </si>
  <si>
    <t>r.odises@gmail.com</t>
  </si>
  <si>
    <t>یاسمین دشتی</t>
  </si>
  <si>
    <t>9125488255</t>
  </si>
  <si>
    <t>yasaminda@gmail.com</t>
  </si>
  <si>
    <t>دشتی</t>
  </si>
  <si>
    <t>9125052440</t>
  </si>
  <si>
    <t>hashem.kiani.harchegani@gmail.com</t>
  </si>
  <si>
    <t>غزاله سلیمانی</t>
  </si>
  <si>
    <t>9123819877</t>
  </si>
  <si>
    <t>6150114511</t>
  </si>
  <si>
    <t>زعفروش</t>
  </si>
  <si>
    <t>هانیه طباطبایی</t>
  </si>
  <si>
    <t>9352493013</t>
  </si>
  <si>
    <t>tabatabaei.ht@gmail.com</t>
  </si>
  <si>
    <t>19042345</t>
  </si>
  <si>
    <t>پگاه جشنی</t>
  </si>
  <si>
    <t>9127696121</t>
  </si>
  <si>
    <t>pegahjashni@yahoo.com</t>
  </si>
  <si>
    <t>311020658</t>
  </si>
  <si>
    <t>جشنی</t>
  </si>
  <si>
    <t>بردیا حیدری</t>
  </si>
  <si>
    <t>9384605300</t>
  </si>
  <si>
    <t>az.Bardia13@gmail.com</t>
  </si>
  <si>
    <t>۰۰۱۷۵۷۸۱۶۷</t>
  </si>
  <si>
    <t>حیدری</t>
  </si>
  <si>
    <t>المیرا سطوحی</t>
  </si>
  <si>
    <t>9124086602</t>
  </si>
  <si>
    <t>e.sotuhi@gmail.com</t>
  </si>
  <si>
    <t>78120101</t>
  </si>
  <si>
    <t>سطوحی</t>
  </si>
  <si>
    <t>آروین مشکینی</t>
  </si>
  <si>
    <t>9122251875</t>
  </si>
  <si>
    <t>arvin.meshkini@gmail.com</t>
  </si>
  <si>
    <t>79750321</t>
  </si>
  <si>
    <t>آروین</t>
  </si>
  <si>
    <t>مشکینی</t>
  </si>
  <si>
    <t>حسین اثنی عشری</t>
  </si>
  <si>
    <t>9196842725</t>
  </si>
  <si>
    <t>20449372</t>
  </si>
  <si>
    <t>اثنی عشری</t>
  </si>
  <si>
    <t>محدثه گودرزی</t>
  </si>
  <si>
    <t>9903329231</t>
  </si>
  <si>
    <t>mohadesegoodarzi1376@gmail.com</t>
  </si>
  <si>
    <t>371646359</t>
  </si>
  <si>
    <t>محدثه</t>
  </si>
  <si>
    <t>محمد امین رنجبری</t>
  </si>
  <si>
    <t>9304187810</t>
  </si>
  <si>
    <t>Mohammadaminre88@gmail.com</t>
  </si>
  <si>
    <t>2420785274</t>
  </si>
  <si>
    <t>محمد امین</t>
  </si>
  <si>
    <t>رنجبری</t>
  </si>
  <si>
    <t>9102412658</t>
  </si>
  <si>
    <t>erfan@drsaina.com</t>
  </si>
  <si>
    <t>22635904</t>
  </si>
  <si>
    <t>9363966160</t>
  </si>
  <si>
    <t>behnamm92@gmail.com</t>
  </si>
  <si>
    <t>5960007622</t>
  </si>
  <si>
    <t>زهرا روستائی</t>
  </si>
  <si>
    <t>9129218305</t>
  </si>
  <si>
    <t>zahra.roosta1995@gmail.com</t>
  </si>
  <si>
    <t>440506522</t>
  </si>
  <si>
    <t>روستائی</t>
  </si>
  <si>
    <t>پارسا عبدالهی</t>
  </si>
  <si>
    <t>9193203700</t>
  </si>
  <si>
    <t>p.abdollahi@jabama.com</t>
  </si>
  <si>
    <t>2282362233</t>
  </si>
  <si>
    <t>عبدالهی</t>
  </si>
  <si>
    <t>باقر سهرابی</t>
  </si>
  <si>
    <t>9192848236</t>
  </si>
  <si>
    <t>b.sohrabi@jabama.com</t>
  </si>
  <si>
    <t>4324530221</t>
  </si>
  <si>
    <t>باقر</t>
  </si>
  <si>
    <t>فرناز هداوند</t>
  </si>
  <si>
    <t>9212434582</t>
  </si>
  <si>
    <t>hadavandfarnaz@gmail.com</t>
  </si>
  <si>
    <t>323244238</t>
  </si>
  <si>
    <t>هداوند</t>
  </si>
  <si>
    <t>صدف ولوی</t>
  </si>
  <si>
    <t>9397848583</t>
  </si>
  <si>
    <t>sadaf.valavi40@gmail.com</t>
  </si>
  <si>
    <t>24599883</t>
  </si>
  <si>
    <t>صدف</t>
  </si>
  <si>
    <t>ولوی</t>
  </si>
  <si>
    <t>علی کاردلی</t>
  </si>
  <si>
    <t>9126595179</t>
  </si>
  <si>
    <t>alikardeli.ak79@gmail.vom</t>
  </si>
  <si>
    <t>2110891521</t>
  </si>
  <si>
    <t>کاردلی</t>
  </si>
  <si>
    <t>ویدا گلزار</t>
  </si>
  <si>
    <t>9911711664</t>
  </si>
  <si>
    <t>F.Golzar@alibaba.ir</t>
  </si>
  <si>
    <t>5720134840</t>
  </si>
  <si>
    <t>گلزار</t>
  </si>
  <si>
    <t>الهه عباسی</t>
  </si>
  <si>
    <t>9351383174</t>
  </si>
  <si>
    <t>eliabbassi@gmail.com</t>
  </si>
  <si>
    <t>10035648</t>
  </si>
  <si>
    <t>سعید خالیق</t>
  </si>
  <si>
    <t>9112692919</t>
  </si>
  <si>
    <t>s.khaligh@alibaba.ir</t>
  </si>
  <si>
    <t>2110554975</t>
  </si>
  <si>
    <t>خالیق</t>
  </si>
  <si>
    <t>سرور کاوه</t>
  </si>
  <si>
    <t>9308418638</t>
  </si>
  <si>
    <t>s.kaveh@alibaba.ir</t>
  </si>
  <si>
    <t>2110473207</t>
  </si>
  <si>
    <t>سرور</t>
  </si>
  <si>
    <t>نگار ِ سرمست</t>
  </si>
  <si>
    <t>9377310540</t>
  </si>
  <si>
    <t>negarnateghi96@gmail.com</t>
  </si>
  <si>
    <t>924050756</t>
  </si>
  <si>
    <t>سلماز رضازاده</t>
  </si>
  <si>
    <t>9112788617</t>
  </si>
  <si>
    <t>s.rezazadeh@alibaba.ir</t>
  </si>
  <si>
    <t>2110312440</t>
  </si>
  <si>
    <t>سلماز</t>
  </si>
  <si>
    <t>رسول سلطانی</t>
  </si>
  <si>
    <t>9116468905</t>
  </si>
  <si>
    <t>r.soltani@alibaba.ir</t>
  </si>
  <si>
    <t>2110645814</t>
  </si>
  <si>
    <t>طاهره غلامی</t>
  </si>
  <si>
    <t>9126643468</t>
  </si>
  <si>
    <t>mstgholami@gmail.com</t>
  </si>
  <si>
    <t>79139310</t>
  </si>
  <si>
    <t>طاهره</t>
  </si>
  <si>
    <t>غلامی</t>
  </si>
  <si>
    <t>آناهیتا زMیان</t>
  </si>
  <si>
    <t>9126081549</t>
  </si>
  <si>
    <t>a.zomorrodian@alibaba.ir</t>
  </si>
  <si>
    <t>11420421</t>
  </si>
  <si>
    <t>آناهیتا</t>
  </si>
  <si>
    <t>زمیان</t>
  </si>
  <si>
    <t>امیرحسین رایجی</t>
  </si>
  <si>
    <t>9011711981</t>
  </si>
  <si>
    <t>amirhosseinrayeji1995@gmail.com</t>
  </si>
  <si>
    <t>2110527791</t>
  </si>
  <si>
    <t>رایجی</t>
  </si>
  <si>
    <t>فیروز سمیعی</t>
  </si>
  <si>
    <t>9354822331</t>
  </si>
  <si>
    <t>firouze.smi74@gmail.com</t>
  </si>
  <si>
    <t>2110610921</t>
  </si>
  <si>
    <t>فیروز</t>
  </si>
  <si>
    <t>سمیعی</t>
  </si>
  <si>
    <t>بهزاد حدادی</t>
  </si>
  <si>
    <t>9122219194</t>
  </si>
  <si>
    <t>behzad.hadadi@gmail.com</t>
  </si>
  <si>
    <t>74612360</t>
  </si>
  <si>
    <t>حسین رحیمی</t>
  </si>
  <si>
    <t>9192964201</t>
  </si>
  <si>
    <t>rahimi.link@gmail.com</t>
  </si>
  <si>
    <t>12178497</t>
  </si>
  <si>
    <t>رحیمی</t>
  </si>
  <si>
    <t>سید صادق مهدوی</t>
  </si>
  <si>
    <t>9331363893</t>
  </si>
  <si>
    <t>saber.mahdavi.2000@gmail.com</t>
  </si>
  <si>
    <t>2980918385</t>
  </si>
  <si>
    <t>سید مسعود مهدوی</t>
  </si>
  <si>
    <t>9359634042</t>
  </si>
  <si>
    <t>massoud.ati@gmail.com</t>
  </si>
  <si>
    <t>2980310247</t>
  </si>
  <si>
    <t>سید مسعود</t>
  </si>
  <si>
    <t>افسانه سادات جلیلیان</t>
  </si>
  <si>
    <t>9199660365</t>
  </si>
  <si>
    <t>afsanejalilian98@gmail.com</t>
  </si>
  <si>
    <t>5560473189</t>
  </si>
  <si>
    <t>افسانه سادات</t>
  </si>
  <si>
    <t>امیر گرامی</t>
  </si>
  <si>
    <t>9123851990</t>
  </si>
  <si>
    <t>amirogerami@gmail.com</t>
  </si>
  <si>
    <t>453365256</t>
  </si>
  <si>
    <t>گرامی</t>
  </si>
  <si>
    <t>عرشیا زارع</t>
  </si>
  <si>
    <t>9128841864</t>
  </si>
  <si>
    <t>arshia81.az@gmail.com</t>
  </si>
  <si>
    <t>4061348825</t>
  </si>
  <si>
    <t>عرشیا</t>
  </si>
  <si>
    <t>پریناز جواهری</t>
  </si>
  <si>
    <t>9125990767</t>
  </si>
  <si>
    <t>javaheri.parinaz@gmail.com</t>
  </si>
  <si>
    <t>440454395</t>
  </si>
  <si>
    <t>پریناز</t>
  </si>
  <si>
    <t>جواهری</t>
  </si>
  <si>
    <t>عبدالرحیم کردی</t>
  </si>
  <si>
    <t>9153437251</t>
  </si>
  <si>
    <t>kordi342@gmail.com</t>
  </si>
  <si>
    <t>3719171981</t>
  </si>
  <si>
    <t>عبدالرحیم</t>
  </si>
  <si>
    <t>کردی</t>
  </si>
  <si>
    <t>مصطفی حیدری</t>
  </si>
  <si>
    <t>9120519209</t>
  </si>
  <si>
    <t>mostafaheidari7@gmail.com</t>
  </si>
  <si>
    <t>371418496</t>
  </si>
  <si>
    <t>علی صالحی</t>
  </si>
  <si>
    <t>9124308425</t>
  </si>
  <si>
    <t>a.salehi@alibaba.ir</t>
  </si>
  <si>
    <t>83062122</t>
  </si>
  <si>
    <t>Mamrez</t>
  </si>
  <si>
    <t>9109090003</t>
  </si>
  <si>
    <t>mr.mamrezz@gmail.com</t>
  </si>
  <si>
    <t>1250344077</t>
  </si>
  <si>
    <t>9159880915</t>
  </si>
  <si>
    <t>ms.sepiide@gmail.com</t>
  </si>
  <si>
    <t>670138381</t>
  </si>
  <si>
    <t>9132763021</t>
  </si>
  <si>
    <t>۱۲۵۰۲۲۴۱۴۴</t>
  </si>
  <si>
    <t>میهن مکی</t>
  </si>
  <si>
    <t>9166713611</t>
  </si>
  <si>
    <t>makimihan@gmail.com</t>
  </si>
  <si>
    <t>1860360701</t>
  </si>
  <si>
    <t>میهن</t>
  </si>
  <si>
    <t>مکی</t>
  </si>
  <si>
    <t>سوگند قره باغی</t>
  </si>
  <si>
    <t>9038888605</t>
  </si>
  <si>
    <t>sogandgr@gmail.com</t>
  </si>
  <si>
    <t>19007159</t>
  </si>
  <si>
    <t>سوگند</t>
  </si>
  <si>
    <t>قره باغی</t>
  </si>
  <si>
    <t>حلمد حاتمی</t>
  </si>
  <si>
    <t>9121089162</t>
  </si>
  <si>
    <t>hamed4900@gmail.com</t>
  </si>
  <si>
    <t>64562050</t>
  </si>
  <si>
    <t>حلمد</t>
  </si>
  <si>
    <t>حمیدرضا حاتمی</t>
  </si>
  <si>
    <t>9121195947</t>
  </si>
  <si>
    <t>hr.hatami@yahoo.com</t>
  </si>
  <si>
    <t>62517198</t>
  </si>
  <si>
    <t>محسن رمضانی</t>
  </si>
  <si>
    <t>9123864384</t>
  </si>
  <si>
    <t>m.ramezani@alibaba.ir</t>
  </si>
  <si>
    <t>63281058</t>
  </si>
  <si>
    <t>رمضانی</t>
  </si>
  <si>
    <t>محمد علی جواهری</t>
  </si>
  <si>
    <t>9384674732</t>
  </si>
  <si>
    <t>javamoh.n@gmail.com</t>
  </si>
  <si>
    <t>1240031173</t>
  </si>
  <si>
    <t>مهدی زارع</t>
  </si>
  <si>
    <t>9376713848</t>
  </si>
  <si>
    <t>hr@nextoffice.ir</t>
  </si>
  <si>
    <t>310109418</t>
  </si>
  <si>
    <t>جواهر صالح</t>
  </si>
  <si>
    <t>9352334607</t>
  </si>
  <si>
    <t>j.saleh@alibaba.ir</t>
  </si>
  <si>
    <t>77057813</t>
  </si>
  <si>
    <t>جواهر</t>
  </si>
  <si>
    <t>حسام یوسفی</t>
  </si>
  <si>
    <t>9151485244</t>
  </si>
  <si>
    <t>hesamo.yousefi@gmail.com</t>
  </si>
  <si>
    <t>3701443033</t>
  </si>
  <si>
    <t>ارشیا یاراحمدی</t>
  </si>
  <si>
    <t>9024227043</t>
  </si>
  <si>
    <t>mrpars@yahoo.com</t>
  </si>
  <si>
    <t>1274092825</t>
  </si>
  <si>
    <t>ارشیا</t>
  </si>
  <si>
    <t>یاراحمدی</t>
  </si>
  <si>
    <t>حمیدی منش</t>
  </si>
  <si>
    <t>parviz_hamidimanesh@yahoo.com</t>
  </si>
  <si>
    <t>3621904824</t>
  </si>
  <si>
    <t>محمدرضا غفوری</t>
  </si>
  <si>
    <t>9190082403</t>
  </si>
  <si>
    <t>m.ghafouri@alibaba.ir</t>
  </si>
  <si>
    <t>15225542</t>
  </si>
  <si>
    <t>غفوری</t>
  </si>
  <si>
    <t>فرهاد مراد قلی</t>
  </si>
  <si>
    <t>9125381892</t>
  </si>
  <si>
    <t>farhad.moradgholi.bg@gmail.com</t>
  </si>
  <si>
    <t>453409806</t>
  </si>
  <si>
    <t>مراد قلی</t>
  </si>
  <si>
    <t>محمد شهبازی</t>
  </si>
  <si>
    <t>9905528575</t>
  </si>
  <si>
    <t>mohammad.shahbazi.bg@gmail.com</t>
  </si>
  <si>
    <t>83171800</t>
  </si>
  <si>
    <t>شهبازی</t>
  </si>
  <si>
    <t>حسین بدرخانی</t>
  </si>
  <si>
    <t>9121937097</t>
  </si>
  <si>
    <t>hosein.badrkhani.bg@gmail.com</t>
  </si>
  <si>
    <t>71755675</t>
  </si>
  <si>
    <t>بدرخانی</t>
  </si>
  <si>
    <t>نرگس علیزاده</t>
  </si>
  <si>
    <t>9123434998</t>
  </si>
  <si>
    <t>masih.rasty.bg@gmail.com</t>
  </si>
  <si>
    <t>2279923467</t>
  </si>
  <si>
    <t>علیزاده</t>
  </si>
  <si>
    <t>مژگان شالورزاده</t>
  </si>
  <si>
    <t>9370797990</t>
  </si>
  <si>
    <t>sheyda.rahnama.bg@gmail.com</t>
  </si>
  <si>
    <t>1841542318</t>
  </si>
  <si>
    <t>شالورزاده</t>
  </si>
  <si>
    <t>Niv Najjar Disfani</t>
  </si>
  <si>
    <t>niv.najjar.bg@gmail.com</t>
  </si>
  <si>
    <t>442781806</t>
  </si>
  <si>
    <t>Niv</t>
  </si>
  <si>
    <t>Najjar Disfani</t>
  </si>
  <si>
    <t>میثم ابراهیمی</t>
  </si>
  <si>
    <t>9122273880</t>
  </si>
  <si>
    <t>3391741872</t>
  </si>
  <si>
    <t>عرفان قلی پور</t>
  </si>
  <si>
    <t>9146230713</t>
  </si>
  <si>
    <t>e.gholipour17@gmail.com</t>
  </si>
  <si>
    <t>2740769474</t>
  </si>
  <si>
    <t>قلی پور</t>
  </si>
  <si>
    <t>سارا بردستانی</t>
  </si>
  <si>
    <t>9122141260</t>
  </si>
  <si>
    <t>S.bardestani@gmail.com</t>
  </si>
  <si>
    <t>۳۵۴۹۱۹۵۵۲۴</t>
  </si>
  <si>
    <t>بردستانی</t>
  </si>
  <si>
    <t>ناصر آبروش</t>
  </si>
  <si>
    <t>9155453101</t>
  </si>
  <si>
    <t>n.abravesh@gmail.com</t>
  </si>
  <si>
    <t>۰۰۶۵۲۱۹۴۴۹</t>
  </si>
  <si>
    <t>آبروش</t>
  </si>
  <si>
    <t>توماج</t>
  </si>
  <si>
    <t>9144412022</t>
  </si>
  <si>
    <t>toomajv@gmail.com</t>
  </si>
  <si>
    <t>2753820880</t>
  </si>
  <si>
    <t>مریم رضوی نیک</t>
  </si>
  <si>
    <t>9120036176</t>
  </si>
  <si>
    <t>maryamrazavinikoo@yahoo.com</t>
  </si>
  <si>
    <t>17379954</t>
  </si>
  <si>
    <t>رضوی نیک</t>
  </si>
  <si>
    <t>محمد شیرانی</t>
  </si>
  <si>
    <t>9035432595</t>
  </si>
  <si>
    <t>mohammadshirani0@gmail.com</t>
  </si>
  <si>
    <t>1272394344</t>
  </si>
  <si>
    <t>شیرانی</t>
  </si>
  <si>
    <t>زهره نفری</t>
  </si>
  <si>
    <t>9122390802</t>
  </si>
  <si>
    <t>Nafarizohreh@gmail.com</t>
  </si>
  <si>
    <t>66707803</t>
  </si>
  <si>
    <t>نفری</t>
  </si>
  <si>
    <t>بیژن</t>
  </si>
  <si>
    <t>9123579152</t>
  </si>
  <si>
    <t>Bijan9298@yahoo.com</t>
  </si>
  <si>
    <t>2371856797</t>
  </si>
  <si>
    <t>امیرحسین فراهانی</t>
  </si>
  <si>
    <t>9015902707</t>
  </si>
  <si>
    <t>far4041@gmail.com</t>
  </si>
  <si>
    <t>372183395</t>
  </si>
  <si>
    <t>9381221049</t>
  </si>
  <si>
    <t>imanf.7561@gmail.com</t>
  </si>
  <si>
    <t>19442467</t>
  </si>
  <si>
    <t>شاهین سبزواری</t>
  </si>
  <si>
    <t>9101233833</t>
  </si>
  <si>
    <t>shahinsabzevari@gmail.com</t>
  </si>
  <si>
    <t>81899661</t>
  </si>
  <si>
    <t>شاهین</t>
  </si>
  <si>
    <t>سبزواری</t>
  </si>
  <si>
    <t>سیدمحمدرضا فرشچی</t>
  </si>
  <si>
    <t>9120644960</t>
  </si>
  <si>
    <t>s.r.farshchi@ieee.org</t>
  </si>
  <si>
    <t>945007264</t>
  </si>
  <si>
    <t>سیدمحمدرضا</t>
  </si>
  <si>
    <t>فرشچی</t>
  </si>
  <si>
    <t>ابوالفضل خان محمدی</t>
  </si>
  <si>
    <t>9192783834</t>
  </si>
  <si>
    <t>khanmohammadi_abolfazl@yahoo.com</t>
  </si>
  <si>
    <t>4271184446</t>
  </si>
  <si>
    <t>خان محمدی</t>
  </si>
  <si>
    <t>درسا جلالی</t>
  </si>
  <si>
    <t>09124943004</t>
  </si>
  <si>
    <t>dorsa@synapseaccelerator.com</t>
  </si>
  <si>
    <t>##############</t>
  </si>
  <si>
    <t>09120199974</t>
  </si>
  <si>
    <t>Shayansharifi14@gmail.com</t>
  </si>
  <si>
    <t>مهسا هنرمندی</t>
  </si>
  <si>
    <t>9353998016</t>
  </si>
  <si>
    <t>m.honarmandi@alibaba.ir</t>
  </si>
  <si>
    <t>310229715</t>
  </si>
  <si>
    <t>هنرمندی</t>
  </si>
  <si>
    <t>yaserff69@gmail.com</t>
  </si>
  <si>
    <t>ایمان علیزادگان</t>
  </si>
  <si>
    <t>9128898869</t>
  </si>
  <si>
    <t>imanalizadegan72@gmail.com</t>
  </si>
  <si>
    <t>16371240</t>
  </si>
  <si>
    <t>علیزادگان</t>
  </si>
  <si>
    <t>پروانه علائی</t>
  </si>
  <si>
    <t>9196315339</t>
  </si>
  <si>
    <t>parvaneh_alaei@yahoo.com</t>
  </si>
  <si>
    <t>73448079</t>
  </si>
  <si>
    <t>پروانه</t>
  </si>
  <si>
    <t>علائی</t>
  </si>
  <si>
    <t>مریم موسوی</t>
  </si>
  <si>
    <t>9127272259</t>
  </si>
  <si>
    <t>moosavim15@yahoo.com</t>
  </si>
  <si>
    <t>14731991</t>
  </si>
  <si>
    <t>حدیث</t>
  </si>
  <si>
    <t>9396611376</t>
  </si>
  <si>
    <t>H_mirzazade@yahoo.com</t>
  </si>
  <si>
    <t>۴۶۰۰۰۴۱۴۹۶</t>
  </si>
  <si>
    <t>9125918452</t>
  </si>
  <si>
    <t>yousef.mohammadjani@gmail.com</t>
  </si>
  <si>
    <t>2649375434</t>
  </si>
  <si>
    <t>حسین فراهانی</t>
  </si>
  <si>
    <t>9128207202</t>
  </si>
  <si>
    <t>hosseinfarahani1995@gmail.com</t>
  </si>
  <si>
    <t>18626335</t>
  </si>
  <si>
    <t>رابینو</t>
  </si>
  <si>
    <t>9114229399</t>
  </si>
  <si>
    <t>m.zanganeh@jabama.com</t>
  </si>
  <si>
    <t>2269899547</t>
  </si>
  <si>
    <t>9369818060</t>
  </si>
  <si>
    <t>16236718</t>
  </si>
  <si>
    <t>9024030663</t>
  </si>
  <si>
    <t>Saber.k@chmail.ir</t>
  </si>
  <si>
    <t>17221927</t>
  </si>
  <si>
    <t>سعید خدمتلو</t>
  </si>
  <si>
    <t>9122342515</t>
  </si>
  <si>
    <t>s.khedmatloo@alibaba.ir</t>
  </si>
  <si>
    <t>4284803204</t>
  </si>
  <si>
    <t>خدمتلو</t>
  </si>
  <si>
    <t>مریم خدمتلو</t>
  </si>
  <si>
    <t>84535172</t>
  </si>
  <si>
    <t>9362548832</t>
  </si>
  <si>
    <t>امیرحسین طالبی زاده</t>
  </si>
  <si>
    <t>9370556209</t>
  </si>
  <si>
    <t>amirtalebzade78@gmail.com</t>
  </si>
  <si>
    <t>2981106783</t>
  </si>
  <si>
    <t>طالبی زاده</t>
  </si>
  <si>
    <t>نوید احمدی</t>
  </si>
  <si>
    <t>9123271332</t>
  </si>
  <si>
    <t>Navid.ahmadi@outlook.com</t>
  </si>
  <si>
    <t>1292880333</t>
  </si>
  <si>
    <t>9141039656</t>
  </si>
  <si>
    <t>ma9656@gmail.com</t>
  </si>
  <si>
    <t>1360311971</t>
  </si>
  <si>
    <t>دلارام رضایی</t>
  </si>
  <si>
    <t>9381239399</t>
  </si>
  <si>
    <t>delaramrezaie1375@gmail.com</t>
  </si>
  <si>
    <t>440564085</t>
  </si>
  <si>
    <t>دلارام</t>
  </si>
  <si>
    <t>h.kiani@padidarnet.com</t>
  </si>
  <si>
    <t>۴۶۱۰۰۵۰۰۹۹</t>
  </si>
  <si>
    <t>ندا کیانی</t>
  </si>
  <si>
    <t>۴۶۱۰۲۲۵۱۵۸</t>
  </si>
  <si>
    <t>یاسمن میرزائی</t>
  </si>
  <si>
    <t>9124435853</t>
  </si>
  <si>
    <t>yasamin.m91@gmail.com</t>
  </si>
  <si>
    <t>17046106</t>
  </si>
  <si>
    <t>میرزائی</t>
  </si>
  <si>
    <t>فاطمه کیانی</t>
  </si>
  <si>
    <t>۰۱۵۵۰۷۱۲۰۳</t>
  </si>
  <si>
    <t>محمدمهدی دانا</t>
  </si>
  <si>
    <t>9387139166</t>
  </si>
  <si>
    <t>mmdana.1373@gmail.com</t>
  </si>
  <si>
    <t>۲۲۸۱۸۱۵۵۲۸</t>
  </si>
  <si>
    <t>محمدمهدی</t>
  </si>
  <si>
    <t>امیر بیکیان</t>
  </si>
  <si>
    <t>9394377109</t>
  </si>
  <si>
    <t>amirbeykian@gmail.com</t>
  </si>
  <si>
    <t>17836735</t>
  </si>
  <si>
    <t>بیکیان</t>
  </si>
  <si>
    <t>بهاره کاظمی</t>
  </si>
  <si>
    <t>9139549961</t>
  </si>
  <si>
    <t>baharehkazemi0@gmail.co</t>
  </si>
  <si>
    <t>4433316547</t>
  </si>
  <si>
    <t>علی طهماسبی</t>
  </si>
  <si>
    <t>9161131492</t>
  </si>
  <si>
    <t>tahmasebi.ali@gmail.com</t>
  </si>
  <si>
    <t>6299869739</t>
  </si>
  <si>
    <t>طهماسبی</t>
  </si>
  <si>
    <t>مهدی بازرگانی</t>
  </si>
  <si>
    <t>9127143881</t>
  </si>
  <si>
    <t>mehdy4u@gmail.com</t>
  </si>
  <si>
    <t>2092032801</t>
  </si>
  <si>
    <t>بازرگانی</t>
  </si>
  <si>
    <t>ریحانه حقیقی</t>
  </si>
  <si>
    <t>9385111355</t>
  </si>
  <si>
    <t>reyhan.haghighi@gmail.com</t>
  </si>
  <si>
    <t>82335273</t>
  </si>
  <si>
    <t>حقیقی</t>
  </si>
  <si>
    <t>باهره همراز</t>
  </si>
  <si>
    <t>9102261431</t>
  </si>
  <si>
    <t>baherehamraz@gmail.com</t>
  </si>
  <si>
    <t>18482831</t>
  </si>
  <si>
    <t>باهره</t>
  </si>
  <si>
    <t>همراز</t>
  </si>
  <si>
    <t>آرش سروی</t>
  </si>
  <si>
    <t>9143159445</t>
  </si>
  <si>
    <t>91431594445</t>
  </si>
  <si>
    <t>علی اژدری</t>
  </si>
  <si>
    <t>9127502487</t>
  </si>
  <si>
    <t>ali.azhdary2700@gmail.com</t>
  </si>
  <si>
    <t>440930243</t>
  </si>
  <si>
    <t>آرزو قانع</t>
  </si>
  <si>
    <t>9124112249</t>
  </si>
  <si>
    <t>a.ghane@gmail.com</t>
  </si>
  <si>
    <t>60798319</t>
  </si>
  <si>
    <t>قانع</t>
  </si>
  <si>
    <t>محمد ملت دوست</t>
  </si>
  <si>
    <t>9127425108</t>
  </si>
  <si>
    <t>mohammadmellatdoost1997@gmail.com</t>
  </si>
  <si>
    <t>20658249</t>
  </si>
  <si>
    <t>ملت دوست</t>
  </si>
  <si>
    <t>شیلا افضل</t>
  </si>
  <si>
    <t>9355138001</t>
  </si>
  <si>
    <t>Moosavi_h@rai.ir</t>
  </si>
  <si>
    <t>71290982</t>
  </si>
  <si>
    <t>شیلا</t>
  </si>
  <si>
    <t>افضل</t>
  </si>
  <si>
    <t>میر مهدی موسوی</t>
  </si>
  <si>
    <t>9123840336</t>
  </si>
  <si>
    <t>1361361271</t>
  </si>
  <si>
    <t>میر مهدی</t>
  </si>
  <si>
    <t>آرش کشاورز</t>
  </si>
  <si>
    <t>9395605075</t>
  </si>
  <si>
    <t>arash.3253@gmail.com</t>
  </si>
  <si>
    <t>کشاورز</t>
  </si>
  <si>
    <t>احسان اقبالی</t>
  </si>
  <si>
    <t>9109005263</t>
  </si>
  <si>
    <t>emeghbalii@gmail.com</t>
  </si>
  <si>
    <t>احمدرضا چراغ‌لو</t>
  </si>
  <si>
    <t>9331904053</t>
  </si>
  <si>
    <t>Ahmadreza.Cheraghloo@SnappTrip.com</t>
  </si>
  <si>
    <t>احمدرضا</t>
  </si>
  <si>
    <t>چراغ‌لو</t>
  </si>
  <si>
    <t>اشکان محرم زاده</t>
  </si>
  <si>
    <t>9213563794</t>
  </si>
  <si>
    <t>ashkan.moharamzade@gmail.com</t>
  </si>
  <si>
    <t>اشکان</t>
  </si>
  <si>
    <t>محرم زاده</t>
  </si>
  <si>
    <t>9121472143</t>
  </si>
  <si>
    <t>افسانه کبیریان</t>
  </si>
  <si>
    <t>afsaneh.kabirian89@gmail.com</t>
  </si>
  <si>
    <t>الهام اجتهادی</t>
  </si>
  <si>
    <t>9144327232</t>
  </si>
  <si>
    <t>elham.ejtehadi@yahoo.com</t>
  </si>
  <si>
    <t>اجتهادی</t>
  </si>
  <si>
    <t>مدیر روابط عمومی بنیاد امین آرسته</t>
  </si>
  <si>
    <t>9389813202</t>
  </si>
  <si>
    <t>aminarastehcharity@gmail.com</t>
  </si>
  <si>
    <t>9120315132</t>
  </si>
  <si>
    <t>amirallami1176@gmail.com</t>
  </si>
  <si>
    <t>علامی</t>
  </si>
  <si>
    <t>امیرحسین ملکی</t>
  </si>
  <si>
    <t>9168550752</t>
  </si>
  <si>
    <t>Robatnamaki@gmail.com</t>
  </si>
  <si>
    <t>امیرحسین قوام</t>
  </si>
  <si>
    <t>9120882522</t>
  </si>
  <si>
    <t>قوام</t>
  </si>
  <si>
    <t>امیرعلی حبشی زاده</t>
  </si>
  <si>
    <t>9368880172</t>
  </si>
  <si>
    <t>حبشی زاده</t>
  </si>
  <si>
    <t>امیرمحمّد تهمتن</t>
  </si>
  <si>
    <t>9120846086</t>
  </si>
  <si>
    <t>amirm.tahamtan@outlook.com</t>
  </si>
  <si>
    <t>امیرمحمّد</t>
  </si>
  <si>
    <t>تهمتن</t>
  </si>
  <si>
    <t>ایمان اجتهادیان</t>
  </si>
  <si>
    <t>9124446164</t>
  </si>
  <si>
    <t>iman.ejt@gmail.com</t>
  </si>
  <si>
    <t>اجتهادیان</t>
  </si>
  <si>
    <t>بهروز حسن پور</t>
  </si>
  <si>
    <t>9131170532</t>
  </si>
  <si>
    <t>behroozhasanpoor@gmail.com</t>
  </si>
  <si>
    <t>حسن پور</t>
  </si>
  <si>
    <t>بیتا برنا</t>
  </si>
  <si>
    <t>9131029547</t>
  </si>
  <si>
    <t>Drborna400@gmail.com</t>
  </si>
  <si>
    <t>برنا</t>
  </si>
  <si>
    <t>پردیس رزاق منش</t>
  </si>
  <si>
    <t>9331636679</t>
  </si>
  <si>
    <t>pardis.rzmnsh@gmail.com</t>
  </si>
  <si>
    <t>پردیس</t>
  </si>
  <si>
    <t>رزاق منش</t>
  </si>
  <si>
    <t>پوریا محمد رضایی</t>
  </si>
  <si>
    <t>9128400970</t>
  </si>
  <si>
    <t>pouriya.rezaie@gmail.com</t>
  </si>
  <si>
    <t>پوریا</t>
  </si>
  <si>
    <t>محمدرضایی</t>
  </si>
  <si>
    <t>پیام شاه حسینی</t>
  </si>
  <si>
    <t>9123878903</t>
  </si>
  <si>
    <t>Payam@synapseaccelerator.com</t>
  </si>
  <si>
    <t>پیام</t>
  </si>
  <si>
    <t>شاه حسینی</t>
  </si>
  <si>
    <t>توحید علی‌پور</t>
  </si>
  <si>
    <t>9192115870</t>
  </si>
  <si>
    <t>tohid.alipour@gmail.com</t>
  </si>
  <si>
    <t>توحید</t>
  </si>
  <si>
    <t>علی‌پور</t>
  </si>
  <si>
    <t>ثمین سادات میرترابی</t>
  </si>
  <si>
    <t>9122780984</t>
  </si>
  <si>
    <t>samin.mirtorabi@gmail.com</t>
  </si>
  <si>
    <t>ثمین</t>
  </si>
  <si>
    <t>سادات میرترابی</t>
  </si>
  <si>
    <t>جواد پاروئی</t>
  </si>
  <si>
    <t>9127074782</t>
  </si>
  <si>
    <t>jparooei@gmail.com</t>
  </si>
  <si>
    <t>پاروئی</t>
  </si>
  <si>
    <t>hrfarrokh@gmail.com</t>
  </si>
  <si>
    <t>حسام الدین یوسفی</t>
  </si>
  <si>
    <t>حسام الدین</t>
  </si>
  <si>
    <t>حسین خاکسار</t>
  </si>
  <si>
    <t>9359953747</t>
  </si>
  <si>
    <t>hossein4527@gmail.com</t>
  </si>
  <si>
    <t>خاکسار</t>
  </si>
  <si>
    <t>حسین روشنایی</t>
  </si>
  <si>
    <t>9176990925</t>
  </si>
  <si>
    <t>roshanaei4@gmail.com</t>
  </si>
  <si>
    <t>روشنایی</t>
  </si>
  <si>
    <t>حسین ایمانی</t>
  </si>
  <si>
    <t>9023345075</t>
  </si>
  <si>
    <t>hoseinimani5075@gmail.com</t>
  </si>
  <si>
    <t>جلمبادانی مدیر مارکتینگ شرکت ردسا</t>
  </si>
  <si>
    <t>9157278010</t>
  </si>
  <si>
    <t>hjalam84@gmail.com</t>
  </si>
  <si>
    <t>حمزه</t>
  </si>
  <si>
    <t>جلمبادانی</t>
  </si>
  <si>
    <t>حمید کبیرمختارفر</t>
  </si>
  <si>
    <t>9124260862</t>
  </si>
  <si>
    <t>Hamid.kabirmokhtar1354@gmail.com</t>
  </si>
  <si>
    <t>کبیرمختارفر</t>
  </si>
  <si>
    <t>9027946559</t>
  </si>
  <si>
    <t>hamidreza.dahooyi@gmail.com</t>
  </si>
  <si>
    <t>داهوئی</t>
  </si>
  <si>
    <t>خشایار معین فر</t>
  </si>
  <si>
    <t>9037933974</t>
  </si>
  <si>
    <t>معین فر</t>
  </si>
  <si>
    <t>رامتین درویش</t>
  </si>
  <si>
    <t>9361261200</t>
  </si>
  <si>
    <t>ramtindarvish159@gmail.com</t>
  </si>
  <si>
    <t>درویش</t>
  </si>
  <si>
    <t>رسول صادقی</t>
  </si>
  <si>
    <t>9351216101</t>
  </si>
  <si>
    <t>srs.sadeghi@gmail.com</t>
  </si>
  <si>
    <t>رها فرهادی</t>
  </si>
  <si>
    <t>9355344963</t>
  </si>
  <si>
    <t>روزبه شجاعی</t>
  </si>
  <si>
    <t>9122083834</t>
  </si>
  <si>
    <t>Roozbehshojaei57@gmail.com</t>
  </si>
  <si>
    <t>روزبه</t>
  </si>
  <si>
    <t>شجاعی</t>
  </si>
  <si>
    <t>روژین جعفری</t>
  </si>
  <si>
    <t>9368570499</t>
  </si>
  <si>
    <t>Jafari.rozhin2@gmail.com</t>
  </si>
  <si>
    <t>روژین</t>
  </si>
  <si>
    <t>زهره حاجی قاسمی</t>
  </si>
  <si>
    <t>9374712864</t>
  </si>
  <si>
    <t>mahankba@gmail.com</t>
  </si>
  <si>
    <t>حاجی قاسمی</t>
  </si>
  <si>
    <t>زهره سادات هاشمی</t>
  </si>
  <si>
    <t>9123062119</t>
  </si>
  <si>
    <t>zohrehsadathashemi56@gmail.com</t>
  </si>
  <si>
    <t>زهره سادات</t>
  </si>
  <si>
    <t>سارینا یوسف زاده</t>
  </si>
  <si>
    <t>9109193213</t>
  </si>
  <si>
    <t>sarina.yousefzadeh@gmail.com</t>
  </si>
  <si>
    <t>سارینا</t>
  </si>
  <si>
    <t>یوسف زاده</t>
  </si>
  <si>
    <t>سبحان مرادی</t>
  </si>
  <si>
    <t>9120353615</t>
  </si>
  <si>
    <t>sobhan.moradi.b@gmail.com</t>
  </si>
  <si>
    <t>سبحان</t>
  </si>
  <si>
    <t>سجاد رودباری</t>
  </si>
  <si>
    <t>9904040122</t>
  </si>
  <si>
    <t>sajad.rudbari@gmail.com</t>
  </si>
  <si>
    <t>رودباری</t>
  </si>
  <si>
    <t>سحر سراجیان</t>
  </si>
  <si>
    <t>9100271499</t>
  </si>
  <si>
    <t>sahar.serajian95@gmail.com</t>
  </si>
  <si>
    <t>سراجیان</t>
  </si>
  <si>
    <t>سعید رضایی</t>
  </si>
  <si>
    <t>9178708280</t>
  </si>
  <si>
    <t>isaeidrezaei@gmail.com</t>
  </si>
  <si>
    <t>رضائی</t>
  </si>
  <si>
    <t>9129455538</t>
  </si>
  <si>
    <t>سمانه نیک پور</t>
  </si>
  <si>
    <t>9127649357</t>
  </si>
  <si>
    <t>sama.it.84@gmail.com</t>
  </si>
  <si>
    <t>نیک پور</t>
  </si>
  <si>
    <t>سیاوش کبگانی</t>
  </si>
  <si>
    <t>9122229770</t>
  </si>
  <si>
    <t>s.kabgani@rasamotor.co</t>
  </si>
  <si>
    <t>کبگانی</t>
  </si>
  <si>
    <t>سید محمدرضا نجفی</t>
  </si>
  <si>
    <t>9195373573</t>
  </si>
  <si>
    <t>karinapars7767@gmail.com</t>
  </si>
  <si>
    <t>سید مححمدرضا</t>
  </si>
  <si>
    <t>9124573512</t>
  </si>
  <si>
    <t>mohos4016@gmail.com</t>
  </si>
  <si>
    <t>سید محمد</t>
  </si>
  <si>
    <t>سید علی شاهرخی موسوی</t>
  </si>
  <si>
    <t>9161612094</t>
  </si>
  <si>
    <t>سیدعلی</t>
  </si>
  <si>
    <t>شاهرخی موسوی</t>
  </si>
  <si>
    <t>سید هادی علوی</t>
  </si>
  <si>
    <t>9128889040</t>
  </si>
  <si>
    <t>سیدهادی</t>
  </si>
  <si>
    <t>علوی</t>
  </si>
  <si>
    <t>سیمین دخت کبگانی</t>
  </si>
  <si>
    <t>9173729259</t>
  </si>
  <si>
    <t>simin.kabgani@gmail.com</t>
  </si>
  <si>
    <t>سیمین دخت</t>
  </si>
  <si>
    <t>شایان شفائی</t>
  </si>
  <si>
    <t>9386861447</t>
  </si>
  <si>
    <t>Shayanshafaei5343@gmail.com</t>
  </si>
  <si>
    <t>شفائی</t>
  </si>
  <si>
    <t>شقایق ساربانها</t>
  </si>
  <si>
    <t>9107588569</t>
  </si>
  <si>
    <t>jingw5316@gmail.com</t>
  </si>
  <si>
    <t>ساربانها</t>
  </si>
  <si>
    <t>شهلا فیروزی</t>
  </si>
  <si>
    <t>9370553164</t>
  </si>
  <si>
    <t>shahla.firoozi.bg@gmail.com</t>
  </si>
  <si>
    <t>فیروزی</t>
  </si>
  <si>
    <t>شیوا رضایی</t>
  </si>
  <si>
    <t>9125954068</t>
  </si>
  <si>
    <t>rezaee.sh90@gmail.com</t>
  </si>
  <si>
    <t>saberk2023@gmail.com</t>
  </si>
  <si>
    <t>عطیه صادقی</t>
  </si>
  <si>
    <t>9120662446</t>
  </si>
  <si>
    <t>atiyehsadeghi79@gmail.com</t>
  </si>
  <si>
    <t>عطیه</t>
  </si>
  <si>
    <t>عباس جعفری</t>
  </si>
  <si>
    <t>9109024826</t>
  </si>
  <si>
    <t>abbas@touric.com</t>
  </si>
  <si>
    <t>عرفان کلانتریان</t>
  </si>
  <si>
    <t>9133508076</t>
  </si>
  <si>
    <t>erfan.k1376@gmail.com</t>
  </si>
  <si>
    <t>عظیم شاه محمدی</t>
  </si>
  <si>
    <t>9120223289</t>
  </si>
  <si>
    <t>shahmohammady_a@yahoo.com</t>
  </si>
  <si>
    <t>عظیم</t>
  </si>
  <si>
    <t>شاه محمدی</t>
  </si>
  <si>
    <t>علی خان احمدی</t>
  </si>
  <si>
    <t>خان احمدی</t>
  </si>
  <si>
    <t>علی شکوهی‌نیا</t>
  </si>
  <si>
    <t>9127711483</t>
  </si>
  <si>
    <t>شکوهی نیا</t>
  </si>
  <si>
    <t>علی صفری</t>
  </si>
  <si>
    <t>9133140949</t>
  </si>
  <si>
    <t>ali.safari2002@yahoo.com</t>
  </si>
  <si>
    <t>علی طیبی</t>
  </si>
  <si>
    <t>9398068483</t>
  </si>
  <si>
    <t>a.tayebi@takhfifan.com</t>
  </si>
  <si>
    <t>akoulivand7@gmail.com</t>
  </si>
  <si>
    <t>علی محمد عمویی</t>
  </si>
  <si>
    <t>9111382921</t>
  </si>
  <si>
    <t>shahrooz.amooei@gmail.com</t>
  </si>
  <si>
    <t>محمد عمویی ساده دل</t>
  </si>
  <si>
    <t>علی نیکونیا</t>
  </si>
  <si>
    <t>9122062426</t>
  </si>
  <si>
    <t>alinokoonia@gmail.com</t>
  </si>
  <si>
    <t>نیکونیا</t>
  </si>
  <si>
    <t>علی پیروزوند</t>
  </si>
  <si>
    <t>9381322003</t>
  </si>
  <si>
    <t>pirouz14@gmail.com</t>
  </si>
  <si>
    <t>پیروزوند</t>
  </si>
  <si>
    <t>علیرضا اسداله‌زاده</t>
  </si>
  <si>
    <t>9121233837</t>
  </si>
  <si>
    <t>alireza8808@yahoo.com</t>
  </si>
  <si>
    <t>اسداله‌زاده</t>
  </si>
  <si>
    <t>علیرضا هروی</t>
  </si>
  <si>
    <t>9120342467</t>
  </si>
  <si>
    <t>alireza.heravi95@gmail.com</t>
  </si>
  <si>
    <t>هروی</t>
  </si>
  <si>
    <t>عیسی فدائی</t>
  </si>
  <si>
    <t>9917897915</t>
  </si>
  <si>
    <t>essafadaee@gmail.com</t>
  </si>
  <si>
    <t>عیسی</t>
  </si>
  <si>
    <t>فدائی</t>
  </si>
  <si>
    <t>فائزه نظری</t>
  </si>
  <si>
    <t>9213239516</t>
  </si>
  <si>
    <t>nazarifaezeh92@gmail.com</t>
  </si>
  <si>
    <t>فاطمه اسفندیاری</t>
  </si>
  <si>
    <t>9124499636</t>
  </si>
  <si>
    <t>fatemeh.esfandyari1987@gmail.com</t>
  </si>
  <si>
    <t>اسفندیاری</t>
  </si>
  <si>
    <t>فاطمه بخشعلی پور</t>
  </si>
  <si>
    <t>9332762487</t>
  </si>
  <si>
    <t>fatemebakhshalipour97@gmail.com</t>
  </si>
  <si>
    <t>بخشعلی پور</t>
  </si>
  <si>
    <t>فاطمه رضاخواه گورابسری</t>
  </si>
  <si>
    <t>9111370920</t>
  </si>
  <si>
    <t>rezakhahfatemeh1401@gmail.com</t>
  </si>
  <si>
    <t>رضاخواه گورابسری</t>
  </si>
  <si>
    <t>فاطمه کرمیان</t>
  </si>
  <si>
    <t>9127622270</t>
  </si>
  <si>
    <t>karamiyanff@gmail.com</t>
  </si>
  <si>
    <t>کرمیان</t>
  </si>
  <si>
    <t>فاطمه مظاهری</t>
  </si>
  <si>
    <t>9384154314</t>
  </si>
  <si>
    <t>فاطمه جان</t>
  </si>
  <si>
    <t>9385975936</t>
  </si>
  <si>
    <t>fmarefati20@gmail.com</t>
  </si>
  <si>
    <t>معرفتی</t>
  </si>
  <si>
    <t>فرزاد حمیدی منش</t>
  </si>
  <si>
    <t>9122434557</t>
  </si>
  <si>
    <t>hamidimaneshfarzad1@yahoo.com</t>
  </si>
  <si>
    <t>ثبتنام نکردن</t>
  </si>
  <si>
    <t>فرناز زاهدی</t>
  </si>
  <si>
    <t>9910454820</t>
  </si>
  <si>
    <t>farnazzahedi75@yahoo.com</t>
  </si>
  <si>
    <t>زاهدی</t>
  </si>
  <si>
    <t>کیانا یاربهمن</t>
  </si>
  <si>
    <t>9106959620</t>
  </si>
  <si>
    <t>l.yarbahman@digikala.com</t>
  </si>
  <si>
    <t>کیانا</t>
  </si>
  <si>
    <t>یاربهمن</t>
  </si>
  <si>
    <t>مائده جوادی راد</t>
  </si>
  <si>
    <t>9117541190</t>
  </si>
  <si>
    <t>Maedeh.j@pino.rest</t>
  </si>
  <si>
    <t>مائده</t>
  </si>
  <si>
    <t>جوادی راد</t>
  </si>
  <si>
    <t>مانی حاجی مهدی</t>
  </si>
  <si>
    <t>9352717944</t>
  </si>
  <si>
    <t>manimanihajiggl@gmail.com</t>
  </si>
  <si>
    <t>مانی</t>
  </si>
  <si>
    <t>حاجی مهدی</t>
  </si>
  <si>
    <t>متین شیرازی نژاد</t>
  </si>
  <si>
    <t>9132078396</t>
  </si>
  <si>
    <t>matin.shirazinejad@gmail.com</t>
  </si>
  <si>
    <t>متین</t>
  </si>
  <si>
    <t>شیرازی نژاد</t>
  </si>
  <si>
    <t>متین رضاخواه</t>
  </si>
  <si>
    <t>رضا خواه</t>
  </si>
  <si>
    <t>مجتبی نوروزی</t>
  </si>
  <si>
    <t>9371762407</t>
  </si>
  <si>
    <t>mojtaba.norouzie@gmail.com</t>
  </si>
  <si>
    <t>مجید علیخانی</t>
  </si>
  <si>
    <t>9365472750</t>
  </si>
  <si>
    <t>majid6913@gmail.com</t>
  </si>
  <si>
    <t>علیخانی</t>
  </si>
  <si>
    <t>مجید کرمی</t>
  </si>
  <si>
    <t>9127224421</t>
  </si>
  <si>
    <t>محسن باقری</t>
  </si>
  <si>
    <t>9901963408</t>
  </si>
  <si>
    <t>bagheri.mohsen.1995@gmail.com</t>
  </si>
  <si>
    <t>محسن ملک محمدی</t>
  </si>
  <si>
    <t>9132148482</t>
  </si>
  <si>
    <t>محسن یاوری</t>
  </si>
  <si>
    <t>9121549767</t>
  </si>
  <si>
    <t>tavary_mh@yahoo.com</t>
  </si>
  <si>
    <t>یاوری</t>
  </si>
  <si>
    <t>محسن یقین لو</t>
  </si>
  <si>
    <t>9905528561</t>
  </si>
  <si>
    <t>mohsen.yaghinloo.bg@gmail.com</t>
  </si>
  <si>
    <t>یقین لو</t>
  </si>
  <si>
    <t>محسن شریف</t>
  </si>
  <si>
    <t>9125434530</t>
  </si>
  <si>
    <t>محسن مرجانی</t>
  </si>
  <si>
    <t>9127744856</t>
  </si>
  <si>
    <t>مرجانی</t>
  </si>
  <si>
    <t>محمد عزیزی</t>
  </si>
  <si>
    <t>9166612375</t>
  </si>
  <si>
    <t>mohamad.azizi60@gamail.com</t>
  </si>
  <si>
    <t>عزیزی</t>
  </si>
  <si>
    <t>محمد باقر ثامنی</t>
  </si>
  <si>
    <t>9124221696</t>
  </si>
  <si>
    <t>smb.sameni@gmail.com</t>
  </si>
  <si>
    <t>باقر ثامنی</t>
  </si>
  <si>
    <t>محمد راجی</t>
  </si>
  <si>
    <t>9121086164</t>
  </si>
  <si>
    <t>mohamad.raji1365@gmail.com</t>
  </si>
  <si>
    <t>راجی</t>
  </si>
  <si>
    <t>محمد روستایی</t>
  </si>
  <si>
    <t>9131085135</t>
  </si>
  <si>
    <t>m.rostaei3436@gmail.com</t>
  </si>
  <si>
    <t>روستایی</t>
  </si>
  <si>
    <t>محمد سریزدی</t>
  </si>
  <si>
    <t>9199133363</t>
  </si>
  <si>
    <t>saryazdii72@gmail.com</t>
  </si>
  <si>
    <t>محمد صالحی پاک</t>
  </si>
  <si>
    <t>9137727022</t>
  </si>
  <si>
    <t>صالحی پاک</t>
  </si>
  <si>
    <t>محمد محبی</t>
  </si>
  <si>
    <t>9122001676</t>
  </si>
  <si>
    <t>Mohamadzr276@yahoo.com</t>
  </si>
  <si>
    <t>محمد حسین تبرایی</t>
  </si>
  <si>
    <t>9125513424</t>
  </si>
  <si>
    <t>m.h.tabarraei@gmail.com</t>
  </si>
  <si>
    <t>تبرایی</t>
  </si>
  <si>
    <t>محمد یاسین پارسی</t>
  </si>
  <si>
    <t>9130256846</t>
  </si>
  <si>
    <t>parsimohammadyasin@gmail.com</t>
  </si>
  <si>
    <t>محمد یاسین</t>
  </si>
  <si>
    <t>پارسی</t>
  </si>
  <si>
    <t>سهیل ممدوحی</t>
  </si>
  <si>
    <t>9123502160</t>
  </si>
  <si>
    <t>mamdoohi.mh@gmail.com</t>
  </si>
  <si>
    <t>ممدوحی</t>
  </si>
  <si>
    <t>mr.ahmadi@live.com</t>
  </si>
  <si>
    <t>محمدرضا امیری</t>
  </si>
  <si>
    <t>9386490272</t>
  </si>
  <si>
    <t>mohammadreza.amiri.it@gmail.com</t>
  </si>
  <si>
    <t>محمدرضا شعبانی</t>
  </si>
  <si>
    <t>9102107081</t>
  </si>
  <si>
    <t>محمدرضا نجار دیسفانی</t>
  </si>
  <si>
    <t>9121540922</t>
  </si>
  <si>
    <t>mohammadreza.najjar.bg@gmail.com</t>
  </si>
  <si>
    <t>نجار دیسفانی</t>
  </si>
  <si>
    <t>محمدرضا رجبی</t>
  </si>
  <si>
    <t>محمدرضا نریمانی</t>
  </si>
  <si>
    <t>9129314031</t>
  </si>
  <si>
    <t>ثتبنام نکردن</t>
  </si>
  <si>
    <t>نریمانی</t>
  </si>
  <si>
    <t>محمدسجاد برزو اصفهانی</t>
  </si>
  <si>
    <t>9133673551</t>
  </si>
  <si>
    <t>ms.borzoo66@gmail.com</t>
  </si>
  <si>
    <t>محمدسجاد</t>
  </si>
  <si>
    <t>برزو اصفهانی</t>
  </si>
  <si>
    <t>مرتضی احمدی</t>
  </si>
  <si>
    <t>9214186527</t>
  </si>
  <si>
    <t>morteza92.ahmadi@gmail.com</t>
  </si>
  <si>
    <t>مرضیه گندمی</t>
  </si>
  <si>
    <t>9128164272</t>
  </si>
  <si>
    <t>مرضیه</t>
  </si>
  <si>
    <t>گندمی</t>
  </si>
  <si>
    <t>مریم عزیزی</t>
  </si>
  <si>
    <t>9129510392</t>
  </si>
  <si>
    <t>Maryamazizi9876@gmail.com</t>
  </si>
  <si>
    <t>مریم مقصود</t>
  </si>
  <si>
    <t>9902161336</t>
  </si>
  <si>
    <t>maghsoodmaryam@gmail.com</t>
  </si>
  <si>
    <t>مریم میبدی</t>
  </si>
  <si>
    <t>9122652561</t>
  </si>
  <si>
    <t>meybodi.88@gmail.com</t>
  </si>
  <si>
    <t>میبدی</t>
  </si>
  <si>
    <t>melikalesani@gmail.com</t>
  </si>
  <si>
    <t>دکتر منا غرابادیان</t>
  </si>
  <si>
    <t>منصور کشاورز کرمانی</t>
  </si>
  <si>
    <t>9124504511</t>
  </si>
  <si>
    <t>hanie.mohammadzadeh1@gmail.com</t>
  </si>
  <si>
    <t>کشاورز کرمانی</t>
  </si>
  <si>
    <t>منیژه نقی لو</t>
  </si>
  <si>
    <t>9128123650</t>
  </si>
  <si>
    <t>naghiloo@yahoo.com</t>
  </si>
  <si>
    <t>منیژه</t>
  </si>
  <si>
    <t>نقی لو</t>
  </si>
  <si>
    <t>مه تا نقی لو</t>
  </si>
  <si>
    <t>9129302177</t>
  </si>
  <si>
    <t>ma.kolahdouz@alibaba.ir</t>
  </si>
  <si>
    <t>مهتا</t>
  </si>
  <si>
    <t>کلاهدوز</t>
  </si>
  <si>
    <t>مهدی صوفیان</t>
  </si>
  <si>
    <t>9186783426</t>
  </si>
  <si>
    <t>mahdisufian@live.com</t>
  </si>
  <si>
    <t>صوفیان</t>
  </si>
  <si>
    <t>مهدی تقوی</t>
  </si>
  <si>
    <t>مهدی قاسمی</t>
  </si>
  <si>
    <t>9900669007</t>
  </si>
  <si>
    <t>mehdighasemi1358@gmail.com</t>
  </si>
  <si>
    <t>مهدی قندهاری</t>
  </si>
  <si>
    <t>9370553427</t>
  </si>
  <si>
    <t>mehdi.ghandehari.bg@gmail.com</t>
  </si>
  <si>
    <t>قندهاری</t>
  </si>
  <si>
    <t>مهدی محمودزاده</t>
  </si>
  <si>
    <t>9121932731</t>
  </si>
  <si>
    <t>mehdi.mahmoodzadeh.bg@gmail.com</t>
  </si>
  <si>
    <t>مهدی نجار دیسفانی</t>
  </si>
  <si>
    <t>مهدی نوری مادر</t>
  </si>
  <si>
    <t>9912099474</t>
  </si>
  <si>
    <t>mehdi.noori91@gmail.com</t>
  </si>
  <si>
    <t>نوری مادر</t>
  </si>
  <si>
    <t>مهدی نیکبخت</t>
  </si>
  <si>
    <t>9133861563</t>
  </si>
  <si>
    <t>m.nikbakht1988@gmail.com</t>
  </si>
  <si>
    <t>نیکبخت</t>
  </si>
  <si>
    <t>مهدی مهرآور</t>
  </si>
  <si>
    <t>9123361337</t>
  </si>
  <si>
    <t>مهرآور</t>
  </si>
  <si>
    <t>مَهدی جلالی</t>
  </si>
  <si>
    <t>9383896866</t>
  </si>
  <si>
    <t>Maahdijaalaali@gmail.com</t>
  </si>
  <si>
    <t>مهدیار کوکب زاده</t>
  </si>
  <si>
    <t>9121784378</t>
  </si>
  <si>
    <t>mahdiar.k@gmail.com</t>
  </si>
  <si>
    <t>کوکب زاده</t>
  </si>
  <si>
    <t>مهدیه سلیمانی</t>
  </si>
  <si>
    <t>9129450379</t>
  </si>
  <si>
    <t>mahdieh.sd.79@gmail.com</t>
  </si>
  <si>
    <t>mehran.mikaeili@gmail.com</t>
  </si>
  <si>
    <t>مهسا جزایری</t>
  </si>
  <si>
    <t>9126935259</t>
  </si>
  <si>
    <t>jazayeri.mahsa@gmail.com</t>
  </si>
  <si>
    <t>جزایری</t>
  </si>
  <si>
    <t>مهشید قراگوزلو</t>
  </si>
  <si>
    <t>9127791557</t>
  </si>
  <si>
    <t>mahshid.gh25@gmail.com</t>
  </si>
  <si>
    <t>قراگوزلو</t>
  </si>
  <si>
    <t>میترا صفری</t>
  </si>
  <si>
    <t>9300642799</t>
  </si>
  <si>
    <t>93safari@gmail.com</t>
  </si>
  <si>
    <t>میثم امینی بیات</t>
  </si>
  <si>
    <t>9125753858</t>
  </si>
  <si>
    <t>me.aminibayat@gmail.com</t>
  </si>
  <si>
    <t>امینی بیات</t>
  </si>
  <si>
    <t>میرعماد قریشی</t>
  </si>
  <si>
    <t>9122046977</t>
  </si>
  <si>
    <t>miremad.ghr@gmail.com</t>
  </si>
  <si>
    <t>میرعماد</t>
  </si>
  <si>
    <t>قریشی</t>
  </si>
  <si>
    <t>مینا ابراهیمی</t>
  </si>
  <si>
    <t>9903487973</t>
  </si>
  <si>
    <t>minaebrahimi0082@gmail.com</t>
  </si>
  <si>
    <t>مینا کامران</t>
  </si>
  <si>
    <t>9383013455</t>
  </si>
  <si>
    <t>minakamran7@gmail.com</t>
  </si>
  <si>
    <t>ندا فتوحی</t>
  </si>
  <si>
    <t>9125664358</t>
  </si>
  <si>
    <t>n.fotouhi@arsinsalamat.com</t>
  </si>
  <si>
    <t>فتوحی</t>
  </si>
  <si>
    <t>نغمه اسماعیلی</t>
  </si>
  <si>
    <t>9128707565</t>
  </si>
  <si>
    <t>naghme.esmaili.alibaba@gmail.com</t>
  </si>
  <si>
    <t>نغمه</t>
  </si>
  <si>
    <t>نغمه رستگار</t>
  </si>
  <si>
    <t>9123548444</t>
  </si>
  <si>
    <t>نوید حمیدی منش</t>
  </si>
  <si>
    <t>9121877708</t>
  </si>
  <si>
    <t>hamidimaneshnavid@yahoo.com</t>
  </si>
  <si>
    <t>نیلوفر هندیجانی</t>
  </si>
  <si>
    <t>9124905486</t>
  </si>
  <si>
    <t>niloofar.hendijani@gmail.com</t>
  </si>
  <si>
    <t>هندیجانی</t>
  </si>
  <si>
    <t>نیلوفر طاعی</t>
  </si>
  <si>
    <t>طاعی</t>
  </si>
  <si>
    <t>هادی آرزو</t>
  </si>
  <si>
    <t>9120684031</t>
  </si>
  <si>
    <t>hadiazvar@gmail.com</t>
  </si>
  <si>
    <t>آزور</t>
  </si>
  <si>
    <t>هاله قربانی</t>
  </si>
  <si>
    <t>9127942102</t>
  </si>
  <si>
    <t>haleghorbaniii@gmail.com</t>
  </si>
  <si>
    <t>هامون گنجیان</t>
  </si>
  <si>
    <t>9111378298</t>
  </si>
  <si>
    <t>گنجیان</t>
  </si>
  <si>
    <t>یاسمین خنجری</t>
  </si>
  <si>
    <t>9128093430</t>
  </si>
  <si>
    <t>yasmin.khanjari@gmail.com</t>
  </si>
  <si>
    <t>خنجری</t>
  </si>
  <si>
    <t>یاسین مختاری ماربینی</t>
  </si>
  <si>
    <t>9933464083</t>
  </si>
  <si>
    <t>yasin.mokhtari.bg@gmail.com</t>
  </si>
  <si>
    <t>یاسین</t>
  </si>
  <si>
    <t>مختاری ماربینی</t>
  </si>
  <si>
    <t>یونس شیراوند</t>
  </si>
  <si>
    <t>9129610906</t>
  </si>
  <si>
    <t>younesshiravand1987@gmail.com</t>
  </si>
  <si>
    <t>یونس</t>
  </si>
  <si>
    <t>شیراوند</t>
  </si>
  <si>
    <t>رضا شعبانی</t>
  </si>
  <si>
    <t>989351577696</t>
  </si>
  <si>
    <t>سبحان دهقان پورفراشاه</t>
  </si>
  <si>
    <t>989199194904</t>
  </si>
  <si>
    <t>دهقان پورفراشاه</t>
  </si>
  <si>
    <t>فاطمه شیدایی</t>
  </si>
  <si>
    <t>989125167313</t>
  </si>
  <si>
    <t>شیدایی</t>
  </si>
  <si>
    <t>مازیار جمشید خوانی</t>
  </si>
  <si>
    <t>989127152803</t>
  </si>
  <si>
    <t>جمشید خوانی</t>
  </si>
  <si>
    <t>989121472143</t>
  </si>
  <si>
    <t>آذین پذیرا</t>
  </si>
  <si>
    <t>989122164819</t>
  </si>
  <si>
    <t>پذیرا</t>
  </si>
  <si>
    <t>989143159445</t>
  </si>
  <si>
    <t>989131585507</t>
  </si>
  <si>
    <t>مهسا باقری</t>
  </si>
  <si>
    <t>989901963408</t>
  </si>
  <si>
    <t>###########</t>
  </si>
  <si>
    <t>989129151073</t>
  </si>
  <si>
    <t>علیرضا اسدالله‌زاده</t>
  </si>
  <si>
    <t>989121233837</t>
  </si>
  <si>
    <t>اسدالله‌زاده</t>
  </si>
  <si>
    <t>989122498488</t>
  </si>
  <si>
    <t>989102107081</t>
  </si>
  <si>
    <t>989173729259</t>
  </si>
  <si>
    <t>989127622270</t>
  </si>
  <si>
    <t>مجید کریمی</t>
  </si>
  <si>
    <t>989127224421</t>
  </si>
  <si>
    <t>نیایش علوی</t>
  </si>
  <si>
    <t>989106714956</t>
  </si>
  <si>
    <t>نیایش</t>
  </si>
  <si>
    <t>989144327232</t>
  </si>
  <si>
    <t>سارا پورشنواد</t>
  </si>
  <si>
    <t>989128695163</t>
  </si>
  <si>
    <t>پورشنواد</t>
  </si>
  <si>
    <t>989122141260</t>
  </si>
  <si>
    <t>علی باقری</t>
  </si>
  <si>
    <t>989123589600</t>
  </si>
  <si>
    <t>مهدی مهدی‌پور</t>
  </si>
  <si>
    <t>989124753102</t>
  </si>
  <si>
    <t>مهدی‌پور</t>
  </si>
  <si>
    <t>988128093617</t>
  </si>
  <si>
    <t>آذین اصغری</t>
  </si>
  <si>
    <t>989391905728</t>
  </si>
  <si>
    <t>اصغری</t>
  </si>
  <si>
    <t>989120882522</t>
  </si>
  <si>
    <t>نگین محمودی</t>
  </si>
  <si>
    <t>989912092905</t>
  </si>
  <si>
    <t>امیرحسین اکبری کچی</t>
  </si>
  <si>
    <t>989136281326</t>
  </si>
  <si>
    <t>اکبری کچی</t>
  </si>
  <si>
    <t>989122062426</t>
  </si>
  <si>
    <t>محمدامین گیوری</t>
  </si>
  <si>
    <t>989129619261</t>
  </si>
  <si>
    <t>گیوری</t>
  </si>
  <si>
    <t>محمدحسین تاجیک</t>
  </si>
  <si>
    <t>989020118456</t>
  </si>
  <si>
    <t>تاجیک</t>
  </si>
  <si>
    <t>مرضیه آشوری</t>
  </si>
  <si>
    <t>989197674709</t>
  </si>
  <si>
    <t>آشوری</t>
  </si>
  <si>
    <t>989122001676</t>
  </si>
  <si>
    <t>آرمین سروی</t>
  </si>
  <si>
    <t>فاطمه رجب لو</t>
  </si>
  <si>
    <t>رجب لو</t>
  </si>
  <si>
    <t>آرش حیدرپور خانقاه</t>
  </si>
  <si>
    <t>989366974489</t>
  </si>
  <si>
    <t>حیدرپور خانقاه</t>
  </si>
  <si>
    <t>حسن وفائی</t>
  </si>
  <si>
    <t>989394996004</t>
  </si>
  <si>
    <t>وفائی</t>
  </si>
  <si>
    <t>روح الله رجایی</t>
  </si>
  <si>
    <t>989124512292</t>
  </si>
  <si>
    <t>روح الله</t>
  </si>
  <si>
    <t>رجایی</t>
  </si>
  <si>
    <t>محمد رضا نجفی</t>
  </si>
  <si>
    <t>989195373573</t>
  </si>
  <si>
    <t>محمد رضا</t>
  </si>
  <si>
    <t>مهسا سبزی</t>
  </si>
  <si>
    <t>989206310620</t>
  </si>
  <si>
    <t>سبزی</t>
  </si>
  <si>
    <t>مونیکا حضرت‌زاده</t>
  </si>
  <si>
    <t>989126000338</t>
  </si>
  <si>
    <t>حضرت‌زاده</t>
  </si>
  <si>
    <t>امیر Fدی</t>
  </si>
  <si>
    <t>989122431900</t>
  </si>
  <si>
    <t>زندی</t>
  </si>
  <si>
    <t>علیرضا ابراهیمی</t>
  </si>
  <si>
    <t>989373384923</t>
  </si>
  <si>
    <t>علیرضا ابراهیمیان</t>
  </si>
  <si>
    <t>989120843412</t>
  </si>
  <si>
    <t>ابراهیمیان</t>
  </si>
  <si>
    <t>989198197842</t>
  </si>
  <si>
    <t>مصطفی جعفری</t>
  </si>
  <si>
    <t>989190318414</t>
  </si>
  <si>
    <t>989124446164</t>
  </si>
  <si>
    <t>زهره عزیزی</t>
  </si>
  <si>
    <t>989125870950</t>
  </si>
  <si>
    <t>989120353615</t>
  </si>
  <si>
    <t>989133140949</t>
  </si>
  <si>
    <t>مریم سیدحسین</t>
  </si>
  <si>
    <t>سیدحسین</t>
  </si>
  <si>
    <t>امیرعلی یاقوتی</t>
  </si>
  <si>
    <t>989128660344</t>
  </si>
  <si>
    <t>یاقوتی</t>
  </si>
  <si>
    <t>989122046602
 989199928832</t>
  </si>
  <si>
    <t>989132148482
 989121192675</t>
  </si>
  <si>
    <t>احسان محسنیان</t>
  </si>
  <si>
    <t>عبدالله فیض الله زاده</t>
  </si>
  <si>
    <t>989128011643</t>
  </si>
  <si>
    <t>عبدالله</t>
  </si>
  <si>
    <t>فیض الله زاده</t>
  </si>
  <si>
    <t>امیر میرطاهری</t>
  </si>
  <si>
    <t>989124945164</t>
  </si>
  <si>
    <t>میرطاهری</t>
  </si>
  <si>
    <t>علی ربیعی</t>
  </si>
  <si>
    <t>ربیعی</t>
  </si>
  <si>
    <t>عدنان خورشیدی</t>
  </si>
  <si>
    <t>عدنان</t>
  </si>
  <si>
    <t>محبوبه مقبول</t>
  </si>
  <si>
    <t>مقبول</t>
  </si>
  <si>
    <t>فرزاد رجایی</t>
  </si>
  <si>
    <t>989197519278</t>
  </si>
  <si>
    <t>آرمینا خبازیان</t>
  </si>
  <si>
    <t>989120961128</t>
  </si>
  <si>
    <t>خبازیان</t>
  </si>
  <si>
    <t>احسان معماری</t>
  </si>
  <si>
    <t>989102020400</t>
  </si>
  <si>
    <t>معماری</t>
  </si>
  <si>
    <t>انسیه بهبودنمین</t>
  </si>
  <si>
    <t>989127199654</t>
  </si>
  <si>
    <t>انسیه</t>
  </si>
  <si>
    <t>بهبودنمین</t>
  </si>
  <si>
    <t>ایمان خوش نیام</t>
  </si>
  <si>
    <t>989120649408</t>
  </si>
  <si>
    <t>خوش نیام</t>
  </si>
  <si>
    <t>بهروز پورخورشیدی</t>
  </si>
  <si>
    <t>989122501447</t>
  </si>
  <si>
    <t>پورخورشیدی</t>
  </si>
  <si>
    <t>ثریا حیدری</t>
  </si>
  <si>
    <t>9131949650</t>
  </si>
  <si>
    <t>ثریا</t>
  </si>
  <si>
    <t>دانیال کی قبادی</t>
  </si>
  <si>
    <t>989194293625</t>
  </si>
  <si>
    <t>دانیال</t>
  </si>
  <si>
    <t>کی قبادی</t>
  </si>
  <si>
    <t>سیدمعین سیدمهدی</t>
  </si>
  <si>
    <t>9303929747</t>
  </si>
  <si>
    <t>سیدمعین</t>
  </si>
  <si>
    <t>سیدمهدی</t>
  </si>
  <si>
    <t>علی جواد محب</t>
  </si>
  <si>
    <t>989131118589</t>
  </si>
  <si>
    <t>علی جواد</t>
  </si>
  <si>
    <t>علی حدادی</t>
  </si>
  <si>
    <t>989353903434</t>
  </si>
  <si>
    <t>علی حسنی</t>
  </si>
  <si>
    <t>989375642044</t>
  </si>
  <si>
    <t>علی خدامرادی</t>
  </si>
  <si>
    <t>989122040763</t>
  </si>
  <si>
    <t>خدامرادی</t>
  </si>
  <si>
    <t>989121328677</t>
  </si>
  <si>
    <t>علی سروری</t>
  </si>
  <si>
    <t>9122451435</t>
  </si>
  <si>
    <t>سروری</t>
  </si>
  <si>
    <t>علی مهدی زاده</t>
  </si>
  <si>
    <t>989124472106</t>
  </si>
  <si>
    <t>علی میری</t>
  </si>
  <si>
    <t>9194686072</t>
  </si>
  <si>
    <t>میری</t>
  </si>
  <si>
    <t>علیرضا تشکری</t>
  </si>
  <si>
    <t>9127656516</t>
  </si>
  <si>
    <t>تشکری</t>
  </si>
  <si>
    <t>علیرضا ساوری</t>
  </si>
  <si>
    <t>989112709217</t>
  </si>
  <si>
    <t>ساوری</t>
  </si>
  <si>
    <t>علیرضا علیاری</t>
  </si>
  <si>
    <t>989124933917</t>
  </si>
  <si>
    <t>علیاری</t>
  </si>
  <si>
    <t xml:space="preserve">989121233837 </t>
  </si>
  <si>
    <t>فرشته حیدری</t>
  </si>
  <si>
    <t>989128406282</t>
  </si>
  <si>
    <t>گل نساء پاشازاده</t>
  </si>
  <si>
    <t>989122505911</t>
  </si>
  <si>
    <t>گل نساء</t>
  </si>
  <si>
    <t>پاشازاده</t>
  </si>
  <si>
    <t>محسن مقدس</t>
  </si>
  <si>
    <t>989123360208</t>
  </si>
  <si>
    <t>مقدس</t>
  </si>
  <si>
    <t>مونا بابایی</t>
  </si>
  <si>
    <t>9124936372</t>
  </si>
  <si>
    <t>بابایی</t>
  </si>
  <si>
    <t>نوید ایازی</t>
  </si>
  <si>
    <t>989121866170</t>
  </si>
  <si>
    <t>ایازی</t>
  </si>
  <si>
    <t>صفورا قاسمی</t>
  </si>
  <si>
    <t>989221251785</t>
  </si>
  <si>
    <t>صفورا</t>
  </si>
  <si>
    <t>دانیال بیداری</t>
  </si>
  <si>
    <t>989170174000</t>
  </si>
  <si>
    <t>بیداری</t>
  </si>
  <si>
    <t>حبیب رحیم پور</t>
  </si>
  <si>
    <t>989155571982</t>
  </si>
  <si>
    <t>حبیب</t>
  </si>
  <si>
    <t>رحیم پور</t>
  </si>
  <si>
    <t>آرزو قانع خشک بیجاری</t>
  </si>
  <si>
    <t>قانع خشک بیجاری</t>
  </si>
  <si>
    <t>اعظم غلامی</t>
  </si>
  <si>
    <t>9128993213</t>
  </si>
  <si>
    <t>امیرحسین عباسی</t>
  </si>
  <si>
    <t>989011246310</t>
  </si>
  <si>
    <t>سید بهنام نجفی</t>
  </si>
  <si>
    <t>989125192240</t>
  </si>
  <si>
    <t>سید بهنام</t>
  </si>
  <si>
    <t>سیدعلیرضا نجفی</t>
  </si>
  <si>
    <t>989122361023</t>
  </si>
  <si>
    <t>سیدعلیرضا</t>
  </si>
  <si>
    <t>فیروزه رجبعلی</t>
  </si>
  <si>
    <t>989125940449</t>
  </si>
  <si>
    <t>فیروزه</t>
  </si>
  <si>
    <t>رجبعلی</t>
  </si>
  <si>
    <t>989127969374
989365472750</t>
  </si>
  <si>
    <t>محسن شعبانی</t>
  </si>
  <si>
    <t>9126013572</t>
  </si>
  <si>
    <t>محسن شیرمهدیه</t>
  </si>
  <si>
    <t>989105813634</t>
  </si>
  <si>
    <t>شیرمهدیه</t>
  </si>
  <si>
    <t>محسن مهربان پور</t>
  </si>
  <si>
    <t>989375075610</t>
  </si>
  <si>
    <t>مهربان پور</t>
  </si>
  <si>
    <t>مهدی عزیز محمدی</t>
  </si>
  <si>
    <t>9357617303</t>
  </si>
  <si>
    <t>عزیز محمدی</t>
  </si>
  <si>
    <t>مهدی فروغی</t>
  </si>
  <si>
    <t>989960085776</t>
  </si>
  <si>
    <t>فروغی</t>
  </si>
  <si>
    <t>مهران ملک پور</t>
  </si>
  <si>
    <t>09148672399</t>
  </si>
  <si>
    <t>ملک پور</t>
  </si>
  <si>
    <t>مهلا عباس زاده</t>
  </si>
  <si>
    <t>989129545399</t>
  </si>
  <si>
    <t>مهلا</t>
  </si>
  <si>
    <t>عباس زاده</t>
  </si>
  <si>
    <t>نازنین زهرا مرادی</t>
  </si>
  <si>
    <t>989933240568</t>
  </si>
  <si>
    <t>نازنین زهرا</t>
  </si>
  <si>
    <t>ناهید عبداللهی</t>
  </si>
  <si>
    <t>9900073128</t>
  </si>
  <si>
    <t>عبداللهی</t>
  </si>
  <si>
    <t>نفیسه منوچهری</t>
  </si>
  <si>
    <t>989125089650</t>
  </si>
  <si>
    <t>نگین نظری</t>
  </si>
  <si>
    <t>9109002711</t>
  </si>
  <si>
    <t>نیایش کیانی</t>
  </si>
  <si>
    <t>9391127748</t>
  </si>
  <si>
    <t>نیما حسینیان</t>
  </si>
  <si>
    <t>989121935257</t>
  </si>
  <si>
    <t>هلما خوش خو</t>
  </si>
  <si>
    <t>989122616302</t>
  </si>
  <si>
    <t>هلما</t>
  </si>
  <si>
    <t>خوش خو</t>
  </si>
  <si>
    <t>989912389823</t>
  </si>
  <si>
    <t>ویدا حقیقتی</t>
  </si>
  <si>
    <t>989197540076</t>
  </si>
  <si>
    <t>حقیقتی</t>
  </si>
  <si>
    <t>یامین نیکبخش آبکنار</t>
  </si>
  <si>
    <t>9127615736</t>
  </si>
  <si>
    <t>یامین</t>
  </si>
  <si>
    <t>نیکبخش آبکنار</t>
  </si>
  <si>
    <t>یگانه کیانی</t>
  </si>
  <si>
    <t>989365813604</t>
  </si>
  <si>
    <t>یگانه</t>
  </si>
  <si>
    <t>یونس بافقی</t>
  </si>
  <si>
    <t>989303428075</t>
  </si>
  <si>
    <t>بافقی</t>
  </si>
  <si>
    <t>مجید مردانه</t>
  </si>
  <si>
    <t>9124215160</t>
  </si>
  <si>
    <t>مردانه</t>
  </si>
  <si>
    <t>نجمه نجدی</t>
  </si>
  <si>
    <t>989173376804</t>
  </si>
  <si>
    <t>نجمه</t>
  </si>
  <si>
    <t>نجدی</t>
  </si>
  <si>
    <t>989129610906</t>
  </si>
  <si>
    <t>سارا ساری جالو</t>
  </si>
  <si>
    <t>9123728725</t>
  </si>
  <si>
    <t>ساری جالو</t>
  </si>
  <si>
    <t>علی شفقی</t>
  </si>
  <si>
    <t>989126653006</t>
  </si>
  <si>
    <t>شفقی</t>
  </si>
  <si>
    <t>مهسا زمانی</t>
  </si>
  <si>
    <t>9191991754</t>
  </si>
  <si>
    <t>زمانی</t>
  </si>
  <si>
    <t>آرزو بابایی</t>
  </si>
  <si>
    <t>9126041669</t>
  </si>
  <si>
    <t>آزاده هرمزی</t>
  </si>
  <si>
    <t>آناهید عنایت</t>
  </si>
  <si>
    <t>9354343054</t>
  </si>
  <si>
    <t>آناهید</t>
  </si>
  <si>
    <t>عنایت</t>
  </si>
  <si>
    <t>آیدا فیروزی</t>
  </si>
  <si>
    <t>989120380740</t>
  </si>
  <si>
    <t>احمد حسینی</t>
  </si>
  <si>
    <t>989354853466</t>
  </si>
  <si>
    <t>احمد رحیمی</t>
  </si>
  <si>
    <t>989215503589</t>
  </si>
  <si>
    <t>اصغر نیل چیان</t>
  </si>
  <si>
    <t>09301186536</t>
  </si>
  <si>
    <t>نیل چیان</t>
  </si>
  <si>
    <t>افشین Fدی</t>
  </si>
  <si>
    <t>989122998576</t>
  </si>
  <si>
    <t>Fدی</t>
  </si>
  <si>
    <t>امید اسدی</t>
  </si>
  <si>
    <t>9353638868</t>
  </si>
  <si>
    <t>امید غفاری نیا</t>
  </si>
  <si>
    <t>9124449002</t>
  </si>
  <si>
    <t>غفاری نیا</t>
  </si>
  <si>
    <t>امیرحسین رضازاده</t>
  </si>
  <si>
    <t>989212792657</t>
  </si>
  <si>
    <t>امیرحسین کیقبادی</t>
  </si>
  <si>
    <t>989125707560</t>
  </si>
  <si>
    <t>کیقبادی</t>
  </si>
  <si>
    <t>امیرمحمدمحتشم عارف</t>
  </si>
  <si>
    <t>989108437191</t>
  </si>
  <si>
    <t>امیرمحمدمحتشم</t>
  </si>
  <si>
    <t>989120895989</t>
  </si>
  <si>
    <t>بهنام کواکبی</t>
  </si>
  <si>
    <t>9366667856</t>
  </si>
  <si>
    <t>کواکبی</t>
  </si>
  <si>
    <t>بیتا حسین نژاد</t>
  </si>
  <si>
    <t>989118911002</t>
  </si>
  <si>
    <t>حسین نژاد</t>
  </si>
  <si>
    <t>پژمان امین پور</t>
  </si>
  <si>
    <t>9394570707</t>
  </si>
  <si>
    <t>پژمان</t>
  </si>
  <si>
    <t>امین پور</t>
  </si>
  <si>
    <t>توحید علی‌اشرفی</t>
  </si>
  <si>
    <t>989122885077</t>
  </si>
  <si>
    <t>علی‌اشرفی</t>
  </si>
  <si>
    <t>آنالی غضنفری</t>
  </si>
  <si>
    <t>989359407205</t>
  </si>
  <si>
    <t>آنالی</t>
  </si>
  <si>
    <t>ثنا شمسافر</t>
  </si>
  <si>
    <t>9144044463</t>
  </si>
  <si>
    <t>شمسافر</t>
  </si>
  <si>
    <t>جواد هادی زاده</t>
  </si>
  <si>
    <t>989195111285</t>
  </si>
  <si>
    <t>هادی زاده</t>
  </si>
  <si>
    <t>989355073105</t>
  </si>
  <si>
    <t>حسن میررضی</t>
  </si>
  <si>
    <t>9366085758</t>
  </si>
  <si>
    <t>میررضی</t>
  </si>
  <si>
    <t>حسین طوسی</t>
  </si>
  <si>
    <t>989122753458</t>
  </si>
  <si>
    <t>طوسی</t>
  </si>
  <si>
    <t>989013282298</t>
  </si>
  <si>
    <t>حمیدرضا قدمنان</t>
  </si>
  <si>
    <t>989193102292</t>
  </si>
  <si>
    <t>قدمنان</t>
  </si>
  <si>
    <t>اشکان فراهانی</t>
  </si>
  <si>
    <t>9210829141</t>
  </si>
  <si>
    <t>حورا اسماعیل زاده</t>
  </si>
  <si>
    <t>989113324540</t>
  </si>
  <si>
    <t>حورا</t>
  </si>
  <si>
    <t>اسماعیل زاده</t>
  </si>
  <si>
    <t>علی حاج خالویی</t>
  </si>
  <si>
    <t>989124037335</t>
  </si>
  <si>
    <t>حاج خالویی</t>
  </si>
  <si>
    <t>فائزه دادخواهی اصل</t>
  </si>
  <si>
    <t>دادخواهی اصل</t>
  </si>
  <si>
    <t>فاطمه اونق</t>
  </si>
  <si>
    <t>9114594761</t>
  </si>
  <si>
    <t>اونق</t>
  </si>
  <si>
    <t>فاطمه شفایی</t>
  </si>
  <si>
    <t>989393900318</t>
  </si>
  <si>
    <t>شفایی</t>
  </si>
  <si>
    <t>989371762407</t>
  </si>
  <si>
    <t>مهرنوش غفاریان</t>
  </si>
  <si>
    <t>9121252841</t>
  </si>
  <si>
    <t>مهرنوش</t>
  </si>
  <si>
    <t>غفاریان</t>
  </si>
  <si>
    <t>مهرداد شاهین</t>
  </si>
  <si>
    <t>989124444149</t>
  </si>
  <si>
    <t>الهام علی محمدی</t>
  </si>
  <si>
    <t>989125340121</t>
  </si>
  <si>
    <t>علی محمدی</t>
  </si>
  <si>
    <t>محسن شریفی ثانی</t>
  </si>
  <si>
    <t>9124762588</t>
  </si>
  <si>
    <t>شریفی ثانی</t>
  </si>
  <si>
    <t>علی رفیع زاده اخویان</t>
  </si>
  <si>
    <t>989131042319</t>
  </si>
  <si>
    <t>رفیع زاده اخویان</t>
  </si>
  <si>
    <t>محمد مهدی جعفری</t>
  </si>
  <si>
    <t>محمد مهدی</t>
  </si>
  <si>
    <t>ابوالقاسم جلالی</t>
  </si>
  <si>
    <t>9126457618</t>
  </si>
  <si>
    <t>احسان مختار</t>
  </si>
  <si>
    <t>989133183814</t>
  </si>
  <si>
    <t>مختار</t>
  </si>
  <si>
    <t>امیربهادر مرتضوی</t>
  </si>
  <si>
    <t>9354533383</t>
  </si>
  <si>
    <t>امیربهادر</t>
  </si>
  <si>
    <t>امیرحسین مرزبان</t>
  </si>
  <si>
    <t>9124363075</t>
  </si>
  <si>
    <t>مرزبان</t>
  </si>
  <si>
    <t>حامد موسوی</t>
  </si>
  <si>
    <t>989127341327</t>
  </si>
  <si>
    <t>امیرعباس رنجبر</t>
  </si>
  <si>
    <t>9192220910</t>
  </si>
  <si>
    <t>امیرعباس</t>
  </si>
  <si>
    <t>رنجبر</t>
  </si>
  <si>
    <t>امین میری</t>
  </si>
  <si>
    <t>989125206410</t>
  </si>
  <si>
    <t>بهنوش کرباسیان</t>
  </si>
  <si>
    <t>989363755772</t>
  </si>
  <si>
    <t>کرباسیان</t>
  </si>
  <si>
    <t>پدرام سیفی</t>
  </si>
  <si>
    <t>9120681759</t>
  </si>
  <si>
    <t>پدرام</t>
  </si>
  <si>
    <t>پریسا بهروز</t>
  </si>
  <si>
    <t>9381192373</t>
  </si>
  <si>
    <t>تینا کهریزی</t>
  </si>
  <si>
    <t>989128703674</t>
  </si>
  <si>
    <t>کهریزی</t>
  </si>
  <si>
    <t>جلال فیض ابادی</t>
  </si>
  <si>
    <t>989192440043</t>
  </si>
  <si>
    <t>فیض ابادی</t>
  </si>
  <si>
    <t>حامد جلیلیانی</t>
  </si>
  <si>
    <t>9101829821</t>
  </si>
  <si>
    <t>جلیلیانی</t>
  </si>
  <si>
    <t>حسام رجایی</t>
  </si>
  <si>
    <t>989022679124</t>
  </si>
  <si>
    <t>حسنا سادات آزرم سا</t>
  </si>
  <si>
    <t>989376846399</t>
  </si>
  <si>
    <t>حسنا سادات</t>
  </si>
  <si>
    <t>آزرم سا</t>
  </si>
  <si>
    <t>حورا خوش خو</t>
  </si>
  <si>
    <t>989125340799</t>
  </si>
  <si>
    <t>رضا جوهرچی</t>
  </si>
  <si>
    <t>989122580273</t>
  </si>
  <si>
    <t>جوهرچی</t>
  </si>
  <si>
    <t>رضا عباسی</t>
  </si>
  <si>
    <t>9112512459</t>
  </si>
  <si>
    <t>زکیه باقری</t>
  </si>
  <si>
    <t>989198888906</t>
  </si>
  <si>
    <t>زهرا امینی</t>
  </si>
  <si>
    <t>9125439381</t>
  </si>
  <si>
    <t>سامان سلیمانی</t>
  </si>
  <si>
    <t>989190677968</t>
  </si>
  <si>
    <t>سامان</t>
  </si>
  <si>
    <t>سامان شادیان</t>
  </si>
  <si>
    <t>9123135307</t>
  </si>
  <si>
    <t>شادیان</t>
  </si>
  <si>
    <t>سامان مفیدی</t>
  </si>
  <si>
    <t>989118660827</t>
  </si>
  <si>
    <t>مفیدی</t>
  </si>
  <si>
    <t>مهسا نریمانی</t>
  </si>
  <si>
    <t>9051572561</t>
  </si>
  <si>
    <t>سارا کاوه</t>
  </si>
  <si>
    <t>989190791802</t>
  </si>
  <si>
    <t>مهسا طالبی</t>
  </si>
  <si>
    <t>989391927811</t>
  </si>
  <si>
    <t>نازنین حسین‌کنی</t>
  </si>
  <si>
    <t>989127063548</t>
  </si>
  <si>
    <t>حسین‌کنی</t>
  </si>
  <si>
    <t>محمدرضا ایوبی</t>
  </si>
  <si>
    <t>989156135181</t>
  </si>
  <si>
    <t>احسان سوری</t>
  </si>
  <si>
    <t>989123337169</t>
  </si>
  <si>
    <t>سوری</t>
  </si>
  <si>
    <t>مهرداد هدی</t>
  </si>
  <si>
    <t>989125670829</t>
  </si>
  <si>
    <t>محمدرضا مرادی</t>
  </si>
  <si>
    <t>9360012278</t>
  </si>
  <si>
    <t>9124909400</t>
  </si>
  <si>
    <t>سعید مسیبی</t>
  </si>
  <si>
    <t>989130200939</t>
  </si>
  <si>
    <t>مسیبی</t>
  </si>
  <si>
    <t>عبدالطیف باش قره</t>
  </si>
  <si>
    <t>989389073346
989193255089</t>
  </si>
  <si>
    <t>عبدالطیف</t>
  </si>
  <si>
    <t>فرزان بالکانی</t>
  </si>
  <si>
    <t>9122584218</t>
  </si>
  <si>
    <t>فرزان</t>
  </si>
  <si>
    <t>بالکانی</t>
  </si>
  <si>
    <t>فرناز افشاری نسب</t>
  </si>
  <si>
    <t>9038307089</t>
  </si>
  <si>
    <t>افشاری نسب</t>
  </si>
  <si>
    <t>کاظم کیانی</t>
  </si>
  <si>
    <t>989100200852</t>
  </si>
  <si>
    <t>کاظم</t>
  </si>
  <si>
    <t>محمد فقیه عبداللهی</t>
  </si>
  <si>
    <t>9108074959
989124307404</t>
  </si>
  <si>
    <t>فقیه عبداللهی</t>
  </si>
  <si>
    <t>محمد کچویی</t>
  </si>
  <si>
    <t>9912808970</t>
  </si>
  <si>
    <t>کچویی</t>
  </si>
  <si>
    <t>محمد نجفی خواه</t>
  </si>
  <si>
    <t>9194151219</t>
  </si>
  <si>
    <t>نجفی خواه</t>
  </si>
  <si>
    <t>محمد نصرالهی</t>
  </si>
  <si>
    <t>9371090242</t>
  </si>
  <si>
    <t>نصرالهی</t>
  </si>
  <si>
    <t>محمدباقر قیم</t>
  </si>
  <si>
    <t>9126197039</t>
  </si>
  <si>
    <t>محمدباقر</t>
  </si>
  <si>
    <t>قیم</t>
  </si>
  <si>
    <t>محمدرضا پناهی</t>
  </si>
  <si>
    <t>9371414462</t>
  </si>
  <si>
    <t>پناهی</t>
  </si>
  <si>
    <t>محمدرضا زمین پرداز</t>
  </si>
  <si>
    <t>989135488201</t>
  </si>
  <si>
    <t>زمین پرداز</t>
  </si>
  <si>
    <t>محمدمهدی بخارایی</t>
  </si>
  <si>
    <t>989122484729</t>
  </si>
  <si>
    <t>بخارایی</t>
  </si>
  <si>
    <t>محمدیاسین پارسی</t>
  </si>
  <si>
    <t>محمدیاسین</t>
  </si>
  <si>
    <t>989103000558</t>
  </si>
  <si>
    <t>مرضیه امانی</t>
  </si>
  <si>
    <t>989126948520</t>
  </si>
  <si>
    <t>امانی</t>
  </si>
  <si>
    <t>مرضیه عزیزی</t>
  </si>
  <si>
    <t>989132865814</t>
  </si>
  <si>
    <t>مریم آقایی</t>
  </si>
  <si>
    <t>989196726228</t>
  </si>
  <si>
    <t>مریم خرمی پور</t>
  </si>
  <si>
    <t>989123908940</t>
  </si>
  <si>
    <t>خرمی پور</t>
  </si>
  <si>
    <t>مریم محمدی</t>
  </si>
  <si>
    <t>9102330291</t>
  </si>
  <si>
    <t>989122985163</t>
  </si>
  <si>
    <t>منصور رمضانی</t>
  </si>
  <si>
    <t>989126066435</t>
  </si>
  <si>
    <t>مهدی توحیدلو</t>
  </si>
  <si>
    <t>989352489824</t>
  </si>
  <si>
    <t>توحیدلو</t>
  </si>
  <si>
    <t>امیرعباس قاسمی</t>
  </si>
  <si>
    <t>989919191746</t>
  </si>
  <si>
    <t>محمدرضا تشکری</t>
  </si>
  <si>
    <t>989128474714</t>
  </si>
  <si>
    <t>سیدمحمدرضا نجفی</t>
  </si>
  <si>
    <t>989121386329</t>
  </si>
  <si>
    <t>کیوان قائنیان</t>
  </si>
  <si>
    <t>989133333558</t>
  </si>
  <si>
    <t>قائنیان</t>
  </si>
  <si>
    <t>سپهر حساس یگانه</t>
  </si>
  <si>
    <t>9122303296</t>
  </si>
  <si>
    <t>حساس یگانه</t>
  </si>
  <si>
    <t>سپیده امینی</t>
  </si>
  <si>
    <t>9129330513</t>
  </si>
  <si>
    <t>سپیده کیکاوسی</t>
  </si>
  <si>
    <t>989122452433</t>
  </si>
  <si>
    <t>کیکاوسی</t>
  </si>
  <si>
    <t>سجاد صفری</t>
  </si>
  <si>
    <t>989102123515</t>
  </si>
  <si>
    <t>سحر میر موسی</t>
  </si>
  <si>
    <t>989129404655</t>
  </si>
  <si>
    <t>میر موسی</t>
  </si>
  <si>
    <t>سعید کبیری</t>
  </si>
  <si>
    <t>989131081961</t>
  </si>
  <si>
    <t>سعید هاشمی</t>
  </si>
  <si>
    <t>9123857801</t>
  </si>
  <si>
    <t>سعیده جعفری</t>
  </si>
  <si>
    <t>9128549022</t>
  </si>
  <si>
    <t>سمیه مرادلو</t>
  </si>
  <si>
    <t>989123370623</t>
  </si>
  <si>
    <t>مرادلو</t>
  </si>
  <si>
    <t>سید ستار الرضا نوعی</t>
  </si>
  <si>
    <t>9158783325</t>
  </si>
  <si>
    <t>سید ستار الرضا</t>
  </si>
  <si>
    <t>نوعی</t>
  </si>
  <si>
    <t>سیدحسین میرسعیدی</t>
  </si>
  <si>
    <t>9358646096</t>
  </si>
  <si>
    <t>میرسعیدی</t>
  </si>
  <si>
    <t>سیدمحمدرضا موسوی نسب</t>
  </si>
  <si>
    <t>موسوی نسب</t>
  </si>
  <si>
    <t>سیدمهدی اعتمادی</t>
  </si>
  <si>
    <t>9127186540</t>
  </si>
  <si>
    <t>اعتمادی</t>
  </si>
  <si>
    <t>شراره عزیزوند</t>
  </si>
  <si>
    <t>9122356326</t>
  </si>
  <si>
    <t>عزیزوند</t>
  </si>
  <si>
    <t>989127812885</t>
  </si>
  <si>
    <t>شهریار عندلیب</t>
  </si>
  <si>
    <t>989131138622</t>
  </si>
  <si>
    <t>شهریار</t>
  </si>
  <si>
    <t>عندلیب</t>
  </si>
  <si>
    <t>صدرالدین عسگراولادی</t>
  </si>
  <si>
    <t>989120665671</t>
  </si>
  <si>
    <t>صدرالدین</t>
  </si>
  <si>
    <t>عسگراولادی</t>
  </si>
  <si>
    <t>طاها کشاورز</t>
  </si>
  <si>
    <t>989046288828</t>
  </si>
  <si>
    <t>طاها</t>
  </si>
  <si>
    <t>عبدالله محمودی</t>
  </si>
  <si>
    <t>989191445429</t>
  </si>
  <si>
    <t>عطا جداری</t>
  </si>
  <si>
    <t>989121435900</t>
  </si>
  <si>
    <t>علی آب روشن</t>
  </si>
  <si>
    <t>9120561757</t>
  </si>
  <si>
    <t>آب روشن</t>
  </si>
  <si>
    <t>کاوه داودی</t>
  </si>
  <si>
    <t>9122835106</t>
  </si>
  <si>
    <t>گیتا زهرایی</t>
  </si>
  <si>
    <t>989134556550</t>
  </si>
  <si>
    <t>ماهان خوباقری</t>
  </si>
  <si>
    <t>982632222504</t>
  </si>
  <si>
    <t>خوباقری</t>
  </si>
  <si>
    <t>محمد خاهانی</t>
  </si>
  <si>
    <t>989148994632</t>
  </si>
  <si>
    <t>خاهانی</t>
  </si>
  <si>
    <t>مرتضی رواجی</t>
  </si>
  <si>
    <t>989128505062</t>
  </si>
  <si>
    <t>رواجی</t>
  </si>
  <si>
    <t>مریم جاویده</t>
  </si>
  <si>
    <t>989126261105</t>
  </si>
  <si>
    <t>جاویده</t>
  </si>
  <si>
    <t>مصطفی احمدی</t>
  </si>
  <si>
    <t>989107788767</t>
  </si>
  <si>
    <t>رضا شیراوند</t>
  </si>
  <si>
    <t>989361134762</t>
  </si>
  <si>
    <t>محمدعلی اسماعیل زاده</t>
  </si>
  <si>
    <t>989122842909</t>
  </si>
  <si>
    <t>محمدحسن مختاری</t>
  </si>
  <si>
    <t>989121225362</t>
  </si>
  <si>
    <t>مختاری</t>
  </si>
  <si>
    <t>امیررضا چهری</t>
  </si>
  <si>
    <t>989038651446</t>
  </si>
  <si>
    <t>چهری</t>
  </si>
  <si>
    <t>اشکان خواجه نوری</t>
  </si>
  <si>
    <t>989121131743</t>
  </si>
  <si>
    <t>خواجه نوری</t>
  </si>
  <si>
    <t>آرش شیخی</t>
  </si>
  <si>
    <t>9123370623</t>
  </si>
  <si>
    <t>شیخی</t>
  </si>
  <si>
    <t>محمد ابراهیم نبیئی</t>
  </si>
  <si>
    <t>989125132000</t>
  </si>
  <si>
    <t>محمد ابراهیم</t>
  </si>
  <si>
    <t>نبیئی</t>
  </si>
  <si>
    <t>شادی سبزعلی</t>
  </si>
  <si>
    <t>9126201654</t>
  </si>
  <si>
    <t>شادی</t>
  </si>
  <si>
    <t>سبزعلی</t>
  </si>
  <si>
    <t>مهدی زارعی</t>
  </si>
  <si>
    <t>بهاره نظری پور</t>
  </si>
  <si>
    <t>989369818060</t>
  </si>
  <si>
    <t>مهدی مهدی پور</t>
  </si>
  <si>
    <t>9124753107</t>
  </si>
  <si>
    <t>اعظم صفری (کارکنان هتل)</t>
  </si>
  <si>
    <t>989122593771</t>
  </si>
  <si>
    <t>زهرا داوودی</t>
  </si>
  <si>
    <t>989102116535</t>
  </si>
  <si>
    <t>داوودی</t>
  </si>
  <si>
    <t>محمدامین دهقانی</t>
  </si>
  <si>
    <t>989179701121</t>
  </si>
  <si>
    <t>محمدحسین مسجدی آرانی</t>
  </si>
  <si>
    <t>989122973985</t>
  </si>
  <si>
    <t>مسجدی آرانی</t>
  </si>
  <si>
    <t>علی حیدری</t>
  </si>
  <si>
    <t>989135737073</t>
  </si>
  <si>
    <t>امیرمحمد احمدی</t>
  </si>
  <si>
    <t>989120630920</t>
  </si>
  <si>
    <t>امیرمحمد</t>
  </si>
  <si>
    <t>مرتضی حسنی</t>
  </si>
  <si>
    <t>989389397272</t>
  </si>
  <si>
    <t>امیرحسین ایرانی</t>
  </si>
  <si>
    <t>989196071835</t>
  </si>
  <si>
    <t>میرکازهی ریگی</t>
  </si>
  <si>
    <t>9151415445</t>
  </si>
  <si>
    <t>میرکازهی</t>
  </si>
  <si>
    <t>ریگی</t>
  </si>
  <si>
    <t>کمیل (هادی) مهران فر</t>
  </si>
  <si>
    <t>۹۱۲۰۲۶۹۰۱۶</t>
  </si>
  <si>
    <t>کمیل (هادی)</t>
  </si>
  <si>
    <t>مهران فر</t>
  </si>
  <si>
    <t>مریم علیشاهی</t>
  </si>
  <si>
    <t>9126337937</t>
  </si>
  <si>
    <t>علیشاهی</t>
  </si>
  <si>
    <t>کیانا رجبی</t>
  </si>
  <si>
    <t>9356336678</t>
  </si>
  <si>
    <t>۰۹۱۲۲۲۵۰۷۰۴</t>
  </si>
  <si>
    <t>مسعود نوح پیشه</t>
  </si>
  <si>
    <t>9365727065</t>
  </si>
  <si>
    <t>نوح پیشه</t>
  </si>
  <si>
    <t>امیر همتی</t>
  </si>
  <si>
    <t>9232502874</t>
  </si>
  <si>
    <t>همتی</t>
  </si>
  <si>
    <t>پائیز(هاجر) شیری</t>
  </si>
  <si>
    <t>9124485682</t>
  </si>
  <si>
    <t>پائیز(هاجر)</t>
  </si>
  <si>
    <t>شیری</t>
  </si>
  <si>
    <t>فاطمه زوار</t>
  </si>
  <si>
    <t>9926904002</t>
  </si>
  <si>
    <t>زوار</t>
  </si>
  <si>
    <t>منصوره زارعی</t>
  </si>
  <si>
    <t>۰۹۱۹۵۸۵۸۳۴۵</t>
  </si>
  <si>
    <t>صدرا علیزاده</t>
  </si>
  <si>
    <t>9364668090</t>
  </si>
  <si>
    <t>سحر دانشور</t>
  </si>
  <si>
    <t>9365811313</t>
  </si>
  <si>
    <t>دانشور</t>
  </si>
  <si>
    <t>شنتیا زمانی</t>
  </si>
  <si>
    <t>9058938339</t>
  </si>
  <si>
    <t>شنتیا</t>
  </si>
  <si>
    <t>مهدی قطبی</t>
  </si>
  <si>
    <t>۰۹۱۲۷۰۳۱۰۰۸</t>
  </si>
  <si>
    <t>قطبی</t>
  </si>
  <si>
    <t>بهاره سیاح</t>
  </si>
  <si>
    <t>۰۹۱۲۳۰۴۸۷۴۸</t>
  </si>
  <si>
    <t>سیاح</t>
  </si>
  <si>
    <t>مهرنوش بهرامی مهر</t>
  </si>
  <si>
    <t>@Mehrnoushbm</t>
  </si>
  <si>
    <t>بهرامی مهر</t>
  </si>
  <si>
    <t>ماهان توکلی</t>
  </si>
  <si>
    <t>9103000566</t>
  </si>
  <si>
    <t>ناصر عادلی</t>
  </si>
  <si>
    <t>9155437274</t>
  </si>
  <si>
    <t>عادلی</t>
  </si>
  <si>
    <t>حمیدرضا اسدالله زاده</t>
  </si>
  <si>
    <t>9395020476</t>
  </si>
  <si>
    <t>حمیدرضا میر</t>
  </si>
  <si>
    <t>9171123429</t>
  </si>
  <si>
    <t>میر</t>
  </si>
  <si>
    <t>شیرین کیخا</t>
  </si>
  <si>
    <t>9360816001</t>
  </si>
  <si>
    <t>شیرین</t>
  </si>
  <si>
    <t>کیخا</t>
  </si>
  <si>
    <t>غزل کیا</t>
  </si>
  <si>
    <t>9305146908</t>
  </si>
  <si>
    <t>الهام فرزین</t>
  </si>
  <si>
    <t>9216954012</t>
  </si>
  <si>
    <t>فرزین</t>
  </si>
  <si>
    <t>محمد دهقان</t>
  </si>
  <si>
    <t>9120652693</t>
  </si>
  <si>
    <t>دهقان</t>
  </si>
  <si>
    <t>تبسم رضوانی</t>
  </si>
  <si>
    <t>9931428407</t>
  </si>
  <si>
    <t>تبسم</t>
  </si>
  <si>
    <t>رضوانی</t>
  </si>
  <si>
    <t>داود حیدری راد</t>
  </si>
  <si>
    <t>9124431175</t>
  </si>
  <si>
    <t>حیدری راد</t>
  </si>
  <si>
    <t>سمیه محمدی</t>
  </si>
  <si>
    <t>9126597091</t>
  </si>
  <si>
    <t>سعید قریشی مقدم</t>
  </si>
  <si>
    <t>۹۱۵۵۴۵۹۵۲۰</t>
  </si>
  <si>
    <t>قریشی مقدم</t>
  </si>
  <si>
    <t>حامد ناظری</t>
  </si>
  <si>
    <t>9153404396</t>
  </si>
  <si>
    <t>ناظری</t>
  </si>
  <si>
    <t>سعید دالوند</t>
  </si>
  <si>
    <t>9126036839</t>
  </si>
  <si>
    <t>دالوند</t>
  </si>
  <si>
    <t>بیتا سهرابی</t>
  </si>
  <si>
    <t>9120282072</t>
  </si>
  <si>
    <t>ندیم درزاده</t>
  </si>
  <si>
    <t>9159587472</t>
  </si>
  <si>
    <t>ندیم</t>
  </si>
  <si>
    <t>درزاده</t>
  </si>
  <si>
    <t>رامین سمیع زاده</t>
  </si>
  <si>
    <t>۰۹۱۲۱۲۴۴۲۷۶</t>
  </si>
  <si>
    <t>سمیع زاده</t>
  </si>
  <si>
    <t>مهدی آشوع</t>
  </si>
  <si>
    <t>۰۹۱۸۸۵۸۳۶۶۰</t>
  </si>
  <si>
    <t>آشوع</t>
  </si>
  <si>
    <t>راضیه انصاری</t>
  </si>
  <si>
    <t>9378206785</t>
  </si>
  <si>
    <t>راضیه</t>
  </si>
  <si>
    <t>هادی میرواحدی</t>
  </si>
  <si>
    <t>@Asociolinguist</t>
  </si>
  <si>
    <t>میرواحدی</t>
  </si>
  <si>
    <t>امیرعباس علی شادی جلال</t>
  </si>
  <si>
    <t>9191403895</t>
  </si>
  <si>
    <t>علی شادی جلال</t>
  </si>
  <si>
    <t>مینا خواجه بهرامی</t>
  </si>
  <si>
    <t>9136387240</t>
  </si>
  <si>
    <t>خواجه بهرامی</t>
  </si>
  <si>
    <t>پیمان محبت دوست</t>
  </si>
  <si>
    <t>9925322822</t>
  </si>
  <si>
    <t>پیمان</t>
  </si>
  <si>
    <t>محبت دوست</t>
  </si>
  <si>
    <t>جواد معینی</t>
  </si>
  <si>
    <t>9150020211</t>
  </si>
  <si>
    <t>معینی</t>
  </si>
  <si>
    <t>9118911002</t>
  </si>
  <si>
    <t>کامران کریم نیا</t>
  </si>
  <si>
    <t>۰۹۱۱۴۲۲۶۶۲۶</t>
  </si>
  <si>
    <t>کریم نیا</t>
  </si>
  <si>
    <t>فرزاد نصیری</t>
  </si>
  <si>
    <t>9120031301</t>
  </si>
  <si>
    <t>احمد مهدینلو</t>
  </si>
  <si>
    <t>9120031201</t>
  </si>
  <si>
    <t>مهدینلو</t>
  </si>
  <si>
    <t>آرمان فرهادی</t>
  </si>
  <si>
    <t>۰۹۳۸۹۳۸۰۶۵۴</t>
  </si>
  <si>
    <t>محمدرضا ایلخانی</t>
  </si>
  <si>
    <t>9128438310</t>
  </si>
  <si>
    <t>ایلخانی</t>
  </si>
  <si>
    <t>صفا وحید افشار</t>
  </si>
  <si>
    <t>9149695001</t>
  </si>
  <si>
    <t>وحید افشار</t>
  </si>
  <si>
    <t>فرزاد جمالی</t>
  </si>
  <si>
    <t>9192043192</t>
  </si>
  <si>
    <t>جمالی</t>
  </si>
  <si>
    <t>ثبت نام در سایت</t>
  </si>
  <si>
    <t>شرکت کننده</t>
  </si>
  <si>
    <t>مهرداد نایب</t>
  </si>
  <si>
    <t>9151024047</t>
  </si>
  <si>
    <t>رسول قربانی</t>
  </si>
  <si>
    <t>۰۹۱۵۹۳۵۶۷۴۷</t>
  </si>
  <si>
    <t>rasool.ghorbani@yahoo.com</t>
  </si>
  <si>
    <t>۰۹۳۶۳۷۵۵۷۷۲</t>
  </si>
  <si>
    <t>behnoosh.karbasian@gmail.com</t>
  </si>
  <si>
    <t>لینک پرداخت ارسال شد</t>
  </si>
  <si>
    <t>سحر مطمئن</t>
  </si>
  <si>
    <t>9122472476</t>
  </si>
  <si>
    <t>navid.ayazi@gmail.com</t>
  </si>
  <si>
    <t>مطمئن</t>
  </si>
  <si>
    <t>مهسا یزدانی</t>
  </si>
  <si>
    <t>۹۱۹۴۴۲۳۰۶۲</t>
  </si>
  <si>
    <t>mah.yzdni@gmail.com</t>
  </si>
  <si>
    <t>مهدی صفائی</t>
  </si>
  <si>
    <t>۹۱۲۲۵۰۱۸۵۰</t>
  </si>
  <si>
    <t>mehdisafaee1990@yahoo.com</t>
  </si>
  <si>
    <t>صفائی</t>
  </si>
  <si>
    <t>علیرضا بابازاده</t>
  </si>
  <si>
    <t>۰۹۰۵۶۵۰۶۵۴۰</t>
  </si>
  <si>
    <t>babazadeh.arb@gmail.com</t>
  </si>
  <si>
    <t>بابازاده</t>
  </si>
  <si>
    <t>پریسا مسلمی</t>
  </si>
  <si>
    <t>۰۹۳۹۲۵۳۲۷۵۳</t>
  </si>
  <si>
    <t>parisapmoslemi@gmail.com</t>
  </si>
  <si>
    <t>مهدی طالبی</t>
  </si>
  <si>
    <t>۹۱۲۵۹۸۴۸۶۶</t>
  </si>
  <si>
    <t>mahditalebi583@gmail.com</t>
  </si>
  <si>
    <t>محمدرضا بیگ پور</t>
  </si>
  <si>
    <t>۰۹۱۲۹۵۶۳۳۵۳</t>
  </si>
  <si>
    <t>mohamadreza.beigpour@gmail.com</t>
  </si>
  <si>
    <t>بیگ پور</t>
  </si>
  <si>
    <t>سید مرتضی یزدان پرست</t>
  </si>
  <si>
    <t>۰۹۱۲۹۱۰۶۳۴۸</t>
  </si>
  <si>
    <t>yazdanipadair2@gmail.com</t>
  </si>
  <si>
    <t>سید مرتضی</t>
  </si>
  <si>
    <t>یزدان پرست</t>
  </si>
  <si>
    <t>علی گلدسته</t>
  </si>
  <si>
    <t>۰۹۰۱۰۶۹۳۳۲۳</t>
  </si>
  <si>
    <t>ali.goldasteh.ai@gmail.com</t>
  </si>
  <si>
    <t>گلدسته</t>
  </si>
  <si>
    <t>سپهر رحیمیان</t>
  </si>
  <si>
    <t>۰۹۳۰۲۹۳۲۰۳۳</t>
  </si>
  <si>
    <t>rahimiyansepehr@gmail.com</t>
  </si>
  <si>
    <t>رحیمیان</t>
  </si>
  <si>
    <t>فرزانه فیروز</t>
  </si>
  <si>
    <t>۰۹۱۹۵۰۶۱۲۹۰</t>
  </si>
  <si>
    <t>frznefirooz4@gmail.com</t>
  </si>
  <si>
    <t>۰۹۳۰۰۷۲۶۲۷۱</t>
  </si>
  <si>
    <t>aheydari1999@gmail.com</t>
  </si>
  <si>
    <t>علی حاجی‌محمدی</t>
  </si>
  <si>
    <t>۰۹۱۲۳۳۳۵۷۲۳</t>
  </si>
  <si>
    <t>alihjmdi@gmail.com</t>
  </si>
  <si>
    <t>حاجی‌محمدی</t>
  </si>
  <si>
    <t>عارفه احمدی</t>
  </si>
  <si>
    <t>۰۹۳۵۷۲۵۸۰۱۸</t>
  </si>
  <si>
    <t>ahmadiarefeh61@gmail.com</t>
  </si>
  <si>
    <t>منصور علی آبادی</t>
  </si>
  <si>
    <t>۰۹۱۲۱۶۳۳۴۲۳</t>
  </si>
  <si>
    <t>elahe.azami76@gmail.com</t>
  </si>
  <si>
    <t>علی آبادی</t>
  </si>
  <si>
    <t>انتقال به دوره های بعد</t>
  </si>
  <si>
    <t>کاوه ابراهیمی</t>
  </si>
  <si>
    <t>۰۹۱۲۳۶۴۵۰۵۳</t>
  </si>
  <si>
    <t>الهام وطن پور</t>
  </si>
  <si>
    <t>۰۹۱۲۲۷۲۰۳۵۱</t>
  </si>
  <si>
    <t>elham.vatanpour@yahoo.com</t>
  </si>
  <si>
    <t>وطن پور</t>
  </si>
  <si>
    <t>غایب</t>
  </si>
  <si>
    <t>ساناز كوثری</t>
  </si>
  <si>
    <t>۰۹۱۲۲۰۴۲۸۷۹</t>
  </si>
  <si>
    <t>نامشخص</t>
  </si>
  <si>
    <t>كوثری</t>
  </si>
  <si>
    <t>ساناز سپهوند</t>
  </si>
  <si>
    <t>۰۹۱۲۰۳۴۸۳۸۹</t>
  </si>
  <si>
    <t>سپهوند</t>
  </si>
  <si>
    <t>یگانه حسنلو</t>
  </si>
  <si>
    <t>۰۹۱۲۶۸۳۹۳۷۴</t>
  </si>
  <si>
    <t>حسنلو</t>
  </si>
  <si>
    <t>زینب رضایی</t>
  </si>
  <si>
    <t>جایگزین</t>
  </si>
  <si>
    <t>مونا امام</t>
  </si>
  <si>
    <t>9122112548</t>
  </si>
  <si>
    <t>امام</t>
  </si>
  <si>
    <t>انصراف روز اول</t>
  </si>
  <si>
    <t>دنیا رضوانی</t>
  </si>
  <si>
    <t>۰۹۰۱۱۹۶۶۰۵۵</t>
  </si>
  <si>
    <t>دنیا</t>
  </si>
  <si>
    <t>سعیده حقیقی</t>
  </si>
  <si>
    <t>۰۹۱۲۷۳۳۱۲۴۴</t>
  </si>
  <si>
    <t>طناز حیدری نژاد</t>
  </si>
  <si>
    <t>۰۹۳۶۳۱۰۹۶۲۴</t>
  </si>
  <si>
    <t>حیدری نژاد</t>
  </si>
  <si>
    <t>حسن باقرپور</t>
  </si>
  <si>
    <t>۰۹۳۸۳۲۰۸۸۴۲</t>
  </si>
  <si>
    <t>hsbagherpour@gmail.com</t>
  </si>
  <si>
    <t>باقرپور</t>
  </si>
  <si>
    <t>فتانه مقدم</t>
  </si>
  <si>
    <t>۰۹۳۶۴۹۸۵۸۶۰</t>
  </si>
  <si>
    <t>moghaddam_fatan@yahoo.com</t>
  </si>
  <si>
    <t>فتانه</t>
  </si>
  <si>
    <t>کارت به کارت</t>
  </si>
  <si>
    <t>نسترن نعمتی</t>
  </si>
  <si>
    <t>نیلوفر فردوسی</t>
  </si>
  <si>
    <t>9225440574</t>
  </si>
  <si>
    <t>فردوسی</t>
  </si>
  <si>
    <t>محسن خاکی</t>
  </si>
  <si>
    <t>9377333546</t>
  </si>
  <si>
    <t>خاکی</t>
  </si>
  <si>
    <t>زهرا نوروزی</t>
  </si>
  <si>
    <t>9363733923</t>
  </si>
  <si>
    <t>زهرا ابراهیمی</t>
  </si>
  <si>
    <t>9128949610</t>
  </si>
  <si>
    <t>مهلا اسدی</t>
  </si>
  <si>
    <t>9392808102</t>
  </si>
  <si>
    <t>معصومه جعفرزاده</t>
  </si>
  <si>
    <t>9102705955</t>
  </si>
  <si>
    <t>نیلوفر علیزاده</t>
  </si>
  <si>
    <t>9210112150</t>
  </si>
  <si>
    <t>امین وطن دوست</t>
  </si>
  <si>
    <t>9302573489</t>
  </si>
  <si>
    <t>وطن دوست</t>
  </si>
  <si>
    <t>نگین شمس</t>
  </si>
  <si>
    <t>9107843118</t>
  </si>
  <si>
    <t>حدیثه رضازاده</t>
  </si>
  <si>
    <t>9118806670</t>
  </si>
  <si>
    <t>پارسا پهلوانی</t>
  </si>
  <si>
    <t>9912502800</t>
  </si>
  <si>
    <t>pparsapgh@gmail.com</t>
  </si>
  <si>
    <t>پهلوانی</t>
  </si>
  <si>
    <t>فاطمه (عاطفه) اصغرزاده</t>
  </si>
  <si>
    <t>9382625024</t>
  </si>
  <si>
    <t>atefehasgharzadeh69@gmail.com</t>
  </si>
  <si>
    <t>فاطمه (عاطفه)</t>
  </si>
  <si>
    <t>اصغرزاده</t>
  </si>
  <si>
    <t>محسن به خوی</t>
  </si>
  <si>
    <t>۰۹۱۹۶۸۲۸۹۴۹</t>
  </si>
  <si>
    <t>mohsenbehkhooy@gmail.con</t>
  </si>
  <si>
    <t>به خوی</t>
  </si>
  <si>
    <t>سید عطا ناقدی فر</t>
  </si>
  <si>
    <t>۰۹۲۲۳۹۴۴۹۶۷</t>
  </si>
  <si>
    <t>atanaghedifar@gmail.com</t>
  </si>
  <si>
    <t>سید عطا</t>
  </si>
  <si>
    <t>ناقدی فر</t>
  </si>
  <si>
    <t>۰۹۱۲۲۳۶۱۰۲۳</t>
  </si>
  <si>
    <t>محمدرضا اسپرغم</t>
  </si>
  <si>
    <t>۰۹۱۲۳۴۷۰۷۱۱
9359338520</t>
  </si>
  <si>
    <t>reza.espargham@digikala.com</t>
  </si>
  <si>
    <t>اسپرغم</t>
  </si>
  <si>
    <t>احمد پاشای</t>
  </si>
  <si>
    <t>۰۹۳۰۶۴۳۰۸۲۸</t>
  </si>
  <si>
    <t>پاشای</t>
  </si>
  <si>
    <t>محمدرضا جعفرزاده</t>
  </si>
  <si>
    <t>۰۹۳۹۵۴۷۲۰۰۴</t>
  </si>
  <si>
    <t>mrezajafarzade98@gmail.com</t>
  </si>
  <si>
    <t>مرجان ناقور</t>
  </si>
  <si>
    <t>۰۹۱۲۲۲۰۸۹۴۰</t>
  </si>
  <si>
    <t>naghoor.m@gmail.com</t>
  </si>
  <si>
    <t>ناقور</t>
  </si>
  <si>
    <t>معصومه نصرآبادی</t>
  </si>
  <si>
    <t>۰۹۳۶۶۰۳۴۲۸۳</t>
  </si>
  <si>
    <t>masomehnasrabadi@90gmail.com</t>
  </si>
  <si>
    <t>نصرآبادی</t>
  </si>
  <si>
    <t>فروغ ذاکرمشفق</t>
  </si>
  <si>
    <t>۰۹۱۲۷۱۱۸۳۶۴</t>
  </si>
  <si>
    <t>forough.zaker@gmail.com</t>
  </si>
  <si>
    <t>ذاکرمشفق</t>
  </si>
  <si>
    <t>عرشیا احمدی</t>
  </si>
  <si>
    <t>۰۹۲۲۴۴۲۸۶۴۲</t>
  </si>
  <si>
    <t>arshiaahmadi248@gmail.com</t>
  </si>
  <si>
    <t>فاطمه حسنی</t>
  </si>
  <si>
    <t>۰۹۱۹۷۲۰۹۱۳۳</t>
  </si>
  <si>
    <t>qzl.hassani@gmail.com</t>
  </si>
  <si>
    <t>محمد مهدی زمانی اصفهانی</t>
  </si>
  <si>
    <t>۰۹۳۸۱۶۴۷۰۸۴</t>
  </si>
  <si>
    <t>mohammadmahdizamani98@gmail.com</t>
  </si>
  <si>
    <t>زمانی اصفهانی</t>
  </si>
  <si>
    <t>نوشین اعتمادیان</t>
  </si>
  <si>
    <t>۰۹۱۲۶۹۴۵۰۴۳</t>
  </si>
  <si>
    <t>nooshinetemadian@gmail.com</t>
  </si>
  <si>
    <t>۰۹۳۷۵۸۰۷۲۳۴</t>
  </si>
  <si>
    <t>sharifzadeh.azin@gmail.com</t>
  </si>
  <si>
    <t>آزاده کریم خانی</t>
  </si>
  <si>
    <t>۰۹۱۹۵۶۶۳۸۶۳</t>
  </si>
  <si>
    <t>az.karimkhani@gmail.com</t>
  </si>
  <si>
    <t>کریم خانی</t>
  </si>
  <si>
    <t>علی اکبر محمدابراهیمی</t>
  </si>
  <si>
    <t>۰۹۱۲۲۰۴۰۸۲۷</t>
  </si>
  <si>
    <t>ebrahimi2020mfa@gmail.com</t>
  </si>
  <si>
    <t>محمدابراهیمی</t>
  </si>
  <si>
    <t>مومن حمه ویسی</t>
  </si>
  <si>
    <t>۰۹۱۸۴۳۹۴۶۵۷</t>
  </si>
  <si>
    <t>momenhamaveisi7@gmail.com</t>
  </si>
  <si>
    <t>مومن</t>
  </si>
  <si>
    <t>حمه ویسی</t>
  </si>
  <si>
    <t>بابک قبادی</t>
  </si>
  <si>
    <t>۰۹۱۲۲۱۳۹۳۱۶</t>
  </si>
  <si>
    <t>babak.ghobadi20@gmail.com</t>
  </si>
  <si>
    <t>مهدی ولایتی پور</t>
  </si>
  <si>
    <t>۰۹۹۳۸۰۴۸۷۸۹</t>
  </si>
  <si>
    <t>mahdivpour8@gmail.com</t>
  </si>
  <si>
    <t>ولایتی پور</t>
  </si>
  <si>
    <t>کیارش رشیدی</t>
  </si>
  <si>
    <t>۰۹۲۱۷۹۷۵۷۴۷</t>
  </si>
  <si>
    <t>mehrabady.rashidi@gmail.com</t>
  </si>
  <si>
    <t>کیارش</t>
  </si>
  <si>
    <t>رشیدی</t>
  </si>
  <si>
    <t>عارف کاظمی</t>
  </si>
  <si>
    <t>۰۹۹۱۲۷۷۱۷۸۱</t>
  </si>
  <si>
    <t>aref_kazemi@energy.sharif.edu</t>
  </si>
  <si>
    <t>۰۹۱۲۱۳۸۶۳۲۹</t>
  </si>
  <si>
    <t>سید محمدرضا</t>
  </si>
  <si>
    <t>مهران مظاهری</t>
  </si>
  <si>
    <t>۰۹۱۳۵۴۷۴۲۸۲</t>
  </si>
  <si>
    <t>mm.mehran79@gmail.com</t>
  </si>
  <si>
    <t>فرناز قوامی</t>
  </si>
  <si>
    <t>9396808256</t>
  </si>
  <si>
    <t>faar.ghavami@gmail.com</t>
  </si>
  <si>
    <t>قوامی</t>
  </si>
  <si>
    <t>سازمانی - اکالا</t>
  </si>
  <si>
    <t>مبینا کتابی</t>
  </si>
  <si>
    <t>9102669011</t>
  </si>
  <si>
    <t>mobinaktb@gmail.com</t>
  </si>
  <si>
    <t>مبینا</t>
  </si>
  <si>
    <t>کتابی</t>
  </si>
  <si>
    <t>پریسا جوکار</t>
  </si>
  <si>
    <t>9129151375</t>
  </si>
  <si>
    <t>Parisa.attaie@gmail.com</t>
  </si>
  <si>
    <t>جوکار</t>
  </si>
  <si>
    <t>Abbasi.reza93@gmail.com</t>
  </si>
  <si>
    <t>نهال ظاهری</t>
  </si>
  <si>
    <t>9199639250</t>
  </si>
  <si>
    <t>nahal.okala@gmail.com</t>
  </si>
  <si>
    <t>نهال</t>
  </si>
  <si>
    <t>آذین امیری</t>
  </si>
  <si>
    <t>9351178986</t>
  </si>
  <si>
    <t>amyry.work@gmail.com</t>
  </si>
  <si>
    <t>جواد مه آبادی</t>
  </si>
  <si>
    <t>9226637640</t>
  </si>
  <si>
    <t>mjavadmahabadi@gmail.com</t>
  </si>
  <si>
    <t>مه آبادی</t>
  </si>
  <si>
    <t>انصراف قبل از دوره</t>
  </si>
  <si>
    <t>امیرعلی معصوم زاده</t>
  </si>
  <si>
    <t>9152496838</t>
  </si>
  <si>
    <t>amiralimasoomzade@gmail.com</t>
  </si>
  <si>
    <t>معصوم زاده</t>
  </si>
  <si>
    <t>سجاد جلالی</t>
  </si>
  <si>
    <t>9921689734</t>
  </si>
  <si>
    <t>jalali1379@gmail.com</t>
  </si>
  <si>
    <t>مهرناز سیم دار</t>
  </si>
  <si>
    <t>9120259834</t>
  </si>
  <si>
    <t>mehrnaz.simdar@gmail.com</t>
  </si>
  <si>
    <t>مهرناز</t>
  </si>
  <si>
    <t>سیم دار</t>
  </si>
  <si>
    <t>سینا رشیدی زاده</t>
  </si>
  <si>
    <t>9152170729</t>
  </si>
  <si>
    <t>sina.rashidizadeh@gmail.com</t>
  </si>
  <si>
    <t>رشیدی زاده</t>
  </si>
  <si>
    <t>علیرضا شیرخدائی</t>
  </si>
  <si>
    <t>۹۳۶۳۱۳۲۱۳۰</t>
  </si>
  <si>
    <t>ar.shirkhodaee@gmail.com</t>
  </si>
  <si>
    <t>شیرخدائی</t>
  </si>
  <si>
    <t>اعظم پارسائی تبار</t>
  </si>
  <si>
    <t>۰۹۹۰۱۹۱۲۴۷۷</t>
  </si>
  <si>
    <t>parsaee.a@gmail.com</t>
  </si>
  <si>
    <t>پارسائی تبار</t>
  </si>
  <si>
    <t>مهدی یار کوکب زاده</t>
  </si>
  <si>
    <t>۰۹۱۲۱۷۸۴۳۷۸</t>
  </si>
  <si>
    <t>kokabzadeh@aol.com</t>
  </si>
  <si>
    <t>مهدی یار</t>
  </si>
  <si>
    <t>حمیدرضا کریمی</t>
  </si>
  <si>
    <t>۰۹۳۵۲۸۲۲۹۷۶</t>
  </si>
  <si>
    <t>alizadehmoloud@gmail.com</t>
  </si>
  <si>
    <t>مولود علیزاده</t>
  </si>
  <si>
    <t>۰۹۳۶۲۴۴۱۶۷۳</t>
  </si>
  <si>
    <t>مولود</t>
  </si>
  <si>
    <t>اشکان نیک بخت</t>
  </si>
  <si>
    <t>۰۹۱۲۲۱۰۲۹۹۱</t>
  </si>
  <si>
    <t>ash.nikbakht@gmail.com</t>
  </si>
  <si>
    <t>نیک بخت</t>
  </si>
  <si>
    <t>عرفان جداری جباری پور</t>
  </si>
  <si>
    <t>۰۹۱۲۲۰۱۸۱۵۵</t>
  </si>
  <si>
    <t>erfan.jabaripoor@gmail.com</t>
  </si>
  <si>
    <t>جداری جباری پور</t>
  </si>
  <si>
    <t>یاسمن ندایی</t>
  </si>
  <si>
    <t>۰۹۱۲۰۳۶۵۲۹۶</t>
  </si>
  <si>
    <t>yasiii_nd@yahoo.com</t>
  </si>
  <si>
    <t>ندایی</t>
  </si>
  <si>
    <t>علی مهدیان</t>
  </si>
  <si>
    <t>۰۹۱۳۶۴۹۱۱۲۶</t>
  </si>
  <si>
    <t>alivmahdian@gmail.com</t>
  </si>
  <si>
    <t>مهدیان</t>
  </si>
  <si>
    <t>محمدجواد صادق دوست</t>
  </si>
  <si>
    <t>۰۹۲۱۸۸۵۲۵۳۹</t>
  </si>
  <si>
    <t>m.j.sadeghdoust@gmail.com</t>
  </si>
  <si>
    <t>صادق دوست</t>
  </si>
  <si>
    <t>۰۹۱۲۰۵۵۵۰۱۹</t>
  </si>
  <si>
    <t>سپیده پناه</t>
  </si>
  <si>
    <t>۰۹۰۱۰۱۳۱۶۰۳</t>
  </si>
  <si>
    <t>panahsepideh@gmail.com</t>
  </si>
  <si>
    <t>پناه</t>
  </si>
  <si>
    <t>علی سلیمانی آرمیده</t>
  </si>
  <si>
    <t>9331861414</t>
  </si>
  <si>
    <t>سلیمانی آرمیده</t>
  </si>
  <si>
    <t>مجید رضایی</t>
  </si>
  <si>
    <t>۰۹۳۶۶۳۴۴۶۰۴</t>
  </si>
  <si>
    <t>majid.rezaee10@gmail.com</t>
  </si>
  <si>
    <t>امیررضا محمودزاده</t>
  </si>
  <si>
    <t>۰۹۳۸۲۱۰۳۰۲۱</t>
  </si>
  <si>
    <t>mahmoudzadehamirreza@gmail.com</t>
  </si>
  <si>
    <t>امیرحسین غفوریان</t>
  </si>
  <si>
    <t>۰۹۱۵۷۵۷۱۲۰۰</t>
  </si>
  <si>
    <t>hosseinghafourian@persiancup.co</t>
  </si>
  <si>
    <t>غفوریان</t>
  </si>
  <si>
    <t>محمدامین صدقی</t>
  </si>
  <si>
    <t>۰۹۲۱۱۸۵۳۴۱۸</t>
  </si>
  <si>
    <t>maminsedghi@gmail.com</t>
  </si>
  <si>
    <t>صدقی</t>
  </si>
  <si>
    <t>محسن حسن نیای گابیه</t>
  </si>
  <si>
    <t>9304222144</t>
  </si>
  <si>
    <t>M.Hasannia@Alibaba.ir</t>
  </si>
  <si>
    <t>حسن نیای گابیه</t>
  </si>
  <si>
    <t>علی فرهادی</t>
  </si>
  <si>
    <t>9124191299</t>
  </si>
  <si>
    <t>al.farhadi@Alibaba.ir</t>
  </si>
  <si>
    <t>روح الله کاظمی</t>
  </si>
  <si>
    <t>9124199985</t>
  </si>
  <si>
    <t>ro.kazemi@alibaba.ir</t>
  </si>
  <si>
    <t>کژال صلاح</t>
  </si>
  <si>
    <t>9960870704</t>
  </si>
  <si>
    <t>K.Salah@Alibaba.ir</t>
  </si>
  <si>
    <t>کژال</t>
  </si>
  <si>
    <t>صلاح</t>
  </si>
  <si>
    <t>آرش کاظم تاش</t>
  </si>
  <si>
    <t>9196208122</t>
  </si>
  <si>
    <t>a.kazemtash@alibaba.ir</t>
  </si>
  <si>
    <t>کاظم تاش</t>
  </si>
  <si>
    <t>همسر آرش کاظم تاش</t>
  </si>
  <si>
    <t>همسر</t>
  </si>
  <si>
    <t>S.Shadian@Alibaba.ir</t>
  </si>
  <si>
    <t>آرش خسرویان عرب</t>
  </si>
  <si>
    <t>a.khosravian@Alibaba.ir</t>
  </si>
  <si>
    <t>خسرویان عرب</t>
  </si>
  <si>
    <t>پارسا امامقلی‌پور</t>
  </si>
  <si>
    <t>9352501680</t>
  </si>
  <si>
    <t>p.emamgholipour@alibaba.ir</t>
  </si>
  <si>
    <t>امامقلی‌پور</t>
  </si>
  <si>
    <t>آیدا حبیب پور</t>
  </si>
  <si>
    <t>9125838135</t>
  </si>
  <si>
    <t>a.habibpour@alibaba.ir</t>
  </si>
  <si>
    <t>حبیب پور</t>
  </si>
  <si>
    <t>محمدصالح هجینی نژاد</t>
  </si>
  <si>
    <t>9366071653</t>
  </si>
  <si>
    <t>ms.hejini@Alibaba.ir</t>
  </si>
  <si>
    <t>محمدصالح</t>
  </si>
  <si>
    <t>هجینی نژاد</t>
  </si>
  <si>
    <t>Y.Nikbakhsh@Starbus.ir</t>
  </si>
  <si>
    <t>9195499989</t>
  </si>
  <si>
    <t>mohammadrezaa.zaminpardaz@gmai.com</t>
  </si>
  <si>
    <t>9132865814</t>
  </si>
  <si>
    <t>marzieazizi46@gmail.com</t>
  </si>
  <si>
    <t>علیرضا یاوری</t>
  </si>
  <si>
    <t>9136860084</t>
  </si>
  <si>
    <t>ary137793@gmail.com</t>
  </si>
  <si>
    <t>محمدرضا درفشی</t>
  </si>
  <si>
    <t>9381241100</t>
  </si>
  <si>
    <t>mdarafshi69@gmail.com</t>
  </si>
  <si>
    <t>درفشی</t>
  </si>
  <si>
    <t>سید علی آدینه</t>
  </si>
  <si>
    <t>9134030615</t>
  </si>
  <si>
    <t>aliadinehs72@gmail.com</t>
  </si>
  <si>
    <t>آدینه</t>
  </si>
  <si>
    <t>مریم صدری</t>
  </si>
  <si>
    <t>9132706570</t>
  </si>
  <si>
    <t>maryam.sadri1370@yahoo.com</t>
  </si>
  <si>
    <t>صدری</t>
  </si>
  <si>
    <t>سید سعید موسوی زاهد</t>
  </si>
  <si>
    <t>9103003058</t>
  </si>
  <si>
    <t>saeedm.0073@gmail.com</t>
  </si>
  <si>
    <t>سید سعید</t>
  </si>
  <si>
    <t>موسوی زاهد</t>
  </si>
  <si>
    <t>پداخت از اعتبار قبلی</t>
  </si>
  <si>
    <t>امیرمحمد رستمی</t>
  </si>
  <si>
    <t>9129681180</t>
  </si>
  <si>
    <t>amirmohammadrostamics@gmail.com</t>
  </si>
  <si>
    <t>رستمی</t>
  </si>
  <si>
    <t>میثم اسکندری</t>
  </si>
  <si>
    <t>۰۹۱۲۷۰۲۱۳۷۱</t>
  </si>
  <si>
    <t>m.eskandari.1390@gmail.com</t>
  </si>
  <si>
    <t>اسکندری</t>
  </si>
  <si>
    <t>۰۹۱۵۵۰۱۷۸۴۸</t>
  </si>
  <si>
    <t>ذبیحی</t>
  </si>
  <si>
    <t>فاطمه معینی نوده</t>
  </si>
  <si>
    <t>۰۹۱۵۵۵۸۵۵۲۵</t>
  </si>
  <si>
    <t>moeini.mina@yahoo.com</t>
  </si>
  <si>
    <t>معینی نوده</t>
  </si>
  <si>
    <t>امیر عباس فتوت</t>
  </si>
  <si>
    <t>۰۹۱۲۳۷۹۸۸۲۹</t>
  </si>
  <si>
    <t>amir@fotovat.com</t>
  </si>
  <si>
    <t>امیر عباس</t>
  </si>
  <si>
    <t>فتوت</t>
  </si>
  <si>
    <t>پریسا باقریان</t>
  </si>
  <si>
    <t>باقریان</t>
  </si>
  <si>
    <t>پوریا گنجی نژاد</t>
  </si>
  <si>
    <t>۰۹۱۹۰۲۸۰۱۱۸</t>
  </si>
  <si>
    <t>گنجی نژاد</t>
  </si>
  <si>
    <t>فائزه نصرالهی</t>
  </si>
  <si>
    <t>۰۹۱۲۹۳۱۳۴۴۰</t>
  </si>
  <si>
    <t>f.nasrollahi93@gmail.com</t>
  </si>
  <si>
    <t>امیرحسین خطائی داینی</t>
  </si>
  <si>
    <t>۰۹۳۳۴۴۰۶۱۶۲</t>
  </si>
  <si>
    <t>amirho3in3008@gmail.com</t>
  </si>
  <si>
    <t>خطائی داینی</t>
  </si>
  <si>
    <t>هستی دهستانی</t>
  </si>
  <si>
    <t>۰۹۱۱۲۱۰۴۳۸۲</t>
  </si>
  <si>
    <t>dr.hastidehestani@gmail.com</t>
  </si>
  <si>
    <t>دهستانی</t>
  </si>
  <si>
    <t>9919191746</t>
  </si>
  <si>
    <t>آرزو قفلی اول</t>
  </si>
  <si>
    <t>۰۹۳۶۳۶۱۹۰۶۷</t>
  </si>
  <si>
    <t>قفلی اول</t>
  </si>
  <si>
    <t>۰۹۱۰۲۱۰۷۰۸۱</t>
  </si>
  <si>
    <t>mrsh13610@gmail.com</t>
  </si>
  <si>
    <t>۰۹۰۳۷۱۹۹۱۱۷</t>
  </si>
  <si>
    <t>۰۹۳۹۳۹۰۰۳۱۸</t>
  </si>
  <si>
    <t>fshafaie3@gnail.com</t>
  </si>
  <si>
    <t>امیر وزیری</t>
  </si>
  <si>
    <t>۰۹۱۲۴۹۷۴۵۲۶</t>
  </si>
  <si>
    <t>وزیری</t>
  </si>
  <si>
    <t>حسن کرمی</t>
  </si>
  <si>
    <t>۰۹۰۲۷۲۲۳۸۱۸</t>
  </si>
  <si>
    <t>حمید بهشتی</t>
  </si>
  <si>
    <t>۰۹۱۲۲۰۱۵۵۴۲</t>
  </si>
  <si>
    <t>hanidbeheshti86@yahoo.com</t>
  </si>
  <si>
    <t>بهشتی</t>
  </si>
  <si>
    <t>زهرا خسروی</t>
  </si>
  <si>
    <t>۰۹۱۲۷۱۹۸۰۶۰</t>
  </si>
  <si>
    <t>zkhosravi8686@yahoo.com</t>
  </si>
  <si>
    <t>۰۹۱۲۴۱۰۷۸۳۶</t>
  </si>
  <si>
    <t>shaqayeqsarebanha@gmail.com</t>
  </si>
  <si>
    <t>مهدی سریزدی</t>
  </si>
  <si>
    <t>۰۹۱۰۱۵۷۹۸۶۴</t>
  </si>
  <si>
    <t>mahdisaryazdi.id@gmail.com</t>
  </si>
  <si>
    <t>مهدی دارابی</t>
  </si>
  <si>
    <t>۰۹۱۹۱۰۱۳۱۳۹</t>
  </si>
  <si>
    <t>mahdi.darabi.official@gmail.com</t>
  </si>
  <si>
    <t>۰۹۱۵۶۱۳۵۱۸۱</t>
  </si>
  <si>
    <t>ayubimohammadreza@gmail.com</t>
  </si>
  <si>
    <t>فاطمه جدی</t>
  </si>
  <si>
    <t>9910868165</t>
  </si>
  <si>
    <t>جدی</t>
  </si>
  <si>
    <t>حمیرا قاسمی</t>
  </si>
  <si>
    <t>9125045620</t>
  </si>
  <si>
    <t>حمیرا</t>
  </si>
  <si>
    <t>9123360208</t>
  </si>
  <si>
    <t>زهره قربانی</t>
  </si>
  <si>
    <t>۰۹۳۵۴۳۷۷۸۰۴</t>
  </si>
  <si>
    <t>ghzohre1368@gmail.com</t>
  </si>
  <si>
    <t>سیدمحسن غفوری</t>
  </si>
  <si>
    <t>۰۹۲۲۱۲۱۱۸۲۵</t>
  </si>
  <si>
    <t>mohsenghafoory68@gmail.com</t>
  </si>
  <si>
    <t>سیدمحسن</t>
  </si>
  <si>
    <t>مهدی کشاورز</t>
  </si>
  <si>
    <t>۰۹۱۲۴۹۷۳۹۱۰</t>
  </si>
  <si>
    <t>mahdikeshavarz@gmail.com</t>
  </si>
  <si>
    <t>حسین شیرمحمدی</t>
  </si>
  <si>
    <t>۰۹۱۲۷۵۵۹۶۵۵</t>
  </si>
  <si>
    <t>h.shirmohammadi66@gmail.com</t>
  </si>
  <si>
    <t>شیرمحمدی</t>
  </si>
  <si>
    <t>سحر ایمانی</t>
  </si>
  <si>
    <t>۰۹۱۲۸۲۴۳۰۳۲</t>
  </si>
  <si>
    <t>sahar.imani91@gmail.com</t>
  </si>
  <si>
    <t>محمدمهدی امیرآبادی</t>
  </si>
  <si>
    <t>۰۹۹۰۱۹۷۵۲۰۰</t>
  </si>
  <si>
    <t>mma007.2017@gmail.com</t>
  </si>
  <si>
    <t>امیرآبادی</t>
  </si>
  <si>
    <t>امیر مصباحی</t>
  </si>
  <si>
    <t>۰۹۱۳۱۱۳۱۲۴۷</t>
  </si>
  <si>
    <t>amir.helya38@gmail.com</t>
  </si>
  <si>
    <t>مصباحی</t>
  </si>
  <si>
    <t>۰۹۱۲۰۶۶۵۶۷۱</t>
  </si>
  <si>
    <t>sadraasgar@outlook.com</t>
  </si>
  <si>
    <t>آیدین محمدحسینی</t>
  </si>
  <si>
    <t>۰۹۱۲۱۷۵۶۶۰۸</t>
  </si>
  <si>
    <t>aydin.mhosseini@gmail.com</t>
  </si>
  <si>
    <t>امید شجاعی</t>
  </si>
  <si>
    <t>9193619161</t>
  </si>
  <si>
    <t>mromidshojaei@gmail.com</t>
  </si>
  <si>
    <t>۰۹۱۲۹۶۱۹۲۶۱</t>
  </si>
  <si>
    <t>amingivari@gmail.com</t>
  </si>
  <si>
    <t>موسی الرضا بروغنی</t>
  </si>
  <si>
    <t>۰۹۱۹۷۳۳۹۵۹۹</t>
  </si>
  <si>
    <t>jalal.feizabadi@gmail.com</t>
  </si>
  <si>
    <t>موسی الرضا</t>
  </si>
  <si>
    <t>بروغنی</t>
  </si>
  <si>
    <t>پریسا میرمحمدی طهرانی</t>
  </si>
  <si>
    <t>۰۹۰۲۰۹۹۰۴۰۲</t>
  </si>
  <si>
    <t>pumohammadi23@gmail.com</t>
  </si>
  <si>
    <t>میرمحمدی طهرانی</t>
  </si>
  <si>
    <t>مهدیه عباس زاده</t>
  </si>
  <si>
    <t>۰۹۱۲۹۳۶۸۱۹۵</t>
  </si>
  <si>
    <t>mh33ab@gmail.com</t>
  </si>
  <si>
    <t>نازنین مرادی</t>
  </si>
  <si>
    <t>9126091463</t>
  </si>
  <si>
    <t>nazaninmr88@gmail.com</t>
  </si>
  <si>
    <t>بهاره - اقساطی</t>
  </si>
  <si>
    <t>مهدیه مستحفظیان</t>
  </si>
  <si>
    <t>9133157513</t>
  </si>
  <si>
    <t>alijavadmoheb1@gmail.com</t>
  </si>
  <si>
    <t>مستحفظیان</t>
  </si>
  <si>
    <t>9131118589</t>
  </si>
  <si>
    <t>رضا خسروی فارسانی</t>
  </si>
  <si>
    <t>9132008440</t>
  </si>
  <si>
    <t>خسروی فارسانی</t>
  </si>
  <si>
    <t>فهیمه مرضیه</t>
  </si>
  <si>
    <t>9396370137</t>
  </si>
  <si>
    <t>fmarziyeh11@gmail.com</t>
  </si>
  <si>
    <t>فهیمه</t>
  </si>
  <si>
    <t>مسعود جلال پور</t>
  </si>
  <si>
    <t>9133651510</t>
  </si>
  <si>
    <t>jalalpour.masoud@gmail.com</t>
  </si>
  <si>
    <t>جلال پور</t>
  </si>
  <si>
    <t>ناهید سالاری جوبنی</t>
  </si>
  <si>
    <t>9198952029</t>
  </si>
  <si>
    <t>e.salari@jabama.com</t>
  </si>
  <si>
    <t>سالاری جوبنی</t>
  </si>
  <si>
    <t>محمدعلی بیگدلی</t>
  </si>
  <si>
    <t>9305923545</t>
  </si>
  <si>
    <t>a.bigdeli@jabama.com</t>
  </si>
  <si>
    <t>بیگدلی</t>
  </si>
  <si>
    <t>امیرمحمد قیومی</t>
  </si>
  <si>
    <t>9108485018</t>
  </si>
  <si>
    <t>a.ghayoumi@jabama.com</t>
  </si>
  <si>
    <t>قیومی</t>
  </si>
  <si>
    <t>مجید گرامی</t>
  </si>
  <si>
    <t>9121263009</t>
  </si>
  <si>
    <t>سمیرا کاظمی</t>
  </si>
  <si>
    <t>9124866349</t>
  </si>
  <si>
    <t>سمیرا</t>
  </si>
  <si>
    <t>صنم نیک عادت</t>
  </si>
  <si>
    <t>9123655275</t>
  </si>
  <si>
    <t>s.nikadat@gmail.com</t>
  </si>
  <si>
    <t>نیک عادت</t>
  </si>
  <si>
    <t>نوید قیطاسی</t>
  </si>
  <si>
    <t>9127697193</t>
  </si>
  <si>
    <t>navidgheitasi@gmail.com</t>
  </si>
  <si>
    <t>قیطاسی</t>
  </si>
  <si>
    <t>بورسیه</t>
  </si>
  <si>
    <t>امیر محمد حریمی</t>
  </si>
  <si>
    <t>9301411201</t>
  </si>
  <si>
    <t>A.Mohammad.Harimi@gmail.com</t>
  </si>
  <si>
    <t>حریمی</t>
  </si>
  <si>
    <t>رضا قنبر قره تپه</t>
  </si>
  <si>
    <t>9120555046</t>
  </si>
  <si>
    <t>reza.qanbar96@gmail.com</t>
  </si>
  <si>
    <t>قنبر قره تپه</t>
  </si>
  <si>
    <t>امیرحسین ملائی</t>
  </si>
  <si>
    <t>9104201470</t>
  </si>
  <si>
    <t>amir.h.mol44@gmail.com</t>
  </si>
  <si>
    <t>ملائی</t>
  </si>
  <si>
    <t>سعید رحمتی</t>
  </si>
  <si>
    <t>۰۹۱۳۲۲۰۳۹۸۸</t>
  </si>
  <si>
    <t>saeed_rahmati2009@yahoo.com</t>
  </si>
  <si>
    <t>مینا توکلی</t>
  </si>
  <si>
    <t>9123140121</t>
  </si>
  <si>
    <t>mina.m.t1768@gmail.com</t>
  </si>
  <si>
    <t>حسنا حر</t>
  </si>
  <si>
    <t>9399188895</t>
  </si>
  <si>
    <t>hosnahor8@gmail.com</t>
  </si>
  <si>
    <t>حسنا</t>
  </si>
  <si>
    <t>محمدبهزاد هادی</t>
  </si>
  <si>
    <t>۰۹۱۲۸۳۹۲۷۱۱</t>
  </si>
  <si>
    <t>mbh4474@gmail.com</t>
  </si>
  <si>
    <t>محمدبهزاد</t>
  </si>
  <si>
    <t>Bayatsharif</t>
  </si>
  <si>
    <t>محمدحسن بیات</t>
  </si>
  <si>
    <t>۰۹۱۸۲۷۶۶۴۵۴</t>
  </si>
  <si>
    <t>bayatmh79@gmail.com</t>
  </si>
  <si>
    <t>یوسف غیاثوند</t>
  </si>
  <si>
    <t>9192052370</t>
  </si>
  <si>
    <t>yousef.ghiyasvand1362@gmail.com</t>
  </si>
  <si>
    <t>غیاثوند</t>
  </si>
  <si>
    <t>سعید رضی پور</t>
  </si>
  <si>
    <t>نیلوفر افخمی</t>
  </si>
  <si>
    <t>9902232636</t>
  </si>
  <si>
    <t>niloofarafkhami@gmail.com</t>
  </si>
  <si>
    <t>افخمی</t>
  </si>
  <si>
    <t>آیسودا هاشمی</t>
  </si>
  <si>
    <t>۰۹۱۰۰۱۵۱۵۰۶</t>
  </si>
  <si>
    <t>aisoodahashemi@gmail.com</t>
  </si>
  <si>
    <t>آیسودا</t>
  </si>
  <si>
    <t>پویا عدالتی</t>
  </si>
  <si>
    <t>۰۹۱۴۲۴۷۳۹۰۳</t>
  </si>
  <si>
    <t>edalati69@gmail.com</t>
  </si>
  <si>
    <t>عدالتی</t>
  </si>
  <si>
    <t>سید محسن رهبرنیا</t>
  </si>
  <si>
    <t>۰۹۱۲۴۷۵۲۲۴۷</t>
  </si>
  <si>
    <t>srahbarnia@gmail.com</t>
  </si>
  <si>
    <t>سید محسن</t>
  </si>
  <si>
    <t>رهبرنیا</t>
  </si>
  <si>
    <t>علی یوسفی‌فر</t>
  </si>
  <si>
    <t>9916699551</t>
  </si>
  <si>
    <t>a.yousefifar@alibaba.ir</t>
  </si>
  <si>
    <t>یوسفی‌فر</t>
  </si>
  <si>
    <t>نازنین علی اکبرزاده خویشی</t>
  </si>
  <si>
    <t>۰۹۱۲۴۰۱۷۴۰۹</t>
  </si>
  <si>
    <t>naaliakbarzadeh@gmail.com</t>
  </si>
  <si>
    <t>علی اکبرزاده خویشی</t>
  </si>
  <si>
    <t>۰۹۳۶۰۵۶۵۵۵۳</t>
  </si>
  <si>
    <t>alimogh97@gmail.com</t>
  </si>
  <si>
    <t>حسین ناصری</t>
  </si>
  <si>
    <t>۰۹۱۷۰۶۵۹۵۳۴</t>
  </si>
  <si>
    <t>hosseinasery@gmail.com</t>
  </si>
  <si>
    <t>زهرا زمانی فرادنبه</t>
  </si>
  <si>
    <t>9376290194</t>
  </si>
  <si>
    <t>zzahrazamanii1376@gmail.com</t>
  </si>
  <si>
    <t>زمانی فرادنبه</t>
  </si>
  <si>
    <t>رحیم حیدری اشکذری</t>
  </si>
  <si>
    <t>9928504813</t>
  </si>
  <si>
    <t>rahimheydari1@gmail.com</t>
  </si>
  <si>
    <t>حیدری اشکذری</t>
  </si>
  <si>
    <t>مصطفی شیروانی</t>
  </si>
  <si>
    <t>09052950704</t>
  </si>
  <si>
    <t>shirvani13811381@gmail.com</t>
  </si>
  <si>
    <t>شیروانی</t>
  </si>
  <si>
    <t>امیرعلی دولت آبادی</t>
  </si>
  <si>
    <t>09202904220</t>
  </si>
  <si>
    <t>a.dowlatabadi05@gmail.com</t>
  </si>
  <si>
    <t>دولت آبادی</t>
  </si>
  <si>
    <t>سروش رضایی</t>
  </si>
  <si>
    <t>09335056813</t>
  </si>
  <si>
    <t>soroush.rezaei78@gmail.com</t>
  </si>
  <si>
    <t>آیدا عطارد</t>
  </si>
  <si>
    <t>09102430816</t>
  </si>
  <si>
    <t>aidaatarod@gmail.com</t>
  </si>
  <si>
    <t>محمدامین بلوچی</t>
  </si>
  <si>
    <t>09379471803</t>
  </si>
  <si>
    <t>mohammadbalouchi2002@gmail.com</t>
  </si>
  <si>
    <t>بلوچی</t>
  </si>
  <si>
    <t>عرفان بیدمشکی</t>
  </si>
  <si>
    <t>9013010047</t>
  </si>
  <si>
    <t>erfanbidmeshki@gmail.com</t>
  </si>
  <si>
    <t>بیدمشکی</t>
  </si>
  <si>
    <t>فاطمه مهدی‌زاده</t>
  </si>
  <si>
    <t>9011708847</t>
  </si>
  <si>
    <t>reyhan.mhdizde@gmail.com</t>
  </si>
  <si>
    <t>مهدی‌زاده</t>
  </si>
  <si>
    <t>محبوبه اسماعیل پور</t>
  </si>
  <si>
    <t>9125947138</t>
  </si>
  <si>
    <t>esmailpourmahboub@gmail.com</t>
  </si>
  <si>
    <t>اسماعیل پور</t>
  </si>
  <si>
    <t>علیرضا کبیریان مقدم</t>
  </si>
  <si>
    <t>9931653321</t>
  </si>
  <si>
    <t>alireza20121380@gmail.com</t>
  </si>
  <si>
    <t>کبیریان مقدم</t>
  </si>
  <si>
    <t>عادل سربلوک‌زاده هرندی</t>
  </si>
  <si>
    <t>09134242241</t>
  </si>
  <si>
    <t>adelsarboloukzadeh@gmail.com</t>
  </si>
  <si>
    <t>سربلوک‌زاده هرندی</t>
  </si>
  <si>
    <t>ساچلی دانش پژوهان</t>
  </si>
  <si>
    <t>9912533957</t>
  </si>
  <si>
    <t>pazhansachli8@gmail.com</t>
  </si>
  <si>
    <t>ساچلی</t>
  </si>
  <si>
    <t>دانش پژوهان</t>
  </si>
  <si>
    <t>تعیین وضعیت</t>
  </si>
  <si>
    <t>گلناز پرچمی</t>
  </si>
  <si>
    <t>9133699488</t>
  </si>
  <si>
    <t>p.golnaz1152@yahoo.com</t>
  </si>
  <si>
    <t>گلناز</t>
  </si>
  <si>
    <t>پرچمی</t>
  </si>
  <si>
    <t>اجرایی</t>
  </si>
  <si>
    <t>پروانه رجبی</t>
  </si>
  <si>
    <t>9332614994</t>
  </si>
  <si>
    <t>p.rajabi@alibab.ir</t>
  </si>
  <si>
    <t>محمد موسوی فر</t>
  </si>
  <si>
    <t>9337433792</t>
  </si>
  <si>
    <t>موسوی فر</t>
  </si>
  <si>
    <t>۹۱۲۴۹۳۶۳۷۲</t>
  </si>
  <si>
    <t>babaiemona@gmail.com</t>
  </si>
  <si>
    <t>حامد اسداللهی</t>
  </si>
  <si>
    <t>۰۹۱۲۳۶۷۶۱۰۱</t>
  </si>
  <si>
    <t>hamedasadollahi62@gmail.com</t>
  </si>
  <si>
    <t>اسداللهی</t>
  </si>
  <si>
    <t>شیما عظیمی</t>
  </si>
  <si>
    <t>۰۹۳۷۲۹۷۳۲۹۵</t>
  </si>
  <si>
    <t>shimaazimi75@gmail.com</t>
  </si>
  <si>
    <t>پرهام جهاندیده</t>
  </si>
  <si>
    <t>9902767088</t>
  </si>
  <si>
    <t>جهاندیده</t>
  </si>
  <si>
    <t>امیر نصرتی</t>
  </si>
  <si>
    <t>نصرتی</t>
  </si>
  <si>
    <t>سپهر مددی</t>
  </si>
  <si>
    <t>۰۹۳۹۶۳۵۷۰۷۳</t>
  </si>
  <si>
    <t>sepehrmadadiii68@gmail.com</t>
  </si>
  <si>
    <t>مددی</t>
  </si>
  <si>
    <t>09308438392</t>
  </si>
  <si>
    <t>سایت</t>
  </si>
  <si>
    <t>حاضر در دوره</t>
  </si>
  <si>
    <t>09359338520</t>
  </si>
  <si>
    <t>09126647646</t>
  </si>
  <si>
    <t>hamed.eslahifard@gmail.com</t>
  </si>
  <si>
    <t>اصلاحی فرد</t>
  </si>
  <si>
    <t>09151675733</t>
  </si>
  <si>
    <t>sanaz_habibinezhad@yahoo.com</t>
  </si>
  <si>
    <t>حبیبی نژاد</t>
  </si>
  <si>
    <t>09154519791</t>
  </si>
  <si>
    <t>habibinezhadelnaz@gmail.com</t>
  </si>
  <si>
    <t>09129623854</t>
  </si>
  <si>
    <t>aminhashemy@gmail.com</t>
  </si>
  <si>
    <t>امیر حسین رضا زاده</t>
  </si>
  <si>
    <t>09125076278</t>
  </si>
  <si>
    <t>mr.valizadeh@gmail.com</t>
  </si>
  <si>
    <t>ولی زاده</t>
  </si>
  <si>
    <t>محسن غفوری</t>
  </si>
  <si>
    <t>09123700739</t>
  </si>
  <si>
    <t>hassaniqazal@gmail.com</t>
  </si>
  <si>
    <t>غزاله حسنی</t>
  </si>
  <si>
    <t>09197705720</t>
  </si>
  <si>
    <t>پدیدار</t>
  </si>
  <si>
    <t>09121070729</t>
  </si>
  <si>
    <t>amin.samizadeh@gmail.com</t>
  </si>
  <si>
    <t>سمیع‌زاده</t>
  </si>
  <si>
    <t>رامین سمیع‌زاده</t>
  </si>
  <si>
    <t>09122494620</t>
  </si>
  <si>
    <t>09186996100</t>
  </si>
  <si>
    <t>09186991107</t>
  </si>
  <si>
    <t>فریبا</t>
  </si>
  <si>
    <t>فتحعلی</t>
  </si>
  <si>
    <t>09188624437</t>
  </si>
  <si>
    <t>کیانوش</t>
  </si>
  <si>
    <t>قزوینی</t>
  </si>
  <si>
    <t>09183563298</t>
  </si>
  <si>
    <t>عربی</t>
  </si>
  <si>
    <t>09188494403</t>
  </si>
  <si>
    <t>پرتوی</t>
  </si>
  <si>
    <t>09186914231</t>
  </si>
  <si>
    <t>09025918188</t>
  </si>
  <si>
    <t>sanii.ashkz@gmail.com</t>
  </si>
  <si>
    <t>حیدری کیا</t>
  </si>
  <si>
    <t>09333170160</t>
  </si>
  <si>
    <t>09183611591</t>
  </si>
  <si>
    <t>09127021597</t>
  </si>
  <si>
    <t>09105295718</t>
  </si>
  <si>
    <t>ملک حسینی</t>
  </si>
  <si>
    <t>09365584484</t>
  </si>
  <si>
    <t>آقا یاری</t>
  </si>
  <si>
    <t>09190515088</t>
  </si>
  <si>
    <t>حصاری</t>
  </si>
  <si>
    <t>09128274227</t>
  </si>
  <si>
    <t>حسینی زاده</t>
  </si>
  <si>
    <t>09379272321</t>
  </si>
  <si>
    <t>09353384385</t>
  </si>
  <si>
    <t>09376624027</t>
  </si>
  <si>
    <t>09382693803</t>
  </si>
  <si>
    <t>مهنا</t>
  </si>
  <si>
    <t>شکراله زاده</t>
  </si>
  <si>
    <t>09183685925</t>
  </si>
  <si>
    <t>ترک دوره</t>
  </si>
  <si>
    <t>09191445429</t>
  </si>
  <si>
    <t>09192348734</t>
  </si>
  <si>
    <t>tooraj.masoomi@gmail.com</t>
  </si>
  <si>
    <t>تورج</t>
  </si>
  <si>
    <t>معصومی</t>
  </si>
  <si>
    <t>09373095058</t>
  </si>
  <si>
    <t>akbarmashkani104@gmail.com</t>
  </si>
  <si>
    <t>علی‌اکبر</t>
  </si>
  <si>
    <t>مشکانی</t>
  </si>
  <si>
    <t>09190113373</t>
  </si>
  <si>
    <t>ghasemasadi374@gmail.com</t>
  </si>
  <si>
    <t>قاسم</t>
  </si>
  <si>
    <t>09104955118</t>
  </si>
  <si>
    <t>ahmad.rahimi6015@gmail.com</t>
  </si>
  <si>
    <t>یاور</t>
  </si>
  <si>
    <t>09114244837</t>
  </si>
  <si>
    <t>saeed5200054486@gmail.com</t>
  </si>
  <si>
    <t>09116764737</t>
  </si>
  <si>
    <t>saidhossaingailani@gmail.com</t>
  </si>
  <si>
    <t>گیلانی</t>
  </si>
  <si>
    <t>09108219085</t>
  </si>
  <si>
    <t>mohammadayoubi100200@gmail.com</t>
  </si>
  <si>
    <t>09380098680</t>
  </si>
  <si>
    <t>shahalizai.com@gmail.com</t>
  </si>
  <si>
    <t>علیزایی</t>
  </si>
  <si>
    <t>09024635257</t>
  </si>
  <si>
    <t>alimohamadii7423.@gmail.com</t>
  </si>
  <si>
    <t>09928538184</t>
  </si>
  <si>
    <t>frhniroqaye@gmail.com</t>
  </si>
  <si>
    <t>رقیه</t>
  </si>
  <si>
    <t>09182946775</t>
  </si>
  <si>
    <t>nastaran.ash1379@gmail.com</t>
  </si>
  <si>
    <t>آشتیانی</t>
  </si>
  <si>
    <t>09104793896</t>
  </si>
  <si>
    <t>hoseinghasemo12@gmail.com</t>
  </si>
  <si>
    <t>09392409475</t>
  </si>
  <si>
    <t>alirezamashkani78@gmail.com</t>
  </si>
  <si>
    <t>09399717565</t>
  </si>
  <si>
    <t>hossein.framrz6571.@gmail.com</t>
  </si>
  <si>
    <t>فرامرزی</t>
  </si>
  <si>
    <t>09370421952</t>
  </si>
  <si>
    <t>behzadmirzaei1993@gmail.com</t>
  </si>
  <si>
    <t>09354205848</t>
  </si>
  <si>
    <t>sinatayebivv.@gmail.com</t>
  </si>
  <si>
    <t>09382744128</t>
  </si>
  <si>
    <t>omid9784@gmail.com</t>
  </si>
  <si>
    <t>09128993213</t>
  </si>
  <si>
    <t>amirabbasghasemi1990@gmail.com</t>
  </si>
  <si>
    <t>09398028693</t>
  </si>
  <si>
    <t>gholamifateme700@gmail.com</t>
  </si>
  <si>
    <t>09134454029</t>
  </si>
  <si>
    <t>samane_sni@yahoo.com</t>
  </si>
  <si>
    <t>09382063709</t>
  </si>
  <si>
    <t>09057579870</t>
  </si>
  <si>
    <t>zabiullahfatahi27@gmail.com</t>
  </si>
  <si>
    <t>ذبیح</t>
  </si>
  <si>
    <t>09127748804</t>
  </si>
  <si>
    <t>Mohamadian530@gmail.com</t>
  </si>
  <si>
    <t>09100875207</t>
  </si>
  <si>
    <t>muhammad1374sh@outlook.com</t>
  </si>
  <si>
    <t>شکوری</t>
  </si>
  <si>
    <t>09364734031</t>
  </si>
  <si>
    <t>mobinasami0372@gmail.com</t>
  </si>
  <si>
    <t>سامی</t>
  </si>
  <si>
    <t>09363007326</t>
  </si>
  <si>
    <t>hobbifateme@gmail.com</t>
  </si>
  <si>
    <t>حبی</t>
  </si>
  <si>
    <t>09930003669</t>
  </si>
  <si>
    <t>mohsenebrahimi4456@gmail.com</t>
  </si>
  <si>
    <t>محسن(میکائیل)</t>
  </si>
  <si>
    <t>09203933720</t>
  </si>
  <si>
    <t>بیزخی</t>
  </si>
  <si>
    <t>09125149807</t>
  </si>
  <si>
    <t>09224230126</t>
  </si>
  <si>
    <t>09213743525</t>
  </si>
  <si>
    <t>09221251785</t>
  </si>
  <si>
    <t>09125045620</t>
  </si>
  <si>
    <t>09122720062</t>
  </si>
  <si>
    <t>Morteza.masoudi65@gmail.com</t>
  </si>
  <si>
    <t>09129623066</t>
  </si>
  <si>
    <t>علی محمد</t>
  </si>
  <si>
    <t>09021286617</t>
  </si>
  <si>
    <t>09919191746</t>
  </si>
  <si>
    <t>انصراف پیش از دوره</t>
  </si>
  <si>
    <t>09215503589</t>
  </si>
  <si>
    <t>yavarmohammadiii@gmail.com</t>
  </si>
  <si>
    <t>09125590950</t>
  </si>
  <si>
    <t>Soheilkhodakaram@gmail.com</t>
  </si>
  <si>
    <t>09367331661</t>
  </si>
  <si>
    <t>Hadikamayestani90@gmail.com</t>
  </si>
  <si>
    <t>کمایستانی</t>
  </si>
  <si>
    <t>09105977161</t>
  </si>
  <si>
    <t>Mojdehabdollah7@gmail.com</t>
  </si>
  <si>
    <t>مژده</t>
  </si>
  <si>
    <t>عبدلله</t>
  </si>
  <si>
    <t>09981702541</t>
  </si>
  <si>
    <t>Ehsaan.eeqball@gmail.com</t>
  </si>
  <si>
    <t>اقبال</t>
  </si>
  <si>
    <t>09121460905</t>
  </si>
  <si>
    <t>Setayesh.vahide@yahoo.com</t>
  </si>
  <si>
    <t>ستایش</t>
  </si>
  <si>
    <t>09127142056</t>
  </si>
  <si>
    <t>Soheilanaddafi9@gmail.com</t>
  </si>
  <si>
    <t>سهیلا</t>
  </si>
  <si>
    <t>نداف</t>
  </si>
  <si>
    <t>09126456654</t>
  </si>
  <si>
    <t>پوررحمانی</t>
  </si>
  <si>
    <t>09124899799</t>
  </si>
  <si>
    <t>عمیدی</t>
  </si>
  <si>
    <t>09353941627</t>
  </si>
  <si>
    <t>خداکرم</t>
  </si>
  <si>
    <t>09375118168</t>
  </si>
  <si>
    <t>Thisishanafalah@gmail.com</t>
  </si>
  <si>
    <t>ولی اله</t>
  </si>
  <si>
    <t>صوفی</t>
  </si>
  <si>
    <t>انتخاب نماندن</t>
  </si>
  <si>
    <t>09196224657</t>
  </si>
  <si>
    <t>Mrtf20@gmail.com</t>
  </si>
  <si>
    <t>حنانه</t>
  </si>
  <si>
    <t>09124130904</t>
  </si>
  <si>
    <t>Sokhansanjsoroush@gmail.com</t>
  </si>
  <si>
    <t>سخن سنج</t>
  </si>
  <si>
    <t>09128962498</t>
  </si>
  <si>
    <t>fatemeh2000ebrahimi@gmail.com</t>
  </si>
  <si>
    <t>آتنا (فاطمه)</t>
  </si>
  <si>
    <t>09025021621</t>
  </si>
  <si>
    <t>atiehmohseni90@gmail.com</t>
  </si>
  <si>
    <t>عطیه السادات</t>
  </si>
  <si>
    <t>محسنی</t>
  </si>
  <si>
    <t>09193634757</t>
  </si>
  <si>
    <t>azadeh.sinaei@gmail.com</t>
  </si>
  <si>
    <t>سینای</t>
  </si>
  <si>
    <t>مسعود  وجدان نیک</t>
  </si>
  <si>
    <t>9188190776</t>
  </si>
  <si>
    <t>masoud.vejdannik@gmail.com</t>
  </si>
  <si>
    <t xml:space="preserve">مسعود </t>
  </si>
  <si>
    <t>وجدان نیک</t>
  </si>
  <si>
    <t>پیام سمیع‌زاده</t>
  </si>
  <si>
    <t>9125372263</t>
  </si>
  <si>
    <t>payamclasses@gmail.com</t>
  </si>
  <si>
    <t>علیرضا نصیری</t>
  </si>
  <si>
    <t>9177651627</t>
  </si>
  <si>
    <t>مجید - پارک فناوری هرمزگان</t>
  </si>
  <si>
    <t>صادق صمصام پور</t>
  </si>
  <si>
    <t>9170965865</t>
  </si>
  <si>
    <t>صادق</t>
  </si>
  <si>
    <t>صمصام پور</t>
  </si>
  <si>
    <t>راضیه گردی</t>
  </si>
  <si>
    <t>9179605680</t>
  </si>
  <si>
    <t>گردی</t>
  </si>
  <si>
    <t>راحله شیری حکم آبادی</t>
  </si>
  <si>
    <t>9127386077</t>
  </si>
  <si>
    <t>مژده دادرس</t>
  </si>
  <si>
    <t>09107070389</t>
  </si>
  <si>
    <t>دادرس</t>
  </si>
  <si>
    <t>امیرارسلان عامری</t>
  </si>
  <si>
    <t>09164499302</t>
  </si>
  <si>
    <t>امیرارسلان</t>
  </si>
  <si>
    <t>عامری</t>
  </si>
  <si>
    <t>فاطمه معماری</t>
  </si>
  <si>
    <t>09179013909</t>
  </si>
  <si>
    <t>پونه پاکدامن</t>
  </si>
  <si>
    <t>09037548996</t>
  </si>
  <si>
    <t>پونه</t>
  </si>
  <si>
    <t>بهزاد شیروانی</t>
  </si>
  <si>
    <t>09177692758</t>
  </si>
  <si>
    <t>امیرحسن صمصام پور</t>
  </si>
  <si>
    <t>09102037087</t>
  </si>
  <si>
    <t>امیرحسن</t>
  </si>
  <si>
    <t>محمد سلحشور</t>
  </si>
  <si>
    <t>09139837180</t>
  </si>
  <si>
    <t>محمدرضا کمالی</t>
  </si>
  <si>
    <t>971553115182</t>
  </si>
  <si>
    <t>کمالی</t>
  </si>
  <si>
    <t>مهدی عبداللهی</t>
  </si>
  <si>
    <t>09388123337</t>
  </si>
  <si>
    <t>mahdiabdollahi159@gmail.com</t>
  </si>
  <si>
    <t>Mahdiab7798</t>
  </si>
  <si>
    <t>komeil_mehranfar</t>
  </si>
  <si>
    <t>09127622270</t>
  </si>
  <si>
    <t>Karamiyanff</t>
  </si>
  <si>
    <t>ناهید افسون</t>
  </si>
  <si>
    <t>09127248961</t>
  </si>
  <si>
    <t>nahid.afsoun@gmail.com</t>
  </si>
  <si>
    <t>nahidafsoun</t>
  </si>
  <si>
    <t>افسون</t>
  </si>
  <si>
    <t>مرتضی مسعودی</t>
  </si>
  <si>
    <t>09124866349</t>
  </si>
  <si>
    <t>Samirakazmi98</t>
  </si>
  <si>
    <t>عرفان توسلی</t>
  </si>
  <si>
    <t>09913055185</t>
  </si>
  <si>
    <t>erfantavassoli@outlook.com</t>
  </si>
  <si>
    <t>Erfantavassoli2</t>
  </si>
  <si>
    <t>توسلی</t>
  </si>
  <si>
    <t>سارا جعفری</t>
  </si>
  <si>
    <t>09123309066</t>
  </si>
  <si>
    <t>sarajafari5166@gmail.com</t>
  </si>
  <si>
    <t>Sarisaaaa</t>
  </si>
  <si>
    <t xml:space="preserve">آقای علی افسری
</t>
  </si>
  <si>
    <t>علیرضا نیاری</t>
  </si>
  <si>
    <t>09210865357</t>
  </si>
  <si>
    <t>alireza.niary@gmail.com</t>
  </si>
  <si>
    <t>alireza_niary</t>
  </si>
  <si>
    <t>نیاری</t>
  </si>
  <si>
    <t>سنا نادعلی</t>
  </si>
  <si>
    <t>09136839287</t>
  </si>
  <si>
    <t>sanad316@gmail.com</t>
  </si>
  <si>
    <t>sanad316</t>
  </si>
  <si>
    <t>سنا</t>
  </si>
  <si>
    <t>نادعلی</t>
  </si>
  <si>
    <t>سیدهاشم افخمی</t>
  </si>
  <si>
    <t>09380686761</t>
  </si>
  <si>
    <t>hashem_afkhami@yahoo.com</t>
  </si>
  <si>
    <t>HashemAfkhami</t>
  </si>
  <si>
    <t>سیدهاشم</t>
  </si>
  <si>
    <t>09127031008</t>
  </si>
  <si>
    <t>mh.ghotbi@gmail.com</t>
  </si>
  <si>
    <t>simiaroomm</t>
  </si>
  <si>
    <t>شرکت مجدد در دوره</t>
  </si>
  <si>
    <t>میلاد امامی</t>
  </si>
  <si>
    <t>09216759528</t>
  </si>
  <si>
    <t>milad.emami1025@gmail.com</t>
  </si>
  <si>
    <t>lamento93</t>
  </si>
  <si>
    <t>امامی</t>
  </si>
  <si>
    <t>09178702820</t>
  </si>
  <si>
    <t>Saeidrezaei_ir</t>
  </si>
  <si>
    <t>عرفان حسنی</t>
  </si>
  <si>
    <t>09197209132</t>
  </si>
  <si>
    <t>aaspas145@gmail.com</t>
  </si>
  <si>
    <t>Erfan_Hassani1997</t>
  </si>
  <si>
    <t>مهدی حسینی</t>
  </si>
  <si>
    <t>الهام رضاپور</t>
  </si>
  <si>
    <t>09172893176</t>
  </si>
  <si>
    <t>arch.elhamrezapour@gmail.com</t>
  </si>
  <si>
    <t>@elhamrzpr</t>
  </si>
  <si>
    <t>رضاپور</t>
  </si>
  <si>
    <t>الهام صدری</t>
  </si>
  <si>
    <t>Elham.sadri69@yahoo.com</t>
  </si>
  <si>
    <t>@lilisadri</t>
  </si>
  <si>
    <t>امیر ذوالفقاری</t>
  </si>
  <si>
    <t>0971557567224</t>
  </si>
  <si>
    <t>amir@ddholidays.com</t>
  </si>
  <si>
    <t>@amirDDH</t>
  </si>
  <si>
    <t>امین سمیع زاده</t>
  </si>
  <si>
    <t>@aminsam</t>
  </si>
  <si>
    <t>بهزاد محمدی</t>
  </si>
  <si>
    <t>bornabmp1120@gmail.com</t>
  </si>
  <si>
    <t>@BhzMohammadi</t>
  </si>
  <si>
    <t>مهندس علی آبادی (منصور)</t>
  </si>
  <si>
    <t>جاوید صفی زاده</t>
  </si>
  <si>
    <t>09122508858</t>
  </si>
  <si>
    <t>1987javidsafizadeh@gmail.com</t>
  </si>
  <si>
    <t>@javidsafizadeh</t>
  </si>
  <si>
    <t>صفی زاده</t>
  </si>
  <si>
    <t>حامد عباسی</t>
  </si>
  <si>
    <t>09126359122</t>
  </si>
  <si>
    <t>abbasi.5035@hotmail.com</t>
  </si>
  <si>
    <t>@hamedabbasi_2021</t>
  </si>
  <si>
    <t>سبحان معینی</t>
  </si>
  <si>
    <t>حامد نجم الدین</t>
  </si>
  <si>
    <t>09304914951</t>
  </si>
  <si>
    <t>h.n.najmeddin78@gmail.com</t>
  </si>
  <si>
    <t>@Hamednjmddn</t>
  </si>
  <si>
    <t>نجم الدین</t>
  </si>
  <si>
    <t>حسین غفوریان</t>
  </si>
  <si>
    <t>09157571200</t>
  </si>
  <si>
    <t>hosseinghafourian75@gmail.com</t>
  </si>
  <si>
    <t>@Persiancupid</t>
  </si>
  <si>
    <t>حسین حبیبی</t>
  </si>
  <si>
    <t>09190677151</t>
  </si>
  <si>
    <t>Hossein.habibi1998@gmail.com</t>
  </si>
  <si>
    <t>@hossienhabibii</t>
  </si>
  <si>
    <t>حبیبی</t>
  </si>
  <si>
    <t>رسول اسماعیلی</t>
  </si>
  <si>
    <t>09192413296</t>
  </si>
  <si>
    <t>esmaeili.rasoul@gmail.com</t>
  </si>
  <si>
    <t>@Alex098745</t>
  </si>
  <si>
    <t>@Soroush_MG</t>
  </si>
  <si>
    <t>سمانه رمضانی</t>
  </si>
  <si>
    <t>09128133197</t>
  </si>
  <si>
    <t>sam0222.sr@gmail.com</t>
  </si>
  <si>
    <t>@samaneh0222</t>
  </si>
  <si>
    <t>سمیه اسماعیل پور</t>
  </si>
  <si>
    <t>09024852157</t>
  </si>
  <si>
    <t>atrines1985@gmail.com</t>
  </si>
  <si>
    <t>@Sahar5992</t>
  </si>
  <si>
    <t>سید احمد موسوی</t>
  </si>
  <si>
    <t>09127522603</t>
  </si>
  <si>
    <t>a.mousavi.bp@gmail.com</t>
  </si>
  <si>
    <t>@tribune_CEO</t>
  </si>
  <si>
    <t>آقای رجایی</t>
  </si>
  <si>
    <t>سیما پرستار طوسی</t>
  </si>
  <si>
    <t>09151877035</t>
  </si>
  <si>
    <t>simatoosi63@gmail.com</t>
  </si>
  <si>
    <t>https://t.me/+989151877035</t>
  </si>
  <si>
    <t>سیما</t>
  </si>
  <si>
    <t>پرستار طوسی</t>
  </si>
  <si>
    <t>شاهرخ طالبی</t>
  </si>
  <si>
    <t>09125984866</t>
  </si>
  <si>
    <t>parniantalebi13881@gmail.com</t>
  </si>
  <si>
    <t>@Mshmbs</t>
  </si>
  <si>
    <t>شهلا میرزایی</t>
  </si>
  <si>
    <t>09127217935</t>
  </si>
  <si>
    <t>Ehsan.mohamadian91@gmail.com</t>
  </si>
  <si>
    <t>https://t.me/+989127217935</t>
  </si>
  <si>
    <t>علی عسگری</t>
  </si>
  <si>
    <t>09158859790</t>
  </si>
  <si>
    <t>ali.asgari.tabari@gmail.com</t>
  </si>
  <si>
    <t>@asgarit</t>
  </si>
  <si>
    <t>معصومه گلناری</t>
  </si>
  <si>
    <t>علی ملک نسب</t>
  </si>
  <si>
    <t>09027223818</t>
  </si>
  <si>
    <t>maleknasabardekani.ali@gmail.com</t>
  </si>
  <si>
    <t>@alimaleknasab</t>
  </si>
  <si>
    <t>ملک نسب</t>
  </si>
  <si>
    <t>علی رضایی</t>
  </si>
  <si>
    <t>09905499046</t>
  </si>
  <si>
    <t>@Ali_ardekani</t>
  </si>
  <si>
    <t>09193766293</t>
  </si>
  <si>
    <t>https://t.me/+989193766293</t>
  </si>
  <si>
    <t>فاطمه محمدرضا بیگی</t>
  </si>
  <si>
    <t>09919295108</t>
  </si>
  <si>
    <t>fatima.bygiii4@gmail.com</t>
  </si>
  <si>
    <t>@fatima_beygi</t>
  </si>
  <si>
    <t>محمدرضا بیگی</t>
  </si>
  <si>
    <t>فاطمه ولایتی پور</t>
  </si>
  <si>
    <t>@fatemevp</t>
  </si>
  <si>
    <t>فاطمه توکل زاده</t>
  </si>
  <si>
    <t>09125814011</t>
  </si>
  <si>
    <t>@fat9465</t>
  </si>
  <si>
    <t>توکل زاده</t>
  </si>
  <si>
    <t>فرزانه میرزایی</t>
  </si>
  <si>
    <t>09125287738</t>
  </si>
  <si>
    <t>@farzanehmirzaei</t>
  </si>
  <si>
    <t>09963469872</t>
  </si>
  <si>
    <t>fghamarzad0@gmail.com</t>
  </si>
  <si>
    <t>https://t.me/+989963469872</t>
  </si>
  <si>
    <t>کیانا صمدی</t>
  </si>
  <si>
    <t>09128756508</t>
  </si>
  <si>
    <t>Samani.kianaa@gmail.com</t>
  </si>
  <si>
    <t>@kianasamd</t>
  </si>
  <si>
    <t>مائده خزائی</t>
  </si>
  <si>
    <t>09055221195</t>
  </si>
  <si>
    <t>maedeh.kharazi@gmail.com</t>
  </si>
  <si>
    <t>@maedeh7877</t>
  </si>
  <si>
    <t>خزائی</t>
  </si>
  <si>
    <t>متینه غدیری پور</t>
  </si>
  <si>
    <t>09128177559</t>
  </si>
  <si>
    <t>ghadiripur.matineh@gmail.com</t>
  </si>
  <si>
    <t>@matinehghadiripur</t>
  </si>
  <si>
    <t>متینه</t>
  </si>
  <si>
    <t>غدیری پور</t>
  </si>
  <si>
    <t>محسن اسماعیلی</t>
  </si>
  <si>
    <t>09391209871</t>
  </si>
  <si>
    <t>mohsenesmaeili1122@gmail.com</t>
  </si>
  <si>
    <t>@mohsen_esm11</t>
  </si>
  <si>
    <t>محمد رحیم زاده</t>
  </si>
  <si>
    <t>09128397769</t>
  </si>
  <si>
    <t>rahimzadeh7769@gmail.com</t>
  </si>
  <si>
    <t>@rahimzadehmohammad</t>
  </si>
  <si>
    <t>رحیم زاده</t>
  </si>
  <si>
    <t>محمد رضا اسپرغم</t>
  </si>
  <si>
    <t>@rezesp</t>
  </si>
  <si>
    <t>مرتضی سامی</t>
  </si>
  <si>
    <t>09381330233</t>
  </si>
  <si>
    <t>Samimortaza1998@gmail.com</t>
  </si>
  <si>
    <t>@Mortaza_sami</t>
  </si>
  <si>
    <t>09121633423</t>
  </si>
  <si>
    <t>Mansooraliabadi@yahoo.com</t>
  </si>
  <si>
    <t>@MansoorAliabadi</t>
  </si>
  <si>
    <t>@simiaroomm</t>
  </si>
  <si>
    <t>مهرداد حسینی</t>
  </si>
  <si>
    <t>09157500024</t>
  </si>
  <si>
    <t>@Mehrdad_hoseinii</t>
  </si>
  <si>
    <t>مهرنوش خوشنودی فر</t>
  </si>
  <si>
    <t>09125599532</t>
  </si>
  <si>
    <t>mehrnooshkhoshnoodifar@gmail.com</t>
  </si>
  <si>
    <t>@drmkhsbmu</t>
  </si>
  <si>
    <t>خوشنودی فر</t>
  </si>
  <si>
    <t>مهیا غدیری‌پور</t>
  </si>
  <si>
    <t>09103908775</t>
  </si>
  <si>
    <t>mahya.ghadiripur85@gmail.com</t>
  </si>
  <si>
    <t>@mhyaghp</t>
  </si>
  <si>
    <t>مهیا</t>
  </si>
  <si>
    <t>غدیری‌پور</t>
  </si>
  <si>
    <t>میلاد میرزا زاده</t>
  </si>
  <si>
    <t>09124922268</t>
  </si>
  <si>
    <t>milad.mirzazadeh1378@gmail.com</t>
  </si>
  <si>
    <t>@Milad_Mirzazadeh</t>
  </si>
  <si>
    <t>میرزا زاده</t>
  </si>
  <si>
    <t>ناصر ذوالفقاری</t>
  </si>
  <si>
    <t>09126521405</t>
  </si>
  <si>
    <t>Nasser@ddholidays.com</t>
  </si>
  <si>
    <t>@Nasserzolfaghari</t>
  </si>
  <si>
    <t>وحید رضا امیری</t>
  </si>
  <si>
    <t>09125391061</t>
  </si>
  <si>
    <t>sicmait@gmail.com</t>
  </si>
  <si>
    <t>@Vamiri58</t>
  </si>
  <si>
    <t>وحید رضا</t>
  </si>
  <si>
    <t>زهره افخمی</t>
  </si>
  <si>
    <t>09370604805</t>
  </si>
  <si>
    <t>هاشم افخمی</t>
  </si>
  <si>
    <t>ثبت‌نام</t>
  </si>
  <si>
    <t>Zohreh.azizie@gmail.com</t>
  </si>
  <si>
    <t>mari.kabiri612@gmail.com</t>
  </si>
  <si>
    <t>Arash.sarvi@gmail.com</t>
  </si>
  <si>
    <t>behnamkabiri2023@gmail.com</t>
  </si>
  <si>
    <t>majidkarimi4949@gmail.com</t>
  </si>
  <si>
    <t>r.pahlavan@alibaba.ir</t>
  </si>
  <si>
    <t>mos.jafari@alibaba.ir</t>
  </si>
  <si>
    <t>fatemerajabloo72@gmail.com</t>
  </si>
  <si>
    <t>Alireza.asad8808@gmail.com</t>
  </si>
  <si>
    <t>Mola.sarah.h@gmail.com</t>
  </si>
  <si>
    <t>Afsaneh.Kabirian89@gmail.com</t>
  </si>
  <si>
    <t>F.ashrafi@alibab.ir</t>
  </si>
  <si>
    <t>nhosseinkani@gmail.com</t>
  </si>
  <si>
    <t>Ali.rafizadehh@gmail.com</t>
  </si>
  <si>
    <t>qodmanan@gmail.com</t>
  </si>
  <si>
    <t>Ali_hadavi888@yahoo.com</t>
  </si>
  <si>
    <t>arminakhabbazan28@gmail.com</t>
  </si>
  <si>
    <t>amirh.keighobadi@gmail.com</t>
  </si>
  <si>
    <t>Mis_mjv@yahoo.com</t>
  </si>
  <si>
    <t>moo.najafikhah@gmail.com</t>
  </si>
  <si>
    <t>Moosavinasab.mohammadreza@gmail.com</t>
  </si>
  <si>
    <t>Ehsan22@gmail.com</t>
  </si>
  <si>
    <t>safari.az@yahoo.com</t>
  </si>
  <si>
    <t>F.Onagh@alibaba.ir</t>
  </si>
  <si>
    <t>M.mehrabanpoor@gmail.com</t>
  </si>
  <si>
    <t>AZADE.HORMOZI90@GMAIL.COM</t>
  </si>
  <si>
    <t>9127063548
9360333665</t>
  </si>
  <si>
    <t>Frznefirooz4@gmail.com</t>
  </si>
  <si>
    <t>9150725361 / 9395472004</t>
  </si>
  <si>
    <t>Amirmohammadrostamics@gmail.com</t>
  </si>
  <si>
    <t>Parisapmoslemi@gmail.com</t>
  </si>
  <si>
    <t>kazemtash.a@gmail.com</t>
  </si>
  <si>
    <t>mohsen.hasannia93@gmail.com</t>
  </si>
  <si>
    <t>Mahdikeshavarz@gmail.com</t>
  </si>
  <si>
    <t>Alijavadmoheb1@gmail.com</t>
  </si>
  <si>
    <t>Erfan.jabaripoor@gmail.com</t>
  </si>
  <si>
    <t>Babak.ghobadi20@gmail.com</t>
  </si>
  <si>
    <t>9190280118 / 9021262902</t>
  </si>
  <si>
    <t>pouria.gn89@gmail.com</t>
  </si>
  <si>
    <t>arefffeh.ahmadi1999@gmail.comm</t>
  </si>
  <si>
    <t>fafajedi9@gmail.com</t>
  </si>
  <si>
    <t>alikazemi.bm@gmail.com</t>
  </si>
  <si>
    <t>Mjavadmahabadi@gmail.com</t>
  </si>
  <si>
    <t>Rahimheydari1@gmail.com</t>
  </si>
  <si>
    <t>me.aliheidari@gmail.com</t>
  </si>
  <si>
    <t>nmabouchehri11@gmail.com</t>
  </si>
  <si>
    <t>S.nikadat@gmail.com</t>
  </si>
  <si>
    <t>saeidehaghighi1987@gmail.com</t>
  </si>
  <si>
    <t>9159356747 / 9394557328</t>
  </si>
  <si>
    <t>farzad_jml@yahoo.com</t>
  </si>
  <si>
    <t>Niloofarferdosi78@gmail.com</t>
  </si>
  <si>
    <t>Kajaal.salah@gmail.com</t>
  </si>
  <si>
    <t>z.motmaenfaal@gmail.com</t>
  </si>
  <si>
    <t>masoumejafarzade897@gmail.com</t>
  </si>
  <si>
    <t>abbaszadeh7191@gmail.com</t>
  </si>
  <si>
    <t>z.nowruzi7@gmail.com</t>
  </si>
  <si>
    <t>ali.2010149@gmail.com</t>
  </si>
  <si>
    <t>9106845524 / 9106845527</t>
  </si>
  <si>
    <t>Zkhosravi8686@yahoo.com</t>
  </si>
  <si>
    <t>۰۹۳۷۸۲۰۶۷۸۵</t>
  </si>
  <si>
    <t>Raziyeh65ansari@gmail.com</t>
  </si>
  <si>
    <t>۰۹۳۶۴۶۶۸۰۹۰</t>
  </si>
  <si>
    <t>sadoohere@gmail.com</t>
  </si>
  <si>
    <t>9365584484</t>
  </si>
  <si>
    <t>aghayarizahra3@gmail.com</t>
  </si>
  <si>
    <t>09125189949</t>
  </si>
  <si>
    <t>9398028693</t>
  </si>
  <si>
    <t>9125590950</t>
  </si>
  <si>
    <t>mdr.tehrani@gmail.com</t>
  </si>
  <si>
    <t>e.l.sadri1991@gmail.com</t>
  </si>
  <si>
    <t>09155197005</t>
  </si>
  <si>
    <t>sanazhabibinezhadarchitect@gmail.com</t>
  </si>
  <si>
    <t>9376624027</t>
  </si>
  <si>
    <t>ehsan.mohamadian91@gmail.com</t>
  </si>
  <si>
    <t>saidhosaingailani@gmail.com</t>
  </si>
  <si>
    <t>9100875207</t>
  </si>
  <si>
    <t>advancedthinking14@gmail.com</t>
  </si>
  <si>
    <t>mrs.elaheh.azami@gmail.com</t>
  </si>
  <si>
    <t>9380098680</t>
  </si>
  <si>
    <t>09195258134</t>
  </si>
  <si>
    <t>zaraqorbani7792@gmail.com</t>
  </si>
  <si>
    <t>09103412748</t>
  </si>
  <si>
    <t>nabavizeynab40@gmail.com</t>
  </si>
  <si>
    <t>shiva.tavakoli86@gmail.com</t>
  </si>
  <si>
    <t>09121244276</t>
  </si>
  <si>
    <t>ramin.samizadeh@gmail.com</t>
  </si>
  <si>
    <t>09921227924</t>
  </si>
  <si>
    <t>callmeahmadd6@gmail.com</t>
  </si>
  <si>
    <t>count</t>
  </si>
  <si>
    <t>حامد اصلاحی فرد</t>
  </si>
  <si>
    <t>ساناز حبیبی نژاد</t>
  </si>
  <si>
    <t>الناز حبیبی نژاد</t>
  </si>
  <si>
    <t>سید محمد امین هاشمی</t>
  </si>
  <si>
    <t>حمید ولی زاده</t>
  </si>
  <si>
    <t>مهدی حسنی</t>
  </si>
  <si>
    <t>امین سمیع‌زاده</t>
  </si>
  <si>
    <t>محسن لطفی</t>
  </si>
  <si>
    <t>فریبا فتحعلی</t>
  </si>
  <si>
    <t>کیانوش قزوینی</t>
  </si>
  <si>
    <t>محدثه عربی</t>
  </si>
  <si>
    <t>زهرا پرتوی</t>
  </si>
  <si>
    <t>زهرا خورشیدی</t>
  </si>
  <si>
    <t>ساناز حیدری کیا</t>
  </si>
  <si>
    <t>مریم حیدری کیا</t>
  </si>
  <si>
    <t>عرفان ملک حسینی</t>
  </si>
  <si>
    <t>الهه اعظمی</t>
  </si>
  <si>
    <t>زهرا آقا یاری</t>
  </si>
  <si>
    <t>سپیده حصاری</t>
  </si>
  <si>
    <t>امید حسینی زاده</t>
  </si>
  <si>
    <t>امیر مختاری</t>
  </si>
  <si>
    <t>فاطمه جعفری</t>
  </si>
  <si>
    <t>احسان محمدیان</t>
  </si>
  <si>
    <t>مهنا شکراله زاده</t>
  </si>
  <si>
    <t>بهزاد عظیمی</t>
  </si>
  <si>
    <t>تورج معصومی</t>
  </si>
  <si>
    <t>علی‌اکبر مشکانی</t>
  </si>
  <si>
    <t>قاسم اسدی</t>
  </si>
  <si>
    <t>یاور محمدی</t>
  </si>
  <si>
    <t>سعید بیات</t>
  </si>
  <si>
    <t>سیدحسین گیلانی</t>
  </si>
  <si>
    <t>محمد ایوبی</t>
  </si>
  <si>
    <t>نوید علیزایی</t>
  </si>
  <si>
    <t>رقیه فراهانی</t>
  </si>
  <si>
    <t>نسترن آشتیانی</t>
  </si>
  <si>
    <t>حسین قاسمی</t>
  </si>
  <si>
    <t>علیرضا مشکانی</t>
  </si>
  <si>
    <t>حسین فرامرزی</t>
  </si>
  <si>
    <t>بهزاد میرزایی</t>
  </si>
  <si>
    <t>امید عظیمی</t>
  </si>
  <si>
    <t>فاطمه غلامی</t>
  </si>
  <si>
    <t>سمانه سلیمانی</t>
  </si>
  <si>
    <t>نسرین غلامی</t>
  </si>
  <si>
    <t>ذبیح فتاحی</t>
  </si>
  <si>
    <t>محمود محمدیان</t>
  </si>
  <si>
    <t>محمد شکوری</t>
  </si>
  <si>
    <t>مبینا سامی</t>
  </si>
  <si>
    <t>فاطمه حبی</t>
  </si>
  <si>
    <t>محسن(میکائیل) ابراهیمی</t>
  </si>
  <si>
    <t>حسین بیزخی</t>
  </si>
  <si>
    <t>ثریا جدی</t>
  </si>
  <si>
    <t>زهرا جدی</t>
  </si>
  <si>
    <t>علی محمد محمدی</t>
  </si>
  <si>
    <t>سعید سعیدی</t>
  </si>
  <si>
    <t>محمدرضا تهرانی</t>
  </si>
  <si>
    <t>هادی کمایستانی</t>
  </si>
  <si>
    <t>مژده عبدلله</t>
  </si>
  <si>
    <t>احسان اقبال</t>
  </si>
  <si>
    <t>وحیده ستایش</t>
  </si>
  <si>
    <t>سهیلا نداف</t>
  </si>
  <si>
    <t>محمد امین پوررحمانی</t>
  </si>
  <si>
    <t>مرجان عمیدی</t>
  </si>
  <si>
    <t>سهیل خداکرم</t>
  </si>
  <si>
    <t>ولی اله صوفی</t>
  </si>
  <si>
    <t>حنانه فلاح</t>
  </si>
  <si>
    <t>سروش سخن سنج</t>
  </si>
  <si>
    <t>آتنا (فاطمه) ابراهیمی</t>
  </si>
  <si>
    <t>عطیه السادات محسنی</t>
  </si>
  <si>
    <t>آزاده سینای</t>
  </si>
  <si>
    <t xml:space="preserve"> </t>
  </si>
  <si>
    <t>IR380540106020100805772602</t>
  </si>
  <si>
    <t>شرکت طراحان پدیدارنت</t>
  </si>
  <si>
    <t>هاشم کیانی هرچگانی</t>
  </si>
  <si>
    <t>کد ملی: 4610050099</t>
  </si>
  <si>
    <t>تاریخ تولد: ۱۳۶۸/۰۵/۱۷</t>
  </si>
  <si>
    <t>شماره اقتصادی: 14010476265</t>
  </si>
  <si>
    <t>شناسه ملی: 14010476265</t>
  </si>
  <si>
    <t>تاریخ ثبت:‌ 1400/08/11</t>
  </si>
  <si>
    <t>شماره ثبت: 586011</t>
  </si>
  <si>
    <t>آدرس: تهران خیابان نلسون ماندلا خیابان قبادیان غربی پلاک ۹ واحد ۱۹</t>
  </si>
  <si>
    <t>کد پستی: 1968936510</t>
  </si>
  <si>
    <t>تلفن: 02188647294</t>
  </si>
  <si>
    <t>کد رهگیری مالیاتی:‌ 2182429129</t>
  </si>
</sst>
</file>

<file path=xl/styles.xml><?xml version="1.0" encoding="utf-8"?>
<styleSheet xmlns="http://schemas.openxmlformats.org/spreadsheetml/2006/main" xmlns:x14ac="http://schemas.microsoft.com/office/spreadsheetml/2009/9/ac" xmlns:mc="http://schemas.openxmlformats.org/markup-compatibility/2006">
  <fonts count="26">
    <font>
      <sz val="10.0"/>
      <color rgb="FF000000"/>
      <name val="Arial"/>
      <scheme val="minor"/>
    </font>
    <font>
      <sz val="10.0"/>
      <color theme="1"/>
      <name val="Vazirmatn"/>
    </font>
    <font>
      <color rgb="FF434343"/>
      <name val="Vazirmatn"/>
    </font>
    <font>
      <color rgb="FF473821"/>
      <name val="Vazirmatn"/>
    </font>
    <font>
      <color theme="1"/>
      <name val="Arial"/>
    </font>
    <font>
      <sz val="10.0"/>
      <color rgb="FF000000"/>
      <name val="Vazirmatn"/>
    </font>
    <font>
      <color rgb="FFE5CFF2"/>
      <name val="Vazirmatn"/>
    </font>
    <font>
      <color theme="1"/>
      <name val="Vazirmatn"/>
    </font>
    <font>
      <color rgb="FF000000"/>
      <name val="Vazirmatn"/>
    </font>
    <font>
      <color theme="1"/>
      <name val="Arial"/>
      <scheme val="minor"/>
    </font>
    <font>
      <u/>
      <sz val="10.0"/>
      <color rgb="FF000000"/>
      <name val="Vazirmatn"/>
    </font>
    <font>
      <sz val="10.0"/>
      <color rgb="FF000000"/>
      <name val="&quot;2  Nazanin&quot;"/>
    </font>
    <font>
      <u/>
      <sz val="10.0"/>
      <color rgb="FF0000FF"/>
      <name val="Vazirmatn"/>
    </font>
    <font>
      <u/>
      <sz val="10.0"/>
      <color rgb="FF0000FF"/>
      <name val="Vazirmatn"/>
    </font>
    <font>
      <sz val="12.0"/>
      <color theme="1"/>
      <name val="Calibri"/>
    </font>
    <font>
      <u/>
      <sz val="12.0"/>
      <color rgb="FF0563C1"/>
      <name val="Calibri"/>
    </font>
    <font>
      <u/>
      <sz val="12.0"/>
      <color rgb="FF0563C1"/>
      <name val="Calibri"/>
    </font>
    <font>
      <u/>
      <sz val="12.0"/>
      <color rgb="FF0563C1"/>
      <name val="Calibri"/>
    </font>
    <font>
      <u/>
      <sz val="12.0"/>
      <color rgb="FF0563C1"/>
      <name val="Calibri"/>
    </font>
    <font>
      <u/>
      <sz val="12.0"/>
      <color rgb="FF0563C1"/>
      <name val="Calibri"/>
    </font>
    <font>
      <b/>
      <sz val="12.0"/>
      <color rgb="FF666666"/>
      <name val="Arial"/>
    </font>
    <font>
      <u/>
      <sz val="10.0"/>
      <color rgb="FF000000"/>
      <name val="Vazirmatn"/>
    </font>
    <font>
      <u/>
      <sz val="10.0"/>
      <color rgb="FF000000"/>
      <name val="Vazirmatn"/>
    </font>
    <font>
      <u/>
      <sz val="10.0"/>
      <color rgb="FF000000"/>
      <name val="Vazirmatn"/>
    </font>
    <font>
      <u/>
      <sz val="10.0"/>
      <color rgb="FF000000"/>
      <name val="Vazirmatn"/>
    </font>
    <font>
      <b/>
      <color theme="1"/>
      <name val="Vazirmatn"/>
    </font>
  </fonts>
  <fills count="5">
    <fill>
      <patternFill patternType="none"/>
    </fill>
    <fill>
      <patternFill patternType="lightGray"/>
    </fill>
    <fill>
      <patternFill patternType="solid">
        <fgColor rgb="FFFFFFFF"/>
        <bgColor rgb="FFFFFFFF"/>
      </patternFill>
    </fill>
    <fill>
      <patternFill patternType="solid">
        <fgColor rgb="FFF6F8F9"/>
        <bgColor rgb="FFF6F8F9"/>
      </patternFill>
    </fill>
    <fill>
      <patternFill patternType="solid">
        <fgColor rgb="FFCDD9D4"/>
        <bgColor rgb="FFCDD9D4"/>
      </patternFill>
    </fill>
  </fills>
  <borders count="27">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6F8F9"/>
      </right>
      <top style="thin">
        <color rgb="FFF6F8F9"/>
      </top>
      <bottom style="thin">
        <color rgb="FF284E3F"/>
      </bottom>
    </border>
    <border>
      <left style="thin">
        <color rgb="FFF6F8F9"/>
      </left>
      <right style="thin">
        <color rgb="FFF6F8F9"/>
      </right>
      <top style="thin">
        <color rgb="FFF6F8F9"/>
      </top>
      <bottom style="thin">
        <color rgb="FF284E3F"/>
      </bottom>
    </border>
    <border>
      <left style="thin">
        <color rgb="FFF6F8F9"/>
      </left>
      <right style="thin">
        <color rgb="FF284E3F"/>
      </right>
      <top style="thin">
        <color rgb="FFF6F8F9"/>
      </top>
      <bottom style="thin">
        <color rgb="FF284E3F"/>
      </bottom>
    </border>
    <border>
      <left style="thin">
        <color rgb="FF284E3F"/>
      </left>
      <right style="thin">
        <color rgb="FFCDD9D4"/>
      </right>
      <top>
        <color rgb="FF284E3F"/>
      </top>
      <bottom style="thin">
        <color rgb="FF284E3F"/>
      </bottom>
    </border>
    <border>
      <left style="thin">
        <color rgb="FFCDD9D4"/>
      </left>
      <right style="thin">
        <color rgb="FFCDD9D4"/>
      </right>
      <top>
        <color rgb="FF284E3F"/>
      </top>
      <bottom style="thin">
        <color rgb="FF284E3F"/>
      </bottom>
    </border>
    <border>
      <left style="thin">
        <color rgb="FFCDD9D4"/>
      </left>
      <right style="thin">
        <color rgb="FF284E3F"/>
      </right>
      <top>
        <color rgb="FF284E3F"/>
      </top>
      <bottom style="thin">
        <color rgb="FF284E3F"/>
      </bottom>
    </border>
    <border>
      <left style="thin">
        <color rgb="FF284E3F"/>
      </left>
      <right style="thin">
        <color rgb="FFFFFFFF"/>
      </right>
      <top style="thin">
        <color rgb="FFFFFFFF"/>
      </top>
      <bottom style="thin">
        <color rgb="FF284E3F"/>
      </bottom>
    </border>
    <border>
      <left style="thin">
        <color rgb="FFFFFFFF"/>
      </left>
      <right style="thin">
        <color rgb="FFFFFFFF"/>
      </right>
      <top style="thin">
        <color rgb="FFFFFFFF"/>
      </top>
      <bottom style="thin">
        <color rgb="FF284E3F"/>
      </bottom>
    </border>
    <border>
      <left style="thin">
        <color rgb="FFFFFFFF"/>
      </left>
      <right style="thin">
        <color rgb="FF284E3F"/>
      </right>
      <top style="thin">
        <color rgb="FFFFFFFF"/>
      </top>
      <bottom style="thin">
        <color rgb="FF284E3F"/>
      </bottom>
    </border>
    <border>
      <left style="thin">
        <color rgb="FF000000"/>
      </left>
      <right style="thin">
        <color rgb="FF000000"/>
      </right>
      <top style="thin">
        <color rgb="FF000000"/>
      </top>
      <bottom style="thin">
        <color rgb="FF000000"/>
      </bottom>
    </border>
    <border>
      <left style="thin">
        <color rgb="FFF8F9FA"/>
      </left>
      <right style="thin">
        <color rgb="FF284E3F"/>
      </right>
      <top style="thin">
        <color rgb="FFF8F9FA"/>
      </top>
      <bottom style="thin">
        <color rgb="FFF8F9FA"/>
      </bottom>
    </border>
    <border>
      <left style="thin">
        <color rgb="FF000000"/>
      </left>
      <right style="thin">
        <color rgb="FF000000"/>
      </right>
      <top style="thin">
        <color rgb="FF000000"/>
      </top>
      <bottom style="thin">
        <color rgb="FFF8F9FA"/>
      </bottom>
    </border>
    <border>
      <left style="thin">
        <color rgb="FF284E3F"/>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284E3F"/>
      </left>
      <right style="thin">
        <color rgb="FFF8F9FA"/>
      </right>
      <top style="thin">
        <color rgb="FFF8F9FA"/>
      </top>
      <bottom style="thin">
        <color rgb="FF284E3F"/>
      </bottom>
    </border>
    <border>
      <left style="thin">
        <color rgb="FFF8F9FA"/>
      </left>
      <right style="thin">
        <color rgb="FFF8F9FA"/>
      </right>
      <top style="thin">
        <color rgb="FFF8F9FA"/>
      </top>
      <bottom style="thin">
        <color rgb="FF284E3F"/>
      </bottom>
    </border>
    <border>
      <left style="thin">
        <color rgb="FFF8F9FA"/>
      </left>
      <right style="thin">
        <color rgb="FF284E3F"/>
      </right>
      <top style="thin">
        <color rgb="FFF8F9FA"/>
      </top>
      <bottom style="thin">
        <color rgb="FF284E3F"/>
      </bottom>
    </border>
  </borders>
  <cellStyleXfs count="1">
    <xf borderId="0" fillId="0" fontId="0" numFmtId="0" applyAlignment="1" applyFont="1"/>
  </cellStyleXfs>
  <cellXfs count="249">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2" fillId="0" fontId="1" numFmtId="0" xfId="0" applyAlignment="1" applyBorder="1" applyFont="1">
      <alignment horizontal="center" readingOrder="0" shrinkToFit="0" vertical="center" wrapText="1"/>
    </xf>
    <xf borderId="2" fillId="0" fontId="1" numFmtId="49" xfId="0" applyAlignment="1" applyBorder="1" applyFont="1" applyNumberFormat="1">
      <alignment horizontal="center" readingOrder="0" shrinkToFit="0" vertical="center" wrapText="1"/>
    </xf>
    <xf borderId="3" fillId="0" fontId="1" numFmtId="0" xfId="0" applyAlignment="1" applyBorder="1" applyFont="1">
      <alignment horizontal="center" readingOrder="0" shrinkToFit="0" vertical="center" wrapText="1"/>
    </xf>
    <xf borderId="0" fillId="0" fontId="1" numFmtId="0" xfId="0" applyAlignment="1" applyFont="1">
      <alignment horizontal="center" readingOrder="2" shrinkToFit="0" vertical="center" wrapText="1"/>
    </xf>
    <xf borderId="4" fillId="0" fontId="1" numFmtId="0" xfId="0" applyAlignment="1" applyBorder="1" applyFont="1">
      <alignment horizontal="center" readingOrder="1" shrinkToFit="0" vertical="center" wrapText="1"/>
    </xf>
    <xf borderId="5" fillId="0" fontId="1" numFmtId="0" xfId="0" applyAlignment="1" applyBorder="1" applyFont="1">
      <alignment horizontal="center" readingOrder="2" shrinkToFit="0" vertical="center" wrapText="1"/>
    </xf>
    <xf borderId="5" fillId="0" fontId="1" numFmtId="0" xfId="0" applyAlignment="1" applyBorder="1" applyFont="1">
      <alignment horizontal="center" readingOrder="2" shrinkToFit="0" vertical="center" wrapText="1"/>
    </xf>
    <xf borderId="5" fillId="0" fontId="1" numFmtId="0" xfId="0" applyAlignment="1" applyBorder="1" applyFont="1">
      <alignment horizontal="center" readingOrder="2" shrinkToFit="0" vertical="center" wrapText="1"/>
    </xf>
    <xf borderId="6" fillId="0" fontId="1" numFmtId="0" xfId="0" applyAlignment="1" applyBorder="1" applyFont="1">
      <alignment horizontal="center" readingOrder="2" shrinkToFit="0" vertical="center" wrapText="1"/>
    </xf>
    <xf borderId="7" fillId="0" fontId="1" numFmtId="0" xfId="0" applyAlignment="1" applyBorder="1" applyFont="1">
      <alignment horizontal="center" readingOrder="1" shrinkToFit="0" vertical="center" wrapText="1"/>
    </xf>
    <xf borderId="8" fillId="0" fontId="1" numFmtId="0" xfId="0" applyAlignment="1" applyBorder="1" applyFont="1">
      <alignment horizontal="center" readingOrder="2" shrinkToFit="0" vertical="center" wrapText="1"/>
    </xf>
    <xf borderId="8" fillId="0" fontId="1" numFmtId="0" xfId="0" applyAlignment="1" applyBorder="1" applyFont="1">
      <alignment horizontal="center" readingOrder="2" shrinkToFit="0" vertical="center" wrapText="1"/>
    </xf>
    <xf borderId="8" fillId="0" fontId="1" numFmtId="0" xfId="0" applyAlignment="1" applyBorder="1" applyFont="1">
      <alignment horizontal="center" readingOrder="2" shrinkToFit="0" vertical="center" wrapText="1"/>
    </xf>
    <xf borderId="9" fillId="0" fontId="1" numFmtId="0" xfId="0" applyAlignment="1" applyBorder="1" applyFont="1">
      <alignment horizontal="center" readingOrder="2" shrinkToFit="0" vertical="center" wrapText="1"/>
    </xf>
    <xf borderId="4" fillId="2" fontId="2" numFmtId="0" xfId="0" applyAlignment="1" applyBorder="1" applyFill="1" applyFont="1">
      <alignment horizontal="center" readingOrder="0" shrinkToFit="0" vertical="center" wrapText="1"/>
    </xf>
    <xf borderId="5" fillId="2" fontId="3" numFmtId="0" xfId="0" applyAlignment="1" applyBorder="1" applyFont="1">
      <alignment horizontal="center" shrinkToFit="0" vertical="center" wrapText="1"/>
    </xf>
    <xf borderId="5" fillId="2" fontId="4" numFmtId="0" xfId="0" applyAlignment="1" applyBorder="1" applyFont="1">
      <alignment shrinkToFit="0" vertical="center" wrapText="0"/>
    </xf>
    <xf borderId="5" fillId="2" fontId="2" numFmtId="0" xfId="0" applyAlignment="1" applyBorder="1" applyFont="1">
      <alignment horizontal="center" readingOrder="0" shrinkToFit="0" vertical="center" wrapText="1"/>
    </xf>
    <xf borderId="5" fillId="2" fontId="4" numFmtId="0" xfId="0" applyAlignment="1" applyBorder="1" applyFont="1">
      <alignment readingOrder="0" shrinkToFit="0" vertical="center" wrapText="0"/>
    </xf>
    <xf borderId="5" fillId="2" fontId="4" numFmtId="0" xfId="0" applyAlignment="1" applyBorder="1" applyFont="1">
      <alignment shrinkToFit="0" vertical="center" wrapText="0"/>
    </xf>
    <xf borderId="5" fillId="2" fontId="2" numFmtId="0" xfId="0" applyAlignment="1" applyBorder="1" applyFont="1">
      <alignment horizontal="center" shrinkToFit="0" vertical="center" wrapText="1"/>
    </xf>
    <xf borderId="6" fillId="2" fontId="4" numFmtId="0" xfId="0" applyAlignment="1" applyBorder="1" applyFont="1">
      <alignment shrinkToFit="0" vertical="center" wrapText="0"/>
    </xf>
    <xf borderId="0" fillId="0" fontId="4" numFmtId="0" xfId="0" applyFont="1"/>
    <xf borderId="0" fillId="0" fontId="4" numFmtId="0" xfId="0" applyFont="1"/>
    <xf borderId="8" fillId="0" fontId="5" numFmtId="0" xfId="0" applyAlignment="1" applyBorder="1" applyFont="1">
      <alignment horizontal="center" readingOrder="2" shrinkToFit="0" vertical="center" wrapText="0"/>
    </xf>
    <xf borderId="8" fillId="0" fontId="1" numFmtId="0" xfId="0" applyAlignment="1" applyBorder="1" applyFont="1">
      <alignment horizontal="center" readingOrder="2" shrinkToFit="0" vertical="center" wrapText="0"/>
    </xf>
    <xf borderId="0" fillId="0" fontId="5" numFmtId="0" xfId="0" applyAlignment="1" applyFont="1">
      <alignment horizontal="center" readingOrder="2" vertical="center"/>
    </xf>
    <xf borderId="5" fillId="0" fontId="5" numFmtId="0" xfId="0" applyAlignment="1" applyBorder="1" applyFont="1">
      <alignment horizontal="center" readingOrder="2" shrinkToFit="0" vertical="center" wrapText="0"/>
    </xf>
    <xf borderId="5" fillId="0" fontId="1" numFmtId="0" xfId="0" applyAlignment="1" applyBorder="1" applyFont="1">
      <alignment horizontal="center" readingOrder="2" shrinkToFit="0" vertical="center" wrapText="0"/>
    </xf>
    <xf borderId="7" fillId="3" fontId="2" numFmtId="0" xfId="0" applyAlignment="1" applyBorder="1" applyFill="1" applyFont="1">
      <alignment horizontal="center" shrinkToFit="0" vertical="center" wrapText="1"/>
    </xf>
    <xf borderId="8" fillId="3" fontId="6" numFmtId="0" xfId="0" applyAlignment="1" applyBorder="1" applyFont="1">
      <alignment horizontal="center" shrinkToFit="0" vertical="center" wrapText="1"/>
    </xf>
    <xf borderId="8" fillId="3" fontId="4" numFmtId="0" xfId="0" applyAlignment="1" applyBorder="1" applyFont="1">
      <alignment shrinkToFit="0" vertical="center" wrapText="0"/>
    </xf>
    <xf borderId="8" fillId="3" fontId="2" numFmtId="0" xfId="0" applyAlignment="1" applyBorder="1" applyFont="1">
      <alignment horizontal="center" readingOrder="0" shrinkToFit="0" vertical="center" wrapText="1"/>
    </xf>
    <xf borderId="8" fillId="3" fontId="2" numFmtId="0" xfId="0" applyAlignment="1" applyBorder="1" applyFont="1">
      <alignment horizontal="center" shrinkToFit="0" vertical="center" wrapText="1"/>
    </xf>
    <xf borderId="8" fillId="3" fontId="4" numFmtId="0" xfId="0" applyAlignment="1" applyBorder="1" applyFont="1">
      <alignment shrinkToFit="0" vertical="center" wrapText="0"/>
    </xf>
    <xf borderId="9" fillId="3" fontId="4" numFmtId="0" xfId="0" applyAlignment="1" applyBorder="1" applyFont="1">
      <alignment shrinkToFit="0" vertical="center" wrapText="0"/>
    </xf>
    <xf borderId="5" fillId="0" fontId="1" numFmtId="0" xfId="0" applyAlignment="1" applyBorder="1" applyFont="1">
      <alignment horizontal="center" readingOrder="2" shrinkToFit="0" vertical="center" wrapText="0"/>
    </xf>
    <xf borderId="0" fillId="0" fontId="1" numFmtId="0" xfId="0" applyAlignment="1" applyFont="1">
      <alignment horizontal="center" readingOrder="2" vertical="center"/>
    </xf>
    <xf borderId="5" fillId="0" fontId="5" numFmtId="0" xfId="0" applyAlignment="1" applyBorder="1" applyFont="1">
      <alignment horizontal="center" readingOrder="2" shrinkToFit="0" vertical="center" wrapText="0"/>
    </xf>
    <xf borderId="5" fillId="2" fontId="2" numFmtId="0" xfId="0" applyAlignment="1" applyBorder="1" applyFont="1">
      <alignment horizontal="center" shrinkToFit="0" vertical="center" wrapText="1"/>
    </xf>
    <xf borderId="0" fillId="0" fontId="5" numFmtId="0" xfId="0" applyAlignment="1" applyFont="1">
      <alignment horizontal="center" readingOrder="2" vertical="center"/>
    </xf>
    <xf borderId="0" fillId="0" fontId="4" numFmtId="0" xfId="0" applyAlignment="1" applyFont="1">
      <alignment vertical="bottom"/>
    </xf>
    <xf borderId="8" fillId="0" fontId="5" numFmtId="0" xfId="0" applyAlignment="1" applyBorder="1" applyFont="1">
      <alignment horizontal="center" readingOrder="2" shrinkToFit="0" vertical="center" wrapText="0"/>
    </xf>
    <xf borderId="8" fillId="0" fontId="1" numFmtId="10" xfId="0" applyAlignment="1" applyBorder="1" applyFont="1" applyNumberFormat="1">
      <alignment horizontal="center" readingOrder="2" shrinkToFit="0" vertical="center" wrapText="1"/>
    </xf>
    <xf borderId="9" fillId="0" fontId="1" numFmtId="0" xfId="0" applyAlignment="1" applyBorder="1" applyFont="1">
      <alignment horizontal="center" readingOrder="2" shrinkToFit="0" vertical="center" wrapText="1"/>
    </xf>
    <xf borderId="5" fillId="0" fontId="1" numFmtId="0" xfId="0" applyAlignment="1" applyBorder="1" applyFont="1">
      <alignment horizontal="center" readingOrder="2" shrinkToFit="0" vertical="center" wrapText="0"/>
    </xf>
    <xf borderId="8" fillId="0" fontId="1" numFmtId="0" xfId="0" applyAlignment="1" applyBorder="1" applyFont="1">
      <alignment horizontal="center" readingOrder="2" shrinkToFit="0" vertical="center" wrapText="0"/>
    </xf>
    <xf borderId="8" fillId="0" fontId="1" numFmtId="0" xfId="0" applyAlignment="1" applyBorder="1" applyFont="1">
      <alignment horizontal="center" readingOrder="2" shrinkToFit="0" vertical="center" wrapText="0"/>
    </xf>
    <xf borderId="8" fillId="0" fontId="7" numFmtId="0" xfId="0" applyAlignment="1" applyBorder="1" applyFont="1">
      <alignment horizontal="center" readingOrder="2" shrinkToFit="0" vertical="center" wrapText="0"/>
    </xf>
    <xf borderId="8" fillId="0" fontId="7" numFmtId="0" xfId="0" applyAlignment="1" applyBorder="1" applyFont="1">
      <alignment horizontal="center" readingOrder="2" shrinkToFit="0" vertical="center" wrapText="0"/>
    </xf>
    <xf borderId="5" fillId="0" fontId="1" numFmtId="0" xfId="0" applyAlignment="1" applyBorder="1" applyFont="1">
      <alignment horizontal="center" readingOrder="2" shrinkToFit="0" vertical="center" wrapText="1"/>
    </xf>
    <xf borderId="8" fillId="0" fontId="8" numFmtId="0" xfId="0" applyAlignment="1" applyBorder="1" applyFont="1">
      <alignment horizontal="center" readingOrder="2" shrinkToFit="0" vertical="center" wrapText="0"/>
    </xf>
    <xf borderId="8" fillId="0" fontId="1" numFmtId="0" xfId="0" applyAlignment="1" applyBorder="1" applyFont="1">
      <alignment horizontal="center" readingOrder="2" shrinkToFit="0" vertical="center" wrapText="1"/>
    </xf>
    <xf borderId="4" fillId="0" fontId="1" numFmtId="0" xfId="0" applyAlignment="1" applyBorder="1" applyFont="1">
      <alignment horizontal="center" readingOrder="1" shrinkToFit="0" vertical="center" wrapText="1"/>
    </xf>
    <xf borderId="5" fillId="0" fontId="1" numFmtId="0" xfId="0" applyAlignment="1" applyBorder="1" applyFont="1">
      <alignment horizontal="center" readingOrder="2" shrinkToFit="0" vertical="center" wrapText="1"/>
    </xf>
    <xf borderId="7" fillId="0" fontId="1" numFmtId="0" xfId="0" applyAlignment="1" applyBorder="1" applyFont="1">
      <alignment horizontal="center" readingOrder="1" shrinkToFit="0" vertical="center" wrapText="1"/>
    </xf>
    <xf borderId="5" fillId="0" fontId="7" numFmtId="0" xfId="0" applyAlignment="1" applyBorder="1" applyFont="1">
      <alignment horizontal="center" readingOrder="2" shrinkToFit="0" vertical="center" wrapText="0"/>
    </xf>
    <xf borderId="8" fillId="0" fontId="1" numFmtId="0" xfId="0" applyAlignment="1" applyBorder="1" applyFont="1">
      <alignment horizontal="center" readingOrder="2" shrinkToFit="0" vertical="center" wrapText="1"/>
    </xf>
    <xf borderId="10" fillId="0" fontId="1" numFmtId="0" xfId="0" applyAlignment="1" applyBorder="1" applyFont="1">
      <alignment horizontal="center" readingOrder="1" shrinkToFit="0" vertical="center" wrapText="1"/>
    </xf>
    <xf borderId="11" fillId="0" fontId="1" numFmtId="0" xfId="0" applyAlignment="1" applyBorder="1" applyFont="1">
      <alignment horizontal="center" readingOrder="2" shrinkToFit="0" vertical="center" wrapText="1"/>
    </xf>
    <xf borderId="11" fillId="0" fontId="1" numFmtId="0" xfId="0" applyAlignment="1" applyBorder="1" applyFont="1">
      <alignment horizontal="center" readingOrder="2" shrinkToFit="0" vertical="center" wrapText="1"/>
    </xf>
    <xf borderId="11" fillId="0" fontId="1" numFmtId="0" xfId="0" applyAlignment="1" applyBorder="1" applyFont="1">
      <alignment horizontal="center" readingOrder="2" shrinkToFit="0" vertical="center" wrapText="1"/>
    </xf>
    <xf borderId="12" fillId="0" fontId="1" numFmtId="0" xfId="0" applyAlignment="1" applyBorder="1" applyFont="1">
      <alignment horizontal="center" readingOrder="2" shrinkToFit="0" vertical="center" wrapText="1"/>
    </xf>
    <xf borderId="0" fillId="0" fontId="7" numFmtId="0" xfId="0" applyAlignment="1" applyFont="1">
      <alignment horizontal="center" readingOrder="0" shrinkToFit="0" vertical="center" wrapText="1"/>
    </xf>
    <xf borderId="0" fillId="0" fontId="7" numFmtId="0" xfId="0" applyAlignment="1" applyFont="1">
      <alignment horizontal="center" readingOrder="0" shrinkToFit="0" vertical="center" wrapText="1"/>
    </xf>
    <xf borderId="0" fillId="0" fontId="7" numFmtId="0" xfId="0" applyAlignment="1" applyFont="1">
      <alignment horizontal="center" shrinkToFit="0" vertical="center" wrapText="1"/>
    </xf>
    <xf borderId="1" fillId="0" fontId="7" numFmtId="0" xfId="0" applyAlignment="1" applyBorder="1" applyFont="1">
      <alignment horizontal="center" readingOrder="0" shrinkToFit="0" vertical="center" wrapText="1"/>
    </xf>
    <xf borderId="2" fillId="0" fontId="7" numFmtId="0" xfId="0" applyAlignment="1" applyBorder="1" applyFont="1">
      <alignment horizontal="center" readingOrder="0" shrinkToFit="0" vertical="center" wrapText="1"/>
    </xf>
    <xf borderId="3" fillId="0" fontId="7" numFmtId="0" xfId="0" applyAlignment="1" applyBorder="1" applyFont="1">
      <alignment horizontal="center" readingOrder="0" shrinkToFit="0" vertical="center" wrapText="1"/>
    </xf>
    <xf borderId="4" fillId="0" fontId="7" numFmtId="0" xfId="0" applyAlignment="1" applyBorder="1" applyFont="1">
      <alignment horizontal="center" readingOrder="0" shrinkToFit="0" vertical="center" wrapText="1"/>
    </xf>
    <xf borderId="5" fillId="0" fontId="7" numFmtId="0" xfId="0" applyAlignment="1" applyBorder="1" applyFont="1">
      <alignment horizontal="center" readingOrder="0" shrinkToFit="0" vertical="center" wrapText="1"/>
    </xf>
    <xf borderId="6" fillId="0" fontId="7" numFmtId="0" xfId="0" applyAlignment="1" applyBorder="1" applyFont="1">
      <alignment readingOrder="0" shrinkToFit="0" vertical="center" wrapText="1"/>
    </xf>
    <xf borderId="7" fillId="0" fontId="7" numFmtId="0" xfId="0" applyAlignment="1" applyBorder="1" applyFont="1">
      <alignment horizontal="center" readingOrder="0" shrinkToFit="0" vertical="center" wrapText="1"/>
    </xf>
    <xf borderId="8" fillId="0" fontId="7" numFmtId="0" xfId="0" applyAlignment="1" applyBorder="1" applyFont="1">
      <alignment horizontal="center" readingOrder="0" shrinkToFit="0" vertical="center" wrapText="1"/>
    </xf>
    <xf borderId="9" fillId="0" fontId="7" numFmtId="0" xfId="0" applyAlignment="1" applyBorder="1" applyFont="1">
      <alignment readingOrder="0" shrinkToFit="0" vertical="center" wrapText="1"/>
    </xf>
    <xf borderId="0" fillId="0" fontId="9" numFmtId="0" xfId="0" applyFont="1"/>
    <xf borderId="13" fillId="4" fontId="7" numFmtId="0" xfId="0" applyAlignment="1" applyBorder="1" applyFill="1" applyFont="1">
      <alignment horizontal="center" readingOrder="0" shrinkToFit="0" vertical="center" wrapText="1"/>
    </xf>
    <xf borderId="14" fillId="4" fontId="7" numFmtId="0" xfId="0" applyAlignment="1" applyBorder="1" applyFont="1">
      <alignment horizontal="center" shrinkToFit="0" vertical="center" wrapText="1"/>
    </xf>
    <xf borderId="15" fillId="4" fontId="7" numFmtId="0" xfId="0" applyAlignment="1" applyBorder="1" applyFont="1">
      <alignment horizontal="center" shrinkToFit="0" vertical="center" wrapText="1"/>
    </xf>
    <xf borderId="0" fillId="0" fontId="5" numFmtId="0" xfId="0" applyAlignment="1" applyFont="1">
      <alignment horizontal="center" readingOrder="0" shrinkToFit="0" vertical="center" wrapText="1"/>
    </xf>
    <xf borderId="0" fillId="0" fontId="1" numFmtId="0" xfId="0" applyAlignment="1" applyFont="1">
      <alignment horizontal="center" readingOrder="0" shrinkToFit="0" vertical="center" wrapText="1"/>
    </xf>
    <xf borderId="0" fillId="0" fontId="1" numFmtId="49" xfId="0" applyAlignment="1" applyFont="1" applyNumberFormat="1">
      <alignment horizontal="center" readingOrder="0" shrinkToFit="0" vertical="center" wrapText="1"/>
    </xf>
    <xf borderId="0" fillId="0" fontId="1" numFmtId="0" xfId="0" applyAlignment="1" applyFont="1">
      <alignment horizontal="center" readingOrder="0" shrinkToFit="0" vertical="center" wrapText="1"/>
    </xf>
    <xf borderId="0" fillId="0" fontId="1" numFmtId="0" xfId="0" applyAlignment="1" applyFont="1">
      <alignment horizontal="center" shrinkToFit="0" vertical="center" wrapText="1"/>
    </xf>
    <xf borderId="0" fillId="0" fontId="5" numFmtId="0" xfId="0" applyAlignment="1" applyFont="1">
      <alignment horizontal="center" shrinkToFit="0" vertical="center" wrapText="1"/>
    </xf>
    <xf borderId="0" fillId="0" fontId="1" numFmtId="49" xfId="0" applyAlignment="1" applyFont="1" applyNumberFormat="1">
      <alignment horizontal="center" shrinkToFit="0" vertical="center" wrapText="1"/>
    </xf>
    <xf borderId="0" fillId="0" fontId="10" numFmtId="0" xfId="0" applyAlignment="1" applyFont="1">
      <alignment horizontal="center" shrinkToFit="0" vertical="center" wrapText="1"/>
    </xf>
    <xf borderId="1" fillId="0" fontId="1" numFmtId="0" xfId="0" applyAlignment="1" applyBorder="1" applyFont="1">
      <alignment horizontal="center" readingOrder="0" shrinkToFit="0" vertical="center" wrapText="1"/>
    </xf>
    <xf borderId="2" fillId="0" fontId="1" numFmtId="0" xfId="0" applyAlignment="1" applyBorder="1" applyFont="1">
      <alignment horizontal="center" readingOrder="0" shrinkToFit="0" vertical="center" wrapText="1"/>
    </xf>
    <xf borderId="3" fillId="0" fontId="1" numFmtId="0" xfId="0" applyAlignment="1" applyBorder="1" applyFont="1">
      <alignment horizontal="center" readingOrder="0" shrinkToFit="0" vertical="center" wrapText="1"/>
    </xf>
    <xf borderId="0" fillId="0" fontId="9" numFmtId="0" xfId="0" applyAlignment="1" applyFont="1">
      <alignment shrinkToFit="0" wrapText="1"/>
    </xf>
    <xf borderId="4" fillId="0" fontId="1" numFmtId="0" xfId="0" applyAlignment="1" applyBorder="1" applyFont="1">
      <alignment horizontal="center" readingOrder="0" shrinkToFit="0" vertical="center" wrapText="1"/>
    </xf>
    <xf borderId="5" fillId="0" fontId="1" numFmtId="0" xfId="0" applyAlignment="1" applyBorder="1" applyFont="1">
      <alignment horizontal="center" readingOrder="0" shrinkToFit="0" vertical="center" wrapText="1"/>
    </xf>
    <xf borderId="6" fillId="0" fontId="1" numFmtId="0" xfId="0" applyAlignment="1" applyBorder="1" applyFont="1">
      <alignment horizontal="center" readingOrder="0" shrinkToFit="0" vertical="center" wrapText="1"/>
    </xf>
    <xf borderId="7" fillId="0" fontId="1" numFmtId="0" xfId="0" applyAlignment="1" applyBorder="1" applyFont="1">
      <alignment horizontal="center" readingOrder="0" shrinkToFit="0" vertical="center" wrapText="1"/>
    </xf>
    <xf borderId="8" fillId="0" fontId="1" numFmtId="0" xfId="0" applyAlignment="1" applyBorder="1" applyFont="1">
      <alignment horizontal="center" shrinkToFit="0" vertical="center" wrapText="1"/>
    </xf>
    <xf borderId="9" fillId="0" fontId="1" numFmtId="0" xfId="0" applyAlignment="1" applyBorder="1" applyFont="1">
      <alignment horizontal="center" readingOrder="0" shrinkToFit="0" vertical="center" wrapText="1"/>
    </xf>
    <xf borderId="5" fillId="0" fontId="1" numFmtId="0" xfId="0" applyAlignment="1" applyBorder="1" applyFont="1">
      <alignment horizontal="center" shrinkToFit="0" vertical="center" wrapText="1"/>
    </xf>
    <xf borderId="5" fillId="0" fontId="1" numFmtId="0" xfId="0" applyAlignment="1" applyBorder="1" applyFont="1">
      <alignment horizontal="center" readingOrder="0" shrinkToFit="0" vertical="center" wrapText="1"/>
    </xf>
    <xf borderId="8" fillId="0" fontId="1" numFmtId="0" xfId="0" applyAlignment="1" applyBorder="1" applyFont="1">
      <alignment horizontal="center" readingOrder="0" shrinkToFit="0" vertical="center" wrapText="1"/>
    </xf>
    <xf borderId="0" fillId="0" fontId="7" numFmtId="0" xfId="0" applyAlignment="1" applyFont="1">
      <alignment horizontal="center" shrinkToFit="0" wrapText="1"/>
    </xf>
    <xf borderId="7" fillId="0" fontId="1" numFmtId="0" xfId="0" applyAlignment="1" applyBorder="1" applyFont="1">
      <alignment horizontal="center" shrinkToFit="0" vertical="center" wrapText="1"/>
    </xf>
    <xf borderId="4" fillId="0" fontId="9" numFmtId="0" xfId="0" applyAlignment="1" applyBorder="1" applyFont="1">
      <alignment readingOrder="0" shrinkToFit="0" vertical="center" wrapText="1"/>
    </xf>
    <xf borderId="5" fillId="0" fontId="9" numFmtId="0" xfId="0" applyAlignment="1" applyBorder="1" applyFont="1">
      <alignment shrinkToFit="0" vertical="center" wrapText="1"/>
    </xf>
    <xf borderId="6" fillId="0" fontId="9" numFmtId="0" xfId="0" applyAlignment="1" applyBorder="1" applyFont="1">
      <alignment readingOrder="0" shrinkToFit="0" vertical="center" wrapText="1"/>
    </xf>
    <xf borderId="7" fillId="0" fontId="9" numFmtId="0" xfId="0" applyAlignment="1" applyBorder="1" applyFont="1">
      <alignment readingOrder="0" shrinkToFit="0" vertical="center" wrapText="1"/>
    </xf>
    <xf borderId="8" fillId="0" fontId="9" numFmtId="0" xfId="0" applyAlignment="1" applyBorder="1" applyFont="1">
      <alignment shrinkToFit="0" vertical="center" wrapText="1"/>
    </xf>
    <xf borderId="9" fillId="0" fontId="9" numFmtId="0" xfId="0" applyAlignment="1" applyBorder="1" applyFont="1">
      <alignment readingOrder="0" shrinkToFit="0" vertical="center" wrapText="1"/>
    </xf>
    <xf borderId="4" fillId="0" fontId="9" numFmtId="0" xfId="0" applyAlignment="1" applyBorder="1" applyFont="1">
      <alignment readingOrder="0" shrinkToFit="0" vertical="center" wrapText="1"/>
    </xf>
    <xf borderId="10" fillId="0" fontId="9" numFmtId="0" xfId="0" applyAlignment="1" applyBorder="1" applyFont="1">
      <alignment readingOrder="0" shrinkToFit="0" vertical="center" wrapText="1"/>
    </xf>
    <xf borderId="11" fillId="0" fontId="9" numFmtId="0" xfId="0" applyAlignment="1" applyBorder="1" applyFont="1">
      <alignment shrinkToFit="0" vertical="center" wrapText="1"/>
    </xf>
    <xf borderId="12" fillId="0" fontId="9" numFmtId="0" xfId="0" applyAlignment="1" applyBorder="1" applyFont="1">
      <alignment readingOrder="0" shrinkToFit="0" vertical="center" wrapText="1"/>
    </xf>
    <xf borderId="0" fillId="0" fontId="5" numFmtId="0" xfId="0" applyAlignment="1" applyFont="1">
      <alignment horizontal="center" readingOrder="0" shrinkToFit="0" vertical="center" wrapText="1"/>
    </xf>
    <xf borderId="0" fillId="0" fontId="2" numFmtId="0" xfId="0" applyAlignment="1" applyFont="1">
      <alignment horizontal="center" readingOrder="0" shrinkToFit="0" vertical="center" wrapText="1"/>
    </xf>
    <xf borderId="0" fillId="0" fontId="7" numFmtId="49" xfId="0" applyAlignment="1" applyFont="1" applyNumberFormat="1">
      <alignment horizontal="center" shrinkToFit="0" wrapText="1"/>
    </xf>
    <xf borderId="0" fillId="0" fontId="7" numFmtId="49" xfId="0" applyAlignment="1" applyFont="1" applyNumberFormat="1">
      <alignment shrinkToFit="0" wrapText="1"/>
    </xf>
    <xf borderId="0" fillId="0" fontId="1" numFmtId="0" xfId="0" applyAlignment="1" applyFont="1">
      <alignment horizontal="center" shrinkToFit="0" vertical="center" wrapText="1"/>
    </xf>
    <xf borderId="1" fillId="0" fontId="7" numFmtId="0" xfId="0" applyAlignment="1" applyBorder="1" applyFont="1">
      <alignment horizontal="center" readingOrder="0" shrinkToFit="0" vertical="center" wrapText="1"/>
    </xf>
    <xf borderId="2" fillId="0" fontId="7" numFmtId="0" xfId="0" applyAlignment="1" applyBorder="1" applyFont="1">
      <alignment horizontal="center" readingOrder="0" shrinkToFit="0" vertical="center" wrapText="1"/>
    </xf>
    <xf borderId="3" fillId="0" fontId="7" numFmtId="0" xfId="0" applyAlignment="1" applyBorder="1" applyFont="1">
      <alignment horizontal="center" readingOrder="0" shrinkToFit="0" vertical="center" wrapText="1"/>
    </xf>
    <xf borderId="4" fillId="0" fontId="7" numFmtId="0" xfId="0" applyAlignment="1" applyBorder="1" applyFont="1">
      <alignment horizontal="center" readingOrder="0" shrinkToFit="0" vertical="center" wrapText="1"/>
    </xf>
    <xf borderId="5" fillId="0" fontId="7" numFmtId="0" xfId="0" applyAlignment="1" applyBorder="1" applyFont="1">
      <alignment horizontal="center" readingOrder="0" shrinkToFit="0" vertical="center" wrapText="1"/>
    </xf>
    <xf borderId="5" fillId="0" fontId="7" numFmtId="0" xfId="0" applyAlignment="1" applyBorder="1" applyFont="1">
      <alignment horizontal="center" readingOrder="0" shrinkToFit="0" vertical="center" wrapText="1"/>
    </xf>
    <xf borderId="5" fillId="0" fontId="7" numFmtId="0" xfId="0" applyAlignment="1" applyBorder="1" applyFont="1">
      <alignment horizontal="center" shrinkToFit="0" vertical="center" wrapText="1"/>
    </xf>
    <xf borderId="6" fillId="0" fontId="7" numFmtId="0" xfId="0" applyAlignment="1" applyBorder="1" applyFont="1">
      <alignment horizontal="center" shrinkToFit="0" vertical="center" wrapText="1"/>
    </xf>
    <xf borderId="7" fillId="0" fontId="7" numFmtId="0" xfId="0" applyAlignment="1" applyBorder="1" applyFont="1">
      <alignment horizontal="center" readingOrder="0" shrinkToFit="0" vertical="center" wrapText="1"/>
    </xf>
    <xf borderId="8" fillId="0" fontId="7" numFmtId="0" xfId="0" applyAlignment="1" applyBorder="1" applyFont="1">
      <alignment horizontal="center" readingOrder="0" shrinkToFit="0" vertical="center" wrapText="1"/>
    </xf>
    <xf borderId="8" fillId="0" fontId="7" numFmtId="0" xfId="0" applyAlignment="1" applyBorder="1" applyFont="1">
      <alignment horizontal="center" readingOrder="0" shrinkToFit="0" vertical="center" wrapText="1"/>
    </xf>
    <xf borderId="9" fillId="0" fontId="7" numFmtId="0" xfId="0" applyAlignment="1" applyBorder="1" applyFont="1">
      <alignment horizontal="center" shrinkToFit="0" vertical="center" wrapText="1"/>
    </xf>
    <xf borderId="8" fillId="0" fontId="7" numFmtId="0" xfId="0" applyAlignment="1" applyBorder="1" applyFont="1">
      <alignment horizontal="center" shrinkToFit="0" vertical="center" wrapText="1"/>
    </xf>
    <xf borderId="6" fillId="0" fontId="7" numFmtId="0" xfId="0" applyAlignment="1" applyBorder="1" applyFont="1">
      <alignment horizontal="center" readingOrder="0" shrinkToFit="0" vertical="center" wrapText="1"/>
    </xf>
    <xf borderId="4" fillId="0" fontId="7" numFmtId="0" xfId="0" applyAlignment="1" applyBorder="1" applyFont="1">
      <alignment horizontal="center" readingOrder="0" shrinkToFit="0" vertical="center" wrapText="1"/>
    </xf>
    <xf borderId="9" fillId="0" fontId="7" numFmtId="0" xfId="0" applyAlignment="1" applyBorder="1" applyFont="1">
      <alignment horizontal="center" readingOrder="0" shrinkToFit="0" vertical="center" wrapText="1"/>
    </xf>
    <xf borderId="4" fillId="0" fontId="7" numFmtId="0" xfId="0" applyAlignment="1" applyBorder="1" applyFont="1">
      <alignment horizontal="center" shrinkToFit="0" vertical="center" wrapText="1"/>
    </xf>
    <xf borderId="7" fillId="0" fontId="7" numFmtId="0" xfId="0" applyAlignment="1" applyBorder="1" applyFont="1">
      <alignment horizontal="center" shrinkToFit="0" vertical="center" wrapText="1"/>
    </xf>
    <xf borderId="16" fillId="0" fontId="7" numFmtId="0" xfId="0" applyAlignment="1" applyBorder="1" applyFont="1">
      <alignment horizontal="center" shrinkToFit="0" vertical="center" wrapText="1"/>
    </xf>
    <xf borderId="17" fillId="0" fontId="7" numFmtId="0" xfId="0" applyAlignment="1" applyBorder="1" applyFont="1">
      <alignment horizontal="center" shrinkToFit="0" vertical="center" wrapText="1"/>
    </xf>
    <xf borderId="18" fillId="0" fontId="7" numFmtId="0" xfId="0" applyAlignment="1" applyBorder="1" applyFont="1">
      <alignment horizontal="center" shrinkToFit="0" vertical="center" wrapText="1"/>
    </xf>
    <xf borderId="1" fillId="0" fontId="7" numFmtId="0" xfId="0" applyAlignment="1" applyBorder="1" applyFont="1">
      <alignment horizontal="center" readingOrder="0" shrinkToFit="0" vertical="center" wrapText="1"/>
    </xf>
    <xf borderId="2" fillId="0" fontId="7" numFmtId="0" xfId="0" applyAlignment="1" applyBorder="1" applyFont="1">
      <alignment horizontal="center" readingOrder="0" shrinkToFit="0" vertical="center" wrapText="1"/>
    </xf>
    <xf borderId="3" fillId="0" fontId="7" numFmtId="0" xfId="0" applyAlignment="1" applyBorder="1" applyFont="1">
      <alignment horizontal="center" readingOrder="0" shrinkToFit="0" vertical="center" wrapText="1"/>
    </xf>
    <xf borderId="6" fillId="0" fontId="7" numFmtId="0" xfId="0" applyAlignment="1" applyBorder="1" applyFont="1">
      <alignment horizontal="center" readingOrder="0" shrinkToFit="0" vertical="center" wrapText="1"/>
    </xf>
    <xf borderId="9" fillId="0" fontId="7" numFmtId="0" xfId="0" applyAlignment="1" applyBorder="1" applyFont="1">
      <alignment horizontal="center" shrinkToFit="0" vertical="center" wrapText="1"/>
    </xf>
    <xf borderId="9" fillId="0" fontId="7" numFmtId="0" xfId="0" applyAlignment="1" applyBorder="1" applyFont="1">
      <alignment horizontal="center" readingOrder="0" shrinkToFit="0" vertical="center" wrapText="1"/>
    </xf>
    <xf borderId="6" fillId="0" fontId="7" numFmtId="0" xfId="0" applyAlignment="1" applyBorder="1" applyFont="1">
      <alignment horizontal="center" shrinkToFit="0" vertical="center" wrapText="1"/>
    </xf>
    <xf borderId="18" fillId="0" fontId="7" numFmtId="0" xfId="0" applyAlignment="1" applyBorder="1" applyFont="1">
      <alignment horizontal="center" shrinkToFit="0" vertical="center" wrapText="1"/>
    </xf>
    <xf borderId="19" fillId="0" fontId="1" numFmtId="0" xfId="0" applyAlignment="1" applyBorder="1" applyFont="1">
      <alignment horizontal="center" readingOrder="0" shrinkToFit="0" vertical="center" wrapText="1"/>
    </xf>
    <xf borderId="19" fillId="0" fontId="1" numFmtId="49" xfId="0" applyAlignment="1" applyBorder="1" applyFont="1" applyNumberFormat="1">
      <alignment horizontal="center" readingOrder="0" shrinkToFit="0" vertical="center" wrapText="1"/>
    </xf>
    <xf borderId="19" fillId="0" fontId="1" numFmtId="0" xfId="0" applyAlignment="1" applyBorder="1" applyFont="1">
      <alignment horizontal="center" readingOrder="0" shrinkToFit="0" vertical="center" wrapText="1"/>
    </xf>
    <xf borderId="19" fillId="0" fontId="1" numFmtId="0" xfId="0" applyAlignment="1" applyBorder="1" applyFont="1">
      <alignment horizontal="center" shrinkToFit="0" vertical="center" wrapText="1"/>
    </xf>
    <xf borderId="19" fillId="2" fontId="11" numFmtId="0" xfId="0" applyAlignment="1" applyBorder="1" applyFont="1">
      <alignment horizontal="center" readingOrder="0" shrinkToFit="0" vertical="center" wrapText="0"/>
    </xf>
    <xf borderId="19" fillId="0" fontId="12" numFmtId="0" xfId="0" applyAlignment="1" applyBorder="1" applyFont="1">
      <alignment horizontal="center" readingOrder="0" shrinkToFit="0" vertical="center" wrapText="1"/>
    </xf>
    <xf borderId="19" fillId="0" fontId="13" numFmtId="0" xfId="0" applyAlignment="1" applyBorder="1" applyFont="1">
      <alignment horizontal="center" readingOrder="0" shrinkToFit="0" vertical="center" wrapText="1"/>
    </xf>
    <xf borderId="19" fillId="0" fontId="14" numFmtId="0" xfId="0" applyAlignment="1" applyBorder="1" applyFont="1">
      <alignment horizontal="center" shrinkToFit="0" vertical="bottom" wrapText="0"/>
    </xf>
    <xf borderId="19" fillId="0" fontId="14" numFmtId="0" xfId="0" applyAlignment="1" applyBorder="1" applyFont="1">
      <alignment horizontal="center" readingOrder="0" shrinkToFit="0" vertical="bottom" wrapText="0"/>
    </xf>
    <xf borderId="19" fillId="0" fontId="9" numFmtId="0" xfId="0" applyAlignment="1" applyBorder="1" applyFont="1">
      <alignment readingOrder="0" shrinkToFit="0" vertical="center" wrapText="0"/>
    </xf>
    <xf borderId="6" fillId="0" fontId="15" numFmtId="0" xfId="0" applyAlignment="1" applyBorder="1" applyFont="1">
      <alignment horizontal="center" shrinkToFit="0" vertical="center" wrapText="0"/>
    </xf>
    <xf borderId="20" fillId="0" fontId="16" numFmtId="0" xfId="0" applyAlignment="1" applyBorder="1" applyFont="1">
      <alignment horizontal="center" shrinkToFit="0" vertical="center" wrapText="0"/>
    </xf>
    <xf borderId="19" fillId="0" fontId="1" numFmtId="0" xfId="0" applyAlignment="1" applyBorder="1" applyFont="1">
      <alignment horizontal="center" shrinkToFit="0" vertical="center" wrapText="1"/>
    </xf>
    <xf borderId="19" fillId="0" fontId="1" numFmtId="0" xfId="0" applyAlignment="1" applyBorder="1" applyFont="1">
      <alignment horizontal="center" readingOrder="0" shrinkToFit="0" vertical="center" wrapText="1"/>
    </xf>
    <xf borderId="19" fillId="0" fontId="1" numFmtId="0" xfId="0" applyAlignment="1" applyBorder="1" applyFont="1">
      <alignment horizontal="center" readingOrder="0" shrinkToFit="0" vertical="center" wrapText="1"/>
    </xf>
    <xf borderId="20" fillId="0" fontId="17" numFmtId="0" xfId="0" applyAlignment="1" applyBorder="1" applyFont="1">
      <alignment horizontal="center" readingOrder="0" shrinkToFit="0" vertical="center" wrapText="0"/>
    </xf>
    <xf borderId="19" fillId="0" fontId="9" numFmtId="0" xfId="0" applyAlignment="1" applyBorder="1" applyFont="1">
      <alignment shrinkToFit="0" vertical="center" wrapText="0"/>
    </xf>
    <xf borderId="19" fillId="0" fontId="14" numFmtId="0" xfId="0" applyAlignment="1" applyBorder="1" applyFont="1">
      <alignment horizontal="center" shrinkToFit="0" vertical="center" wrapText="0"/>
    </xf>
    <xf borderId="21" fillId="0" fontId="14" numFmtId="0" xfId="0" applyAlignment="1" applyBorder="1" applyFont="1">
      <alignment horizontal="center" shrinkToFit="0" vertical="center" wrapText="0"/>
    </xf>
    <xf borderId="20" fillId="0" fontId="18" numFmtId="0" xfId="0" applyAlignment="1" applyBorder="1" applyFont="1">
      <alignment horizontal="center" shrinkToFit="0" vertical="center" wrapText="1"/>
    </xf>
    <xf borderId="19" fillId="0" fontId="19" numFmtId="0" xfId="0" applyAlignment="1" applyBorder="1" applyFont="1">
      <alignment horizontal="center" shrinkToFit="0" vertical="center" wrapText="0"/>
    </xf>
    <xf borderId="6" fillId="0" fontId="9" numFmtId="0" xfId="0" applyAlignment="1" applyBorder="1" applyFont="1">
      <alignment horizontal="center" shrinkToFit="0" vertical="center" wrapText="0"/>
    </xf>
    <xf borderId="19" fillId="2" fontId="20" numFmtId="0" xfId="0" applyAlignment="1" applyBorder="1" applyFont="1">
      <alignment horizontal="center" readingOrder="0" shrinkToFit="0" vertical="center" wrapText="0"/>
    </xf>
    <xf borderId="4" fillId="0" fontId="1" numFmtId="0" xfId="0" applyAlignment="1" applyBorder="1" applyFont="1">
      <alignment horizontal="center" readingOrder="0" shrinkToFit="0" vertical="center" wrapText="1"/>
    </xf>
    <xf borderId="5" fillId="0" fontId="1" numFmtId="0" xfId="0" applyAlignment="1" applyBorder="1" applyFont="1">
      <alignment horizontal="center" shrinkToFit="0" vertical="center" wrapText="1"/>
    </xf>
    <xf borderId="6" fillId="0" fontId="1" numFmtId="0" xfId="0" applyAlignment="1" applyBorder="1" applyFont="1">
      <alignment horizontal="center" shrinkToFit="0" vertical="center" wrapText="1"/>
    </xf>
    <xf borderId="22" fillId="0" fontId="1" numFmtId="0" xfId="0" applyAlignment="1" applyBorder="1" applyFont="1">
      <alignment horizontal="center" readingOrder="0" shrinkToFit="0" vertical="center" wrapText="1"/>
    </xf>
    <xf borderId="23" fillId="0" fontId="1" numFmtId="0" xfId="0" applyAlignment="1" applyBorder="1" applyFont="1">
      <alignment horizontal="center" shrinkToFit="0" vertical="center" wrapText="1"/>
    </xf>
    <xf borderId="20" fillId="0" fontId="1" numFmtId="0" xfId="0" applyAlignment="1" applyBorder="1" applyFont="1">
      <alignment horizontal="center" shrinkToFit="0" vertical="center" wrapText="1"/>
    </xf>
    <xf borderId="24" fillId="0" fontId="1" numFmtId="0" xfId="0" applyAlignment="1" applyBorder="1" applyFont="1">
      <alignment horizontal="center" readingOrder="0" shrinkToFit="0" vertical="center" wrapText="1"/>
    </xf>
    <xf borderId="25" fillId="0" fontId="1" numFmtId="0" xfId="0" applyAlignment="1" applyBorder="1" applyFont="1">
      <alignment horizontal="center" shrinkToFit="0" vertical="center" wrapText="1"/>
    </xf>
    <xf borderId="26" fillId="0" fontId="1" numFmtId="0" xfId="0" applyAlignment="1" applyBorder="1" applyFont="1">
      <alignment horizontal="center" shrinkToFit="0" vertical="center" wrapText="1"/>
    </xf>
    <xf borderId="0" fillId="0" fontId="7" numFmtId="49" xfId="0" applyAlignment="1" applyFont="1" applyNumberFormat="1">
      <alignment horizontal="center" readingOrder="0" shrinkToFit="0" vertical="center" wrapText="1"/>
    </xf>
    <xf borderId="0" fillId="0" fontId="7" numFmtId="49" xfId="0" applyAlignment="1" applyFont="1" applyNumberFormat="1">
      <alignment horizontal="center" shrinkToFit="0" vertical="center" wrapText="1"/>
    </xf>
    <xf borderId="0" fillId="0" fontId="9" numFmtId="0" xfId="0" applyAlignment="1" applyFont="1">
      <alignment horizontal="center" shrinkToFit="0" vertical="center" wrapText="1"/>
    </xf>
    <xf borderId="0" fillId="0" fontId="7" numFmtId="49" xfId="0" applyAlignment="1" applyFont="1" applyNumberFormat="1">
      <alignment horizontal="center" readingOrder="0" shrinkToFit="0" vertical="center" wrapText="1"/>
    </xf>
    <xf borderId="0" fillId="0" fontId="9" numFmtId="0" xfId="0" applyAlignment="1" applyFont="1">
      <alignment horizontal="center" readingOrder="0" shrinkToFit="0" vertical="center" wrapText="1"/>
    </xf>
    <xf borderId="1" fillId="0" fontId="5" numFmtId="0" xfId="0" applyAlignment="1" applyBorder="1" applyFont="1">
      <alignment horizontal="center" readingOrder="0" shrinkToFit="0" vertical="center" wrapText="1"/>
    </xf>
    <xf borderId="2" fillId="0" fontId="5" numFmtId="0" xfId="0" applyAlignment="1" applyBorder="1" applyFont="1">
      <alignment horizontal="center" readingOrder="0" shrinkToFit="0" vertical="center" wrapText="1"/>
    </xf>
    <xf borderId="2" fillId="0" fontId="5" numFmtId="49" xfId="0" applyAlignment="1" applyBorder="1" applyFont="1" applyNumberFormat="1">
      <alignment horizontal="center" readingOrder="0" shrinkToFit="0" vertical="center" wrapText="1"/>
    </xf>
    <xf borderId="2" fillId="0" fontId="5" numFmtId="49" xfId="0" applyAlignment="1" applyBorder="1" applyFont="1" applyNumberFormat="1">
      <alignment horizontal="center" readingOrder="0" shrinkToFit="0" vertical="center" wrapText="1"/>
    </xf>
    <xf borderId="2" fillId="0" fontId="5" numFmtId="0" xfId="0" applyAlignment="1" applyBorder="1" applyFont="1">
      <alignment horizontal="center" readingOrder="0" shrinkToFit="0" vertical="center" wrapText="1"/>
    </xf>
    <xf borderId="2" fillId="0" fontId="5" numFmtId="0" xfId="0" applyAlignment="1" applyBorder="1" applyFont="1">
      <alignment horizontal="center" readingOrder="0" shrinkToFit="0" vertical="center" wrapText="1"/>
    </xf>
    <xf borderId="3" fillId="0" fontId="5" numFmtId="0" xfId="0" applyAlignment="1" applyBorder="1" applyFont="1">
      <alignment horizontal="center" readingOrder="0" shrinkToFit="0" vertical="center" wrapText="1"/>
    </xf>
    <xf borderId="4" fillId="0" fontId="5" numFmtId="0" xfId="0" applyAlignment="1" applyBorder="1" applyFont="1">
      <alignment horizontal="center" readingOrder="0" shrinkToFit="0" vertical="center" wrapText="1"/>
    </xf>
    <xf borderId="5" fillId="0" fontId="5" numFmtId="0" xfId="0" applyAlignment="1" applyBorder="1" applyFont="1">
      <alignment horizontal="center" shrinkToFit="0" vertical="center" wrapText="1"/>
    </xf>
    <xf borderId="5" fillId="0" fontId="5" numFmtId="49" xfId="0" applyAlignment="1" applyBorder="1" applyFont="1" applyNumberFormat="1">
      <alignment horizontal="center" shrinkToFit="0" vertical="center" wrapText="1"/>
    </xf>
    <xf borderId="5" fillId="0" fontId="5" numFmtId="0" xfId="0" applyAlignment="1" applyBorder="1" applyFont="1">
      <alignment horizontal="center" shrinkToFit="0" vertical="center" wrapText="1"/>
    </xf>
    <xf borderId="5" fillId="0" fontId="5" numFmtId="0" xfId="0" applyAlignment="1" applyBorder="1" applyFont="1">
      <alignment horizontal="center" readingOrder="0" shrinkToFit="0" vertical="center" wrapText="1"/>
    </xf>
    <xf borderId="5" fillId="0" fontId="5" numFmtId="0" xfId="0" applyAlignment="1" applyBorder="1" applyFont="1">
      <alignment horizontal="center" shrinkToFit="0" vertical="center" wrapText="1"/>
    </xf>
    <xf borderId="5" fillId="0" fontId="21" numFmtId="0" xfId="0" applyAlignment="1" applyBorder="1" applyFont="1">
      <alignment horizontal="center" shrinkToFit="0" vertical="center" wrapText="1"/>
    </xf>
    <xf borderId="5" fillId="0" fontId="5" numFmtId="0" xfId="0" applyAlignment="1" applyBorder="1" applyFont="1">
      <alignment horizontal="center" readingOrder="0" shrinkToFit="0" vertical="center" wrapText="1"/>
    </xf>
    <xf borderId="6" fillId="0" fontId="5" numFmtId="0" xfId="0" applyAlignment="1" applyBorder="1" applyFont="1">
      <alignment horizontal="center" shrinkToFit="0" vertical="center" wrapText="1"/>
    </xf>
    <xf borderId="7" fillId="0" fontId="5" numFmtId="0" xfId="0" applyAlignment="1" applyBorder="1" applyFont="1">
      <alignment horizontal="center" readingOrder="0" shrinkToFit="0" vertical="center" wrapText="1"/>
    </xf>
    <xf borderId="8" fillId="0" fontId="5" numFmtId="0" xfId="0" applyAlignment="1" applyBorder="1" applyFont="1">
      <alignment horizontal="center" shrinkToFit="0" vertical="center" wrapText="1"/>
    </xf>
    <xf borderId="8" fillId="0" fontId="5" numFmtId="49" xfId="0" applyAlignment="1" applyBorder="1" applyFont="1" applyNumberFormat="1">
      <alignment horizontal="center" shrinkToFit="0" vertical="center" wrapText="1"/>
    </xf>
    <xf borderId="8" fillId="0" fontId="5" numFmtId="0" xfId="0" applyAlignment="1" applyBorder="1" applyFont="1">
      <alignment horizontal="center" shrinkToFit="0" vertical="center" wrapText="1"/>
    </xf>
    <xf borderId="8" fillId="0" fontId="5" numFmtId="0" xfId="0" applyAlignment="1" applyBorder="1" applyFont="1">
      <alignment horizontal="center" readingOrder="0" shrinkToFit="0" vertical="center" wrapText="1"/>
    </xf>
    <xf borderId="8" fillId="0" fontId="5" numFmtId="0" xfId="0" applyAlignment="1" applyBorder="1" applyFont="1">
      <alignment horizontal="center" shrinkToFit="0" vertical="center" wrapText="1"/>
    </xf>
    <xf borderId="8" fillId="0" fontId="5" numFmtId="0" xfId="0" applyAlignment="1" applyBorder="1" applyFont="1">
      <alignment horizontal="center" readingOrder="0" shrinkToFit="0" vertical="center" wrapText="1"/>
    </xf>
    <xf borderId="9" fillId="0" fontId="5" numFmtId="0" xfId="0" applyAlignment="1" applyBorder="1" applyFont="1">
      <alignment horizontal="center" shrinkToFit="0" vertical="center" wrapText="1"/>
    </xf>
    <xf borderId="8" fillId="0" fontId="22" numFmtId="0" xfId="0" applyAlignment="1" applyBorder="1" applyFont="1">
      <alignment horizontal="center" shrinkToFit="0" vertical="center" wrapText="1"/>
    </xf>
    <xf borderId="8" fillId="0" fontId="5" numFmtId="49" xfId="0" applyAlignment="1" applyBorder="1" applyFont="1" applyNumberFormat="1">
      <alignment horizontal="center" readingOrder="0" shrinkToFit="0" vertical="center" wrapText="1"/>
    </xf>
    <xf borderId="5" fillId="0" fontId="5" numFmtId="49" xfId="0" applyAlignment="1" applyBorder="1" applyFont="1" applyNumberFormat="1">
      <alignment horizontal="center" readingOrder="0" shrinkToFit="0" vertical="center" wrapText="1"/>
    </xf>
    <xf borderId="5" fillId="0" fontId="5" numFmtId="0" xfId="0" applyAlignment="1" applyBorder="1" applyFont="1">
      <alignment horizontal="center" readingOrder="0" shrinkToFit="0" vertical="center" wrapText="1"/>
    </xf>
    <xf borderId="8" fillId="0" fontId="5" numFmtId="0" xfId="0" applyAlignment="1" applyBorder="1" applyFont="1">
      <alignment horizontal="center" readingOrder="0" shrinkToFit="0" vertical="center" wrapText="1"/>
    </xf>
    <xf borderId="8" fillId="0" fontId="5" numFmtId="0" xfId="0" applyAlignment="1" applyBorder="1" applyFont="1">
      <alignment horizontal="center" readingOrder="0" shrinkToFit="0" vertical="center" wrapText="1"/>
    </xf>
    <xf borderId="8" fillId="0" fontId="5" numFmtId="49" xfId="0" applyAlignment="1" applyBorder="1" applyFont="1" applyNumberFormat="1">
      <alignment horizontal="center" readingOrder="0" shrinkToFit="0" vertical="center" wrapText="1"/>
    </xf>
    <xf borderId="9" fillId="0" fontId="5" numFmtId="0" xfId="0" applyAlignment="1" applyBorder="1" applyFont="1">
      <alignment horizontal="center" shrinkToFit="0" vertical="center" wrapText="1"/>
    </xf>
    <xf borderId="5" fillId="0" fontId="5" numFmtId="49" xfId="0" applyAlignment="1" applyBorder="1" applyFont="1" applyNumberFormat="1">
      <alignment horizontal="center" readingOrder="0" shrinkToFit="0" vertical="center" wrapText="1"/>
    </xf>
    <xf borderId="6" fillId="0" fontId="5" numFmtId="0" xfId="0" applyAlignment="1" applyBorder="1" applyFont="1">
      <alignment horizontal="center" shrinkToFit="0" vertical="center" wrapText="1"/>
    </xf>
    <xf quotePrefix="1" borderId="5" fillId="0" fontId="5" numFmtId="49" xfId="0" applyAlignment="1" applyBorder="1" applyFont="1" applyNumberFormat="1">
      <alignment horizontal="center" shrinkToFit="0" vertical="center" wrapText="1"/>
    </xf>
    <xf quotePrefix="1" borderId="8" fillId="0" fontId="5" numFmtId="49" xfId="0" applyAlignment="1" applyBorder="1" applyFont="1" applyNumberFormat="1">
      <alignment horizontal="center" shrinkToFit="0" vertical="center" wrapText="1"/>
    </xf>
    <xf borderId="5" fillId="0" fontId="5" numFmtId="0" xfId="0" applyAlignment="1" applyBorder="1" applyFont="1">
      <alignment horizontal="center" readingOrder="0" shrinkToFit="0" vertical="center" wrapText="1"/>
    </xf>
    <xf borderId="6" fillId="0" fontId="5" numFmtId="0" xfId="0" applyAlignment="1" applyBorder="1" applyFont="1">
      <alignment horizontal="center" shrinkToFit="0" vertical="center" wrapText="1"/>
    </xf>
    <xf borderId="9" fillId="0" fontId="5" numFmtId="0" xfId="0" applyAlignment="1" applyBorder="1" applyFont="1">
      <alignment horizontal="center" shrinkToFit="0" vertical="center" wrapText="1"/>
    </xf>
    <xf borderId="5" fillId="0" fontId="23" numFmtId="49" xfId="0" applyAlignment="1" applyBorder="1" applyFont="1" applyNumberFormat="1">
      <alignment horizontal="center" readingOrder="0" shrinkToFit="0" vertical="center" wrapText="1"/>
    </xf>
    <xf borderId="8" fillId="0" fontId="24" numFmtId="49" xfId="0" applyAlignment="1" applyBorder="1" applyFont="1" applyNumberFormat="1">
      <alignment horizontal="center" readingOrder="0" shrinkToFit="0" vertical="center" wrapText="1"/>
    </xf>
    <xf borderId="9" fillId="0" fontId="5" numFmtId="0" xfId="0" applyAlignment="1" applyBorder="1" applyFont="1">
      <alignment horizontal="center" readingOrder="0" shrinkToFit="0" vertical="center" wrapText="1"/>
    </xf>
    <xf borderId="0" fillId="0" fontId="5" numFmtId="49" xfId="0" applyAlignment="1" applyFont="1" applyNumberFormat="1">
      <alignment horizontal="center" shrinkToFit="0" vertical="center" wrapText="1"/>
    </xf>
    <xf borderId="10" fillId="0" fontId="5" numFmtId="0" xfId="0" applyAlignment="1" applyBorder="1" applyFont="1">
      <alignment horizontal="center" readingOrder="0" shrinkToFit="0" vertical="center" wrapText="1"/>
    </xf>
    <xf borderId="11" fillId="0" fontId="5" numFmtId="0" xfId="0" applyAlignment="1" applyBorder="1" applyFont="1">
      <alignment horizontal="center" shrinkToFit="0" vertical="center" wrapText="1"/>
    </xf>
    <xf borderId="11" fillId="0" fontId="5" numFmtId="49" xfId="0" applyAlignment="1" applyBorder="1" applyFont="1" applyNumberFormat="1">
      <alignment horizontal="center" shrinkToFit="0" vertical="center" wrapText="1"/>
    </xf>
    <xf borderId="11" fillId="0" fontId="5" numFmtId="0" xfId="0" applyAlignment="1" applyBorder="1" applyFont="1">
      <alignment horizontal="center" readingOrder="0" shrinkToFit="0" vertical="center" wrapText="1"/>
    </xf>
    <xf borderId="11" fillId="0" fontId="5" numFmtId="0" xfId="0" applyAlignment="1" applyBorder="1" applyFont="1">
      <alignment horizontal="center" readingOrder="0" shrinkToFit="0" vertical="center" wrapText="1"/>
    </xf>
    <xf borderId="12" fillId="0" fontId="5" numFmtId="0" xfId="0" applyAlignment="1" applyBorder="1" applyFont="1">
      <alignment horizontal="center" shrinkToFit="0" vertical="center" wrapText="1"/>
    </xf>
    <xf borderId="0" fillId="0" fontId="4" numFmtId="0" xfId="0" applyAlignment="1" applyFont="1">
      <alignment horizontal="center" shrinkToFit="0" wrapText="1"/>
    </xf>
    <xf borderId="0" fillId="0" fontId="9" numFmtId="0" xfId="0" applyFont="1"/>
    <xf borderId="0" fillId="0" fontId="4" numFmtId="49" xfId="0" applyAlignment="1" applyFont="1" applyNumberFormat="1">
      <alignment horizontal="center" shrinkToFit="0" wrapText="1"/>
    </xf>
    <xf quotePrefix="1" borderId="0" fillId="0" fontId="4" numFmtId="49" xfId="0" applyAlignment="1" applyFont="1" applyNumberFormat="1">
      <alignment horizontal="center" shrinkToFit="0" wrapText="1"/>
    </xf>
    <xf borderId="0" fillId="0" fontId="4" numFmtId="0" xfId="0" applyAlignment="1" applyFont="1">
      <alignment horizontal="center"/>
    </xf>
    <xf quotePrefix="1" borderId="0" fillId="0" fontId="4" numFmtId="0" xfId="0" applyAlignment="1" applyFont="1">
      <alignment horizontal="center"/>
    </xf>
    <xf quotePrefix="1" borderId="0" fillId="0" fontId="4" numFmtId="0" xfId="0" applyAlignment="1" applyFont="1">
      <alignment vertical="bottom"/>
    </xf>
    <xf borderId="0" fillId="0" fontId="25" numFmtId="0" xfId="0" applyAlignment="1" applyFont="1">
      <alignment horizontal="center" vertical="center"/>
    </xf>
    <xf borderId="0" fillId="0" fontId="9" numFmtId="0" xfId="0" applyAlignment="1" applyFont="1">
      <alignment horizontal="center" vertical="center"/>
    </xf>
    <xf borderId="0" fillId="0" fontId="9" numFmtId="0" xfId="0" applyAlignment="1" applyFont="1">
      <alignment horizontal="center" readingOrder="0" vertical="center"/>
    </xf>
    <xf borderId="0" fillId="0" fontId="7" numFmtId="0" xfId="0" applyAlignment="1" applyFont="1">
      <alignment horizontal="center" vertical="center"/>
    </xf>
    <xf borderId="0" fillId="0" fontId="9" numFmtId="49" xfId="0" applyAlignment="1" applyFont="1" applyNumberFormat="1">
      <alignment horizontal="center" vertical="center"/>
    </xf>
    <xf borderId="0" fillId="0" fontId="9" numFmtId="0" xfId="0" applyAlignment="1" applyFont="1">
      <alignment readingOrder="0"/>
    </xf>
    <xf borderId="0" fillId="0" fontId="8" numFmtId="0" xfId="0" applyAlignment="1" applyFont="1">
      <alignment readingOrder="0"/>
    </xf>
    <xf borderId="0" fillId="0" fontId="8" numFmtId="0" xfId="0" applyAlignment="1" applyFont="1">
      <alignment horizontal="right" readingOrder="0"/>
    </xf>
  </cellXfs>
  <cellStyles count="1">
    <cellStyle xfId="0" name="Normal" builtinId="0"/>
  </cellStyles>
  <dxfs count="6">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
      <font/>
      <fill>
        <patternFill patternType="solid">
          <fgColor rgb="FFCDD9D4"/>
          <bgColor rgb="FFCDD9D4"/>
        </patternFill>
      </fill>
      <border/>
    </dxf>
    <dxf>
      <font/>
      <fill>
        <patternFill patternType="solid">
          <fgColor rgb="FFF8F9FA"/>
          <bgColor rgb="FFF8F9FA"/>
        </patternFill>
      </fill>
      <border/>
    </dxf>
  </dxfs>
  <tableStyles count="7">
    <tableStyle count="3" pivot="0" name="دوره-style">
      <tableStyleElement dxfId="1" type="headerRow"/>
      <tableStyleElement dxfId="2" type="firstRowStripe"/>
      <tableStyleElement dxfId="3" type="secondRowStripe"/>
    </tableStyle>
    <tableStyle count="4" pivot="0" name="گفت‌وگوی تحول-style">
      <tableStyleElement dxfId="1" type="headerRow"/>
      <tableStyleElement dxfId="2" type="firstRowStripe"/>
      <tableStyleElement dxfId="3" type="secondRowStripe"/>
      <tableStyleElement dxfId="4" type="totalRow"/>
    </tableStyle>
    <tableStyle count="3" pivot="0" name="تیم اجرایی-style">
      <tableStyleElement dxfId="1" type="headerRow"/>
      <tableStyleElement dxfId="2" type="firstRowStripe"/>
      <tableStyleElement dxfId="3" type="secondRowStripe"/>
    </tableStyle>
    <tableStyle count="3" pivot="0" name="شرکت‌ها-style">
      <tableStyleElement dxfId="1" type="headerRow"/>
      <tableStyleElement dxfId="2" type="firstRowStripe"/>
      <tableStyleElement dxfId="3" type="secondRowStripe"/>
    </tableStyle>
    <tableStyle count="3" pivot="0" name="waiting list-style">
      <tableStyleElement dxfId="1" type="headerRow"/>
      <tableStyleElement dxfId="2" type="firstRowStripe"/>
      <tableStyleElement dxfId="3" type="secondRowStripe"/>
    </tableStyle>
    <tableStyle count="3" pivot="0" name="سالن‌ها-style">
      <tableStyleElement dxfId="1" type="headerRow"/>
      <tableStyleElement dxfId="2" type="firstRowStripe"/>
      <tableStyleElement dxfId="5" type="secondRowStripe"/>
    </tableStyle>
    <tableStyle count="3" pivot="0" name="تجربه‌گرها-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Q1009" displayName="Table2" name="Table2" id="1">
  <tableColumns count="17">
    <tableColumn name="شماره دوره" id="1"/>
    <tableColumn name="نام دوره" id="2"/>
    <tableColumn name="زیر عنوان" id="3"/>
    <tableColumn name="تاریخ" id="4"/>
    <tableColumn name="محل برگزاری" id="5"/>
    <tableColumn name="تعداد شرکت کننده مورد انتظار" id="6"/>
    <tableColumn name="تعداد شرکت کننده" id="7"/>
    <tableColumn name="تجربه‌سازان" id="8"/>
    <tableColumn name="روز و ساعات دوره" id="9"/>
    <tableColumn name="بانی" id="10"/>
    <tableColumn name="قیمت" id="11"/>
    <tableColumn name="تحقق دوره مورد انتظار" id="12"/>
    <tableColumn name="تخقق دوره" id="13"/>
    <tableColumn name="تعداد انصرافی" id="14"/>
    <tableColumn name="ارزیابی میزبانی" id="15"/>
    <tableColumn name="ارزیابی تجربه‌سازی" id="16"/>
    <tableColumn name="ارزیابی روایت" id="17"/>
  </tableColumns>
  <tableStyleInfo name="دوره-style" showColumnStripes="0" showFirstColumn="1" showLastColumn="1" showRowStripes="1"/>
</table>
</file>

<file path=xl/tables/table2.xml><?xml version="1.0" encoding="utf-8"?>
<table xmlns="http://schemas.openxmlformats.org/spreadsheetml/2006/main" ref="A3:C19" displayName="Table3" name="Table3" id="2">
  <tableColumns count="3">
    <tableColumn name="نام و نام خانوادگی" id="1"/>
    <tableColumn name="رابط" id="2"/>
    <tableColumn name="14030204" id="3"/>
  </tableColumns>
  <tableStyleInfo name="گفت‌وگوی تحول-style" showColumnStripes="0" showFirstColumn="1" showLastColumn="1" showRowStripes="1"/>
</table>
</file>

<file path=xl/tables/table3.xml><?xml version="1.0" encoding="utf-8"?>
<table xmlns="http://schemas.openxmlformats.org/spreadsheetml/2006/main" ref="U3:W17" displayName="Table6" name="Table6" id="3">
  <tableColumns count="3">
    <tableColumn name="نام" id="1"/>
    <tableColumn name="اطلاعات تماس" id="2"/>
    <tableColumn name="استان" id="3"/>
  </tableColumns>
  <tableStyleInfo name="تیم اجرایی-style" showColumnStripes="0" showFirstColumn="1" showLastColumn="1" showRowStripes="1"/>
</table>
</file>

<file path=xl/tables/table4.xml><?xml version="1.0" encoding="utf-8"?>
<table xmlns="http://schemas.openxmlformats.org/spreadsheetml/2006/main" ref="A1:E1000" displayName="Table4" name="Table4" id="4">
  <tableColumns count="5">
    <tableColumn name="اسم شرکت" id="1"/>
    <tableColumn name="رابط نشا" id="2"/>
    <tableColumn name="نام رابط سازمان" id="3"/>
    <tableColumn name="شماره رابط سازمان" id="4"/>
    <tableColumn name="توضیحات رابط" id="5"/>
  </tableColumns>
  <tableStyleInfo name="شرکت‌ها-style" showColumnStripes="0" showFirstColumn="1" showLastColumn="1" showRowStripes="1"/>
</table>
</file>

<file path=xl/tables/table5.xml><?xml version="1.0" encoding="utf-8"?>
<table xmlns="http://schemas.openxmlformats.org/spreadsheetml/2006/main" ref="A1:F1000" displayName="Table5" name="Table5" id="5">
  <tableColumns count="6">
    <tableColumn name="نام و نام خانوادگی" id="1"/>
    <tableColumn name="تلفن" id="2"/>
    <tableColumn name="معرف" id="3"/>
    <tableColumn name="دوره مورد نظر" id="4"/>
    <tableColumn name="شهر" id="5"/>
    <tableColumn name="توضیحات" id="6"/>
  </tableColumns>
  <tableStyleInfo name="waiting list-style" showColumnStripes="0" showFirstColumn="1" showLastColumn="1" showRowStripes="1"/>
</table>
</file>

<file path=xl/tables/table6.xml><?xml version="1.0" encoding="utf-8"?>
<table xmlns="http://schemas.openxmlformats.org/spreadsheetml/2006/main" ref="A1:R1017" displayName="Table1" name="Table1" id="6">
  <autoFilter ref="$A$1:$R$1017"/>
  <tableColumns count="18">
    <tableColumn name="عنوان " id="1"/>
    <tableColumn name="سالن" id="2"/>
    <tableColumn name="نشانی" id="3"/>
    <tableColumn name="مجوز" id="4"/>
    <tableColumn name="ظرفیت" id="5"/>
    <tableColumn name="قیمت نیم روز" id="6"/>
    <tableColumn name="قیمت تمام روز" id="7"/>
    <tableColumn name="زمان قابل رزرو" id="8"/>
    <tableColumn name="هزینه پذیرایی" id="9"/>
    <tableColumn name="هزینه فضای پذیرایی" id="10"/>
    <tableColumn name="امکان کترینگ" id="11"/>
    <tableColumn name="امکان و هزینه پارکینگ" id="12"/>
    <tableColumn name="هزینه فضای جانبی" id="13"/>
    <tableColumn name="رابط" id="14"/>
    <tableColumn name="شماره تماس" id="15"/>
    <tableColumn name="توضیحات" id="16"/>
    <tableColumn name="سایر امکانات جانبی" id="17"/>
    <tableColumn name="لینک تصاویر سالن" id="18"/>
  </tableColumns>
  <tableStyleInfo name="سالن‌ها-style" showColumnStripes="0" showFirstColumn="1" showLastColumn="1" showRowStripes="1"/>
</table>
</file>

<file path=xl/tables/table7.xml><?xml version="1.0" encoding="utf-8"?>
<table xmlns="http://schemas.openxmlformats.org/spreadsheetml/2006/main" ref="A1:Q2049" displayName="Table7" name="Table7" id="7">
  <tableColumns count="17">
    <tableColumn name="id" id="1"/>
    <tableColumn name="نام و نام خانوادگی" id="2"/>
    <tableColumn name="موبایل" id="3"/>
    <tableColumn name="fixed phone" id="4"/>
    <tableColumn name="نام دوره" id="5"/>
    <tableColumn name="شماره دوره" id="6"/>
    <tableColumn name="جنسیت" id="7"/>
    <tableColumn name="ایمیل" id="8"/>
    <tableColumn name="آی‌دی تلگرام" id="9"/>
    <tableColumn name="کد ملی" id="10"/>
    <tableColumn name="نام" id="11"/>
    <tableColumn name="نام‌خانوادگی" id="12"/>
    <tableColumn name="Name" id="13"/>
    <tableColumn name="Surname" id="14"/>
    <tableColumn name="کانال ثبت‌نام" id="15"/>
    <tableColumn name="معرف" id="16"/>
    <tableColumn name="وضعیت" id="17"/>
  </tableColumns>
  <tableStyleInfo name="تجربه‌گرها-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0" Type="http://schemas.openxmlformats.org/officeDocument/2006/relationships/hyperlink" Target="mailto:dr.hashem.kiani@gmail.com" TargetMode="External"/><Relationship Id="rId11" Type="http://schemas.openxmlformats.org/officeDocument/2006/relationships/hyperlink" Target="mailto:mari.seyedhossein@gmail.com" TargetMode="External"/><Relationship Id="rId10" Type="http://schemas.openxmlformats.org/officeDocument/2006/relationships/hyperlink" Target="mailto:Mehran.mikaeili93@gmail.com" TargetMode="External"/><Relationship Id="rId21" Type="http://schemas.openxmlformats.org/officeDocument/2006/relationships/drawing" Target="../drawings/drawing3.xml"/><Relationship Id="rId13" Type="http://schemas.openxmlformats.org/officeDocument/2006/relationships/hyperlink" Target="mailto:mahmood71kashef@gmail.com" TargetMode="External"/><Relationship Id="rId12" Type="http://schemas.openxmlformats.org/officeDocument/2006/relationships/hyperlink" Target="mailto:Maryjavide@gmail.com" TargetMode="External"/><Relationship Id="rId23" Type="http://schemas.openxmlformats.org/officeDocument/2006/relationships/table" Target="../tables/table3.xml"/><Relationship Id="rId1" Type="http://schemas.openxmlformats.org/officeDocument/2006/relationships/hyperlink" Target="mailto:Arminakhabbazan28@gmail.com" TargetMode="External"/><Relationship Id="rId2" Type="http://schemas.openxmlformats.org/officeDocument/2006/relationships/hyperlink" Target="mailto:Azade.hormozi90@gmail.com" TargetMode="External"/><Relationship Id="rId3" Type="http://schemas.openxmlformats.org/officeDocument/2006/relationships/hyperlink" Target="mailto:Amirhossein.rzd@gmail.com" TargetMode="External"/><Relationship Id="rId4" Type="http://schemas.openxmlformats.org/officeDocument/2006/relationships/hyperlink" Target="mailto:behnamkabiri2003@gmail.com" TargetMode="External"/><Relationship Id="rId9" Type="http://schemas.openxmlformats.org/officeDocument/2006/relationships/hyperlink" Target="mailto:Farzad8160@gmail.com" TargetMode="External"/><Relationship Id="rId15" Type="http://schemas.openxmlformats.org/officeDocument/2006/relationships/hyperlink" Target="mailto:Moosavinasab2020@gmail.com" TargetMode="External"/><Relationship Id="rId14" Type="http://schemas.openxmlformats.org/officeDocument/2006/relationships/hyperlink" Target="mailto:me@OkBayat.com" TargetMode="External"/><Relationship Id="rId17" Type="http://schemas.openxmlformats.org/officeDocument/2006/relationships/hyperlink" Target="mailto:nastaran.nmt@gmail.com" TargetMode="External"/><Relationship Id="rId16" Type="http://schemas.openxmlformats.org/officeDocument/2006/relationships/hyperlink" Target="mailto:malekmohammadi@yahoo.com" TargetMode="External"/><Relationship Id="rId5" Type="http://schemas.openxmlformats.org/officeDocument/2006/relationships/hyperlink" Target="mailto:s.hami.mousavi63@gmail.com" TargetMode="External"/><Relationship Id="rId19" Type="http://schemas.openxmlformats.org/officeDocument/2006/relationships/hyperlink" Target="mailto:nimacbehrang@gmail.com" TargetMode="External"/><Relationship Id="rId6" Type="http://schemas.openxmlformats.org/officeDocument/2006/relationships/hyperlink" Target="mailto:s96.safari@gmail.com" TargetMode="External"/><Relationship Id="rId18" Type="http://schemas.openxmlformats.org/officeDocument/2006/relationships/hyperlink" Target="mailto:nmanouchehri11@gmail.com" TargetMode="External"/><Relationship Id="rId7" Type="http://schemas.openxmlformats.org/officeDocument/2006/relationships/hyperlink" Target="mailto:setareh.niknezhad@gmail.com" TargetMode="External"/><Relationship Id="rId8" Type="http://schemas.openxmlformats.org/officeDocument/2006/relationships/hyperlink" Target="mailto:Atajedari@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1" Type="http://schemas.openxmlformats.org/officeDocument/2006/relationships/hyperlink" Target="https://management.ut.ac.ir/fa/page/11357/%D8%AA%D8%B5%D8%A7%D9%88%DB%8C%D8%B1-%D8%B3%D8%A7%D9%84%D9%86-%D9%87%D9%85%D8%A7%DB%8C%D8%B4" TargetMode="External"/><Relationship Id="rId10" Type="http://schemas.openxmlformats.org/officeDocument/2006/relationships/hyperlink" Target="https://www.electrovision.ir/Portfolio/%D8%B3%D8%A7%D9%84%D9%86-%DA%A9%D9%86%D9%81%D8%B1%D8%A7%D9%86%D8%B3-%D8%AF%D8%A7%D9%86%D8%B4%DA%A9%D8%AF%D9%87-%D8%A7%D9%82%D8%AA%D8%B5%D8%A7%D8%AF-%D8%AF%D8%A7%D9%86%D8%B4%DA%AF%D8%A7%D9%87-%D8%AA/" TargetMode="External"/><Relationship Id="rId13" Type="http://schemas.openxmlformats.org/officeDocument/2006/relationships/hyperlink" Target="https://www.mech.sharif.ir/halls" TargetMode="External"/><Relationship Id="rId12" Type="http://schemas.openxmlformats.org/officeDocument/2006/relationships/hyperlink" Target="https://dentistry.tums.ac.ir/news/%D8%AA%D8%A7%D9%85%D8%B2%D9%84%D8%A7%DB%8C%D9%81:-%D8%B3%D8%A7%D9%84%D9%86-%D9%87%D9%85%D8%A7%DB%8C%D8%B4%E2%80%8C%D9%87%D8%A7%DB%8C-%D8%AF%D8%A7%D9%86%D8%B4%DA%A9%D8%AF%D9%87-%D8%AF%D9%86%D8%AF%D8%A7%D9%86%D9%BE%D8%B2%D8%B4%DA%A9%DB%8C-%D8%AF%D8%A7%D9%86%D8%B4%DA%AF%D8%A7%D9%87-%D8%B9%D9%84%D9%88%D9%85-%D9%BE%D8%B2%D8%B4%DA%A9%DB%8C-%D8%AA%D9%87%D8%B1%D8%A7%D9%86%D8%9B-%D9%81%D8%B6%D8%A7%DB%8C%DB%8C-%D9%85%D8%AC%D9%87%D8%B2-%D8%A8%D8%B1%D8%A7%DB%8C-%D8%B1%D9%88%DB%8C%D8%AF%D8%A7%D8%AF%D9%87%D8%A7%DB%8C-%D8%B9%D9%84%D9%85%DB%8C-%D9%88-%D8%AA%D8%AE%D8%B5%D8%B5%DB%8C" TargetMode="External"/><Relationship Id="rId1" Type="http://schemas.openxmlformats.org/officeDocument/2006/relationships/hyperlink" Target="https://salonyab.evand.com/" TargetMode="External"/><Relationship Id="rId2" Type="http://schemas.openxmlformats.org/officeDocument/2006/relationships/hyperlink" Target="https://salonetgroup.com/spaces?j=jj" TargetMode="External"/><Relationship Id="rId3" Type="http://schemas.openxmlformats.org/officeDocument/2006/relationships/hyperlink" Target="https://www.alaedin.travel/event-halls" TargetMode="External"/><Relationship Id="rId4" Type="http://schemas.openxmlformats.org/officeDocument/2006/relationships/hyperlink" Target="https://salamherfei.com/conference-centers/" TargetMode="External"/><Relationship Id="rId9" Type="http://schemas.openxmlformats.org/officeDocument/2006/relationships/hyperlink" Target="https://library.ut.ac.ir/fa/page/10893/%D8%B3%D8%A7%D9%84%D9%86%D9%87%D8%A7%DB%8C-%D9%87%D9%85%D8%A7%DB%8C%D8%B4-%D9%88-%D8%AC%D9%84%D8%B3%D8%A7%D8%AA" TargetMode="External"/><Relationship Id="rId15" Type="http://schemas.openxmlformats.org/officeDocument/2006/relationships/drawing" Target="../drawings/drawing6.xml"/><Relationship Id="rId14" Type="http://schemas.openxmlformats.org/officeDocument/2006/relationships/hyperlink" Target="https://arvinmp.ir/%D8%A2%D9%85%D9%81%DB%8C-%D8%AA%D8%A6%D8%A7%D8%AA%D8%B1-%D8%AF%D8%A7%D9%86%D8%B4%DA%A9%D8%AF%D9%87-%D8%B9%D9%84%D9%88%D9%85-%D9%BE%D8%A7%DB%8C%D9%87-%D8%AF%D8%A7%D9%86%D8%B4%DA%AF%D8%A7%D9%87-%D8%AA/" TargetMode="External"/><Relationship Id="rId17" Type="http://schemas.openxmlformats.org/officeDocument/2006/relationships/table" Target="../tables/table6.xml"/><Relationship Id="rId5" Type="http://schemas.openxmlformats.org/officeDocument/2006/relationships/hyperlink" Target="https://sooranto.com/" TargetMode="External"/><Relationship Id="rId6" Type="http://schemas.openxmlformats.org/officeDocument/2006/relationships/hyperlink" Target="https://hall.app.iranfair.com/halls" TargetMode="External"/><Relationship Id="rId7" Type="http://schemas.openxmlformats.org/officeDocument/2006/relationships/hyperlink" Target="https://library.ut.ac.ir/fa/page/10893/%D8%B3%D8%A7%D9%84%D9%86%D9%87%D8%A7%DB%8C-%D9%87%D9%85%D8%A7%DB%8C%D8%B4-%D9%88-%D8%AC%D9%84%D8%B3%D8%A7%D8%AA" TargetMode="External"/><Relationship Id="rId8" Type="http://schemas.openxmlformats.org/officeDocument/2006/relationships/hyperlink" Target="https://library.ut.ac.ir/fa/page/10893/%D8%B3%D8%A7%D9%84%D9%86%D9%87%D8%A7%DB%8C-%D9%87%D9%85%D8%A7%DB%8C%D8%B4-%D9%88-%D8%AC%D9%84%D8%B3%D8%A7%D8%AA"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40" Type="http://schemas.openxmlformats.org/officeDocument/2006/relationships/hyperlink" Target="mailto:m.karimi.e@gmail.com" TargetMode="External"/><Relationship Id="rId42" Type="http://schemas.openxmlformats.org/officeDocument/2006/relationships/hyperlink" Target="mailto:azindarbashi@gmail.com" TargetMode="External"/><Relationship Id="rId41" Type="http://schemas.openxmlformats.org/officeDocument/2006/relationships/hyperlink" Target="mailto:rrajabi@outlook.com" TargetMode="External"/><Relationship Id="rId44" Type="http://schemas.openxmlformats.org/officeDocument/2006/relationships/hyperlink" Target="mailto:s.niknejad@alibaba.ir" TargetMode="External"/><Relationship Id="rId43" Type="http://schemas.openxmlformats.org/officeDocument/2006/relationships/hyperlink" Target="mailto:azin.bihamta@gmail.com" TargetMode="External"/><Relationship Id="rId46" Type="http://schemas.openxmlformats.org/officeDocument/2006/relationships/hyperlink" Target="mailto:m.namegh@gmail.com" TargetMode="External"/><Relationship Id="rId45" Type="http://schemas.openxmlformats.org/officeDocument/2006/relationships/hyperlink" Target="mailto:s.farahmand@alibaba.ir" TargetMode="External"/><Relationship Id="rId107" Type="http://schemas.openxmlformats.org/officeDocument/2006/relationships/hyperlink" Target="https://t.me/+989127217935" TargetMode="External"/><Relationship Id="rId106" Type="http://schemas.openxmlformats.org/officeDocument/2006/relationships/hyperlink" Target="https://t.me/+989151877035" TargetMode="External"/><Relationship Id="rId105" Type="http://schemas.openxmlformats.org/officeDocument/2006/relationships/hyperlink" Target="mailto:yasin.mokhtari.bg@gmail.com" TargetMode="External"/><Relationship Id="rId104" Type="http://schemas.openxmlformats.org/officeDocument/2006/relationships/hyperlink" Target="mailto:yasmin.khanjari@gmail.com" TargetMode="External"/><Relationship Id="rId109" Type="http://schemas.openxmlformats.org/officeDocument/2006/relationships/hyperlink" Target="https://t.me/+989963469872" TargetMode="External"/><Relationship Id="rId108" Type="http://schemas.openxmlformats.org/officeDocument/2006/relationships/hyperlink" Target="https://t.me/+989193766293" TargetMode="External"/><Relationship Id="rId48" Type="http://schemas.openxmlformats.org/officeDocument/2006/relationships/hyperlink" Target="mailto:Mortazavishabnam8@gmail.com" TargetMode="External"/><Relationship Id="rId47" Type="http://schemas.openxmlformats.org/officeDocument/2006/relationships/hyperlink" Target="mailto:yasamin.kanaani14@gmail.com" TargetMode="External"/><Relationship Id="rId49" Type="http://schemas.openxmlformats.org/officeDocument/2006/relationships/hyperlink" Target="mailto:a.mansour@alibaba.ir" TargetMode="External"/><Relationship Id="rId103" Type="http://schemas.openxmlformats.org/officeDocument/2006/relationships/hyperlink" Target="mailto:miremad.ghr@gmail.com" TargetMode="External"/><Relationship Id="rId102" Type="http://schemas.openxmlformats.org/officeDocument/2006/relationships/hyperlink" Target="mailto:mahshid.gh25@gmail.com" TargetMode="External"/><Relationship Id="rId101" Type="http://schemas.openxmlformats.org/officeDocument/2006/relationships/hyperlink" Target="mailto:mehran.mikaeili@gmail.com" TargetMode="External"/><Relationship Id="rId100" Type="http://schemas.openxmlformats.org/officeDocument/2006/relationships/hyperlink" Target="mailto:m.nikbakht1988@gmail.com" TargetMode="External"/><Relationship Id="rId31" Type="http://schemas.openxmlformats.org/officeDocument/2006/relationships/hyperlink" Target="mailto:P.torbati@alibaba.ir" TargetMode="External"/><Relationship Id="rId30" Type="http://schemas.openxmlformats.org/officeDocument/2006/relationships/hyperlink" Target="mailto:m.jamshidian@alibaba.ir" TargetMode="External"/><Relationship Id="rId33" Type="http://schemas.openxmlformats.org/officeDocument/2006/relationships/hyperlink" Target="mailto:n.pirmoradian@alibaba.ir" TargetMode="External"/><Relationship Id="rId32" Type="http://schemas.openxmlformats.org/officeDocument/2006/relationships/hyperlink" Target="mailto:h.ghaderipour@alibaba.ir" TargetMode="External"/><Relationship Id="rId35" Type="http://schemas.openxmlformats.org/officeDocument/2006/relationships/hyperlink" Target="mailto:k.pakfar@jabama.ir" TargetMode="External"/><Relationship Id="rId34" Type="http://schemas.openxmlformats.org/officeDocument/2006/relationships/hyperlink" Target="mailto:m_motaghedi@yahoo.com" TargetMode="External"/><Relationship Id="rId37" Type="http://schemas.openxmlformats.org/officeDocument/2006/relationships/hyperlink" Target="mailto:hooman.hf@gmail.com" TargetMode="External"/><Relationship Id="rId36" Type="http://schemas.openxmlformats.org/officeDocument/2006/relationships/hyperlink" Target="mailto:m.sojodi@alibaba.ir" TargetMode="External"/><Relationship Id="rId39" Type="http://schemas.openxmlformats.org/officeDocument/2006/relationships/hyperlink" Target="mailto:Marjanroosta2002@gmail.com" TargetMode="External"/><Relationship Id="rId38" Type="http://schemas.openxmlformats.org/officeDocument/2006/relationships/hyperlink" Target="mailto:m_motaghedi@yahoo.com" TargetMode="External"/><Relationship Id="rId20" Type="http://schemas.openxmlformats.org/officeDocument/2006/relationships/hyperlink" Target="mailto:mi.mohammadi@alibaba.ir" TargetMode="External"/><Relationship Id="rId22" Type="http://schemas.openxmlformats.org/officeDocument/2006/relationships/hyperlink" Target="mailto:S.Zarei@alibaba.ir" TargetMode="External"/><Relationship Id="rId21" Type="http://schemas.openxmlformats.org/officeDocument/2006/relationships/hyperlink" Target="mailto:bahar.golschan@gmail.com" TargetMode="External"/><Relationship Id="rId24" Type="http://schemas.openxmlformats.org/officeDocument/2006/relationships/hyperlink" Target="mailto:Forooough.kh@gmail.com" TargetMode="External"/><Relationship Id="rId23" Type="http://schemas.openxmlformats.org/officeDocument/2006/relationships/hyperlink" Target="mailto:bonchenarii@gmail.com" TargetMode="External"/><Relationship Id="rId26" Type="http://schemas.openxmlformats.org/officeDocument/2006/relationships/hyperlink" Target="mailto:m.malek@alibaba.ir" TargetMode="External"/><Relationship Id="rId25" Type="http://schemas.openxmlformats.org/officeDocument/2006/relationships/hyperlink" Target="mailto:A.Khorasanchi@alibaba.ir" TargetMode="External"/><Relationship Id="rId28" Type="http://schemas.openxmlformats.org/officeDocument/2006/relationships/hyperlink" Target="mailto:majid@alibaba.ir" TargetMode="External"/><Relationship Id="rId27" Type="http://schemas.openxmlformats.org/officeDocument/2006/relationships/hyperlink" Target="mailto:m.tabatabaei@alibaba.ir" TargetMode="External"/><Relationship Id="rId29" Type="http://schemas.openxmlformats.org/officeDocument/2006/relationships/hyperlink" Target="mailto:e.habibipanah@alibaba.ir" TargetMode="External"/><Relationship Id="rId95" Type="http://schemas.openxmlformats.org/officeDocument/2006/relationships/hyperlink" Target="mailto:ms.borzoo66@gmail.com" TargetMode="External"/><Relationship Id="rId94" Type="http://schemas.openxmlformats.org/officeDocument/2006/relationships/hyperlink" Target="mailto:mohammadreza.najjar.bg@gmail.com" TargetMode="External"/><Relationship Id="rId97" Type="http://schemas.openxmlformats.org/officeDocument/2006/relationships/hyperlink" Target="mailto:mehdi.ghandehari.bg@gmail.com" TargetMode="External"/><Relationship Id="rId96" Type="http://schemas.openxmlformats.org/officeDocument/2006/relationships/hyperlink" Target="mailto:mehdighasemi1358@gmail.com" TargetMode="External"/><Relationship Id="rId11" Type="http://schemas.openxmlformats.org/officeDocument/2006/relationships/hyperlink" Target="mailto:a.ghorbani@alibaba.ir" TargetMode="External"/><Relationship Id="rId99" Type="http://schemas.openxmlformats.org/officeDocument/2006/relationships/hyperlink" Target="mailto:mnajjard@gmail.com" TargetMode="External"/><Relationship Id="rId10" Type="http://schemas.openxmlformats.org/officeDocument/2006/relationships/hyperlink" Target="mailto:m.abdpour@alibaba.ir" TargetMode="External"/><Relationship Id="rId98" Type="http://schemas.openxmlformats.org/officeDocument/2006/relationships/hyperlink" Target="mailto:mehdi.mahmoodzadeh.bg@gmail.com" TargetMode="External"/><Relationship Id="rId13" Type="http://schemas.openxmlformats.org/officeDocument/2006/relationships/hyperlink" Target="mailto:Niloofarmohamadi.72@gmail.com" TargetMode="External"/><Relationship Id="rId12" Type="http://schemas.openxmlformats.org/officeDocument/2006/relationships/hyperlink" Target="mailto:h.farrokh@alibaba.ir" TargetMode="External"/><Relationship Id="rId91" Type="http://schemas.openxmlformats.org/officeDocument/2006/relationships/hyperlink" Target="mailto:mohsen.yaghinloo.bg@gmail.com" TargetMode="External"/><Relationship Id="rId90" Type="http://schemas.openxmlformats.org/officeDocument/2006/relationships/hyperlink" Target="mailto:bagheri.mohsen.1995@gmail.com" TargetMode="External"/><Relationship Id="rId93" Type="http://schemas.openxmlformats.org/officeDocument/2006/relationships/hyperlink" Target="mailto:m.rostaei3436@gmail.com" TargetMode="External"/><Relationship Id="rId92" Type="http://schemas.openxmlformats.org/officeDocument/2006/relationships/hyperlink" Target="mailto:smb.sameni@gmail.com" TargetMode="External"/><Relationship Id="rId15" Type="http://schemas.openxmlformats.org/officeDocument/2006/relationships/hyperlink" Target="mailto:s.abiri@alibaba.ir" TargetMode="External"/><Relationship Id="rId110" Type="http://schemas.openxmlformats.org/officeDocument/2006/relationships/drawing" Target="../drawings/drawing8.xml"/><Relationship Id="rId14" Type="http://schemas.openxmlformats.org/officeDocument/2006/relationships/hyperlink" Target="mailto:al.ahmadi@alibaba.ir" TargetMode="External"/><Relationship Id="rId17" Type="http://schemas.openxmlformats.org/officeDocument/2006/relationships/hyperlink" Target="mailto:E.Arasteh@alibaba.ir" TargetMode="External"/><Relationship Id="rId16" Type="http://schemas.openxmlformats.org/officeDocument/2006/relationships/hyperlink" Target="mailto:am.rajabi@alibaba.ir" TargetMode="External"/><Relationship Id="rId19" Type="http://schemas.openxmlformats.org/officeDocument/2006/relationships/hyperlink" Target="mailto:f.asadi@alibaba.ir" TargetMode="External"/><Relationship Id="rId18" Type="http://schemas.openxmlformats.org/officeDocument/2006/relationships/hyperlink" Target="mailto:F.jalilian@alibaba.ir" TargetMode="External"/><Relationship Id="rId112" Type="http://schemas.openxmlformats.org/officeDocument/2006/relationships/table" Target="../tables/table7.xml"/><Relationship Id="rId84" Type="http://schemas.openxmlformats.org/officeDocument/2006/relationships/hyperlink" Target="mailto:arash.sarvi@gmail.com" TargetMode="External"/><Relationship Id="rId83" Type="http://schemas.openxmlformats.org/officeDocument/2006/relationships/hyperlink" Target="mailto:ali.azhdary2700@gmail.com" TargetMode="External"/><Relationship Id="rId86" Type="http://schemas.openxmlformats.org/officeDocument/2006/relationships/hyperlink" Target="mailto:samin.mirtorabi@gmail.com" TargetMode="External"/><Relationship Id="rId85" Type="http://schemas.openxmlformats.org/officeDocument/2006/relationships/hyperlink" Target="mailto:elham.ejtehadi@yahoo.com" TargetMode="External"/><Relationship Id="rId88" Type="http://schemas.openxmlformats.org/officeDocument/2006/relationships/hyperlink" Target="mailto:shahla.firoozi.bg@gmail.com" TargetMode="External"/><Relationship Id="rId87" Type="http://schemas.openxmlformats.org/officeDocument/2006/relationships/hyperlink" Target="mailto:srs.sadeghi@gmail.com" TargetMode="External"/><Relationship Id="rId89" Type="http://schemas.openxmlformats.org/officeDocument/2006/relationships/hyperlink" Target="mailto:matin.shirazinejad@gmail.com" TargetMode="External"/><Relationship Id="rId80" Type="http://schemas.openxmlformats.org/officeDocument/2006/relationships/hyperlink" Target="mailto:assareh73@gmail.com" TargetMode="External"/><Relationship Id="rId82" Type="http://schemas.openxmlformats.org/officeDocument/2006/relationships/hyperlink" Target="mailto:Zghorbani.9651@gmail.com" TargetMode="External"/><Relationship Id="rId81" Type="http://schemas.openxmlformats.org/officeDocument/2006/relationships/hyperlink" Target="mailto:dabiri.ir@outlook.com" TargetMode="External"/><Relationship Id="rId1" Type="http://schemas.openxmlformats.org/officeDocument/2006/relationships/hyperlink" Target="mailto:K.Pouryavar@alibaba.ir" TargetMode="External"/><Relationship Id="rId2" Type="http://schemas.openxmlformats.org/officeDocument/2006/relationships/hyperlink" Target="mailto:nellishady@gmail.com" TargetMode="External"/><Relationship Id="rId3" Type="http://schemas.openxmlformats.org/officeDocument/2006/relationships/hyperlink" Target="mailto:Hafseh@hellopersia.com" TargetMode="External"/><Relationship Id="rId4" Type="http://schemas.openxmlformats.org/officeDocument/2006/relationships/hyperlink" Target="mailto:S.Niknezhad@alibaba.ir" TargetMode="External"/><Relationship Id="rId9" Type="http://schemas.openxmlformats.org/officeDocument/2006/relationships/hyperlink" Target="mailto:R.Pahlavan@alibaba.ir" TargetMode="External"/><Relationship Id="rId5" Type="http://schemas.openxmlformats.org/officeDocument/2006/relationships/hyperlink" Target="mailto:Rahmani.siavash@gmail.com" TargetMode="External"/><Relationship Id="rId6" Type="http://schemas.openxmlformats.org/officeDocument/2006/relationships/hyperlink" Target="mailto:Sepid.kalateh@yahoo.com" TargetMode="External"/><Relationship Id="rId7" Type="http://schemas.openxmlformats.org/officeDocument/2006/relationships/hyperlink" Target="mailto:VR.Soleimani@alibaba.ir" TargetMode="External"/><Relationship Id="rId8" Type="http://schemas.openxmlformats.org/officeDocument/2006/relationships/hyperlink" Target="mailto:setarekarimi.kh@gmail.com" TargetMode="External"/><Relationship Id="rId73" Type="http://schemas.openxmlformats.org/officeDocument/2006/relationships/hyperlink" Target="mailto:arashkouhi@yahoo.com" TargetMode="External"/><Relationship Id="rId72" Type="http://schemas.openxmlformats.org/officeDocument/2006/relationships/hyperlink" Target="mailto:Parhamghobadi0@gmail.com" TargetMode="External"/><Relationship Id="rId75" Type="http://schemas.openxmlformats.org/officeDocument/2006/relationships/hyperlink" Target="mailto:hosein_shoka@yahoo.com" TargetMode="External"/><Relationship Id="rId74" Type="http://schemas.openxmlformats.org/officeDocument/2006/relationships/hyperlink" Target="mailto:h.vakili.3rdi@gmail.com" TargetMode="External"/><Relationship Id="rId77" Type="http://schemas.openxmlformats.org/officeDocument/2006/relationships/hyperlink" Target="mailto:mohsen11071@yahoo.com" TargetMode="External"/><Relationship Id="rId76" Type="http://schemas.openxmlformats.org/officeDocument/2006/relationships/hyperlink" Target="mailto:Ebi.taghvaei@gmail.com" TargetMode="External"/><Relationship Id="rId79" Type="http://schemas.openxmlformats.org/officeDocument/2006/relationships/hyperlink" Target="mailto:a.solhi@Alibaba.ir" TargetMode="External"/><Relationship Id="rId78" Type="http://schemas.openxmlformats.org/officeDocument/2006/relationships/hyperlink" Target="mailto:Farnaz.vakilinia@gmail.com" TargetMode="External"/><Relationship Id="rId71" Type="http://schemas.openxmlformats.org/officeDocument/2006/relationships/hyperlink" Target="mailto:ali.koolivand@gmail.com" TargetMode="External"/><Relationship Id="rId70" Type="http://schemas.openxmlformats.org/officeDocument/2006/relationships/hyperlink" Target="mailto:arashkarami88@gmail.com" TargetMode="External"/><Relationship Id="rId62" Type="http://schemas.openxmlformats.org/officeDocument/2006/relationships/hyperlink" Target="mailto:e.rafizadeh@alibaba.ir" TargetMode="External"/><Relationship Id="rId61" Type="http://schemas.openxmlformats.org/officeDocument/2006/relationships/hyperlink" Target="mailto:mohammadreza_3348@yahoo.com" TargetMode="External"/><Relationship Id="rId64" Type="http://schemas.openxmlformats.org/officeDocument/2006/relationships/hyperlink" Target="mailto:e.osati@alibaba.ir" TargetMode="External"/><Relationship Id="rId63" Type="http://schemas.openxmlformats.org/officeDocument/2006/relationships/hyperlink" Target="mailto:m.fallah@alibaba.ir" TargetMode="External"/><Relationship Id="rId66" Type="http://schemas.openxmlformats.org/officeDocument/2006/relationships/hyperlink" Target="mailto:Hadi.Forghani@Gmail.com" TargetMode="External"/><Relationship Id="rId65" Type="http://schemas.openxmlformats.org/officeDocument/2006/relationships/hyperlink" Target="mailto:m.mirshams66@gmail.com" TargetMode="External"/><Relationship Id="rId68" Type="http://schemas.openxmlformats.org/officeDocument/2006/relationships/hyperlink" Target="mailto:saeed.alemve@gmail.com" TargetMode="External"/><Relationship Id="rId67" Type="http://schemas.openxmlformats.org/officeDocument/2006/relationships/hyperlink" Target="mailto:Ar.taheri@alibaba.ir" TargetMode="External"/><Relationship Id="rId60" Type="http://schemas.openxmlformats.org/officeDocument/2006/relationships/hyperlink" Target="mailto:h.hosseinian@Alibaba.ir" TargetMode="External"/><Relationship Id="rId69" Type="http://schemas.openxmlformats.org/officeDocument/2006/relationships/hyperlink" Target="mailto:yasserff69@gmail.com" TargetMode="External"/><Relationship Id="rId51" Type="http://schemas.openxmlformats.org/officeDocument/2006/relationships/hyperlink" Target="mailto:a.izadpour@alibaba.ir" TargetMode="External"/><Relationship Id="rId50" Type="http://schemas.openxmlformats.org/officeDocument/2006/relationships/hyperlink" Target="mailto:i.kazemi@Alibaba.ir" TargetMode="External"/><Relationship Id="rId53" Type="http://schemas.openxmlformats.org/officeDocument/2006/relationships/hyperlink" Target="mailto:M.hasani@tourictrave.ir" TargetMode="External"/><Relationship Id="rId52" Type="http://schemas.openxmlformats.org/officeDocument/2006/relationships/hyperlink" Target="mailto:k.farhadi@alibaba.ir" TargetMode="External"/><Relationship Id="rId55" Type="http://schemas.openxmlformats.org/officeDocument/2006/relationships/hyperlink" Target="mailto:p.janbaz@alibaba.ir" TargetMode="External"/><Relationship Id="rId54" Type="http://schemas.openxmlformats.org/officeDocument/2006/relationships/hyperlink" Target="mailto:Maryam.fatolah@gmail.com" TargetMode="External"/><Relationship Id="rId57" Type="http://schemas.openxmlformats.org/officeDocument/2006/relationships/hyperlink" Target="mailto:h.ghaemabadi@alibaba.ir" TargetMode="External"/><Relationship Id="rId56" Type="http://schemas.openxmlformats.org/officeDocument/2006/relationships/hyperlink" Target="mailto:Hamoon.haghighi@gmail.com" TargetMode="External"/><Relationship Id="rId59" Type="http://schemas.openxmlformats.org/officeDocument/2006/relationships/hyperlink" Target="mailto:m.zahraei@alibaba.ir" TargetMode="External"/><Relationship Id="rId58" Type="http://schemas.openxmlformats.org/officeDocument/2006/relationships/hyperlink" Target="mailto:e.arasteh@alibaba.ir"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5"/>
    <col customWidth="1" min="2" max="3" width="13.88"/>
    <col customWidth="1" min="7" max="7" width="9.13"/>
    <col customWidth="1" min="8" max="8" width="12.38"/>
    <col customWidth="1" min="9" max="9" width="16.13"/>
    <col customWidth="1" min="11" max="11" width="22.25"/>
    <col customWidth="1" min="15" max="15" width="20.25"/>
    <col customWidth="1" min="16" max="16" width="23.38"/>
    <col customWidth="1" min="17" max="17" width="20.5"/>
  </cols>
  <sheetData>
    <row r="1">
      <c r="A1" s="1" t="s">
        <v>0</v>
      </c>
      <c r="B1" s="2" t="s">
        <v>1</v>
      </c>
      <c r="C1" s="3" t="s">
        <v>2</v>
      </c>
      <c r="D1" s="2" t="s">
        <v>3</v>
      </c>
      <c r="E1" s="2" t="s">
        <v>4</v>
      </c>
      <c r="F1" s="2" t="s">
        <v>5</v>
      </c>
      <c r="G1" s="2" t="s">
        <v>6</v>
      </c>
      <c r="H1" s="2" t="s">
        <v>7</v>
      </c>
      <c r="I1" s="2" t="s">
        <v>8</v>
      </c>
      <c r="J1" s="2" t="s">
        <v>9</v>
      </c>
      <c r="K1" s="2" t="s">
        <v>10</v>
      </c>
      <c r="L1" s="2" t="s">
        <v>11</v>
      </c>
      <c r="M1" s="2" t="s">
        <v>12</v>
      </c>
      <c r="N1" s="2" t="s">
        <v>13</v>
      </c>
      <c r="O1" s="2" t="s">
        <v>14</v>
      </c>
      <c r="P1" s="2" t="s">
        <v>15</v>
      </c>
      <c r="Q1" s="4" t="s">
        <v>16</v>
      </c>
      <c r="R1" s="5"/>
      <c r="S1" s="5"/>
      <c r="T1" s="5"/>
      <c r="U1" s="5"/>
      <c r="V1" s="5"/>
      <c r="W1" s="5"/>
      <c r="X1" s="5"/>
      <c r="Y1" s="5"/>
      <c r="Z1" s="5"/>
      <c r="AA1" s="5"/>
      <c r="AB1" s="5"/>
      <c r="AC1" s="5"/>
      <c r="AD1" s="5"/>
    </row>
    <row r="2">
      <c r="A2" s="6">
        <v>1.0</v>
      </c>
      <c r="B2" s="7" t="s">
        <v>17</v>
      </c>
      <c r="C2" s="8"/>
      <c r="D2" s="8" t="s">
        <v>18</v>
      </c>
      <c r="E2" s="8" t="s">
        <v>19</v>
      </c>
      <c r="F2" s="8"/>
      <c r="G2" s="8">
        <v>145.0</v>
      </c>
      <c r="H2" s="8" t="s">
        <v>20</v>
      </c>
      <c r="I2" s="9"/>
      <c r="J2" s="9"/>
      <c r="K2" s="9"/>
      <c r="L2" s="9"/>
      <c r="M2" s="9"/>
      <c r="N2" s="9"/>
      <c r="O2" s="9"/>
      <c r="P2" s="9"/>
      <c r="Q2" s="10"/>
      <c r="R2" s="5"/>
      <c r="S2" s="5"/>
      <c r="T2" s="5"/>
      <c r="U2" s="5"/>
      <c r="V2" s="5"/>
      <c r="W2" s="5"/>
      <c r="X2" s="5"/>
      <c r="Y2" s="5"/>
      <c r="Z2" s="5"/>
      <c r="AA2" s="5"/>
      <c r="AB2" s="5"/>
      <c r="AC2" s="5"/>
      <c r="AD2" s="5"/>
    </row>
    <row r="3">
      <c r="A3" s="11">
        <v>2.0</v>
      </c>
      <c r="B3" s="12" t="s">
        <v>17</v>
      </c>
      <c r="C3" s="13"/>
      <c r="D3" s="13" t="s">
        <v>21</v>
      </c>
      <c r="E3" s="13" t="s">
        <v>22</v>
      </c>
      <c r="F3" s="13"/>
      <c r="G3" s="13">
        <v>234.0</v>
      </c>
      <c r="H3" s="13" t="s">
        <v>23</v>
      </c>
      <c r="I3" s="14"/>
      <c r="J3" s="14"/>
      <c r="K3" s="14"/>
      <c r="L3" s="14"/>
      <c r="M3" s="14"/>
      <c r="N3" s="14"/>
      <c r="O3" s="14"/>
      <c r="P3" s="14"/>
      <c r="Q3" s="15"/>
      <c r="R3" s="5"/>
      <c r="S3" s="5"/>
      <c r="T3" s="5"/>
      <c r="U3" s="5"/>
      <c r="V3" s="5"/>
      <c r="W3" s="5"/>
      <c r="X3" s="5"/>
      <c r="Y3" s="5"/>
      <c r="Z3" s="5"/>
      <c r="AA3" s="5"/>
      <c r="AB3" s="5"/>
      <c r="AC3" s="5"/>
      <c r="AD3" s="5"/>
    </row>
    <row r="4">
      <c r="A4" s="16">
        <v>1.0</v>
      </c>
      <c r="B4" s="17" t="s">
        <v>24</v>
      </c>
      <c r="C4" s="18"/>
      <c r="D4" s="19" t="s">
        <v>25</v>
      </c>
      <c r="E4" s="19" t="s">
        <v>26</v>
      </c>
      <c r="F4" s="18"/>
      <c r="G4" s="20">
        <v>50.0</v>
      </c>
      <c r="H4" s="19" t="s">
        <v>27</v>
      </c>
      <c r="I4" s="21"/>
      <c r="J4" s="22"/>
      <c r="K4" s="21"/>
      <c r="L4" s="21"/>
      <c r="M4" s="21"/>
      <c r="N4" s="18"/>
      <c r="O4" s="21"/>
      <c r="P4" s="21"/>
      <c r="Q4" s="23"/>
      <c r="R4" s="24"/>
      <c r="S4" s="25"/>
      <c r="T4" s="24"/>
      <c r="U4" s="24"/>
      <c r="V4" s="24"/>
      <c r="W4" s="24"/>
      <c r="X4" s="24"/>
      <c r="Y4" s="24"/>
      <c r="Z4" s="24"/>
      <c r="AA4" s="24"/>
      <c r="AB4" s="24"/>
      <c r="AC4" s="24"/>
      <c r="AD4" s="24"/>
    </row>
    <row r="5">
      <c r="A5" s="11">
        <v>3.0</v>
      </c>
      <c r="B5" s="12" t="s">
        <v>17</v>
      </c>
      <c r="C5" s="13"/>
      <c r="D5" s="13" t="s">
        <v>28</v>
      </c>
      <c r="E5" s="13" t="s">
        <v>29</v>
      </c>
      <c r="F5" s="13"/>
      <c r="G5" s="13">
        <v>144.0</v>
      </c>
      <c r="H5" s="13" t="s">
        <v>20</v>
      </c>
      <c r="I5" s="13"/>
      <c r="J5" s="13"/>
      <c r="K5" s="13" t="s">
        <v>30</v>
      </c>
      <c r="L5" s="14"/>
      <c r="M5" s="14"/>
      <c r="N5" s="26"/>
      <c r="O5" s="27"/>
      <c r="P5" s="14"/>
      <c r="Q5" s="15"/>
      <c r="R5" s="5"/>
      <c r="S5" s="28"/>
      <c r="T5" s="5"/>
      <c r="U5" s="5"/>
      <c r="V5" s="5"/>
      <c r="W5" s="5"/>
      <c r="X5" s="5"/>
      <c r="Y5" s="5"/>
      <c r="Z5" s="5"/>
      <c r="AA5" s="5"/>
      <c r="AB5" s="5"/>
      <c r="AC5" s="5"/>
      <c r="AD5" s="5"/>
    </row>
    <row r="6">
      <c r="A6" s="6">
        <v>1.0</v>
      </c>
      <c r="B6" s="7" t="s">
        <v>31</v>
      </c>
      <c r="C6" s="8"/>
      <c r="D6" s="8" t="s">
        <v>32</v>
      </c>
      <c r="E6" s="8" t="s">
        <v>26</v>
      </c>
      <c r="F6" s="8"/>
      <c r="G6" s="8"/>
      <c r="H6" s="8" t="s">
        <v>27</v>
      </c>
      <c r="I6" s="9"/>
      <c r="J6" s="9"/>
      <c r="K6" s="9"/>
      <c r="L6" s="9"/>
      <c r="M6" s="9"/>
      <c r="N6" s="29"/>
      <c r="O6" s="30"/>
      <c r="P6" s="9"/>
      <c r="Q6" s="10"/>
      <c r="R6" s="5"/>
      <c r="S6" s="28"/>
      <c r="T6" s="5"/>
      <c r="U6" s="5"/>
      <c r="V6" s="5"/>
      <c r="W6" s="5"/>
      <c r="X6" s="5"/>
      <c r="Y6" s="5"/>
      <c r="Z6" s="5"/>
      <c r="AA6" s="5"/>
      <c r="AB6" s="5"/>
      <c r="AC6" s="5"/>
      <c r="AD6" s="5"/>
    </row>
    <row r="7">
      <c r="A7" s="11">
        <v>4.0</v>
      </c>
      <c r="B7" s="12" t="s">
        <v>17</v>
      </c>
      <c r="C7" s="13"/>
      <c r="D7" s="13" t="s">
        <v>33</v>
      </c>
      <c r="E7" s="13" t="s">
        <v>34</v>
      </c>
      <c r="F7" s="13"/>
      <c r="G7" s="13">
        <v>31.0</v>
      </c>
      <c r="H7" s="13" t="s">
        <v>35</v>
      </c>
      <c r="I7" s="14"/>
      <c r="J7" s="14"/>
      <c r="K7" s="14"/>
      <c r="L7" s="14"/>
      <c r="M7" s="14"/>
      <c r="N7" s="26"/>
      <c r="O7" s="27"/>
      <c r="P7" s="14"/>
      <c r="Q7" s="15"/>
      <c r="R7" s="5"/>
      <c r="S7" s="28"/>
      <c r="T7" s="5"/>
      <c r="U7" s="5"/>
      <c r="V7" s="5"/>
      <c r="W7" s="5"/>
      <c r="X7" s="5"/>
      <c r="Y7" s="5"/>
      <c r="Z7" s="5"/>
      <c r="AA7" s="5"/>
      <c r="AB7" s="5"/>
      <c r="AC7" s="5"/>
      <c r="AD7" s="5"/>
    </row>
    <row r="8">
      <c r="A8" s="6">
        <v>5.0</v>
      </c>
      <c r="B8" s="7" t="s">
        <v>17</v>
      </c>
      <c r="C8" s="8"/>
      <c r="D8" s="8" t="s">
        <v>36</v>
      </c>
      <c r="E8" s="8" t="s">
        <v>34</v>
      </c>
      <c r="F8" s="8"/>
      <c r="G8" s="8">
        <v>99.0</v>
      </c>
      <c r="H8" s="8" t="s">
        <v>35</v>
      </c>
      <c r="I8" s="9"/>
      <c r="J8" s="9"/>
      <c r="K8" s="9"/>
      <c r="L8" s="9"/>
      <c r="M8" s="9"/>
      <c r="N8" s="29"/>
      <c r="O8" s="30"/>
      <c r="P8" s="9"/>
      <c r="Q8" s="10"/>
      <c r="R8" s="5"/>
      <c r="S8" s="28"/>
      <c r="T8" s="5"/>
      <c r="U8" s="5"/>
      <c r="V8" s="5"/>
      <c r="W8" s="5"/>
      <c r="X8" s="5"/>
      <c r="Y8" s="5"/>
      <c r="Z8" s="5"/>
      <c r="AA8" s="5"/>
      <c r="AB8" s="5"/>
      <c r="AC8" s="5"/>
      <c r="AD8" s="5"/>
    </row>
    <row r="9">
      <c r="A9" s="31"/>
      <c r="B9" s="32" t="s">
        <v>31</v>
      </c>
      <c r="C9" s="33"/>
      <c r="D9" s="34" t="s">
        <v>37</v>
      </c>
      <c r="E9" s="34" t="s">
        <v>26</v>
      </c>
      <c r="F9" s="33"/>
      <c r="G9" s="33"/>
      <c r="H9" s="35" t="s">
        <v>27</v>
      </c>
      <c r="I9" s="36"/>
      <c r="J9" s="36"/>
      <c r="K9" s="36"/>
      <c r="L9" s="36"/>
      <c r="M9" s="36"/>
      <c r="N9" s="33"/>
      <c r="O9" s="36"/>
      <c r="P9" s="36"/>
      <c r="Q9" s="37"/>
      <c r="R9" s="24"/>
      <c r="S9" s="25"/>
      <c r="T9" s="24"/>
      <c r="U9" s="24"/>
      <c r="V9" s="24"/>
      <c r="W9" s="24"/>
      <c r="X9" s="24"/>
      <c r="Y9" s="24"/>
      <c r="Z9" s="24"/>
      <c r="AA9" s="24"/>
      <c r="AB9" s="24"/>
      <c r="AC9" s="24"/>
      <c r="AD9" s="24"/>
    </row>
    <row r="10">
      <c r="A10" s="6">
        <v>6.0</v>
      </c>
      <c r="B10" s="7" t="s">
        <v>17</v>
      </c>
      <c r="C10" s="8"/>
      <c r="D10" s="8" t="s">
        <v>38</v>
      </c>
      <c r="E10" s="38" t="s">
        <v>39</v>
      </c>
      <c r="F10" s="9"/>
      <c r="G10" s="8">
        <v>80.0</v>
      </c>
      <c r="H10" s="8" t="s">
        <v>40</v>
      </c>
      <c r="I10" s="9"/>
      <c r="J10" s="9"/>
      <c r="K10" s="9"/>
      <c r="L10" s="9"/>
      <c r="M10" s="9"/>
      <c r="N10" s="29"/>
      <c r="O10" s="30"/>
      <c r="P10" s="9"/>
      <c r="Q10" s="10"/>
      <c r="R10" s="5"/>
      <c r="S10" s="28"/>
      <c r="T10" s="5"/>
      <c r="U10" s="5"/>
      <c r="V10" s="5"/>
      <c r="W10" s="5"/>
      <c r="X10" s="5"/>
      <c r="Y10" s="5"/>
      <c r="Z10" s="5"/>
      <c r="AA10" s="5"/>
      <c r="AB10" s="5"/>
      <c r="AC10" s="5"/>
      <c r="AD10" s="5"/>
    </row>
    <row r="11">
      <c r="A11" s="11">
        <v>7.0</v>
      </c>
      <c r="B11" s="12" t="s">
        <v>17</v>
      </c>
      <c r="C11" s="13"/>
      <c r="D11" s="13" t="s">
        <v>41</v>
      </c>
      <c r="E11" s="13" t="s">
        <v>42</v>
      </c>
      <c r="F11" s="13"/>
      <c r="G11" s="13">
        <v>125.0</v>
      </c>
      <c r="H11" s="13" t="s">
        <v>27</v>
      </c>
      <c r="I11" s="14"/>
      <c r="J11" s="14"/>
      <c r="K11" s="14"/>
      <c r="L11" s="14"/>
      <c r="M11" s="14"/>
      <c r="N11" s="26"/>
      <c r="O11" s="27"/>
      <c r="P11" s="14"/>
      <c r="Q11" s="15"/>
      <c r="R11" s="5"/>
      <c r="S11" s="28"/>
      <c r="T11" s="5"/>
      <c r="U11" s="5"/>
      <c r="V11" s="5"/>
      <c r="W11" s="5"/>
      <c r="X11" s="5"/>
      <c r="Y11" s="5"/>
      <c r="Z11" s="5"/>
      <c r="AA11" s="5"/>
      <c r="AB11" s="5"/>
      <c r="AC11" s="5"/>
      <c r="AD11" s="5"/>
    </row>
    <row r="12">
      <c r="A12" s="6">
        <v>2.0</v>
      </c>
      <c r="B12" s="7" t="s">
        <v>31</v>
      </c>
      <c r="C12" s="8"/>
      <c r="D12" s="8" t="s">
        <v>43</v>
      </c>
      <c r="E12" s="8" t="s">
        <v>26</v>
      </c>
      <c r="F12" s="8"/>
      <c r="G12" s="8"/>
      <c r="H12" s="8" t="s">
        <v>27</v>
      </c>
      <c r="I12" s="9"/>
      <c r="J12" s="9"/>
      <c r="K12" s="9"/>
      <c r="L12" s="9"/>
      <c r="M12" s="9"/>
      <c r="N12" s="29"/>
      <c r="O12" s="30"/>
      <c r="P12" s="9"/>
      <c r="Q12" s="10"/>
      <c r="R12" s="5"/>
      <c r="S12" s="28"/>
      <c r="T12" s="5"/>
      <c r="U12" s="5"/>
      <c r="V12" s="5"/>
      <c r="W12" s="5"/>
      <c r="X12" s="5"/>
      <c r="Y12" s="5"/>
      <c r="Z12" s="5"/>
      <c r="AA12" s="5"/>
      <c r="AB12" s="5"/>
      <c r="AC12" s="5"/>
      <c r="AD12" s="5"/>
    </row>
    <row r="13">
      <c r="A13" s="11">
        <v>8.0</v>
      </c>
      <c r="B13" s="12" t="s">
        <v>17</v>
      </c>
      <c r="C13" s="13"/>
      <c r="D13" s="13" t="s">
        <v>44</v>
      </c>
      <c r="E13" s="13" t="s">
        <v>45</v>
      </c>
      <c r="F13" s="13"/>
      <c r="G13" s="13">
        <v>141.0</v>
      </c>
      <c r="H13" s="13" t="s">
        <v>46</v>
      </c>
      <c r="I13" s="14"/>
      <c r="J13" s="14"/>
      <c r="K13" s="14"/>
      <c r="L13" s="14"/>
      <c r="M13" s="14"/>
      <c r="N13" s="26"/>
      <c r="O13" s="27"/>
      <c r="P13" s="14"/>
      <c r="Q13" s="15"/>
      <c r="R13" s="5"/>
      <c r="S13" s="28"/>
      <c r="T13" s="5"/>
      <c r="U13" s="5"/>
      <c r="V13" s="5"/>
      <c r="W13" s="5"/>
      <c r="X13" s="5"/>
      <c r="Y13" s="5"/>
      <c r="Z13" s="5"/>
      <c r="AA13" s="5"/>
      <c r="AB13" s="5"/>
      <c r="AC13" s="5"/>
      <c r="AD13" s="5"/>
    </row>
    <row r="14">
      <c r="A14" s="6">
        <v>9.0</v>
      </c>
      <c r="B14" s="7" t="s">
        <v>17</v>
      </c>
      <c r="C14" s="8"/>
      <c r="D14" s="8" t="s">
        <v>47</v>
      </c>
      <c r="E14" s="8" t="s">
        <v>48</v>
      </c>
      <c r="F14" s="8"/>
      <c r="G14" s="8">
        <v>54.0</v>
      </c>
      <c r="H14" s="8" t="s">
        <v>46</v>
      </c>
      <c r="I14" s="8"/>
      <c r="J14" s="8"/>
      <c r="K14" s="8">
        <v>24.0</v>
      </c>
      <c r="L14" s="9"/>
      <c r="M14" s="9"/>
      <c r="N14" s="29"/>
      <c r="O14" s="30"/>
      <c r="P14" s="9"/>
      <c r="Q14" s="10"/>
      <c r="R14" s="5"/>
      <c r="S14" s="5"/>
      <c r="T14" s="5"/>
      <c r="U14" s="5"/>
      <c r="V14" s="5"/>
      <c r="W14" s="5"/>
      <c r="X14" s="5"/>
      <c r="Y14" s="5"/>
      <c r="Z14" s="5"/>
      <c r="AA14" s="5"/>
      <c r="AB14" s="5"/>
      <c r="AC14" s="5"/>
      <c r="AD14" s="5"/>
    </row>
    <row r="15">
      <c r="A15" s="11">
        <v>10.0</v>
      </c>
      <c r="B15" s="12" t="s">
        <v>17</v>
      </c>
      <c r="C15" s="13"/>
      <c r="D15" s="13" t="s">
        <v>49</v>
      </c>
      <c r="E15" s="13" t="s">
        <v>50</v>
      </c>
      <c r="F15" s="13"/>
      <c r="G15" s="13">
        <v>190.0</v>
      </c>
      <c r="H15" s="13" t="s">
        <v>46</v>
      </c>
      <c r="I15" s="13"/>
      <c r="J15" s="13"/>
      <c r="K15" s="13">
        <v>17.0</v>
      </c>
      <c r="L15" s="14"/>
      <c r="M15" s="14"/>
      <c r="N15" s="26"/>
      <c r="O15" s="27"/>
      <c r="P15" s="14"/>
      <c r="Q15" s="15"/>
      <c r="R15" s="5"/>
      <c r="S15" s="39"/>
      <c r="T15" s="5"/>
      <c r="U15" s="5"/>
      <c r="V15" s="5"/>
      <c r="W15" s="5"/>
      <c r="X15" s="5"/>
      <c r="Y15" s="5"/>
      <c r="Z15" s="5"/>
      <c r="AA15" s="5"/>
      <c r="AB15" s="5"/>
      <c r="AC15" s="5"/>
      <c r="AD15" s="5"/>
    </row>
    <row r="16">
      <c r="A16" s="6">
        <v>1.0</v>
      </c>
      <c r="B16" s="40" t="s">
        <v>51</v>
      </c>
      <c r="C16" s="29" t="s">
        <v>51</v>
      </c>
      <c r="D16" s="38" t="s">
        <v>52</v>
      </c>
      <c r="E16" s="38" t="s">
        <v>39</v>
      </c>
      <c r="F16" s="38"/>
      <c r="G16" s="30"/>
      <c r="H16" s="38" t="s">
        <v>53</v>
      </c>
      <c r="I16" s="8"/>
      <c r="J16" s="8"/>
      <c r="K16" s="8"/>
      <c r="L16" s="9"/>
      <c r="M16" s="9"/>
      <c r="N16" s="9"/>
      <c r="O16" s="9"/>
      <c r="P16" s="9"/>
      <c r="Q16" s="10"/>
      <c r="R16" s="24"/>
      <c r="S16" s="24"/>
      <c r="T16" s="24"/>
      <c r="U16" s="24"/>
      <c r="V16" s="24"/>
      <c r="W16" s="24"/>
      <c r="X16" s="24"/>
      <c r="Y16" s="24"/>
      <c r="Z16" s="24"/>
      <c r="AA16" s="24"/>
      <c r="AB16" s="24"/>
      <c r="AC16" s="24"/>
      <c r="AD16" s="24"/>
    </row>
    <row r="17">
      <c r="A17" s="16">
        <v>3.0</v>
      </c>
      <c r="B17" s="17" t="s">
        <v>24</v>
      </c>
      <c r="C17" s="18"/>
      <c r="D17" s="19" t="s">
        <v>54</v>
      </c>
      <c r="E17" s="19" t="s">
        <v>55</v>
      </c>
      <c r="F17" s="18"/>
      <c r="G17" s="21"/>
      <c r="H17" s="19" t="s">
        <v>56</v>
      </c>
      <c r="I17" s="18"/>
      <c r="J17" s="41"/>
      <c r="K17" s="18"/>
      <c r="L17" s="21"/>
      <c r="M17" s="21"/>
      <c r="N17" s="21"/>
      <c r="O17" s="21"/>
      <c r="P17" s="21"/>
      <c r="Q17" s="23"/>
      <c r="R17" s="5"/>
      <c r="S17" s="39"/>
      <c r="T17" s="5"/>
      <c r="U17" s="5"/>
      <c r="V17" s="5"/>
      <c r="W17" s="5"/>
      <c r="X17" s="5"/>
      <c r="Y17" s="5"/>
      <c r="Z17" s="5"/>
      <c r="AA17" s="5"/>
      <c r="AB17" s="5"/>
      <c r="AC17" s="5"/>
      <c r="AD17" s="5"/>
    </row>
    <row r="18">
      <c r="A18" s="6">
        <v>11.0</v>
      </c>
      <c r="B18" s="7" t="s">
        <v>17</v>
      </c>
      <c r="C18" s="8"/>
      <c r="D18" s="8" t="s">
        <v>57</v>
      </c>
      <c r="E18" s="8" t="s">
        <v>39</v>
      </c>
      <c r="F18" s="8"/>
      <c r="G18" s="8">
        <v>50.0</v>
      </c>
      <c r="H18" s="8" t="s">
        <v>58</v>
      </c>
      <c r="I18" s="8"/>
      <c r="J18" s="8"/>
      <c r="K18" s="8">
        <v>6.0</v>
      </c>
      <c r="L18" s="9"/>
      <c r="M18" s="9"/>
      <c r="N18" s="29"/>
      <c r="O18" s="30"/>
      <c r="P18" s="9"/>
      <c r="Q18" s="10"/>
      <c r="R18" s="5"/>
      <c r="S18" s="42"/>
      <c r="T18" s="5"/>
      <c r="U18" s="5"/>
      <c r="V18" s="5"/>
      <c r="W18" s="5"/>
      <c r="X18" s="5"/>
      <c r="Y18" s="5"/>
      <c r="Z18" s="5"/>
      <c r="AA18" s="5"/>
      <c r="AB18" s="5"/>
      <c r="AC18" s="5"/>
      <c r="AD18" s="5"/>
    </row>
    <row r="19">
      <c r="A19" s="11">
        <v>12.0</v>
      </c>
      <c r="B19" s="12" t="s">
        <v>17</v>
      </c>
      <c r="C19" s="13"/>
      <c r="D19" s="13" t="s">
        <v>59</v>
      </c>
      <c r="E19" s="13" t="s">
        <v>29</v>
      </c>
      <c r="F19" s="13"/>
      <c r="G19" s="13">
        <v>250.0</v>
      </c>
      <c r="H19" s="13" t="s">
        <v>46</v>
      </c>
      <c r="I19" s="13"/>
      <c r="J19" s="13"/>
      <c r="K19" s="13">
        <v>5.0</v>
      </c>
      <c r="L19" s="14"/>
      <c r="M19" s="14"/>
      <c r="N19" s="26"/>
      <c r="O19" s="27"/>
      <c r="P19" s="14"/>
      <c r="Q19" s="15"/>
      <c r="R19" s="43"/>
      <c r="S19" s="43"/>
      <c r="T19" s="43"/>
      <c r="U19" s="43"/>
      <c r="V19" s="43"/>
      <c r="W19" s="43"/>
      <c r="X19" s="43"/>
      <c r="Y19" s="43"/>
      <c r="Z19" s="43"/>
      <c r="AA19" s="43"/>
      <c r="AB19" s="43"/>
      <c r="AC19" s="43"/>
      <c r="AD19" s="43"/>
    </row>
    <row r="20">
      <c r="A20" s="16">
        <v>4.0</v>
      </c>
      <c r="B20" s="17" t="s">
        <v>24</v>
      </c>
      <c r="C20" s="18"/>
      <c r="D20" s="19" t="s">
        <v>60</v>
      </c>
      <c r="E20" s="19" t="s">
        <v>61</v>
      </c>
      <c r="F20" s="18"/>
      <c r="G20" s="18"/>
      <c r="H20" s="19" t="s">
        <v>62</v>
      </c>
      <c r="I20" s="18"/>
      <c r="J20" s="41"/>
      <c r="K20" s="18"/>
      <c r="L20" s="21"/>
      <c r="M20" s="21"/>
      <c r="N20" s="18"/>
      <c r="O20" s="21"/>
      <c r="P20" s="21"/>
      <c r="Q20" s="23"/>
      <c r="R20" s="5"/>
      <c r="S20" s="5"/>
      <c r="T20" s="5"/>
      <c r="U20" s="5"/>
      <c r="V20" s="5"/>
      <c r="W20" s="5"/>
      <c r="X20" s="5"/>
      <c r="Y20" s="5"/>
      <c r="Z20" s="5"/>
      <c r="AA20" s="5"/>
      <c r="AB20" s="5"/>
      <c r="AC20" s="5"/>
      <c r="AD20" s="5"/>
    </row>
    <row r="21">
      <c r="A21" s="11">
        <v>13.0</v>
      </c>
      <c r="B21" s="12" t="s">
        <v>17</v>
      </c>
      <c r="C21" s="13"/>
      <c r="D21" s="13" t="s">
        <v>63</v>
      </c>
      <c r="E21" s="13" t="s">
        <v>48</v>
      </c>
      <c r="F21" s="13">
        <v>110.0</v>
      </c>
      <c r="G21" s="13">
        <v>80.0</v>
      </c>
      <c r="H21" s="13" t="s">
        <v>64</v>
      </c>
      <c r="I21" s="13"/>
      <c r="J21" s="13"/>
      <c r="K21" s="13">
        <v>19.0</v>
      </c>
      <c r="L21" s="13">
        <v>95.0</v>
      </c>
      <c r="M21" s="13">
        <v>70.0</v>
      </c>
      <c r="N21" s="26"/>
      <c r="O21" s="27"/>
      <c r="P21" s="14"/>
      <c r="Q21" s="15"/>
      <c r="R21" s="5"/>
      <c r="S21" s="5"/>
      <c r="T21" s="5"/>
      <c r="U21" s="5"/>
      <c r="V21" s="5"/>
      <c r="W21" s="5"/>
      <c r="X21" s="5"/>
      <c r="Y21" s="5"/>
      <c r="Z21" s="5"/>
      <c r="AA21" s="5"/>
      <c r="AB21" s="5"/>
      <c r="AC21" s="5"/>
      <c r="AD21" s="5"/>
    </row>
    <row r="22">
      <c r="A22" s="6">
        <v>1.0</v>
      </c>
      <c r="B22" s="7" t="s">
        <v>65</v>
      </c>
      <c r="C22" s="8"/>
      <c r="D22" s="8" t="s">
        <v>66</v>
      </c>
      <c r="E22" s="8" t="s">
        <v>39</v>
      </c>
      <c r="F22" s="8">
        <v>14.0</v>
      </c>
      <c r="G22" s="8">
        <v>14.0</v>
      </c>
      <c r="H22" s="8" t="s">
        <v>53</v>
      </c>
      <c r="I22" s="8"/>
      <c r="J22" s="8"/>
      <c r="K22" s="8">
        <v>0.0</v>
      </c>
      <c r="L22" s="9"/>
      <c r="M22" s="9"/>
      <c r="N22" s="9"/>
      <c r="O22" s="9"/>
      <c r="P22" s="29"/>
      <c r="Q22" s="10"/>
      <c r="R22" s="5"/>
      <c r="S22" s="5"/>
      <c r="T22" s="5"/>
      <c r="U22" s="5"/>
      <c r="V22" s="5"/>
      <c r="W22" s="5"/>
      <c r="X22" s="5"/>
      <c r="Y22" s="5"/>
      <c r="Z22" s="5"/>
      <c r="AA22" s="5"/>
      <c r="AB22" s="5"/>
      <c r="AC22" s="5"/>
      <c r="AD22" s="5"/>
    </row>
    <row r="23">
      <c r="A23" s="11">
        <v>14.0</v>
      </c>
      <c r="B23" s="12" t="s">
        <v>17</v>
      </c>
      <c r="C23" s="13"/>
      <c r="D23" s="13" t="s">
        <v>67</v>
      </c>
      <c r="E23" s="13" t="s">
        <v>39</v>
      </c>
      <c r="F23" s="13"/>
      <c r="G23" s="13">
        <v>18.0</v>
      </c>
      <c r="H23" s="13" t="s">
        <v>68</v>
      </c>
      <c r="I23" s="13"/>
      <c r="J23" s="13"/>
      <c r="K23" s="13">
        <v>6.0</v>
      </c>
      <c r="L23" s="13">
        <v>70.0</v>
      </c>
      <c r="M23" s="14"/>
      <c r="N23" s="44"/>
      <c r="O23" s="27"/>
      <c r="P23" s="14"/>
      <c r="Q23" s="15"/>
      <c r="R23" s="5"/>
      <c r="S23" s="5"/>
      <c r="T23" s="5"/>
      <c r="U23" s="5"/>
      <c r="V23" s="5"/>
      <c r="W23" s="5"/>
      <c r="X23" s="5"/>
      <c r="Y23" s="5"/>
      <c r="Z23" s="5"/>
      <c r="AA23" s="5"/>
      <c r="AB23" s="5"/>
      <c r="AC23" s="5"/>
      <c r="AD23" s="5"/>
    </row>
    <row r="24">
      <c r="A24" s="6">
        <v>15.0</v>
      </c>
      <c r="B24" s="7" t="s">
        <v>17</v>
      </c>
      <c r="C24" s="8"/>
      <c r="D24" s="8" t="s">
        <v>69</v>
      </c>
      <c r="E24" s="8" t="s">
        <v>70</v>
      </c>
      <c r="F24" s="9"/>
      <c r="G24" s="8">
        <v>40.0</v>
      </c>
      <c r="H24" s="8" t="s">
        <v>71</v>
      </c>
      <c r="I24" s="8"/>
      <c r="J24" s="8"/>
      <c r="K24" s="8">
        <v>0.0</v>
      </c>
      <c r="L24" s="9"/>
      <c r="M24" s="9"/>
      <c r="N24" s="29"/>
      <c r="O24" s="30"/>
      <c r="P24" s="9"/>
      <c r="Q24" s="10"/>
      <c r="R24" s="5"/>
      <c r="S24" s="5"/>
      <c r="T24" s="5"/>
      <c r="U24" s="5"/>
      <c r="V24" s="5"/>
      <c r="W24" s="5"/>
      <c r="X24" s="5"/>
      <c r="Y24" s="5"/>
      <c r="Z24" s="5"/>
      <c r="AA24" s="5"/>
      <c r="AB24" s="5"/>
      <c r="AC24" s="5"/>
      <c r="AD24" s="5"/>
    </row>
    <row r="25">
      <c r="A25" s="11">
        <v>16.0</v>
      </c>
      <c r="B25" s="12" t="s">
        <v>17</v>
      </c>
      <c r="C25" s="13"/>
      <c r="D25" s="13" t="s">
        <v>72</v>
      </c>
      <c r="E25" s="13" t="s">
        <v>39</v>
      </c>
      <c r="F25" s="14"/>
      <c r="G25" s="13">
        <v>30.0</v>
      </c>
      <c r="H25" s="13" t="s">
        <v>73</v>
      </c>
      <c r="I25" s="13"/>
      <c r="J25" s="13"/>
      <c r="K25" s="13">
        <v>3.0</v>
      </c>
      <c r="L25" s="14"/>
      <c r="M25" s="14"/>
      <c r="N25" s="14"/>
      <c r="O25" s="14"/>
      <c r="P25" s="14"/>
      <c r="Q25" s="15"/>
      <c r="R25" s="5"/>
      <c r="S25" s="5"/>
      <c r="T25" s="5"/>
      <c r="U25" s="5"/>
      <c r="V25" s="5"/>
      <c r="W25" s="5"/>
      <c r="X25" s="5"/>
      <c r="Y25" s="5"/>
      <c r="Z25" s="5"/>
      <c r="AA25" s="5"/>
      <c r="AB25" s="5"/>
      <c r="AC25" s="5"/>
      <c r="AD25" s="5"/>
    </row>
    <row r="26">
      <c r="A26" s="6">
        <v>2.0</v>
      </c>
      <c r="B26" s="7" t="s">
        <v>65</v>
      </c>
      <c r="C26" s="8"/>
      <c r="D26" s="8" t="s">
        <v>74</v>
      </c>
      <c r="E26" s="8" t="s">
        <v>39</v>
      </c>
      <c r="F26" s="9"/>
      <c r="G26" s="8">
        <v>45.0</v>
      </c>
      <c r="H26" s="8" t="s">
        <v>53</v>
      </c>
      <c r="I26" s="8"/>
      <c r="J26" s="8"/>
      <c r="K26" s="8" t="s">
        <v>75</v>
      </c>
      <c r="L26" s="9"/>
      <c r="M26" s="9"/>
      <c r="N26" s="8">
        <v>4.0</v>
      </c>
      <c r="O26" s="9"/>
      <c r="P26" s="29"/>
      <c r="Q26" s="10"/>
      <c r="R26" s="5"/>
      <c r="S26" s="5"/>
      <c r="T26" s="5"/>
      <c r="U26" s="5"/>
      <c r="V26" s="5"/>
      <c r="W26" s="5"/>
      <c r="X26" s="5"/>
      <c r="Y26" s="5"/>
      <c r="Z26" s="5"/>
      <c r="AA26" s="5"/>
      <c r="AB26" s="5"/>
      <c r="AC26" s="5"/>
      <c r="AD26" s="5"/>
    </row>
    <row r="27">
      <c r="A27" s="11">
        <v>17.0</v>
      </c>
      <c r="B27" s="12" t="s">
        <v>17</v>
      </c>
      <c r="C27" s="13"/>
      <c r="D27" s="13" t="s">
        <v>76</v>
      </c>
      <c r="E27" s="13" t="s">
        <v>45</v>
      </c>
      <c r="F27" s="14"/>
      <c r="G27" s="13">
        <v>50.0</v>
      </c>
      <c r="H27" s="13" t="s">
        <v>77</v>
      </c>
      <c r="I27" s="13"/>
      <c r="J27" s="13"/>
      <c r="K27" s="13">
        <v>0.0</v>
      </c>
      <c r="L27" s="14"/>
      <c r="M27" s="14"/>
      <c r="N27" s="14"/>
      <c r="O27" s="14"/>
      <c r="P27" s="26"/>
      <c r="Q27" s="15"/>
      <c r="R27" s="5"/>
      <c r="S27" s="5"/>
      <c r="T27" s="5"/>
      <c r="U27" s="5"/>
      <c r="V27" s="5"/>
      <c r="W27" s="5"/>
      <c r="X27" s="5"/>
      <c r="Y27" s="5"/>
      <c r="Z27" s="5"/>
      <c r="AA27" s="5"/>
      <c r="AB27" s="5"/>
      <c r="AC27" s="5"/>
      <c r="AD27" s="5"/>
    </row>
    <row r="28">
      <c r="A28" s="6">
        <v>3.0</v>
      </c>
      <c r="B28" s="7" t="s">
        <v>31</v>
      </c>
      <c r="C28" s="8"/>
      <c r="D28" s="8" t="s">
        <v>78</v>
      </c>
      <c r="E28" s="8" t="s">
        <v>26</v>
      </c>
      <c r="F28" s="8">
        <v>150.0</v>
      </c>
      <c r="G28" s="8">
        <v>130.0</v>
      </c>
      <c r="H28" s="8" t="s">
        <v>27</v>
      </c>
      <c r="I28" s="8"/>
      <c r="J28" s="8"/>
      <c r="K28" s="8" t="s">
        <v>79</v>
      </c>
      <c r="L28" s="9"/>
      <c r="M28" s="9"/>
      <c r="N28" s="9"/>
      <c r="O28" s="9"/>
      <c r="P28" s="29"/>
      <c r="Q28" s="10"/>
      <c r="R28" s="5"/>
      <c r="S28" s="5"/>
      <c r="T28" s="5"/>
      <c r="U28" s="5"/>
      <c r="V28" s="5"/>
      <c r="W28" s="5"/>
      <c r="X28" s="5"/>
      <c r="Y28" s="5"/>
      <c r="Z28" s="5"/>
      <c r="AA28" s="5"/>
      <c r="AB28" s="5"/>
      <c r="AC28" s="5"/>
      <c r="AD28" s="5"/>
    </row>
    <row r="29">
      <c r="A29" s="11">
        <v>18.0</v>
      </c>
      <c r="B29" s="12" t="s">
        <v>17</v>
      </c>
      <c r="C29" s="13"/>
      <c r="D29" s="13" t="s">
        <v>80</v>
      </c>
      <c r="E29" s="13" t="s">
        <v>81</v>
      </c>
      <c r="F29" s="13">
        <v>150.0</v>
      </c>
      <c r="G29" s="13">
        <v>129.0</v>
      </c>
      <c r="H29" s="13" t="s">
        <v>46</v>
      </c>
      <c r="I29" s="13"/>
      <c r="J29" s="13" t="s">
        <v>82</v>
      </c>
      <c r="K29" s="13" t="s">
        <v>83</v>
      </c>
      <c r="L29" s="14"/>
      <c r="M29" s="45">
        <v>0.7157</v>
      </c>
      <c r="N29" s="13">
        <v>17.0</v>
      </c>
      <c r="O29" s="45">
        <v>0.8258</v>
      </c>
      <c r="P29" s="26" t="s">
        <v>84</v>
      </c>
      <c r="Q29" s="46" t="s">
        <v>85</v>
      </c>
      <c r="R29" s="5"/>
      <c r="S29" s="5"/>
      <c r="T29" s="5"/>
      <c r="U29" s="5"/>
      <c r="V29" s="5"/>
      <c r="W29" s="5"/>
      <c r="X29" s="5"/>
      <c r="Y29" s="5"/>
      <c r="Z29" s="5"/>
      <c r="AA29" s="5"/>
      <c r="AB29" s="5"/>
      <c r="AC29" s="5"/>
      <c r="AD29" s="5"/>
    </row>
    <row r="30">
      <c r="A30" s="6">
        <v>20.0</v>
      </c>
      <c r="B30" s="47" t="s">
        <v>17</v>
      </c>
      <c r="C30" s="38"/>
      <c r="D30" s="8" t="s">
        <v>86</v>
      </c>
      <c r="E30" s="8" t="s">
        <v>39</v>
      </c>
      <c r="F30" s="8">
        <v>50.0</v>
      </c>
      <c r="G30" s="8">
        <v>8.0</v>
      </c>
      <c r="H30" s="8" t="s">
        <v>87</v>
      </c>
      <c r="I30" s="8" t="s">
        <v>88</v>
      </c>
      <c r="J30" s="9"/>
      <c r="K30" s="8">
        <v>6.5</v>
      </c>
      <c r="L30" s="9"/>
      <c r="M30" s="9"/>
      <c r="N30" s="9"/>
      <c r="O30" s="9"/>
      <c r="P30" s="9"/>
      <c r="Q30" s="10"/>
      <c r="R30" s="5"/>
      <c r="S30" s="5"/>
      <c r="T30" s="5"/>
      <c r="U30" s="5"/>
      <c r="V30" s="5"/>
      <c r="W30" s="5"/>
      <c r="X30" s="5"/>
      <c r="Y30" s="5"/>
      <c r="Z30" s="5"/>
      <c r="AA30" s="5"/>
      <c r="AB30" s="5"/>
      <c r="AC30" s="5"/>
      <c r="AD30" s="5"/>
    </row>
    <row r="31">
      <c r="A31" s="11">
        <v>3.0</v>
      </c>
      <c r="B31" s="48" t="s">
        <v>65</v>
      </c>
      <c r="C31" s="49"/>
      <c r="D31" s="50" t="s">
        <v>89</v>
      </c>
      <c r="E31" s="50" t="s">
        <v>39</v>
      </c>
      <c r="F31" s="50">
        <v>50.0</v>
      </c>
      <c r="G31" s="51"/>
      <c r="H31" s="50" t="s">
        <v>90</v>
      </c>
      <c r="I31" s="50"/>
      <c r="J31" s="50" t="s">
        <v>90</v>
      </c>
      <c r="K31" s="14"/>
      <c r="L31" s="14"/>
      <c r="M31" s="14"/>
      <c r="N31" s="14"/>
      <c r="O31" s="14"/>
      <c r="P31" s="14"/>
      <c r="Q31" s="15"/>
      <c r="R31" s="5"/>
      <c r="S31" s="5"/>
      <c r="T31" s="5"/>
      <c r="U31" s="5"/>
      <c r="V31" s="5"/>
      <c r="W31" s="5"/>
      <c r="X31" s="5"/>
      <c r="Y31" s="5"/>
      <c r="Z31" s="5"/>
      <c r="AA31" s="5"/>
      <c r="AB31" s="5"/>
      <c r="AC31" s="5"/>
      <c r="AD31" s="5"/>
    </row>
    <row r="32">
      <c r="A32" s="6">
        <v>5.0</v>
      </c>
      <c r="B32" s="7" t="s">
        <v>24</v>
      </c>
      <c r="C32" s="8"/>
      <c r="D32" s="8" t="s">
        <v>91</v>
      </c>
      <c r="E32" s="8" t="s">
        <v>81</v>
      </c>
      <c r="F32" s="9"/>
      <c r="G32" s="9"/>
      <c r="H32" s="8" t="s">
        <v>53</v>
      </c>
      <c r="I32" s="8"/>
      <c r="J32" s="8" t="s">
        <v>92</v>
      </c>
      <c r="K32" s="9"/>
      <c r="L32" s="9"/>
      <c r="M32" s="9"/>
      <c r="N32" s="9"/>
      <c r="O32" s="9"/>
      <c r="P32" s="9"/>
      <c r="Q32" s="10"/>
      <c r="R32" s="5"/>
      <c r="S32" s="5"/>
      <c r="T32" s="5"/>
      <c r="U32" s="5"/>
      <c r="V32" s="5"/>
      <c r="W32" s="5"/>
      <c r="X32" s="5"/>
      <c r="Y32" s="5"/>
      <c r="Z32" s="5"/>
      <c r="AA32" s="5"/>
      <c r="AB32" s="5"/>
      <c r="AC32" s="5"/>
      <c r="AD32" s="5"/>
    </row>
    <row r="33">
      <c r="A33" s="11">
        <v>1.0</v>
      </c>
      <c r="B33" s="12" t="s">
        <v>93</v>
      </c>
      <c r="C33" s="13" t="s">
        <v>94</v>
      </c>
      <c r="D33" s="13" t="s">
        <v>95</v>
      </c>
      <c r="E33" s="13" t="s">
        <v>96</v>
      </c>
      <c r="F33" s="13">
        <v>130.0</v>
      </c>
      <c r="G33" s="13">
        <v>130.0</v>
      </c>
      <c r="H33" s="13" t="s">
        <v>27</v>
      </c>
      <c r="I33" s="13" t="s">
        <v>97</v>
      </c>
      <c r="J33" s="13" t="s">
        <v>98</v>
      </c>
      <c r="K33" s="13">
        <v>2.9</v>
      </c>
      <c r="L33" s="14"/>
      <c r="M33" s="14"/>
      <c r="N33" s="14"/>
      <c r="O33" s="14"/>
      <c r="P33" s="14"/>
      <c r="Q33" s="15"/>
      <c r="R33" s="5"/>
      <c r="S33" s="5"/>
      <c r="T33" s="5"/>
      <c r="U33" s="5"/>
      <c r="V33" s="5"/>
      <c r="W33" s="5"/>
      <c r="X33" s="5"/>
      <c r="Y33" s="5"/>
      <c r="Z33" s="5"/>
      <c r="AA33" s="5"/>
      <c r="AB33" s="5"/>
      <c r="AC33" s="5"/>
      <c r="AD33" s="5"/>
    </row>
    <row r="34">
      <c r="A34" s="6">
        <v>2.0</v>
      </c>
      <c r="B34" s="40" t="s">
        <v>93</v>
      </c>
      <c r="C34" s="29" t="s">
        <v>51</v>
      </c>
      <c r="D34" s="38" t="s">
        <v>99</v>
      </c>
      <c r="E34" s="38" t="s">
        <v>39</v>
      </c>
      <c r="F34" s="38">
        <v>70.0</v>
      </c>
      <c r="G34" s="30"/>
      <c r="H34" s="38" t="s">
        <v>100</v>
      </c>
      <c r="I34" s="8" t="s">
        <v>101</v>
      </c>
      <c r="J34" s="8" t="s">
        <v>102</v>
      </c>
      <c r="K34" s="8">
        <v>1.29</v>
      </c>
      <c r="L34" s="9"/>
      <c r="M34" s="9"/>
      <c r="N34" s="9"/>
      <c r="O34" s="9"/>
      <c r="P34" s="9"/>
      <c r="Q34" s="10"/>
      <c r="R34" s="5"/>
      <c r="S34" s="5"/>
      <c r="T34" s="5"/>
      <c r="U34" s="5"/>
      <c r="V34" s="5"/>
      <c r="W34" s="5"/>
      <c r="X34" s="5"/>
      <c r="Y34" s="5"/>
      <c r="Z34" s="5"/>
      <c r="AA34" s="5"/>
      <c r="AB34" s="5"/>
      <c r="AC34" s="5"/>
      <c r="AD34" s="5"/>
    </row>
    <row r="35">
      <c r="A35" s="11">
        <v>4.0</v>
      </c>
      <c r="B35" s="48" t="s">
        <v>103</v>
      </c>
      <c r="C35" s="49"/>
      <c r="D35" s="13" t="s">
        <v>104</v>
      </c>
      <c r="E35" s="13" t="s">
        <v>81</v>
      </c>
      <c r="F35" s="13">
        <v>70.0</v>
      </c>
      <c r="G35" s="14"/>
      <c r="H35" s="13" t="s">
        <v>100</v>
      </c>
      <c r="I35" s="13" t="s">
        <v>105</v>
      </c>
      <c r="J35" s="13"/>
      <c r="K35" s="13">
        <v>15.0</v>
      </c>
      <c r="L35" s="14"/>
      <c r="M35" s="14"/>
      <c r="N35" s="14"/>
      <c r="O35" s="14"/>
      <c r="P35" s="14"/>
      <c r="Q35" s="15"/>
      <c r="R35" s="5"/>
      <c r="S35" s="5"/>
      <c r="T35" s="5"/>
      <c r="U35" s="5"/>
      <c r="V35" s="5"/>
      <c r="W35" s="5"/>
      <c r="X35" s="5"/>
      <c r="Y35" s="5"/>
      <c r="Z35" s="5"/>
      <c r="AA35" s="5"/>
      <c r="AB35" s="5"/>
      <c r="AC35" s="5"/>
      <c r="AD35" s="5"/>
    </row>
    <row r="36">
      <c r="A36" s="6">
        <v>19.0</v>
      </c>
      <c r="B36" s="47" t="s">
        <v>17</v>
      </c>
      <c r="C36" s="38"/>
      <c r="D36" s="8" t="s">
        <v>106</v>
      </c>
      <c r="E36" s="8" t="s">
        <v>96</v>
      </c>
      <c r="F36" s="8">
        <v>200.0</v>
      </c>
      <c r="G36" s="9"/>
      <c r="H36" s="8" t="s">
        <v>46</v>
      </c>
      <c r="I36" s="8" t="s">
        <v>107</v>
      </c>
      <c r="J36" s="9"/>
      <c r="K36" s="8" t="s">
        <v>108</v>
      </c>
      <c r="L36" s="9"/>
      <c r="M36" s="9"/>
      <c r="N36" s="8">
        <v>9.0</v>
      </c>
      <c r="O36" s="9"/>
      <c r="P36" s="9"/>
      <c r="Q36" s="10"/>
      <c r="R36" s="5"/>
      <c r="S36" s="5"/>
      <c r="T36" s="5"/>
      <c r="U36" s="5"/>
      <c r="V36" s="5"/>
      <c r="W36" s="5"/>
      <c r="X36" s="5"/>
      <c r="Y36" s="5"/>
      <c r="Z36" s="5"/>
      <c r="AA36" s="5"/>
      <c r="AB36" s="5"/>
      <c r="AC36" s="5"/>
      <c r="AD36" s="5"/>
    </row>
    <row r="37">
      <c r="A37" s="11">
        <v>6.0</v>
      </c>
      <c r="B37" s="48" t="s">
        <v>103</v>
      </c>
      <c r="C37" s="13"/>
      <c r="D37" s="13" t="s">
        <v>109</v>
      </c>
      <c r="E37" s="13" t="s">
        <v>96</v>
      </c>
      <c r="F37" s="14"/>
      <c r="G37" s="14"/>
      <c r="H37" s="13" t="s">
        <v>53</v>
      </c>
      <c r="I37" s="14"/>
      <c r="J37" s="14"/>
      <c r="K37" s="14"/>
      <c r="L37" s="14"/>
      <c r="M37" s="14"/>
      <c r="N37" s="14"/>
      <c r="O37" s="14"/>
      <c r="P37" s="14"/>
      <c r="Q37" s="15"/>
      <c r="R37" s="5"/>
      <c r="S37" s="5"/>
      <c r="T37" s="5"/>
      <c r="U37" s="5"/>
      <c r="V37" s="5"/>
      <c r="W37" s="5"/>
      <c r="X37" s="5"/>
      <c r="Y37" s="5"/>
      <c r="Z37" s="5"/>
      <c r="AA37" s="5"/>
      <c r="AB37" s="5"/>
      <c r="AC37" s="5"/>
      <c r="AD37" s="5"/>
    </row>
    <row r="38">
      <c r="A38" s="6">
        <v>4.0</v>
      </c>
      <c r="B38" s="7" t="s">
        <v>31</v>
      </c>
      <c r="C38" s="52"/>
      <c r="D38" s="8" t="s">
        <v>110</v>
      </c>
      <c r="E38" s="8" t="s">
        <v>96</v>
      </c>
      <c r="F38" s="9"/>
      <c r="G38" s="9"/>
      <c r="H38" s="8" t="s">
        <v>27</v>
      </c>
      <c r="I38" s="9"/>
      <c r="J38" s="9"/>
      <c r="K38" s="9"/>
      <c r="L38" s="9"/>
      <c r="M38" s="9"/>
      <c r="N38" s="9"/>
      <c r="O38" s="9"/>
      <c r="P38" s="9"/>
      <c r="Q38" s="10"/>
      <c r="R38" s="5"/>
      <c r="S38" s="5"/>
      <c r="T38" s="5"/>
      <c r="U38" s="5"/>
      <c r="V38" s="5"/>
      <c r="W38" s="5"/>
      <c r="X38" s="5"/>
      <c r="Y38" s="5"/>
      <c r="Z38" s="5"/>
      <c r="AA38" s="5"/>
      <c r="AB38" s="5"/>
      <c r="AC38" s="5"/>
      <c r="AD38" s="5"/>
    </row>
    <row r="39">
      <c r="A39" s="11">
        <v>5.0</v>
      </c>
      <c r="B39" s="48" t="s">
        <v>103</v>
      </c>
      <c r="C39" s="13"/>
      <c r="D39" s="13" t="s">
        <v>111</v>
      </c>
      <c r="E39" s="13" t="s">
        <v>81</v>
      </c>
      <c r="F39" s="14"/>
      <c r="G39" s="14"/>
      <c r="H39" s="13" t="s">
        <v>53</v>
      </c>
      <c r="I39" s="13"/>
      <c r="J39" s="13"/>
      <c r="K39" s="13"/>
      <c r="L39" s="53"/>
      <c r="M39" s="14"/>
      <c r="N39" s="14"/>
      <c r="O39" s="14"/>
      <c r="P39" s="14"/>
      <c r="Q39" s="15"/>
      <c r="R39" s="5"/>
      <c r="S39" s="5"/>
      <c r="T39" s="5"/>
      <c r="U39" s="5"/>
      <c r="V39" s="5"/>
      <c r="W39" s="5"/>
      <c r="X39" s="5"/>
      <c r="Y39" s="5"/>
      <c r="Z39" s="5"/>
      <c r="AA39" s="5"/>
      <c r="AB39" s="5"/>
      <c r="AC39" s="5"/>
      <c r="AD39" s="5"/>
    </row>
    <row r="40">
      <c r="A40" s="6">
        <v>20.0</v>
      </c>
      <c r="B40" s="7" t="s">
        <v>17</v>
      </c>
      <c r="C40" s="8"/>
      <c r="D40" s="8" t="s">
        <v>112</v>
      </c>
      <c r="E40" s="8" t="s">
        <v>39</v>
      </c>
      <c r="F40" s="9"/>
      <c r="G40" s="9"/>
      <c r="H40" s="9"/>
      <c r="I40" s="8"/>
      <c r="J40" s="8"/>
      <c r="K40" s="9"/>
      <c r="L40" s="9"/>
      <c r="M40" s="9"/>
      <c r="N40" s="9"/>
      <c r="O40" s="9"/>
      <c r="P40" s="9"/>
      <c r="Q40" s="10"/>
      <c r="R40" s="5"/>
      <c r="S40" s="5"/>
      <c r="T40" s="5"/>
      <c r="U40" s="5"/>
      <c r="V40" s="5"/>
      <c r="W40" s="5"/>
      <c r="X40" s="5"/>
      <c r="Y40" s="5"/>
      <c r="Z40" s="5"/>
      <c r="AA40" s="5"/>
      <c r="AB40" s="5"/>
      <c r="AC40" s="5"/>
      <c r="AD40" s="5"/>
    </row>
    <row r="41">
      <c r="A41" s="11">
        <v>6.0</v>
      </c>
      <c r="B41" s="12" t="s">
        <v>24</v>
      </c>
      <c r="C41" s="54"/>
      <c r="D41" s="13" t="s">
        <v>113</v>
      </c>
      <c r="E41" s="13" t="s">
        <v>96</v>
      </c>
      <c r="F41" s="14"/>
      <c r="G41" s="14"/>
      <c r="H41" s="13" t="s">
        <v>53</v>
      </c>
      <c r="I41" s="14"/>
      <c r="J41" s="14"/>
      <c r="K41" s="14"/>
      <c r="L41" s="14"/>
      <c r="M41" s="14"/>
      <c r="N41" s="14"/>
      <c r="O41" s="14"/>
      <c r="P41" s="14"/>
      <c r="Q41" s="15"/>
      <c r="R41" s="5"/>
      <c r="S41" s="5"/>
      <c r="T41" s="5"/>
      <c r="U41" s="5"/>
      <c r="V41" s="5"/>
      <c r="W41" s="5"/>
      <c r="X41" s="5"/>
      <c r="Y41" s="5"/>
      <c r="Z41" s="5"/>
      <c r="AA41" s="5"/>
      <c r="AB41" s="5"/>
      <c r="AC41" s="5"/>
      <c r="AD41" s="5"/>
    </row>
    <row r="42">
      <c r="A42" s="6">
        <v>2.0</v>
      </c>
      <c r="B42" s="7" t="s">
        <v>93</v>
      </c>
      <c r="C42" s="8" t="s">
        <v>94</v>
      </c>
      <c r="D42" s="8" t="s">
        <v>114</v>
      </c>
      <c r="E42" s="8" t="s">
        <v>96</v>
      </c>
      <c r="F42" s="9"/>
      <c r="G42" s="9"/>
      <c r="H42" s="8" t="s">
        <v>27</v>
      </c>
      <c r="I42" s="9"/>
      <c r="J42" s="9"/>
      <c r="K42" s="9"/>
      <c r="L42" s="9"/>
      <c r="M42" s="9"/>
      <c r="N42" s="9"/>
      <c r="O42" s="9"/>
      <c r="P42" s="9"/>
      <c r="Q42" s="10"/>
      <c r="R42" s="5"/>
      <c r="S42" s="5"/>
      <c r="T42" s="5"/>
      <c r="U42" s="5"/>
      <c r="V42" s="5"/>
      <c r="W42" s="5"/>
      <c r="X42" s="5"/>
      <c r="Y42" s="5"/>
      <c r="Z42" s="5"/>
      <c r="AA42" s="5"/>
      <c r="AB42" s="5"/>
      <c r="AC42" s="5"/>
      <c r="AD42" s="5"/>
    </row>
    <row r="43">
      <c r="A43" s="11">
        <v>7.0</v>
      </c>
      <c r="B43" s="12" t="s">
        <v>103</v>
      </c>
      <c r="C43" s="54"/>
      <c r="D43" s="13" t="s">
        <v>115</v>
      </c>
      <c r="E43" s="13" t="s">
        <v>116</v>
      </c>
      <c r="F43" s="13">
        <v>150.0</v>
      </c>
      <c r="G43" s="14"/>
      <c r="H43" s="13"/>
      <c r="I43" s="14"/>
      <c r="J43" s="13" t="s">
        <v>117</v>
      </c>
      <c r="K43" s="14"/>
      <c r="L43" s="14"/>
      <c r="M43" s="14"/>
      <c r="N43" s="14"/>
      <c r="O43" s="14"/>
      <c r="P43" s="14"/>
      <c r="Q43" s="15"/>
      <c r="R43" s="5"/>
      <c r="S43" s="5"/>
      <c r="T43" s="5"/>
      <c r="U43" s="5"/>
      <c r="V43" s="5"/>
      <c r="W43" s="5"/>
      <c r="X43" s="5"/>
      <c r="Y43" s="5"/>
      <c r="Z43" s="5"/>
      <c r="AA43" s="5"/>
      <c r="AB43" s="5"/>
      <c r="AC43" s="5"/>
      <c r="AD43" s="5"/>
    </row>
    <row r="44">
      <c r="A44" s="55"/>
      <c r="B44" s="56"/>
      <c r="C44" s="52"/>
      <c r="D44" s="8"/>
      <c r="E44" s="8"/>
      <c r="F44" s="9"/>
      <c r="G44" s="9"/>
      <c r="H44" s="8"/>
      <c r="I44" s="9"/>
      <c r="J44" s="9"/>
      <c r="K44" s="9"/>
      <c r="L44" s="9"/>
      <c r="M44" s="9"/>
      <c r="N44" s="9"/>
      <c r="O44" s="9"/>
      <c r="P44" s="9"/>
      <c r="Q44" s="10"/>
      <c r="R44" s="5"/>
      <c r="S44" s="5"/>
      <c r="T44" s="5"/>
      <c r="U44" s="5"/>
      <c r="V44" s="5"/>
      <c r="W44" s="5"/>
      <c r="X44" s="5"/>
      <c r="Y44" s="5"/>
      <c r="Z44" s="5"/>
      <c r="AA44" s="5"/>
      <c r="AB44" s="5"/>
      <c r="AC44" s="5"/>
      <c r="AD44" s="5"/>
    </row>
    <row r="45">
      <c r="A45" s="11">
        <v>1.0</v>
      </c>
      <c r="B45" s="12" t="s">
        <v>118</v>
      </c>
      <c r="C45" s="13"/>
      <c r="D45" s="13" t="s">
        <v>119</v>
      </c>
      <c r="E45" s="13"/>
      <c r="F45" s="13">
        <v>500.0</v>
      </c>
      <c r="G45" s="13"/>
      <c r="H45" s="13"/>
      <c r="I45" s="14"/>
      <c r="J45" s="14"/>
      <c r="K45" s="14"/>
      <c r="L45" s="14"/>
      <c r="M45" s="14"/>
      <c r="N45" s="14"/>
      <c r="O45" s="14"/>
      <c r="P45" s="14"/>
      <c r="Q45" s="15"/>
      <c r="R45" s="5"/>
      <c r="S45" s="5"/>
      <c r="T45" s="5"/>
      <c r="U45" s="5"/>
      <c r="V45" s="5"/>
      <c r="W45" s="5"/>
      <c r="X45" s="5"/>
      <c r="Y45" s="5"/>
      <c r="Z45" s="5"/>
      <c r="AA45" s="5"/>
      <c r="AB45" s="5"/>
      <c r="AC45" s="5"/>
      <c r="AD45" s="5"/>
    </row>
    <row r="46">
      <c r="A46" s="6">
        <v>22.0</v>
      </c>
      <c r="B46" s="7" t="s">
        <v>17</v>
      </c>
      <c r="C46" s="8"/>
      <c r="D46" s="9"/>
      <c r="E46" s="8" t="s">
        <v>120</v>
      </c>
      <c r="F46" s="8" t="s">
        <v>121</v>
      </c>
      <c r="G46" s="8" t="s">
        <v>122</v>
      </c>
      <c r="H46" s="8" t="s">
        <v>123</v>
      </c>
      <c r="I46" s="8"/>
      <c r="J46" s="8" t="s">
        <v>123</v>
      </c>
      <c r="K46" s="8"/>
      <c r="L46" s="9"/>
      <c r="M46" s="9"/>
      <c r="N46" s="9"/>
      <c r="O46" s="9"/>
      <c r="P46" s="9"/>
      <c r="Q46" s="10"/>
      <c r="R46" s="5"/>
      <c r="S46" s="5"/>
      <c r="T46" s="5"/>
      <c r="U46" s="5"/>
      <c r="V46" s="5"/>
      <c r="W46" s="5"/>
      <c r="X46" s="5"/>
      <c r="Y46" s="5"/>
      <c r="Z46" s="5"/>
      <c r="AA46" s="5"/>
      <c r="AB46" s="5"/>
      <c r="AC46" s="5"/>
      <c r="AD46" s="5"/>
    </row>
    <row r="47">
      <c r="A47" s="57"/>
      <c r="B47" s="12" t="s">
        <v>124</v>
      </c>
      <c r="C47" s="13"/>
      <c r="D47" s="13" t="s">
        <v>125</v>
      </c>
      <c r="E47" s="14"/>
      <c r="F47" s="14"/>
      <c r="G47" s="14"/>
      <c r="H47" s="13" t="s">
        <v>77</v>
      </c>
      <c r="I47" s="13"/>
      <c r="J47" s="13"/>
      <c r="K47" s="14"/>
      <c r="L47" s="14"/>
      <c r="M47" s="14"/>
      <c r="N47" s="14"/>
      <c r="O47" s="14"/>
      <c r="P47" s="14"/>
      <c r="Q47" s="15"/>
      <c r="R47" s="5"/>
      <c r="S47" s="5"/>
      <c r="T47" s="5"/>
      <c r="U47" s="5"/>
      <c r="V47" s="5"/>
      <c r="W47" s="5"/>
      <c r="X47" s="5"/>
      <c r="Y47" s="5"/>
      <c r="Z47" s="5"/>
      <c r="AA47" s="5"/>
      <c r="AB47" s="5"/>
      <c r="AC47" s="5"/>
      <c r="AD47" s="5"/>
    </row>
    <row r="48">
      <c r="A48" s="55"/>
      <c r="B48" s="7" t="s">
        <v>126</v>
      </c>
      <c r="C48" s="52"/>
      <c r="D48" s="8"/>
      <c r="E48" s="9"/>
      <c r="F48" s="9"/>
      <c r="G48" s="8"/>
      <c r="H48" s="9"/>
      <c r="I48" s="9"/>
      <c r="J48" s="9"/>
      <c r="K48" s="58"/>
      <c r="L48" s="9"/>
      <c r="M48" s="9"/>
      <c r="N48" s="9"/>
      <c r="O48" s="9"/>
      <c r="P48" s="9"/>
      <c r="Q48" s="10"/>
      <c r="R48" s="5"/>
      <c r="S48" s="5"/>
      <c r="T48" s="5"/>
      <c r="U48" s="5"/>
      <c r="V48" s="5"/>
      <c r="W48" s="5"/>
      <c r="X48" s="5"/>
      <c r="Y48" s="5"/>
      <c r="Z48" s="5"/>
      <c r="AA48" s="5"/>
      <c r="AB48" s="5"/>
      <c r="AC48" s="5"/>
      <c r="AD48" s="5"/>
    </row>
    <row r="49">
      <c r="A49" s="57"/>
      <c r="B49" s="12" t="s">
        <v>127</v>
      </c>
      <c r="C49" s="54"/>
      <c r="D49" s="14"/>
      <c r="E49" s="14"/>
      <c r="F49" s="14"/>
      <c r="G49" s="14"/>
      <c r="H49" s="13"/>
      <c r="I49" s="14"/>
      <c r="J49" s="14"/>
      <c r="K49" s="14"/>
      <c r="L49" s="14"/>
      <c r="M49" s="14"/>
      <c r="N49" s="14"/>
      <c r="O49" s="14"/>
      <c r="P49" s="14"/>
      <c r="Q49" s="15"/>
      <c r="R49" s="5"/>
      <c r="S49" s="5"/>
      <c r="T49" s="5"/>
      <c r="U49" s="5"/>
      <c r="V49" s="5"/>
      <c r="W49" s="5"/>
      <c r="X49" s="5"/>
      <c r="Y49" s="5"/>
      <c r="Z49" s="5"/>
      <c r="AA49" s="5"/>
      <c r="AB49" s="5"/>
      <c r="AC49" s="5"/>
      <c r="AD49" s="5"/>
    </row>
    <row r="50">
      <c r="A50" s="55"/>
      <c r="B50" s="7" t="s">
        <v>128</v>
      </c>
      <c r="C50" s="52"/>
      <c r="D50" s="9"/>
      <c r="E50" s="9"/>
      <c r="F50" s="9"/>
      <c r="G50" s="9"/>
      <c r="H50" s="8"/>
      <c r="I50" s="9"/>
      <c r="J50" s="9"/>
      <c r="K50" s="8"/>
      <c r="L50" s="9"/>
      <c r="M50" s="9"/>
      <c r="N50" s="9"/>
      <c r="O50" s="9"/>
      <c r="P50" s="9"/>
      <c r="Q50" s="10"/>
      <c r="R50" s="5"/>
      <c r="S50" s="5"/>
      <c r="T50" s="5"/>
      <c r="U50" s="5"/>
      <c r="V50" s="5"/>
      <c r="W50" s="5"/>
      <c r="X50" s="5"/>
      <c r="Y50" s="5"/>
      <c r="Z50" s="5"/>
      <c r="AA50" s="5"/>
      <c r="AB50" s="5"/>
      <c r="AC50" s="5"/>
      <c r="AD50" s="5"/>
    </row>
    <row r="51">
      <c r="A51" s="57"/>
      <c r="B51" s="12" t="s">
        <v>129</v>
      </c>
      <c r="C51" s="54"/>
      <c r="D51" s="14"/>
      <c r="E51" s="14"/>
      <c r="F51" s="14"/>
      <c r="G51" s="14"/>
      <c r="H51" s="14"/>
      <c r="I51" s="14"/>
      <c r="J51" s="14"/>
      <c r="K51" s="14"/>
      <c r="L51" s="14"/>
      <c r="M51" s="14"/>
      <c r="N51" s="14"/>
      <c r="O51" s="14"/>
      <c r="P51" s="14"/>
      <c r="Q51" s="15"/>
      <c r="R51" s="5"/>
      <c r="S51" s="5"/>
      <c r="T51" s="5"/>
      <c r="U51" s="5"/>
      <c r="V51" s="5"/>
      <c r="W51" s="5"/>
      <c r="X51" s="5"/>
      <c r="Y51" s="5"/>
      <c r="Z51" s="5"/>
      <c r="AA51" s="5"/>
      <c r="AB51" s="5"/>
      <c r="AC51" s="5"/>
      <c r="AD51" s="5"/>
    </row>
    <row r="52">
      <c r="A52" s="55"/>
      <c r="B52" s="7" t="s">
        <v>93</v>
      </c>
      <c r="C52" s="52"/>
      <c r="D52" s="9"/>
      <c r="E52" s="9"/>
      <c r="F52" s="9"/>
      <c r="G52" s="9"/>
      <c r="H52" s="9"/>
      <c r="I52" s="9"/>
      <c r="J52" s="9"/>
      <c r="K52" s="9"/>
      <c r="L52" s="9"/>
      <c r="M52" s="9"/>
      <c r="N52" s="9"/>
      <c r="O52" s="9"/>
      <c r="P52" s="9"/>
      <c r="Q52" s="10"/>
      <c r="R52" s="5"/>
      <c r="S52" s="5"/>
      <c r="T52" s="5"/>
      <c r="U52" s="5"/>
      <c r="V52" s="5"/>
      <c r="W52" s="5"/>
      <c r="X52" s="5"/>
      <c r="Y52" s="5"/>
      <c r="Z52" s="5"/>
      <c r="AA52" s="5"/>
      <c r="AB52" s="5"/>
      <c r="AC52" s="5"/>
      <c r="AD52" s="5"/>
    </row>
    <row r="53">
      <c r="A53" s="57"/>
      <c r="B53" s="12" t="s">
        <v>130</v>
      </c>
      <c r="C53" s="54"/>
      <c r="D53" s="14"/>
      <c r="E53" s="14"/>
      <c r="F53" s="14"/>
      <c r="G53" s="14"/>
      <c r="H53" s="14"/>
      <c r="I53" s="14"/>
      <c r="J53" s="14"/>
      <c r="K53" s="14"/>
      <c r="L53" s="14"/>
      <c r="M53" s="14"/>
      <c r="N53" s="14"/>
      <c r="O53" s="14"/>
      <c r="P53" s="14"/>
      <c r="Q53" s="15"/>
      <c r="R53" s="5"/>
      <c r="S53" s="5"/>
      <c r="T53" s="5"/>
      <c r="U53" s="5"/>
      <c r="V53" s="5"/>
      <c r="W53" s="5"/>
      <c r="X53" s="5"/>
      <c r="Y53" s="5"/>
      <c r="Z53" s="5"/>
      <c r="AA53" s="5"/>
      <c r="AB53" s="5"/>
      <c r="AC53" s="5"/>
      <c r="AD53" s="5"/>
    </row>
    <row r="54">
      <c r="A54" s="55"/>
      <c r="B54" s="56"/>
      <c r="C54" s="52"/>
      <c r="D54" s="9"/>
      <c r="E54" s="9"/>
      <c r="F54" s="9"/>
      <c r="G54" s="9"/>
      <c r="H54" s="9"/>
      <c r="I54" s="9"/>
      <c r="J54" s="9"/>
      <c r="K54" s="9"/>
      <c r="L54" s="9"/>
      <c r="M54" s="9"/>
      <c r="N54" s="9"/>
      <c r="O54" s="9"/>
      <c r="P54" s="9"/>
      <c r="Q54" s="10"/>
      <c r="R54" s="5"/>
      <c r="S54" s="5"/>
      <c r="T54" s="5"/>
      <c r="U54" s="5"/>
      <c r="V54" s="5"/>
      <c r="W54" s="5"/>
      <c r="X54" s="5"/>
      <c r="Y54" s="5"/>
      <c r="Z54" s="5"/>
      <c r="AA54" s="5"/>
      <c r="AB54" s="5"/>
      <c r="AC54" s="5"/>
      <c r="AD54" s="5"/>
    </row>
    <row r="55">
      <c r="A55" s="57"/>
      <c r="B55" s="59"/>
      <c r="C55" s="54"/>
      <c r="D55" s="14"/>
      <c r="E55" s="14"/>
      <c r="F55" s="14"/>
      <c r="G55" s="14"/>
      <c r="H55" s="14"/>
      <c r="I55" s="14"/>
      <c r="J55" s="14"/>
      <c r="K55" s="14"/>
      <c r="L55" s="14"/>
      <c r="M55" s="14"/>
      <c r="N55" s="14"/>
      <c r="O55" s="14"/>
      <c r="P55" s="14"/>
      <c r="Q55" s="15"/>
      <c r="R55" s="5"/>
      <c r="S55" s="5"/>
      <c r="T55" s="5"/>
      <c r="U55" s="5"/>
      <c r="V55" s="5"/>
      <c r="W55" s="5"/>
      <c r="X55" s="5"/>
      <c r="Y55" s="5"/>
      <c r="Z55" s="5"/>
      <c r="AA55" s="5"/>
      <c r="AB55" s="5"/>
      <c r="AC55" s="5"/>
      <c r="AD55" s="5"/>
    </row>
    <row r="56">
      <c r="A56" s="55"/>
      <c r="B56" s="56"/>
      <c r="C56" s="52"/>
      <c r="D56" s="9"/>
      <c r="E56" s="9"/>
      <c r="F56" s="9"/>
      <c r="G56" s="9"/>
      <c r="H56" s="9"/>
      <c r="I56" s="9"/>
      <c r="J56" s="9"/>
      <c r="K56" s="9"/>
      <c r="L56" s="9"/>
      <c r="M56" s="9"/>
      <c r="N56" s="9"/>
      <c r="O56" s="9"/>
      <c r="P56" s="9"/>
      <c r="Q56" s="10"/>
      <c r="R56" s="5"/>
      <c r="S56" s="5"/>
      <c r="T56" s="5"/>
      <c r="U56" s="5"/>
      <c r="V56" s="5"/>
      <c r="W56" s="5"/>
      <c r="X56" s="5"/>
      <c r="Y56" s="5"/>
      <c r="Z56" s="5"/>
      <c r="AA56" s="5"/>
      <c r="AB56" s="5"/>
      <c r="AC56" s="5"/>
      <c r="AD56" s="5"/>
    </row>
    <row r="57">
      <c r="A57" s="57"/>
      <c r="B57" s="59"/>
      <c r="C57" s="54"/>
      <c r="D57" s="14"/>
      <c r="E57" s="14"/>
      <c r="F57" s="14"/>
      <c r="G57" s="14"/>
      <c r="H57" s="14"/>
      <c r="I57" s="14"/>
      <c r="J57" s="14"/>
      <c r="K57" s="14"/>
      <c r="L57" s="14"/>
      <c r="M57" s="14"/>
      <c r="N57" s="14"/>
      <c r="O57" s="14"/>
      <c r="P57" s="14"/>
      <c r="Q57" s="15"/>
      <c r="R57" s="5"/>
      <c r="S57" s="5"/>
      <c r="T57" s="5"/>
      <c r="U57" s="5"/>
      <c r="V57" s="5"/>
      <c r="W57" s="5"/>
      <c r="X57" s="5"/>
      <c r="Y57" s="5"/>
      <c r="Z57" s="5"/>
      <c r="AA57" s="5"/>
      <c r="AB57" s="5"/>
      <c r="AC57" s="5"/>
      <c r="AD57" s="5"/>
    </row>
    <row r="58">
      <c r="A58" s="55"/>
      <c r="B58" s="56"/>
      <c r="C58" s="52"/>
      <c r="D58" s="9"/>
      <c r="E58" s="9"/>
      <c r="F58" s="9"/>
      <c r="G58" s="9"/>
      <c r="H58" s="9"/>
      <c r="I58" s="9"/>
      <c r="J58" s="9"/>
      <c r="K58" s="9"/>
      <c r="L58" s="9"/>
      <c r="M58" s="9"/>
      <c r="N58" s="9"/>
      <c r="O58" s="9"/>
      <c r="P58" s="9"/>
      <c r="Q58" s="10"/>
      <c r="R58" s="5"/>
      <c r="S58" s="5"/>
      <c r="T58" s="5"/>
      <c r="U58" s="5"/>
      <c r="V58" s="5"/>
      <c r="W58" s="5"/>
      <c r="X58" s="5"/>
      <c r="Y58" s="5"/>
      <c r="Z58" s="5"/>
      <c r="AA58" s="5"/>
      <c r="AB58" s="5"/>
      <c r="AC58" s="5"/>
      <c r="AD58" s="5"/>
    </row>
    <row r="59">
      <c r="A59" s="57"/>
      <c r="B59" s="59"/>
      <c r="C59" s="54"/>
      <c r="D59" s="14"/>
      <c r="E59" s="14"/>
      <c r="F59" s="14"/>
      <c r="G59" s="14"/>
      <c r="H59" s="14"/>
      <c r="I59" s="14"/>
      <c r="J59" s="14"/>
      <c r="K59" s="14"/>
      <c r="L59" s="14"/>
      <c r="M59" s="14"/>
      <c r="N59" s="14"/>
      <c r="O59" s="14"/>
      <c r="P59" s="14"/>
      <c r="Q59" s="15"/>
      <c r="R59" s="5"/>
      <c r="S59" s="5"/>
      <c r="T59" s="5"/>
      <c r="U59" s="5"/>
      <c r="V59" s="5"/>
      <c r="W59" s="5"/>
      <c r="X59" s="5"/>
      <c r="Y59" s="5"/>
      <c r="Z59" s="5"/>
      <c r="AA59" s="5"/>
      <c r="AB59" s="5"/>
      <c r="AC59" s="5"/>
      <c r="AD59" s="5"/>
    </row>
    <row r="60">
      <c r="A60" s="55"/>
      <c r="B60" s="56"/>
      <c r="C60" s="52"/>
      <c r="D60" s="9"/>
      <c r="E60" s="9"/>
      <c r="F60" s="9"/>
      <c r="G60" s="9"/>
      <c r="H60" s="9"/>
      <c r="I60" s="9"/>
      <c r="J60" s="9"/>
      <c r="K60" s="9"/>
      <c r="L60" s="9"/>
      <c r="M60" s="9"/>
      <c r="N60" s="9"/>
      <c r="O60" s="9"/>
      <c r="P60" s="9"/>
      <c r="Q60" s="10"/>
      <c r="R60" s="5"/>
      <c r="S60" s="5"/>
      <c r="T60" s="5"/>
      <c r="U60" s="5"/>
      <c r="V60" s="5"/>
      <c r="W60" s="5"/>
      <c r="X60" s="5"/>
      <c r="Y60" s="5"/>
      <c r="Z60" s="5"/>
      <c r="AA60" s="5"/>
      <c r="AB60" s="5"/>
      <c r="AC60" s="5"/>
      <c r="AD60" s="5"/>
    </row>
    <row r="61">
      <c r="A61" s="57"/>
      <c r="B61" s="59"/>
      <c r="C61" s="54"/>
      <c r="D61" s="14"/>
      <c r="E61" s="14"/>
      <c r="F61" s="14"/>
      <c r="G61" s="14"/>
      <c r="H61" s="14"/>
      <c r="I61" s="14"/>
      <c r="J61" s="14"/>
      <c r="K61" s="14"/>
      <c r="L61" s="14"/>
      <c r="M61" s="14"/>
      <c r="N61" s="14"/>
      <c r="O61" s="14"/>
      <c r="P61" s="14"/>
      <c r="Q61" s="15"/>
      <c r="R61" s="5"/>
      <c r="S61" s="5"/>
      <c r="T61" s="5"/>
      <c r="U61" s="5"/>
      <c r="V61" s="5"/>
      <c r="W61" s="5"/>
      <c r="X61" s="5"/>
      <c r="Y61" s="5"/>
      <c r="Z61" s="5"/>
      <c r="AA61" s="5"/>
      <c r="AB61" s="5"/>
      <c r="AC61" s="5"/>
      <c r="AD61" s="5"/>
    </row>
    <row r="62">
      <c r="A62" s="55"/>
      <c r="B62" s="56"/>
      <c r="C62" s="52"/>
      <c r="D62" s="9"/>
      <c r="E62" s="9"/>
      <c r="F62" s="9"/>
      <c r="G62" s="9"/>
      <c r="H62" s="9"/>
      <c r="I62" s="9"/>
      <c r="J62" s="9"/>
      <c r="K62" s="9"/>
      <c r="L62" s="9"/>
      <c r="M62" s="9"/>
      <c r="N62" s="9"/>
      <c r="O62" s="9"/>
      <c r="P62" s="9"/>
      <c r="Q62" s="10"/>
      <c r="R62" s="5"/>
      <c r="S62" s="5"/>
      <c r="T62" s="5"/>
      <c r="U62" s="5"/>
      <c r="V62" s="5"/>
      <c r="W62" s="5"/>
      <c r="X62" s="5"/>
      <c r="Y62" s="5"/>
      <c r="Z62" s="5"/>
      <c r="AA62" s="5"/>
      <c r="AB62" s="5"/>
      <c r="AC62" s="5"/>
      <c r="AD62" s="5"/>
    </row>
    <row r="63">
      <c r="A63" s="57"/>
      <c r="B63" s="59"/>
      <c r="C63" s="54"/>
      <c r="D63" s="14"/>
      <c r="E63" s="14"/>
      <c r="F63" s="14"/>
      <c r="G63" s="14"/>
      <c r="H63" s="14"/>
      <c r="I63" s="14"/>
      <c r="J63" s="14"/>
      <c r="K63" s="14"/>
      <c r="L63" s="14"/>
      <c r="M63" s="14"/>
      <c r="N63" s="14"/>
      <c r="O63" s="14"/>
      <c r="P63" s="14"/>
      <c r="Q63" s="15"/>
      <c r="R63" s="5"/>
      <c r="S63" s="5"/>
      <c r="T63" s="5"/>
      <c r="U63" s="5"/>
      <c r="V63" s="5"/>
      <c r="W63" s="5"/>
      <c r="X63" s="5"/>
      <c r="Y63" s="5"/>
      <c r="Z63" s="5"/>
      <c r="AA63" s="5"/>
      <c r="AB63" s="5"/>
      <c r="AC63" s="5"/>
      <c r="AD63" s="5"/>
    </row>
    <row r="64">
      <c r="A64" s="55"/>
      <c r="B64" s="56"/>
      <c r="C64" s="52"/>
      <c r="D64" s="9"/>
      <c r="E64" s="9"/>
      <c r="F64" s="9"/>
      <c r="G64" s="9"/>
      <c r="H64" s="9"/>
      <c r="I64" s="9"/>
      <c r="J64" s="9"/>
      <c r="K64" s="9"/>
      <c r="L64" s="9"/>
      <c r="M64" s="9"/>
      <c r="N64" s="9"/>
      <c r="O64" s="9"/>
      <c r="P64" s="9"/>
      <c r="Q64" s="10"/>
      <c r="R64" s="5"/>
      <c r="S64" s="5"/>
      <c r="T64" s="5"/>
      <c r="U64" s="5"/>
      <c r="V64" s="5"/>
      <c r="W64" s="5"/>
      <c r="X64" s="5"/>
      <c r="Y64" s="5"/>
      <c r="Z64" s="5"/>
      <c r="AA64" s="5"/>
      <c r="AB64" s="5"/>
      <c r="AC64" s="5"/>
      <c r="AD64" s="5"/>
    </row>
    <row r="65">
      <c r="A65" s="57"/>
      <c r="B65" s="59"/>
      <c r="C65" s="54"/>
      <c r="D65" s="14"/>
      <c r="E65" s="14"/>
      <c r="F65" s="14"/>
      <c r="G65" s="14"/>
      <c r="H65" s="14"/>
      <c r="I65" s="14"/>
      <c r="J65" s="14"/>
      <c r="K65" s="14"/>
      <c r="L65" s="14"/>
      <c r="M65" s="14"/>
      <c r="N65" s="14"/>
      <c r="O65" s="14"/>
      <c r="P65" s="14"/>
      <c r="Q65" s="15"/>
      <c r="R65" s="5"/>
      <c r="S65" s="5"/>
      <c r="T65" s="5"/>
      <c r="U65" s="5"/>
      <c r="V65" s="5"/>
      <c r="W65" s="5"/>
      <c r="X65" s="5"/>
      <c r="Y65" s="5"/>
      <c r="Z65" s="5"/>
      <c r="AA65" s="5"/>
      <c r="AB65" s="5"/>
      <c r="AC65" s="5"/>
      <c r="AD65" s="5"/>
    </row>
    <row r="66">
      <c r="A66" s="55"/>
      <c r="B66" s="56"/>
      <c r="C66" s="52"/>
      <c r="D66" s="9"/>
      <c r="E66" s="9"/>
      <c r="F66" s="9"/>
      <c r="G66" s="9"/>
      <c r="H66" s="9"/>
      <c r="I66" s="9"/>
      <c r="J66" s="9"/>
      <c r="K66" s="9"/>
      <c r="L66" s="9"/>
      <c r="M66" s="9"/>
      <c r="N66" s="9"/>
      <c r="O66" s="9"/>
      <c r="P66" s="9"/>
      <c r="Q66" s="10"/>
      <c r="R66" s="5"/>
      <c r="S66" s="5"/>
      <c r="T66" s="5"/>
      <c r="U66" s="5"/>
      <c r="V66" s="5"/>
      <c r="W66" s="5"/>
      <c r="X66" s="5"/>
      <c r="Y66" s="5"/>
      <c r="Z66" s="5"/>
      <c r="AA66" s="5"/>
      <c r="AB66" s="5"/>
      <c r="AC66" s="5"/>
      <c r="AD66" s="5"/>
    </row>
    <row r="67">
      <c r="A67" s="57"/>
      <c r="B67" s="59"/>
      <c r="C67" s="54"/>
      <c r="D67" s="14"/>
      <c r="E67" s="14"/>
      <c r="F67" s="14"/>
      <c r="G67" s="14"/>
      <c r="H67" s="14"/>
      <c r="I67" s="14"/>
      <c r="J67" s="14"/>
      <c r="K67" s="14"/>
      <c r="L67" s="14"/>
      <c r="M67" s="14"/>
      <c r="N67" s="14"/>
      <c r="O67" s="14"/>
      <c r="P67" s="14"/>
      <c r="Q67" s="15"/>
      <c r="R67" s="5"/>
      <c r="S67" s="5"/>
      <c r="T67" s="5"/>
      <c r="U67" s="5"/>
      <c r="V67" s="5"/>
      <c r="W67" s="5"/>
      <c r="X67" s="5"/>
      <c r="Y67" s="5"/>
      <c r="Z67" s="5"/>
      <c r="AA67" s="5"/>
      <c r="AB67" s="5"/>
      <c r="AC67" s="5"/>
      <c r="AD67" s="5"/>
    </row>
    <row r="68">
      <c r="A68" s="55"/>
      <c r="B68" s="56"/>
      <c r="C68" s="52"/>
      <c r="D68" s="9"/>
      <c r="E68" s="9"/>
      <c r="F68" s="9"/>
      <c r="G68" s="9"/>
      <c r="H68" s="9"/>
      <c r="I68" s="9"/>
      <c r="J68" s="9"/>
      <c r="K68" s="9"/>
      <c r="L68" s="9"/>
      <c r="M68" s="9"/>
      <c r="N68" s="9"/>
      <c r="O68" s="9"/>
      <c r="P68" s="9"/>
      <c r="Q68" s="10"/>
      <c r="R68" s="5"/>
      <c r="S68" s="5"/>
      <c r="T68" s="5"/>
      <c r="U68" s="5"/>
      <c r="V68" s="5"/>
      <c r="W68" s="5"/>
      <c r="X68" s="5"/>
      <c r="Y68" s="5"/>
      <c r="Z68" s="5"/>
      <c r="AA68" s="5"/>
      <c r="AB68" s="5"/>
      <c r="AC68" s="5"/>
      <c r="AD68" s="5"/>
    </row>
    <row r="69">
      <c r="A69" s="57"/>
      <c r="B69" s="59"/>
      <c r="C69" s="54"/>
      <c r="D69" s="14"/>
      <c r="E69" s="14"/>
      <c r="F69" s="14"/>
      <c r="G69" s="14"/>
      <c r="H69" s="14"/>
      <c r="I69" s="14"/>
      <c r="J69" s="14"/>
      <c r="K69" s="14"/>
      <c r="L69" s="14"/>
      <c r="M69" s="14"/>
      <c r="N69" s="14"/>
      <c r="O69" s="14"/>
      <c r="P69" s="14"/>
      <c r="Q69" s="15"/>
      <c r="R69" s="5"/>
      <c r="S69" s="5"/>
      <c r="T69" s="5"/>
      <c r="U69" s="5"/>
      <c r="V69" s="5"/>
      <c r="W69" s="5"/>
      <c r="X69" s="5"/>
      <c r="Y69" s="5"/>
      <c r="Z69" s="5"/>
      <c r="AA69" s="5"/>
      <c r="AB69" s="5"/>
      <c r="AC69" s="5"/>
      <c r="AD69" s="5"/>
    </row>
    <row r="70">
      <c r="A70" s="55"/>
      <c r="B70" s="56"/>
      <c r="C70" s="52"/>
      <c r="D70" s="9"/>
      <c r="E70" s="9"/>
      <c r="F70" s="9"/>
      <c r="G70" s="9"/>
      <c r="H70" s="9"/>
      <c r="I70" s="9"/>
      <c r="J70" s="9"/>
      <c r="K70" s="9"/>
      <c r="L70" s="9"/>
      <c r="M70" s="9"/>
      <c r="N70" s="9"/>
      <c r="O70" s="9"/>
      <c r="P70" s="9"/>
      <c r="Q70" s="10"/>
      <c r="R70" s="5"/>
      <c r="S70" s="5"/>
      <c r="T70" s="5"/>
      <c r="U70" s="5"/>
      <c r="V70" s="5"/>
      <c r="W70" s="5"/>
      <c r="X70" s="5"/>
      <c r="Y70" s="5"/>
      <c r="Z70" s="5"/>
      <c r="AA70" s="5"/>
      <c r="AB70" s="5"/>
      <c r="AC70" s="5"/>
      <c r="AD70" s="5"/>
    </row>
    <row r="71">
      <c r="A71" s="57"/>
      <c r="B71" s="59"/>
      <c r="C71" s="54"/>
      <c r="D71" s="14"/>
      <c r="E71" s="14"/>
      <c r="F71" s="14"/>
      <c r="G71" s="14"/>
      <c r="H71" s="14"/>
      <c r="I71" s="14"/>
      <c r="J71" s="14"/>
      <c r="K71" s="14"/>
      <c r="L71" s="14"/>
      <c r="M71" s="14"/>
      <c r="N71" s="14"/>
      <c r="O71" s="14"/>
      <c r="P71" s="14"/>
      <c r="Q71" s="15"/>
      <c r="R71" s="5"/>
      <c r="S71" s="5"/>
      <c r="T71" s="5"/>
      <c r="U71" s="5"/>
      <c r="V71" s="5"/>
      <c r="W71" s="5"/>
      <c r="X71" s="5"/>
      <c r="Y71" s="5"/>
      <c r="Z71" s="5"/>
      <c r="AA71" s="5"/>
      <c r="AB71" s="5"/>
      <c r="AC71" s="5"/>
      <c r="AD71" s="5"/>
    </row>
    <row r="72">
      <c r="A72" s="55"/>
      <c r="B72" s="56"/>
      <c r="C72" s="52"/>
      <c r="D72" s="9"/>
      <c r="E72" s="9"/>
      <c r="F72" s="9"/>
      <c r="G72" s="9"/>
      <c r="H72" s="9"/>
      <c r="I72" s="9"/>
      <c r="J72" s="9"/>
      <c r="K72" s="9"/>
      <c r="L72" s="9"/>
      <c r="M72" s="9"/>
      <c r="N72" s="9"/>
      <c r="O72" s="9"/>
      <c r="P72" s="9"/>
      <c r="Q72" s="10"/>
      <c r="R72" s="5"/>
      <c r="S72" s="5"/>
      <c r="T72" s="5"/>
      <c r="U72" s="5"/>
      <c r="V72" s="5"/>
      <c r="W72" s="5"/>
      <c r="X72" s="5"/>
      <c r="Y72" s="5"/>
      <c r="Z72" s="5"/>
      <c r="AA72" s="5"/>
      <c r="AB72" s="5"/>
      <c r="AC72" s="5"/>
      <c r="AD72" s="5"/>
    </row>
    <row r="73">
      <c r="A73" s="57"/>
      <c r="B73" s="59"/>
      <c r="C73" s="54"/>
      <c r="D73" s="14"/>
      <c r="E73" s="14"/>
      <c r="F73" s="14"/>
      <c r="G73" s="14"/>
      <c r="H73" s="14"/>
      <c r="I73" s="14"/>
      <c r="J73" s="14"/>
      <c r="K73" s="14"/>
      <c r="L73" s="14"/>
      <c r="M73" s="14"/>
      <c r="N73" s="14"/>
      <c r="O73" s="14"/>
      <c r="P73" s="14"/>
      <c r="Q73" s="15"/>
      <c r="R73" s="5"/>
      <c r="S73" s="5"/>
      <c r="T73" s="5"/>
      <c r="U73" s="5"/>
      <c r="V73" s="5"/>
      <c r="W73" s="5"/>
      <c r="X73" s="5"/>
      <c r="Y73" s="5"/>
      <c r="Z73" s="5"/>
      <c r="AA73" s="5"/>
      <c r="AB73" s="5"/>
      <c r="AC73" s="5"/>
      <c r="AD73" s="5"/>
    </row>
    <row r="74">
      <c r="A74" s="55"/>
      <c r="B74" s="56"/>
      <c r="C74" s="52"/>
      <c r="D74" s="9"/>
      <c r="E74" s="9"/>
      <c r="F74" s="9"/>
      <c r="G74" s="9"/>
      <c r="H74" s="9"/>
      <c r="I74" s="9"/>
      <c r="J74" s="9"/>
      <c r="K74" s="9"/>
      <c r="L74" s="9"/>
      <c r="M74" s="9"/>
      <c r="N74" s="9"/>
      <c r="O74" s="9"/>
      <c r="P74" s="9"/>
      <c r="Q74" s="10"/>
      <c r="R74" s="5"/>
      <c r="S74" s="5"/>
      <c r="T74" s="5"/>
      <c r="U74" s="5"/>
      <c r="V74" s="5"/>
      <c r="W74" s="5"/>
      <c r="X74" s="5"/>
      <c r="Y74" s="5"/>
      <c r="Z74" s="5"/>
      <c r="AA74" s="5"/>
      <c r="AB74" s="5"/>
      <c r="AC74" s="5"/>
      <c r="AD74" s="5"/>
    </row>
    <row r="75">
      <c r="A75" s="57"/>
      <c r="B75" s="59"/>
      <c r="C75" s="54"/>
      <c r="D75" s="14"/>
      <c r="E75" s="14"/>
      <c r="F75" s="14"/>
      <c r="G75" s="14"/>
      <c r="H75" s="14"/>
      <c r="I75" s="14"/>
      <c r="J75" s="14"/>
      <c r="K75" s="14"/>
      <c r="L75" s="14"/>
      <c r="M75" s="14"/>
      <c r="N75" s="14"/>
      <c r="O75" s="14"/>
      <c r="P75" s="14"/>
      <c r="Q75" s="15"/>
      <c r="R75" s="5"/>
      <c r="S75" s="5"/>
      <c r="T75" s="5"/>
      <c r="U75" s="5"/>
      <c r="V75" s="5"/>
      <c r="W75" s="5"/>
      <c r="X75" s="5"/>
      <c r="Y75" s="5"/>
      <c r="Z75" s="5"/>
      <c r="AA75" s="5"/>
      <c r="AB75" s="5"/>
      <c r="AC75" s="5"/>
      <c r="AD75" s="5"/>
    </row>
    <row r="76">
      <c r="A76" s="55"/>
      <c r="B76" s="56"/>
      <c r="C76" s="52"/>
      <c r="D76" s="9"/>
      <c r="E76" s="9"/>
      <c r="F76" s="9"/>
      <c r="G76" s="9"/>
      <c r="H76" s="9"/>
      <c r="I76" s="9"/>
      <c r="J76" s="9"/>
      <c r="K76" s="9"/>
      <c r="L76" s="9"/>
      <c r="M76" s="9"/>
      <c r="N76" s="9"/>
      <c r="O76" s="9"/>
      <c r="P76" s="9"/>
      <c r="Q76" s="10"/>
      <c r="R76" s="5"/>
      <c r="S76" s="5"/>
      <c r="T76" s="5"/>
      <c r="U76" s="5"/>
      <c r="V76" s="5"/>
      <c r="W76" s="5"/>
      <c r="X76" s="5"/>
      <c r="Y76" s="5"/>
      <c r="Z76" s="5"/>
      <c r="AA76" s="5"/>
      <c r="AB76" s="5"/>
      <c r="AC76" s="5"/>
      <c r="AD76" s="5"/>
    </row>
    <row r="77">
      <c r="A77" s="57"/>
      <c r="B77" s="59"/>
      <c r="C77" s="54"/>
      <c r="D77" s="14"/>
      <c r="E77" s="14"/>
      <c r="F77" s="14"/>
      <c r="G77" s="14"/>
      <c r="H77" s="14"/>
      <c r="I77" s="14"/>
      <c r="J77" s="14"/>
      <c r="K77" s="14"/>
      <c r="L77" s="14"/>
      <c r="M77" s="14"/>
      <c r="N77" s="14"/>
      <c r="O77" s="14"/>
      <c r="P77" s="14"/>
      <c r="Q77" s="15"/>
      <c r="R77" s="5"/>
      <c r="S77" s="5"/>
      <c r="T77" s="5"/>
      <c r="U77" s="5"/>
      <c r="V77" s="5"/>
      <c r="W77" s="5"/>
      <c r="X77" s="5"/>
      <c r="Y77" s="5"/>
      <c r="Z77" s="5"/>
      <c r="AA77" s="5"/>
      <c r="AB77" s="5"/>
      <c r="AC77" s="5"/>
      <c r="AD77" s="5"/>
    </row>
    <row r="78">
      <c r="A78" s="55"/>
      <c r="B78" s="56"/>
      <c r="C78" s="52"/>
      <c r="D78" s="9"/>
      <c r="E78" s="9"/>
      <c r="F78" s="9"/>
      <c r="G78" s="9"/>
      <c r="H78" s="9"/>
      <c r="I78" s="9"/>
      <c r="J78" s="9"/>
      <c r="K78" s="9"/>
      <c r="L78" s="9"/>
      <c r="M78" s="9"/>
      <c r="N78" s="9"/>
      <c r="O78" s="9"/>
      <c r="P78" s="9"/>
      <c r="Q78" s="10"/>
      <c r="R78" s="5"/>
      <c r="S78" s="5"/>
      <c r="T78" s="5"/>
      <c r="U78" s="5"/>
      <c r="V78" s="5"/>
      <c r="W78" s="5"/>
      <c r="X78" s="5"/>
      <c r="Y78" s="5"/>
      <c r="Z78" s="5"/>
      <c r="AA78" s="5"/>
      <c r="AB78" s="5"/>
      <c r="AC78" s="5"/>
      <c r="AD78" s="5"/>
    </row>
    <row r="79">
      <c r="A79" s="57"/>
      <c r="B79" s="59"/>
      <c r="C79" s="54"/>
      <c r="D79" s="14"/>
      <c r="E79" s="14"/>
      <c r="F79" s="14"/>
      <c r="G79" s="14"/>
      <c r="H79" s="14"/>
      <c r="I79" s="14"/>
      <c r="J79" s="14"/>
      <c r="K79" s="14"/>
      <c r="L79" s="14"/>
      <c r="M79" s="14"/>
      <c r="N79" s="14"/>
      <c r="O79" s="14"/>
      <c r="P79" s="14"/>
      <c r="Q79" s="15"/>
      <c r="R79" s="5"/>
      <c r="S79" s="5"/>
      <c r="T79" s="5"/>
      <c r="U79" s="5"/>
      <c r="V79" s="5"/>
      <c r="W79" s="5"/>
      <c r="X79" s="5"/>
      <c r="Y79" s="5"/>
      <c r="Z79" s="5"/>
      <c r="AA79" s="5"/>
      <c r="AB79" s="5"/>
      <c r="AC79" s="5"/>
      <c r="AD79" s="5"/>
    </row>
    <row r="80">
      <c r="A80" s="55"/>
      <c r="B80" s="56"/>
      <c r="C80" s="52"/>
      <c r="D80" s="9"/>
      <c r="E80" s="9"/>
      <c r="F80" s="9"/>
      <c r="G80" s="9"/>
      <c r="H80" s="9"/>
      <c r="I80" s="9"/>
      <c r="J80" s="9"/>
      <c r="K80" s="9"/>
      <c r="L80" s="9"/>
      <c r="M80" s="9"/>
      <c r="N80" s="9"/>
      <c r="O80" s="9"/>
      <c r="P80" s="9"/>
      <c r="Q80" s="10"/>
      <c r="R80" s="5"/>
      <c r="S80" s="5"/>
      <c r="T80" s="5"/>
      <c r="U80" s="5"/>
      <c r="V80" s="5"/>
      <c r="W80" s="5"/>
      <c r="X80" s="5"/>
      <c r="Y80" s="5"/>
      <c r="Z80" s="5"/>
      <c r="AA80" s="5"/>
      <c r="AB80" s="5"/>
      <c r="AC80" s="5"/>
      <c r="AD80" s="5"/>
    </row>
    <row r="81">
      <c r="A81" s="57"/>
      <c r="B81" s="59"/>
      <c r="C81" s="54"/>
      <c r="D81" s="14"/>
      <c r="E81" s="14"/>
      <c r="F81" s="14"/>
      <c r="G81" s="14"/>
      <c r="H81" s="14"/>
      <c r="I81" s="14"/>
      <c r="J81" s="14"/>
      <c r="K81" s="14"/>
      <c r="L81" s="14"/>
      <c r="M81" s="14"/>
      <c r="N81" s="14"/>
      <c r="O81" s="14"/>
      <c r="P81" s="14"/>
      <c r="Q81" s="15"/>
      <c r="R81" s="5"/>
      <c r="S81" s="5"/>
      <c r="T81" s="5"/>
      <c r="U81" s="5"/>
      <c r="V81" s="5"/>
      <c r="W81" s="5"/>
      <c r="X81" s="5"/>
      <c r="Y81" s="5"/>
      <c r="Z81" s="5"/>
      <c r="AA81" s="5"/>
      <c r="AB81" s="5"/>
      <c r="AC81" s="5"/>
      <c r="AD81" s="5"/>
    </row>
    <row r="82">
      <c r="A82" s="55"/>
      <c r="B82" s="56"/>
      <c r="C82" s="52"/>
      <c r="D82" s="9"/>
      <c r="E82" s="9"/>
      <c r="F82" s="9"/>
      <c r="G82" s="9"/>
      <c r="H82" s="9"/>
      <c r="I82" s="9"/>
      <c r="J82" s="9"/>
      <c r="K82" s="9"/>
      <c r="L82" s="9"/>
      <c r="M82" s="9"/>
      <c r="N82" s="9"/>
      <c r="O82" s="9"/>
      <c r="P82" s="9"/>
      <c r="Q82" s="10"/>
      <c r="R82" s="5"/>
      <c r="S82" s="5"/>
      <c r="T82" s="5"/>
      <c r="U82" s="5"/>
      <c r="V82" s="5"/>
      <c r="W82" s="5"/>
      <c r="X82" s="5"/>
      <c r="Y82" s="5"/>
      <c r="Z82" s="5"/>
      <c r="AA82" s="5"/>
      <c r="AB82" s="5"/>
      <c r="AC82" s="5"/>
      <c r="AD82" s="5"/>
    </row>
    <row r="83">
      <c r="A83" s="57"/>
      <c r="B83" s="59"/>
      <c r="C83" s="54"/>
      <c r="D83" s="14"/>
      <c r="E83" s="14"/>
      <c r="F83" s="14"/>
      <c r="G83" s="14"/>
      <c r="H83" s="14"/>
      <c r="I83" s="14"/>
      <c r="J83" s="14"/>
      <c r="K83" s="14"/>
      <c r="L83" s="14"/>
      <c r="M83" s="14"/>
      <c r="N83" s="14"/>
      <c r="O83" s="14"/>
      <c r="P83" s="14"/>
      <c r="Q83" s="15"/>
      <c r="R83" s="5"/>
      <c r="S83" s="5"/>
      <c r="T83" s="5"/>
      <c r="U83" s="5"/>
      <c r="V83" s="5"/>
      <c r="W83" s="5"/>
      <c r="X83" s="5"/>
      <c r="Y83" s="5"/>
      <c r="Z83" s="5"/>
      <c r="AA83" s="5"/>
      <c r="AB83" s="5"/>
      <c r="AC83" s="5"/>
      <c r="AD83" s="5"/>
    </row>
    <row r="84">
      <c r="A84" s="55"/>
      <c r="B84" s="56"/>
      <c r="C84" s="52"/>
      <c r="D84" s="9"/>
      <c r="E84" s="9"/>
      <c r="F84" s="9"/>
      <c r="G84" s="9"/>
      <c r="H84" s="9"/>
      <c r="I84" s="9"/>
      <c r="J84" s="9"/>
      <c r="K84" s="9"/>
      <c r="L84" s="9"/>
      <c r="M84" s="9"/>
      <c r="N84" s="9"/>
      <c r="O84" s="9"/>
      <c r="P84" s="9"/>
      <c r="Q84" s="10"/>
      <c r="R84" s="5"/>
      <c r="S84" s="5"/>
      <c r="T84" s="5"/>
      <c r="U84" s="5"/>
      <c r="V84" s="5"/>
      <c r="W84" s="5"/>
      <c r="X84" s="5"/>
      <c r="Y84" s="5"/>
      <c r="Z84" s="5"/>
      <c r="AA84" s="5"/>
      <c r="AB84" s="5"/>
      <c r="AC84" s="5"/>
      <c r="AD84" s="5"/>
    </row>
    <row r="85">
      <c r="A85" s="57"/>
      <c r="B85" s="59"/>
      <c r="C85" s="54"/>
      <c r="D85" s="14"/>
      <c r="E85" s="14"/>
      <c r="F85" s="14"/>
      <c r="G85" s="14"/>
      <c r="H85" s="14"/>
      <c r="I85" s="14"/>
      <c r="J85" s="14"/>
      <c r="K85" s="14"/>
      <c r="L85" s="14"/>
      <c r="M85" s="14"/>
      <c r="N85" s="14"/>
      <c r="O85" s="14"/>
      <c r="P85" s="14"/>
      <c r="Q85" s="15"/>
      <c r="R85" s="5"/>
      <c r="S85" s="5"/>
      <c r="T85" s="5"/>
      <c r="U85" s="5"/>
      <c r="V85" s="5"/>
      <c r="W85" s="5"/>
      <c r="X85" s="5"/>
      <c r="Y85" s="5"/>
      <c r="Z85" s="5"/>
      <c r="AA85" s="5"/>
      <c r="AB85" s="5"/>
      <c r="AC85" s="5"/>
      <c r="AD85" s="5"/>
    </row>
    <row r="86">
      <c r="A86" s="55"/>
      <c r="B86" s="56"/>
      <c r="C86" s="52"/>
      <c r="D86" s="9"/>
      <c r="E86" s="9"/>
      <c r="F86" s="9"/>
      <c r="G86" s="9"/>
      <c r="H86" s="9"/>
      <c r="I86" s="9"/>
      <c r="J86" s="9"/>
      <c r="K86" s="9"/>
      <c r="L86" s="9"/>
      <c r="M86" s="9"/>
      <c r="N86" s="9"/>
      <c r="O86" s="9"/>
      <c r="P86" s="9"/>
      <c r="Q86" s="10"/>
      <c r="R86" s="5"/>
      <c r="S86" s="5"/>
      <c r="T86" s="5"/>
      <c r="U86" s="5"/>
      <c r="V86" s="5"/>
      <c r="W86" s="5"/>
      <c r="X86" s="5"/>
      <c r="Y86" s="5"/>
      <c r="Z86" s="5"/>
      <c r="AA86" s="5"/>
      <c r="AB86" s="5"/>
      <c r="AC86" s="5"/>
      <c r="AD86" s="5"/>
    </row>
    <row r="87">
      <c r="A87" s="57"/>
      <c r="B87" s="59"/>
      <c r="C87" s="54"/>
      <c r="D87" s="14"/>
      <c r="E87" s="14"/>
      <c r="F87" s="14"/>
      <c r="G87" s="14"/>
      <c r="H87" s="14"/>
      <c r="I87" s="14"/>
      <c r="J87" s="14"/>
      <c r="K87" s="14"/>
      <c r="L87" s="14"/>
      <c r="M87" s="14"/>
      <c r="N87" s="14"/>
      <c r="O87" s="14"/>
      <c r="P87" s="14"/>
      <c r="Q87" s="15"/>
      <c r="R87" s="5"/>
      <c r="S87" s="5"/>
      <c r="T87" s="5"/>
      <c r="U87" s="5"/>
      <c r="V87" s="5"/>
      <c r="W87" s="5"/>
      <c r="X87" s="5"/>
      <c r="Y87" s="5"/>
      <c r="Z87" s="5"/>
      <c r="AA87" s="5"/>
      <c r="AB87" s="5"/>
      <c r="AC87" s="5"/>
      <c r="AD87" s="5"/>
    </row>
    <row r="88">
      <c r="A88" s="55"/>
      <c r="B88" s="56"/>
      <c r="C88" s="52"/>
      <c r="D88" s="9"/>
      <c r="E88" s="9"/>
      <c r="F88" s="9"/>
      <c r="G88" s="9"/>
      <c r="H88" s="9"/>
      <c r="I88" s="9"/>
      <c r="J88" s="9"/>
      <c r="K88" s="9"/>
      <c r="L88" s="9"/>
      <c r="M88" s="9"/>
      <c r="N88" s="9"/>
      <c r="O88" s="9"/>
      <c r="P88" s="9"/>
      <c r="Q88" s="10"/>
      <c r="R88" s="5"/>
      <c r="S88" s="5"/>
      <c r="T88" s="5"/>
      <c r="U88" s="5"/>
      <c r="V88" s="5"/>
      <c r="W88" s="5"/>
      <c r="X88" s="5"/>
      <c r="Y88" s="5"/>
      <c r="Z88" s="5"/>
      <c r="AA88" s="5"/>
      <c r="AB88" s="5"/>
      <c r="AC88" s="5"/>
      <c r="AD88" s="5"/>
    </row>
    <row r="89">
      <c r="A89" s="57"/>
      <c r="B89" s="59"/>
      <c r="C89" s="54"/>
      <c r="D89" s="14"/>
      <c r="E89" s="14"/>
      <c r="F89" s="14"/>
      <c r="G89" s="14"/>
      <c r="H89" s="14"/>
      <c r="I89" s="14"/>
      <c r="J89" s="14"/>
      <c r="K89" s="14"/>
      <c r="L89" s="14"/>
      <c r="M89" s="14"/>
      <c r="N89" s="14"/>
      <c r="O89" s="14"/>
      <c r="P89" s="14"/>
      <c r="Q89" s="15"/>
      <c r="R89" s="5"/>
      <c r="S89" s="5"/>
      <c r="T89" s="5"/>
      <c r="U89" s="5"/>
      <c r="V89" s="5"/>
      <c r="W89" s="5"/>
      <c r="X89" s="5"/>
      <c r="Y89" s="5"/>
      <c r="Z89" s="5"/>
      <c r="AA89" s="5"/>
      <c r="AB89" s="5"/>
      <c r="AC89" s="5"/>
      <c r="AD89" s="5"/>
    </row>
    <row r="90">
      <c r="A90" s="55"/>
      <c r="B90" s="56"/>
      <c r="C90" s="52"/>
      <c r="D90" s="9"/>
      <c r="E90" s="9"/>
      <c r="F90" s="9"/>
      <c r="G90" s="9"/>
      <c r="H90" s="9"/>
      <c r="I90" s="9"/>
      <c r="J90" s="9"/>
      <c r="K90" s="9"/>
      <c r="L90" s="9"/>
      <c r="M90" s="9"/>
      <c r="N90" s="9"/>
      <c r="O90" s="9"/>
      <c r="P90" s="9"/>
      <c r="Q90" s="10"/>
      <c r="R90" s="5"/>
      <c r="S90" s="5"/>
      <c r="T90" s="5"/>
      <c r="U90" s="5"/>
      <c r="V90" s="5"/>
      <c r="W90" s="5"/>
      <c r="X90" s="5"/>
      <c r="Y90" s="5"/>
      <c r="Z90" s="5"/>
      <c r="AA90" s="5"/>
      <c r="AB90" s="5"/>
      <c r="AC90" s="5"/>
      <c r="AD90" s="5"/>
    </row>
    <row r="91">
      <c r="A91" s="57"/>
      <c r="B91" s="59"/>
      <c r="C91" s="54"/>
      <c r="D91" s="14"/>
      <c r="E91" s="14"/>
      <c r="F91" s="14"/>
      <c r="G91" s="14"/>
      <c r="H91" s="14"/>
      <c r="I91" s="14"/>
      <c r="J91" s="14"/>
      <c r="K91" s="14"/>
      <c r="L91" s="14"/>
      <c r="M91" s="14"/>
      <c r="N91" s="14"/>
      <c r="O91" s="14"/>
      <c r="P91" s="14"/>
      <c r="Q91" s="15"/>
      <c r="R91" s="5"/>
      <c r="S91" s="5"/>
      <c r="T91" s="5"/>
      <c r="U91" s="5"/>
      <c r="V91" s="5"/>
      <c r="W91" s="5"/>
      <c r="X91" s="5"/>
      <c r="Y91" s="5"/>
      <c r="Z91" s="5"/>
      <c r="AA91" s="5"/>
      <c r="AB91" s="5"/>
      <c r="AC91" s="5"/>
      <c r="AD91" s="5"/>
    </row>
    <row r="92">
      <c r="A92" s="55"/>
      <c r="B92" s="56"/>
      <c r="C92" s="52"/>
      <c r="D92" s="9"/>
      <c r="E92" s="9"/>
      <c r="F92" s="9"/>
      <c r="G92" s="9"/>
      <c r="H92" s="9"/>
      <c r="I92" s="9"/>
      <c r="J92" s="9"/>
      <c r="K92" s="9"/>
      <c r="L92" s="9"/>
      <c r="M92" s="9"/>
      <c r="N92" s="9"/>
      <c r="O92" s="9"/>
      <c r="P92" s="9"/>
      <c r="Q92" s="10"/>
      <c r="R92" s="5"/>
      <c r="S92" s="5"/>
      <c r="T92" s="5"/>
      <c r="U92" s="5"/>
      <c r="V92" s="5"/>
      <c r="W92" s="5"/>
      <c r="X92" s="5"/>
      <c r="Y92" s="5"/>
      <c r="Z92" s="5"/>
      <c r="AA92" s="5"/>
      <c r="AB92" s="5"/>
      <c r="AC92" s="5"/>
      <c r="AD92" s="5"/>
    </row>
    <row r="93">
      <c r="A93" s="57"/>
      <c r="B93" s="59"/>
      <c r="C93" s="54"/>
      <c r="D93" s="14"/>
      <c r="E93" s="14"/>
      <c r="F93" s="14"/>
      <c r="G93" s="14"/>
      <c r="H93" s="14"/>
      <c r="I93" s="14"/>
      <c r="J93" s="14"/>
      <c r="K93" s="14"/>
      <c r="L93" s="14"/>
      <c r="M93" s="14"/>
      <c r="N93" s="14"/>
      <c r="O93" s="14"/>
      <c r="P93" s="14"/>
      <c r="Q93" s="15"/>
      <c r="R93" s="5"/>
      <c r="S93" s="5"/>
      <c r="T93" s="5"/>
      <c r="U93" s="5"/>
      <c r="V93" s="5"/>
      <c r="W93" s="5"/>
      <c r="X93" s="5"/>
      <c r="Y93" s="5"/>
      <c r="Z93" s="5"/>
      <c r="AA93" s="5"/>
      <c r="AB93" s="5"/>
      <c r="AC93" s="5"/>
      <c r="AD93" s="5"/>
    </row>
    <row r="94">
      <c r="A94" s="55"/>
      <c r="B94" s="56"/>
      <c r="C94" s="52"/>
      <c r="D94" s="9"/>
      <c r="E94" s="9"/>
      <c r="F94" s="9"/>
      <c r="G94" s="9"/>
      <c r="H94" s="9"/>
      <c r="I94" s="9"/>
      <c r="J94" s="9"/>
      <c r="K94" s="9"/>
      <c r="L94" s="9"/>
      <c r="M94" s="9"/>
      <c r="N94" s="9"/>
      <c r="O94" s="9"/>
      <c r="P94" s="9"/>
      <c r="Q94" s="10"/>
      <c r="R94" s="5"/>
      <c r="S94" s="5"/>
      <c r="T94" s="5"/>
      <c r="U94" s="5"/>
      <c r="V94" s="5"/>
      <c r="W94" s="5"/>
      <c r="X94" s="5"/>
      <c r="Y94" s="5"/>
      <c r="Z94" s="5"/>
      <c r="AA94" s="5"/>
      <c r="AB94" s="5"/>
      <c r="AC94" s="5"/>
      <c r="AD94" s="5"/>
    </row>
    <row r="95">
      <c r="A95" s="57"/>
      <c r="B95" s="59"/>
      <c r="C95" s="54"/>
      <c r="D95" s="14"/>
      <c r="E95" s="14"/>
      <c r="F95" s="14"/>
      <c r="G95" s="14"/>
      <c r="H95" s="14"/>
      <c r="I95" s="14"/>
      <c r="J95" s="14"/>
      <c r="K95" s="14"/>
      <c r="L95" s="14"/>
      <c r="M95" s="14"/>
      <c r="N95" s="14"/>
      <c r="O95" s="14"/>
      <c r="P95" s="14"/>
      <c r="Q95" s="15"/>
      <c r="R95" s="5"/>
      <c r="S95" s="5"/>
      <c r="T95" s="5"/>
      <c r="U95" s="5"/>
      <c r="V95" s="5"/>
      <c r="W95" s="5"/>
      <c r="X95" s="5"/>
      <c r="Y95" s="5"/>
      <c r="Z95" s="5"/>
      <c r="AA95" s="5"/>
      <c r="AB95" s="5"/>
      <c r="AC95" s="5"/>
      <c r="AD95" s="5"/>
    </row>
    <row r="96">
      <c r="A96" s="55"/>
      <c r="B96" s="56"/>
      <c r="C96" s="52"/>
      <c r="D96" s="9"/>
      <c r="E96" s="9"/>
      <c r="F96" s="9"/>
      <c r="G96" s="9"/>
      <c r="H96" s="9"/>
      <c r="I96" s="9"/>
      <c r="J96" s="9"/>
      <c r="K96" s="9"/>
      <c r="L96" s="9"/>
      <c r="M96" s="9"/>
      <c r="N96" s="9"/>
      <c r="O96" s="9"/>
      <c r="P96" s="9"/>
      <c r="Q96" s="10"/>
      <c r="R96" s="5"/>
      <c r="S96" s="5"/>
      <c r="T96" s="5"/>
      <c r="U96" s="5"/>
      <c r="V96" s="5"/>
      <c r="W96" s="5"/>
      <c r="X96" s="5"/>
      <c r="Y96" s="5"/>
      <c r="Z96" s="5"/>
      <c r="AA96" s="5"/>
      <c r="AB96" s="5"/>
      <c r="AC96" s="5"/>
      <c r="AD96" s="5"/>
    </row>
    <row r="97">
      <c r="A97" s="57"/>
      <c r="B97" s="59"/>
      <c r="C97" s="54"/>
      <c r="D97" s="14"/>
      <c r="E97" s="14"/>
      <c r="F97" s="14"/>
      <c r="G97" s="14"/>
      <c r="H97" s="14"/>
      <c r="I97" s="14"/>
      <c r="J97" s="14"/>
      <c r="K97" s="14"/>
      <c r="L97" s="14"/>
      <c r="M97" s="14"/>
      <c r="N97" s="14"/>
      <c r="O97" s="14"/>
      <c r="P97" s="14"/>
      <c r="Q97" s="15"/>
      <c r="R97" s="5"/>
      <c r="S97" s="5"/>
      <c r="T97" s="5"/>
      <c r="U97" s="5"/>
      <c r="V97" s="5"/>
      <c r="W97" s="5"/>
      <c r="X97" s="5"/>
      <c r="Y97" s="5"/>
      <c r="Z97" s="5"/>
      <c r="AA97" s="5"/>
      <c r="AB97" s="5"/>
      <c r="AC97" s="5"/>
      <c r="AD97" s="5"/>
    </row>
    <row r="98">
      <c r="A98" s="55"/>
      <c r="B98" s="56"/>
      <c r="C98" s="52"/>
      <c r="D98" s="9"/>
      <c r="E98" s="9"/>
      <c r="F98" s="9"/>
      <c r="G98" s="9"/>
      <c r="H98" s="9"/>
      <c r="I98" s="9"/>
      <c r="J98" s="9"/>
      <c r="K98" s="9"/>
      <c r="L98" s="9"/>
      <c r="M98" s="9"/>
      <c r="N98" s="9"/>
      <c r="O98" s="9"/>
      <c r="P98" s="9"/>
      <c r="Q98" s="10"/>
      <c r="R98" s="5"/>
      <c r="S98" s="5"/>
      <c r="T98" s="5"/>
      <c r="U98" s="5"/>
      <c r="V98" s="5"/>
      <c r="W98" s="5"/>
      <c r="X98" s="5"/>
      <c r="Y98" s="5"/>
      <c r="Z98" s="5"/>
      <c r="AA98" s="5"/>
      <c r="AB98" s="5"/>
      <c r="AC98" s="5"/>
      <c r="AD98" s="5"/>
    </row>
    <row r="99">
      <c r="A99" s="57"/>
      <c r="B99" s="59"/>
      <c r="C99" s="54"/>
      <c r="D99" s="14"/>
      <c r="E99" s="14"/>
      <c r="F99" s="14"/>
      <c r="G99" s="14"/>
      <c r="H99" s="14"/>
      <c r="I99" s="14"/>
      <c r="J99" s="14"/>
      <c r="K99" s="14"/>
      <c r="L99" s="14"/>
      <c r="M99" s="14"/>
      <c r="N99" s="14"/>
      <c r="O99" s="14"/>
      <c r="P99" s="14"/>
      <c r="Q99" s="15"/>
      <c r="R99" s="5"/>
      <c r="S99" s="5"/>
      <c r="T99" s="5"/>
      <c r="U99" s="5"/>
      <c r="V99" s="5"/>
      <c r="W99" s="5"/>
      <c r="X99" s="5"/>
      <c r="Y99" s="5"/>
      <c r="Z99" s="5"/>
      <c r="AA99" s="5"/>
      <c r="AB99" s="5"/>
      <c r="AC99" s="5"/>
      <c r="AD99" s="5"/>
    </row>
    <row r="100">
      <c r="A100" s="55"/>
      <c r="B100" s="56"/>
      <c r="C100" s="52"/>
      <c r="D100" s="9"/>
      <c r="E100" s="9"/>
      <c r="F100" s="9"/>
      <c r="G100" s="9"/>
      <c r="H100" s="9"/>
      <c r="I100" s="9"/>
      <c r="J100" s="9"/>
      <c r="K100" s="9"/>
      <c r="L100" s="9"/>
      <c r="M100" s="9"/>
      <c r="N100" s="9"/>
      <c r="O100" s="9"/>
      <c r="P100" s="9"/>
      <c r="Q100" s="10"/>
      <c r="R100" s="5"/>
      <c r="S100" s="5"/>
      <c r="T100" s="5"/>
      <c r="U100" s="5"/>
      <c r="V100" s="5"/>
      <c r="W100" s="5"/>
      <c r="X100" s="5"/>
      <c r="Y100" s="5"/>
      <c r="Z100" s="5"/>
      <c r="AA100" s="5"/>
      <c r="AB100" s="5"/>
      <c r="AC100" s="5"/>
      <c r="AD100" s="5"/>
    </row>
    <row r="101">
      <c r="A101" s="57"/>
      <c r="B101" s="59"/>
      <c r="C101" s="54"/>
      <c r="D101" s="14"/>
      <c r="E101" s="14"/>
      <c r="F101" s="14"/>
      <c r="G101" s="14"/>
      <c r="H101" s="14"/>
      <c r="I101" s="14"/>
      <c r="J101" s="14"/>
      <c r="K101" s="14"/>
      <c r="L101" s="14"/>
      <c r="M101" s="14"/>
      <c r="N101" s="14"/>
      <c r="O101" s="14"/>
      <c r="P101" s="14"/>
      <c r="Q101" s="15"/>
      <c r="R101" s="5"/>
      <c r="S101" s="5"/>
      <c r="T101" s="5"/>
      <c r="U101" s="5"/>
      <c r="V101" s="5"/>
      <c r="W101" s="5"/>
      <c r="X101" s="5"/>
      <c r="Y101" s="5"/>
      <c r="Z101" s="5"/>
      <c r="AA101" s="5"/>
      <c r="AB101" s="5"/>
      <c r="AC101" s="5"/>
      <c r="AD101" s="5"/>
    </row>
    <row r="102">
      <c r="A102" s="55"/>
      <c r="B102" s="56"/>
      <c r="C102" s="52"/>
      <c r="D102" s="9"/>
      <c r="E102" s="9"/>
      <c r="F102" s="9"/>
      <c r="G102" s="9"/>
      <c r="H102" s="9"/>
      <c r="I102" s="9"/>
      <c r="J102" s="9"/>
      <c r="K102" s="9"/>
      <c r="L102" s="9"/>
      <c r="M102" s="9"/>
      <c r="N102" s="9"/>
      <c r="O102" s="9"/>
      <c r="P102" s="9"/>
      <c r="Q102" s="10"/>
      <c r="R102" s="5"/>
      <c r="S102" s="5"/>
      <c r="T102" s="5"/>
      <c r="U102" s="5"/>
      <c r="V102" s="5"/>
      <c r="W102" s="5"/>
      <c r="X102" s="5"/>
      <c r="Y102" s="5"/>
      <c r="Z102" s="5"/>
      <c r="AA102" s="5"/>
      <c r="AB102" s="5"/>
      <c r="AC102" s="5"/>
      <c r="AD102" s="5"/>
    </row>
    <row r="103">
      <c r="A103" s="57"/>
      <c r="B103" s="59"/>
      <c r="C103" s="54"/>
      <c r="D103" s="14"/>
      <c r="E103" s="14"/>
      <c r="F103" s="14"/>
      <c r="G103" s="14"/>
      <c r="H103" s="14"/>
      <c r="I103" s="14"/>
      <c r="J103" s="14"/>
      <c r="K103" s="14"/>
      <c r="L103" s="14"/>
      <c r="M103" s="14"/>
      <c r="N103" s="14"/>
      <c r="O103" s="14"/>
      <c r="P103" s="14"/>
      <c r="Q103" s="15"/>
      <c r="R103" s="5"/>
      <c r="S103" s="5"/>
      <c r="T103" s="5"/>
      <c r="U103" s="5"/>
      <c r="V103" s="5"/>
      <c r="W103" s="5"/>
      <c r="X103" s="5"/>
      <c r="Y103" s="5"/>
      <c r="Z103" s="5"/>
      <c r="AA103" s="5"/>
      <c r="AB103" s="5"/>
      <c r="AC103" s="5"/>
      <c r="AD103" s="5"/>
    </row>
    <row r="104">
      <c r="A104" s="55"/>
      <c r="B104" s="56"/>
      <c r="C104" s="52"/>
      <c r="D104" s="9"/>
      <c r="E104" s="9"/>
      <c r="F104" s="9"/>
      <c r="G104" s="9"/>
      <c r="H104" s="9"/>
      <c r="I104" s="9"/>
      <c r="J104" s="9"/>
      <c r="K104" s="9"/>
      <c r="L104" s="9"/>
      <c r="M104" s="9"/>
      <c r="N104" s="9"/>
      <c r="O104" s="9"/>
      <c r="P104" s="9"/>
      <c r="Q104" s="10"/>
      <c r="R104" s="5"/>
      <c r="S104" s="5"/>
      <c r="T104" s="5"/>
      <c r="U104" s="5"/>
      <c r="V104" s="5"/>
      <c r="W104" s="5"/>
      <c r="X104" s="5"/>
      <c r="Y104" s="5"/>
      <c r="Z104" s="5"/>
      <c r="AA104" s="5"/>
      <c r="AB104" s="5"/>
      <c r="AC104" s="5"/>
      <c r="AD104" s="5"/>
    </row>
    <row r="105">
      <c r="A105" s="57"/>
      <c r="B105" s="59"/>
      <c r="C105" s="54"/>
      <c r="D105" s="14"/>
      <c r="E105" s="14"/>
      <c r="F105" s="14"/>
      <c r="G105" s="14"/>
      <c r="H105" s="14"/>
      <c r="I105" s="14"/>
      <c r="J105" s="14"/>
      <c r="K105" s="14"/>
      <c r="L105" s="14"/>
      <c r="M105" s="14"/>
      <c r="N105" s="14"/>
      <c r="O105" s="14"/>
      <c r="P105" s="14"/>
      <c r="Q105" s="15"/>
      <c r="R105" s="5"/>
      <c r="S105" s="5"/>
      <c r="T105" s="5"/>
      <c r="U105" s="5"/>
      <c r="V105" s="5"/>
      <c r="W105" s="5"/>
      <c r="X105" s="5"/>
      <c r="Y105" s="5"/>
      <c r="Z105" s="5"/>
      <c r="AA105" s="5"/>
      <c r="AB105" s="5"/>
      <c r="AC105" s="5"/>
      <c r="AD105" s="5"/>
    </row>
    <row r="106">
      <c r="A106" s="55"/>
      <c r="B106" s="56"/>
      <c r="C106" s="52"/>
      <c r="D106" s="9"/>
      <c r="E106" s="9"/>
      <c r="F106" s="9"/>
      <c r="G106" s="9"/>
      <c r="H106" s="9"/>
      <c r="I106" s="9"/>
      <c r="J106" s="9"/>
      <c r="K106" s="9"/>
      <c r="L106" s="9"/>
      <c r="M106" s="9"/>
      <c r="N106" s="9"/>
      <c r="O106" s="9"/>
      <c r="P106" s="9"/>
      <c r="Q106" s="10"/>
      <c r="R106" s="5"/>
      <c r="S106" s="5"/>
      <c r="T106" s="5"/>
      <c r="U106" s="5"/>
      <c r="V106" s="5"/>
      <c r="W106" s="5"/>
      <c r="X106" s="5"/>
      <c r="Y106" s="5"/>
      <c r="Z106" s="5"/>
      <c r="AA106" s="5"/>
      <c r="AB106" s="5"/>
      <c r="AC106" s="5"/>
      <c r="AD106" s="5"/>
    </row>
    <row r="107">
      <c r="A107" s="57"/>
      <c r="B107" s="59"/>
      <c r="C107" s="54"/>
      <c r="D107" s="14"/>
      <c r="E107" s="14"/>
      <c r="F107" s="14"/>
      <c r="G107" s="14"/>
      <c r="H107" s="14"/>
      <c r="I107" s="14"/>
      <c r="J107" s="14"/>
      <c r="K107" s="14"/>
      <c r="L107" s="14"/>
      <c r="M107" s="14"/>
      <c r="N107" s="14"/>
      <c r="O107" s="14"/>
      <c r="P107" s="14"/>
      <c r="Q107" s="15"/>
      <c r="R107" s="5"/>
      <c r="S107" s="5"/>
      <c r="T107" s="5"/>
      <c r="U107" s="5"/>
      <c r="V107" s="5"/>
      <c r="W107" s="5"/>
      <c r="X107" s="5"/>
      <c r="Y107" s="5"/>
      <c r="Z107" s="5"/>
      <c r="AA107" s="5"/>
      <c r="AB107" s="5"/>
      <c r="AC107" s="5"/>
      <c r="AD107" s="5"/>
    </row>
    <row r="108">
      <c r="A108" s="55"/>
      <c r="B108" s="56"/>
      <c r="C108" s="52"/>
      <c r="D108" s="9"/>
      <c r="E108" s="9"/>
      <c r="F108" s="9"/>
      <c r="G108" s="9"/>
      <c r="H108" s="9"/>
      <c r="I108" s="9"/>
      <c r="J108" s="9"/>
      <c r="K108" s="9"/>
      <c r="L108" s="9"/>
      <c r="M108" s="9"/>
      <c r="N108" s="9"/>
      <c r="O108" s="9"/>
      <c r="P108" s="9"/>
      <c r="Q108" s="10"/>
      <c r="R108" s="5"/>
      <c r="S108" s="5"/>
      <c r="T108" s="5"/>
      <c r="U108" s="5"/>
      <c r="V108" s="5"/>
      <c r="W108" s="5"/>
      <c r="X108" s="5"/>
      <c r="Y108" s="5"/>
      <c r="Z108" s="5"/>
      <c r="AA108" s="5"/>
      <c r="AB108" s="5"/>
      <c r="AC108" s="5"/>
      <c r="AD108" s="5"/>
    </row>
    <row r="109">
      <c r="A109" s="57"/>
      <c r="B109" s="59"/>
      <c r="C109" s="54"/>
      <c r="D109" s="14"/>
      <c r="E109" s="14"/>
      <c r="F109" s="14"/>
      <c r="G109" s="14"/>
      <c r="H109" s="14"/>
      <c r="I109" s="14"/>
      <c r="J109" s="14"/>
      <c r="K109" s="14"/>
      <c r="L109" s="14"/>
      <c r="M109" s="14"/>
      <c r="N109" s="14"/>
      <c r="O109" s="14"/>
      <c r="P109" s="14"/>
      <c r="Q109" s="15"/>
      <c r="R109" s="5"/>
      <c r="S109" s="5"/>
      <c r="T109" s="5"/>
      <c r="U109" s="5"/>
      <c r="V109" s="5"/>
      <c r="W109" s="5"/>
      <c r="X109" s="5"/>
      <c r="Y109" s="5"/>
      <c r="Z109" s="5"/>
      <c r="AA109" s="5"/>
      <c r="AB109" s="5"/>
      <c r="AC109" s="5"/>
      <c r="AD109" s="5"/>
    </row>
    <row r="110">
      <c r="A110" s="55"/>
      <c r="B110" s="56"/>
      <c r="C110" s="52"/>
      <c r="D110" s="9"/>
      <c r="E110" s="9"/>
      <c r="F110" s="9"/>
      <c r="G110" s="9"/>
      <c r="H110" s="9"/>
      <c r="I110" s="9"/>
      <c r="J110" s="9"/>
      <c r="K110" s="9"/>
      <c r="L110" s="9"/>
      <c r="M110" s="9"/>
      <c r="N110" s="9"/>
      <c r="O110" s="9"/>
      <c r="P110" s="9"/>
      <c r="Q110" s="10"/>
      <c r="R110" s="5"/>
      <c r="S110" s="5"/>
      <c r="T110" s="5"/>
      <c r="U110" s="5"/>
      <c r="V110" s="5"/>
      <c r="W110" s="5"/>
      <c r="X110" s="5"/>
      <c r="Y110" s="5"/>
      <c r="Z110" s="5"/>
      <c r="AA110" s="5"/>
      <c r="AB110" s="5"/>
      <c r="AC110" s="5"/>
      <c r="AD110" s="5"/>
    </row>
    <row r="111">
      <c r="A111" s="57"/>
      <c r="B111" s="59"/>
      <c r="C111" s="54"/>
      <c r="D111" s="14"/>
      <c r="E111" s="14"/>
      <c r="F111" s="14"/>
      <c r="G111" s="14"/>
      <c r="H111" s="14"/>
      <c r="I111" s="14"/>
      <c r="J111" s="14"/>
      <c r="K111" s="14"/>
      <c r="L111" s="14"/>
      <c r="M111" s="14"/>
      <c r="N111" s="14"/>
      <c r="O111" s="14"/>
      <c r="P111" s="14"/>
      <c r="Q111" s="15"/>
      <c r="R111" s="5"/>
      <c r="S111" s="5"/>
      <c r="T111" s="5"/>
      <c r="U111" s="5"/>
      <c r="V111" s="5"/>
      <c r="W111" s="5"/>
      <c r="X111" s="5"/>
      <c r="Y111" s="5"/>
      <c r="Z111" s="5"/>
      <c r="AA111" s="5"/>
      <c r="AB111" s="5"/>
      <c r="AC111" s="5"/>
      <c r="AD111" s="5"/>
    </row>
    <row r="112">
      <c r="A112" s="55"/>
      <c r="B112" s="56"/>
      <c r="C112" s="52"/>
      <c r="D112" s="9"/>
      <c r="E112" s="9"/>
      <c r="F112" s="9"/>
      <c r="G112" s="9"/>
      <c r="H112" s="9"/>
      <c r="I112" s="9"/>
      <c r="J112" s="9"/>
      <c r="K112" s="9"/>
      <c r="L112" s="9"/>
      <c r="M112" s="9"/>
      <c r="N112" s="9"/>
      <c r="O112" s="9"/>
      <c r="P112" s="9"/>
      <c r="Q112" s="10"/>
      <c r="R112" s="5"/>
      <c r="S112" s="5"/>
      <c r="T112" s="5"/>
      <c r="U112" s="5"/>
      <c r="V112" s="5"/>
      <c r="W112" s="5"/>
      <c r="X112" s="5"/>
      <c r="Y112" s="5"/>
      <c r="Z112" s="5"/>
      <c r="AA112" s="5"/>
      <c r="AB112" s="5"/>
      <c r="AC112" s="5"/>
      <c r="AD112" s="5"/>
    </row>
    <row r="113">
      <c r="A113" s="57"/>
      <c r="B113" s="59"/>
      <c r="C113" s="54"/>
      <c r="D113" s="14"/>
      <c r="E113" s="14"/>
      <c r="F113" s="14"/>
      <c r="G113" s="14"/>
      <c r="H113" s="14"/>
      <c r="I113" s="14"/>
      <c r="J113" s="14"/>
      <c r="K113" s="14"/>
      <c r="L113" s="14"/>
      <c r="M113" s="14"/>
      <c r="N113" s="14"/>
      <c r="O113" s="14"/>
      <c r="P113" s="14"/>
      <c r="Q113" s="15"/>
      <c r="R113" s="5"/>
      <c r="S113" s="5"/>
      <c r="T113" s="5"/>
      <c r="U113" s="5"/>
      <c r="V113" s="5"/>
      <c r="W113" s="5"/>
      <c r="X113" s="5"/>
      <c r="Y113" s="5"/>
      <c r="Z113" s="5"/>
      <c r="AA113" s="5"/>
      <c r="AB113" s="5"/>
      <c r="AC113" s="5"/>
      <c r="AD113" s="5"/>
    </row>
    <row r="114">
      <c r="A114" s="55"/>
      <c r="B114" s="56"/>
      <c r="C114" s="52"/>
      <c r="D114" s="9"/>
      <c r="E114" s="9"/>
      <c r="F114" s="9"/>
      <c r="G114" s="9"/>
      <c r="H114" s="9"/>
      <c r="I114" s="9"/>
      <c r="J114" s="9"/>
      <c r="K114" s="9"/>
      <c r="L114" s="9"/>
      <c r="M114" s="9"/>
      <c r="N114" s="9"/>
      <c r="O114" s="9"/>
      <c r="P114" s="9"/>
      <c r="Q114" s="10"/>
      <c r="R114" s="5"/>
      <c r="S114" s="5"/>
      <c r="T114" s="5"/>
      <c r="U114" s="5"/>
      <c r="V114" s="5"/>
      <c r="W114" s="5"/>
      <c r="X114" s="5"/>
      <c r="Y114" s="5"/>
      <c r="Z114" s="5"/>
      <c r="AA114" s="5"/>
      <c r="AB114" s="5"/>
      <c r="AC114" s="5"/>
      <c r="AD114" s="5"/>
    </row>
    <row r="115">
      <c r="A115" s="57"/>
      <c r="B115" s="59"/>
      <c r="C115" s="54"/>
      <c r="D115" s="14"/>
      <c r="E115" s="14"/>
      <c r="F115" s="14"/>
      <c r="G115" s="14"/>
      <c r="H115" s="14"/>
      <c r="I115" s="14"/>
      <c r="J115" s="14"/>
      <c r="K115" s="14"/>
      <c r="L115" s="14"/>
      <c r="M115" s="14"/>
      <c r="N115" s="14"/>
      <c r="O115" s="14"/>
      <c r="P115" s="14"/>
      <c r="Q115" s="15"/>
      <c r="R115" s="5"/>
      <c r="S115" s="5"/>
      <c r="T115" s="5"/>
      <c r="U115" s="5"/>
      <c r="V115" s="5"/>
      <c r="W115" s="5"/>
      <c r="X115" s="5"/>
      <c r="Y115" s="5"/>
      <c r="Z115" s="5"/>
      <c r="AA115" s="5"/>
      <c r="AB115" s="5"/>
      <c r="AC115" s="5"/>
      <c r="AD115" s="5"/>
    </row>
    <row r="116">
      <c r="A116" s="55"/>
      <c r="B116" s="56"/>
      <c r="C116" s="52"/>
      <c r="D116" s="9"/>
      <c r="E116" s="9"/>
      <c r="F116" s="9"/>
      <c r="G116" s="9"/>
      <c r="H116" s="9"/>
      <c r="I116" s="9"/>
      <c r="J116" s="9"/>
      <c r="K116" s="9"/>
      <c r="L116" s="9"/>
      <c r="M116" s="9"/>
      <c r="N116" s="9"/>
      <c r="O116" s="9"/>
      <c r="P116" s="9"/>
      <c r="Q116" s="10"/>
      <c r="R116" s="5"/>
      <c r="S116" s="5"/>
      <c r="T116" s="5"/>
      <c r="U116" s="5"/>
      <c r="V116" s="5"/>
      <c r="W116" s="5"/>
      <c r="X116" s="5"/>
      <c r="Y116" s="5"/>
      <c r="Z116" s="5"/>
      <c r="AA116" s="5"/>
      <c r="AB116" s="5"/>
      <c r="AC116" s="5"/>
      <c r="AD116" s="5"/>
    </row>
    <row r="117">
      <c r="A117" s="57"/>
      <c r="B117" s="59"/>
      <c r="C117" s="54"/>
      <c r="D117" s="14"/>
      <c r="E117" s="14"/>
      <c r="F117" s="14"/>
      <c r="G117" s="14"/>
      <c r="H117" s="14"/>
      <c r="I117" s="14"/>
      <c r="J117" s="14"/>
      <c r="K117" s="14"/>
      <c r="L117" s="14"/>
      <c r="M117" s="14"/>
      <c r="N117" s="14"/>
      <c r="O117" s="14"/>
      <c r="P117" s="14"/>
      <c r="Q117" s="15"/>
      <c r="R117" s="5"/>
      <c r="S117" s="5"/>
      <c r="T117" s="5"/>
      <c r="U117" s="5"/>
      <c r="V117" s="5"/>
      <c r="W117" s="5"/>
      <c r="X117" s="5"/>
      <c r="Y117" s="5"/>
      <c r="Z117" s="5"/>
      <c r="AA117" s="5"/>
      <c r="AB117" s="5"/>
      <c r="AC117" s="5"/>
      <c r="AD117" s="5"/>
    </row>
    <row r="118">
      <c r="A118" s="55"/>
      <c r="B118" s="56"/>
      <c r="C118" s="52"/>
      <c r="D118" s="9"/>
      <c r="E118" s="9"/>
      <c r="F118" s="9"/>
      <c r="G118" s="9"/>
      <c r="H118" s="9"/>
      <c r="I118" s="9"/>
      <c r="J118" s="9"/>
      <c r="K118" s="9"/>
      <c r="L118" s="9"/>
      <c r="M118" s="9"/>
      <c r="N118" s="9"/>
      <c r="O118" s="9"/>
      <c r="P118" s="9"/>
      <c r="Q118" s="10"/>
      <c r="R118" s="5"/>
      <c r="S118" s="5"/>
      <c r="T118" s="5"/>
      <c r="U118" s="5"/>
      <c r="V118" s="5"/>
      <c r="W118" s="5"/>
      <c r="X118" s="5"/>
      <c r="Y118" s="5"/>
      <c r="Z118" s="5"/>
      <c r="AA118" s="5"/>
      <c r="AB118" s="5"/>
      <c r="AC118" s="5"/>
      <c r="AD118" s="5"/>
    </row>
    <row r="119">
      <c r="A119" s="57"/>
      <c r="B119" s="59"/>
      <c r="C119" s="54"/>
      <c r="D119" s="14"/>
      <c r="E119" s="14"/>
      <c r="F119" s="14"/>
      <c r="G119" s="14"/>
      <c r="H119" s="14"/>
      <c r="I119" s="14"/>
      <c r="J119" s="14"/>
      <c r="K119" s="14"/>
      <c r="L119" s="14"/>
      <c r="M119" s="14"/>
      <c r="N119" s="14"/>
      <c r="O119" s="14"/>
      <c r="P119" s="14"/>
      <c r="Q119" s="15"/>
      <c r="R119" s="5"/>
      <c r="S119" s="5"/>
      <c r="T119" s="5"/>
      <c r="U119" s="5"/>
      <c r="V119" s="5"/>
      <c r="W119" s="5"/>
      <c r="X119" s="5"/>
      <c r="Y119" s="5"/>
      <c r="Z119" s="5"/>
      <c r="AA119" s="5"/>
      <c r="AB119" s="5"/>
      <c r="AC119" s="5"/>
      <c r="AD119" s="5"/>
    </row>
    <row r="120">
      <c r="A120" s="55"/>
      <c r="B120" s="56"/>
      <c r="C120" s="52"/>
      <c r="D120" s="9"/>
      <c r="E120" s="9"/>
      <c r="F120" s="9"/>
      <c r="G120" s="9"/>
      <c r="H120" s="9"/>
      <c r="I120" s="9"/>
      <c r="J120" s="9"/>
      <c r="K120" s="9"/>
      <c r="L120" s="9"/>
      <c r="M120" s="9"/>
      <c r="N120" s="9"/>
      <c r="O120" s="9"/>
      <c r="P120" s="9"/>
      <c r="Q120" s="10"/>
      <c r="R120" s="5"/>
      <c r="S120" s="5"/>
      <c r="T120" s="5"/>
      <c r="U120" s="5"/>
      <c r="V120" s="5"/>
      <c r="W120" s="5"/>
      <c r="X120" s="5"/>
      <c r="Y120" s="5"/>
      <c r="Z120" s="5"/>
      <c r="AA120" s="5"/>
      <c r="AB120" s="5"/>
      <c r="AC120" s="5"/>
      <c r="AD120" s="5"/>
    </row>
    <row r="121">
      <c r="A121" s="57"/>
      <c r="B121" s="59"/>
      <c r="C121" s="54"/>
      <c r="D121" s="14"/>
      <c r="E121" s="14"/>
      <c r="F121" s="14"/>
      <c r="G121" s="14"/>
      <c r="H121" s="14"/>
      <c r="I121" s="14"/>
      <c r="J121" s="14"/>
      <c r="K121" s="14"/>
      <c r="L121" s="14"/>
      <c r="M121" s="14"/>
      <c r="N121" s="14"/>
      <c r="O121" s="14"/>
      <c r="P121" s="14"/>
      <c r="Q121" s="15"/>
      <c r="R121" s="5"/>
      <c r="S121" s="5"/>
      <c r="T121" s="5"/>
      <c r="U121" s="5"/>
      <c r="V121" s="5"/>
      <c r="W121" s="5"/>
      <c r="X121" s="5"/>
      <c r="Y121" s="5"/>
      <c r="Z121" s="5"/>
      <c r="AA121" s="5"/>
      <c r="AB121" s="5"/>
      <c r="AC121" s="5"/>
      <c r="AD121" s="5"/>
    </row>
    <row r="122">
      <c r="A122" s="55"/>
      <c r="B122" s="56"/>
      <c r="C122" s="52"/>
      <c r="D122" s="9"/>
      <c r="E122" s="9"/>
      <c r="F122" s="9"/>
      <c r="G122" s="9"/>
      <c r="H122" s="9"/>
      <c r="I122" s="9"/>
      <c r="J122" s="9"/>
      <c r="K122" s="9"/>
      <c r="L122" s="9"/>
      <c r="M122" s="9"/>
      <c r="N122" s="9"/>
      <c r="O122" s="9"/>
      <c r="P122" s="9"/>
      <c r="Q122" s="10"/>
      <c r="R122" s="5"/>
      <c r="S122" s="5"/>
      <c r="T122" s="5"/>
      <c r="U122" s="5"/>
      <c r="V122" s="5"/>
      <c r="W122" s="5"/>
      <c r="X122" s="5"/>
      <c r="Y122" s="5"/>
      <c r="Z122" s="5"/>
      <c r="AA122" s="5"/>
      <c r="AB122" s="5"/>
      <c r="AC122" s="5"/>
      <c r="AD122" s="5"/>
    </row>
    <row r="123">
      <c r="A123" s="57"/>
      <c r="B123" s="59"/>
      <c r="C123" s="54"/>
      <c r="D123" s="14"/>
      <c r="E123" s="14"/>
      <c r="F123" s="14"/>
      <c r="G123" s="14"/>
      <c r="H123" s="14"/>
      <c r="I123" s="14"/>
      <c r="J123" s="14"/>
      <c r="K123" s="14"/>
      <c r="L123" s="14"/>
      <c r="M123" s="14"/>
      <c r="N123" s="14"/>
      <c r="O123" s="14"/>
      <c r="P123" s="14"/>
      <c r="Q123" s="15"/>
      <c r="R123" s="5"/>
      <c r="S123" s="5"/>
      <c r="T123" s="5"/>
      <c r="U123" s="5"/>
      <c r="V123" s="5"/>
      <c r="W123" s="5"/>
      <c r="X123" s="5"/>
      <c r="Y123" s="5"/>
      <c r="Z123" s="5"/>
      <c r="AA123" s="5"/>
      <c r="AB123" s="5"/>
      <c r="AC123" s="5"/>
      <c r="AD123" s="5"/>
    </row>
    <row r="124">
      <c r="A124" s="55"/>
      <c r="B124" s="56"/>
      <c r="C124" s="52"/>
      <c r="D124" s="9"/>
      <c r="E124" s="9"/>
      <c r="F124" s="9"/>
      <c r="G124" s="9"/>
      <c r="H124" s="9"/>
      <c r="I124" s="9"/>
      <c r="J124" s="9"/>
      <c r="K124" s="9"/>
      <c r="L124" s="9"/>
      <c r="M124" s="9"/>
      <c r="N124" s="9"/>
      <c r="O124" s="9"/>
      <c r="P124" s="9"/>
      <c r="Q124" s="10"/>
      <c r="R124" s="5"/>
      <c r="S124" s="5"/>
      <c r="T124" s="5"/>
      <c r="U124" s="5"/>
      <c r="V124" s="5"/>
      <c r="W124" s="5"/>
      <c r="X124" s="5"/>
      <c r="Y124" s="5"/>
      <c r="Z124" s="5"/>
      <c r="AA124" s="5"/>
      <c r="AB124" s="5"/>
      <c r="AC124" s="5"/>
      <c r="AD124" s="5"/>
    </row>
    <row r="125">
      <c r="A125" s="57"/>
      <c r="B125" s="59"/>
      <c r="C125" s="54"/>
      <c r="D125" s="14"/>
      <c r="E125" s="14"/>
      <c r="F125" s="14"/>
      <c r="G125" s="14"/>
      <c r="H125" s="14"/>
      <c r="I125" s="14"/>
      <c r="J125" s="14"/>
      <c r="K125" s="14"/>
      <c r="L125" s="14"/>
      <c r="M125" s="14"/>
      <c r="N125" s="14"/>
      <c r="O125" s="14"/>
      <c r="P125" s="14"/>
      <c r="Q125" s="15"/>
      <c r="R125" s="5"/>
      <c r="S125" s="5"/>
      <c r="T125" s="5"/>
      <c r="U125" s="5"/>
      <c r="V125" s="5"/>
      <c r="W125" s="5"/>
      <c r="X125" s="5"/>
      <c r="Y125" s="5"/>
      <c r="Z125" s="5"/>
      <c r="AA125" s="5"/>
      <c r="AB125" s="5"/>
      <c r="AC125" s="5"/>
      <c r="AD125" s="5"/>
    </row>
    <row r="126">
      <c r="A126" s="55"/>
      <c r="B126" s="56"/>
      <c r="C126" s="52"/>
      <c r="D126" s="9"/>
      <c r="E126" s="9"/>
      <c r="F126" s="9"/>
      <c r="G126" s="9"/>
      <c r="H126" s="9"/>
      <c r="I126" s="9"/>
      <c r="J126" s="9"/>
      <c r="K126" s="9"/>
      <c r="L126" s="9"/>
      <c r="M126" s="9"/>
      <c r="N126" s="9"/>
      <c r="O126" s="9"/>
      <c r="P126" s="9"/>
      <c r="Q126" s="10"/>
      <c r="R126" s="5"/>
      <c r="S126" s="5"/>
      <c r="T126" s="5"/>
      <c r="U126" s="5"/>
      <c r="V126" s="5"/>
      <c r="W126" s="5"/>
      <c r="X126" s="5"/>
      <c r="Y126" s="5"/>
      <c r="Z126" s="5"/>
      <c r="AA126" s="5"/>
      <c r="AB126" s="5"/>
      <c r="AC126" s="5"/>
      <c r="AD126" s="5"/>
    </row>
    <row r="127">
      <c r="A127" s="57"/>
      <c r="B127" s="59"/>
      <c r="C127" s="54"/>
      <c r="D127" s="14"/>
      <c r="E127" s="14"/>
      <c r="F127" s="14"/>
      <c r="G127" s="14"/>
      <c r="H127" s="14"/>
      <c r="I127" s="14"/>
      <c r="J127" s="14"/>
      <c r="K127" s="14"/>
      <c r="L127" s="14"/>
      <c r="M127" s="14"/>
      <c r="N127" s="14"/>
      <c r="O127" s="14"/>
      <c r="P127" s="14"/>
      <c r="Q127" s="15"/>
      <c r="R127" s="5"/>
      <c r="S127" s="5"/>
      <c r="T127" s="5"/>
      <c r="U127" s="5"/>
      <c r="V127" s="5"/>
      <c r="W127" s="5"/>
      <c r="X127" s="5"/>
      <c r="Y127" s="5"/>
      <c r="Z127" s="5"/>
      <c r="AA127" s="5"/>
      <c r="AB127" s="5"/>
      <c r="AC127" s="5"/>
      <c r="AD127" s="5"/>
    </row>
    <row r="128">
      <c r="A128" s="55"/>
      <c r="B128" s="56"/>
      <c r="C128" s="52"/>
      <c r="D128" s="9"/>
      <c r="E128" s="9"/>
      <c r="F128" s="9"/>
      <c r="G128" s="9"/>
      <c r="H128" s="9"/>
      <c r="I128" s="9"/>
      <c r="J128" s="9"/>
      <c r="K128" s="9"/>
      <c r="L128" s="9"/>
      <c r="M128" s="9"/>
      <c r="N128" s="9"/>
      <c r="O128" s="9"/>
      <c r="P128" s="9"/>
      <c r="Q128" s="10"/>
      <c r="R128" s="5"/>
      <c r="S128" s="5"/>
      <c r="T128" s="5"/>
      <c r="U128" s="5"/>
      <c r="V128" s="5"/>
      <c r="W128" s="5"/>
      <c r="X128" s="5"/>
      <c r="Y128" s="5"/>
      <c r="Z128" s="5"/>
      <c r="AA128" s="5"/>
      <c r="AB128" s="5"/>
      <c r="AC128" s="5"/>
      <c r="AD128" s="5"/>
    </row>
    <row r="129">
      <c r="A129" s="57"/>
      <c r="B129" s="59"/>
      <c r="C129" s="54"/>
      <c r="D129" s="14"/>
      <c r="E129" s="14"/>
      <c r="F129" s="14"/>
      <c r="G129" s="14"/>
      <c r="H129" s="14"/>
      <c r="I129" s="14"/>
      <c r="J129" s="14"/>
      <c r="K129" s="14"/>
      <c r="L129" s="14"/>
      <c r="M129" s="14"/>
      <c r="N129" s="14"/>
      <c r="O129" s="14"/>
      <c r="P129" s="14"/>
      <c r="Q129" s="15"/>
      <c r="R129" s="5"/>
      <c r="S129" s="5"/>
      <c r="T129" s="5"/>
      <c r="U129" s="5"/>
      <c r="V129" s="5"/>
      <c r="W129" s="5"/>
      <c r="X129" s="5"/>
      <c r="Y129" s="5"/>
      <c r="Z129" s="5"/>
      <c r="AA129" s="5"/>
      <c r="AB129" s="5"/>
      <c r="AC129" s="5"/>
      <c r="AD129" s="5"/>
    </row>
    <row r="130">
      <c r="A130" s="55"/>
      <c r="B130" s="56"/>
      <c r="C130" s="52"/>
      <c r="D130" s="9"/>
      <c r="E130" s="9"/>
      <c r="F130" s="9"/>
      <c r="G130" s="9"/>
      <c r="H130" s="9"/>
      <c r="I130" s="9"/>
      <c r="J130" s="9"/>
      <c r="K130" s="9"/>
      <c r="L130" s="9"/>
      <c r="M130" s="9"/>
      <c r="N130" s="9"/>
      <c r="O130" s="9"/>
      <c r="P130" s="9"/>
      <c r="Q130" s="10"/>
      <c r="R130" s="5"/>
      <c r="S130" s="5"/>
      <c r="T130" s="5"/>
      <c r="U130" s="5"/>
      <c r="V130" s="5"/>
      <c r="W130" s="5"/>
      <c r="X130" s="5"/>
      <c r="Y130" s="5"/>
      <c r="Z130" s="5"/>
      <c r="AA130" s="5"/>
      <c r="AB130" s="5"/>
      <c r="AC130" s="5"/>
      <c r="AD130" s="5"/>
    </row>
    <row r="131">
      <c r="A131" s="57"/>
      <c r="B131" s="59"/>
      <c r="C131" s="54"/>
      <c r="D131" s="14"/>
      <c r="E131" s="14"/>
      <c r="F131" s="14"/>
      <c r="G131" s="14"/>
      <c r="H131" s="14"/>
      <c r="I131" s="14"/>
      <c r="J131" s="14"/>
      <c r="K131" s="14"/>
      <c r="L131" s="14"/>
      <c r="M131" s="14"/>
      <c r="N131" s="14"/>
      <c r="O131" s="14"/>
      <c r="P131" s="14"/>
      <c r="Q131" s="15"/>
      <c r="R131" s="5"/>
      <c r="S131" s="5"/>
      <c r="T131" s="5"/>
      <c r="U131" s="5"/>
      <c r="V131" s="5"/>
      <c r="W131" s="5"/>
      <c r="X131" s="5"/>
      <c r="Y131" s="5"/>
      <c r="Z131" s="5"/>
      <c r="AA131" s="5"/>
      <c r="AB131" s="5"/>
      <c r="AC131" s="5"/>
      <c r="AD131" s="5"/>
    </row>
    <row r="132">
      <c r="A132" s="55"/>
      <c r="B132" s="56"/>
      <c r="C132" s="52"/>
      <c r="D132" s="9"/>
      <c r="E132" s="9"/>
      <c r="F132" s="9"/>
      <c r="G132" s="9"/>
      <c r="H132" s="9"/>
      <c r="I132" s="9"/>
      <c r="J132" s="9"/>
      <c r="K132" s="9"/>
      <c r="L132" s="9"/>
      <c r="M132" s="9"/>
      <c r="N132" s="9"/>
      <c r="O132" s="9"/>
      <c r="P132" s="9"/>
      <c r="Q132" s="10"/>
      <c r="R132" s="5"/>
      <c r="S132" s="5"/>
      <c r="T132" s="5"/>
      <c r="U132" s="5"/>
      <c r="V132" s="5"/>
      <c r="W132" s="5"/>
      <c r="X132" s="5"/>
      <c r="Y132" s="5"/>
      <c r="Z132" s="5"/>
      <c r="AA132" s="5"/>
      <c r="AB132" s="5"/>
      <c r="AC132" s="5"/>
      <c r="AD132" s="5"/>
    </row>
    <row r="133">
      <c r="A133" s="57"/>
      <c r="B133" s="59"/>
      <c r="C133" s="54"/>
      <c r="D133" s="14"/>
      <c r="E133" s="14"/>
      <c r="F133" s="14"/>
      <c r="G133" s="14"/>
      <c r="H133" s="14"/>
      <c r="I133" s="14"/>
      <c r="J133" s="14"/>
      <c r="K133" s="14"/>
      <c r="L133" s="14"/>
      <c r="M133" s="14"/>
      <c r="N133" s="14"/>
      <c r="O133" s="14"/>
      <c r="P133" s="14"/>
      <c r="Q133" s="15"/>
      <c r="R133" s="5"/>
      <c r="S133" s="5"/>
      <c r="T133" s="5"/>
      <c r="U133" s="5"/>
      <c r="V133" s="5"/>
      <c r="W133" s="5"/>
      <c r="X133" s="5"/>
      <c r="Y133" s="5"/>
      <c r="Z133" s="5"/>
      <c r="AA133" s="5"/>
      <c r="AB133" s="5"/>
      <c r="AC133" s="5"/>
      <c r="AD133" s="5"/>
    </row>
    <row r="134">
      <c r="A134" s="55"/>
      <c r="B134" s="56"/>
      <c r="C134" s="52"/>
      <c r="D134" s="9"/>
      <c r="E134" s="9"/>
      <c r="F134" s="9"/>
      <c r="G134" s="9"/>
      <c r="H134" s="9"/>
      <c r="I134" s="9"/>
      <c r="J134" s="9"/>
      <c r="K134" s="9"/>
      <c r="L134" s="9"/>
      <c r="M134" s="9"/>
      <c r="N134" s="9"/>
      <c r="O134" s="9"/>
      <c r="P134" s="9"/>
      <c r="Q134" s="10"/>
      <c r="R134" s="5"/>
      <c r="S134" s="5"/>
      <c r="T134" s="5"/>
      <c r="U134" s="5"/>
      <c r="V134" s="5"/>
      <c r="W134" s="5"/>
      <c r="X134" s="5"/>
      <c r="Y134" s="5"/>
      <c r="Z134" s="5"/>
      <c r="AA134" s="5"/>
      <c r="AB134" s="5"/>
      <c r="AC134" s="5"/>
      <c r="AD134" s="5"/>
    </row>
    <row r="135">
      <c r="A135" s="57"/>
      <c r="B135" s="59"/>
      <c r="C135" s="54"/>
      <c r="D135" s="14"/>
      <c r="E135" s="14"/>
      <c r="F135" s="14"/>
      <c r="G135" s="14"/>
      <c r="H135" s="14"/>
      <c r="I135" s="14"/>
      <c r="J135" s="14"/>
      <c r="K135" s="14"/>
      <c r="L135" s="14"/>
      <c r="M135" s="14"/>
      <c r="N135" s="14"/>
      <c r="O135" s="14"/>
      <c r="P135" s="14"/>
      <c r="Q135" s="15"/>
      <c r="R135" s="5"/>
      <c r="S135" s="5"/>
      <c r="T135" s="5"/>
      <c r="U135" s="5"/>
      <c r="V135" s="5"/>
      <c r="W135" s="5"/>
      <c r="X135" s="5"/>
      <c r="Y135" s="5"/>
      <c r="Z135" s="5"/>
      <c r="AA135" s="5"/>
      <c r="AB135" s="5"/>
      <c r="AC135" s="5"/>
      <c r="AD135" s="5"/>
    </row>
    <row r="136">
      <c r="A136" s="55"/>
      <c r="B136" s="56"/>
      <c r="C136" s="52"/>
      <c r="D136" s="9"/>
      <c r="E136" s="9"/>
      <c r="F136" s="9"/>
      <c r="G136" s="9"/>
      <c r="H136" s="9"/>
      <c r="I136" s="9"/>
      <c r="J136" s="9"/>
      <c r="K136" s="9"/>
      <c r="L136" s="9"/>
      <c r="M136" s="9"/>
      <c r="N136" s="9"/>
      <c r="O136" s="9"/>
      <c r="P136" s="9"/>
      <c r="Q136" s="10"/>
      <c r="R136" s="5"/>
      <c r="S136" s="5"/>
      <c r="T136" s="5"/>
      <c r="U136" s="5"/>
      <c r="V136" s="5"/>
      <c r="W136" s="5"/>
      <c r="X136" s="5"/>
      <c r="Y136" s="5"/>
      <c r="Z136" s="5"/>
      <c r="AA136" s="5"/>
      <c r="AB136" s="5"/>
      <c r="AC136" s="5"/>
      <c r="AD136" s="5"/>
    </row>
    <row r="137">
      <c r="A137" s="57"/>
      <c r="B137" s="59"/>
      <c r="C137" s="54"/>
      <c r="D137" s="14"/>
      <c r="E137" s="14"/>
      <c r="F137" s="14"/>
      <c r="G137" s="14"/>
      <c r="H137" s="14"/>
      <c r="I137" s="14"/>
      <c r="J137" s="14"/>
      <c r="K137" s="14"/>
      <c r="L137" s="14"/>
      <c r="M137" s="14"/>
      <c r="N137" s="14"/>
      <c r="O137" s="14"/>
      <c r="P137" s="14"/>
      <c r="Q137" s="15"/>
      <c r="R137" s="5"/>
      <c r="S137" s="5"/>
      <c r="T137" s="5"/>
      <c r="U137" s="5"/>
      <c r="V137" s="5"/>
      <c r="W137" s="5"/>
      <c r="X137" s="5"/>
      <c r="Y137" s="5"/>
      <c r="Z137" s="5"/>
      <c r="AA137" s="5"/>
      <c r="AB137" s="5"/>
      <c r="AC137" s="5"/>
      <c r="AD137" s="5"/>
    </row>
    <row r="138">
      <c r="A138" s="55"/>
      <c r="B138" s="56"/>
      <c r="C138" s="52"/>
      <c r="D138" s="9"/>
      <c r="E138" s="9"/>
      <c r="F138" s="9"/>
      <c r="G138" s="9"/>
      <c r="H138" s="9"/>
      <c r="I138" s="9"/>
      <c r="J138" s="9"/>
      <c r="K138" s="9"/>
      <c r="L138" s="9"/>
      <c r="M138" s="9"/>
      <c r="N138" s="9"/>
      <c r="O138" s="9"/>
      <c r="P138" s="9"/>
      <c r="Q138" s="10"/>
      <c r="R138" s="5"/>
      <c r="S138" s="5"/>
      <c r="T138" s="5"/>
      <c r="U138" s="5"/>
      <c r="V138" s="5"/>
      <c r="W138" s="5"/>
      <c r="X138" s="5"/>
      <c r="Y138" s="5"/>
      <c r="Z138" s="5"/>
      <c r="AA138" s="5"/>
      <c r="AB138" s="5"/>
      <c r="AC138" s="5"/>
      <c r="AD138" s="5"/>
    </row>
    <row r="139">
      <c r="A139" s="57"/>
      <c r="B139" s="59"/>
      <c r="C139" s="54"/>
      <c r="D139" s="14"/>
      <c r="E139" s="14"/>
      <c r="F139" s="14"/>
      <c r="G139" s="14"/>
      <c r="H139" s="14"/>
      <c r="I139" s="14"/>
      <c r="J139" s="14"/>
      <c r="K139" s="14"/>
      <c r="L139" s="14"/>
      <c r="M139" s="14"/>
      <c r="N139" s="14"/>
      <c r="O139" s="14"/>
      <c r="P139" s="14"/>
      <c r="Q139" s="15"/>
      <c r="R139" s="5"/>
      <c r="S139" s="5"/>
      <c r="T139" s="5"/>
      <c r="U139" s="5"/>
      <c r="V139" s="5"/>
      <c r="W139" s="5"/>
      <c r="X139" s="5"/>
      <c r="Y139" s="5"/>
      <c r="Z139" s="5"/>
      <c r="AA139" s="5"/>
      <c r="AB139" s="5"/>
      <c r="AC139" s="5"/>
      <c r="AD139" s="5"/>
    </row>
    <row r="140">
      <c r="A140" s="55"/>
      <c r="B140" s="56"/>
      <c r="C140" s="52"/>
      <c r="D140" s="9"/>
      <c r="E140" s="9"/>
      <c r="F140" s="9"/>
      <c r="G140" s="9"/>
      <c r="H140" s="9"/>
      <c r="I140" s="9"/>
      <c r="J140" s="9"/>
      <c r="K140" s="9"/>
      <c r="L140" s="9"/>
      <c r="M140" s="9"/>
      <c r="N140" s="9"/>
      <c r="O140" s="9"/>
      <c r="P140" s="9"/>
      <c r="Q140" s="10"/>
      <c r="R140" s="5"/>
      <c r="S140" s="5"/>
      <c r="T140" s="5"/>
      <c r="U140" s="5"/>
      <c r="V140" s="5"/>
      <c r="W140" s="5"/>
      <c r="X140" s="5"/>
      <c r="Y140" s="5"/>
      <c r="Z140" s="5"/>
      <c r="AA140" s="5"/>
      <c r="AB140" s="5"/>
      <c r="AC140" s="5"/>
      <c r="AD140" s="5"/>
    </row>
    <row r="141">
      <c r="A141" s="57"/>
      <c r="B141" s="59"/>
      <c r="C141" s="54"/>
      <c r="D141" s="14"/>
      <c r="E141" s="14"/>
      <c r="F141" s="14"/>
      <c r="G141" s="14"/>
      <c r="H141" s="14"/>
      <c r="I141" s="14"/>
      <c r="J141" s="14"/>
      <c r="K141" s="14"/>
      <c r="L141" s="14"/>
      <c r="M141" s="14"/>
      <c r="N141" s="14"/>
      <c r="O141" s="14"/>
      <c r="P141" s="14"/>
      <c r="Q141" s="15"/>
      <c r="R141" s="5"/>
      <c r="S141" s="5"/>
      <c r="T141" s="5"/>
      <c r="U141" s="5"/>
      <c r="V141" s="5"/>
      <c r="W141" s="5"/>
      <c r="X141" s="5"/>
      <c r="Y141" s="5"/>
      <c r="Z141" s="5"/>
      <c r="AA141" s="5"/>
      <c r="AB141" s="5"/>
      <c r="AC141" s="5"/>
      <c r="AD141" s="5"/>
    </row>
    <row r="142">
      <c r="A142" s="55"/>
      <c r="B142" s="56"/>
      <c r="C142" s="52"/>
      <c r="D142" s="9"/>
      <c r="E142" s="9"/>
      <c r="F142" s="9"/>
      <c r="G142" s="9"/>
      <c r="H142" s="9"/>
      <c r="I142" s="9"/>
      <c r="J142" s="9"/>
      <c r="K142" s="9"/>
      <c r="L142" s="9"/>
      <c r="M142" s="9"/>
      <c r="N142" s="9"/>
      <c r="O142" s="9"/>
      <c r="P142" s="9"/>
      <c r="Q142" s="10"/>
      <c r="R142" s="5"/>
      <c r="S142" s="5"/>
      <c r="T142" s="5"/>
      <c r="U142" s="5"/>
      <c r="V142" s="5"/>
      <c r="W142" s="5"/>
      <c r="X142" s="5"/>
      <c r="Y142" s="5"/>
      <c r="Z142" s="5"/>
      <c r="AA142" s="5"/>
      <c r="AB142" s="5"/>
      <c r="AC142" s="5"/>
      <c r="AD142" s="5"/>
    </row>
    <row r="143">
      <c r="A143" s="57"/>
      <c r="B143" s="59"/>
      <c r="C143" s="54"/>
      <c r="D143" s="14"/>
      <c r="E143" s="14"/>
      <c r="F143" s="14"/>
      <c r="G143" s="14"/>
      <c r="H143" s="14"/>
      <c r="I143" s="14"/>
      <c r="J143" s="14"/>
      <c r="K143" s="14"/>
      <c r="L143" s="14"/>
      <c r="M143" s="14"/>
      <c r="N143" s="14"/>
      <c r="O143" s="14"/>
      <c r="P143" s="14"/>
      <c r="Q143" s="15"/>
      <c r="R143" s="5"/>
      <c r="S143" s="5"/>
      <c r="T143" s="5"/>
      <c r="U143" s="5"/>
      <c r="V143" s="5"/>
      <c r="W143" s="5"/>
      <c r="X143" s="5"/>
      <c r="Y143" s="5"/>
      <c r="Z143" s="5"/>
      <c r="AA143" s="5"/>
      <c r="AB143" s="5"/>
      <c r="AC143" s="5"/>
      <c r="AD143" s="5"/>
    </row>
    <row r="144">
      <c r="A144" s="55"/>
      <c r="B144" s="56"/>
      <c r="C144" s="52"/>
      <c r="D144" s="9"/>
      <c r="E144" s="9"/>
      <c r="F144" s="9"/>
      <c r="G144" s="9"/>
      <c r="H144" s="9"/>
      <c r="I144" s="9"/>
      <c r="J144" s="9"/>
      <c r="K144" s="9"/>
      <c r="L144" s="9"/>
      <c r="M144" s="9"/>
      <c r="N144" s="9"/>
      <c r="O144" s="9"/>
      <c r="P144" s="9"/>
      <c r="Q144" s="10"/>
      <c r="R144" s="5"/>
      <c r="S144" s="5"/>
      <c r="T144" s="5"/>
      <c r="U144" s="5"/>
      <c r="V144" s="5"/>
      <c r="W144" s="5"/>
      <c r="X144" s="5"/>
      <c r="Y144" s="5"/>
      <c r="Z144" s="5"/>
      <c r="AA144" s="5"/>
      <c r="AB144" s="5"/>
      <c r="AC144" s="5"/>
      <c r="AD144" s="5"/>
    </row>
    <row r="145">
      <c r="A145" s="57"/>
      <c r="B145" s="59"/>
      <c r="C145" s="54"/>
      <c r="D145" s="14"/>
      <c r="E145" s="14"/>
      <c r="F145" s="14"/>
      <c r="G145" s="14"/>
      <c r="H145" s="14"/>
      <c r="I145" s="14"/>
      <c r="J145" s="14"/>
      <c r="K145" s="14"/>
      <c r="L145" s="14"/>
      <c r="M145" s="14"/>
      <c r="N145" s="14"/>
      <c r="O145" s="14"/>
      <c r="P145" s="14"/>
      <c r="Q145" s="15"/>
      <c r="R145" s="5"/>
      <c r="S145" s="5"/>
      <c r="T145" s="5"/>
      <c r="U145" s="5"/>
      <c r="V145" s="5"/>
      <c r="W145" s="5"/>
      <c r="X145" s="5"/>
      <c r="Y145" s="5"/>
      <c r="Z145" s="5"/>
      <c r="AA145" s="5"/>
      <c r="AB145" s="5"/>
      <c r="AC145" s="5"/>
      <c r="AD145" s="5"/>
    </row>
    <row r="146">
      <c r="A146" s="55"/>
      <c r="B146" s="56"/>
      <c r="C146" s="52"/>
      <c r="D146" s="9"/>
      <c r="E146" s="9"/>
      <c r="F146" s="9"/>
      <c r="G146" s="9"/>
      <c r="H146" s="9"/>
      <c r="I146" s="9"/>
      <c r="J146" s="9"/>
      <c r="K146" s="9"/>
      <c r="L146" s="9"/>
      <c r="M146" s="9"/>
      <c r="N146" s="9"/>
      <c r="O146" s="9"/>
      <c r="P146" s="9"/>
      <c r="Q146" s="10"/>
      <c r="R146" s="5"/>
      <c r="S146" s="5"/>
      <c r="T146" s="5"/>
      <c r="U146" s="5"/>
      <c r="V146" s="5"/>
      <c r="W146" s="5"/>
      <c r="X146" s="5"/>
      <c r="Y146" s="5"/>
      <c r="Z146" s="5"/>
      <c r="AA146" s="5"/>
      <c r="AB146" s="5"/>
      <c r="AC146" s="5"/>
      <c r="AD146" s="5"/>
    </row>
    <row r="147">
      <c r="A147" s="57"/>
      <c r="B147" s="59"/>
      <c r="C147" s="54"/>
      <c r="D147" s="14"/>
      <c r="E147" s="14"/>
      <c r="F147" s="14"/>
      <c r="G147" s="14"/>
      <c r="H147" s="14"/>
      <c r="I147" s="14"/>
      <c r="J147" s="14"/>
      <c r="K147" s="14"/>
      <c r="L147" s="14"/>
      <c r="M147" s="14"/>
      <c r="N147" s="14"/>
      <c r="O147" s="14"/>
      <c r="P147" s="14"/>
      <c r="Q147" s="15"/>
      <c r="R147" s="5"/>
      <c r="S147" s="5"/>
      <c r="T147" s="5"/>
      <c r="U147" s="5"/>
      <c r="V147" s="5"/>
      <c r="W147" s="5"/>
      <c r="X147" s="5"/>
      <c r="Y147" s="5"/>
      <c r="Z147" s="5"/>
      <c r="AA147" s="5"/>
      <c r="AB147" s="5"/>
      <c r="AC147" s="5"/>
      <c r="AD147" s="5"/>
    </row>
    <row r="148">
      <c r="A148" s="55"/>
      <c r="B148" s="56"/>
      <c r="C148" s="52"/>
      <c r="D148" s="9"/>
      <c r="E148" s="9"/>
      <c r="F148" s="9"/>
      <c r="G148" s="9"/>
      <c r="H148" s="9"/>
      <c r="I148" s="9"/>
      <c r="J148" s="9"/>
      <c r="K148" s="9"/>
      <c r="L148" s="9"/>
      <c r="M148" s="9"/>
      <c r="N148" s="9"/>
      <c r="O148" s="9"/>
      <c r="P148" s="9"/>
      <c r="Q148" s="10"/>
      <c r="R148" s="5"/>
      <c r="S148" s="5"/>
      <c r="T148" s="5"/>
      <c r="U148" s="5"/>
      <c r="V148" s="5"/>
      <c r="W148" s="5"/>
      <c r="X148" s="5"/>
      <c r="Y148" s="5"/>
      <c r="Z148" s="5"/>
      <c r="AA148" s="5"/>
      <c r="AB148" s="5"/>
      <c r="AC148" s="5"/>
      <c r="AD148" s="5"/>
    </row>
    <row r="149">
      <c r="A149" s="57"/>
      <c r="B149" s="59"/>
      <c r="C149" s="54"/>
      <c r="D149" s="14"/>
      <c r="E149" s="14"/>
      <c r="F149" s="14"/>
      <c r="G149" s="14"/>
      <c r="H149" s="14"/>
      <c r="I149" s="14"/>
      <c r="J149" s="14"/>
      <c r="K149" s="14"/>
      <c r="L149" s="14"/>
      <c r="M149" s="14"/>
      <c r="N149" s="14"/>
      <c r="O149" s="14"/>
      <c r="P149" s="14"/>
      <c r="Q149" s="15"/>
      <c r="R149" s="5"/>
      <c r="S149" s="5"/>
      <c r="T149" s="5"/>
      <c r="U149" s="5"/>
      <c r="V149" s="5"/>
      <c r="W149" s="5"/>
      <c r="X149" s="5"/>
      <c r="Y149" s="5"/>
      <c r="Z149" s="5"/>
      <c r="AA149" s="5"/>
      <c r="AB149" s="5"/>
      <c r="AC149" s="5"/>
      <c r="AD149" s="5"/>
    </row>
    <row r="150">
      <c r="A150" s="55"/>
      <c r="B150" s="56"/>
      <c r="C150" s="52"/>
      <c r="D150" s="9"/>
      <c r="E150" s="9"/>
      <c r="F150" s="9"/>
      <c r="G150" s="9"/>
      <c r="H150" s="9"/>
      <c r="I150" s="9"/>
      <c r="J150" s="9"/>
      <c r="K150" s="9"/>
      <c r="L150" s="9"/>
      <c r="M150" s="9"/>
      <c r="N150" s="9"/>
      <c r="O150" s="9"/>
      <c r="P150" s="9"/>
      <c r="Q150" s="10"/>
      <c r="R150" s="5"/>
      <c r="S150" s="5"/>
      <c r="T150" s="5"/>
      <c r="U150" s="5"/>
      <c r="V150" s="5"/>
      <c r="W150" s="5"/>
      <c r="X150" s="5"/>
      <c r="Y150" s="5"/>
      <c r="Z150" s="5"/>
      <c r="AA150" s="5"/>
      <c r="AB150" s="5"/>
      <c r="AC150" s="5"/>
      <c r="AD150" s="5"/>
    </row>
    <row r="151">
      <c r="A151" s="57"/>
      <c r="B151" s="59"/>
      <c r="C151" s="54"/>
      <c r="D151" s="14"/>
      <c r="E151" s="14"/>
      <c r="F151" s="14"/>
      <c r="G151" s="14"/>
      <c r="H151" s="14"/>
      <c r="I151" s="14"/>
      <c r="J151" s="14"/>
      <c r="K151" s="14"/>
      <c r="L151" s="14"/>
      <c r="M151" s="14"/>
      <c r="N151" s="14"/>
      <c r="O151" s="14"/>
      <c r="P151" s="14"/>
      <c r="Q151" s="15"/>
      <c r="R151" s="5"/>
      <c r="S151" s="5"/>
      <c r="T151" s="5"/>
      <c r="U151" s="5"/>
      <c r="V151" s="5"/>
      <c r="W151" s="5"/>
      <c r="X151" s="5"/>
      <c r="Y151" s="5"/>
      <c r="Z151" s="5"/>
      <c r="AA151" s="5"/>
      <c r="AB151" s="5"/>
      <c r="AC151" s="5"/>
      <c r="AD151" s="5"/>
    </row>
    <row r="152">
      <c r="A152" s="55"/>
      <c r="B152" s="56"/>
      <c r="C152" s="52"/>
      <c r="D152" s="9"/>
      <c r="E152" s="9"/>
      <c r="F152" s="9"/>
      <c r="G152" s="9"/>
      <c r="H152" s="9"/>
      <c r="I152" s="9"/>
      <c r="J152" s="9"/>
      <c r="K152" s="9"/>
      <c r="L152" s="9"/>
      <c r="M152" s="9"/>
      <c r="N152" s="9"/>
      <c r="O152" s="9"/>
      <c r="P152" s="9"/>
      <c r="Q152" s="10"/>
      <c r="R152" s="5"/>
      <c r="S152" s="5"/>
      <c r="T152" s="5"/>
      <c r="U152" s="5"/>
      <c r="V152" s="5"/>
      <c r="W152" s="5"/>
      <c r="X152" s="5"/>
      <c r="Y152" s="5"/>
      <c r="Z152" s="5"/>
      <c r="AA152" s="5"/>
      <c r="AB152" s="5"/>
      <c r="AC152" s="5"/>
      <c r="AD152" s="5"/>
    </row>
    <row r="153">
      <c r="A153" s="57"/>
      <c r="B153" s="59"/>
      <c r="C153" s="54"/>
      <c r="D153" s="14"/>
      <c r="E153" s="14"/>
      <c r="F153" s="14"/>
      <c r="G153" s="14"/>
      <c r="H153" s="14"/>
      <c r="I153" s="14"/>
      <c r="J153" s="14"/>
      <c r="K153" s="14"/>
      <c r="L153" s="14"/>
      <c r="M153" s="14"/>
      <c r="N153" s="14"/>
      <c r="O153" s="14"/>
      <c r="P153" s="14"/>
      <c r="Q153" s="15"/>
      <c r="R153" s="5"/>
      <c r="S153" s="5"/>
      <c r="T153" s="5"/>
      <c r="U153" s="5"/>
      <c r="V153" s="5"/>
      <c r="W153" s="5"/>
      <c r="X153" s="5"/>
      <c r="Y153" s="5"/>
      <c r="Z153" s="5"/>
      <c r="AA153" s="5"/>
      <c r="AB153" s="5"/>
      <c r="AC153" s="5"/>
      <c r="AD153" s="5"/>
    </row>
    <row r="154">
      <c r="A154" s="55"/>
      <c r="B154" s="56"/>
      <c r="C154" s="52"/>
      <c r="D154" s="9"/>
      <c r="E154" s="9"/>
      <c r="F154" s="9"/>
      <c r="G154" s="9"/>
      <c r="H154" s="9"/>
      <c r="I154" s="9"/>
      <c r="J154" s="9"/>
      <c r="K154" s="9"/>
      <c r="L154" s="9"/>
      <c r="M154" s="9"/>
      <c r="N154" s="9"/>
      <c r="O154" s="9"/>
      <c r="P154" s="9"/>
      <c r="Q154" s="10"/>
      <c r="R154" s="5"/>
      <c r="S154" s="5"/>
      <c r="T154" s="5"/>
      <c r="U154" s="5"/>
      <c r="V154" s="5"/>
      <c r="W154" s="5"/>
      <c r="X154" s="5"/>
      <c r="Y154" s="5"/>
      <c r="Z154" s="5"/>
      <c r="AA154" s="5"/>
      <c r="AB154" s="5"/>
      <c r="AC154" s="5"/>
      <c r="AD154" s="5"/>
    </row>
    <row r="155">
      <c r="A155" s="57"/>
      <c r="B155" s="59"/>
      <c r="C155" s="54"/>
      <c r="D155" s="14"/>
      <c r="E155" s="14"/>
      <c r="F155" s="14"/>
      <c r="G155" s="14"/>
      <c r="H155" s="14"/>
      <c r="I155" s="14"/>
      <c r="J155" s="14"/>
      <c r="K155" s="14"/>
      <c r="L155" s="14"/>
      <c r="M155" s="14"/>
      <c r="N155" s="14"/>
      <c r="O155" s="14"/>
      <c r="P155" s="14"/>
      <c r="Q155" s="15"/>
      <c r="R155" s="5"/>
      <c r="S155" s="5"/>
      <c r="T155" s="5"/>
      <c r="U155" s="5"/>
      <c r="V155" s="5"/>
      <c r="W155" s="5"/>
      <c r="X155" s="5"/>
      <c r="Y155" s="5"/>
      <c r="Z155" s="5"/>
      <c r="AA155" s="5"/>
      <c r="AB155" s="5"/>
      <c r="AC155" s="5"/>
      <c r="AD155" s="5"/>
    </row>
    <row r="156">
      <c r="A156" s="55"/>
      <c r="B156" s="56"/>
      <c r="C156" s="52"/>
      <c r="D156" s="9"/>
      <c r="E156" s="9"/>
      <c r="F156" s="9"/>
      <c r="G156" s="9"/>
      <c r="H156" s="9"/>
      <c r="I156" s="9"/>
      <c r="J156" s="9"/>
      <c r="K156" s="9"/>
      <c r="L156" s="9"/>
      <c r="M156" s="9"/>
      <c r="N156" s="9"/>
      <c r="O156" s="9"/>
      <c r="P156" s="9"/>
      <c r="Q156" s="10"/>
      <c r="R156" s="5"/>
      <c r="S156" s="5"/>
      <c r="T156" s="5"/>
      <c r="U156" s="5"/>
      <c r="V156" s="5"/>
      <c r="W156" s="5"/>
      <c r="X156" s="5"/>
      <c r="Y156" s="5"/>
      <c r="Z156" s="5"/>
      <c r="AA156" s="5"/>
      <c r="AB156" s="5"/>
      <c r="AC156" s="5"/>
      <c r="AD156" s="5"/>
    </row>
    <row r="157">
      <c r="A157" s="57"/>
      <c r="B157" s="59"/>
      <c r="C157" s="54"/>
      <c r="D157" s="14"/>
      <c r="E157" s="14"/>
      <c r="F157" s="14"/>
      <c r="G157" s="14"/>
      <c r="H157" s="14"/>
      <c r="I157" s="14"/>
      <c r="J157" s="14"/>
      <c r="K157" s="14"/>
      <c r="L157" s="14"/>
      <c r="M157" s="14"/>
      <c r="N157" s="14"/>
      <c r="O157" s="14"/>
      <c r="P157" s="14"/>
      <c r="Q157" s="15"/>
      <c r="R157" s="5"/>
      <c r="S157" s="5"/>
      <c r="T157" s="5"/>
      <c r="U157" s="5"/>
      <c r="V157" s="5"/>
      <c r="W157" s="5"/>
      <c r="X157" s="5"/>
      <c r="Y157" s="5"/>
      <c r="Z157" s="5"/>
      <c r="AA157" s="5"/>
      <c r="AB157" s="5"/>
      <c r="AC157" s="5"/>
      <c r="AD157" s="5"/>
    </row>
    <row r="158">
      <c r="A158" s="55"/>
      <c r="B158" s="56"/>
      <c r="C158" s="52"/>
      <c r="D158" s="9"/>
      <c r="E158" s="9"/>
      <c r="F158" s="9"/>
      <c r="G158" s="9"/>
      <c r="H158" s="9"/>
      <c r="I158" s="9"/>
      <c r="J158" s="9"/>
      <c r="K158" s="9"/>
      <c r="L158" s="9"/>
      <c r="M158" s="9"/>
      <c r="N158" s="9"/>
      <c r="O158" s="9"/>
      <c r="P158" s="9"/>
      <c r="Q158" s="10"/>
      <c r="R158" s="5"/>
      <c r="S158" s="5"/>
      <c r="T158" s="5"/>
      <c r="U158" s="5"/>
      <c r="V158" s="5"/>
      <c r="W158" s="5"/>
      <c r="X158" s="5"/>
      <c r="Y158" s="5"/>
      <c r="Z158" s="5"/>
      <c r="AA158" s="5"/>
      <c r="AB158" s="5"/>
      <c r="AC158" s="5"/>
      <c r="AD158" s="5"/>
    </row>
    <row r="159">
      <c r="A159" s="57"/>
      <c r="B159" s="59"/>
      <c r="C159" s="54"/>
      <c r="D159" s="14"/>
      <c r="E159" s="14"/>
      <c r="F159" s="14"/>
      <c r="G159" s="14"/>
      <c r="H159" s="14"/>
      <c r="I159" s="14"/>
      <c r="J159" s="14"/>
      <c r="K159" s="14"/>
      <c r="L159" s="14"/>
      <c r="M159" s="14"/>
      <c r="N159" s="14"/>
      <c r="O159" s="14"/>
      <c r="P159" s="14"/>
      <c r="Q159" s="15"/>
      <c r="R159" s="5"/>
      <c r="S159" s="5"/>
      <c r="T159" s="5"/>
      <c r="U159" s="5"/>
      <c r="V159" s="5"/>
      <c r="W159" s="5"/>
      <c r="X159" s="5"/>
      <c r="Y159" s="5"/>
      <c r="Z159" s="5"/>
      <c r="AA159" s="5"/>
      <c r="AB159" s="5"/>
      <c r="AC159" s="5"/>
      <c r="AD159" s="5"/>
    </row>
    <row r="160">
      <c r="A160" s="55"/>
      <c r="B160" s="56"/>
      <c r="C160" s="52"/>
      <c r="D160" s="9"/>
      <c r="E160" s="9"/>
      <c r="F160" s="9"/>
      <c r="G160" s="9"/>
      <c r="H160" s="9"/>
      <c r="I160" s="9"/>
      <c r="J160" s="9"/>
      <c r="K160" s="9"/>
      <c r="L160" s="9"/>
      <c r="M160" s="9"/>
      <c r="N160" s="9"/>
      <c r="O160" s="9"/>
      <c r="P160" s="9"/>
      <c r="Q160" s="10"/>
      <c r="R160" s="5"/>
      <c r="S160" s="5"/>
      <c r="T160" s="5"/>
      <c r="U160" s="5"/>
      <c r="V160" s="5"/>
      <c r="W160" s="5"/>
      <c r="X160" s="5"/>
      <c r="Y160" s="5"/>
      <c r="Z160" s="5"/>
      <c r="AA160" s="5"/>
      <c r="AB160" s="5"/>
      <c r="AC160" s="5"/>
      <c r="AD160" s="5"/>
    </row>
    <row r="161">
      <c r="A161" s="57"/>
      <c r="B161" s="59"/>
      <c r="C161" s="54"/>
      <c r="D161" s="14"/>
      <c r="E161" s="14"/>
      <c r="F161" s="14"/>
      <c r="G161" s="14"/>
      <c r="H161" s="14"/>
      <c r="I161" s="14"/>
      <c r="J161" s="14"/>
      <c r="K161" s="14"/>
      <c r="L161" s="14"/>
      <c r="M161" s="14"/>
      <c r="N161" s="14"/>
      <c r="O161" s="14"/>
      <c r="P161" s="14"/>
      <c r="Q161" s="15"/>
      <c r="R161" s="5"/>
      <c r="S161" s="5"/>
      <c r="T161" s="5"/>
      <c r="U161" s="5"/>
      <c r="V161" s="5"/>
      <c r="W161" s="5"/>
      <c r="X161" s="5"/>
      <c r="Y161" s="5"/>
      <c r="Z161" s="5"/>
      <c r="AA161" s="5"/>
      <c r="AB161" s="5"/>
      <c r="AC161" s="5"/>
      <c r="AD161" s="5"/>
    </row>
    <row r="162">
      <c r="A162" s="55"/>
      <c r="B162" s="56"/>
      <c r="C162" s="52"/>
      <c r="D162" s="9"/>
      <c r="E162" s="9"/>
      <c r="F162" s="9"/>
      <c r="G162" s="9"/>
      <c r="H162" s="9"/>
      <c r="I162" s="9"/>
      <c r="J162" s="9"/>
      <c r="K162" s="9"/>
      <c r="L162" s="9"/>
      <c r="M162" s="9"/>
      <c r="N162" s="9"/>
      <c r="O162" s="9"/>
      <c r="P162" s="9"/>
      <c r="Q162" s="10"/>
      <c r="R162" s="5"/>
      <c r="S162" s="5"/>
      <c r="T162" s="5"/>
      <c r="U162" s="5"/>
      <c r="V162" s="5"/>
      <c r="W162" s="5"/>
      <c r="X162" s="5"/>
      <c r="Y162" s="5"/>
      <c r="Z162" s="5"/>
      <c r="AA162" s="5"/>
      <c r="AB162" s="5"/>
      <c r="AC162" s="5"/>
      <c r="AD162" s="5"/>
    </row>
    <row r="163">
      <c r="A163" s="57"/>
      <c r="B163" s="59"/>
      <c r="C163" s="54"/>
      <c r="D163" s="14"/>
      <c r="E163" s="14"/>
      <c r="F163" s="14"/>
      <c r="G163" s="14"/>
      <c r="H163" s="14"/>
      <c r="I163" s="14"/>
      <c r="J163" s="14"/>
      <c r="K163" s="14"/>
      <c r="L163" s="14"/>
      <c r="M163" s="14"/>
      <c r="N163" s="14"/>
      <c r="O163" s="14"/>
      <c r="P163" s="14"/>
      <c r="Q163" s="15"/>
      <c r="R163" s="5"/>
      <c r="S163" s="5"/>
      <c r="T163" s="5"/>
      <c r="U163" s="5"/>
      <c r="V163" s="5"/>
      <c r="W163" s="5"/>
      <c r="X163" s="5"/>
      <c r="Y163" s="5"/>
      <c r="Z163" s="5"/>
      <c r="AA163" s="5"/>
      <c r="AB163" s="5"/>
      <c r="AC163" s="5"/>
      <c r="AD163" s="5"/>
    </row>
    <row r="164">
      <c r="A164" s="55"/>
      <c r="B164" s="56"/>
      <c r="C164" s="52"/>
      <c r="D164" s="9"/>
      <c r="E164" s="9"/>
      <c r="F164" s="9"/>
      <c r="G164" s="9"/>
      <c r="H164" s="9"/>
      <c r="I164" s="9"/>
      <c r="J164" s="9"/>
      <c r="K164" s="9"/>
      <c r="L164" s="9"/>
      <c r="M164" s="9"/>
      <c r="N164" s="9"/>
      <c r="O164" s="9"/>
      <c r="P164" s="9"/>
      <c r="Q164" s="10"/>
      <c r="R164" s="5"/>
      <c r="S164" s="5"/>
      <c r="T164" s="5"/>
      <c r="U164" s="5"/>
      <c r="V164" s="5"/>
      <c r="W164" s="5"/>
      <c r="X164" s="5"/>
      <c r="Y164" s="5"/>
      <c r="Z164" s="5"/>
      <c r="AA164" s="5"/>
      <c r="AB164" s="5"/>
      <c r="AC164" s="5"/>
      <c r="AD164" s="5"/>
    </row>
    <row r="165">
      <c r="A165" s="57"/>
      <c r="B165" s="59"/>
      <c r="C165" s="54"/>
      <c r="D165" s="14"/>
      <c r="E165" s="14"/>
      <c r="F165" s="14"/>
      <c r="G165" s="14"/>
      <c r="H165" s="14"/>
      <c r="I165" s="14"/>
      <c r="J165" s="14"/>
      <c r="K165" s="14"/>
      <c r="L165" s="14"/>
      <c r="M165" s="14"/>
      <c r="N165" s="14"/>
      <c r="O165" s="14"/>
      <c r="P165" s="14"/>
      <c r="Q165" s="15"/>
      <c r="R165" s="5"/>
      <c r="S165" s="5"/>
      <c r="T165" s="5"/>
      <c r="U165" s="5"/>
      <c r="V165" s="5"/>
      <c r="W165" s="5"/>
      <c r="X165" s="5"/>
      <c r="Y165" s="5"/>
      <c r="Z165" s="5"/>
      <c r="AA165" s="5"/>
      <c r="AB165" s="5"/>
      <c r="AC165" s="5"/>
      <c r="AD165" s="5"/>
    </row>
    <row r="166">
      <c r="A166" s="55"/>
      <c r="B166" s="56"/>
      <c r="C166" s="52"/>
      <c r="D166" s="9"/>
      <c r="E166" s="9"/>
      <c r="F166" s="9"/>
      <c r="G166" s="9"/>
      <c r="H166" s="9"/>
      <c r="I166" s="9"/>
      <c r="J166" s="9"/>
      <c r="K166" s="9"/>
      <c r="L166" s="9"/>
      <c r="M166" s="9"/>
      <c r="N166" s="9"/>
      <c r="O166" s="9"/>
      <c r="P166" s="9"/>
      <c r="Q166" s="10"/>
      <c r="R166" s="5"/>
      <c r="S166" s="5"/>
      <c r="T166" s="5"/>
      <c r="U166" s="5"/>
      <c r="V166" s="5"/>
      <c r="W166" s="5"/>
      <c r="X166" s="5"/>
      <c r="Y166" s="5"/>
      <c r="Z166" s="5"/>
      <c r="AA166" s="5"/>
      <c r="AB166" s="5"/>
      <c r="AC166" s="5"/>
      <c r="AD166" s="5"/>
    </row>
    <row r="167">
      <c r="A167" s="57"/>
      <c r="B167" s="59"/>
      <c r="C167" s="54"/>
      <c r="D167" s="14"/>
      <c r="E167" s="14"/>
      <c r="F167" s="14"/>
      <c r="G167" s="14"/>
      <c r="H167" s="14"/>
      <c r="I167" s="14"/>
      <c r="J167" s="14"/>
      <c r="K167" s="14"/>
      <c r="L167" s="14"/>
      <c r="M167" s="14"/>
      <c r="N167" s="14"/>
      <c r="O167" s="14"/>
      <c r="P167" s="14"/>
      <c r="Q167" s="15"/>
      <c r="R167" s="5"/>
      <c r="S167" s="5"/>
      <c r="T167" s="5"/>
      <c r="U167" s="5"/>
      <c r="V167" s="5"/>
      <c r="W167" s="5"/>
      <c r="X167" s="5"/>
      <c r="Y167" s="5"/>
      <c r="Z167" s="5"/>
      <c r="AA167" s="5"/>
      <c r="AB167" s="5"/>
      <c r="AC167" s="5"/>
      <c r="AD167" s="5"/>
    </row>
    <row r="168">
      <c r="A168" s="55"/>
      <c r="B168" s="56"/>
      <c r="C168" s="52"/>
      <c r="D168" s="9"/>
      <c r="E168" s="9"/>
      <c r="F168" s="9"/>
      <c r="G168" s="9"/>
      <c r="H168" s="9"/>
      <c r="I168" s="9"/>
      <c r="J168" s="9"/>
      <c r="K168" s="9"/>
      <c r="L168" s="9"/>
      <c r="M168" s="9"/>
      <c r="N168" s="9"/>
      <c r="O168" s="9"/>
      <c r="P168" s="9"/>
      <c r="Q168" s="10"/>
      <c r="R168" s="5"/>
      <c r="S168" s="5"/>
      <c r="T168" s="5"/>
      <c r="U168" s="5"/>
      <c r="V168" s="5"/>
      <c r="W168" s="5"/>
      <c r="X168" s="5"/>
      <c r="Y168" s="5"/>
      <c r="Z168" s="5"/>
      <c r="AA168" s="5"/>
      <c r="AB168" s="5"/>
      <c r="AC168" s="5"/>
      <c r="AD168" s="5"/>
    </row>
    <row r="169">
      <c r="A169" s="57"/>
      <c r="B169" s="59"/>
      <c r="C169" s="54"/>
      <c r="D169" s="14"/>
      <c r="E169" s="14"/>
      <c r="F169" s="14"/>
      <c r="G169" s="14"/>
      <c r="H169" s="14"/>
      <c r="I169" s="14"/>
      <c r="J169" s="14"/>
      <c r="K169" s="14"/>
      <c r="L169" s="14"/>
      <c r="M169" s="14"/>
      <c r="N169" s="14"/>
      <c r="O169" s="14"/>
      <c r="P169" s="14"/>
      <c r="Q169" s="15"/>
      <c r="R169" s="5"/>
      <c r="S169" s="5"/>
      <c r="T169" s="5"/>
      <c r="U169" s="5"/>
      <c r="V169" s="5"/>
      <c r="W169" s="5"/>
      <c r="X169" s="5"/>
      <c r="Y169" s="5"/>
      <c r="Z169" s="5"/>
      <c r="AA169" s="5"/>
      <c r="AB169" s="5"/>
      <c r="AC169" s="5"/>
      <c r="AD169" s="5"/>
    </row>
    <row r="170">
      <c r="A170" s="55"/>
      <c r="B170" s="56"/>
      <c r="C170" s="52"/>
      <c r="D170" s="9"/>
      <c r="E170" s="9"/>
      <c r="F170" s="9"/>
      <c r="G170" s="9"/>
      <c r="H170" s="9"/>
      <c r="I170" s="9"/>
      <c r="J170" s="9"/>
      <c r="K170" s="9"/>
      <c r="L170" s="9"/>
      <c r="M170" s="9"/>
      <c r="N170" s="9"/>
      <c r="O170" s="9"/>
      <c r="P170" s="9"/>
      <c r="Q170" s="10"/>
      <c r="R170" s="5"/>
      <c r="S170" s="5"/>
      <c r="T170" s="5"/>
      <c r="U170" s="5"/>
      <c r="V170" s="5"/>
      <c r="W170" s="5"/>
      <c r="X170" s="5"/>
      <c r="Y170" s="5"/>
      <c r="Z170" s="5"/>
      <c r="AA170" s="5"/>
      <c r="AB170" s="5"/>
      <c r="AC170" s="5"/>
      <c r="AD170" s="5"/>
    </row>
    <row r="171">
      <c r="A171" s="57"/>
      <c r="B171" s="59"/>
      <c r="C171" s="54"/>
      <c r="D171" s="14"/>
      <c r="E171" s="14"/>
      <c r="F171" s="14"/>
      <c r="G171" s="14"/>
      <c r="H171" s="14"/>
      <c r="I171" s="14"/>
      <c r="J171" s="14"/>
      <c r="K171" s="14"/>
      <c r="L171" s="14"/>
      <c r="M171" s="14"/>
      <c r="N171" s="14"/>
      <c r="O171" s="14"/>
      <c r="P171" s="14"/>
      <c r="Q171" s="15"/>
      <c r="R171" s="5"/>
      <c r="S171" s="5"/>
      <c r="T171" s="5"/>
      <c r="U171" s="5"/>
      <c r="V171" s="5"/>
      <c r="W171" s="5"/>
      <c r="X171" s="5"/>
      <c r="Y171" s="5"/>
      <c r="Z171" s="5"/>
      <c r="AA171" s="5"/>
      <c r="AB171" s="5"/>
      <c r="AC171" s="5"/>
      <c r="AD171" s="5"/>
    </row>
    <row r="172">
      <c r="A172" s="55"/>
      <c r="B172" s="56"/>
      <c r="C172" s="52"/>
      <c r="D172" s="9"/>
      <c r="E172" s="9"/>
      <c r="F172" s="9"/>
      <c r="G172" s="9"/>
      <c r="H172" s="9"/>
      <c r="I172" s="9"/>
      <c r="J172" s="9"/>
      <c r="K172" s="9"/>
      <c r="L172" s="9"/>
      <c r="M172" s="9"/>
      <c r="N172" s="9"/>
      <c r="O172" s="9"/>
      <c r="P172" s="9"/>
      <c r="Q172" s="10"/>
      <c r="R172" s="5"/>
      <c r="S172" s="5"/>
      <c r="T172" s="5"/>
      <c r="U172" s="5"/>
      <c r="V172" s="5"/>
      <c r="W172" s="5"/>
      <c r="X172" s="5"/>
      <c r="Y172" s="5"/>
      <c r="Z172" s="5"/>
      <c r="AA172" s="5"/>
      <c r="AB172" s="5"/>
      <c r="AC172" s="5"/>
      <c r="AD172" s="5"/>
    </row>
    <row r="173">
      <c r="A173" s="57"/>
      <c r="B173" s="59"/>
      <c r="C173" s="54"/>
      <c r="D173" s="14"/>
      <c r="E173" s="14"/>
      <c r="F173" s="14"/>
      <c r="G173" s="14"/>
      <c r="H173" s="14"/>
      <c r="I173" s="14"/>
      <c r="J173" s="14"/>
      <c r="K173" s="14"/>
      <c r="L173" s="14"/>
      <c r="M173" s="14"/>
      <c r="N173" s="14"/>
      <c r="O173" s="14"/>
      <c r="P173" s="14"/>
      <c r="Q173" s="15"/>
      <c r="R173" s="5"/>
      <c r="S173" s="5"/>
      <c r="T173" s="5"/>
      <c r="U173" s="5"/>
      <c r="V173" s="5"/>
      <c r="W173" s="5"/>
      <c r="X173" s="5"/>
      <c r="Y173" s="5"/>
      <c r="Z173" s="5"/>
      <c r="AA173" s="5"/>
      <c r="AB173" s="5"/>
      <c r="AC173" s="5"/>
      <c r="AD173" s="5"/>
    </row>
    <row r="174">
      <c r="A174" s="55"/>
      <c r="B174" s="56"/>
      <c r="C174" s="52"/>
      <c r="D174" s="9"/>
      <c r="E174" s="9"/>
      <c r="F174" s="9"/>
      <c r="G174" s="9"/>
      <c r="H174" s="9"/>
      <c r="I174" s="9"/>
      <c r="J174" s="9"/>
      <c r="K174" s="9"/>
      <c r="L174" s="9"/>
      <c r="M174" s="9"/>
      <c r="N174" s="9"/>
      <c r="O174" s="9"/>
      <c r="P174" s="9"/>
      <c r="Q174" s="10"/>
      <c r="R174" s="5"/>
      <c r="S174" s="5"/>
      <c r="T174" s="5"/>
      <c r="U174" s="5"/>
      <c r="V174" s="5"/>
      <c r="W174" s="5"/>
      <c r="X174" s="5"/>
      <c r="Y174" s="5"/>
      <c r="Z174" s="5"/>
      <c r="AA174" s="5"/>
      <c r="AB174" s="5"/>
      <c r="AC174" s="5"/>
      <c r="AD174" s="5"/>
    </row>
    <row r="175">
      <c r="A175" s="57"/>
      <c r="B175" s="59"/>
      <c r="C175" s="54"/>
      <c r="D175" s="14"/>
      <c r="E175" s="14"/>
      <c r="F175" s="14"/>
      <c r="G175" s="14"/>
      <c r="H175" s="14"/>
      <c r="I175" s="14"/>
      <c r="J175" s="14"/>
      <c r="K175" s="14"/>
      <c r="L175" s="14"/>
      <c r="M175" s="14"/>
      <c r="N175" s="14"/>
      <c r="O175" s="14"/>
      <c r="P175" s="14"/>
      <c r="Q175" s="15"/>
      <c r="R175" s="5"/>
      <c r="S175" s="5"/>
      <c r="T175" s="5"/>
      <c r="U175" s="5"/>
      <c r="V175" s="5"/>
      <c r="W175" s="5"/>
      <c r="X175" s="5"/>
      <c r="Y175" s="5"/>
      <c r="Z175" s="5"/>
      <c r="AA175" s="5"/>
      <c r="AB175" s="5"/>
      <c r="AC175" s="5"/>
      <c r="AD175" s="5"/>
    </row>
    <row r="176">
      <c r="A176" s="55"/>
      <c r="B176" s="56"/>
      <c r="C176" s="52"/>
      <c r="D176" s="9"/>
      <c r="E176" s="9"/>
      <c r="F176" s="9"/>
      <c r="G176" s="9"/>
      <c r="H176" s="9"/>
      <c r="I176" s="9"/>
      <c r="J176" s="9"/>
      <c r="K176" s="9"/>
      <c r="L176" s="9"/>
      <c r="M176" s="9"/>
      <c r="N176" s="9"/>
      <c r="O176" s="9"/>
      <c r="P176" s="9"/>
      <c r="Q176" s="10"/>
      <c r="R176" s="5"/>
      <c r="S176" s="5"/>
      <c r="T176" s="5"/>
      <c r="U176" s="5"/>
      <c r="V176" s="5"/>
      <c r="W176" s="5"/>
      <c r="X176" s="5"/>
      <c r="Y176" s="5"/>
      <c r="Z176" s="5"/>
      <c r="AA176" s="5"/>
      <c r="AB176" s="5"/>
      <c r="AC176" s="5"/>
      <c r="AD176" s="5"/>
    </row>
    <row r="177">
      <c r="A177" s="57"/>
      <c r="B177" s="59"/>
      <c r="C177" s="54"/>
      <c r="D177" s="14"/>
      <c r="E177" s="14"/>
      <c r="F177" s="14"/>
      <c r="G177" s="14"/>
      <c r="H177" s="14"/>
      <c r="I177" s="14"/>
      <c r="J177" s="14"/>
      <c r="K177" s="14"/>
      <c r="L177" s="14"/>
      <c r="M177" s="14"/>
      <c r="N177" s="14"/>
      <c r="O177" s="14"/>
      <c r="P177" s="14"/>
      <c r="Q177" s="15"/>
      <c r="R177" s="5"/>
      <c r="S177" s="5"/>
      <c r="T177" s="5"/>
      <c r="U177" s="5"/>
      <c r="V177" s="5"/>
      <c r="W177" s="5"/>
      <c r="X177" s="5"/>
      <c r="Y177" s="5"/>
      <c r="Z177" s="5"/>
      <c r="AA177" s="5"/>
      <c r="AB177" s="5"/>
      <c r="AC177" s="5"/>
      <c r="AD177" s="5"/>
    </row>
    <row r="178">
      <c r="A178" s="55"/>
      <c r="B178" s="56"/>
      <c r="C178" s="52"/>
      <c r="D178" s="9"/>
      <c r="E178" s="9"/>
      <c r="F178" s="9"/>
      <c r="G178" s="9"/>
      <c r="H178" s="9"/>
      <c r="I178" s="9"/>
      <c r="J178" s="9"/>
      <c r="K178" s="9"/>
      <c r="L178" s="9"/>
      <c r="M178" s="9"/>
      <c r="N178" s="9"/>
      <c r="O178" s="9"/>
      <c r="P178" s="9"/>
      <c r="Q178" s="10"/>
      <c r="R178" s="5"/>
      <c r="S178" s="5"/>
      <c r="T178" s="5"/>
      <c r="U178" s="5"/>
      <c r="V178" s="5"/>
      <c r="W178" s="5"/>
      <c r="X178" s="5"/>
      <c r="Y178" s="5"/>
      <c r="Z178" s="5"/>
      <c r="AA178" s="5"/>
      <c r="AB178" s="5"/>
      <c r="AC178" s="5"/>
      <c r="AD178" s="5"/>
    </row>
    <row r="179">
      <c r="A179" s="57"/>
      <c r="B179" s="59"/>
      <c r="C179" s="54"/>
      <c r="D179" s="14"/>
      <c r="E179" s="14"/>
      <c r="F179" s="14"/>
      <c r="G179" s="14"/>
      <c r="H179" s="14"/>
      <c r="I179" s="14"/>
      <c r="J179" s="14"/>
      <c r="K179" s="14"/>
      <c r="L179" s="14"/>
      <c r="M179" s="14"/>
      <c r="N179" s="14"/>
      <c r="O179" s="14"/>
      <c r="P179" s="14"/>
      <c r="Q179" s="15"/>
      <c r="R179" s="5"/>
      <c r="S179" s="5"/>
      <c r="T179" s="5"/>
      <c r="U179" s="5"/>
      <c r="V179" s="5"/>
      <c r="W179" s="5"/>
      <c r="X179" s="5"/>
      <c r="Y179" s="5"/>
      <c r="Z179" s="5"/>
      <c r="AA179" s="5"/>
      <c r="AB179" s="5"/>
      <c r="AC179" s="5"/>
      <c r="AD179" s="5"/>
    </row>
    <row r="180">
      <c r="A180" s="55"/>
      <c r="B180" s="56"/>
      <c r="C180" s="52"/>
      <c r="D180" s="9"/>
      <c r="E180" s="9"/>
      <c r="F180" s="9"/>
      <c r="G180" s="9"/>
      <c r="H180" s="9"/>
      <c r="I180" s="9"/>
      <c r="J180" s="9"/>
      <c r="K180" s="9"/>
      <c r="L180" s="9"/>
      <c r="M180" s="9"/>
      <c r="N180" s="9"/>
      <c r="O180" s="9"/>
      <c r="P180" s="9"/>
      <c r="Q180" s="10"/>
      <c r="R180" s="5"/>
      <c r="S180" s="5"/>
      <c r="T180" s="5"/>
      <c r="U180" s="5"/>
      <c r="V180" s="5"/>
      <c r="W180" s="5"/>
      <c r="X180" s="5"/>
      <c r="Y180" s="5"/>
      <c r="Z180" s="5"/>
      <c r="AA180" s="5"/>
      <c r="AB180" s="5"/>
      <c r="AC180" s="5"/>
      <c r="AD180" s="5"/>
    </row>
    <row r="181">
      <c r="A181" s="57"/>
      <c r="B181" s="59"/>
      <c r="C181" s="54"/>
      <c r="D181" s="14"/>
      <c r="E181" s="14"/>
      <c r="F181" s="14"/>
      <c r="G181" s="14"/>
      <c r="H181" s="14"/>
      <c r="I181" s="14"/>
      <c r="J181" s="14"/>
      <c r="K181" s="14"/>
      <c r="L181" s="14"/>
      <c r="M181" s="14"/>
      <c r="N181" s="14"/>
      <c r="O181" s="14"/>
      <c r="P181" s="14"/>
      <c r="Q181" s="15"/>
      <c r="R181" s="5"/>
      <c r="S181" s="5"/>
      <c r="T181" s="5"/>
      <c r="U181" s="5"/>
      <c r="V181" s="5"/>
      <c r="W181" s="5"/>
      <c r="X181" s="5"/>
      <c r="Y181" s="5"/>
      <c r="Z181" s="5"/>
      <c r="AA181" s="5"/>
      <c r="AB181" s="5"/>
      <c r="AC181" s="5"/>
      <c r="AD181" s="5"/>
    </row>
    <row r="182">
      <c r="A182" s="55"/>
      <c r="B182" s="56"/>
      <c r="C182" s="52"/>
      <c r="D182" s="9"/>
      <c r="E182" s="9"/>
      <c r="F182" s="9"/>
      <c r="G182" s="9"/>
      <c r="H182" s="9"/>
      <c r="I182" s="9"/>
      <c r="J182" s="9"/>
      <c r="K182" s="9"/>
      <c r="L182" s="9"/>
      <c r="M182" s="9"/>
      <c r="N182" s="9"/>
      <c r="O182" s="9"/>
      <c r="P182" s="9"/>
      <c r="Q182" s="10"/>
      <c r="R182" s="5"/>
      <c r="S182" s="5"/>
      <c r="T182" s="5"/>
      <c r="U182" s="5"/>
      <c r="V182" s="5"/>
      <c r="W182" s="5"/>
      <c r="X182" s="5"/>
      <c r="Y182" s="5"/>
      <c r="Z182" s="5"/>
      <c r="AA182" s="5"/>
      <c r="AB182" s="5"/>
      <c r="AC182" s="5"/>
      <c r="AD182" s="5"/>
    </row>
    <row r="183">
      <c r="A183" s="57"/>
      <c r="B183" s="59"/>
      <c r="C183" s="54"/>
      <c r="D183" s="14"/>
      <c r="E183" s="14"/>
      <c r="F183" s="14"/>
      <c r="G183" s="14"/>
      <c r="H183" s="14"/>
      <c r="I183" s="14"/>
      <c r="J183" s="14"/>
      <c r="K183" s="14"/>
      <c r="L183" s="14"/>
      <c r="M183" s="14"/>
      <c r="N183" s="14"/>
      <c r="O183" s="14"/>
      <c r="P183" s="14"/>
      <c r="Q183" s="15"/>
      <c r="R183" s="5"/>
      <c r="S183" s="5"/>
      <c r="T183" s="5"/>
      <c r="U183" s="5"/>
      <c r="V183" s="5"/>
      <c r="W183" s="5"/>
      <c r="X183" s="5"/>
      <c r="Y183" s="5"/>
      <c r="Z183" s="5"/>
      <c r="AA183" s="5"/>
      <c r="AB183" s="5"/>
      <c r="AC183" s="5"/>
      <c r="AD183" s="5"/>
    </row>
    <row r="184">
      <c r="A184" s="55"/>
      <c r="B184" s="56"/>
      <c r="C184" s="52"/>
      <c r="D184" s="9"/>
      <c r="E184" s="9"/>
      <c r="F184" s="9"/>
      <c r="G184" s="9"/>
      <c r="H184" s="9"/>
      <c r="I184" s="9"/>
      <c r="J184" s="9"/>
      <c r="K184" s="9"/>
      <c r="L184" s="9"/>
      <c r="M184" s="9"/>
      <c r="N184" s="9"/>
      <c r="O184" s="9"/>
      <c r="P184" s="9"/>
      <c r="Q184" s="10"/>
      <c r="R184" s="5"/>
      <c r="S184" s="5"/>
      <c r="T184" s="5"/>
      <c r="U184" s="5"/>
      <c r="V184" s="5"/>
      <c r="W184" s="5"/>
      <c r="X184" s="5"/>
      <c r="Y184" s="5"/>
      <c r="Z184" s="5"/>
      <c r="AA184" s="5"/>
      <c r="AB184" s="5"/>
      <c r="AC184" s="5"/>
      <c r="AD184" s="5"/>
    </row>
    <row r="185">
      <c r="A185" s="57"/>
      <c r="B185" s="59"/>
      <c r="C185" s="54"/>
      <c r="D185" s="14"/>
      <c r="E185" s="14"/>
      <c r="F185" s="14"/>
      <c r="G185" s="14"/>
      <c r="H185" s="14"/>
      <c r="I185" s="14"/>
      <c r="J185" s="14"/>
      <c r="K185" s="14"/>
      <c r="L185" s="14"/>
      <c r="M185" s="14"/>
      <c r="N185" s="14"/>
      <c r="O185" s="14"/>
      <c r="P185" s="14"/>
      <c r="Q185" s="15"/>
      <c r="R185" s="5"/>
      <c r="S185" s="5"/>
      <c r="T185" s="5"/>
      <c r="U185" s="5"/>
      <c r="V185" s="5"/>
      <c r="W185" s="5"/>
      <c r="X185" s="5"/>
      <c r="Y185" s="5"/>
      <c r="Z185" s="5"/>
      <c r="AA185" s="5"/>
      <c r="AB185" s="5"/>
      <c r="AC185" s="5"/>
      <c r="AD185" s="5"/>
    </row>
    <row r="186">
      <c r="A186" s="55"/>
      <c r="B186" s="56"/>
      <c r="C186" s="52"/>
      <c r="D186" s="9"/>
      <c r="E186" s="9"/>
      <c r="F186" s="9"/>
      <c r="G186" s="9"/>
      <c r="H186" s="9"/>
      <c r="I186" s="9"/>
      <c r="J186" s="9"/>
      <c r="K186" s="9"/>
      <c r="L186" s="9"/>
      <c r="M186" s="9"/>
      <c r="N186" s="9"/>
      <c r="O186" s="9"/>
      <c r="P186" s="9"/>
      <c r="Q186" s="10"/>
      <c r="R186" s="5"/>
      <c r="S186" s="5"/>
      <c r="T186" s="5"/>
      <c r="U186" s="5"/>
      <c r="V186" s="5"/>
      <c r="W186" s="5"/>
      <c r="X186" s="5"/>
      <c r="Y186" s="5"/>
      <c r="Z186" s="5"/>
      <c r="AA186" s="5"/>
      <c r="AB186" s="5"/>
      <c r="AC186" s="5"/>
      <c r="AD186" s="5"/>
    </row>
    <row r="187">
      <c r="A187" s="57"/>
      <c r="B187" s="59"/>
      <c r="C187" s="54"/>
      <c r="D187" s="14"/>
      <c r="E187" s="14"/>
      <c r="F187" s="14"/>
      <c r="G187" s="14"/>
      <c r="H187" s="14"/>
      <c r="I187" s="14"/>
      <c r="J187" s="14"/>
      <c r="K187" s="14"/>
      <c r="L187" s="14"/>
      <c r="M187" s="14"/>
      <c r="N187" s="14"/>
      <c r="O187" s="14"/>
      <c r="P187" s="14"/>
      <c r="Q187" s="15"/>
      <c r="R187" s="5"/>
      <c r="S187" s="5"/>
      <c r="T187" s="5"/>
      <c r="U187" s="5"/>
      <c r="V187" s="5"/>
      <c r="W187" s="5"/>
      <c r="X187" s="5"/>
      <c r="Y187" s="5"/>
      <c r="Z187" s="5"/>
      <c r="AA187" s="5"/>
      <c r="AB187" s="5"/>
      <c r="AC187" s="5"/>
      <c r="AD187" s="5"/>
    </row>
    <row r="188">
      <c r="A188" s="55"/>
      <c r="B188" s="56"/>
      <c r="C188" s="52"/>
      <c r="D188" s="9"/>
      <c r="E188" s="9"/>
      <c r="F188" s="9"/>
      <c r="G188" s="9"/>
      <c r="H188" s="9"/>
      <c r="I188" s="9"/>
      <c r="J188" s="9"/>
      <c r="K188" s="9"/>
      <c r="L188" s="9"/>
      <c r="M188" s="9"/>
      <c r="N188" s="9"/>
      <c r="O188" s="9"/>
      <c r="P188" s="9"/>
      <c r="Q188" s="10"/>
      <c r="R188" s="5"/>
      <c r="S188" s="5"/>
      <c r="T188" s="5"/>
      <c r="U188" s="5"/>
      <c r="V188" s="5"/>
      <c r="W188" s="5"/>
      <c r="X188" s="5"/>
      <c r="Y188" s="5"/>
      <c r="Z188" s="5"/>
      <c r="AA188" s="5"/>
      <c r="AB188" s="5"/>
      <c r="AC188" s="5"/>
      <c r="AD188" s="5"/>
    </row>
    <row r="189">
      <c r="A189" s="57"/>
      <c r="B189" s="59"/>
      <c r="C189" s="54"/>
      <c r="D189" s="14"/>
      <c r="E189" s="14"/>
      <c r="F189" s="14"/>
      <c r="G189" s="14"/>
      <c r="H189" s="14"/>
      <c r="I189" s="14"/>
      <c r="J189" s="14"/>
      <c r="K189" s="14"/>
      <c r="L189" s="14"/>
      <c r="M189" s="14"/>
      <c r="N189" s="14"/>
      <c r="O189" s="14"/>
      <c r="P189" s="14"/>
      <c r="Q189" s="15"/>
      <c r="R189" s="5"/>
      <c r="S189" s="5"/>
      <c r="T189" s="5"/>
      <c r="U189" s="5"/>
      <c r="V189" s="5"/>
      <c r="W189" s="5"/>
      <c r="X189" s="5"/>
      <c r="Y189" s="5"/>
      <c r="Z189" s="5"/>
      <c r="AA189" s="5"/>
      <c r="AB189" s="5"/>
      <c r="AC189" s="5"/>
      <c r="AD189" s="5"/>
    </row>
    <row r="190">
      <c r="A190" s="55"/>
      <c r="B190" s="56"/>
      <c r="C190" s="52"/>
      <c r="D190" s="9"/>
      <c r="E190" s="9"/>
      <c r="F190" s="9"/>
      <c r="G190" s="9"/>
      <c r="H190" s="9"/>
      <c r="I190" s="9"/>
      <c r="J190" s="9"/>
      <c r="K190" s="9"/>
      <c r="L190" s="9"/>
      <c r="M190" s="9"/>
      <c r="N190" s="9"/>
      <c r="O190" s="9"/>
      <c r="P190" s="9"/>
      <c r="Q190" s="10"/>
      <c r="R190" s="5"/>
      <c r="S190" s="5"/>
      <c r="T190" s="5"/>
      <c r="U190" s="5"/>
      <c r="V190" s="5"/>
      <c r="W190" s="5"/>
      <c r="X190" s="5"/>
      <c r="Y190" s="5"/>
      <c r="Z190" s="5"/>
      <c r="AA190" s="5"/>
      <c r="AB190" s="5"/>
      <c r="AC190" s="5"/>
      <c r="AD190" s="5"/>
    </row>
    <row r="191">
      <c r="A191" s="57"/>
      <c r="B191" s="59"/>
      <c r="C191" s="54"/>
      <c r="D191" s="14"/>
      <c r="E191" s="14"/>
      <c r="F191" s="14"/>
      <c r="G191" s="14"/>
      <c r="H191" s="14"/>
      <c r="I191" s="14"/>
      <c r="J191" s="14"/>
      <c r="K191" s="14"/>
      <c r="L191" s="14"/>
      <c r="M191" s="14"/>
      <c r="N191" s="14"/>
      <c r="O191" s="14"/>
      <c r="P191" s="14"/>
      <c r="Q191" s="15"/>
      <c r="R191" s="5"/>
      <c r="S191" s="5"/>
      <c r="T191" s="5"/>
      <c r="U191" s="5"/>
      <c r="V191" s="5"/>
      <c r="W191" s="5"/>
      <c r="X191" s="5"/>
      <c r="Y191" s="5"/>
      <c r="Z191" s="5"/>
      <c r="AA191" s="5"/>
      <c r="AB191" s="5"/>
      <c r="AC191" s="5"/>
      <c r="AD191" s="5"/>
    </row>
    <row r="192">
      <c r="A192" s="55"/>
      <c r="B192" s="56"/>
      <c r="C192" s="52"/>
      <c r="D192" s="9"/>
      <c r="E192" s="9"/>
      <c r="F192" s="9"/>
      <c r="G192" s="9"/>
      <c r="H192" s="9"/>
      <c r="I192" s="9"/>
      <c r="J192" s="9"/>
      <c r="K192" s="9"/>
      <c r="L192" s="9"/>
      <c r="M192" s="9"/>
      <c r="N192" s="9"/>
      <c r="O192" s="9"/>
      <c r="P192" s="9"/>
      <c r="Q192" s="10"/>
      <c r="R192" s="5"/>
      <c r="S192" s="5"/>
      <c r="T192" s="5"/>
      <c r="U192" s="5"/>
      <c r="V192" s="5"/>
      <c r="W192" s="5"/>
      <c r="X192" s="5"/>
      <c r="Y192" s="5"/>
      <c r="Z192" s="5"/>
      <c r="AA192" s="5"/>
      <c r="AB192" s="5"/>
      <c r="AC192" s="5"/>
      <c r="AD192" s="5"/>
    </row>
    <row r="193">
      <c r="A193" s="57"/>
      <c r="B193" s="59"/>
      <c r="C193" s="54"/>
      <c r="D193" s="14"/>
      <c r="E193" s="14"/>
      <c r="F193" s="14"/>
      <c r="G193" s="14"/>
      <c r="H193" s="14"/>
      <c r="I193" s="14"/>
      <c r="J193" s="14"/>
      <c r="K193" s="14"/>
      <c r="L193" s="14"/>
      <c r="M193" s="14"/>
      <c r="N193" s="14"/>
      <c r="O193" s="14"/>
      <c r="P193" s="14"/>
      <c r="Q193" s="15"/>
      <c r="R193" s="5"/>
      <c r="S193" s="5"/>
      <c r="T193" s="5"/>
      <c r="U193" s="5"/>
      <c r="V193" s="5"/>
      <c r="W193" s="5"/>
      <c r="X193" s="5"/>
      <c r="Y193" s="5"/>
      <c r="Z193" s="5"/>
      <c r="AA193" s="5"/>
      <c r="AB193" s="5"/>
      <c r="AC193" s="5"/>
      <c r="AD193" s="5"/>
    </row>
    <row r="194">
      <c r="A194" s="55"/>
      <c r="B194" s="56"/>
      <c r="C194" s="52"/>
      <c r="D194" s="9"/>
      <c r="E194" s="9"/>
      <c r="F194" s="9"/>
      <c r="G194" s="9"/>
      <c r="H194" s="9"/>
      <c r="I194" s="9"/>
      <c r="J194" s="9"/>
      <c r="K194" s="9"/>
      <c r="L194" s="9"/>
      <c r="M194" s="9"/>
      <c r="N194" s="9"/>
      <c r="O194" s="9"/>
      <c r="P194" s="9"/>
      <c r="Q194" s="10"/>
      <c r="R194" s="5"/>
      <c r="S194" s="5"/>
      <c r="T194" s="5"/>
      <c r="U194" s="5"/>
      <c r="V194" s="5"/>
      <c r="W194" s="5"/>
      <c r="X194" s="5"/>
      <c r="Y194" s="5"/>
      <c r="Z194" s="5"/>
      <c r="AA194" s="5"/>
      <c r="AB194" s="5"/>
      <c r="AC194" s="5"/>
      <c r="AD194" s="5"/>
    </row>
    <row r="195">
      <c r="A195" s="57"/>
      <c r="B195" s="59"/>
      <c r="C195" s="54"/>
      <c r="D195" s="14"/>
      <c r="E195" s="14"/>
      <c r="F195" s="14"/>
      <c r="G195" s="14"/>
      <c r="H195" s="14"/>
      <c r="I195" s="14"/>
      <c r="J195" s="14"/>
      <c r="K195" s="14"/>
      <c r="L195" s="14"/>
      <c r="M195" s="14"/>
      <c r="N195" s="14"/>
      <c r="O195" s="14"/>
      <c r="P195" s="14"/>
      <c r="Q195" s="15"/>
      <c r="R195" s="5"/>
      <c r="S195" s="5"/>
      <c r="T195" s="5"/>
      <c r="U195" s="5"/>
      <c r="V195" s="5"/>
      <c r="W195" s="5"/>
      <c r="X195" s="5"/>
      <c r="Y195" s="5"/>
      <c r="Z195" s="5"/>
      <c r="AA195" s="5"/>
      <c r="AB195" s="5"/>
      <c r="AC195" s="5"/>
      <c r="AD195" s="5"/>
    </row>
    <row r="196">
      <c r="A196" s="55"/>
      <c r="B196" s="56"/>
      <c r="C196" s="52"/>
      <c r="D196" s="9"/>
      <c r="E196" s="9"/>
      <c r="F196" s="9"/>
      <c r="G196" s="9"/>
      <c r="H196" s="9"/>
      <c r="I196" s="9"/>
      <c r="J196" s="9"/>
      <c r="K196" s="9"/>
      <c r="L196" s="9"/>
      <c r="M196" s="9"/>
      <c r="N196" s="9"/>
      <c r="O196" s="9"/>
      <c r="P196" s="9"/>
      <c r="Q196" s="10"/>
      <c r="R196" s="5"/>
      <c r="S196" s="5"/>
      <c r="T196" s="5"/>
      <c r="U196" s="5"/>
      <c r="V196" s="5"/>
      <c r="W196" s="5"/>
      <c r="X196" s="5"/>
      <c r="Y196" s="5"/>
      <c r="Z196" s="5"/>
      <c r="AA196" s="5"/>
      <c r="AB196" s="5"/>
      <c r="AC196" s="5"/>
      <c r="AD196" s="5"/>
    </row>
    <row r="197">
      <c r="A197" s="57"/>
      <c r="B197" s="59"/>
      <c r="C197" s="54"/>
      <c r="D197" s="14"/>
      <c r="E197" s="14"/>
      <c r="F197" s="14"/>
      <c r="G197" s="14"/>
      <c r="H197" s="14"/>
      <c r="I197" s="14"/>
      <c r="J197" s="14"/>
      <c r="K197" s="14"/>
      <c r="L197" s="14"/>
      <c r="M197" s="14"/>
      <c r="N197" s="14"/>
      <c r="O197" s="14"/>
      <c r="P197" s="14"/>
      <c r="Q197" s="15"/>
      <c r="R197" s="5"/>
      <c r="S197" s="5"/>
      <c r="T197" s="5"/>
      <c r="U197" s="5"/>
      <c r="V197" s="5"/>
      <c r="W197" s="5"/>
      <c r="X197" s="5"/>
      <c r="Y197" s="5"/>
      <c r="Z197" s="5"/>
      <c r="AA197" s="5"/>
      <c r="AB197" s="5"/>
      <c r="AC197" s="5"/>
      <c r="AD197" s="5"/>
    </row>
    <row r="198">
      <c r="A198" s="55"/>
      <c r="B198" s="56"/>
      <c r="C198" s="52"/>
      <c r="D198" s="9"/>
      <c r="E198" s="9"/>
      <c r="F198" s="9"/>
      <c r="G198" s="9"/>
      <c r="H198" s="9"/>
      <c r="I198" s="9"/>
      <c r="J198" s="9"/>
      <c r="K198" s="9"/>
      <c r="L198" s="9"/>
      <c r="M198" s="9"/>
      <c r="N198" s="9"/>
      <c r="O198" s="9"/>
      <c r="P198" s="9"/>
      <c r="Q198" s="10"/>
      <c r="R198" s="5"/>
      <c r="S198" s="5"/>
      <c r="T198" s="5"/>
      <c r="U198" s="5"/>
      <c r="V198" s="5"/>
      <c r="W198" s="5"/>
      <c r="X198" s="5"/>
      <c r="Y198" s="5"/>
      <c r="Z198" s="5"/>
      <c r="AA198" s="5"/>
      <c r="AB198" s="5"/>
      <c r="AC198" s="5"/>
      <c r="AD198" s="5"/>
    </row>
    <row r="199">
      <c r="A199" s="57"/>
      <c r="B199" s="59"/>
      <c r="C199" s="54"/>
      <c r="D199" s="14"/>
      <c r="E199" s="14"/>
      <c r="F199" s="14"/>
      <c r="G199" s="14"/>
      <c r="H199" s="14"/>
      <c r="I199" s="14"/>
      <c r="J199" s="14"/>
      <c r="K199" s="14"/>
      <c r="L199" s="14"/>
      <c r="M199" s="14"/>
      <c r="N199" s="14"/>
      <c r="O199" s="14"/>
      <c r="P199" s="14"/>
      <c r="Q199" s="15"/>
      <c r="R199" s="5"/>
      <c r="S199" s="5"/>
      <c r="T199" s="5"/>
      <c r="U199" s="5"/>
      <c r="V199" s="5"/>
      <c r="W199" s="5"/>
      <c r="X199" s="5"/>
      <c r="Y199" s="5"/>
      <c r="Z199" s="5"/>
      <c r="AA199" s="5"/>
      <c r="AB199" s="5"/>
      <c r="AC199" s="5"/>
      <c r="AD199" s="5"/>
    </row>
    <row r="200">
      <c r="A200" s="55"/>
      <c r="B200" s="56"/>
      <c r="C200" s="52"/>
      <c r="D200" s="9"/>
      <c r="E200" s="9"/>
      <c r="F200" s="9"/>
      <c r="G200" s="9"/>
      <c r="H200" s="9"/>
      <c r="I200" s="9"/>
      <c r="J200" s="9"/>
      <c r="K200" s="9"/>
      <c r="L200" s="9"/>
      <c r="M200" s="9"/>
      <c r="N200" s="9"/>
      <c r="O200" s="9"/>
      <c r="P200" s="9"/>
      <c r="Q200" s="10"/>
      <c r="R200" s="5"/>
      <c r="S200" s="5"/>
      <c r="T200" s="5"/>
      <c r="U200" s="5"/>
      <c r="V200" s="5"/>
      <c r="W200" s="5"/>
      <c r="X200" s="5"/>
      <c r="Y200" s="5"/>
      <c r="Z200" s="5"/>
      <c r="AA200" s="5"/>
      <c r="AB200" s="5"/>
      <c r="AC200" s="5"/>
      <c r="AD200" s="5"/>
    </row>
    <row r="201">
      <c r="A201" s="57"/>
      <c r="B201" s="59"/>
      <c r="C201" s="54"/>
      <c r="D201" s="14"/>
      <c r="E201" s="14"/>
      <c r="F201" s="14"/>
      <c r="G201" s="14"/>
      <c r="H201" s="14"/>
      <c r="I201" s="14"/>
      <c r="J201" s="14"/>
      <c r="K201" s="14"/>
      <c r="L201" s="14"/>
      <c r="M201" s="14"/>
      <c r="N201" s="14"/>
      <c r="O201" s="14"/>
      <c r="P201" s="14"/>
      <c r="Q201" s="15"/>
      <c r="R201" s="5"/>
      <c r="S201" s="5"/>
      <c r="T201" s="5"/>
      <c r="U201" s="5"/>
      <c r="V201" s="5"/>
      <c r="W201" s="5"/>
      <c r="X201" s="5"/>
      <c r="Y201" s="5"/>
      <c r="Z201" s="5"/>
      <c r="AA201" s="5"/>
      <c r="AB201" s="5"/>
      <c r="AC201" s="5"/>
      <c r="AD201" s="5"/>
    </row>
    <row r="202">
      <c r="A202" s="55"/>
      <c r="B202" s="56"/>
      <c r="C202" s="52"/>
      <c r="D202" s="9"/>
      <c r="E202" s="9"/>
      <c r="F202" s="9"/>
      <c r="G202" s="9"/>
      <c r="H202" s="9"/>
      <c r="I202" s="9"/>
      <c r="J202" s="9"/>
      <c r="K202" s="9"/>
      <c r="L202" s="9"/>
      <c r="M202" s="9"/>
      <c r="N202" s="9"/>
      <c r="O202" s="9"/>
      <c r="P202" s="9"/>
      <c r="Q202" s="10"/>
      <c r="R202" s="5"/>
      <c r="S202" s="5"/>
      <c r="T202" s="5"/>
      <c r="U202" s="5"/>
      <c r="V202" s="5"/>
      <c r="W202" s="5"/>
      <c r="X202" s="5"/>
      <c r="Y202" s="5"/>
      <c r="Z202" s="5"/>
      <c r="AA202" s="5"/>
      <c r="AB202" s="5"/>
      <c r="AC202" s="5"/>
      <c r="AD202" s="5"/>
    </row>
    <row r="203">
      <c r="A203" s="57"/>
      <c r="B203" s="59"/>
      <c r="C203" s="54"/>
      <c r="D203" s="14"/>
      <c r="E203" s="14"/>
      <c r="F203" s="14"/>
      <c r="G203" s="14"/>
      <c r="H203" s="14"/>
      <c r="I203" s="14"/>
      <c r="J203" s="14"/>
      <c r="K203" s="14"/>
      <c r="L203" s="14"/>
      <c r="M203" s="14"/>
      <c r="N203" s="14"/>
      <c r="O203" s="14"/>
      <c r="P203" s="14"/>
      <c r="Q203" s="15"/>
      <c r="R203" s="5"/>
      <c r="S203" s="5"/>
      <c r="T203" s="5"/>
      <c r="U203" s="5"/>
      <c r="V203" s="5"/>
      <c r="W203" s="5"/>
      <c r="X203" s="5"/>
      <c r="Y203" s="5"/>
      <c r="Z203" s="5"/>
      <c r="AA203" s="5"/>
      <c r="AB203" s="5"/>
      <c r="AC203" s="5"/>
      <c r="AD203" s="5"/>
    </row>
    <row r="204">
      <c r="A204" s="55"/>
      <c r="B204" s="56"/>
      <c r="C204" s="52"/>
      <c r="D204" s="9"/>
      <c r="E204" s="9"/>
      <c r="F204" s="9"/>
      <c r="G204" s="9"/>
      <c r="H204" s="9"/>
      <c r="I204" s="9"/>
      <c r="J204" s="9"/>
      <c r="K204" s="9"/>
      <c r="L204" s="9"/>
      <c r="M204" s="9"/>
      <c r="N204" s="9"/>
      <c r="O204" s="9"/>
      <c r="P204" s="9"/>
      <c r="Q204" s="10"/>
      <c r="R204" s="5"/>
      <c r="S204" s="5"/>
      <c r="T204" s="5"/>
      <c r="U204" s="5"/>
      <c r="V204" s="5"/>
      <c r="W204" s="5"/>
      <c r="X204" s="5"/>
      <c r="Y204" s="5"/>
      <c r="Z204" s="5"/>
      <c r="AA204" s="5"/>
      <c r="AB204" s="5"/>
      <c r="AC204" s="5"/>
      <c r="AD204" s="5"/>
    </row>
    <row r="205">
      <c r="A205" s="57"/>
      <c r="B205" s="59"/>
      <c r="C205" s="54"/>
      <c r="D205" s="14"/>
      <c r="E205" s="14"/>
      <c r="F205" s="14"/>
      <c r="G205" s="14"/>
      <c r="H205" s="14"/>
      <c r="I205" s="14"/>
      <c r="J205" s="14"/>
      <c r="K205" s="14"/>
      <c r="L205" s="14"/>
      <c r="M205" s="14"/>
      <c r="N205" s="14"/>
      <c r="O205" s="14"/>
      <c r="P205" s="14"/>
      <c r="Q205" s="15"/>
      <c r="R205" s="5"/>
      <c r="S205" s="5"/>
      <c r="T205" s="5"/>
      <c r="U205" s="5"/>
      <c r="V205" s="5"/>
      <c r="W205" s="5"/>
      <c r="X205" s="5"/>
      <c r="Y205" s="5"/>
      <c r="Z205" s="5"/>
      <c r="AA205" s="5"/>
      <c r="AB205" s="5"/>
      <c r="AC205" s="5"/>
      <c r="AD205" s="5"/>
    </row>
    <row r="206">
      <c r="A206" s="55"/>
      <c r="B206" s="56"/>
      <c r="C206" s="52"/>
      <c r="D206" s="9"/>
      <c r="E206" s="9"/>
      <c r="F206" s="9"/>
      <c r="G206" s="9"/>
      <c r="H206" s="9"/>
      <c r="I206" s="9"/>
      <c r="J206" s="9"/>
      <c r="K206" s="9"/>
      <c r="L206" s="9"/>
      <c r="M206" s="9"/>
      <c r="N206" s="9"/>
      <c r="O206" s="9"/>
      <c r="P206" s="9"/>
      <c r="Q206" s="10"/>
      <c r="R206" s="5"/>
      <c r="S206" s="5"/>
      <c r="T206" s="5"/>
      <c r="U206" s="5"/>
      <c r="V206" s="5"/>
      <c r="W206" s="5"/>
      <c r="X206" s="5"/>
      <c r="Y206" s="5"/>
      <c r="Z206" s="5"/>
      <c r="AA206" s="5"/>
      <c r="AB206" s="5"/>
      <c r="AC206" s="5"/>
      <c r="AD206" s="5"/>
    </row>
    <row r="207">
      <c r="A207" s="57"/>
      <c r="B207" s="59"/>
      <c r="C207" s="54"/>
      <c r="D207" s="14"/>
      <c r="E207" s="14"/>
      <c r="F207" s="14"/>
      <c r="G207" s="14"/>
      <c r="H207" s="14"/>
      <c r="I207" s="14"/>
      <c r="J207" s="14"/>
      <c r="K207" s="14"/>
      <c r="L207" s="14"/>
      <c r="M207" s="14"/>
      <c r="N207" s="14"/>
      <c r="O207" s="14"/>
      <c r="P207" s="14"/>
      <c r="Q207" s="15"/>
      <c r="R207" s="5"/>
      <c r="S207" s="5"/>
      <c r="T207" s="5"/>
      <c r="U207" s="5"/>
      <c r="V207" s="5"/>
      <c r="W207" s="5"/>
      <c r="X207" s="5"/>
      <c r="Y207" s="5"/>
      <c r="Z207" s="5"/>
      <c r="AA207" s="5"/>
      <c r="AB207" s="5"/>
      <c r="AC207" s="5"/>
      <c r="AD207" s="5"/>
    </row>
    <row r="208">
      <c r="A208" s="55"/>
      <c r="B208" s="56"/>
      <c r="C208" s="52"/>
      <c r="D208" s="9"/>
      <c r="E208" s="9"/>
      <c r="F208" s="9"/>
      <c r="G208" s="9"/>
      <c r="H208" s="9"/>
      <c r="I208" s="9"/>
      <c r="J208" s="9"/>
      <c r="K208" s="9"/>
      <c r="L208" s="9"/>
      <c r="M208" s="9"/>
      <c r="N208" s="9"/>
      <c r="O208" s="9"/>
      <c r="P208" s="9"/>
      <c r="Q208" s="10"/>
      <c r="R208" s="5"/>
      <c r="S208" s="5"/>
      <c r="T208" s="5"/>
      <c r="U208" s="5"/>
      <c r="V208" s="5"/>
      <c r="W208" s="5"/>
      <c r="X208" s="5"/>
      <c r="Y208" s="5"/>
      <c r="Z208" s="5"/>
      <c r="AA208" s="5"/>
      <c r="AB208" s="5"/>
      <c r="AC208" s="5"/>
      <c r="AD208" s="5"/>
    </row>
    <row r="209">
      <c r="A209" s="57"/>
      <c r="B209" s="59"/>
      <c r="C209" s="54"/>
      <c r="D209" s="14"/>
      <c r="E209" s="14"/>
      <c r="F209" s="14"/>
      <c r="G209" s="14"/>
      <c r="H209" s="14"/>
      <c r="I209" s="14"/>
      <c r="J209" s="14"/>
      <c r="K209" s="14"/>
      <c r="L209" s="14"/>
      <c r="M209" s="14"/>
      <c r="N209" s="14"/>
      <c r="O209" s="14"/>
      <c r="P209" s="14"/>
      <c r="Q209" s="15"/>
      <c r="R209" s="5"/>
      <c r="S209" s="5"/>
      <c r="T209" s="5"/>
      <c r="U209" s="5"/>
      <c r="V209" s="5"/>
      <c r="W209" s="5"/>
      <c r="X209" s="5"/>
      <c r="Y209" s="5"/>
      <c r="Z209" s="5"/>
      <c r="AA209" s="5"/>
      <c r="AB209" s="5"/>
      <c r="AC209" s="5"/>
      <c r="AD209" s="5"/>
    </row>
    <row r="210">
      <c r="A210" s="55"/>
      <c r="B210" s="56"/>
      <c r="C210" s="52"/>
      <c r="D210" s="9"/>
      <c r="E210" s="9"/>
      <c r="F210" s="9"/>
      <c r="G210" s="9"/>
      <c r="H210" s="9"/>
      <c r="I210" s="9"/>
      <c r="J210" s="9"/>
      <c r="K210" s="9"/>
      <c r="L210" s="9"/>
      <c r="M210" s="9"/>
      <c r="N210" s="9"/>
      <c r="O210" s="9"/>
      <c r="P210" s="9"/>
      <c r="Q210" s="10"/>
      <c r="R210" s="5"/>
      <c r="S210" s="5"/>
      <c r="T210" s="5"/>
      <c r="U210" s="5"/>
      <c r="V210" s="5"/>
      <c r="W210" s="5"/>
      <c r="X210" s="5"/>
      <c r="Y210" s="5"/>
      <c r="Z210" s="5"/>
      <c r="AA210" s="5"/>
      <c r="AB210" s="5"/>
      <c r="AC210" s="5"/>
      <c r="AD210" s="5"/>
    </row>
    <row r="211">
      <c r="A211" s="57"/>
      <c r="B211" s="59"/>
      <c r="C211" s="54"/>
      <c r="D211" s="14"/>
      <c r="E211" s="14"/>
      <c r="F211" s="14"/>
      <c r="G211" s="14"/>
      <c r="H211" s="14"/>
      <c r="I211" s="14"/>
      <c r="J211" s="14"/>
      <c r="K211" s="14"/>
      <c r="L211" s="14"/>
      <c r="M211" s="14"/>
      <c r="N211" s="14"/>
      <c r="O211" s="14"/>
      <c r="P211" s="14"/>
      <c r="Q211" s="15"/>
      <c r="R211" s="5"/>
      <c r="S211" s="5"/>
      <c r="T211" s="5"/>
      <c r="U211" s="5"/>
      <c r="V211" s="5"/>
      <c r="W211" s="5"/>
      <c r="X211" s="5"/>
      <c r="Y211" s="5"/>
      <c r="Z211" s="5"/>
      <c r="AA211" s="5"/>
      <c r="AB211" s="5"/>
      <c r="AC211" s="5"/>
      <c r="AD211" s="5"/>
    </row>
    <row r="212">
      <c r="A212" s="55"/>
      <c r="B212" s="56"/>
      <c r="C212" s="52"/>
      <c r="D212" s="9"/>
      <c r="E212" s="9"/>
      <c r="F212" s="9"/>
      <c r="G212" s="9"/>
      <c r="H212" s="9"/>
      <c r="I212" s="9"/>
      <c r="J212" s="9"/>
      <c r="K212" s="9"/>
      <c r="L212" s="9"/>
      <c r="M212" s="9"/>
      <c r="N212" s="9"/>
      <c r="O212" s="9"/>
      <c r="P212" s="9"/>
      <c r="Q212" s="10"/>
      <c r="R212" s="5"/>
      <c r="S212" s="5"/>
      <c r="T212" s="5"/>
      <c r="U212" s="5"/>
      <c r="V212" s="5"/>
      <c r="W212" s="5"/>
      <c r="X212" s="5"/>
      <c r="Y212" s="5"/>
      <c r="Z212" s="5"/>
      <c r="AA212" s="5"/>
      <c r="AB212" s="5"/>
      <c r="AC212" s="5"/>
      <c r="AD212" s="5"/>
    </row>
    <row r="213">
      <c r="A213" s="57"/>
      <c r="B213" s="59"/>
      <c r="C213" s="54"/>
      <c r="D213" s="14"/>
      <c r="E213" s="14"/>
      <c r="F213" s="14"/>
      <c r="G213" s="14"/>
      <c r="H213" s="14"/>
      <c r="I213" s="14"/>
      <c r="J213" s="14"/>
      <c r="K213" s="14"/>
      <c r="L213" s="14"/>
      <c r="M213" s="14"/>
      <c r="N213" s="14"/>
      <c r="O213" s="14"/>
      <c r="P213" s="14"/>
      <c r="Q213" s="15"/>
      <c r="R213" s="5"/>
      <c r="S213" s="5"/>
      <c r="T213" s="5"/>
      <c r="U213" s="5"/>
      <c r="V213" s="5"/>
      <c r="W213" s="5"/>
      <c r="X213" s="5"/>
      <c r="Y213" s="5"/>
      <c r="Z213" s="5"/>
      <c r="AA213" s="5"/>
      <c r="AB213" s="5"/>
      <c r="AC213" s="5"/>
      <c r="AD213" s="5"/>
    </row>
    <row r="214">
      <c r="A214" s="55"/>
      <c r="B214" s="56"/>
      <c r="C214" s="52"/>
      <c r="D214" s="9"/>
      <c r="E214" s="9"/>
      <c r="F214" s="9"/>
      <c r="G214" s="9"/>
      <c r="H214" s="9"/>
      <c r="I214" s="9"/>
      <c r="J214" s="9"/>
      <c r="K214" s="9"/>
      <c r="L214" s="9"/>
      <c r="M214" s="9"/>
      <c r="N214" s="9"/>
      <c r="O214" s="9"/>
      <c r="P214" s="9"/>
      <c r="Q214" s="10"/>
      <c r="R214" s="5"/>
      <c r="S214" s="5"/>
      <c r="T214" s="5"/>
      <c r="U214" s="5"/>
      <c r="V214" s="5"/>
      <c r="W214" s="5"/>
      <c r="X214" s="5"/>
      <c r="Y214" s="5"/>
      <c r="Z214" s="5"/>
      <c r="AA214" s="5"/>
      <c r="AB214" s="5"/>
      <c r="AC214" s="5"/>
      <c r="AD214" s="5"/>
    </row>
    <row r="215">
      <c r="A215" s="57"/>
      <c r="B215" s="59"/>
      <c r="C215" s="54"/>
      <c r="D215" s="14"/>
      <c r="E215" s="14"/>
      <c r="F215" s="14"/>
      <c r="G215" s="14"/>
      <c r="H215" s="14"/>
      <c r="I215" s="14"/>
      <c r="J215" s="14"/>
      <c r="K215" s="14"/>
      <c r="L215" s="14"/>
      <c r="M215" s="14"/>
      <c r="N215" s="14"/>
      <c r="O215" s="14"/>
      <c r="P215" s="14"/>
      <c r="Q215" s="15"/>
      <c r="R215" s="5"/>
      <c r="S215" s="5"/>
      <c r="T215" s="5"/>
      <c r="U215" s="5"/>
      <c r="V215" s="5"/>
      <c r="W215" s="5"/>
      <c r="X215" s="5"/>
      <c r="Y215" s="5"/>
      <c r="Z215" s="5"/>
      <c r="AA215" s="5"/>
      <c r="AB215" s="5"/>
      <c r="AC215" s="5"/>
      <c r="AD215" s="5"/>
    </row>
    <row r="216">
      <c r="A216" s="55"/>
      <c r="B216" s="56"/>
      <c r="C216" s="52"/>
      <c r="D216" s="9"/>
      <c r="E216" s="9"/>
      <c r="F216" s="9"/>
      <c r="G216" s="9"/>
      <c r="H216" s="9"/>
      <c r="I216" s="9"/>
      <c r="J216" s="9"/>
      <c r="K216" s="9"/>
      <c r="L216" s="9"/>
      <c r="M216" s="9"/>
      <c r="N216" s="9"/>
      <c r="O216" s="9"/>
      <c r="P216" s="9"/>
      <c r="Q216" s="10"/>
      <c r="R216" s="5"/>
      <c r="S216" s="5"/>
      <c r="T216" s="5"/>
      <c r="U216" s="5"/>
      <c r="V216" s="5"/>
      <c r="W216" s="5"/>
      <c r="X216" s="5"/>
      <c r="Y216" s="5"/>
      <c r="Z216" s="5"/>
      <c r="AA216" s="5"/>
      <c r="AB216" s="5"/>
      <c r="AC216" s="5"/>
      <c r="AD216" s="5"/>
    </row>
    <row r="217">
      <c r="A217" s="57"/>
      <c r="B217" s="59"/>
      <c r="C217" s="54"/>
      <c r="D217" s="14"/>
      <c r="E217" s="14"/>
      <c r="F217" s="14"/>
      <c r="G217" s="14"/>
      <c r="H217" s="14"/>
      <c r="I217" s="14"/>
      <c r="J217" s="14"/>
      <c r="K217" s="14"/>
      <c r="L217" s="14"/>
      <c r="M217" s="14"/>
      <c r="N217" s="14"/>
      <c r="O217" s="14"/>
      <c r="P217" s="14"/>
      <c r="Q217" s="15"/>
      <c r="R217" s="5"/>
      <c r="S217" s="5"/>
      <c r="T217" s="5"/>
      <c r="U217" s="5"/>
      <c r="V217" s="5"/>
      <c r="W217" s="5"/>
      <c r="X217" s="5"/>
      <c r="Y217" s="5"/>
      <c r="Z217" s="5"/>
      <c r="AA217" s="5"/>
      <c r="AB217" s="5"/>
      <c r="AC217" s="5"/>
      <c r="AD217" s="5"/>
    </row>
    <row r="218">
      <c r="A218" s="55"/>
      <c r="B218" s="56"/>
      <c r="C218" s="52"/>
      <c r="D218" s="9"/>
      <c r="E218" s="9"/>
      <c r="F218" s="9"/>
      <c r="G218" s="9"/>
      <c r="H218" s="9"/>
      <c r="I218" s="9"/>
      <c r="J218" s="9"/>
      <c r="K218" s="9"/>
      <c r="L218" s="9"/>
      <c r="M218" s="9"/>
      <c r="N218" s="9"/>
      <c r="O218" s="9"/>
      <c r="P218" s="9"/>
      <c r="Q218" s="10"/>
      <c r="R218" s="5"/>
      <c r="S218" s="5"/>
      <c r="T218" s="5"/>
      <c r="U218" s="5"/>
      <c r="V218" s="5"/>
      <c r="W218" s="5"/>
      <c r="X218" s="5"/>
      <c r="Y218" s="5"/>
      <c r="Z218" s="5"/>
      <c r="AA218" s="5"/>
      <c r="AB218" s="5"/>
      <c r="AC218" s="5"/>
      <c r="AD218" s="5"/>
    </row>
    <row r="219">
      <c r="A219" s="57"/>
      <c r="B219" s="59"/>
      <c r="C219" s="54"/>
      <c r="D219" s="14"/>
      <c r="E219" s="14"/>
      <c r="F219" s="14"/>
      <c r="G219" s="14"/>
      <c r="H219" s="14"/>
      <c r="I219" s="14"/>
      <c r="J219" s="14"/>
      <c r="K219" s="14"/>
      <c r="L219" s="14"/>
      <c r="M219" s="14"/>
      <c r="N219" s="14"/>
      <c r="O219" s="14"/>
      <c r="P219" s="14"/>
      <c r="Q219" s="15"/>
      <c r="R219" s="5"/>
      <c r="S219" s="5"/>
      <c r="T219" s="5"/>
      <c r="U219" s="5"/>
      <c r="V219" s="5"/>
      <c r="W219" s="5"/>
      <c r="X219" s="5"/>
      <c r="Y219" s="5"/>
      <c r="Z219" s="5"/>
      <c r="AA219" s="5"/>
      <c r="AB219" s="5"/>
      <c r="AC219" s="5"/>
      <c r="AD219" s="5"/>
    </row>
    <row r="220">
      <c r="A220" s="55"/>
      <c r="B220" s="56"/>
      <c r="C220" s="52"/>
      <c r="D220" s="9"/>
      <c r="E220" s="9"/>
      <c r="F220" s="9"/>
      <c r="G220" s="9"/>
      <c r="H220" s="9"/>
      <c r="I220" s="9"/>
      <c r="J220" s="9"/>
      <c r="K220" s="9"/>
      <c r="L220" s="9"/>
      <c r="M220" s="9"/>
      <c r="N220" s="9"/>
      <c r="O220" s="9"/>
      <c r="P220" s="9"/>
      <c r="Q220" s="10"/>
      <c r="R220" s="5"/>
      <c r="S220" s="5"/>
      <c r="T220" s="5"/>
      <c r="U220" s="5"/>
      <c r="V220" s="5"/>
      <c r="W220" s="5"/>
      <c r="X220" s="5"/>
      <c r="Y220" s="5"/>
      <c r="Z220" s="5"/>
      <c r="AA220" s="5"/>
      <c r="AB220" s="5"/>
      <c r="AC220" s="5"/>
      <c r="AD220" s="5"/>
    </row>
    <row r="221">
      <c r="A221" s="57"/>
      <c r="B221" s="59"/>
      <c r="C221" s="54"/>
      <c r="D221" s="14"/>
      <c r="E221" s="14"/>
      <c r="F221" s="14"/>
      <c r="G221" s="14"/>
      <c r="H221" s="14"/>
      <c r="I221" s="14"/>
      <c r="J221" s="14"/>
      <c r="K221" s="14"/>
      <c r="L221" s="14"/>
      <c r="M221" s="14"/>
      <c r="N221" s="14"/>
      <c r="O221" s="14"/>
      <c r="P221" s="14"/>
      <c r="Q221" s="15"/>
      <c r="R221" s="5"/>
      <c r="S221" s="5"/>
      <c r="T221" s="5"/>
      <c r="U221" s="5"/>
      <c r="V221" s="5"/>
      <c r="W221" s="5"/>
      <c r="X221" s="5"/>
      <c r="Y221" s="5"/>
      <c r="Z221" s="5"/>
      <c r="AA221" s="5"/>
      <c r="AB221" s="5"/>
      <c r="AC221" s="5"/>
      <c r="AD221" s="5"/>
    </row>
    <row r="222">
      <c r="A222" s="55"/>
      <c r="B222" s="56"/>
      <c r="C222" s="52"/>
      <c r="D222" s="9"/>
      <c r="E222" s="9"/>
      <c r="F222" s="9"/>
      <c r="G222" s="9"/>
      <c r="H222" s="9"/>
      <c r="I222" s="9"/>
      <c r="J222" s="9"/>
      <c r="K222" s="9"/>
      <c r="L222" s="9"/>
      <c r="M222" s="9"/>
      <c r="N222" s="9"/>
      <c r="O222" s="9"/>
      <c r="P222" s="9"/>
      <c r="Q222" s="10"/>
      <c r="R222" s="5"/>
      <c r="S222" s="5"/>
      <c r="T222" s="5"/>
      <c r="U222" s="5"/>
      <c r="V222" s="5"/>
      <c r="W222" s="5"/>
      <c r="X222" s="5"/>
      <c r="Y222" s="5"/>
      <c r="Z222" s="5"/>
      <c r="AA222" s="5"/>
      <c r="AB222" s="5"/>
      <c r="AC222" s="5"/>
      <c r="AD222" s="5"/>
    </row>
    <row r="223">
      <c r="A223" s="57"/>
      <c r="B223" s="59"/>
      <c r="C223" s="54"/>
      <c r="D223" s="14"/>
      <c r="E223" s="14"/>
      <c r="F223" s="14"/>
      <c r="G223" s="14"/>
      <c r="H223" s="14"/>
      <c r="I223" s="14"/>
      <c r="J223" s="14"/>
      <c r="K223" s="14"/>
      <c r="L223" s="14"/>
      <c r="M223" s="14"/>
      <c r="N223" s="14"/>
      <c r="O223" s="14"/>
      <c r="P223" s="14"/>
      <c r="Q223" s="15"/>
      <c r="R223" s="5"/>
      <c r="S223" s="5"/>
      <c r="T223" s="5"/>
      <c r="U223" s="5"/>
      <c r="V223" s="5"/>
      <c r="W223" s="5"/>
      <c r="X223" s="5"/>
      <c r="Y223" s="5"/>
      <c r="Z223" s="5"/>
      <c r="AA223" s="5"/>
      <c r="AB223" s="5"/>
      <c r="AC223" s="5"/>
      <c r="AD223" s="5"/>
    </row>
    <row r="224">
      <c r="A224" s="55"/>
      <c r="B224" s="56"/>
      <c r="C224" s="52"/>
      <c r="D224" s="9"/>
      <c r="E224" s="9"/>
      <c r="F224" s="9"/>
      <c r="G224" s="9"/>
      <c r="H224" s="9"/>
      <c r="I224" s="9"/>
      <c r="J224" s="9"/>
      <c r="K224" s="9"/>
      <c r="L224" s="9"/>
      <c r="M224" s="9"/>
      <c r="N224" s="9"/>
      <c r="O224" s="9"/>
      <c r="P224" s="9"/>
      <c r="Q224" s="10"/>
      <c r="R224" s="5"/>
      <c r="S224" s="5"/>
      <c r="T224" s="5"/>
      <c r="U224" s="5"/>
      <c r="V224" s="5"/>
      <c r="W224" s="5"/>
      <c r="X224" s="5"/>
      <c r="Y224" s="5"/>
      <c r="Z224" s="5"/>
      <c r="AA224" s="5"/>
      <c r="AB224" s="5"/>
      <c r="AC224" s="5"/>
      <c r="AD224" s="5"/>
    </row>
    <row r="225">
      <c r="A225" s="57"/>
      <c r="B225" s="59"/>
      <c r="C225" s="54"/>
      <c r="D225" s="14"/>
      <c r="E225" s="14"/>
      <c r="F225" s="14"/>
      <c r="G225" s="14"/>
      <c r="H225" s="14"/>
      <c r="I225" s="14"/>
      <c r="J225" s="14"/>
      <c r="K225" s="14"/>
      <c r="L225" s="14"/>
      <c r="M225" s="14"/>
      <c r="N225" s="14"/>
      <c r="O225" s="14"/>
      <c r="P225" s="14"/>
      <c r="Q225" s="15"/>
      <c r="R225" s="5"/>
      <c r="S225" s="5"/>
      <c r="T225" s="5"/>
      <c r="U225" s="5"/>
      <c r="V225" s="5"/>
      <c r="W225" s="5"/>
      <c r="X225" s="5"/>
      <c r="Y225" s="5"/>
      <c r="Z225" s="5"/>
      <c r="AA225" s="5"/>
      <c r="AB225" s="5"/>
      <c r="AC225" s="5"/>
      <c r="AD225" s="5"/>
    </row>
    <row r="226">
      <c r="A226" s="55"/>
      <c r="B226" s="56"/>
      <c r="C226" s="52"/>
      <c r="D226" s="9"/>
      <c r="E226" s="9"/>
      <c r="F226" s="9"/>
      <c r="G226" s="9"/>
      <c r="H226" s="9"/>
      <c r="I226" s="9"/>
      <c r="J226" s="9"/>
      <c r="K226" s="9"/>
      <c r="L226" s="9"/>
      <c r="M226" s="9"/>
      <c r="N226" s="9"/>
      <c r="O226" s="9"/>
      <c r="P226" s="9"/>
      <c r="Q226" s="10"/>
      <c r="R226" s="5"/>
      <c r="S226" s="5"/>
      <c r="T226" s="5"/>
      <c r="U226" s="5"/>
      <c r="V226" s="5"/>
      <c r="W226" s="5"/>
      <c r="X226" s="5"/>
      <c r="Y226" s="5"/>
      <c r="Z226" s="5"/>
      <c r="AA226" s="5"/>
      <c r="AB226" s="5"/>
      <c r="AC226" s="5"/>
      <c r="AD226" s="5"/>
    </row>
    <row r="227">
      <c r="A227" s="57"/>
      <c r="B227" s="59"/>
      <c r="C227" s="54"/>
      <c r="D227" s="14"/>
      <c r="E227" s="14"/>
      <c r="F227" s="14"/>
      <c r="G227" s="14"/>
      <c r="H227" s="14"/>
      <c r="I227" s="14"/>
      <c r="J227" s="14"/>
      <c r="K227" s="14"/>
      <c r="L227" s="14"/>
      <c r="M227" s="14"/>
      <c r="N227" s="14"/>
      <c r="O227" s="14"/>
      <c r="P227" s="14"/>
      <c r="Q227" s="15"/>
      <c r="R227" s="5"/>
      <c r="S227" s="5"/>
      <c r="T227" s="5"/>
      <c r="U227" s="5"/>
      <c r="V227" s="5"/>
      <c r="W227" s="5"/>
      <c r="X227" s="5"/>
      <c r="Y227" s="5"/>
      <c r="Z227" s="5"/>
      <c r="AA227" s="5"/>
      <c r="AB227" s="5"/>
      <c r="AC227" s="5"/>
      <c r="AD227" s="5"/>
    </row>
    <row r="228">
      <c r="A228" s="55"/>
      <c r="B228" s="56"/>
      <c r="C228" s="52"/>
      <c r="D228" s="9"/>
      <c r="E228" s="9"/>
      <c r="F228" s="9"/>
      <c r="G228" s="9"/>
      <c r="H228" s="9"/>
      <c r="I228" s="9"/>
      <c r="J228" s="9"/>
      <c r="K228" s="9"/>
      <c r="L228" s="9"/>
      <c r="M228" s="9"/>
      <c r="N228" s="9"/>
      <c r="O228" s="9"/>
      <c r="P228" s="9"/>
      <c r="Q228" s="10"/>
      <c r="R228" s="5"/>
      <c r="S228" s="5"/>
      <c r="T228" s="5"/>
      <c r="U228" s="5"/>
      <c r="V228" s="5"/>
      <c r="W228" s="5"/>
      <c r="X228" s="5"/>
      <c r="Y228" s="5"/>
      <c r="Z228" s="5"/>
      <c r="AA228" s="5"/>
      <c r="AB228" s="5"/>
      <c r="AC228" s="5"/>
      <c r="AD228" s="5"/>
    </row>
    <row r="229">
      <c r="A229" s="57"/>
      <c r="B229" s="59"/>
      <c r="C229" s="54"/>
      <c r="D229" s="14"/>
      <c r="E229" s="14"/>
      <c r="F229" s="14"/>
      <c r="G229" s="14"/>
      <c r="H229" s="14"/>
      <c r="I229" s="14"/>
      <c r="J229" s="14"/>
      <c r="K229" s="14"/>
      <c r="L229" s="14"/>
      <c r="M229" s="14"/>
      <c r="N229" s="14"/>
      <c r="O229" s="14"/>
      <c r="P229" s="14"/>
      <c r="Q229" s="15"/>
      <c r="R229" s="5"/>
      <c r="S229" s="5"/>
      <c r="T229" s="5"/>
      <c r="U229" s="5"/>
      <c r="V229" s="5"/>
      <c r="W229" s="5"/>
      <c r="X229" s="5"/>
      <c r="Y229" s="5"/>
      <c r="Z229" s="5"/>
      <c r="AA229" s="5"/>
      <c r="AB229" s="5"/>
      <c r="AC229" s="5"/>
      <c r="AD229" s="5"/>
    </row>
    <row r="230">
      <c r="A230" s="55"/>
      <c r="B230" s="56"/>
      <c r="C230" s="52"/>
      <c r="D230" s="9"/>
      <c r="E230" s="9"/>
      <c r="F230" s="9"/>
      <c r="G230" s="9"/>
      <c r="H230" s="9"/>
      <c r="I230" s="9"/>
      <c r="J230" s="9"/>
      <c r="K230" s="9"/>
      <c r="L230" s="9"/>
      <c r="M230" s="9"/>
      <c r="N230" s="9"/>
      <c r="O230" s="9"/>
      <c r="P230" s="9"/>
      <c r="Q230" s="10"/>
      <c r="R230" s="5"/>
      <c r="S230" s="5"/>
      <c r="T230" s="5"/>
      <c r="U230" s="5"/>
      <c r="V230" s="5"/>
      <c r="W230" s="5"/>
      <c r="X230" s="5"/>
      <c r="Y230" s="5"/>
      <c r="Z230" s="5"/>
      <c r="AA230" s="5"/>
      <c r="AB230" s="5"/>
      <c r="AC230" s="5"/>
      <c r="AD230" s="5"/>
    </row>
    <row r="231">
      <c r="A231" s="57"/>
      <c r="B231" s="59"/>
      <c r="C231" s="54"/>
      <c r="D231" s="14"/>
      <c r="E231" s="14"/>
      <c r="F231" s="14"/>
      <c r="G231" s="14"/>
      <c r="H231" s="14"/>
      <c r="I231" s="14"/>
      <c r="J231" s="14"/>
      <c r="K231" s="14"/>
      <c r="L231" s="14"/>
      <c r="M231" s="14"/>
      <c r="N231" s="14"/>
      <c r="O231" s="14"/>
      <c r="P231" s="14"/>
      <c r="Q231" s="15"/>
      <c r="R231" s="5"/>
      <c r="S231" s="5"/>
      <c r="T231" s="5"/>
      <c r="U231" s="5"/>
      <c r="V231" s="5"/>
      <c r="W231" s="5"/>
      <c r="X231" s="5"/>
      <c r="Y231" s="5"/>
      <c r="Z231" s="5"/>
      <c r="AA231" s="5"/>
      <c r="AB231" s="5"/>
      <c r="AC231" s="5"/>
      <c r="AD231" s="5"/>
    </row>
    <row r="232">
      <c r="A232" s="55"/>
      <c r="B232" s="56"/>
      <c r="C232" s="52"/>
      <c r="D232" s="9"/>
      <c r="E232" s="9"/>
      <c r="F232" s="9"/>
      <c r="G232" s="9"/>
      <c r="H232" s="9"/>
      <c r="I232" s="9"/>
      <c r="J232" s="9"/>
      <c r="K232" s="9"/>
      <c r="L232" s="9"/>
      <c r="M232" s="9"/>
      <c r="N232" s="9"/>
      <c r="O232" s="9"/>
      <c r="P232" s="9"/>
      <c r="Q232" s="10"/>
      <c r="R232" s="5"/>
      <c r="S232" s="5"/>
      <c r="T232" s="5"/>
      <c r="U232" s="5"/>
      <c r="V232" s="5"/>
      <c r="W232" s="5"/>
      <c r="X232" s="5"/>
      <c r="Y232" s="5"/>
      <c r="Z232" s="5"/>
      <c r="AA232" s="5"/>
      <c r="AB232" s="5"/>
      <c r="AC232" s="5"/>
      <c r="AD232" s="5"/>
    </row>
    <row r="233">
      <c r="A233" s="57"/>
      <c r="B233" s="59"/>
      <c r="C233" s="54"/>
      <c r="D233" s="14"/>
      <c r="E233" s="14"/>
      <c r="F233" s="14"/>
      <c r="G233" s="14"/>
      <c r="H233" s="14"/>
      <c r="I233" s="14"/>
      <c r="J233" s="14"/>
      <c r="K233" s="14"/>
      <c r="L233" s="14"/>
      <c r="M233" s="14"/>
      <c r="N233" s="14"/>
      <c r="O233" s="14"/>
      <c r="P233" s="14"/>
      <c r="Q233" s="15"/>
      <c r="R233" s="5"/>
      <c r="S233" s="5"/>
      <c r="T233" s="5"/>
      <c r="U233" s="5"/>
      <c r="V233" s="5"/>
      <c r="W233" s="5"/>
      <c r="X233" s="5"/>
      <c r="Y233" s="5"/>
      <c r="Z233" s="5"/>
      <c r="AA233" s="5"/>
      <c r="AB233" s="5"/>
      <c r="AC233" s="5"/>
      <c r="AD233" s="5"/>
    </row>
    <row r="234">
      <c r="A234" s="55"/>
      <c r="B234" s="56"/>
      <c r="C234" s="52"/>
      <c r="D234" s="9"/>
      <c r="E234" s="9"/>
      <c r="F234" s="9"/>
      <c r="G234" s="9"/>
      <c r="H234" s="9"/>
      <c r="I234" s="9"/>
      <c r="J234" s="9"/>
      <c r="K234" s="9"/>
      <c r="L234" s="9"/>
      <c r="M234" s="9"/>
      <c r="N234" s="9"/>
      <c r="O234" s="9"/>
      <c r="P234" s="9"/>
      <c r="Q234" s="10"/>
      <c r="R234" s="5"/>
      <c r="S234" s="5"/>
      <c r="T234" s="5"/>
      <c r="U234" s="5"/>
      <c r="V234" s="5"/>
      <c r="W234" s="5"/>
      <c r="X234" s="5"/>
      <c r="Y234" s="5"/>
      <c r="Z234" s="5"/>
      <c r="AA234" s="5"/>
      <c r="AB234" s="5"/>
      <c r="AC234" s="5"/>
      <c r="AD234" s="5"/>
    </row>
    <row r="235">
      <c r="A235" s="57"/>
      <c r="B235" s="59"/>
      <c r="C235" s="54"/>
      <c r="D235" s="14"/>
      <c r="E235" s="14"/>
      <c r="F235" s="14"/>
      <c r="G235" s="14"/>
      <c r="H235" s="14"/>
      <c r="I235" s="14"/>
      <c r="J235" s="14"/>
      <c r="K235" s="14"/>
      <c r="L235" s="14"/>
      <c r="M235" s="14"/>
      <c r="N235" s="14"/>
      <c r="O235" s="14"/>
      <c r="P235" s="14"/>
      <c r="Q235" s="15"/>
      <c r="R235" s="5"/>
      <c r="S235" s="5"/>
      <c r="T235" s="5"/>
      <c r="U235" s="5"/>
      <c r="V235" s="5"/>
      <c r="W235" s="5"/>
      <c r="X235" s="5"/>
      <c r="Y235" s="5"/>
      <c r="Z235" s="5"/>
      <c r="AA235" s="5"/>
      <c r="AB235" s="5"/>
      <c r="AC235" s="5"/>
      <c r="AD235" s="5"/>
    </row>
    <row r="236">
      <c r="A236" s="55"/>
      <c r="B236" s="56"/>
      <c r="C236" s="52"/>
      <c r="D236" s="9"/>
      <c r="E236" s="9"/>
      <c r="F236" s="9"/>
      <c r="G236" s="9"/>
      <c r="H236" s="9"/>
      <c r="I236" s="9"/>
      <c r="J236" s="9"/>
      <c r="K236" s="9"/>
      <c r="L236" s="9"/>
      <c r="M236" s="9"/>
      <c r="N236" s="9"/>
      <c r="O236" s="9"/>
      <c r="P236" s="9"/>
      <c r="Q236" s="10"/>
      <c r="R236" s="5"/>
      <c r="S236" s="5"/>
      <c r="T236" s="5"/>
      <c r="U236" s="5"/>
      <c r="V236" s="5"/>
      <c r="W236" s="5"/>
      <c r="X236" s="5"/>
      <c r="Y236" s="5"/>
      <c r="Z236" s="5"/>
      <c r="AA236" s="5"/>
      <c r="AB236" s="5"/>
      <c r="AC236" s="5"/>
      <c r="AD236" s="5"/>
    </row>
    <row r="237">
      <c r="A237" s="57"/>
      <c r="B237" s="59"/>
      <c r="C237" s="54"/>
      <c r="D237" s="14"/>
      <c r="E237" s="14"/>
      <c r="F237" s="14"/>
      <c r="G237" s="14"/>
      <c r="H237" s="14"/>
      <c r="I237" s="14"/>
      <c r="J237" s="14"/>
      <c r="K237" s="14"/>
      <c r="L237" s="14"/>
      <c r="M237" s="14"/>
      <c r="N237" s="14"/>
      <c r="O237" s="14"/>
      <c r="P237" s="14"/>
      <c r="Q237" s="15"/>
      <c r="R237" s="5"/>
      <c r="S237" s="5"/>
      <c r="T237" s="5"/>
      <c r="U237" s="5"/>
      <c r="V237" s="5"/>
      <c r="W237" s="5"/>
      <c r="X237" s="5"/>
      <c r="Y237" s="5"/>
      <c r="Z237" s="5"/>
      <c r="AA237" s="5"/>
      <c r="AB237" s="5"/>
      <c r="AC237" s="5"/>
      <c r="AD237" s="5"/>
    </row>
    <row r="238">
      <c r="A238" s="55"/>
      <c r="B238" s="56"/>
      <c r="C238" s="52"/>
      <c r="D238" s="9"/>
      <c r="E238" s="9"/>
      <c r="F238" s="9"/>
      <c r="G238" s="9"/>
      <c r="H238" s="9"/>
      <c r="I238" s="9"/>
      <c r="J238" s="9"/>
      <c r="K238" s="9"/>
      <c r="L238" s="9"/>
      <c r="M238" s="9"/>
      <c r="N238" s="9"/>
      <c r="O238" s="9"/>
      <c r="P238" s="9"/>
      <c r="Q238" s="10"/>
      <c r="R238" s="5"/>
      <c r="S238" s="5"/>
      <c r="T238" s="5"/>
      <c r="U238" s="5"/>
      <c r="V238" s="5"/>
      <c r="W238" s="5"/>
      <c r="X238" s="5"/>
      <c r="Y238" s="5"/>
      <c r="Z238" s="5"/>
      <c r="AA238" s="5"/>
      <c r="AB238" s="5"/>
      <c r="AC238" s="5"/>
      <c r="AD238" s="5"/>
    </row>
    <row r="239">
      <c r="A239" s="57"/>
      <c r="B239" s="59"/>
      <c r="C239" s="54"/>
      <c r="D239" s="14"/>
      <c r="E239" s="14"/>
      <c r="F239" s="14"/>
      <c r="G239" s="14"/>
      <c r="H239" s="14"/>
      <c r="I239" s="14"/>
      <c r="J239" s="14"/>
      <c r="K239" s="14"/>
      <c r="L239" s="14"/>
      <c r="M239" s="14"/>
      <c r="N239" s="14"/>
      <c r="O239" s="14"/>
      <c r="P239" s="14"/>
      <c r="Q239" s="15"/>
      <c r="R239" s="5"/>
      <c r="S239" s="5"/>
      <c r="T239" s="5"/>
      <c r="U239" s="5"/>
      <c r="V239" s="5"/>
      <c r="W239" s="5"/>
      <c r="X239" s="5"/>
      <c r="Y239" s="5"/>
      <c r="Z239" s="5"/>
      <c r="AA239" s="5"/>
      <c r="AB239" s="5"/>
      <c r="AC239" s="5"/>
      <c r="AD239" s="5"/>
    </row>
    <row r="240">
      <c r="A240" s="55"/>
      <c r="B240" s="56"/>
      <c r="C240" s="52"/>
      <c r="D240" s="9"/>
      <c r="E240" s="9"/>
      <c r="F240" s="9"/>
      <c r="G240" s="9"/>
      <c r="H240" s="9"/>
      <c r="I240" s="9"/>
      <c r="J240" s="9"/>
      <c r="K240" s="9"/>
      <c r="L240" s="9"/>
      <c r="M240" s="9"/>
      <c r="N240" s="9"/>
      <c r="O240" s="9"/>
      <c r="P240" s="9"/>
      <c r="Q240" s="10"/>
      <c r="R240" s="5"/>
      <c r="S240" s="5"/>
      <c r="T240" s="5"/>
      <c r="U240" s="5"/>
      <c r="V240" s="5"/>
      <c r="W240" s="5"/>
      <c r="X240" s="5"/>
      <c r="Y240" s="5"/>
      <c r="Z240" s="5"/>
      <c r="AA240" s="5"/>
      <c r="AB240" s="5"/>
      <c r="AC240" s="5"/>
      <c r="AD240" s="5"/>
    </row>
    <row r="241">
      <c r="A241" s="57"/>
      <c r="B241" s="59"/>
      <c r="C241" s="54"/>
      <c r="D241" s="14"/>
      <c r="E241" s="14"/>
      <c r="F241" s="14"/>
      <c r="G241" s="14"/>
      <c r="H241" s="14"/>
      <c r="I241" s="14"/>
      <c r="J241" s="14"/>
      <c r="K241" s="14"/>
      <c r="L241" s="14"/>
      <c r="M241" s="14"/>
      <c r="N241" s="14"/>
      <c r="O241" s="14"/>
      <c r="P241" s="14"/>
      <c r="Q241" s="15"/>
      <c r="R241" s="5"/>
      <c r="S241" s="5"/>
      <c r="T241" s="5"/>
      <c r="U241" s="5"/>
      <c r="V241" s="5"/>
      <c r="W241" s="5"/>
      <c r="X241" s="5"/>
      <c r="Y241" s="5"/>
      <c r="Z241" s="5"/>
      <c r="AA241" s="5"/>
      <c r="AB241" s="5"/>
      <c r="AC241" s="5"/>
      <c r="AD241" s="5"/>
    </row>
    <row r="242">
      <c r="A242" s="55"/>
      <c r="B242" s="56"/>
      <c r="C242" s="52"/>
      <c r="D242" s="9"/>
      <c r="E242" s="9"/>
      <c r="F242" s="9"/>
      <c r="G242" s="9"/>
      <c r="H242" s="9"/>
      <c r="I242" s="9"/>
      <c r="J242" s="9"/>
      <c r="K242" s="9"/>
      <c r="L242" s="9"/>
      <c r="M242" s="9"/>
      <c r="N242" s="9"/>
      <c r="O242" s="9"/>
      <c r="P242" s="9"/>
      <c r="Q242" s="10"/>
      <c r="R242" s="5"/>
      <c r="S242" s="5"/>
      <c r="T242" s="5"/>
      <c r="U242" s="5"/>
      <c r="V242" s="5"/>
      <c r="W242" s="5"/>
      <c r="X242" s="5"/>
      <c r="Y242" s="5"/>
      <c r="Z242" s="5"/>
      <c r="AA242" s="5"/>
      <c r="AB242" s="5"/>
      <c r="AC242" s="5"/>
      <c r="AD242" s="5"/>
    </row>
    <row r="243">
      <c r="A243" s="57"/>
      <c r="B243" s="59"/>
      <c r="C243" s="54"/>
      <c r="D243" s="14"/>
      <c r="E243" s="14"/>
      <c r="F243" s="14"/>
      <c r="G243" s="14"/>
      <c r="H243" s="14"/>
      <c r="I243" s="14"/>
      <c r="J243" s="14"/>
      <c r="K243" s="14"/>
      <c r="L243" s="14"/>
      <c r="M243" s="14"/>
      <c r="N243" s="14"/>
      <c r="O243" s="14"/>
      <c r="P243" s="14"/>
      <c r="Q243" s="15"/>
      <c r="R243" s="5"/>
      <c r="S243" s="5"/>
      <c r="T243" s="5"/>
      <c r="U243" s="5"/>
      <c r="V243" s="5"/>
      <c r="W243" s="5"/>
      <c r="X243" s="5"/>
      <c r="Y243" s="5"/>
      <c r="Z243" s="5"/>
      <c r="AA243" s="5"/>
      <c r="AB243" s="5"/>
      <c r="AC243" s="5"/>
      <c r="AD243" s="5"/>
    </row>
    <row r="244">
      <c r="A244" s="55"/>
      <c r="B244" s="56"/>
      <c r="C244" s="52"/>
      <c r="D244" s="9"/>
      <c r="E244" s="9"/>
      <c r="F244" s="9"/>
      <c r="G244" s="9"/>
      <c r="H244" s="9"/>
      <c r="I244" s="9"/>
      <c r="J244" s="9"/>
      <c r="K244" s="9"/>
      <c r="L244" s="9"/>
      <c r="M244" s="9"/>
      <c r="N244" s="9"/>
      <c r="O244" s="9"/>
      <c r="P244" s="9"/>
      <c r="Q244" s="10"/>
      <c r="R244" s="5"/>
      <c r="S244" s="5"/>
      <c r="T244" s="5"/>
      <c r="U244" s="5"/>
      <c r="V244" s="5"/>
      <c r="W244" s="5"/>
      <c r="X244" s="5"/>
      <c r="Y244" s="5"/>
      <c r="Z244" s="5"/>
      <c r="AA244" s="5"/>
      <c r="AB244" s="5"/>
      <c r="AC244" s="5"/>
      <c r="AD244" s="5"/>
    </row>
    <row r="245">
      <c r="A245" s="57"/>
      <c r="B245" s="59"/>
      <c r="C245" s="54"/>
      <c r="D245" s="14"/>
      <c r="E245" s="14"/>
      <c r="F245" s="14"/>
      <c r="G245" s="14"/>
      <c r="H245" s="14"/>
      <c r="I245" s="14"/>
      <c r="J245" s="14"/>
      <c r="K245" s="14"/>
      <c r="L245" s="14"/>
      <c r="M245" s="14"/>
      <c r="N245" s="14"/>
      <c r="O245" s="14"/>
      <c r="P245" s="14"/>
      <c r="Q245" s="15"/>
      <c r="R245" s="5"/>
      <c r="S245" s="5"/>
      <c r="T245" s="5"/>
      <c r="U245" s="5"/>
      <c r="V245" s="5"/>
      <c r="W245" s="5"/>
      <c r="X245" s="5"/>
      <c r="Y245" s="5"/>
      <c r="Z245" s="5"/>
      <c r="AA245" s="5"/>
      <c r="AB245" s="5"/>
      <c r="AC245" s="5"/>
      <c r="AD245" s="5"/>
    </row>
    <row r="246">
      <c r="A246" s="55"/>
      <c r="B246" s="56"/>
      <c r="C246" s="52"/>
      <c r="D246" s="9"/>
      <c r="E246" s="9"/>
      <c r="F246" s="9"/>
      <c r="G246" s="9"/>
      <c r="H246" s="9"/>
      <c r="I246" s="9"/>
      <c r="J246" s="9"/>
      <c r="K246" s="9"/>
      <c r="L246" s="9"/>
      <c r="M246" s="9"/>
      <c r="N246" s="9"/>
      <c r="O246" s="9"/>
      <c r="P246" s="9"/>
      <c r="Q246" s="10"/>
      <c r="R246" s="5"/>
      <c r="S246" s="5"/>
      <c r="T246" s="5"/>
      <c r="U246" s="5"/>
      <c r="V246" s="5"/>
      <c r="W246" s="5"/>
      <c r="X246" s="5"/>
      <c r="Y246" s="5"/>
      <c r="Z246" s="5"/>
      <c r="AA246" s="5"/>
      <c r="AB246" s="5"/>
      <c r="AC246" s="5"/>
      <c r="AD246" s="5"/>
    </row>
    <row r="247">
      <c r="A247" s="57"/>
      <c r="B247" s="59"/>
      <c r="C247" s="54"/>
      <c r="D247" s="14"/>
      <c r="E247" s="14"/>
      <c r="F247" s="14"/>
      <c r="G247" s="14"/>
      <c r="H247" s="14"/>
      <c r="I247" s="14"/>
      <c r="J247" s="14"/>
      <c r="K247" s="14"/>
      <c r="L247" s="14"/>
      <c r="M247" s="14"/>
      <c r="N247" s="14"/>
      <c r="O247" s="14"/>
      <c r="P247" s="14"/>
      <c r="Q247" s="15"/>
      <c r="R247" s="5"/>
      <c r="S247" s="5"/>
      <c r="T247" s="5"/>
      <c r="U247" s="5"/>
      <c r="V247" s="5"/>
      <c r="W247" s="5"/>
      <c r="X247" s="5"/>
      <c r="Y247" s="5"/>
      <c r="Z247" s="5"/>
      <c r="AA247" s="5"/>
      <c r="AB247" s="5"/>
      <c r="AC247" s="5"/>
      <c r="AD247" s="5"/>
    </row>
    <row r="248">
      <c r="A248" s="55"/>
      <c r="B248" s="56"/>
      <c r="C248" s="52"/>
      <c r="D248" s="9"/>
      <c r="E248" s="9"/>
      <c r="F248" s="9"/>
      <c r="G248" s="9"/>
      <c r="H248" s="9"/>
      <c r="I248" s="9"/>
      <c r="J248" s="9"/>
      <c r="K248" s="9"/>
      <c r="L248" s="9"/>
      <c r="M248" s="9"/>
      <c r="N248" s="9"/>
      <c r="O248" s="9"/>
      <c r="P248" s="9"/>
      <c r="Q248" s="10"/>
      <c r="R248" s="5"/>
      <c r="S248" s="5"/>
      <c r="T248" s="5"/>
      <c r="U248" s="5"/>
      <c r="V248" s="5"/>
      <c r="W248" s="5"/>
      <c r="X248" s="5"/>
      <c r="Y248" s="5"/>
      <c r="Z248" s="5"/>
      <c r="AA248" s="5"/>
      <c r="AB248" s="5"/>
      <c r="AC248" s="5"/>
      <c r="AD248" s="5"/>
    </row>
    <row r="249">
      <c r="A249" s="57"/>
      <c r="B249" s="59"/>
      <c r="C249" s="54"/>
      <c r="D249" s="14"/>
      <c r="E249" s="14"/>
      <c r="F249" s="14"/>
      <c r="G249" s="14"/>
      <c r="H249" s="14"/>
      <c r="I249" s="14"/>
      <c r="J249" s="14"/>
      <c r="K249" s="14"/>
      <c r="L249" s="14"/>
      <c r="M249" s="14"/>
      <c r="N249" s="14"/>
      <c r="O249" s="14"/>
      <c r="P249" s="14"/>
      <c r="Q249" s="15"/>
      <c r="R249" s="5"/>
      <c r="S249" s="5"/>
      <c r="T249" s="5"/>
      <c r="U249" s="5"/>
      <c r="V249" s="5"/>
      <c r="W249" s="5"/>
      <c r="X249" s="5"/>
      <c r="Y249" s="5"/>
      <c r="Z249" s="5"/>
      <c r="AA249" s="5"/>
      <c r="AB249" s="5"/>
      <c r="AC249" s="5"/>
      <c r="AD249" s="5"/>
    </row>
    <row r="250">
      <c r="A250" s="55"/>
      <c r="B250" s="56"/>
      <c r="C250" s="52"/>
      <c r="D250" s="9"/>
      <c r="E250" s="9"/>
      <c r="F250" s="9"/>
      <c r="G250" s="9"/>
      <c r="H250" s="9"/>
      <c r="I250" s="9"/>
      <c r="J250" s="9"/>
      <c r="K250" s="9"/>
      <c r="L250" s="9"/>
      <c r="M250" s="9"/>
      <c r="N250" s="9"/>
      <c r="O250" s="9"/>
      <c r="P250" s="9"/>
      <c r="Q250" s="10"/>
      <c r="R250" s="5"/>
      <c r="S250" s="5"/>
      <c r="T250" s="5"/>
      <c r="U250" s="5"/>
      <c r="V250" s="5"/>
      <c r="W250" s="5"/>
      <c r="X250" s="5"/>
      <c r="Y250" s="5"/>
      <c r="Z250" s="5"/>
      <c r="AA250" s="5"/>
      <c r="AB250" s="5"/>
      <c r="AC250" s="5"/>
      <c r="AD250" s="5"/>
    </row>
    <row r="251">
      <c r="A251" s="57"/>
      <c r="B251" s="59"/>
      <c r="C251" s="54"/>
      <c r="D251" s="14"/>
      <c r="E251" s="14"/>
      <c r="F251" s="14"/>
      <c r="G251" s="14"/>
      <c r="H251" s="14"/>
      <c r="I251" s="14"/>
      <c r="J251" s="14"/>
      <c r="K251" s="14"/>
      <c r="L251" s="14"/>
      <c r="M251" s="14"/>
      <c r="N251" s="14"/>
      <c r="O251" s="14"/>
      <c r="P251" s="14"/>
      <c r="Q251" s="15"/>
      <c r="R251" s="5"/>
      <c r="S251" s="5"/>
      <c r="T251" s="5"/>
      <c r="U251" s="5"/>
      <c r="V251" s="5"/>
      <c r="W251" s="5"/>
      <c r="X251" s="5"/>
      <c r="Y251" s="5"/>
      <c r="Z251" s="5"/>
      <c r="AA251" s="5"/>
      <c r="AB251" s="5"/>
      <c r="AC251" s="5"/>
      <c r="AD251" s="5"/>
    </row>
    <row r="252">
      <c r="A252" s="55"/>
      <c r="B252" s="56"/>
      <c r="C252" s="52"/>
      <c r="D252" s="9"/>
      <c r="E252" s="9"/>
      <c r="F252" s="9"/>
      <c r="G252" s="9"/>
      <c r="H252" s="9"/>
      <c r="I252" s="9"/>
      <c r="J252" s="9"/>
      <c r="K252" s="9"/>
      <c r="L252" s="9"/>
      <c r="M252" s="9"/>
      <c r="N252" s="9"/>
      <c r="O252" s="9"/>
      <c r="P252" s="9"/>
      <c r="Q252" s="10"/>
      <c r="R252" s="5"/>
      <c r="S252" s="5"/>
      <c r="T252" s="5"/>
      <c r="U252" s="5"/>
      <c r="V252" s="5"/>
      <c r="W252" s="5"/>
      <c r="X252" s="5"/>
      <c r="Y252" s="5"/>
      <c r="Z252" s="5"/>
      <c r="AA252" s="5"/>
      <c r="AB252" s="5"/>
      <c r="AC252" s="5"/>
      <c r="AD252" s="5"/>
    </row>
    <row r="253">
      <c r="A253" s="57"/>
      <c r="B253" s="59"/>
      <c r="C253" s="54"/>
      <c r="D253" s="14"/>
      <c r="E253" s="14"/>
      <c r="F253" s="14"/>
      <c r="G253" s="14"/>
      <c r="H253" s="14"/>
      <c r="I253" s="14"/>
      <c r="J253" s="14"/>
      <c r="K253" s="14"/>
      <c r="L253" s="14"/>
      <c r="M253" s="14"/>
      <c r="N253" s="14"/>
      <c r="O253" s="14"/>
      <c r="P253" s="14"/>
      <c r="Q253" s="15"/>
      <c r="R253" s="5"/>
      <c r="S253" s="5"/>
      <c r="T253" s="5"/>
      <c r="U253" s="5"/>
      <c r="V253" s="5"/>
      <c r="W253" s="5"/>
      <c r="X253" s="5"/>
      <c r="Y253" s="5"/>
      <c r="Z253" s="5"/>
      <c r="AA253" s="5"/>
      <c r="AB253" s="5"/>
      <c r="AC253" s="5"/>
      <c r="AD253" s="5"/>
    </row>
    <row r="254">
      <c r="A254" s="55"/>
      <c r="B254" s="56"/>
      <c r="C254" s="52"/>
      <c r="D254" s="9"/>
      <c r="E254" s="9"/>
      <c r="F254" s="9"/>
      <c r="G254" s="9"/>
      <c r="H254" s="9"/>
      <c r="I254" s="9"/>
      <c r="J254" s="9"/>
      <c r="K254" s="9"/>
      <c r="L254" s="9"/>
      <c r="M254" s="9"/>
      <c r="N254" s="9"/>
      <c r="O254" s="9"/>
      <c r="P254" s="9"/>
      <c r="Q254" s="10"/>
      <c r="R254" s="5"/>
      <c r="S254" s="5"/>
      <c r="T254" s="5"/>
      <c r="U254" s="5"/>
      <c r="V254" s="5"/>
      <c r="W254" s="5"/>
      <c r="X254" s="5"/>
      <c r="Y254" s="5"/>
      <c r="Z254" s="5"/>
      <c r="AA254" s="5"/>
      <c r="AB254" s="5"/>
      <c r="AC254" s="5"/>
      <c r="AD254" s="5"/>
    </row>
    <row r="255">
      <c r="A255" s="57"/>
      <c r="B255" s="59"/>
      <c r="C255" s="54"/>
      <c r="D255" s="14"/>
      <c r="E255" s="14"/>
      <c r="F255" s="14"/>
      <c r="G255" s="14"/>
      <c r="H255" s="14"/>
      <c r="I255" s="14"/>
      <c r="J255" s="14"/>
      <c r="K255" s="14"/>
      <c r="L255" s="14"/>
      <c r="M255" s="14"/>
      <c r="N255" s="14"/>
      <c r="O255" s="14"/>
      <c r="P255" s="14"/>
      <c r="Q255" s="15"/>
      <c r="R255" s="5"/>
      <c r="S255" s="5"/>
      <c r="T255" s="5"/>
      <c r="U255" s="5"/>
      <c r="V255" s="5"/>
      <c r="W255" s="5"/>
      <c r="X255" s="5"/>
      <c r="Y255" s="5"/>
      <c r="Z255" s="5"/>
      <c r="AA255" s="5"/>
      <c r="AB255" s="5"/>
      <c r="AC255" s="5"/>
      <c r="AD255" s="5"/>
    </row>
    <row r="256">
      <c r="A256" s="55"/>
      <c r="B256" s="56"/>
      <c r="C256" s="52"/>
      <c r="D256" s="9"/>
      <c r="E256" s="9"/>
      <c r="F256" s="9"/>
      <c r="G256" s="9"/>
      <c r="H256" s="9"/>
      <c r="I256" s="9"/>
      <c r="J256" s="9"/>
      <c r="K256" s="9"/>
      <c r="L256" s="9"/>
      <c r="M256" s="9"/>
      <c r="N256" s="9"/>
      <c r="O256" s="9"/>
      <c r="P256" s="9"/>
      <c r="Q256" s="10"/>
      <c r="R256" s="5"/>
      <c r="S256" s="5"/>
      <c r="T256" s="5"/>
      <c r="U256" s="5"/>
      <c r="V256" s="5"/>
      <c r="W256" s="5"/>
      <c r="X256" s="5"/>
      <c r="Y256" s="5"/>
      <c r="Z256" s="5"/>
      <c r="AA256" s="5"/>
      <c r="AB256" s="5"/>
      <c r="AC256" s="5"/>
      <c r="AD256" s="5"/>
    </row>
    <row r="257">
      <c r="A257" s="57"/>
      <c r="B257" s="59"/>
      <c r="C257" s="54"/>
      <c r="D257" s="14"/>
      <c r="E257" s="14"/>
      <c r="F257" s="14"/>
      <c r="G257" s="14"/>
      <c r="H257" s="14"/>
      <c r="I257" s="14"/>
      <c r="J257" s="14"/>
      <c r="K257" s="14"/>
      <c r="L257" s="14"/>
      <c r="M257" s="14"/>
      <c r="N257" s="14"/>
      <c r="O257" s="14"/>
      <c r="P257" s="14"/>
      <c r="Q257" s="15"/>
      <c r="R257" s="5"/>
      <c r="S257" s="5"/>
      <c r="T257" s="5"/>
      <c r="U257" s="5"/>
      <c r="V257" s="5"/>
      <c r="W257" s="5"/>
      <c r="X257" s="5"/>
      <c r="Y257" s="5"/>
      <c r="Z257" s="5"/>
      <c r="AA257" s="5"/>
      <c r="AB257" s="5"/>
      <c r="AC257" s="5"/>
      <c r="AD257" s="5"/>
    </row>
    <row r="258">
      <c r="A258" s="55"/>
      <c r="B258" s="56"/>
      <c r="C258" s="52"/>
      <c r="D258" s="9"/>
      <c r="E258" s="9"/>
      <c r="F258" s="9"/>
      <c r="G258" s="9"/>
      <c r="H258" s="9"/>
      <c r="I258" s="9"/>
      <c r="J258" s="9"/>
      <c r="K258" s="9"/>
      <c r="L258" s="9"/>
      <c r="M258" s="9"/>
      <c r="N258" s="9"/>
      <c r="O258" s="9"/>
      <c r="P258" s="9"/>
      <c r="Q258" s="10"/>
      <c r="R258" s="5"/>
      <c r="S258" s="5"/>
      <c r="T258" s="5"/>
      <c r="U258" s="5"/>
      <c r="V258" s="5"/>
      <c r="W258" s="5"/>
      <c r="X258" s="5"/>
      <c r="Y258" s="5"/>
      <c r="Z258" s="5"/>
      <c r="AA258" s="5"/>
      <c r="AB258" s="5"/>
      <c r="AC258" s="5"/>
      <c r="AD258" s="5"/>
    </row>
    <row r="259">
      <c r="A259" s="57"/>
      <c r="B259" s="59"/>
      <c r="C259" s="54"/>
      <c r="D259" s="14"/>
      <c r="E259" s="14"/>
      <c r="F259" s="14"/>
      <c r="G259" s="14"/>
      <c r="H259" s="14"/>
      <c r="I259" s="14"/>
      <c r="J259" s="14"/>
      <c r="K259" s="14"/>
      <c r="L259" s="14"/>
      <c r="M259" s="14"/>
      <c r="N259" s="14"/>
      <c r="O259" s="14"/>
      <c r="P259" s="14"/>
      <c r="Q259" s="15"/>
      <c r="R259" s="5"/>
      <c r="S259" s="5"/>
      <c r="T259" s="5"/>
      <c r="U259" s="5"/>
      <c r="V259" s="5"/>
      <c r="W259" s="5"/>
      <c r="X259" s="5"/>
      <c r="Y259" s="5"/>
      <c r="Z259" s="5"/>
      <c r="AA259" s="5"/>
      <c r="AB259" s="5"/>
      <c r="AC259" s="5"/>
      <c r="AD259" s="5"/>
    </row>
    <row r="260">
      <c r="A260" s="55"/>
      <c r="B260" s="56"/>
      <c r="C260" s="52"/>
      <c r="D260" s="9"/>
      <c r="E260" s="9"/>
      <c r="F260" s="9"/>
      <c r="G260" s="9"/>
      <c r="H260" s="9"/>
      <c r="I260" s="9"/>
      <c r="J260" s="9"/>
      <c r="K260" s="9"/>
      <c r="L260" s="9"/>
      <c r="M260" s="9"/>
      <c r="N260" s="9"/>
      <c r="O260" s="9"/>
      <c r="P260" s="9"/>
      <c r="Q260" s="10"/>
      <c r="R260" s="5"/>
      <c r="S260" s="5"/>
      <c r="T260" s="5"/>
      <c r="U260" s="5"/>
      <c r="V260" s="5"/>
      <c r="W260" s="5"/>
      <c r="X260" s="5"/>
      <c r="Y260" s="5"/>
      <c r="Z260" s="5"/>
      <c r="AA260" s="5"/>
      <c r="AB260" s="5"/>
      <c r="AC260" s="5"/>
      <c r="AD260" s="5"/>
    </row>
    <row r="261">
      <c r="A261" s="57"/>
      <c r="B261" s="59"/>
      <c r="C261" s="54"/>
      <c r="D261" s="14"/>
      <c r="E261" s="14"/>
      <c r="F261" s="14"/>
      <c r="G261" s="14"/>
      <c r="H261" s="14"/>
      <c r="I261" s="14"/>
      <c r="J261" s="14"/>
      <c r="K261" s="14"/>
      <c r="L261" s="14"/>
      <c r="M261" s="14"/>
      <c r="N261" s="14"/>
      <c r="O261" s="14"/>
      <c r="P261" s="14"/>
      <c r="Q261" s="15"/>
      <c r="R261" s="5"/>
      <c r="S261" s="5"/>
      <c r="T261" s="5"/>
      <c r="U261" s="5"/>
      <c r="V261" s="5"/>
      <c r="W261" s="5"/>
      <c r="X261" s="5"/>
      <c r="Y261" s="5"/>
      <c r="Z261" s="5"/>
      <c r="AA261" s="5"/>
      <c r="AB261" s="5"/>
      <c r="AC261" s="5"/>
      <c r="AD261" s="5"/>
    </row>
    <row r="262">
      <c r="A262" s="55"/>
      <c r="B262" s="56"/>
      <c r="C262" s="52"/>
      <c r="D262" s="9"/>
      <c r="E262" s="9"/>
      <c r="F262" s="9"/>
      <c r="G262" s="9"/>
      <c r="H262" s="9"/>
      <c r="I262" s="9"/>
      <c r="J262" s="9"/>
      <c r="K262" s="9"/>
      <c r="L262" s="9"/>
      <c r="M262" s="9"/>
      <c r="N262" s="9"/>
      <c r="O262" s="9"/>
      <c r="P262" s="9"/>
      <c r="Q262" s="10"/>
      <c r="R262" s="5"/>
      <c r="S262" s="5"/>
      <c r="T262" s="5"/>
      <c r="U262" s="5"/>
      <c r="V262" s="5"/>
      <c r="W262" s="5"/>
      <c r="X262" s="5"/>
      <c r="Y262" s="5"/>
      <c r="Z262" s="5"/>
      <c r="AA262" s="5"/>
      <c r="AB262" s="5"/>
      <c r="AC262" s="5"/>
      <c r="AD262" s="5"/>
    </row>
    <row r="263">
      <c r="A263" s="57"/>
      <c r="B263" s="59"/>
      <c r="C263" s="54"/>
      <c r="D263" s="14"/>
      <c r="E263" s="14"/>
      <c r="F263" s="14"/>
      <c r="G263" s="14"/>
      <c r="H263" s="14"/>
      <c r="I263" s="14"/>
      <c r="J263" s="14"/>
      <c r="K263" s="14"/>
      <c r="L263" s="14"/>
      <c r="M263" s="14"/>
      <c r="N263" s="14"/>
      <c r="O263" s="14"/>
      <c r="P263" s="14"/>
      <c r="Q263" s="15"/>
      <c r="R263" s="5"/>
      <c r="S263" s="5"/>
      <c r="T263" s="5"/>
      <c r="U263" s="5"/>
      <c r="V263" s="5"/>
      <c r="W263" s="5"/>
      <c r="X263" s="5"/>
      <c r="Y263" s="5"/>
      <c r="Z263" s="5"/>
      <c r="AA263" s="5"/>
      <c r="AB263" s="5"/>
      <c r="AC263" s="5"/>
      <c r="AD263" s="5"/>
    </row>
    <row r="264">
      <c r="A264" s="55"/>
      <c r="B264" s="56"/>
      <c r="C264" s="52"/>
      <c r="D264" s="9"/>
      <c r="E264" s="9"/>
      <c r="F264" s="9"/>
      <c r="G264" s="9"/>
      <c r="H264" s="9"/>
      <c r="I264" s="9"/>
      <c r="J264" s="9"/>
      <c r="K264" s="9"/>
      <c r="L264" s="9"/>
      <c r="M264" s="9"/>
      <c r="N264" s="9"/>
      <c r="O264" s="9"/>
      <c r="P264" s="9"/>
      <c r="Q264" s="10"/>
      <c r="R264" s="5"/>
      <c r="S264" s="5"/>
      <c r="T264" s="5"/>
      <c r="U264" s="5"/>
      <c r="V264" s="5"/>
      <c r="W264" s="5"/>
      <c r="X264" s="5"/>
      <c r="Y264" s="5"/>
      <c r="Z264" s="5"/>
      <c r="AA264" s="5"/>
      <c r="AB264" s="5"/>
      <c r="AC264" s="5"/>
      <c r="AD264" s="5"/>
    </row>
    <row r="265">
      <c r="A265" s="57"/>
      <c r="B265" s="59"/>
      <c r="C265" s="54"/>
      <c r="D265" s="14"/>
      <c r="E265" s="14"/>
      <c r="F265" s="14"/>
      <c r="G265" s="14"/>
      <c r="H265" s="14"/>
      <c r="I265" s="14"/>
      <c r="J265" s="14"/>
      <c r="K265" s="14"/>
      <c r="L265" s="14"/>
      <c r="M265" s="14"/>
      <c r="N265" s="14"/>
      <c r="O265" s="14"/>
      <c r="P265" s="14"/>
      <c r="Q265" s="15"/>
      <c r="R265" s="5"/>
      <c r="S265" s="5"/>
      <c r="T265" s="5"/>
      <c r="U265" s="5"/>
      <c r="V265" s="5"/>
      <c r="W265" s="5"/>
      <c r="X265" s="5"/>
      <c r="Y265" s="5"/>
      <c r="Z265" s="5"/>
      <c r="AA265" s="5"/>
      <c r="AB265" s="5"/>
      <c r="AC265" s="5"/>
      <c r="AD265" s="5"/>
    </row>
    <row r="266">
      <c r="A266" s="55"/>
      <c r="B266" s="56"/>
      <c r="C266" s="52"/>
      <c r="D266" s="9"/>
      <c r="E266" s="9"/>
      <c r="F266" s="9"/>
      <c r="G266" s="9"/>
      <c r="H266" s="9"/>
      <c r="I266" s="9"/>
      <c r="J266" s="9"/>
      <c r="K266" s="9"/>
      <c r="L266" s="9"/>
      <c r="M266" s="9"/>
      <c r="N266" s="9"/>
      <c r="O266" s="9"/>
      <c r="P266" s="9"/>
      <c r="Q266" s="10"/>
      <c r="R266" s="5"/>
      <c r="S266" s="5"/>
      <c r="T266" s="5"/>
      <c r="U266" s="5"/>
      <c r="V266" s="5"/>
      <c r="W266" s="5"/>
      <c r="X266" s="5"/>
      <c r="Y266" s="5"/>
      <c r="Z266" s="5"/>
      <c r="AA266" s="5"/>
      <c r="AB266" s="5"/>
      <c r="AC266" s="5"/>
      <c r="AD266" s="5"/>
    </row>
    <row r="267">
      <c r="A267" s="57"/>
      <c r="B267" s="59"/>
      <c r="C267" s="54"/>
      <c r="D267" s="14"/>
      <c r="E267" s="14"/>
      <c r="F267" s="14"/>
      <c r="G267" s="14"/>
      <c r="H267" s="14"/>
      <c r="I267" s="14"/>
      <c r="J267" s="14"/>
      <c r="K267" s="14"/>
      <c r="L267" s="14"/>
      <c r="M267" s="14"/>
      <c r="N267" s="14"/>
      <c r="O267" s="14"/>
      <c r="P267" s="14"/>
      <c r="Q267" s="15"/>
      <c r="R267" s="5"/>
      <c r="S267" s="5"/>
      <c r="T267" s="5"/>
      <c r="U267" s="5"/>
      <c r="V267" s="5"/>
      <c r="W267" s="5"/>
      <c r="X267" s="5"/>
      <c r="Y267" s="5"/>
      <c r="Z267" s="5"/>
      <c r="AA267" s="5"/>
      <c r="AB267" s="5"/>
      <c r="AC267" s="5"/>
      <c r="AD267" s="5"/>
    </row>
    <row r="268">
      <c r="A268" s="55"/>
      <c r="B268" s="56"/>
      <c r="C268" s="52"/>
      <c r="D268" s="9"/>
      <c r="E268" s="9"/>
      <c r="F268" s="9"/>
      <c r="G268" s="9"/>
      <c r="H268" s="9"/>
      <c r="I268" s="9"/>
      <c r="J268" s="9"/>
      <c r="K268" s="9"/>
      <c r="L268" s="9"/>
      <c r="M268" s="9"/>
      <c r="N268" s="9"/>
      <c r="O268" s="9"/>
      <c r="P268" s="9"/>
      <c r="Q268" s="10"/>
      <c r="R268" s="5"/>
      <c r="S268" s="5"/>
      <c r="T268" s="5"/>
      <c r="U268" s="5"/>
      <c r="V268" s="5"/>
      <c r="W268" s="5"/>
      <c r="X268" s="5"/>
      <c r="Y268" s="5"/>
      <c r="Z268" s="5"/>
      <c r="AA268" s="5"/>
      <c r="AB268" s="5"/>
      <c r="AC268" s="5"/>
      <c r="AD268" s="5"/>
    </row>
    <row r="269">
      <c r="A269" s="57"/>
      <c r="B269" s="59"/>
      <c r="C269" s="54"/>
      <c r="D269" s="14"/>
      <c r="E269" s="14"/>
      <c r="F269" s="14"/>
      <c r="G269" s="14"/>
      <c r="H269" s="14"/>
      <c r="I269" s="14"/>
      <c r="J269" s="14"/>
      <c r="K269" s="14"/>
      <c r="L269" s="14"/>
      <c r="M269" s="14"/>
      <c r="N269" s="14"/>
      <c r="O269" s="14"/>
      <c r="P269" s="14"/>
      <c r="Q269" s="15"/>
      <c r="R269" s="5"/>
      <c r="S269" s="5"/>
      <c r="T269" s="5"/>
      <c r="U269" s="5"/>
      <c r="V269" s="5"/>
      <c r="W269" s="5"/>
      <c r="X269" s="5"/>
      <c r="Y269" s="5"/>
      <c r="Z269" s="5"/>
      <c r="AA269" s="5"/>
      <c r="AB269" s="5"/>
      <c r="AC269" s="5"/>
      <c r="AD269" s="5"/>
    </row>
    <row r="270">
      <c r="A270" s="55"/>
      <c r="B270" s="56"/>
      <c r="C270" s="52"/>
      <c r="D270" s="9"/>
      <c r="E270" s="9"/>
      <c r="F270" s="9"/>
      <c r="G270" s="9"/>
      <c r="H270" s="9"/>
      <c r="I270" s="9"/>
      <c r="J270" s="9"/>
      <c r="K270" s="9"/>
      <c r="L270" s="9"/>
      <c r="M270" s="9"/>
      <c r="N270" s="9"/>
      <c r="O270" s="9"/>
      <c r="P270" s="9"/>
      <c r="Q270" s="10"/>
      <c r="R270" s="5"/>
      <c r="S270" s="5"/>
      <c r="T270" s="5"/>
      <c r="U270" s="5"/>
      <c r="V270" s="5"/>
      <c r="W270" s="5"/>
      <c r="X270" s="5"/>
      <c r="Y270" s="5"/>
      <c r="Z270" s="5"/>
      <c r="AA270" s="5"/>
      <c r="AB270" s="5"/>
      <c r="AC270" s="5"/>
      <c r="AD270" s="5"/>
    </row>
    <row r="271">
      <c r="A271" s="57"/>
      <c r="B271" s="59"/>
      <c r="C271" s="54"/>
      <c r="D271" s="14"/>
      <c r="E271" s="14"/>
      <c r="F271" s="14"/>
      <c r="G271" s="14"/>
      <c r="H271" s="14"/>
      <c r="I271" s="14"/>
      <c r="J271" s="14"/>
      <c r="K271" s="14"/>
      <c r="L271" s="14"/>
      <c r="M271" s="14"/>
      <c r="N271" s="14"/>
      <c r="O271" s="14"/>
      <c r="P271" s="14"/>
      <c r="Q271" s="15"/>
      <c r="R271" s="5"/>
      <c r="S271" s="5"/>
      <c r="T271" s="5"/>
      <c r="U271" s="5"/>
      <c r="V271" s="5"/>
      <c r="W271" s="5"/>
      <c r="X271" s="5"/>
      <c r="Y271" s="5"/>
      <c r="Z271" s="5"/>
      <c r="AA271" s="5"/>
      <c r="AB271" s="5"/>
      <c r="AC271" s="5"/>
      <c r="AD271" s="5"/>
    </row>
    <row r="272">
      <c r="A272" s="55"/>
      <c r="B272" s="56"/>
      <c r="C272" s="52"/>
      <c r="D272" s="9"/>
      <c r="E272" s="9"/>
      <c r="F272" s="9"/>
      <c r="G272" s="9"/>
      <c r="H272" s="9"/>
      <c r="I272" s="9"/>
      <c r="J272" s="9"/>
      <c r="K272" s="9"/>
      <c r="L272" s="9"/>
      <c r="M272" s="9"/>
      <c r="N272" s="9"/>
      <c r="O272" s="9"/>
      <c r="P272" s="9"/>
      <c r="Q272" s="10"/>
      <c r="R272" s="5"/>
      <c r="S272" s="5"/>
      <c r="T272" s="5"/>
      <c r="U272" s="5"/>
      <c r="V272" s="5"/>
      <c r="W272" s="5"/>
      <c r="X272" s="5"/>
      <c r="Y272" s="5"/>
      <c r="Z272" s="5"/>
      <c r="AA272" s="5"/>
      <c r="AB272" s="5"/>
      <c r="AC272" s="5"/>
      <c r="AD272" s="5"/>
    </row>
    <row r="273">
      <c r="A273" s="57"/>
      <c r="B273" s="59"/>
      <c r="C273" s="54"/>
      <c r="D273" s="14"/>
      <c r="E273" s="14"/>
      <c r="F273" s="14"/>
      <c r="G273" s="14"/>
      <c r="H273" s="14"/>
      <c r="I273" s="14"/>
      <c r="J273" s="14"/>
      <c r="K273" s="14"/>
      <c r="L273" s="14"/>
      <c r="M273" s="14"/>
      <c r="N273" s="14"/>
      <c r="O273" s="14"/>
      <c r="P273" s="14"/>
      <c r="Q273" s="15"/>
      <c r="R273" s="5"/>
      <c r="S273" s="5"/>
      <c r="T273" s="5"/>
      <c r="U273" s="5"/>
      <c r="V273" s="5"/>
      <c r="W273" s="5"/>
      <c r="X273" s="5"/>
      <c r="Y273" s="5"/>
      <c r="Z273" s="5"/>
      <c r="AA273" s="5"/>
      <c r="AB273" s="5"/>
      <c r="AC273" s="5"/>
      <c r="AD273" s="5"/>
    </row>
    <row r="274">
      <c r="A274" s="55"/>
      <c r="B274" s="56"/>
      <c r="C274" s="52"/>
      <c r="D274" s="9"/>
      <c r="E274" s="9"/>
      <c r="F274" s="9"/>
      <c r="G274" s="9"/>
      <c r="H274" s="9"/>
      <c r="I274" s="9"/>
      <c r="J274" s="9"/>
      <c r="K274" s="9"/>
      <c r="L274" s="9"/>
      <c r="M274" s="9"/>
      <c r="N274" s="9"/>
      <c r="O274" s="9"/>
      <c r="P274" s="9"/>
      <c r="Q274" s="10"/>
      <c r="R274" s="5"/>
      <c r="S274" s="5"/>
      <c r="T274" s="5"/>
      <c r="U274" s="5"/>
      <c r="V274" s="5"/>
      <c r="W274" s="5"/>
      <c r="X274" s="5"/>
      <c r="Y274" s="5"/>
      <c r="Z274" s="5"/>
      <c r="AA274" s="5"/>
      <c r="AB274" s="5"/>
      <c r="AC274" s="5"/>
      <c r="AD274" s="5"/>
    </row>
    <row r="275">
      <c r="A275" s="57"/>
      <c r="B275" s="59"/>
      <c r="C275" s="54"/>
      <c r="D275" s="14"/>
      <c r="E275" s="14"/>
      <c r="F275" s="14"/>
      <c r="G275" s="14"/>
      <c r="H275" s="14"/>
      <c r="I275" s="14"/>
      <c r="J275" s="14"/>
      <c r="K275" s="14"/>
      <c r="L275" s="14"/>
      <c r="M275" s="14"/>
      <c r="N275" s="14"/>
      <c r="O275" s="14"/>
      <c r="P275" s="14"/>
      <c r="Q275" s="15"/>
      <c r="R275" s="5"/>
      <c r="S275" s="5"/>
      <c r="T275" s="5"/>
      <c r="U275" s="5"/>
      <c r="V275" s="5"/>
      <c r="W275" s="5"/>
      <c r="X275" s="5"/>
      <c r="Y275" s="5"/>
      <c r="Z275" s="5"/>
      <c r="AA275" s="5"/>
      <c r="AB275" s="5"/>
      <c r="AC275" s="5"/>
      <c r="AD275" s="5"/>
    </row>
    <row r="276">
      <c r="A276" s="55"/>
      <c r="B276" s="56"/>
      <c r="C276" s="52"/>
      <c r="D276" s="9"/>
      <c r="E276" s="9"/>
      <c r="F276" s="9"/>
      <c r="G276" s="9"/>
      <c r="H276" s="9"/>
      <c r="I276" s="9"/>
      <c r="J276" s="9"/>
      <c r="K276" s="9"/>
      <c r="L276" s="9"/>
      <c r="M276" s="9"/>
      <c r="N276" s="9"/>
      <c r="O276" s="9"/>
      <c r="P276" s="9"/>
      <c r="Q276" s="10"/>
      <c r="R276" s="5"/>
      <c r="S276" s="5"/>
      <c r="T276" s="5"/>
      <c r="U276" s="5"/>
      <c r="V276" s="5"/>
      <c r="W276" s="5"/>
      <c r="X276" s="5"/>
      <c r="Y276" s="5"/>
      <c r="Z276" s="5"/>
      <c r="AA276" s="5"/>
      <c r="AB276" s="5"/>
      <c r="AC276" s="5"/>
      <c r="AD276" s="5"/>
    </row>
    <row r="277">
      <c r="A277" s="57"/>
      <c r="B277" s="59"/>
      <c r="C277" s="54"/>
      <c r="D277" s="14"/>
      <c r="E277" s="14"/>
      <c r="F277" s="14"/>
      <c r="G277" s="14"/>
      <c r="H277" s="14"/>
      <c r="I277" s="14"/>
      <c r="J277" s="14"/>
      <c r="K277" s="14"/>
      <c r="L277" s="14"/>
      <c r="M277" s="14"/>
      <c r="N277" s="14"/>
      <c r="O277" s="14"/>
      <c r="P277" s="14"/>
      <c r="Q277" s="15"/>
      <c r="R277" s="5"/>
      <c r="S277" s="5"/>
      <c r="T277" s="5"/>
      <c r="U277" s="5"/>
      <c r="V277" s="5"/>
      <c r="W277" s="5"/>
      <c r="X277" s="5"/>
      <c r="Y277" s="5"/>
      <c r="Z277" s="5"/>
      <c r="AA277" s="5"/>
      <c r="AB277" s="5"/>
      <c r="AC277" s="5"/>
      <c r="AD277" s="5"/>
    </row>
    <row r="278">
      <c r="A278" s="55"/>
      <c r="B278" s="56"/>
      <c r="C278" s="52"/>
      <c r="D278" s="9"/>
      <c r="E278" s="9"/>
      <c r="F278" s="9"/>
      <c r="G278" s="9"/>
      <c r="H278" s="9"/>
      <c r="I278" s="9"/>
      <c r="J278" s="9"/>
      <c r="K278" s="9"/>
      <c r="L278" s="9"/>
      <c r="M278" s="9"/>
      <c r="N278" s="9"/>
      <c r="O278" s="9"/>
      <c r="P278" s="9"/>
      <c r="Q278" s="10"/>
      <c r="R278" s="5"/>
      <c r="S278" s="5"/>
      <c r="T278" s="5"/>
      <c r="U278" s="5"/>
      <c r="V278" s="5"/>
      <c r="W278" s="5"/>
      <c r="X278" s="5"/>
      <c r="Y278" s="5"/>
      <c r="Z278" s="5"/>
      <c r="AA278" s="5"/>
      <c r="AB278" s="5"/>
      <c r="AC278" s="5"/>
      <c r="AD278" s="5"/>
    </row>
    <row r="279">
      <c r="A279" s="57"/>
      <c r="B279" s="59"/>
      <c r="C279" s="54"/>
      <c r="D279" s="14"/>
      <c r="E279" s="14"/>
      <c r="F279" s="14"/>
      <c r="G279" s="14"/>
      <c r="H279" s="14"/>
      <c r="I279" s="14"/>
      <c r="J279" s="14"/>
      <c r="K279" s="14"/>
      <c r="L279" s="14"/>
      <c r="M279" s="14"/>
      <c r="N279" s="14"/>
      <c r="O279" s="14"/>
      <c r="P279" s="14"/>
      <c r="Q279" s="15"/>
      <c r="R279" s="5"/>
      <c r="S279" s="5"/>
      <c r="T279" s="5"/>
      <c r="U279" s="5"/>
      <c r="V279" s="5"/>
      <c r="W279" s="5"/>
      <c r="X279" s="5"/>
      <c r="Y279" s="5"/>
      <c r="Z279" s="5"/>
      <c r="AA279" s="5"/>
      <c r="AB279" s="5"/>
      <c r="AC279" s="5"/>
      <c r="AD279" s="5"/>
    </row>
    <row r="280">
      <c r="A280" s="55"/>
      <c r="B280" s="56"/>
      <c r="C280" s="52"/>
      <c r="D280" s="9"/>
      <c r="E280" s="9"/>
      <c r="F280" s="9"/>
      <c r="G280" s="9"/>
      <c r="H280" s="9"/>
      <c r="I280" s="9"/>
      <c r="J280" s="9"/>
      <c r="K280" s="9"/>
      <c r="L280" s="9"/>
      <c r="M280" s="9"/>
      <c r="N280" s="9"/>
      <c r="O280" s="9"/>
      <c r="P280" s="9"/>
      <c r="Q280" s="10"/>
      <c r="R280" s="5"/>
      <c r="S280" s="5"/>
      <c r="T280" s="5"/>
      <c r="U280" s="5"/>
      <c r="V280" s="5"/>
      <c r="W280" s="5"/>
      <c r="X280" s="5"/>
      <c r="Y280" s="5"/>
      <c r="Z280" s="5"/>
      <c r="AA280" s="5"/>
      <c r="AB280" s="5"/>
      <c r="AC280" s="5"/>
      <c r="AD280" s="5"/>
    </row>
    <row r="281">
      <c r="A281" s="57"/>
      <c r="B281" s="59"/>
      <c r="C281" s="54"/>
      <c r="D281" s="14"/>
      <c r="E281" s="14"/>
      <c r="F281" s="14"/>
      <c r="G281" s="14"/>
      <c r="H281" s="14"/>
      <c r="I281" s="14"/>
      <c r="J281" s="14"/>
      <c r="K281" s="14"/>
      <c r="L281" s="14"/>
      <c r="M281" s="14"/>
      <c r="N281" s="14"/>
      <c r="O281" s="14"/>
      <c r="P281" s="14"/>
      <c r="Q281" s="15"/>
      <c r="R281" s="5"/>
      <c r="S281" s="5"/>
      <c r="T281" s="5"/>
      <c r="U281" s="5"/>
      <c r="V281" s="5"/>
      <c r="W281" s="5"/>
      <c r="X281" s="5"/>
      <c r="Y281" s="5"/>
      <c r="Z281" s="5"/>
      <c r="AA281" s="5"/>
      <c r="AB281" s="5"/>
      <c r="AC281" s="5"/>
      <c r="AD281" s="5"/>
    </row>
    <row r="282">
      <c r="A282" s="55"/>
      <c r="B282" s="56"/>
      <c r="C282" s="52"/>
      <c r="D282" s="9"/>
      <c r="E282" s="9"/>
      <c r="F282" s="9"/>
      <c r="G282" s="9"/>
      <c r="H282" s="9"/>
      <c r="I282" s="9"/>
      <c r="J282" s="9"/>
      <c r="K282" s="9"/>
      <c r="L282" s="9"/>
      <c r="M282" s="9"/>
      <c r="N282" s="9"/>
      <c r="O282" s="9"/>
      <c r="P282" s="9"/>
      <c r="Q282" s="10"/>
      <c r="R282" s="5"/>
      <c r="S282" s="5"/>
      <c r="T282" s="5"/>
      <c r="U282" s="5"/>
      <c r="V282" s="5"/>
      <c r="W282" s="5"/>
      <c r="X282" s="5"/>
      <c r="Y282" s="5"/>
      <c r="Z282" s="5"/>
      <c r="AA282" s="5"/>
      <c r="AB282" s="5"/>
      <c r="AC282" s="5"/>
      <c r="AD282" s="5"/>
    </row>
    <row r="283">
      <c r="A283" s="57"/>
      <c r="B283" s="59"/>
      <c r="C283" s="54"/>
      <c r="D283" s="14"/>
      <c r="E283" s="14"/>
      <c r="F283" s="14"/>
      <c r="G283" s="14"/>
      <c r="H283" s="14"/>
      <c r="I283" s="14"/>
      <c r="J283" s="14"/>
      <c r="K283" s="14"/>
      <c r="L283" s="14"/>
      <c r="M283" s="14"/>
      <c r="N283" s="14"/>
      <c r="O283" s="14"/>
      <c r="P283" s="14"/>
      <c r="Q283" s="15"/>
      <c r="R283" s="5"/>
      <c r="S283" s="5"/>
      <c r="T283" s="5"/>
      <c r="U283" s="5"/>
      <c r="V283" s="5"/>
      <c r="W283" s="5"/>
      <c r="X283" s="5"/>
      <c r="Y283" s="5"/>
      <c r="Z283" s="5"/>
      <c r="AA283" s="5"/>
      <c r="AB283" s="5"/>
      <c r="AC283" s="5"/>
      <c r="AD283" s="5"/>
    </row>
    <row r="284">
      <c r="A284" s="55"/>
      <c r="B284" s="56"/>
      <c r="C284" s="52"/>
      <c r="D284" s="9"/>
      <c r="E284" s="9"/>
      <c r="F284" s="9"/>
      <c r="G284" s="9"/>
      <c r="H284" s="9"/>
      <c r="I284" s="9"/>
      <c r="J284" s="9"/>
      <c r="K284" s="9"/>
      <c r="L284" s="9"/>
      <c r="M284" s="9"/>
      <c r="N284" s="9"/>
      <c r="O284" s="9"/>
      <c r="P284" s="9"/>
      <c r="Q284" s="10"/>
      <c r="R284" s="5"/>
      <c r="S284" s="5"/>
      <c r="T284" s="5"/>
      <c r="U284" s="5"/>
      <c r="V284" s="5"/>
      <c r="W284" s="5"/>
      <c r="X284" s="5"/>
      <c r="Y284" s="5"/>
      <c r="Z284" s="5"/>
      <c r="AA284" s="5"/>
      <c r="AB284" s="5"/>
      <c r="AC284" s="5"/>
      <c r="AD284" s="5"/>
    </row>
    <row r="285">
      <c r="A285" s="57"/>
      <c r="B285" s="59"/>
      <c r="C285" s="54"/>
      <c r="D285" s="14"/>
      <c r="E285" s="14"/>
      <c r="F285" s="14"/>
      <c r="G285" s="14"/>
      <c r="H285" s="14"/>
      <c r="I285" s="14"/>
      <c r="J285" s="14"/>
      <c r="K285" s="14"/>
      <c r="L285" s="14"/>
      <c r="M285" s="14"/>
      <c r="N285" s="14"/>
      <c r="O285" s="14"/>
      <c r="P285" s="14"/>
      <c r="Q285" s="15"/>
      <c r="R285" s="5"/>
      <c r="S285" s="5"/>
      <c r="T285" s="5"/>
      <c r="U285" s="5"/>
      <c r="V285" s="5"/>
      <c r="W285" s="5"/>
      <c r="X285" s="5"/>
      <c r="Y285" s="5"/>
      <c r="Z285" s="5"/>
      <c r="AA285" s="5"/>
      <c r="AB285" s="5"/>
      <c r="AC285" s="5"/>
      <c r="AD285" s="5"/>
    </row>
    <row r="286">
      <c r="A286" s="55"/>
      <c r="B286" s="56"/>
      <c r="C286" s="52"/>
      <c r="D286" s="9"/>
      <c r="E286" s="9"/>
      <c r="F286" s="9"/>
      <c r="G286" s="9"/>
      <c r="H286" s="9"/>
      <c r="I286" s="9"/>
      <c r="J286" s="9"/>
      <c r="K286" s="9"/>
      <c r="L286" s="9"/>
      <c r="M286" s="9"/>
      <c r="N286" s="9"/>
      <c r="O286" s="9"/>
      <c r="P286" s="9"/>
      <c r="Q286" s="10"/>
      <c r="R286" s="5"/>
      <c r="S286" s="5"/>
      <c r="T286" s="5"/>
      <c r="U286" s="5"/>
      <c r="V286" s="5"/>
      <c r="W286" s="5"/>
      <c r="X286" s="5"/>
      <c r="Y286" s="5"/>
      <c r="Z286" s="5"/>
      <c r="AA286" s="5"/>
      <c r="AB286" s="5"/>
      <c r="AC286" s="5"/>
      <c r="AD286" s="5"/>
    </row>
    <row r="287">
      <c r="A287" s="57"/>
      <c r="B287" s="59"/>
      <c r="C287" s="54"/>
      <c r="D287" s="14"/>
      <c r="E287" s="14"/>
      <c r="F287" s="14"/>
      <c r="G287" s="14"/>
      <c r="H287" s="14"/>
      <c r="I287" s="14"/>
      <c r="J287" s="14"/>
      <c r="K287" s="14"/>
      <c r="L287" s="14"/>
      <c r="M287" s="14"/>
      <c r="N287" s="14"/>
      <c r="O287" s="14"/>
      <c r="P287" s="14"/>
      <c r="Q287" s="15"/>
      <c r="R287" s="5"/>
      <c r="S287" s="5"/>
      <c r="T287" s="5"/>
      <c r="U287" s="5"/>
      <c r="V287" s="5"/>
      <c r="W287" s="5"/>
      <c r="X287" s="5"/>
      <c r="Y287" s="5"/>
      <c r="Z287" s="5"/>
      <c r="AA287" s="5"/>
      <c r="AB287" s="5"/>
      <c r="AC287" s="5"/>
      <c r="AD287" s="5"/>
    </row>
    <row r="288">
      <c r="A288" s="55"/>
      <c r="B288" s="56"/>
      <c r="C288" s="52"/>
      <c r="D288" s="9"/>
      <c r="E288" s="9"/>
      <c r="F288" s="9"/>
      <c r="G288" s="9"/>
      <c r="H288" s="9"/>
      <c r="I288" s="9"/>
      <c r="J288" s="9"/>
      <c r="K288" s="9"/>
      <c r="L288" s="9"/>
      <c r="M288" s="9"/>
      <c r="N288" s="9"/>
      <c r="O288" s="9"/>
      <c r="P288" s="9"/>
      <c r="Q288" s="10"/>
      <c r="R288" s="5"/>
      <c r="S288" s="5"/>
      <c r="T288" s="5"/>
      <c r="U288" s="5"/>
      <c r="V288" s="5"/>
      <c r="W288" s="5"/>
      <c r="X288" s="5"/>
      <c r="Y288" s="5"/>
      <c r="Z288" s="5"/>
      <c r="AA288" s="5"/>
      <c r="AB288" s="5"/>
      <c r="AC288" s="5"/>
      <c r="AD288" s="5"/>
    </row>
    <row r="289">
      <c r="A289" s="57"/>
      <c r="B289" s="59"/>
      <c r="C289" s="54"/>
      <c r="D289" s="14"/>
      <c r="E289" s="14"/>
      <c r="F289" s="14"/>
      <c r="G289" s="14"/>
      <c r="H289" s="14"/>
      <c r="I289" s="14"/>
      <c r="J289" s="14"/>
      <c r="K289" s="14"/>
      <c r="L289" s="14"/>
      <c r="M289" s="14"/>
      <c r="N289" s="14"/>
      <c r="O289" s="14"/>
      <c r="P289" s="14"/>
      <c r="Q289" s="15"/>
      <c r="R289" s="5"/>
      <c r="S289" s="5"/>
      <c r="T289" s="5"/>
      <c r="U289" s="5"/>
      <c r="V289" s="5"/>
      <c r="W289" s="5"/>
      <c r="X289" s="5"/>
      <c r="Y289" s="5"/>
      <c r="Z289" s="5"/>
      <c r="AA289" s="5"/>
      <c r="AB289" s="5"/>
      <c r="AC289" s="5"/>
      <c r="AD289" s="5"/>
    </row>
    <row r="290">
      <c r="A290" s="55"/>
      <c r="B290" s="56"/>
      <c r="C290" s="52"/>
      <c r="D290" s="9"/>
      <c r="E290" s="9"/>
      <c r="F290" s="9"/>
      <c r="G290" s="9"/>
      <c r="H290" s="9"/>
      <c r="I290" s="9"/>
      <c r="J290" s="9"/>
      <c r="K290" s="9"/>
      <c r="L290" s="9"/>
      <c r="M290" s="9"/>
      <c r="N290" s="9"/>
      <c r="O290" s="9"/>
      <c r="P290" s="9"/>
      <c r="Q290" s="10"/>
      <c r="R290" s="5"/>
      <c r="S290" s="5"/>
      <c r="T290" s="5"/>
      <c r="U290" s="5"/>
      <c r="V290" s="5"/>
      <c r="W290" s="5"/>
      <c r="X290" s="5"/>
      <c r="Y290" s="5"/>
      <c r="Z290" s="5"/>
      <c r="AA290" s="5"/>
      <c r="AB290" s="5"/>
      <c r="AC290" s="5"/>
      <c r="AD290" s="5"/>
    </row>
    <row r="291">
      <c r="A291" s="57"/>
      <c r="B291" s="59"/>
      <c r="C291" s="54"/>
      <c r="D291" s="14"/>
      <c r="E291" s="14"/>
      <c r="F291" s="14"/>
      <c r="G291" s="14"/>
      <c r="H291" s="14"/>
      <c r="I291" s="14"/>
      <c r="J291" s="14"/>
      <c r="K291" s="14"/>
      <c r="L291" s="14"/>
      <c r="M291" s="14"/>
      <c r="N291" s="14"/>
      <c r="O291" s="14"/>
      <c r="P291" s="14"/>
      <c r="Q291" s="15"/>
      <c r="R291" s="5"/>
      <c r="S291" s="5"/>
      <c r="T291" s="5"/>
      <c r="U291" s="5"/>
      <c r="V291" s="5"/>
      <c r="W291" s="5"/>
      <c r="X291" s="5"/>
      <c r="Y291" s="5"/>
      <c r="Z291" s="5"/>
      <c r="AA291" s="5"/>
      <c r="AB291" s="5"/>
      <c r="AC291" s="5"/>
      <c r="AD291" s="5"/>
    </row>
    <row r="292">
      <c r="A292" s="55"/>
      <c r="B292" s="56"/>
      <c r="C292" s="52"/>
      <c r="D292" s="9"/>
      <c r="E292" s="9"/>
      <c r="F292" s="9"/>
      <c r="G292" s="9"/>
      <c r="H292" s="9"/>
      <c r="I292" s="9"/>
      <c r="J292" s="9"/>
      <c r="K292" s="9"/>
      <c r="L292" s="9"/>
      <c r="M292" s="9"/>
      <c r="N292" s="9"/>
      <c r="O292" s="9"/>
      <c r="P292" s="9"/>
      <c r="Q292" s="10"/>
      <c r="R292" s="5"/>
      <c r="S292" s="5"/>
      <c r="T292" s="5"/>
      <c r="U292" s="5"/>
      <c r="V292" s="5"/>
      <c r="W292" s="5"/>
      <c r="X292" s="5"/>
      <c r="Y292" s="5"/>
      <c r="Z292" s="5"/>
      <c r="AA292" s="5"/>
      <c r="AB292" s="5"/>
      <c r="AC292" s="5"/>
      <c r="AD292" s="5"/>
    </row>
    <row r="293">
      <c r="A293" s="57"/>
      <c r="B293" s="59"/>
      <c r="C293" s="54"/>
      <c r="D293" s="14"/>
      <c r="E293" s="14"/>
      <c r="F293" s="14"/>
      <c r="G293" s="14"/>
      <c r="H293" s="14"/>
      <c r="I293" s="14"/>
      <c r="J293" s="14"/>
      <c r="K293" s="14"/>
      <c r="L293" s="14"/>
      <c r="M293" s="14"/>
      <c r="N293" s="14"/>
      <c r="O293" s="14"/>
      <c r="P293" s="14"/>
      <c r="Q293" s="15"/>
      <c r="R293" s="5"/>
      <c r="S293" s="5"/>
      <c r="T293" s="5"/>
      <c r="U293" s="5"/>
      <c r="V293" s="5"/>
      <c r="W293" s="5"/>
      <c r="X293" s="5"/>
      <c r="Y293" s="5"/>
      <c r="Z293" s="5"/>
      <c r="AA293" s="5"/>
      <c r="AB293" s="5"/>
      <c r="AC293" s="5"/>
      <c r="AD293" s="5"/>
    </row>
    <row r="294">
      <c r="A294" s="55"/>
      <c r="B294" s="56"/>
      <c r="C294" s="52"/>
      <c r="D294" s="9"/>
      <c r="E294" s="9"/>
      <c r="F294" s="9"/>
      <c r="G294" s="9"/>
      <c r="H294" s="9"/>
      <c r="I294" s="9"/>
      <c r="J294" s="9"/>
      <c r="K294" s="9"/>
      <c r="L294" s="9"/>
      <c r="M294" s="9"/>
      <c r="N294" s="9"/>
      <c r="O294" s="9"/>
      <c r="P294" s="9"/>
      <c r="Q294" s="10"/>
      <c r="R294" s="5"/>
      <c r="S294" s="5"/>
      <c r="T294" s="5"/>
      <c r="U294" s="5"/>
      <c r="V294" s="5"/>
      <c r="W294" s="5"/>
      <c r="X294" s="5"/>
      <c r="Y294" s="5"/>
      <c r="Z294" s="5"/>
      <c r="AA294" s="5"/>
      <c r="AB294" s="5"/>
      <c r="AC294" s="5"/>
      <c r="AD294" s="5"/>
    </row>
    <row r="295">
      <c r="A295" s="57"/>
      <c r="B295" s="59"/>
      <c r="C295" s="54"/>
      <c r="D295" s="14"/>
      <c r="E295" s="14"/>
      <c r="F295" s="14"/>
      <c r="G295" s="14"/>
      <c r="H295" s="14"/>
      <c r="I295" s="14"/>
      <c r="J295" s="14"/>
      <c r="K295" s="14"/>
      <c r="L295" s="14"/>
      <c r="M295" s="14"/>
      <c r="N295" s="14"/>
      <c r="O295" s="14"/>
      <c r="P295" s="14"/>
      <c r="Q295" s="15"/>
      <c r="R295" s="5"/>
      <c r="S295" s="5"/>
      <c r="T295" s="5"/>
      <c r="U295" s="5"/>
      <c r="V295" s="5"/>
      <c r="W295" s="5"/>
      <c r="X295" s="5"/>
      <c r="Y295" s="5"/>
      <c r="Z295" s="5"/>
      <c r="AA295" s="5"/>
      <c r="AB295" s="5"/>
      <c r="AC295" s="5"/>
      <c r="AD295" s="5"/>
    </row>
    <row r="296">
      <c r="A296" s="55"/>
      <c r="B296" s="56"/>
      <c r="C296" s="52"/>
      <c r="D296" s="9"/>
      <c r="E296" s="9"/>
      <c r="F296" s="9"/>
      <c r="G296" s="9"/>
      <c r="H296" s="9"/>
      <c r="I296" s="9"/>
      <c r="J296" s="9"/>
      <c r="K296" s="9"/>
      <c r="L296" s="9"/>
      <c r="M296" s="9"/>
      <c r="N296" s="9"/>
      <c r="O296" s="9"/>
      <c r="P296" s="9"/>
      <c r="Q296" s="10"/>
      <c r="R296" s="5"/>
      <c r="S296" s="5"/>
      <c r="T296" s="5"/>
      <c r="U296" s="5"/>
      <c r="V296" s="5"/>
      <c r="W296" s="5"/>
      <c r="X296" s="5"/>
      <c r="Y296" s="5"/>
      <c r="Z296" s="5"/>
      <c r="AA296" s="5"/>
      <c r="AB296" s="5"/>
      <c r="AC296" s="5"/>
      <c r="AD296" s="5"/>
    </row>
    <row r="297">
      <c r="A297" s="57"/>
      <c r="B297" s="59"/>
      <c r="C297" s="54"/>
      <c r="D297" s="14"/>
      <c r="E297" s="14"/>
      <c r="F297" s="14"/>
      <c r="G297" s="14"/>
      <c r="H297" s="14"/>
      <c r="I297" s="14"/>
      <c r="J297" s="14"/>
      <c r="K297" s="14"/>
      <c r="L297" s="14"/>
      <c r="M297" s="14"/>
      <c r="N297" s="14"/>
      <c r="O297" s="14"/>
      <c r="P297" s="14"/>
      <c r="Q297" s="15"/>
      <c r="R297" s="5"/>
      <c r="S297" s="5"/>
      <c r="T297" s="5"/>
      <c r="U297" s="5"/>
      <c r="V297" s="5"/>
      <c r="W297" s="5"/>
      <c r="X297" s="5"/>
      <c r="Y297" s="5"/>
      <c r="Z297" s="5"/>
      <c r="AA297" s="5"/>
      <c r="AB297" s="5"/>
      <c r="AC297" s="5"/>
      <c r="AD297" s="5"/>
    </row>
    <row r="298">
      <c r="A298" s="55"/>
      <c r="B298" s="56"/>
      <c r="C298" s="52"/>
      <c r="D298" s="9"/>
      <c r="E298" s="9"/>
      <c r="F298" s="9"/>
      <c r="G298" s="9"/>
      <c r="H298" s="9"/>
      <c r="I298" s="9"/>
      <c r="J298" s="9"/>
      <c r="K298" s="9"/>
      <c r="L298" s="9"/>
      <c r="M298" s="9"/>
      <c r="N298" s="9"/>
      <c r="O298" s="9"/>
      <c r="P298" s="9"/>
      <c r="Q298" s="10"/>
      <c r="R298" s="5"/>
      <c r="S298" s="5"/>
      <c r="T298" s="5"/>
      <c r="U298" s="5"/>
      <c r="V298" s="5"/>
      <c r="W298" s="5"/>
      <c r="X298" s="5"/>
      <c r="Y298" s="5"/>
      <c r="Z298" s="5"/>
      <c r="AA298" s="5"/>
      <c r="AB298" s="5"/>
      <c r="AC298" s="5"/>
      <c r="AD298" s="5"/>
    </row>
    <row r="299">
      <c r="A299" s="57"/>
      <c r="B299" s="59"/>
      <c r="C299" s="54"/>
      <c r="D299" s="14"/>
      <c r="E299" s="14"/>
      <c r="F299" s="14"/>
      <c r="G299" s="14"/>
      <c r="H299" s="14"/>
      <c r="I299" s="14"/>
      <c r="J299" s="14"/>
      <c r="K299" s="14"/>
      <c r="L299" s="14"/>
      <c r="M299" s="14"/>
      <c r="N299" s="14"/>
      <c r="O299" s="14"/>
      <c r="P299" s="14"/>
      <c r="Q299" s="15"/>
      <c r="R299" s="5"/>
      <c r="S299" s="5"/>
      <c r="T299" s="5"/>
      <c r="U299" s="5"/>
      <c r="V299" s="5"/>
      <c r="W299" s="5"/>
      <c r="X299" s="5"/>
      <c r="Y299" s="5"/>
      <c r="Z299" s="5"/>
      <c r="AA299" s="5"/>
      <c r="AB299" s="5"/>
      <c r="AC299" s="5"/>
      <c r="AD299" s="5"/>
    </row>
    <row r="300">
      <c r="A300" s="55"/>
      <c r="B300" s="56"/>
      <c r="C300" s="52"/>
      <c r="D300" s="9"/>
      <c r="E300" s="9"/>
      <c r="F300" s="9"/>
      <c r="G300" s="9"/>
      <c r="H300" s="9"/>
      <c r="I300" s="9"/>
      <c r="J300" s="9"/>
      <c r="K300" s="9"/>
      <c r="L300" s="9"/>
      <c r="M300" s="9"/>
      <c r="N300" s="9"/>
      <c r="O300" s="9"/>
      <c r="P300" s="9"/>
      <c r="Q300" s="10"/>
      <c r="R300" s="5"/>
      <c r="S300" s="5"/>
      <c r="T300" s="5"/>
      <c r="U300" s="5"/>
      <c r="V300" s="5"/>
      <c r="W300" s="5"/>
      <c r="X300" s="5"/>
      <c r="Y300" s="5"/>
      <c r="Z300" s="5"/>
      <c r="AA300" s="5"/>
      <c r="AB300" s="5"/>
      <c r="AC300" s="5"/>
      <c r="AD300" s="5"/>
    </row>
    <row r="301">
      <c r="A301" s="57"/>
      <c r="B301" s="59"/>
      <c r="C301" s="54"/>
      <c r="D301" s="14"/>
      <c r="E301" s="14"/>
      <c r="F301" s="14"/>
      <c r="G301" s="14"/>
      <c r="H301" s="14"/>
      <c r="I301" s="14"/>
      <c r="J301" s="14"/>
      <c r="K301" s="14"/>
      <c r="L301" s="14"/>
      <c r="M301" s="14"/>
      <c r="N301" s="14"/>
      <c r="O301" s="14"/>
      <c r="P301" s="14"/>
      <c r="Q301" s="15"/>
      <c r="R301" s="5"/>
      <c r="S301" s="5"/>
      <c r="T301" s="5"/>
      <c r="U301" s="5"/>
      <c r="V301" s="5"/>
      <c r="W301" s="5"/>
      <c r="X301" s="5"/>
      <c r="Y301" s="5"/>
      <c r="Z301" s="5"/>
      <c r="AA301" s="5"/>
      <c r="AB301" s="5"/>
      <c r="AC301" s="5"/>
      <c r="AD301" s="5"/>
    </row>
    <row r="302">
      <c r="A302" s="55"/>
      <c r="B302" s="56"/>
      <c r="C302" s="52"/>
      <c r="D302" s="9"/>
      <c r="E302" s="9"/>
      <c r="F302" s="9"/>
      <c r="G302" s="9"/>
      <c r="H302" s="9"/>
      <c r="I302" s="9"/>
      <c r="J302" s="9"/>
      <c r="K302" s="9"/>
      <c r="L302" s="9"/>
      <c r="M302" s="9"/>
      <c r="N302" s="9"/>
      <c r="O302" s="9"/>
      <c r="P302" s="9"/>
      <c r="Q302" s="10"/>
      <c r="R302" s="5"/>
      <c r="S302" s="5"/>
      <c r="T302" s="5"/>
      <c r="U302" s="5"/>
      <c r="V302" s="5"/>
      <c r="W302" s="5"/>
      <c r="X302" s="5"/>
      <c r="Y302" s="5"/>
      <c r="Z302" s="5"/>
      <c r="AA302" s="5"/>
      <c r="AB302" s="5"/>
      <c r="AC302" s="5"/>
      <c r="AD302" s="5"/>
    </row>
    <row r="303">
      <c r="A303" s="57"/>
      <c r="B303" s="59"/>
      <c r="C303" s="54"/>
      <c r="D303" s="14"/>
      <c r="E303" s="14"/>
      <c r="F303" s="14"/>
      <c r="G303" s="14"/>
      <c r="H303" s="14"/>
      <c r="I303" s="14"/>
      <c r="J303" s="14"/>
      <c r="K303" s="14"/>
      <c r="L303" s="14"/>
      <c r="M303" s="14"/>
      <c r="N303" s="14"/>
      <c r="O303" s="14"/>
      <c r="P303" s="14"/>
      <c r="Q303" s="15"/>
      <c r="R303" s="5"/>
      <c r="S303" s="5"/>
      <c r="T303" s="5"/>
      <c r="U303" s="5"/>
      <c r="V303" s="5"/>
      <c r="W303" s="5"/>
      <c r="X303" s="5"/>
      <c r="Y303" s="5"/>
      <c r="Z303" s="5"/>
      <c r="AA303" s="5"/>
      <c r="AB303" s="5"/>
      <c r="AC303" s="5"/>
      <c r="AD303" s="5"/>
    </row>
    <row r="304">
      <c r="A304" s="55"/>
      <c r="B304" s="56"/>
      <c r="C304" s="52"/>
      <c r="D304" s="9"/>
      <c r="E304" s="9"/>
      <c r="F304" s="9"/>
      <c r="G304" s="9"/>
      <c r="H304" s="9"/>
      <c r="I304" s="9"/>
      <c r="J304" s="9"/>
      <c r="K304" s="9"/>
      <c r="L304" s="9"/>
      <c r="M304" s="9"/>
      <c r="N304" s="9"/>
      <c r="O304" s="9"/>
      <c r="P304" s="9"/>
      <c r="Q304" s="10"/>
      <c r="R304" s="5"/>
      <c r="S304" s="5"/>
      <c r="T304" s="5"/>
      <c r="U304" s="5"/>
      <c r="V304" s="5"/>
      <c r="W304" s="5"/>
      <c r="X304" s="5"/>
      <c r="Y304" s="5"/>
      <c r="Z304" s="5"/>
      <c r="AA304" s="5"/>
      <c r="AB304" s="5"/>
      <c r="AC304" s="5"/>
      <c r="AD304" s="5"/>
    </row>
    <row r="305">
      <c r="A305" s="57"/>
      <c r="B305" s="59"/>
      <c r="C305" s="54"/>
      <c r="D305" s="14"/>
      <c r="E305" s="14"/>
      <c r="F305" s="14"/>
      <c r="G305" s="14"/>
      <c r="H305" s="14"/>
      <c r="I305" s="14"/>
      <c r="J305" s="14"/>
      <c r="K305" s="14"/>
      <c r="L305" s="14"/>
      <c r="M305" s="14"/>
      <c r="N305" s="14"/>
      <c r="O305" s="14"/>
      <c r="P305" s="14"/>
      <c r="Q305" s="15"/>
      <c r="R305" s="5"/>
      <c r="S305" s="5"/>
      <c r="T305" s="5"/>
      <c r="U305" s="5"/>
      <c r="V305" s="5"/>
      <c r="W305" s="5"/>
      <c r="X305" s="5"/>
      <c r="Y305" s="5"/>
      <c r="Z305" s="5"/>
      <c r="AA305" s="5"/>
      <c r="AB305" s="5"/>
      <c r="AC305" s="5"/>
      <c r="AD305" s="5"/>
    </row>
    <row r="306">
      <c r="A306" s="55"/>
      <c r="B306" s="56"/>
      <c r="C306" s="52"/>
      <c r="D306" s="9"/>
      <c r="E306" s="9"/>
      <c r="F306" s="9"/>
      <c r="G306" s="9"/>
      <c r="H306" s="9"/>
      <c r="I306" s="9"/>
      <c r="J306" s="9"/>
      <c r="K306" s="9"/>
      <c r="L306" s="9"/>
      <c r="M306" s="9"/>
      <c r="N306" s="9"/>
      <c r="O306" s="9"/>
      <c r="P306" s="9"/>
      <c r="Q306" s="10"/>
      <c r="R306" s="5"/>
      <c r="S306" s="5"/>
      <c r="T306" s="5"/>
      <c r="U306" s="5"/>
      <c r="V306" s="5"/>
      <c r="W306" s="5"/>
      <c r="X306" s="5"/>
      <c r="Y306" s="5"/>
      <c r="Z306" s="5"/>
      <c r="AA306" s="5"/>
      <c r="AB306" s="5"/>
      <c r="AC306" s="5"/>
      <c r="AD306" s="5"/>
    </row>
    <row r="307">
      <c r="A307" s="57"/>
      <c r="B307" s="59"/>
      <c r="C307" s="54"/>
      <c r="D307" s="14"/>
      <c r="E307" s="14"/>
      <c r="F307" s="14"/>
      <c r="G307" s="14"/>
      <c r="H307" s="14"/>
      <c r="I307" s="14"/>
      <c r="J307" s="14"/>
      <c r="K307" s="14"/>
      <c r="L307" s="14"/>
      <c r="M307" s="14"/>
      <c r="N307" s="14"/>
      <c r="O307" s="14"/>
      <c r="P307" s="14"/>
      <c r="Q307" s="15"/>
      <c r="R307" s="5"/>
      <c r="S307" s="5"/>
      <c r="T307" s="5"/>
      <c r="U307" s="5"/>
      <c r="V307" s="5"/>
      <c r="W307" s="5"/>
      <c r="X307" s="5"/>
      <c r="Y307" s="5"/>
      <c r="Z307" s="5"/>
      <c r="AA307" s="5"/>
      <c r="AB307" s="5"/>
      <c r="AC307" s="5"/>
      <c r="AD307" s="5"/>
    </row>
    <row r="308">
      <c r="A308" s="55"/>
      <c r="B308" s="56"/>
      <c r="C308" s="52"/>
      <c r="D308" s="9"/>
      <c r="E308" s="9"/>
      <c r="F308" s="9"/>
      <c r="G308" s="9"/>
      <c r="H308" s="9"/>
      <c r="I308" s="9"/>
      <c r="J308" s="9"/>
      <c r="K308" s="9"/>
      <c r="L308" s="9"/>
      <c r="M308" s="9"/>
      <c r="N308" s="9"/>
      <c r="O308" s="9"/>
      <c r="P308" s="9"/>
      <c r="Q308" s="10"/>
      <c r="R308" s="5"/>
      <c r="S308" s="5"/>
      <c r="T308" s="5"/>
      <c r="U308" s="5"/>
      <c r="V308" s="5"/>
      <c r="W308" s="5"/>
      <c r="X308" s="5"/>
      <c r="Y308" s="5"/>
      <c r="Z308" s="5"/>
      <c r="AA308" s="5"/>
      <c r="AB308" s="5"/>
      <c r="AC308" s="5"/>
      <c r="AD308" s="5"/>
    </row>
    <row r="309">
      <c r="A309" s="57"/>
      <c r="B309" s="59"/>
      <c r="C309" s="54"/>
      <c r="D309" s="14"/>
      <c r="E309" s="14"/>
      <c r="F309" s="14"/>
      <c r="G309" s="14"/>
      <c r="H309" s="14"/>
      <c r="I309" s="14"/>
      <c r="J309" s="14"/>
      <c r="K309" s="14"/>
      <c r="L309" s="14"/>
      <c r="M309" s="14"/>
      <c r="N309" s="14"/>
      <c r="O309" s="14"/>
      <c r="P309" s="14"/>
      <c r="Q309" s="15"/>
      <c r="R309" s="5"/>
      <c r="S309" s="5"/>
      <c r="T309" s="5"/>
      <c r="U309" s="5"/>
      <c r="V309" s="5"/>
      <c r="W309" s="5"/>
      <c r="X309" s="5"/>
      <c r="Y309" s="5"/>
      <c r="Z309" s="5"/>
      <c r="AA309" s="5"/>
      <c r="AB309" s="5"/>
      <c r="AC309" s="5"/>
      <c r="AD309" s="5"/>
    </row>
    <row r="310">
      <c r="A310" s="55"/>
      <c r="B310" s="56"/>
      <c r="C310" s="52"/>
      <c r="D310" s="9"/>
      <c r="E310" s="9"/>
      <c r="F310" s="9"/>
      <c r="G310" s="9"/>
      <c r="H310" s="9"/>
      <c r="I310" s="9"/>
      <c r="J310" s="9"/>
      <c r="K310" s="9"/>
      <c r="L310" s="9"/>
      <c r="M310" s="9"/>
      <c r="N310" s="9"/>
      <c r="O310" s="9"/>
      <c r="P310" s="9"/>
      <c r="Q310" s="10"/>
      <c r="R310" s="5"/>
      <c r="S310" s="5"/>
      <c r="T310" s="5"/>
      <c r="U310" s="5"/>
      <c r="V310" s="5"/>
      <c r="W310" s="5"/>
      <c r="X310" s="5"/>
      <c r="Y310" s="5"/>
      <c r="Z310" s="5"/>
      <c r="AA310" s="5"/>
      <c r="AB310" s="5"/>
      <c r="AC310" s="5"/>
      <c r="AD310" s="5"/>
    </row>
    <row r="311">
      <c r="A311" s="57"/>
      <c r="B311" s="59"/>
      <c r="C311" s="54"/>
      <c r="D311" s="14"/>
      <c r="E311" s="14"/>
      <c r="F311" s="14"/>
      <c r="G311" s="14"/>
      <c r="H311" s="14"/>
      <c r="I311" s="14"/>
      <c r="J311" s="14"/>
      <c r="K311" s="14"/>
      <c r="L311" s="14"/>
      <c r="M311" s="14"/>
      <c r="N311" s="14"/>
      <c r="O311" s="14"/>
      <c r="P311" s="14"/>
      <c r="Q311" s="15"/>
      <c r="R311" s="5"/>
      <c r="S311" s="5"/>
      <c r="T311" s="5"/>
      <c r="U311" s="5"/>
      <c r="V311" s="5"/>
      <c r="W311" s="5"/>
      <c r="X311" s="5"/>
      <c r="Y311" s="5"/>
      <c r="Z311" s="5"/>
      <c r="AA311" s="5"/>
      <c r="AB311" s="5"/>
      <c r="AC311" s="5"/>
      <c r="AD311" s="5"/>
    </row>
    <row r="312">
      <c r="A312" s="55"/>
      <c r="B312" s="56"/>
      <c r="C312" s="52"/>
      <c r="D312" s="9"/>
      <c r="E312" s="9"/>
      <c r="F312" s="9"/>
      <c r="G312" s="9"/>
      <c r="H312" s="9"/>
      <c r="I312" s="9"/>
      <c r="J312" s="9"/>
      <c r="K312" s="9"/>
      <c r="L312" s="9"/>
      <c r="M312" s="9"/>
      <c r="N312" s="9"/>
      <c r="O312" s="9"/>
      <c r="P312" s="9"/>
      <c r="Q312" s="10"/>
      <c r="R312" s="5"/>
      <c r="S312" s="5"/>
      <c r="T312" s="5"/>
      <c r="U312" s="5"/>
      <c r="V312" s="5"/>
      <c r="W312" s="5"/>
      <c r="X312" s="5"/>
      <c r="Y312" s="5"/>
      <c r="Z312" s="5"/>
      <c r="AA312" s="5"/>
      <c r="AB312" s="5"/>
      <c r="AC312" s="5"/>
      <c r="AD312" s="5"/>
    </row>
    <row r="313">
      <c r="A313" s="57"/>
      <c r="B313" s="59"/>
      <c r="C313" s="54"/>
      <c r="D313" s="14"/>
      <c r="E313" s="14"/>
      <c r="F313" s="14"/>
      <c r="G313" s="14"/>
      <c r="H313" s="14"/>
      <c r="I313" s="14"/>
      <c r="J313" s="14"/>
      <c r="K313" s="14"/>
      <c r="L313" s="14"/>
      <c r="M313" s="14"/>
      <c r="N313" s="14"/>
      <c r="O313" s="14"/>
      <c r="P313" s="14"/>
      <c r="Q313" s="15"/>
      <c r="R313" s="5"/>
      <c r="S313" s="5"/>
      <c r="T313" s="5"/>
      <c r="U313" s="5"/>
      <c r="V313" s="5"/>
      <c r="W313" s="5"/>
      <c r="X313" s="5"/>
      <c r="Y313" s="5"/>
      <c r="Z313" s="5"/>
      <c r="AA313" s="5"/>
      <c r="AB313" s="5"/>
      <c r="AC313" s="5"/>
      <c r="AD313" s="5"/>
    </row>
    <row r="314">
      <c r="A314" s="55"/>
      <c r="B314" s="56"/>
      <c r="C314" s="52"/>
      <c r="D314" s="9"/>
      <c r="E314" s="9"/>
      <c r="F314" s="9"/>
      <c r="G314" s="9"/>
      <c r="H314" s="9"/>
      <c r="I314" s="9"/>
      <c r="J314" s="9"/>
      <c r="K314" s="9"/>
      <c r="L314" s="9"/>
      <c r="M314" s="9"/>
      <c r="N314" s="9"/>
      <c r="O314" s="9"/>
      <c r="P314" s="9"/>
      <c r="Q314" s="10"/>
      <c r="R314" s="5"/>
      <c r="S314" s="5"/>
      <c r="T314" s="5"/>
      <c r="U314" s="5"/>
      <c r="V314" s="5"/>
      <c r="W314" s="5"/>
      <c r="X314" s="5"/>
      <c r="Y314" s="5"/>
      <c r="Z314" s="5"/>
      <c r="AA314" s="5"/>
      <c r="AB314" s="5"/>
      <c r="AC314" s="5"/>
      <c r="AD314" s="5"/>
    </row>
    <row r="315">
      <c r="A315" s="57"/>
      <c r="B315" s="59"/>
      <c r="C315" s="54"/>
      <c r="D315" s="14"/>
      <c r="E315" s="14"/>
      <c r="F315" s="14"/>
      <c r="G315" s="14"/>
      <c r="H315" s="14"/>
      <c r="I315" s="14"/>
      <c r="J315" s="14"/>
      <c r="K315" s="14"/>
      <c r="L315" s="14"/>
      <c r="M315" s="14"/>
      <c r="N315" s="14"/>
      <c r="O315" s="14"/>
      <c r="P315" s="14"/>
      <c r="Q315" s="15"/>
      <c r="R315" s="5"/>
      <c r="S315" s="5"/>
      <c r="T315" s="5"/>
      <c r="U315" s="5"/>
      <c r="V315" s="5"/>
      <c r="W315" s="5"/>
      <c r="X315" s="5"/>
      <c r="Y315" s="5"/>
      <c r="Z315" s="5"/>
      <c r="AA315" s="5"/>
      <c r="AB315" s="5"/>
      <c r="AC315" s="5"/>
      <c r="AD315" s="5"/>
    </row>
    <row r="316">
      <c r="A316" s="55"/>
      <c r="B316" s="56"/>
      <c r="C316" s="52"/>
      <c r="D316" s="9"/>
      <c r="E316" s="9"/>
      <c r="F316" s="9"/>
      <c r="G316" s="9"/>
      <c r="H316" s="9"/>
      <c r="I316" s="9"/>
      <c r="J316" s="9"/>
      <c r="K316" s="9"/>
      <c r="L316" s="9"/>
      <c r="M316" s="9"/>
      <c r="N316" s="9"/>
      <c r="O316" s="9"/>
      <c r="P316" s="9"/>
      <c r="Q316" s="10"/>
      <c r="R316" s="5"/>
      <c r="S316" s="5"/>
      <c r="T316" s="5"/>
      <c r="U316" s="5"/>
      <c r="V316" s="5"/>
      <c r="W316" s="5"/>
      <c r="X316" s="5"/>
      <c r="Y316" s="5"/>
      <c r="Z316" s="5"/>
      <c r="AA316" s="5"/>
      <c r="AB316" s="5"/>
      <c r="AC316" s="5"/>
      <c r="AD316" s="5"/>
    </row>
    <row r="317">
      <c r="A317" s="57"/>
      <c r="B317" s="59"/>
      <c r="C317" s="54"/>
      <c r="D317" s="14"/>
      <c r="E317" s="14"/>
      <c r="F317" s="14"/>
      <c r="G317" s="14"/>
      <c r="H317" s="14"/>
      <c r="I317" s="14"/>
      <c r="J317" s="14"/>
      <c r="K317" s="14"/>
      <c r="L317" s="14"/>
      <c r="M317" s="14"/>
      <c r="N317" s="14"/>
      <c r="O317" s="14"/>
      <c r="P317" s="14"/>
      <c r="Q317" s="15"/>
      <c r="R317" s="5"/>
      <c r="S317" s="5"/>
      <c r="T317" s="5"/>
      <c r="U317" s="5"/>
      <c r="V317" s="5"/>
      <c r="W317" s="5"/>
      <c r="X317" s="5"/>
      <c r="Y317" s="5"/>
      <c r="Z317" s="5"/>
      <c r="AA317" s="5"/>
      <c r="AB317" s="5"/>
      <c r="AC317" s="5"/>
      <c r="AD317" s="5"/>
    </row>
    <row r="318">
      <c r="A318" s="55"/>
      <c r="B318" s="56"/>
      <c r="C318" s="52"/>
      <c r="D318" s="9"/>
      <c r="E318" s="9"/>
      <c r="F318" s="9"/>
      <c r="G318" s="9"/>
      <c r="H318" s="9"/>
      <c r="I318" s="9"/>
      <c r="J318" s="9"/>
      <c r="K318" s="9"/>
      <c r="L318" s="9"/>
      <c r="M318" s="9"/>
      <c r="N318" s="9"/>
      <c r="O318" s="9"/>
      <c r="P318" s="9"/>
      <c r="Q318" s="10"/>
      <c r="R318" s="5"/>
      <c r="S318" s="5"/>
      <c r="T318" s="5"/>
      <c r="U318" s="5"/>
      <c r="V318" s="5"/>
      <c r="W318" s="5"/>
      <c r="X318" s="5"/>
      <c r="Y318" s="5"/>
      <c r="Z318" s="5"/>
      <c r="AA318" s="5"/>
      <c r="AB318" s="5"/>
      <c r="AC318" s="5"/>
      <c r="AD318" s="5"/>
    </row>
    <row r="319">
      <c r="A319" s="57"/>
      <c r="B319" s="59"/>
      <c r="C319" s="54"/>
      <c r="D319" s="14"/>
      <c r="E319" s="14"/>
      <c r="F319" s="14"/>
      <c r="G319" s="14"/>
      <c r="H319" s="14"/>
      <c r="I319" s="14"/>
      <c r="J319" s="14"/>
      <c r="K319" s="14"/>
      <c r="L319" s="14"/>
      <c r="M319" s="14"/>
      <c r="N319" s="14"/>
      <c r="O319" s="14"/>
      <c r="P319" s="14"/>
      <c r="Q319" s="15"/>
      <c r="R319" s="5"/>
      <c r="S319" s="5"/>
      <c r="T319" s="5"/>
      <c r="U319" s="5"/>
      <c r="V319" s="5"/>
      <c r="W319" s="5"/>
      <c r="X319" s="5"/>
      <c r="Y319" s="5"/>
      <c r="Z319" s="5"/>
      <c r="AA319" s="5"/>
      <c r="AB319" s="5"/>
      <c r="AC319" s="5"/>
      <c r="AD319" s="5"/>
    </row>
    <row r="320">
      <c r="A320" s="55"/>
      <c r="B320" s="56"/>
      <c r="C320" s="52"/>
      <c r="D320" s="9"/>
      <c r="E320" s="9"/>
      <c r="F320" s="9"/>
      <c r="G320" s="9"/>
      <c r="H320" s="9"/>
      <c r="I320" s="9"/>
      <c r="J320" s="9"/>
      <c r="K320" s="9"/>
      <c r="L320" s="9"/>
      <c r="M320" s="9"/>
      <c r="N320" s="9"/>
      <c r="O320" s="9"/>
      <c r="P320" s="9"/>
      <c r="Q320" s="10"/>
      <c r="R320" s="5"/>
      <c r="S320" s="5"/>
      <c r="T320" s="5"/>
      <c r="U320" s="5"/>
      <c r="V320" s="5"/>
      <c r="W320" s="5"/>
      <c r="X320" s="5"/>
      <c r="Y320" s="5"/>
      <c r="Z320" s="5"/>
      <c r="AA320" s="5"/>
      <c r="AB320" s="5"/>
      <c r="AC320" s="5"/>
      <c r="AD320" s="5"/>
    </row>
    <row r="321">
      <c r="A321" s="57"/>
      <c r="B321" s="59"/>
      <c r="C321" s="54"/>
      <c r="D321" s="14"/>
      <c r="E321" s="14"/>
      <c r="F321" s="14"/>
      <c r="G321" s="14"/>
      <c r="H321" s="14"/>
      <c r="I321" s="14"/>
      <c r="J321" s="14"/>
      <c r="K321" s="14"/>
      <c r="L321" s="14"/>
      <c r="M321" s="14"/>
      <c r="N321" s="14"/>
      <c r="O321" s="14"/>
      <c r="P321" s="14"/>
      <c r="Q321" s="15"/>
      <c r="R321" s="5"/>
      <c r="S321" s="5"/>
      <c r="T321" s="5"/>
      <c r="U321" s="5"/>
      <c r="V321" s="5"/>
      <c r="W321" s="5"/>
      <c r="X321" s="5"/>
      <c r="Y321" s="5"/>
      <c r="Z321" s="5"/>
      <c r="AA321" s="5"/>
      <c r="AB321" s="5"/>
      <c r="AC321" s="5"/>
      <c r="AD321" s="5"/>
    </row>
    <row r="322">
      <c r="A322" s="55"/>
      <c r="B322" s="56"/>
      <c r="C322" s="52"/>
      <c r="D322" s="9"/>
      <c r="E322" s="9"/>
      <c r="F322" s="9"/>
      <c r="G322" s="9"/>
      <c r="H322" s="9"/>
      <c r="I322" s="9"/>
      <c r="J322" s="9"/>
      <c r="K322" s="9"/>
      <c r="L322" s="9"/>
      <c r="M322" s="9"/>
      <c r="N322" s="9"/>
      <c r="O322" s="9"/>
      <c r="P322" s="9"/>
      <c r="Q322" s="10"/>
      <c r="R322" s="5"/>
      <c r="S322" s="5"/>
      <c r="T322" s="5"/>
      <c r="U322" s="5"/>
      <c r="V322" s="5"/>
      <c r="W322" s="5"/>
      <c r="X322" s="5"/>
      <c r="Y322" s="5"/>
      <c r="Z322" s="5"/>
      <c r="AA322" s="5"/>
      <c r="AB322" s="5"/>
      <c r="AC322" s="5"/>
      <c r="AD322" s="5"/>
    </row>
    <row r="323">
      <c r="A323" s="57"/>
      <c r="B323" s="59"/>
      <c r="C323" s="54"/>
      <c r="D323" s="14"/>
      <c r="E323" s="14"/>
      <c r="F323" s="14"/>
      <c r="G323" s="14"/>
      <c r="H323" s="14"/>
      <c r="I323" s="14"/>
      <c r="J323" s="14"/>
      <c r="K323" s="14"/>
      <c r="L323" s="14"/>
      <c r="M323" s="14"/>
      <c r="N323" s="14"/>
      <c r="O323" s="14"/>
      <c r="P323" s="14"/>
      <c r="Q323" s="15"/>
      <c r="R323" s="5"/>
      <c r="S323" s="5"/>
      <c r="T323" s="5"/>
      <c r="U323" s="5"/>
      <c r="V323" s="5"/>
      <c r="W323" s="5"/>
      <c r="X323" s="5"/>
      <c r="Y323" s="5"/>
      <c r="Z323" s="5"/>
      <c r="AA323" s="5"/>
      <c r="AB323" s="5"/>
      <c r="AC323" s="5"/>
      <c r="AD323" s="5"/>
    </row>
    <row r="324">
      <c r="A324" s="55"/>
      <c r="B324" s="56"/>
      <c r="C324" s="52"/>
      <c r="D324" s="9"/>
      <c r="E324" s="9"/>
      <c r="F324" s="9"/>
      <c r="G324" s="9"/>
      <c r="H324" s="9"/>
      <c r="I324" s="9"/>
      <c r="J324" s="9"/>
      <c r="K324" s="9"/>
      <c r="L324" s="9"/>
      <c r="M324" s="9"/>
      <c r="N324" s="9"/>
      <c r="O324" s="9"/>
      <c r="P324" s="9"/>
      <c r="Q324" s="10"/>
      <c r="R324" s="5"/>
      <c r="S324" s="5"/>
      <c r="T324" s="5"/>
      <c r="U324" s="5"/>
      <c r="V324" s="5"/>
      <c r="W324" s="5"/>
      <c r="X324" s="5"/>
      <c r="Y324" s="5"/>
      <c r="Z324" s="5"/>
      <c r="AA324" s="5"/>
      <c r="AB324" s="5"/>
      <c r="AC324" s="5"/>
      <c r="AD324" s="5"/>
    </row>
    <row r="325">
      <c r="A325" s="57"/>
      <c r="B325" s="59"/>
      <c r="C325" s="54"/>
      <c r="D325" s="14"/>
      <c r="E325" s="14"/>
      <c r="F325" s="14"/>
      <c r="G325" s="14"/>
      <c r="H325" s="14"/>
      <c r="I325" s="14"/>
      <c r="J325" s="14"/>
      <c r="K325" s="14"/>
      <c r="L325" s="14"/>
      <c r="M325" s="14"/>
      <c r="N325" s="14"/>
      <c r="O325" s="14"/>
      <c r="P325" s="14"/>
      <c r="Q325" s="15"/>
      <c r="R325" s="5"/>
      <c r="S325" s="5"/>
      <c r="T325" s="5"/>
      <c r="U325" s="5"/>
      <c r="V325" s="5"/>
      <c r="W325" s="5"/>
      <c r="X325" s="5"/>
      <c r="Y325" s="5"/>
      <c r="Z325" s="5"/>
      <c r="AA325" s="5"/>
      <c r="AB325" s="5"/>
      <c r="AC325" s="5"/>
      <c r="AD325" s="5"/>
    </row>
    <row r="326">
      <c r="A326" s="55"/>
      <c r="B326" s="56"/>
      <c r="C326" s="52"/>
      <c r="D326" s="9"/>
      <c r="E326" s="9"/>
      <c r="F326" s="9"/>
      <c r="G326" s="9"/>
      <c r="H326" s="9"/>
      <c r="I326" s="9"/>
      <c r="J326" s="9"/>
      <c r="K326" s="9"/>
      <c r="L326" s="9"/>
      <c r="M326" s="9"/>
      <c r="N326" s="9"/>
      <c r="O326" s="9"/>
      <c r="P326" s="9"/>
      <c r="Q326" s="10"/>
      <c r="R326" s="5"/>
      <c r="S326" s="5"/>
      <c r="T326" s="5"/>
      <c r="U326" s="5"/>
      <c r="V326" s="5"/>
      <c r="W326" s="5"/>
      <c r="X326" s="5"/>
      <c r="Y326" s="5"/>
      <c r="Z326" s="5"/>
      <c r="AA326" s="5"/>
      <c r="AB326" s="5"/>
      <c r="AC326" s="5"/>
      <c r="AD326" s="5"/>
    </row>
    <row r="327">
      <c r="A327" s="57"/>
      <c r="B327" s="59"/>
      <c r="C327" s="54"/>
      <c r="D327" s="14"/>
      <c r="E327" s="14"/>
      <c r="F327" s="14"/>
      <c r="G327" s="14"/>
      <c r="H327" s="14"/>
      <c r="I327" s="14"/>
      <c r="J327" s="14"/>
      <c r="K327" s="14"/>
      <c r="L327" s="14"/>
      <c r="M327" s="14"/>
      <c r="N327" s="14"/>
      <c r="O327" s="14"/>
      <c r="P327" s="14"/>
      <c r="Q327" s="15"/>
      <c r="R327" s="5"/>
      <c r="S327" s="5"/>
      <c r="T327" s="5"/>
      <c r="U327" s="5"/>
      <c r="V327" s="5"/>
      <c r="W327" s="5"/>
      <c r="X327" s="5"/>
      <c r="Y327" s="5"/>
      <c r="Z327" s="5"/>
      <c r="AA327" s="5"/>
      <c r="AB327" s="5"/>
      <c r="AC327" s="5"/>
      <c r="AD327" s="5"/>
    </row>
    <row r="328">
      <c r="A328" s="55"/>
      <c r="B328" s="56"/>
      <c r="C328" s="52"/>
      <c r="D328" s="9"/>
      <c r="E328" s="9"/>
      <c r="F328" s="9"/>
      <c r="G328" s="9"/>
      <c r="H328" s="9"/>
      <c r="I328" s="9"/>
      <c r="J328" s="9"/>
      <c r="K328" s="9"/>
      <c r="L328" s="9"/>
      <c r="M328" s="9"/>
      <c r="N328" s="9"/>
      <c r="O328" s="9"/>
      <c r="P328" s="9"/>
      <c r="Q328" s="10"/>
      <c r="R328" s="5"/>
      <c r="S328" s="5"/>
      <c r="T328" s="5"/>
      <c r="U328" s="5"/>
      <c r="V328" s="5"/>
      <c r="W328" s="5"/>
      <c r="X328" s="5"/>
      <c r="Y328" s="5"/>
      <c r="Z328" s="5"/>
      <c r="AA328" s="5"/>
      <c r="AB328" s="5"/>
      <c r="AC328" s="5"/>
      <c r="AD328" s="5"/>
    </row>
    <row r="329">
      <c r="A329" s="57"/>
      <c r="B329" s="59"/>
      <c r="C329" s="54"/>
      <c r="D329" s="14"/>
      <c r="E329" s="14"/>
      <c r="F329" s="14"/>
      <c r="G329" s="14"/>
      <c r="H329" s="14"/>
      <c r="I329" s="14"/>
      <c r="J329" s="14"/>
      <c r="K329" s="14"/>
      <c r="L329" s="14"/>
      <c r="M329" s="14"/>
      <c r="N329" s="14"/>
      <c r="O329" s="14"/>
      <c r="P329" s="14"/>
      <c r="Q329" s="15"/>
      <c r="R329" s="5"/>
      <c r="S329" s="5"/>
      <c r="T329" s="5"/>
      <c r="U329" s="5"/>
      <c r="V329" s="5"/>
      <c r="W329" s="5"/>
      <c r="X329" s="5"/>
      <c r="Y329" s="5"/>
      <c r="Z329" s="5"/>
      <c r="AA329" s="5"/>
      <c r="AB329" s="5"/>
      <c r="AC329" s="5"/>
      <c r="AD329" s="5"/>
    </row>
    <row r="330">
      <c r="A330" s="55"/>
      <c r="B330" s="56"/>
      <c r="C330" s="52"/>
      <c r="D330" s="9"/>
      <c r="E330" s="9"/>
      <c r="F330" s="9"/>
      <c r="G330" s="9"/>
      <c r="H330" s="9"/>
      <c r="I330" s="9"/>
      <c r="J330" s="9"/>
      <c r="K330" s="9"/>
      <c r="L330" s="9"/>
      <c r="M330" s="9"/>
      <c r="N330" s="9"/>
      <c r="O330" s="9"/>
      <c r="P330" s="9"/>
      <c r="Q330" s="10"/>
      <c r="R330" s="5"/>
      <c r="S330" s="5"/>
      <c r="T330" s="5"/>
      <c r="U330" s="5"/>
      <c r="V330" s="5"/>
      <c r="W330" s="5"/>
      <c r="X330" s="5"/>
      <c r="Y330" s="5"/>
      <c r="Z330" s="5"/>
      <c r="AA330" s="5"/>
      <c r="AB330" s="5"/>
      <c r="AC330" s="5"/>
      <c r="AD330" s="5"/>
    </row>
    <row r="331">
      <c r="A331" s="57"/>
      <c r="B331" s="59"/>
      <c r="C331" s="54"/>
      <c r="D331" s="14"/>
      <c r="E331" s="14"/>
      <c r="F331" s="14"/>
      <c r="G331" s="14"/>
      <c r="H331" s="14"/>
      <c r="I331" s="14"/>
      <c r="J331" s="14"/>
      <c r="K331" s="14"/>
      <c r="L331" s="14"/>
      <c r="M331" s="14"/>
      <c r="N331" s="14"/>
      <c r="O331" s="14"/>
      <c r="P331" s="14"/>
      <c r="Q331" s="15"/>
      <c r="R331" s="5"/>
      <c r="S331" s="5"/>
      <c r="T331" s="5"/>
      <c r="U331" s="5"/>
      <c r="V331" s="5"/>
      <c r="W331" s="5"/>
      <c r="X331" s="5"/>
      <c r="Y331" s="5"/>
      <c r="Z331" s="5"/>
      <c r="AA331" s="5"/>
      <c r="AB331" s="5"/>
      <c r="AC331" s="5"/>
      <c r="AD331" s="5"/>
    </row>
    <row r="332">
      <c r="A332" s="55"/>
      <c r="B332" s="56"/>
      <c r="C332" s="52"/>
      <c r="D332" s="9"/>
      <c r="E332" s="9"/>
      <c r="F332" s="9"/>
      <c r="G332" s="9"/>
      <c r="H332" s="9"/>
      <c r="I332" s="9"/>
      <c r="J332" s="9"/>
      <c r="K332" s="9"/>
      <c r="L332" s="9"/>
      <c r="M332" s="9"/>
      <c r="N332" s="9"/>
      <c r="O332" s="9"/>
      <c r="P332" s="9"/>
      <c r="Q332" s="10"/>
      <c r="R332" s="5"/>
      <c r="S332" s="5"/>
      <c r="T332" s="5"/>
      <c r="U332" s="5"/>
      <c r="V332" s="5"/>
      <c r="W332" s="5"/>
      <c r="X332" s="5"/>
      <c r="Y332" s="5"/>
      <c r="Z332" s="5"/>
      <c r="AA332" s="5"/>
      <c r="AB332" s="5"/>
      <c r="AC332" s="5"/>
      <c r="AD332" s="5"/>
    </row>
    <row r="333">
      <c r="A333" s="57"/>
      <c r="B333" s="59"/>
      <c r="C333" s="54"/>
      <c r="D333" s="14"/>
      <c r="E333" s="14"/>
      <c r="F333" s="14"/>
      <c r="G333" s="14"/>
      <c r="H333" s="14"/>
      <c r="I333" s="14"/>
      <c r="J333" s="14"/>
      <c r="K333" s="14"/>
      <c r="L333" s="14"/>
      <c r="M333" s="14"/>
      <c r="N333" s="14"/>
      <c r="O333" s="14"/>
      <c r="P333" s="14"/>
      <c r="Q333" s="15"/>
      <c r="R333" s="5"/>
      <c r="S333" s="5"/>
      <c r="T333" s="5"/>
      <c r="U333" s="5"/>
      <c r="V333" s="5"/>
      <c r="W333" s="5"/>
      <c r="X333" s="5"/>
      <c r="Y333" s="5"/>
      <c r="Z333" s="5"/>
      <c r="AA333" s="5"/>
      <c r="AB333" s="5"/>
      <c r="AC333" s="5"/>
      <c r="AD333" s="5"/>
    </row>
    <row r="334">
      <c r="A334" s="55"/>
      <c r="B334" s="56"/>
      <c r="C334" s="52"/>
      <c r="D334" s="9"/>
      <c r="E334" s="9"/>
      <c r="F334" s="9"/>
      <c r="G334" s="9"/>
      <c r="H334" s="9"/>
      <c r="I334" s="9"/>
      <c r="J334" s="9"/>
      <c r="K334" s="9"/>
      <c r="L334" s="9"/>
      <c r="M334" s="9"/>
      <c r="N334" s="9"/>
      <c r="O334" s="9"/>
      <c r="P334" s="9"/>
      <c r="Q334" s="10"/>
      <c r="R334" s="5"/>
      <c r="S334" s="5"/>
      <c r="T334" s="5"/>
      <c r="U334" s="5"/>
      <c r="V334" s="5"/>
      <c r="W334" s="5"/>
      <c r="X334" s="5"/>
      <c r="Y334" s="5"/>
      <c r="Z334" s="5"/>
      <c r="AA334" s="5"/>
      <c r="AB334" s="5"/>
      <c r="AC334" s="5"/>
      <c r="AD334" s="5"/>
    </row>
    <row r="335">
      <c r="A335" s="57"/>
      <c r="B335" s="59"/>
      <c r="C335" s="54"/>
      <c r="D335" s="14"/>
      <c r="E335" s="14"/>
      <c r="F335" s="14"/>
      <c r="G335" s="14"/>
      <c r="H335" s="14"/>
      <c r="I335" s="14"/>
      <c r="J335" s="14"/>
      <c r="K335" s="14"/>
      <c r="L335" s="14"/>
      <c r="M335" s="14"/>
      <c r="N335" s="14"/>
      <c r="O335" s="14"/>
      <c r="P335" s="14"/>
      <c r="Q335" s="15"/>
      <c r="R335" s="5"/>
      <c r="S335" s="5"/>
      <c r="T335" s="5"/>
      <c r="U335" s="5"/>
      <c r="V335" s="5"/>
      <c r="W335" s="5"/>
      <c r="X335" s="5"/>
      <c r="Y335" s="5"/>
      <c r="Z335" s="5"/>
      <c r="AA335" s="5"/>
      <c r="AB335" s="5"/>
      <c r="AC335" s="5"/>
      <c r="AD335" s="5"/>
    </row>
    <row r="336">
      <c r="A336" s="55"/>
      <c r="B336" s="56"/>
      <c r="C336" s="52"/>
      <c r="D336" s="9"/>
      <c r="E336" s="9"/>
      <c r="F336" s="9"/>
      <c r="G336" s="9"/>
      <c r="H336" s="9"/>
      <c r="I336" s="9"/>
      <c r="J336" s="9"/>
      <c r="K336" s="9"/>
      <c r="L336" s="9"/>
      <c r="M336" s="9"/>
      <c r="N336" s="9"/>
      <c r="O336" s="9"/>
      <c r="P336" s="9"/>
      <c r="Q336" s="10"/>
      <c r="R336" s="5"/>
      <c r="S336" s="5"/>
      <c r="T336" s="5"/>
      <c r="U336" s="5"/>
      <c r="V336" s="5"/>
      <c r="W336" s="5"/>
      <c r="X336" s="5"/>
      <c r="Y336" s="5"/>
      <c r="Z336" s="5"/>
      <c r="AA336" s="5"/>
      <c r="AB336" s="5"/>
      <c r="AC336" s="5"/>
      <c r="AD336" s="5"/>
    </row>
    <row r="337">
      <c r="A337" s="57"/>
      <c r="B337" s="59"/>
      <c r="C337" s="54"/>
      <c r="D337" s="14"/>
      <c r="E337" s="14"/>
      <c r="F337" s="14"/>
      <c r="G337" s="14"/>
      <c r="H337" s="14"/>
      <c r="I337" s="14"/>
      <c r="J337" s="14"/>
      <c r="K337" s="14"/>
      <c r="L337" s="14"/>
      <c r="M337" s="14"/>
      <c r="N337" s="14"/>
      <c r="O337" s="14"/>
      <c r="P337" s="14"/>
      <c r="Q337" s="15"/>
      <c r="R337" s="5"/>
      <c r="S337" s="5"/>
      <c r="T337" s="5"/>
      <c r="U337" s="5"/>
      <c r="V337" s="5"/>
      <c r="W337" s="5"/>
      <c r="X337" s="5"/>
      <c r="Y337" s="5"/>
      <c r="Z337" s="5"/>
      <c r="AA337" s="5"/>
      <c r="AB337" s="5"/>
      <c r="AC337" s="5"/>
      <c r="AD337" s="5"/>
    </row>
    <row r="338">
      <c r="A338" s="55"/>
      <c r="B338" s="56"/>
      <c r="C338" s="52"/>
      <c r="D338" s="9"/>
      <c r="E338" s="9"/>
      <c r="F338" s="9"/>
      <c r="G338" s="9"/>
      <c r="H338" s="9"/>
      <c r="I338" s="9"/>
      <c r="J338" s="9"/>
      <c r="K338" s="9"/>
      <c r="L338" s="9"/>
      <c r="M338" s="9"/>
      <c r="N338" s="9"/>
      <c r="O338" s="9"/>
      <c r="P338" s="9"/>
      <c r="Q338" s="10"/>
      <c r="R338" s="5"/>
      <c r="S338" s="5"/>
      <c r="T338" s="5"/>
      <c r="U338" s="5"/>
      <c r="V338" s="5"/>
      <c r="W338" s="5"/>
      <c r="X338" s="5"/>
      <c r="Y338" s="5"/>
      <c r="Z338" s="5"/>
      <c r="AA338" s="5"/>
      <c r="AB338" s="5"/>
      <c r="AC338" s="5"/>
      <c r="AD338" s="5"/>
    </row>
    <row r="339">
      <c r="A339" s="57"/>
      <c r="B339" s="59"/>
      <c r="C339" s="54"/>
      <c r="D339" s="14"/>
      <c r="E339" s="14"/>
      <c r="F339" s="14"/>
      <c r="G339" s="14"/>
      <c r="H339" s="14"/>
      <c r="I339" s="14"/>
      <c r="J339" s="14"/>
      <c r="K339" s="14"/>
      <c r="L339" s="14"/>
      <c r="M339" s="14"/>
      <c r="N339" s="14"/>
      <c r="O339" s="14"/>
      <c r="P339" s="14"/>
      <c r="Q339" s="15"/>
      <c r="R339" s="5"/>
      <c r="S339" s="5"/>
      <c r="T339" s="5"/>
      <c r="U339" s="5"/>
      <c r="V339" s="5"/>
      <c r="W339" s="5"/>
      <c r="X339" s="5"/>
      <c r="Y339" s="5"/>
      <c r="Z339" s="5"/>
      <c r="AA339" s="5"/>
      <c r="AB339" s="5"/>
      <c r="AC339" s="5"/>
      <c r="AD339" s="5"/>
    </row>
    <row r="340">
      <c r="A340" s="55"/>
      <c r="B340" s="56"/>
      <c r="C340" s="52"/>
      <c r="D340" s="9"/>
      <c r="E340" s="9"/>
      <c r="F340" s="9"/>
      <c r="G340" s="9"/>
      <c r="H340" s="9"/>
      <c r="I340" s="9"/>
      <c r="J340" s="9"/>
      <c r="K340" s="9"/>
      <c r="L340" s="9"/>
      <c r="M340" s="9"/>
      <c r="N340" s="9"/>
      <c r="O340" s="9"/>
      <c r="P340" s="9"/>
      <c r="Q340" s="10"/>
      <c r="R340" s="5"/>
      <c r="S340" s="5"/>
      <c r="T340" s="5"/>
      <c r="U340" s="5"/>
      <c r="V340" s="5"/>
      <c r="W340" s="5"/>
      <c r="X340" s="5"/>
      <c r="Y340" s="5"/>
      <c r="Z340" s="5"/>
      <c r="AA340" s="5"/>
      <c r="AB340" s="5"/>
      <c r="AC340" s="5"/>
      <c r="AD340" s="5"/>
    </row>
    <row r="341">
      <c r="A341" s="57"/>
      <c r="B341" s="59"/>
      <c r="C341" s="54"/>
      <c r="D341" s="14"/>
      <c r="E341" s="14"/>
      <c r="F341" s="14"/>
      <c r="G341" s="14"/>
      <c r="H341" s="14"/>
      <c r="I341" s="14"/>
      <c r="J341" s="14"/>
      <c r="K341" s="14"/>
      <c r="L341" s="14"/>
      <c r="M341" s="14"/>
      <c r="N341" s="14"/>
      <c r="O341" s="14"/>
      <c r="P341" s="14"/>
      <c r="Q341" s="15"/>
      <c r="R341" s="5"/>
      <c r="S341" s="5"/>
      <c r="T341" s="5"/>
      <c r="U341" s="5"/>
      <c r="V341" s="5"/>
      <c r="W341" s="5"/>
      <c r="X341" s="5"/>
      <c r="Y341" s="5"/>
      <c r="Z341" s="5"/>
      <c r="AA341" s="5"/>
      <c r="AB341" s="5"/>
      <c r="AC341" s="5"/>
      <c r="AD341" s="5"/>
    </row>
    <row r="342">
      <c r="A342" s="55"/>
      <c r="B342" s="56"/>
      <c r="C342" s="52"/>
      <c r="D342" s="9"/>
      <c r="E342" s="9"/>
      <c r="F342" s="9"/>
      <c r="G342" s="9"/>
      <c r="H342" s="9"/>
      <c r="I342" s="9"/>
      <c r="J342" s="9"/>
      <c r="K342" s="9"/>
      <c r="L342" s="9"/>
      <c r="M342" s="9"/>
      <c r="N342" s="9"/>
      <c r="O342" s="9"/>
      <c r="P342" s="9"/>
      <c r="Q342" s="10"/>
      <c r="R342" s="5"/>
      <c r="S342" s="5"/>
      <c r="T342" s="5"/>
      <c r="U342" s="5"/>
      <c r="V342" s="5"/>
      <c r="W342" s="5"/>
      <c r="X342" s="5"/>
      <c r="Y342" s="5"/>
      <c r="Z342" s="5"/>
      <c r="AA342" s="5"/>
      <c r="AB342" s="5"/>
      <c r="AC342" s="5"/>
      <c r="AD342" s="5"/>
    </row>
    <row r="343">
      <c r="A343" s="57"/>
      <c r="B343" s="59"/>
      <c r="C343" s="54"/>
      <c r="D343" s="14"/>
      <c r="E343" s="14"/>
      <c r="F343" s="14"/>
      <c r="G343" s="14"/>
      <c r="H343" s="14"/>
      <c r="I343" s="14"/>
      <c r="J343" s="14"/>
      <c r="K343" s="14"/>
      <c r="L343" s="14"/>
      <c r="M343" s="14"/>
      <c r="N343" s="14"/>
      <c r="O343" s="14"/>
      <c r="P343" s="14"/>
      <c r="Q343" s="15"/>
      <c r="R343" s="5"/>
      <c r="S343" s="5"/>
      <c r="T343" s="5"/>
      <c r="U343" s="5"/>
      <c r="V343" s="5"/>
      <c r="W343" s="5"/>
      <c r="X343" s="5"/>
      <c r="Y343" s="5"/>
      <c r="Z343" s="5"/>
      <c r="AA343" s="5"/>
      <c r="AB343" s="5"/>
      <c r="AC343" s="5"/>
      <c r="AD343" s="5"/>
    </row>
    <row r="344">
      <c r="A344" s="55"/>
      <c r="B344" s="56"/>
      <c r="C344" s="52"/>
      <c r="D344" s="9"/>
      <c r="E344" s="9"/>
      <c r="F344" s="9"/>
      <c r="G344" s="9"/>
      <c r="H344" s="9"/>
      <c r="I344" s="9"/>
      <c r="J344" s="9"/>
      <c r="K344" s="9"/>
      <c r="L344" s="9"/>
      <c r="M344" s="9"/>
      <c r="N344" s="9"/>
      <c r="O344" s="9"/>
      <c r="P344" s="9"/>
      <c r="Q344" s="10"/>
      <c r="R344" s="5"/>
      <c r="S344" s="5"/>
      <c r="T344" s="5"/>
      <c r="U344" s="5"/>
      <c r="V344" s="5"/>
      <c r="W344" s="5"/>
      <c r="X344" s="5"/>
      <c r="Y344" s="5"/>
      <c r="Z344" s="5"/>
      <c r="AA344" s="5"/>
      <c r="AB344" s="5"/>
      <c r="AC344" s="5"/>
      <c r="AD344" s="5"/>
    </row>
    <row r="345">
      <c r="A345" s="57"/>
      <c r="B345" s="59"/>
      <c r="C345" s="54"/>
      <c r="D345" s="14"/>
      <c r="E345" s="14"/>
      <c r="F345" s="14"/>
      <c r="G345" s="14"/>
      <c r="H345" s="14"/>
      <c r="I345" s="14"/>
      <c r="J345" s="14"/>
      <c r="K345" s="14"/>
      <c r="L345" s="14"/>
      <c r="M345" s="14"/>
      <c r="N345" s="14"/>
      <c r="O345" s="14"/>
      <c r="P345" s="14"/>
      <c r="Q345" s="15"/>
      <c r="R345" s="5"/>
      <c r="S345" s="5"/>
      <c r="T345" s="5"/>
      <c r="U345" s="5"/>
      <c r="V345" s="5"/>
      <c r="W345" s="5"/>
      <c r="X345" s="5"/>
      <c r="Y345" s="5"/>
      <c r="Z345" s="5"/>
      <c r="AA345" s="5"/>
      <c r="AB345" s="5"/>
      <c r="AC345" s="5"/>
      <c r="AD345" s="5"/>
    </row>
    <row r="346">
      <c r="A346" s="55"/>
      <c r="B346" s="56"/>
      <c r="C346" s="52"/>
      <c r="D346" s="9"/>
      <c r="E346" s="9"/>
      <c r="F346" s="9"/>
      <c r="G346" s="9"/>
      <c r="H346" s="9"/>
      <c r="I346" s="9"/>
      <c r="J346" s="9"/>
      <c r="K346" s="9"/>
      <c r="L346" s="9"/>
      <c r="M346" s="9"/>
      <c r="N346" s="9"/>
      <c r="O346" s="9"/>
      <c r="P346" s="9"/>
      <c r="Q346" s="10"/>
      <c r="R346" s="5"/>
      <c r="S346" s="5"/>
      <c r="T346" s="5"/>
      <c r="U346" s="5"/>
      <c r="V346" s="5"/>
      <c r="W346" s="5"/>
      <c r="X346" s="5"/>
      <c r="Y346" s="5"/>
      <c r="Z346" s="5"/>
      <c r="AA346" s="5"/>
      <c r="AB346" s="5"/>
      <c r="AC346" s="5"/>
      <c r="AD346" s="5"/>
    </row>
    <row r="347">
      <c r="A347" s="57"/>
      <c r="B347" s="59"/>
      <c r="C347" s="54"/>
      <c r="D347" s="14"/>
      <c r="E347" s="14"/>
      <c r="F347" s="14"/>
      <c r="G347" s="14"/>
      <c r="H347" s="14"/>
      <c r="I347" s="14"/>
      <c r="J347" s="14"/>
      <c r="K347" s="14"/>
      <c r="L347" s="14"/>
      <c r="M347" s="14"/>
      <c r="N347" s="14"/>
      <c r="O347" s="14"/>
      <c r="P347" s="14"/>
      <c r="Q347" s="15"/>
      <c r="R347" s="5"/>
      <c r="S347" s="5"/>
      <c r="T347" s="5"/>
      <c r="U347" s="5"/>
      <c r="V347" s="5"/>
      <c r="W347" s="5"/>
      <c r="X347" s="5"/>
      <c r="Y347" s="5"/>
      <c r="Z347" s="5"/>
      <c r="AA347" s="5"/>
      <c r="AB347" s="5"/>
      <c r="AC347" s="5"/>
      <c r="AD347" s="5"/>
    </row>
    <row r="348">
      <c r="A348" s="55"/>
      <c r="B348" s="56"/>
      <c r="C348" s="52"/>
      <c r="D348" s="9"/>
      <c r="E348" s="9"/>
      <c r="F348" s="9"/>
      <c r="G348" s="9"/>
      <c r="H348" s="9"/>
      <c r="I348" s="9"/>
      <c r="J348" s="9"/>
      <c r="K348" s="9"/>
      <c r="L348" s="9"/>
      <c r="M348" s="9"/>
      <c r="N348" s="9"/>
      <c r="O348" s="9"/>
      <c r="P348" s="9"/>
      <c r="Q348" s="10"/>
      <c r="R348" s="5"/>
      <c r="S348" s="5"/>
      <c r="T348" s="5"/>
      <c r="U348" s="5"/>
      <c r="V348" s="5"/>
      <c r="W348" s="5"/>
      <c r="X348" s="5"/>
      <c r="Y348" s="5"/>
      <c r="Z348" s="5"/>
      <c r="AA348" s="5"/>
      <c r="AB348" s="5"/>
      <c r="AC348" s="5"/>
      <c r="AD348" s="5"/>
    </row>
    <row r="349">
      <c r="A349" s="57"/>
      <c r="B349" s="59"/>
      <c r="C349" s="54"/>
      <c r="D349" s="14"/>
      <c r="E349" s="14"/>
      <c r="F349" s="14"/>
      <c r="G349" s="14"/>
      <c r="H349" s="14"/>
      <c r="I349" s="14"/>
      <c r="J349" s="14"/>
      <c r="K349" s="14"/>
      <c r="L349" s="14"/>
      <c r="M349" s="14"/>
      <c r="N349" s="14"/>
      <c r="O349" s="14"/>
      <c r="P349" s="14"/>
      <c r="Q349" s="15"/>
      <c r="R349" s="5"/>
      <c r="S349" s="5"/>
      <c r="T349" s="5"/>
      <c r="U349" s="5"/>
      <c r="V349" s="5"/>
      <c r="W349" s="5"/>
      <c r="X349" s="5"/>
      <c r="Y349" s="5"/>
      <c r="Z349" s="5"/>
      <c r="AA349" s="5"/>
      <c r="AB349" s="5"/>
      <c r="AC349" s="5"/>
      <c r="AD349" s="5"/>
    </row>
    <row r="350">
      <c r="A350" s="55"/>
      <c r="B350" s="56"/>
      <c r="C350" s="52"/>
      <c r="D350" s="9"/>
      <c r="E350" s="9"/>
      <c r="F350" s="9"/>
      <c r="G350" s="9"/>
      <c r="H350" s="9"/>
      <c r="I350" s="9"/>
      <c r="J350" s="9"/>
      <c r="K350" s="9"/>
      <c r="L350" s="9"/>
      <c r="M350" s="9"/>
      <c r="N350" s="9"/>
      <c r="O350" s="9"/>
      <c r="P350" s="9"/>
      <c r="Q350" s="10"/>
      <c r="R350" s="5"/>
      <c r="S350" s="5"/>
      <c r="T350" s="5"/>
      <c r="U350" s="5"/>
      <c r="V350" s="5"/>
      <c r="W350" s="5"/>
      <c r="X350" s="5"/>
      <c r="Y350" s="5"/>
      <c r="Z350" s="5"/>
      <c r="AA350" s="5"/>
      <c r="AB350" s="5"/>
      <c r="AC350" s="5"/>
      <c r="AD350" s="5"/>
    </row>
    <row r="351">
      <c r="A351" s="57"/>
      <c r="B351" s="59"/>
      <c r="C351" s="54"/>
      <c r="D351" s="14"/>
      <c r="E351" s="14"/>
      <c r="F351" s="14"/>
      <c r="G351" s="14"/>
      <c r="H351" s="14"/>
      <c r="I351" s="14"/>
      <c r="J351" s="14"/>
      <c r="K351" s="14"/>
      <c r="L351" s="14"/>
      <c r="M351" s="14"/>
      <c r="N351" s="14"/>
      <c r="O351" s="14"/>
      <c r="P351" s="14"/>
      <c r="Q351" s="15"/>
      <c r="R351" s="5"/>
      <c r="S351" s="5"/>
      <c r="T351" s="5"/>
      <c r="U351" s="5"/>
      <c r="V351" s="5"/>
      <c r="W351" s="5"/>
      <c r="X351" s="5"/>
      <c r="Y351" s="5"/>
      <c r="Z351" s="5"/>
      <c r="AA351" s="5"/>
      <c r="AB351" s="5"/>
      <c r="AC351" s="5"/>
      <c r="AD351" s="5"/>
    </row>
    <row r="352">
      <c r="A352" s="55"/>
      <c r="B352" s="56"/>
      <c r="C352" s="52"/>
      <c r="D352" s="9"/>
      <c r="E352" s="9"/>
      <c r="F352" s="9"/>
      <c r="G352" s="9"/>
      <c r="H352" s="9"/>
      <c r="I352" s="9"/>
      <c r="J352" s="9"/>
      <c r="K352" s="9"/>
      <c r="L352" s="9"/>
      <c r="M352" s="9"/>
      <c r="N352" s="9"/>
      <c r="O352" s="9"/>
      <c r="P352" s="9"/>
      <c r="Q352" s="10"/>
      <c r="R352" s="5"/>
      <c r="S352" s="5"/>
      <c r="T352" s="5"/>
      <c r="U352" s="5"/>
      <c r="V352" s="5"/>
      <c r="W352" s="5"/>
      <c r="X352" s="5"/>
      <c r="Y352" s="5"/>
      <c r="Z352" s="5"/>
      <c r="AA352" s="5"/>
      <c r="AB352" s="5"/>
      <c r="AC352" s="5"/>
      <c r="AD352" s="5"/>
    </row>
    <row r="353">
      <c r="A353" s="57"/>
      <c r="B353" s="59"/>
      <c r="C353" s="54"/>
      <c r="D353" s="14"/>
      <c r="E353" s="14"/>
      <c r="F353" s="14"/>
      <c r="G353" s="14"/>
      <c r="H353" s="14"/>
      <c r="I353" s="14"/>
      <c r="J353" s="14"/>
      <c r="K353" s="14"/>
      <c r="L353" s="14"/>
      <c r="M353" s="14"/>
      <c r="N353" s="14"/>
      <c r="O353" s="14"/>
      <c r="P353" s="14"/>
      <c r="Q353" s="15"/>
      <c r="R353" s="5"/>
      <c r="S353" s="5"/>
      <c r="T353" s="5"/>
      <c r="U353" s="5"/>
      <c r="V353" s="5"/>
      <c r="W353" s="5"/>
      <c r="X353" s="5"/>
      <c r="Y353" s="5"/>
      <c r="Z353" s="5"/>
      <c r="AA353" s="5"/>
      <c r="AB353" s="5"/>
      <c r="AC353" s="5"/>
      <c r="AD353" s="5"/>
    </row>
    <row r="354">
      <c r="A354" s="55"/>
      <c r="B354" s="56"/>
      <c r="C354" s="52"/>
      <c r="D354" s="9"/>
      <c r="E354" s="9"/>
      <c r="F354" s="9"/>
      <c r="G354" s="9"/>
      <c r="H354" s="9"/>
      <c r="I354" s="9"/>
      <c r="J354" s="9"/>
      <c r="K354" s="9"/>
      <c r="L354" s="9"/>
      <c r="M354" s="9"/>
      <c r="N354" s="9"/>
      <c r="O354" s="9"/>
      <c r="P354" s="9"/>
      <c r="Q354" s="10"/>
      <c r="R354" s="5"/>
      <c r="S354" s="5"/>
      <c r="T354" s="5"/>
      <c r="U354" s="5"/>
      <c r="V354" s="5"/>
      <c r="W354" s="5"/>
      <c r="X354" s="5"/>
      <c r="Y354" s="5"/>
      <c r="Z354" s="5"/>
      <c r="AA354" s="5"/>
      <c r="AB354" s="5"/>
      <c r="AC354" s="5"/>
      <c r="AD354" s="5"/>
    </row>
    <row r="355">
      <c r="A355" s="57"/>
      <c r="B355" s="59"/>
      <c r="C355" s="54"/>
      <c r="D355" s="14"/>
      <c r="E355" s="14"/>
      <c r="F355" s="14"/>
      <c r="G355" s="14"/>
      <c r="H355" s="14"/>
      <c r="I355" s="14"/>
      <c r="J355" s="14"/>
      <c r="K355" s="14"/>
      <c r="L355" s="14"/>
      <c r="M355" s="14"/>
      <c r="N355" s="14"/>
      <c r="O355" s="14"/>
      <c r="P355" s="14"/>
      <c r="Q355" s="15"/>
      <c r="R355" s="5"/>
      <c r="S355" s="5"/>
      <c r="T355" s="5"/>
      <c r="U355" s="5"/>
      <c r="V355" s="5"/>
      <c r="W355" s="5"/>
      <c r="X355" s="5"/>
      <c r="Y355" s="5"/>
      <c r="Z355" s="5"/>
      <c r="AA355" s="5"/>
      <c r="AB355" s="5"/>
      <c r="AC355" s="5"/>
      <c r="AD355" s="5"/>
    </row>
    <row r="356">
      <c r="A356" s="55"/>
      <c r="B356" s="56"/>
      <c r="C356" s="52"/>
      <c r="D356" s="9"/>
      <c r="E356" s="9"/>
      <c r="F356" s="9"/>
      <c r="G356" s="9"/>
      <c r="H356" s="9"/>
      <c r="I356" s="9"/>
      <c r="J356" s="9"/>
      <c r="K356" s="9"/>
      <c r="L356" s="9"/>
      <c r="M356" s="9"/>
      <c r="N356" s="9"/>
      <c r="O356" s="9"/>
      <c r="P356" s="9"/>
      <c r="Q356" s="10"/>
      <c r="R356" s="5"/>
      <c r="S356" s="5"/>
      <c r="T356" s="5"/>
      <c r="U356" s="5"/>
      <c r="V356" s="5"/>
      <c r="W356" s="5"/>
      <c r="X356" s="5"/>
      <c r="Y356" s="5"/>
      <c r="Z356" s="5"/>
      <c r="AA356" s="5"/>
      <c r="AB356" s="5"/>
      <c r="AC356" s="5"/>
      <c r="AD356" s="5"/>
    </row>
    <row r="357">
      <c r="A357" s="57"/>
      <c r="B357" s="59"/>
      <c r="C357" s="54"/>
      <c r="D357" s="14"/>
      <c r="E357" s="14"/>
      <c r="F357" s="14"/>
      <c r="G357" s="14"/>
      <c r="H357" s="14"/>
      <c r="I357" s="14"/>
      <c r="J357" s="14"/>
      <c r="K357" s="14"/>
      <c r="L357" s="14"/>
      <c r="M357" s="14"/>
      <c r="N357" s="14"/>
      <c r="O357" s="14"/>
      <c r="P357" s="14"/>
      <c r="Q357" s="15"/>
      <c r="R357" s="5"/>
      <c r="S357" s="5"/>
      <c r="T357" s="5"/>
      <c r="U357" s="5"/>
      <c r="V357" s="5"/>
      <c r="W357" s="5"/>
      <c r="X357" s="5"/>
      <c r="Y357" s="5"/>
      <c r="Z357" s="5"/>
      <c r="AA357" s="5"/>
      <c r="AB357" s="5"/>
      <c r="AC357" s="5"/>
      <c r="AD357" s="5"/>
    </row>
    <row r="358">
      <c r="A358" s="55"/>
      <c r="B358" s="56"/>
      <c r="C358" s="52"/>
      <c r="D358" s="9"/>
      <c r="E358" s="9"/>
      <c r="F358" s="9"/>
      <c r="G358" s="9"/>
      <c r="H358" s="9"/>
      <c r="I358" s="9"/>
      <c r="J358" s="9"/>
      <c r="K358" s="9"/>
      <c r="L358" s="9"/>
      <c r="M358" s="9"/>
      <c r="N358" s="9"/>
      <c r="O358" s="9"/>
      <c r="P358" s="9"/>
      <c r="Q358" s="10"/>
      <c r="R358" s="5"/>
      <c r="S358" s="5"/>
      <c r="T358" s="5"/>
      <c r="U358" s="5"/>
      <c r="V358" s="5"/>
      <c r="W358" s="5"/>
      <c r="X358" s="5"/>
      <c r="Y358" s="5"/>
      <c r="Z358" s="5"/>
      <c r="AA358" s="5"/>
      <c r="AB358" s="5"/>
      <c r="AC358" s="5"/>
      <c r="AD358" s="5"/>
    </row>
    <row r="359">
      <c r="A359" s="57"/>
      <c r="B359" s="59"/>
      <c r="C359" s="54"/>
      <c r="D359" s="14"/>
      <c r="E359" s="14"/>
      <c r="F359" s="14"/>
      <c r="G359" s="14"/>
      <c r="H359" s="14"/>
      <c r="I359" s="14"/>
      <c r="J359" s="14"/>
      <c r="K359" s="14"/>
      <c r="L359" s="14"/>
      <c r="M359" s="14"/>
      <c r="N359" s="14"/>
      <c r="O359" s="14"/>
      <c r="P359" s="14"/>
      <c r="Q359" s="15"/>
      <c r="R359" s="5"/>
      <c r="S359" s="5"/>
      <c r="T359" s="5"/>
      <c r="U359" s="5"/>
      <c r="V359" s="5"/>
      <c r="W359" s="5"/>
      <c r="X359" s="5"/>
      <c r="Y359" s="5"/>
      <c r="Z359" s="5"/>
      <c r="AA359" s="5"/>
      <c r="AB359" s="5"/>
      <c r="AC359" s="5"/>
      <c r="AD359" s="5"/>
    </row>
    <row r="360">
      <c r="A360" s="55"/>
      <c r="B360" s="56"/>
      <c r="C360" s="52"/>
      <c r="D360" s="9"/>
      <c r="E360" s="9"/>
      <c r="F360" s="9"/>
      <c r="G360" s="9"/>
      <c r="H360" s="9"/>
      <c r="I360" s="9"/>
      <c r="J360" s="9"/>
      <c r="K360" s="9"/>
      <c r="L360" s="9"/>
      <c r="M360" s="9"/>
      <c r="N360" s="9"/>
      <c r="O360" s="9"/>
      <c r="P360" s="9"/>
      <c r="Q360" s="10"/>
      <c r="R360" s="5"/>
      <c r="S360" s="5"/>
      <c r="T360" s="5"/>
      <c r="U360" s="5"/>
      <c r="V360" s="5"/>
      <c r="W360" s="5"/>
      <c r="X360" s="5"/>
      <c r="Y360" s="5"/>
      <c r="Z360" s="5"/>
      <c r="AA360" s="5"/>
      <c r="AB360" s="5"/>
      <c r="AC360" s="5"/>
      <c r="AD360" s="5"/>
    </row>
    <row r="361">
      <c r="A361" s="57"/>
      <c r="B361" s="59"/>
      <c r="C361" s="54"/>
      <c r="D361" s="14"/>
      <c r="E361" s="14"/>
      <c r="F361" s="14"/>
      <c r="G361" s="14"/>
      <c r="H361" s="14"/>
      <c r="I361" s="14"/>
      <c r="J361" s="14"/>
      <c r="K361" s="14"/>
      <c r="L361" s="14"/>
      <c r="M361" s="14"/>
      <c r="N361" s="14"/>
      <c r="O361" s="14"/>
      <c r="P361" s="14"/>
      <c r="Q361" s="15"/>
      <c r="R361" s="5"/>
      <c r="S361" s="5"/>
      <c r="T361" s="5"/>
      <c r="U361" s="5"/>
      <c r="V361" s="5"/>
      <c r="W361" s="5"/>
      <c r="X361" s="5"/>
      <c r="Y361" s="5"/>
      <c r="Z361" s="5"/>
      <c r="AA361" s="5"/>
      <c r="AB361" s="5"/>
      <c r="AC361" s="5"/>
      <c r="AD361" s="5"/>
    </row>
    <row r="362">
      <c r="A362" s="55"/>
      <c r="B362" s="56"/>
      <c r="C362" s="52"/>
      <c r="D362" s="9"/>
      <c r="E362" s="9"/>
      <c r="F362" s="9"/>
      <c r="G362" s="9"/>
      <c r="H362" s="9"/>
      <c r="I362" s="9"/>
      <c r="J362" s="9"/>
      <c r="K362" s="9"/>
      <c r="L362" s="9"/>
      <c r="M362" s="9"/>
      <c r="N362" s="9"/>
      <c r="O362" s="9"/>
      <c r="P362" s="9"/>
      <c r="Q362" s="10"/>
      <c r="R362" s="5"/>
      <c r="S362" s="5"/>
      <c r="T362" s="5"/>
      <c r="U362" s="5"/>
      <c r="V362" s="5"/>
      <c r="W362" s="5"/>
      <c r="X362" s="5"/>
      <c r="Y362" s="5"/>
      <c r="Z362" s="5"/>
      <c r="AA362" s="5"/>
      <c r="AB362" s="5"/>
      <c r="AC362" s="5"/>
      <c r="AD362" s="5"/>
    </row>
    <row r="363">
      <c r="A363" s="57"/>
      <c r="B363" s="59"/>
      <c r="C363" s="54"/>
      <c r="D363" s="14"/>
      <c r="E363" s="14"/>
      <c r="F363" s="14"/>
      <c r="G363" s="14"/>
      <c r="H363" s="14"/>
      <c r="I363" s="14"/>
      <c r="J363" s="14"/>
      <c r="K363" s="14"/>
      <c r="L363" s="14"/>
      <c r="M363" s="14"/>
      <c r="N363" s="14"/>
      <c r="O363" s="14"/>
      <c r="P363" s="14"/>
      <c r="Q363" s="15"/>
      <c r="R363" s="5"/>
      <c r="S363" s="5"/>
      <c r="T363" s="5"/>
      <c r="U363" s="5"/>
      <c r="V363" s="5"/>
      <c r="W363" s="5"/>
      <c r="X363" s="5"/>
      <c r="Y363" s="5"/>
      <c r="Z363" s="5"/>
      <c r="AA363" s="5"/>
      <c r="AB363" s="5"/>
      <c r="AC363" s="5"/>
      <c r="AD363" s="5"/>
    </row>
    <row r="364">
      <c r="A364" s="55"/>
      <c r="B364" s="56"/>
      <c r="C364" s="52"/>
      <c r="D364" s="9"/>
      <c r="E364" s="9"/>
      <c r="F364" s="9"/>
      <c r="G364" s="9"/>
      <c r="H364" s="9"/>
      <c r="I364" s="9"/>
      <c r="J364" s="9"/>
      <c r="K364" s="9"/>
      <c r="L364" s="9"/>
      <c r="M364" s="9"/>
      <c r="N364" s="9"/>
      <c r="O364" s="9"/>
      <c r="P364" s="9"/>
      <c r="Q364" s="10"/>
      <c r="R364" s="5"/>
      <c r="S364" s="5"/>
      <c r="T364" s="5"/>
      <c r="U364" s="5"/>
      <c r="V364" s="5"/>
      <c r="W364" s="5"/>
      <c r="X364" s="5"/>
      <c r="Y364" s="5"/>
      <c r="Z364" s="5"/>
      <c r="AA364" s="5"/>
      <c r="AB364" s="5"/>
      <c r="AC364" s="5"/>
      <c r="AD364" s="5"/>
    </row>
    <row r="365">
      <c r="A365" s="57"/>
      <c r="B365" s="59"/>
      <c r="C365" s="54"/>
      <c r="D365" s="14"/>
      <c r="E365" s="14"/>
      <c r="F365" s="14"/>
      <c r="G365" s="14"/>
      <c r="H365" s="14"/>
      <c r="I365" s="14"/>
      <c r="J365" s="14"/>
      <c r="K365" s="14"/>
      <c r="L365" s="14"/>
      <c r="M365" s="14"/>
      <c r="N365" s="14"/>
      <c r="O365" s="14"/>
      <c r="P365" s="14"/>
      <c r="Q365" s="15"/>
      <c r="R365" s="5"/>
      <c r="S365" s="5"/>
      <c r="T365" s="5"/>
      <c r="U365" s="5"/>
      <c r="V365" s="5"/>
      <c r="W365" s="5"/>
      <c r="X365" s="5"/>
      <c r="Y365" s="5"/>
      <c r="Z365" s="5"/>
      <c r="AA365" s="5"/>
      <c r="AB365" s="5"/>
      <c r="AC365" s="5"/>
      <c r="AD365" s="5"/>
    </row>
    <row r="366">
      <c r="A366" s="55"/>
      <c r="B366" s="56"/>
      <c r="C366" s="52"/>
      <c r="D366" s="9"/>
      <c r="E366" s="9"/>
      <c r="F366" s="9"/>
      <c r="G366" s="9"/>
      <c r="H366" s="9"/>
      <c r="I366" s="9"/>
      <c r="J366" s="9"/>
      <c r="K366" s="9"/>
      <c r="L366" s="9"/>
      <c r="M366" s="9"/>
      <c r="N366" s="9"/>
      <c r="O366" s="9"/>
      <c r="P366" s="9"/>
      <c r="Q366" s="10"/>
      <c r="R366" s="5"/>
      <c r="S366" s="5"/>
      <c r="T366" s="5"/>
      <c r="U366" s="5"/>
      <c r="V366" s="5"/>
      <c r="W366" s="5"/>
      <c r="X366" s="5"/>
      <c r="Y366" s="5"/>
      <c r="Z366" s="5"/>
      <c r="AA366" s="5"/>
      <c r="AB366" s="5"/>
      <c r="AC366" s="5"/>
      <c r="AD366" s="5"/>
    </row>
    <row r="367">
      <c r="A367" s="57"/>
      <c r="B367" s="59"/>
      <c r="C367" s="54"/>
      <c r="D367" s="14"/>
      <c r="E367" s="14"/>
      <c r="F367" s="14"/>
      <c r="G367" s="14"/>
      <c r="H367" s="14"/>
      <c r="I367" s="14"/>
      <c r="J367" s="14"/>
      <c r="K367" s="14"/>
      <c r="L367" s="14"/>
      <c r="M367" s="14"/>
      <c r="N367" s="14"/>
      <c r="O367" s="14"/>
      <c r="P367" s="14"/>
      <c r="Q367" s="15"/>
      <c r="R367" s="5"/>
      <c r="S367" s="5"/>
      <c r="T367" s="5"/>
      <c r="U367" s="5"/>
      <c r="V367" s="5"/>
      <c r="W367" s="5"/>
      <c r="X367" s="5"/>
      <c r="Y367" s="5"/>
      <c r="Z367" s="5"/>
      <c r="AA367" s="5"/>
      <c r="AB367" s="5"/>
      <c r="AC367" s="5"/>
      <c r="AD367" s="5"/>
    </row>
    <row r="368">
      <c r="A368" s="55"/>
      <c r="B368" s="56"/>
      <c r="C368" s="52"/>
      <c r="D368" s="9"/>
      <c r="E368" s="9"/>
      <c r="F368" s="9"/>
      <c r="G368" s="9"/>
      <c r="H368" s="9"/>
      <c r="I368" s="9"/>
      <c r="J368" s="9"/>
      <c r="K368" s="9"/>
      <c r="L368" s="9"/>
      <c r="M368" s="9"/>
      <c r="N368" s="9"/>
      <c r="O368" s="9"/>
      <c r="P368" s="9"/>
      <c r="Q368" s="10"/>
      <c r="R368" s="5"/>
      <c r="S368" s="5"/>
      <c r="T368" s="5"/>
      <c r="U368" s="5"/>
      <c r="V368" s="5"/>
      <c r="W368" s="5"/>
      <c r="X368" s="5"/>
      <c r="Y368" s="5"/>
      <c r="Z368" s="5"/>
      <c r="AA368" s="5"/>
      <c r="AB368" s="5"/>
      <c r="AC368" s="5"/>
      <c r="AD368" s="5"/>
    </row>
    <row r="369">
      <c r="A369" s="57"/>
      <c r="B369" s="59"/>
      <c r="C369" s="54"/>
      <c r="D369" s="14"/>
      <c r="E369" s="14"/>
      <c r="F369" s="14"/>
      <c r="G369" s="14"/>
      <c r="H369" s="14"/>
      <c r="I369" s="14"/>
      <c r="J369" s="14"/>
      <c r="K369" s="14"/>
      <c r="L369" s="14"/>
      <c r="M369" s="14"/>
      <c r="N369" s="14"/>
      <c r="O369" s="14"/>
      <c r="P369" s="14"/>
      <c r="Q369" s="15"/>
      <c r="R369" s="5"/>
      <c r="S369" s="5"/>
      <c r="T369" s="5"/>
      <c r="U369" s="5"/>
      <c r="V369" s="5"/>
      <c r="W369" s="5"/>
      <c r="X369" s="5"/>
      <c r="Y369" s="5"/>
      <c r="Z369" s="5"/>
      <c r="AA369" s="5"/>
      <c r="AB369" s="5"/>
      <c r="AC369" s="5"/>
      <c r="AD369" s="5"/>
    </row>
    <row r="370">
      <c r="A370" s="55"/>
      <c r="B370" s="56"/>
      <c r="C370" s="52"/>
      <c r="D370" s="9"/>
      <c r="E370" s="9"/>
      <c r="F370" s="9"/>
      <c r="G370" s="9"/>
      <c r="H370" s="9"/>
      <c r="I370" s="9"/>
      <c r="J370" s="9"/>
      <c r="K370" s="9"/>
      <c r="L370" s="9"/>
      <c r="M370" s="9"/>
      <c r="N370" s="9"/>
      <c r="O370" s="9"/>
      <c r="P370" s="9"/>
      <c r="Q370" s="10"/>
      <c r="R370" s="5"/>
      <c r="S370" s="5"/>
      <c r="T370" s="5"/>
      <c r="U370" s="5"/>
      <c r="V370" s="5"/>
      <c r="W370" s="5"/>
      <c r="X370" s="5"/>
      <c r="Y370" s="5"/>
      <c r="Z370" s="5"/>
      <c r="AA370" s="5"/>
      <c r="AB370" s="5"/>
      <c r="AC370" s="5"/>
      <c r="AD370" s="5"/>
    </row>
    <row r="371">
      <c r="A371" s="57"/>
      <c r="B371" s="59"/>
      <c r="C371" s="54"/>
      <c r="D371" s="14"/>
      <c r="E371" s="14"/>
      <c r="F371" s="14"/>
      <c r="G371" s="14"/>
      <c r="H371" s="14"/>
      <c r="I371" s="14"/>
      <c r="J371" s="14"/>
      <c r="K371" s="14"/>
      <c r="L371" s="14"/>
      <c r="M371" s="14"/>
      <c r="N371" s="14"/>
      <c r="O371" s="14"/>
      <c r="P371" s="14"/>
      <c r="Q371" s="15"/>
      <c r="R371" s="5"/>
      <c r="S371" s="5"/>
      <c r="T371" s="5"/>
      <c r="U371" s="5"/>
      <c r="V371" s="5"/>
      <c r="W371" s="5"/>
      <c r="X371" s="5"/>
      <c r="Y371" s="5"/>
      <c r="Z371" s="5"/>
      <c r="AA371" s="5"/>
      <c r="AB371" s="5"/>
      <c r="AC371" s="5"/>
      <c r="AD371" s="5"/>
    </row>
    <row r="372">
      <c r="A372" s="55"/>
      <c r="B372" s="56"/>
      <c r="C372" s="52"/>
      <c r="D372" s="9"/>
      <c r="E372" s="9"/>
      <c r="F372" s="9"/>
      <c r="G372" s="9"/>
      <c r="H372" s="9"/>
      <c r="I372" s="9"/>
      <c r="J372" s="9"/>
      <c r="K372" s="9"/>
      <c r="L372" s="9"/>
      <c r="M372" s="9"/>
      <c r="N372" s="9"/>
      <c r="O372" s="9"/>
      <c r="P372" s="9"/>
      <c r="Q372" s="10"/>
      <c r="R372" s="5"/>
      <c r="S372" s="5"/>
      <c r="T372" s="5"/>
      <c r="U372" s="5"/>
      <c r="V372" s="5"/>
      <c r="W372" s="5"/>
      <c r="X372" s="5"/>
      <c r="Y372" s="5"/>
      <c r="Z372" s="5"/>
      <c r="AA372" s="5"/>
      <c r="AB372" s="5"/>
      <c r="AC372" s="5"/>
      <c r="AD372" s="5"/>
    </row>
    <row r="373">
      <c r="A373" s="57"/>
      <c r="B373" s="59"/>
      <c r="C373" s="54"/>
      <c r="D373" s="14"/>
      <c r="E373" s="14"/>
      <c r="F373" s="14"/>
      <c r="G373" s="14"/>
      <c r="H373" s="14"/>
      <c r="I373" s="14"/>
      <c r="J373" s="14"/>
      <c r="K373" s="14"/>
      <c r="L373" s="14"/>
      <c r="M373" s="14"/>
      <c r="N373" s="14"/>
      <c r="O373" s="14"/>
      <c r="P373" s="14"/>
      <c r="Q373" s="15"/>
      <c r="R373" s="5"/>
      <c r="S373" s="5"/>
      <c r="T373" s="5"/>
      <c r="U373" s="5"/>
      <c r="V373" s="5"/>
      <c r="W373" s="5"/>
      <c r="X373" s="5"/>
      <c r="Y373" s="5"/>
      <c r="Z373" s="5"/>
      <c r="AA373" s="5"/>
      <c r="AB373" s="5"/>
      <c r="AC373" s="5"/>
      <c r="AD373" s="5"/>
    </row>
    <row r="374">
      <c r="A374" s="55"/>
      <c r="B374" s="56"/>
      <c r="C374" s="52"/>
      <c r="D374" s="9"/>
      <c r="E374" s="9"/>
      <c r="F374" s="9"/>
      <c r="G374" s="9"/>
      <c r="H374" s="9"/>
      <c r="I374" s="9"/>
      <c r="J374" s="9"/>
      <c r="K374" s="9"/>
      <c r="L374" s="9"/>
      <c r="M374" s="9"/>
      <c r="N374" s="9"/>
      <c r="O374" s="9"/>
      <c r="P374" s="9"/>
      <c r="Q374" s="10"/>
      <c r="R374" s="5"/>
      <c r="S374" s="5"/>
      <c r="T374" s="5"/>
      <c r="U374" s="5"/>
      <c r="V374" s="5"/>
      <c r="W374" s="5"/>
      <c r="X374" s="5"/>
      <c r="Y374" s="5"/>
      <c r="Z374" s="5"/>
      <c r="AA374" s="5"/>
      <c r="AB374" s="5"/>
      <c r="AC374" s="5"/>
      <c r="AD374" s="5"/>
    </row>
    <row r="375">
      <c r="A375" s="57"/>
      <c r="B375" s="59"/>
      <c r="C375" s="54"/>
      <c r="D375" s="14"/>
      <c r="E375" s="14"/>
      <c r="F375" s="14"/>
      <c r="G375" s="14"/>
      <c r="H375" s="14"/>
      <c r="I375" s="14"/>
      <c r="J375" s="14"/>
      <c r="K375" s="14"/>
      <c r="L375" s="14"/>
      <c r="M375" s="14"/>
      <c r="N375" s="14"/>
      <c r="O375" s="14"/>
      <c r="P375" s="14"/>
      <c r="Q375" s="15"/>
      <c r="R375" s="5"/>
      <c r="S375" s="5"/>
      <c r="T375" s="5"/>
      <c r="U375" s="5"/>
      <c r="V375" s="5"/>
      <c r="W375" s="5"/>
      <c r="X375" s="5"/>
      <c r="Y375" s="5"/>
      <c r="Z375" s="5"/>
      <c r="AA375" s="5"/>
      <c r="AB375" s="5"/>
      <c r="AC375" s="5"/>
      <c r="AD375" s="5"/>
    </row>
    <row r="376">
      <c r="A376" s="55"/>
      <c r="B376" s="56"/>
      <c r="C376" s="52"/>
      <c r="D376" s="9"/>
      <c r="E376" s="9"/>
      <c r="F376" s="9"/>
      <c r="G376" s="9"/>
      <c r="H376" s="9"/>
      <c r="I376" s="9"/>
      <c r="J376" s="9"/>
      <c r="K376" s="9"/>
      <c r="L376" s="9"/>
      <c r="M376" s="9"/>
      <c r="N376" s="9"/>
      <c r="O376" s="9"/>
      <c r="P376" s="9"/>
      <c r="Q376" s="10"/>
      <c r="R376" s="5"/>
      <c r="S376" s="5"/>
      <c r="T376" s="5"/>
      <c r="U376" s="5"/>
      <c r="V376" s="5"/>
      <c r="W376" s="5"/>
      <c r="X376" s="5"/>
      <c r="Y376" s="5"/>
      <c r="Z376" s="5"/>
      <c r="AA376" s="5"/>
      <c r="AB376" s="5"/>
      <c r="AC376" s="5"/>
      <c r="AD376" s="5"/>
    </row>
    <row r="377">
      <c r="A377" s="57"/>
      <c r="B377" s="59"/>
      <c r="C377" s="54"/>
      <c r="D377" s="14"/>
      <c r="E377" s="14"/>
      <c r="F377" s="14"/>
      <c r="G377" s="14"/>
      <c r="H377" s="14"/>
      <c r="I377" s="14"/>
      <c r="J377" s="14"/>
      <c r="K377" s="14"/>
      <c r="L377" s="14"/>
      <c r="M377" s="14"/>
      <c r="N377" s="14"/>
      <c r="O377" s="14"/>
      <c r="P377" s="14"/>
      <c r="Q377" s="15"/>
      <c r="R377" s="5"/>
      <c r="S377" s="5"/>
      <c r="T377" s="5"/>
      <c r="U377" s="5"/>
      <c r="V377" s="5"/>
      <c r="W377" s="5"/>
      <c r="X377" s="5"/>
      <c r="Y377" s="5"/>
      <c r="Z377" s="5"/>
      <c r="AA377" s="5"/>
      <c r="AB377" s="5"/>
      <c r="AC377" s="5"/>
      <c r="AD377" s="5"/>
    </row>
    <row r="378">
      <c r="A378" s="55"/>
      <c r="B378" s="56"/>
      <c r="C378" s="52"/>
      <c r="D378" s="9"/>
      <c r="E378" s="9"/>
      <c r="F378" s="9"/>
      <c r="G378" s="9"/>
      <c r="H378" s="9"/>
      <c r="I378" s="9"/>
      <c r="J378" s="9"/>
      <c r="K378" s="9"/>
      <c r="L378" s="9"/>
      <c r="M378" s="9"/>
      <c r="N378" s="9"/>
      <c r="O378" s="9"/>
      <c r="P378" s="9"/>
      <c r="Q378" s="10"/>
      <c r="R378" s="5"/>
      <c r="S378" s="5"/>
      <c r="T378" s="5"/>
      <c r="U378" s="5"/>
      <c r="V378" s="5"/>
      <c r="W378" s="5"/>
      <c r="X378" s="5"/>
      <c r="Y378" s="5"/>
      <c r="Z378" s="5"/>
      <c r="AA378" s="5"/>
      <c r="AB378" s="5"/>
      <c r="AC378" s="5"/>
      <c r="AD378" s="5"/>
    </row>
    <row r="379">
      <c r="A379" s="57"/>
      <c r="B379" s="59"/>
      <c r="C379" s="54"/>
      <c r="D379" s="14"/>
      <c r="E379" s="14"/>
      <c r="F379" s="14"/>
      <c r="G379" s="14"/>
      <c r="H379" s="14"/>
      <c r="I379" s="14"/>
      <c r="J379" s="14"/>
      <c r="K379" s="14"/>
      <c r="L379" s="14"/>
      <c r="M379" s="14"/>
      <c r="N379" s="14"/>
      <c r="O379" s="14"/>
      <c r="P379" s="14"/>
      <c r="Q379" s="15"/>
      <c r="R379" s="5"/>
      <c r="S379" s="5"/>
      <c r="T379" s="5"/>
      <c r="U379" s="5"/>
      <c r="V379" s="5"/>
      <c r="W379" s="5"/>
      <c r="X379" s="5"/>
      <c r="Y379" s="5"/>
      <c r="Z379" s="5"/>
      <c r="AA379" s="5"/>
      <c r="AB379" s="5"/>
      <c r="AC379" s="5"/>
      <c r="AD379" s="5"/>
    </row>
    <row r="380">
      <c r="A380" s="55"/>
      <c r="B380" s="56"/>
      <c r="C380" s="52"/>
      <c r="D380" s="9"/>
      <c r="E380" s="9"/>
      <c r="F380" s="9"/>
      <c r="G380" s="9"/>
      <c r="H380" s="9"/>
      <c r="I380" s="9"/>
      <c r="J380" s="9"/>
      <c r="K380" s="9"/>
      <c r="L380" s="9"/>
      <c r="M380" s="9"/>
      <c r="N380" s="9"/>
      <c r="O380" s="9"/>
      <c r="P380" s="9"/>
      <c r="Q380" s="10"/>
      <c r="R380" s="5"/>
      <c r="S380" s="5"/>
      <c r="T380" s="5"/>
      <c r="U380" s="5"/>
      <c r="V380" s="5"/>
      <c r="W380" s="5"/>
      <c r="X380" s="5"/>
      <c r="Y380" s="5"/>
      <c r="Z380" s="5"/>
      <c r="AA380" s="5"/>
      <c r="AB380" s="5"/>
      <c r="AC380" s="5"/>
      <c r="AD380" s="5"/>
    </row>
    <row r="381">
      <c r="A381" s="57"/>
      <c r="B381" s="59"/>
      <c r="C381" s="54"/>
      <c r="D381" s="14"/>
      <c r="E381" s="14"/>
      <c r="F381" s="14"/>
      <c r="G381" s="14"/>
      <c r="H381" s="14"/>
      <c r="I381" s="14"/>
      <c r="J381" s="14"/>
      <c r="K381" s="14"/>
      <c r="L381" s="14"/>
      <c r="M381" s="14"/>
      <c r="N381" s="14"/>
      <c r="O381" s="14"/>
      <c r="P381" s="14"/>
      <c r="Q381" s="15"/>
      <c r="R381" s="5"/>
      <c r="S381" s="5"/>
      <c r="T381" s="5"/>
      <c r="U381" s="5"/>
      <c r="V381" s="5"/>
      <c r="W381" s="5"/>
      <c r="X381" s="5"/>
      <c r="Y381" s="5"/>
      <c r="Z381" s="5"/>
      <c r="AA381" s="5"/>
      <c r="AB381" s="5"/>
      <c r="AC381" s="5"/>
      <c r="AD381" s="5"/>
    </row>
    <row r="382">
      <c r="A382" s="55"/>
      <c r="B382" s="56"/>
      <c r="C382" s="52"/>
      <c r="D382" s="9"/>
      <c r="E382" s="9"/>
      <c r="F382" s="9"/>
      <c r="G382" s="9"/>
      <c r="H382" s="9"/>
      <c r="I382" s="9"/>
      <c r="J382" s="9"/>
      <c r="K382" s="9"/>
      <c r="L382" s="9"/>
      <c r="M382" s="9"/>
      <c r="N382" s="9"/>
      <c r="O382" s="9"/>
      <c r="P382" s="9"/>
      <c r="Q382" s="10"/>
      <c r="R382" s="5"/>
      <c r="S382" s="5"/>
      <c r="T382" s="5"/>
      <c r="U382" s="5"/>
      <c r="V382" s="5"/>
      <c r="W382" s="5"/>
      <c r="X382" s="5"/>
      <c r="Y382" s="5"/>
      <c r="Z382" s="5"/>
      <c r="AA382" s="5"/>
      <c r="AB382" s="5"/>
      <c r="AC382" s="5"/>
      <c r="AD382" s="5"/>
    </row>
    <row r="383">
      <c r="A383" s="57"/>
      <c r="B383" s="59"/>
      <c r="C383" s="54"/>
      <c r="D383" s="14"/>
      <c r="E383" s="14"/>
      <c r="F383" s="14"/>
      <c r="G383" s="14"/>
      <c r="H383" s="14"/>
      <c r="I383" s="14"/>
      <c r="J383" s="14"/>
      <c r="K383" s="14"/>
      <c r="L383" s="14"/>
      <c r="M383" s="14"/>
      <c r="N383" s="14"/>
      <c r="O383" s="14"/>
      <c r="P383" s="14"/>
      <c r="Q383" s="15"/>
      <c r="R383" s="5"/>
      <c r="S383" s="5"/>
      <c r="T383" s="5"/>
      <c r="U383" s="5"/>
      <c r="V383" s="5"/>
      <c r="W383" s="5"/>
      <c r="X383" s="5"/>
      <c r="Y383" s="5"/>
      <c r="Z383" s="5"/>
      <c r="AA383" s="5"/>
      <c r="AB383" s="5"/>
      <c r="AC383" s="5"/>
      <c r="AD383" s="5"/>
    </row>
    <row r="384">
      <c r="A384" s="55"/>
      <c r="B384" s="56"/>
      <c r="C384" s="52"/>
      <c r="D384" s="9"/>
      <c r="E384" s="9"/>
      <c r="F384" s="9"/>
      <c r="G384" s="9"/>
      <c r="H384" s="9"/>
      <c r="I384" s="9"/>
      <c r="J384" s="9"/>
      <c r="K384" s="9"/>
      <c r="L384" s="9"/>
      <c r="M384" s="9"/>
      <c r="N384" s="9"/>
      <c r="O384" s="9"/>
      <c r="P384" s="9"/>
      <c r="Q384" s="10"/>
      <c r="R384" s="5"/>
      <c r="S384" s="5"/>
      <c r="T384" s="5"/>
      <c r="U384" s="5"/>
      <c r="V384" s="5"/>
      <c r="W384" s="5"/>
      <c r="X384" s="5"/>
      <c r="Y384" s="5"/>
      <c r="Z384" s="5"/>
      <c r="AA384" s="5"/>
      <c r="AB384" s="5"/>
      <c r="AC384" s="5"/>
      <c r="AD384" s="5"/>
    </row>
    <row r="385">
      <c r="A385" s="57"/>
      <c r="B385" s="59"/>
      <c r="C385" s="54"/>
      <c r="D385" s="14"/>
      <c r="E385" s="14"/>
      <c r="F385" s="14"/>
      <c r="G385" s="14"/>
      <c r="H385" s="14"/>
      <c r="I385" s="14"/>
      <c r="J385" s="14"/>
      <c r="K385" s="14"/>
      <c r="L385" s="14"/>
      <c r="M385" s="14"/>
      <c r="N385" s="14"/>
      <c r="O385" s="14"/>
      <c r="P385" s="14"/>
      <c r="Q385" s="15"/>
      <c r="R385" s="5"/>
      <c r="S385" s="5"/>
      <c r="T385" s="5"/>
      <c r="U385" s="5"/>
      <c r="V385" s="5"/>
      <c r="W385" s="5"/>
      <c r="X385" s="5"/>
      <c r="Y385" s="5"/>
      <c r="Z385" s="5"/>
      <c r="AA385" s="5"/>
      <c r="AB385" s="5"/>
      <c r="AC385" s="5"/>
      <c r="AD385" s="5"/>
    </row>
    <row r="386">
      <c r="A386" s="55"/>
      <c r="B386" s="56"/>
      <c r="C386" s="52"/>
      <c r="D386" s="9"/>
      <c r="E386" s="9"/>
      <c r="F386" s="9"/>
      <c r="G386" s="9"/>
      <c r="H386" s="9"/>
      <c r="I386" s="9"/>
      <c r="J386" s="9"/>
      <c r="K386" s="9"/>
      <c r="L386" s="9"/>
      <c r="M386" s="9"/>
      <c r="N386" s="9"/>
      <c r="O386" s="9"/>
      <c r="P386" s="9"/>
      <c r="Q386" s="10"/>
      <c r="R386" s="5"/>
      <c r="S386" s="5"/>
      <c r="T386" s="5"/>
      <c r="U386" s="5"/>
      <c r="V386" s="5"/>
      <c r="W386" s="5"/>
      <c r="X386" s="5"/>
      <c r="Y386" s="5"/>
      <c r="Z386" s="5"/>
      <c r="AA386" s="5"/>
      <c r="AB386" s="5"/>
      <c r="AC386" s="5"/>
      <c r="AD386" s="5"/>
    </row>
    <row r="387">
      <c r="A387" s="57"/>
      <c r="B387" s="59"/>
      <c r="C387" s="54"/>
      <c r="D387" s="14"/>
      <c r="E387" s="14"/>
      <c r="F387" s="14"/>
      <c r="G387" s="14"/>
      <c r="H387" s="14"/>
      <c r="I387" s="14"/>
      <c r="J387" s="14"/>
      <c r="K387" s="14"/>
      <c r="L387" s="14"/>
      <c r="M387" s="14"/>
      <c r="N387" s="14"/>
      <c r="O387" s="14"/>
      <c r="P387" s="14"/>
      <c r="Q387" s="15"/>
      <c r="R387" s="5"/>
      <c r="S387" s="5"/>
      <c r="T387" s="5"/>
      <c r="U387" s="5"/>
      <c r="V387" s="5"/>
      <c r="W387" s="5"/>
      <c r="X387" s="5"/>
      <c r="Y387" s="5"/>
      <c r="Z387" s="5"/>
      <c r="AA387" s="5"/>
      <c r="AB387" s="5"/>
      <c r="AC387" s="5"/>
      <c r="AD387" s="5"/>
    </row>
    <row r="388">
      <c r="A388" s="55"/>
      <c r="B388" s="56"/>
      <c r="C388" s="52"/>
      <c r="D388" s="9"/>
      <c r="E388" s="9"/>
      <c r="F388" s="9"/>
      <c r="G388" s="9"/>
      <c r="H388" s="9"/>
      <c r="I388" s="9"/>
      <c r="J388" s="9"/>
      <c r="K388" s="9"/>
      <c r="L388" s="9"/>
      <c r="M388" s="9"/>
      <c r="N388" s="9"/>
      <c r="O388" s="9"/>
      <c r="P388" s="9"/>
      <c r="Q388" s="10"/>
      <c r="R388" s="5"/>
      <c r="S388" s="5"/>
      <c r="T388" s="5"/>
      <c r="U388" s="5"/>
      <c r="V388" s="5"/>
      <c r="W388" s="5"/>
      <c r="X388" s="5"/>
      <c r="Y388" s="5"/>
      <c r="Z388" s="5"/>
      <c r="AA388" s="5"/>
      <c r="AB388" s="5"/>
      <c r="AC388" s="5"/>
      <c r="AD388" s="5"/>
    </row>
    <row r="389">
      <c r="A389" s="57"/>
      <c r="B389" s="59"/>
      <c r="C389" s="54"/>
      <c r="D389" s="14"/>
      <c r="E389" s="14"/>
      <c r="F389" s="14"/>
      <c r="G389" s="14"/>
      <c r="H389" s="14"/>
      <c r="I389" s="14"/>
      <c r="J389" s="14"/>
      <c r="K389" s="14"/>
      <c r="L389" s="14"/>
      <c r="M389" s="14"/>
      <c r="N389" s="14"/>
      <c r="O389" s="14"/>
      <c r="P389" s="14"/>
      <c r="Q389" s="15"/>
      <c r="R389" s="5"/>
      <c r="S389" s="5"/>
      <c r="T389" s="5"/>
      <c r="U389" s="5"/>
      <c r="V389" s="5"/>
      <c r="W389" s="5"/>
      <c r="X389" s="5"/>
      <c r="Y389" s="5"/>
      <c r="Z389" s="5"/>
      <c r="AA389" s="5"/>
      <c r="AB389" s="5"/>
      <c r="AC389" s="5"/>
      <c r="AD389" s="5"/>
    </row>
    <row r="390">
      <c r="A390" s="55"/>
      <c r="B390" s="56"/>
      <c r="C390" s="52"/>
      <c r="D390" s="9"/>
      <c r="E390" s="9"/>
      <c r="F390" s="9"/>
      <c r="G390" s="9"/>
      <c r="H390" s="9"/>
      <c r="I390" s="9"/>
      <c r="J390" s="9"/>
      <c r="K390" s="9"/>
      <c r="L390" s="9"/>
      <c r="M390" s="9"/>
      <c r="N390" s="9"/>
      <c r="O390" s="9"/>
      <c r="P390" s="9"/>
      <c r="Q390" s="10"/>
      <c r="R390" s="5"/>
      <c r="S390" s="5"/>
      <c r="T390" s="5"/>
      <c r="U390" s="5"/>
      <c r="V390" s="5"/>
      <c r="W390" s="5"/>
      <c r="X390" s="5"/>
      <c r="Y390" s="5"/>
      <c r="Z390" s="5"/>
      <c r="AA390" s="5"/>
      <c r="AB390" s="5"/>
      <c r="AC390" s="5"/>
      <c r="AD390" s="5"/>
    </row>
    <row r="391">
      <c r="A391" s="57"/>
      <c r="B391" s="59"/>
      <c r="C391" s="54"/>
      <c r="D391" s="14"/>
      <c r="E391" s="14"/>
      <c r="F391" s="14"/>
      <c r="G391" s="14"/>
      <c r="H391" s="14"/>
      <c r="I391" s="14"/>
      <c r="J391" s="14"/>
      <c r="K391" s="14"/>
      <c r="L391" s="14"/>
      <c r="M391" s="14"/>
      <c r="N391" s="14"/>
      <c r="O391" s="14"/>
      <c r="P391" s="14"/>
      <c r="Q391" s="15"/>
      <c r="R391" s="5"/>
      <c r="S391" s="5"/>
      <c r="T391" s="5"/>
      <c r="U391" s="5"/>
      <c r="V391" s="5"/>
      <c r="W391" s="5"/>
      <c r="X391" s="5"/>
      <c r="Y391" s="5"/>
      <c r="Z391" s="5"/>
      <c r="AA391" s="5"/>
      <c r="AB391" s="5"/>
      <c r="AC391" s="5"/>
      <c r="AD391" s="5"/>
    </row>
    <row r="392">
      <c r="A392" s="55"/>
      <c r="B392" s="56"/>
      <c r="C392" s="52"/>
      <c r="D392" s="9"/>
      <c r="E392" s="9"/>
      <c r="F392" s="9"/>
      <c r="G392" s="9"/>
      <c r="H392" s="9"/>
      <c r="I392" s="9"/>
      <c r="J392" s="9"/>
      <c r="K392" s="9"/>
      <c r="L392" s="9"/>
      <c r="M392" s="9"/>
      <c r="N392" s="9"/>
      <c r="O392" s="9"/>
      <c r="P392" s="9"/>
      <c r="Q392" s="10"/>
      <c r="R392" s="5"/>
      <c r="S392" s="5"/>
      <c r="T392" s="5"/>
      <c r="U392" s="5"/>
      <c r="V392" s="5"/>
      <c r="W392" s="5"/>
      <c r="X392" s="5"/>
      <c r="Y392" s="5"/>
      <c r="Z392" s="5"/>
      <c r="AA392" s="5"/>
      <c r="AB392" s="5"/>
      <c r="AC392" s="5"/>
      <c r="AD392" s="5"/>
    </row>
    <row r="393">
      <c r="A393" s="57"/>
      <c r="B393" s="59"/>
      <c r="C393" s="54"/>
      <c r="D393" s="14"/>
      <c r="E393" s="14"/>
      <c r="F393" s="14"/>
      <c r="G393" s="14"/>
      <c r="H393" s="14"/>
      <c r="I393" s="14"/>
      <c r="J393" s="14"/>
      <c r="K393" s="14"/>
      <c r="L393" s="14"/>
      <c r="M393" s="14"/>
      <c r="N393" s="14"/>
      <c r="O393" s="14"/>
      <c r="P393" s="14"/>
      <c r="Q393" s="15"/>
      <c r="R393" s="5"/>
      <c r="S393" s="5"/>
      <c r="T393" s="5"/>
      <c r="U393" s="5"/>
      <c r="V393" s="5"/>
      <c r="W393" s="5"/>
      <c r="X393" s="5"/>
      <c r="Y393" s="5"/>
      <c r="Z393" s="5"/>
      <c r="AA393" s="5"/>
      <c r="AB393" s="5"/>
      <c r="AC393" s="5"/>
      <c r="AD393" s="5"/>
    </row>
    <row r="394">
      <c r="A394" s="55"/>
      <c r="B394" s="56"/>
      <c r="C394" s="52"/>
      <c r="D394" s="9"/>
      <c r="E394" s="9"/>
      <c r="F394" s="9"/>
      <c r="G394" s="9"/>
      <c r="H394" s="9"/>
      <c r="I394" s="9"/>
      <c r="J394" s="9"/>
      <c r="K394" s="9"/>
      <c r="L394" s="9"/>
      <c r="M394" s="9"/>
      <c r="N394" s="9"/>
      <c r="O394" s="9"/>
      <c r="P394" s="9"/>
      <c r="Q394" s="10"/>
      <c r="R394" s="5"/>
      <c r="S394" s="5"/>
      <c r="T394" s="5"/>
      <c r="U394" s="5"/>
      <c r="V394" s="5"/>
      <c r="W394" s="5"/>
      <c r="X394" s="5"/>
      <c r="Y394" s="5"/>
      <c r="Z394" s="5"/>
      <c r="AA394" s="5"/>
      <c r="AB394" s="5"/>
      <c r="AC394" s="5"/>
      <c r="AD394" s="5"/>
    </row>
    <row r="395">
      <c r="A395" s="57"/>
      <c r="B395" s="59"/>
      <c r="C395" s="54"/>
      <c r="D395" s="14"/>
      <c r="E395" s="14"/>
      <c r="F395" s="14"/>
      <c r="G395" s="14"/>
      <c r="H395" s="14"/>
      <c r="I395" s="14"/>
      <c r="J395" s="14"/>
      <c r="K395" s="14"/>
      <c r="L395" s="14"/>
      <c r="M395" s="14"/>
      <c r="N395" s="14"/>
      <c r="O395" s="14"/>
      <c r="P395" s="14"/>
      <c r="Q395" s="15"/>
      <c r="R395" s="5"/>
      <c r="S395" s="5"/>
      <c r="T395" s="5"/>
      <c r="U395" s="5"/>
      <c r="V395" s="5"/>
      <c r="W395" s="5"/>
      <c r="X395" s="5"/>
      <c r="Y395" s="5"/>
      <c r="Z395" s="5"/>
      <c r="AA395" s="5"/>
      <c r="AB395" s="5"/>
      <c r="AC395" s="5"/>
      <c r="AD395" s="5"/>
    </row>
    <row r="396">
      <c r="A396" s="55"/>
      <c r="B396" s="56"/>
      <c r="C396" s="52"/>
      <c r="D396" s="9"/>
      <c r="E396" s="9"/>
      <c r="F396" s="9"/>
      <c r="G396" s="9"/>
      <c r="H396" s="9"/>
      <c r="I396" s="9"/>
      <c r="J396" s="9"/>
      <c r="K396" s="9"/>
      <c r="L396" s="9"/>
      <c r="M396" s="9"/>
      <c r="N396" s="9"/>
      <c r="O396" s="9"/>
      <c r="P396" s="9"/>
      <c r="Q396" s="10"/>
      <c r="R396" s="5"/>
      <c r="S396" s="5"/>
      <c r="T396" s="5"/>
      <c r="U396" s="5"/>
      <c r="V396" s="5"/>
      <c r="W396" s="5"/>
      <c r="X396" s="5"/>
      <c r="Y396" s="5"/>
      <c r="Z396" s="5"/>
      <c r="AA396" s="5"/>
      <c r="AB396" s="5"/>
      <c r="AC396" s="5"/>
      <c r="AD396" s="5"/>
    </row>
    <row r="397">
      <c r="A397" s="57"/>
      <c r="B397" s="59"/>
      <c r="C397" s="54"/>
      <c r="D397" s="14"/>
      <c r="E397" s="14"/>
      <c r="F397" s="14"/>
      <c r="G397" s="14"/>
      <c r="H397" s="14"/>
      <c r="I397" s="14"/>
      <c r="J397" s="14"/>
      <c r="K397" s="14"/>
      <c r="L397" s="14"/>
      <c r="M397" s="14"/>
      <c r="N397" s="14"/>
      <c r="O397" s="14"/>
      <c r="P397" s="14"/>
      <c r="Q397" s="15"/>
      <c r="R397" s="5"/>
      <c r="S397" s="5"/>
      <c r="T397" s="5"/>
      <c r="U397" s="5"/>
      <c r="V397" s="5"/>
      <c r="W397" s="5"/>
      <c r="X397" s="5"/>
      <c r="Y397" s="5"/>
      <c r="Z397" s="5"/>
      <c r="AA397" s="5"/>
      <c r="AB397" s="5"/>
      <c r="AC397" s="5"/>
      <c r="AD397" s="5"/>
    </row>
    <row r="398">
      <c r="A398" s="55"/>
      <c r="B398" s="56"/>
      <c r="C398" s="52"/>
      <c r="D398" s="9"/>
      <c r="E398" s="9"/>
      <c r="F398" s="9"/>
      <c r="G398" s="9"/>
      <c r="H398" s="9"/>
      <c r="I398" s="9"/>
      <c r="J398" s="9"/>
      <c r="K398" s="9"/>
      <c r="L398" s="9"/>
      <c r="M398" s="9"/>
      <c r="N398" s="9"/>
      <c r="O398" s="9"/>
      <c r="P398" s="9"/>
      <c r="Q398" s="10"/>
      <c r="R398" s="5"/>
      <c r="S398" s="5"/>
      <c r="T398" s="5"/>
      <c r="U398" s="5"/>
      <c r="V398" s="5"/>
      <c r="W398" s="5"/>
      <c r="X398" s="5"/>
      <c r="Y398" s="5"/>
      <c r="Z398" s="5"/>
      <c r="AA398" s="5"/>
      <c r="AB398" s="5"/>
      <c r="AC398" s="5"/>
      <c r="AD398" s="5"/>
    </row>
    <row r="399">
      <c r="A399" s="57"/>
      <c r="B399" s="59"/>
      <c r="C399" s="54"/>
      <c r="D399" s="14"/>
      <c r="E399" s="14"/>
      <c r="F399" s="14"/>
      <c r="G399" s="14"/>
      <c r="H399" s="14"/>
      <c r="I399" s="14"/>
      <c r="J399" s="14"/>
      <c r="K399" s="14"/>
      <c r="L399" s="14"/>
      <c r="M399" s="14"/>
      <c r="N399" s="14"/>
      <c r="O399" s="14"/>
      <c r="P399" s="14"/>
      <c r="Q399" s="15"/>
      <c r="R399" s="5"/>
      <c r="S399" s="5"/>
      <c r="T399" s="5"/>
      <c r="U399" s="5"/>
      <c r="V399" s="5"/>
      <c r="W399" s="5"/>
      <c r="X399" s="5"/>
      <c r="Y399" s="5"/>
      <c r="Z399" s="5"/>
      <c r="AA399" s="5"/>
      <c r="AB399" s="5"/>
      <c r="AC399" s="5"/>
      <c r="AD399" s="5"/>
    </row>
    <row r="400">
      <c r="A400" s="55"/>
      <c r="B400" s="56"/>
      <c r="C400" s="52"/>
      <c r="D400" s="9"/>
      <c r="E400" s="9"/>
      <c r="F400" s="9"/>
      <c r="G400" s="9"/>
      <c r="H400" s="9"/>
      <c r="I400" s="9"/>
      <c r="J400" s="9"/>
      <c r="K400" s="9"/>
      <c r="L400" s="9"/>
      <c r="M400" s="9"/>
      <c r="N400" s="9"/>
      <c r="O400" s="9"/>
      <c r="P400" s="9"/>
      <c r="Q400" s="10"/>
      <c r="R400" s="5"/>
      <c r="S400" s="5"/>
      <c r="T400" s="5"/>
      <c r="U400" s="5"/>
      <c r="V400" s="5"/>
      <c r="W400" s="5"/>
      <c r="X400" s="5"/>
      <c r="Y400" s="5"/>
      <c r="Z400" s="5"/>
      <c r="AA400" s="5"/>
      <c r="AB400" s="5"/>
      <c r="AC400" s="5"/>
      <c r="AD400" s="5"/>
    </row>
    <row r="401">
      <c r="A401" s="57"/>
      <c r="B401" s="59"/>
      <c r="C401" s="54"/>
      <c r="D401" s="14"/>
      <c r="E401" s="14"/>
      <c r="F401" s="14"/>
      <c r="G401" s="14"/>
      <c r="H401" s="14"/>
      <c r="I401" s="14"/>
      <c r="J401" s="14"/>
      <c r="K401" s="14"/>
      <c r="L401" s="14"/>
      <c r="M401" s="14"/>
      <c r="N401" s="14"/>
      <c r="O401" s="14"/>
      <c r="P401" s="14"/>
      <c r="Q401" s="15"/>
      <c r="R401" s="5"/>
      <c r="S401" s="5"/>
      <c r="T401" s="5"/>
      <c r="U401" s="5"/>
      <c r="V401" s="5"/>
      <c r="W401" s="5"/>
      <c r="X401" s="5"/>
      <c r="Y401" s="5"/>
      <c r="Z401" s="5"/>
      <c r="AA401" s="5"/>
      <c r="AB401" s="5"/>
      <c r="AC401" s="5"/>
      <c r="AD401" s="5"/>
    </row>
    <row r="402">
      <c r="A402" s="55"/>
      <c r="B402" s="56"/>
      <c r="C402" s="52"/>
      <c r="D402" s="9"/>
      <c r="E402" s="9"/>
      <c r="F402" s="9"/>
      <c r="G402" s="9"/>
      <c r="H402" s="9"/>
      <c r="I402" s="9"/>
      <c r="J402" s="9"/>
      <c r="K402" s="9"/>
      <c r="L402" s="9"/>
      <c r="M402" s="9"/>
      <c r="N402" s="9"/>
      <c r="O402" s="9"/>
      <c r="P402" s="9"/>
      <c r="Q402" s="10"/>
      <c r="R402" s="5"/>
      <c r="S402" s="5"/>
      <c r="T402" s="5"/>
      <c r="U402" s="5"/>
      <c r="V402" s="5"/>
      <c r="W402" s="5"/>
      <c r="X402" s="5"/>
      <c r="Y402" s="5"/>
      <c r="Z402" s="5"/>
      <c r="AA402" s="5"/>
      <c r="AB402" s="5"/>
      <c r="AC402" s="5"/>
      <c r="AD402" s="5"/>
    </row>
    <row r="403">
      <c r="A403" s="57"/>
      <c r="B403" s="59"/>
      <c r="C403" s="54"/>
      <c r="D403" s="14"/>
      <c r="E403" s="14"/>
      <c r="F403" s="14"/>
      <c r="G403" s="14"/>
      <c r="H403" s="14"/>
      <c r="I403" s="14"/>
      <c r="J403" s="14"/>
      <c r="K403" s="14"/>
      <c r="L403" s="14"/>
      <c r="M403" s="14"/>
      <c r="N403" s="14"/>
      <c r="O403" s="14"/>
      <c r="P403" s="14"/>
      <c r="Q403" s="15"/>
      <c r="R403" s="5"/>
      <c r="S403" s="5"/>
      <c r="T403" s="5"/>
      <c r="U403" s="5"/>
      <c r="V403" s="5"/>
      <c r="W403" s="5"/>
      <c r="X403" s="5"/>
      <c r="Y403" s="5"/>
      <c r="Z403" s="5"/>
      <c r="AA403" s="5"/>
      <c r="AB403" s="5"/>
      <c r="AC403" s="5"/>
      <c r="AD403" s="5"/>
    </row>
    <row r="404">
      <c r="A404" s="55"/>
      <c r="B404" s="56"/>
      <c r="C404" s="52"/>
      <c r="D404" s="9"/>
      <c r="E404" s="9"/>
      <c r="F404" s="9"/>
      <c r="G404" s="9"/>
      <c r="H404" s="9"/>
      <c r="I404" s="9"/>
      <c r="J404" s="9"/>
      <c r="K404" s="9"/>
      <c r="L404" s="9"/>
      <c r="M404" s="9"/>
      <c r="N404" s="9"/>
      <c r="O404" s="9"/>
      <c r="P404" s="9"/>
      <c r="Q404" s="10"/>
      <c r="R404" s="5"/>
      <c r="S404" s="5"/>
      <c r="T404" s="5"/>
      <c r="U404" s="5"/>
      <c r="V404" s="5"/>
      <c r="W404" s="5"/>
      <c r="X404" s="5"/>
      <c r="Y404" s="5"/>
      <c r="Z404" s="5"/>
      <c r="AA404" s="5"/>
      <c r="AB404" s="5"/>
      <c r="AC404" s="5"/>
      <c r="AD404" s="5"/>
    </row>
    <row r="405">
      <c r="A405" s="57"/>
      <c r="B405" s="59"/>
      <c r="C405" s="54"/>
      <c r="D405" s="14"/>
      <c r="E405" s="14"/>
      <c r="F405" s="14"/>
      <c r="G405" s="14"/>
      <c r="H405" s="14"/>
      <c r="I405" s="14"/>
      <c r="J405" s="14"/>
      <c r="K405" s="14"/>
      <c r="L405" s="14"/>
      <c r="M405" s="14"/>
      <c r="N405" s="14"/>
      <c r="O405" s="14"/>
      <c r="P405" s="14"/>
      <c r="Q405" s="15"/>
      <c r="R405" s="5"/>
      <c r="S405" s="5"/>
      <c r="T405" s="5"/>
      <c r="U405" s="5"/>
      <c r="V405" s="5"/>
      <c r="W405" s="5"/>
      <c r="X405" s="5"/>
      <c r="Y405" s="5"/>
      <c r="Z405" s="5"/>
      <c r="AA405" s="5"/>
      <c r="AB405" s="5"/>
      <c r="AC405" s="5"/>
      <c r="AD405" s="5"/>
    </row>
    <row r="406">
      <c r="A406" s="55"/>
      <c r="B406" s="56"/>
      <c r="C406" s="52"/>
      <c r="D406" s="9"/>
      <c r="E406" s="9"/>
      <c r="F406" s="9"/>
      <c r="G406" s="9"/>
      <c r="H406" s="9"/>
      <c r="I406" s="9"/>
      <c r="J406" s="9"/>
      <c r="K406" s="9"/>
      <c r="L406" s="9"/>
      <c r="M406" s="9"/>
      <c r="N406" s="9"/>
      <c r="O406" s="9"/>
      <c r="P406" s="9"/>
      <c r="Q406" s="10"/>
      <c r="R406" s="5"/>
      <c r="S406" s="5"/>
      <c r="T406" s="5"/>
      <c r="U406" s="5"/>
      <c r="V406" s="5"/>
      <c r="W406" s="5"/>
      <c r="X406" s="5"/>
      <c r="Y406" s="5"/>
      <c r="Z406" s="5"/>
      <c r="AA406" s="5"/>
      <c r="AB406" s="5"/>
      <c r="AC406" s="5"/>
      <c r="AD406" s="5"/>
    </row>
    <row r="407">
      <c r="A407" s="57"/>
      <c r="B407" s="59"/>
      <c r="C407" s="54"/>
      <c r="D407" s="14"/>
      <c r="E407" s="14"/>
      <c r="F407" s="14"/>
      <c r="G407" s="14"/>
      <c r="H407" s="14"/>
      <c r="I407" s="14"/>
      <c r="J407" s="14"/>
      <c r="K407" s="14"/>
      <c r="L407" s="14"/>
      <c r="M407" s="14"/>
      <c r="N407" s="14"/>
      <c r="O407" s="14"/>
      <c r="P407" s="14"/>
      <c r="Q407" s="15"/>
      <c r="R407" s="5"/>
      <c r="S407" s="5"/>
      <c r="T407" s="5"/>
      <c r="U407" s="5"/>
      <c r="V407" s="5"/>
      <c r="W407" s="5"/>
      <c r="X407" s="5"/>
      <c r="Y407" s="5"/>
      <c r="Z407" s="5"/>
      <c r="AA407" s="5"/>
      <c r="AB407" s="5"/>
      <c r="AC407" s="5"/>
      <c r="AD407" s="5"/>
    </row>
    <row r="408">
      <c r="A408" s="55"/>
      <c r="B408" s="56"/>
      <c r="C408" s="52"/>
      <c r="D408" s="9"/>
      <c r="E408" s="9"/>
      <c r="F408" s="9"/>
      <c r="G408" s="9"/>
      <c r="H408" s="9"/>
      <c r="I408" s="9"/>
      <c r="J408" s="9"/>
      <c r="K408" s="9"/>
      <c r="L408" s="9"/>
      <c r="M408" s="9"/>
      <c r="N408" s="9"/>
      <c r="O408" s="9"/>
      <c r="P408" s="9"/>
      <c r="Q408" s="10"/>
      <c r="R408" s="5"/>
      <c r="S408" s="5"/>
      <c r="T408" s="5"/>
      <c r="U408" s="5"/>
      <c r="V408" s="5"/>
      <c r="W408" s="5"/>
      <c r="X408" s="5"/>
      <c r="Y408" s="5"/>
      <c r="Z408" s="5"/>
      <c r="AA408" s="5"/>
      <c r="AB408" s="5"/>
      <c r="AC408" s="5"/>
      <c r="AD408" s="5"/>
    </row>
    <row r="409">
      <c r="A409" s="57"/>
      <c r="B409" s="59"/>
      <c r="C409" s="54"/>
      <c r="D409" s="14"/>
      <c r="E409" s="14"/>
      <c r="F409" s="14"/>
      <c r="G409" s="14"/>
      <c r="H409" s="14"/>
      <c r="I409" s="14"/>
      <c r="J409" s="14"/>
      <c r="K409" s="14"/>
      <c r="L409" s="14"/>
      <c r="M409" s="14"/>
      <c r="N409" s="14"/>
      <c r="O409" s="14"/>
      <c r="P409" s="14"/>
      <c r="Q409" s="15"/>
      <c r="R409" s="5"/>
      <c r="S409" s="5"/>
      <c r="T409" s="5"/>
      <c r="U409" s="5"/>
      <c r="V409" s="5"/>
      <c r="W409" s="5"/>
      <c r="X409" s="5"/>
      <c r="Y409" s="5"/>
      <c r="Z409" s="5"/>
      <c r="AA409" s="5"/>
      <c r="AB409" s="5"/>
      <c r="AC409" s="5"/>
      <c r="AD409" s="5"/>
    </row>
    <row r="410">
      <c r="A410" s="55"/>
      <c r="B410" s="56"/>
      <c r="C410" s="52"/>
      <c r="D410" s="9"/>
      <c r="E410" s="9"/>
      <c r="F410" s="9"/>
      <c r="G410" s="9"/>
      <c r="H410" s="9"/>
      <c r="I410" s="9"/>
      <c r="J410" s="9"/>
      <c r="K410" s="9"/>
      <c r="L410" s="9"/>
      <c r="M410" s="9"/>
      <c r="N410" s="9"/>
      <c r="O410" s="9"/>
      <c r="P410" s="9"/>
      <c r="Q410" s="10"/>
      <c r="R410" s="5"/>
      <c r="S410" s="5"/>
      <c r="T410" s="5"/>
      <c r="U410" s="5"/>
      <c r="V410" s="5"/>
      <c r="W410" s="5"/>
      <c r="X410" s="5"/>
      <c r="Y410" s="5"/>
      <c r="Z410" s="5"/>
      <c r="AA410" s="5"/>
      <c r="AB410" s="5"/>
      <c r="AC410" s="5"/>
      <c r="AD410" s="5"/>
    </row>
    <row r="411">
      <c r="A411" s="57"/>
      <c r="B411" s="59"/>
      <c r="C411" s="54"/>
      <c r="D411" s="14"/>
      <c r="E411" s="14"/>
      <c r="F411" s="14"/>
      <c r="G411" s="14"/>
      <c r="H411" s="14"/>
      <c r="I411" s="14"/>
      <c r="J411" s="14"/>
      <c r="K411" s="14"/>
      <c r="L411" s="14"/>
      <c r="M411" s="14"/>
      <c r="N411" s="14"/>
      <c r="O411" s="14"/>
      <c r="P411" s="14"/>
      <c r="Q411" s="15"/>
      <c r="R411" s="5"/>
      <c r="S411" s="5"/>
      <c r="T411" s="5"/>
      <c r="U411" s="5"/>
      <c r="V411" s="5"/>
      <c r="W411" s="5"/>
      <c r="X411" s="5"/>
      <c r="Y411" s="5"/>
      <c r="Z411" s="5"/>
      <c r="AA411" s="5"/>
      <c r="AB411" s="5"/>
      <c r="AC411" s="5"/>
      <c r="AD411" s="5"/>
    </row>
    <row r="412">
      <c r="A412" s="55"/>
      <c r="B412" s="56"/>
      <c r="C412" s="52"/>
      <c r="D412" s="9"/>
      <c r="E412" s="9"/>
      <c r="F412" s="9"/>
      <c r="G412" s="9"/>
      <c r="H412" s="9"/>
      <c r="I412" s="9"/>
      <c r="J412" s="9"/>
      <c r="K412" s="9"/>
      <c r="L412" s="9"/>
      <c r="M412" s="9"/>
      <c r="N412" s="9"/>
      <c r="O412" s="9"/>
      <c r="P412" s="9"/>
      <c r="Q412" s="10"/>
      <c r="R412" s="5"/>
      <c r="S412" s="5"/>
      <c r="T412" s="5"/>
      <c r="U412" s="5"/>
      <c r="V412" s="5"/>
      <c r="W412" s="5"/>
      <c r="X412" s="5"/>
      <c r="Y412" s="5"/>
      <c r="Z412" s="5"/>
      <c r="AA412" s="5"/>
      <c r="AB412" s="5"/>
      <c r="AC412" s="5"/>
      <c r="AD412" s="5"/>
    </row>
    <row r="413">
      <c r="A413" s="57"/>
      <c r="B413" s="59"/>
      <c r="C413" s="54"/>
      <c r="D413" s="14"/>
      <c r="E413" s="14"/>
      <c r="F413" s="14"/>
      <c r="G413" s="14"/>
      <c r="H413" s="14"/>
      <c r="I413" s="14"/>
      <c r="J413" s="14"/>
      <c r="K413" s="14"/>
      <c r="L413" s="14"/>
      <c r="M413" s="14"/>
      <c r="N413" s="14"/>
      <c r="O413" s="14"/>
      <c r="P413" s="14"/>
      <c r="Q413" s="15"/>
      <c r="R413" s="5"/>
      <c r="S413" s="5"/>
      <c r="T413" s="5"/>
      <c r="U413" s="5"/>
      <c r="V413" s="5"/>
      <c r="W413" s="5"/>
      <c r="X413" s="5"/>
      <c r="Y413" s="5"/>
      <c r="Z413" s="5"/>
      <c r="AA413" s="5"/>
      <c r="AB413" s="5"/>
      <c r="AC413" s="5"/>
      <c r="AD413" s="5"/>
    </row>
    <row r="414">
      <c r="A414" s="55"/>
      <c r="B414" s="56"/>
      <c r="C414" s="52"/>
      <c r="D414" s="9"/>
      <c r="E414" s="9"/>
      <c r="F414" s="9"/>
      <c r="G414" s="9"/>
      <c r="H414" s="9"/>
      <c r="I414" s="9"/>
      <c r="J414" s="9"/>
      <c r="K414" s="9"/>
      <c r="L414" s="9"/>
      <c r="M414" s="9"/>
      <c r="N414" s="9"/>
      <c r="O414" s="9"/>
      <c r="P414" s="9"/>
      <c r="Q414" s="10"/>
      <c r="R414" s="5"/>
      <c r="S414" s="5"/>
      <c r="T414" s="5"/>
      <c r="U414" s="5"/>
      <c r="V414" s="5"/>
      <c r="W414" s="5"/>
      <c r="X414" s="5"/>
      <c r="Y414" s="5"/>
      <c r="Z414" s="5"/>
      <c r="AA414" s="5"/>
      <c r="AB414" s="5"/>
      <c r="AC414" s="5"/>
      <c r="AD414" s="5"/>
    </row>
    <row r="415">
      <c r="A415" s="57"/>
      <c r="B415" s="59"/>
      <c r="C415" s="54"/>
      <c r="D415" s="14"/>
      <c r="E415" s="14"/>
      <c r="F415" s="14"/>
      <c r="G415" s="14"/>
      <c r="H415" s="14"/>
      <c r="I415" s="14"/>
      <c r="J415" s="14"/>
      <c r="K415" s="14"/>
      <c r="L415" s="14"/>
      <c r="M415" s="14"/>
      <c r="N415" s="14"/>
      <c r="O415" s="14"/>
      <c r="P415" s="14"/>
      <c r="Q415" s="15"/>
      <c r="R415" s="5"/>
      <c r="S415" s="5"/>
      <c r="T415" s="5"/>
      <c r="U415" s="5"/>
      <c r="V415" s="5"/>
      <c r="W415" s="5"/>
      <c r="X415" s="5"/>
      <c r="Y415" s="5"/>
      <c r="Z415" s="5"/>
      <c r="AA415" s="5"/>
      <c r="AB415" s="5"/>
      <c r="AC415" s="5"/>
      <c r="AD415" s="5"/>
    </row>
    <row r="416">
      <c r="A416" s="55"/>
      <c r="B416" s="56"/>
      <c r="C416" s="52"/>
      <c r="D416" s="9"/>
      <c r="E416" s="9"/>
      <c r="F416" s="9"/>
      <c r="G416" s="9"/>
      <c r="H416" s="9"/>
      <c r="I416" s="9"/>
      <c r="J416" s="9"/>
      <c r="K416" s="9"/>
      <c r="L416" s="9"/>
      <c r="M416" s="9"/>
      <c r="N416" s="9"/>
      <c r="O416" s="9"/>
      <c r="P416" s="9"/>
      <c r="Q416" s="10"/>
      <c r="R416" s="5"/>
      <c r="S416" s="5"/>
      <c r="T416" s="5"/>
      <c r="U416" s="5"/>
      <c r="V416" s="5"/>
      <c r="W416" s="5"/>
      <c r="X416" s="5"/>
      <c r="Y416" s="5"/>
      <c r="Z416" s="5"/>
      <c r="AA416" s="5"/>
      <c r="AB416" s="5"/>
      <c r="AC416" s="5"/>
      <c r="AD416" s="5"/>
    </row>
    <row r="417">
      <c r="A417" s="57"/>
      <c r="B417" s="59"/>
      <c r="C417" s="54"/>
      <c r="D417" s="14"/>
      <c r="E417" s="14"/>
      <c r="F417" s="14"/>
      <c r="G417" s="14"/>
      <c r="H417" s="14"/>
      <c r="I417" s="14"/>
      <c r="J417" s="14"/>
      <c r="K417" s="14"/>
      <c r="L417" s="14"/>
      <c r="M417" s="14"/>
      <c r="N417" s="14"/>
      <c r="O417" s="14"/>
      <c r="P417" s="14"/>
      <c r="Q417" s="15"/>
      <c r="R417" s="5"/>
      <c r="S417" s="5"/>
      <c r="T417" s="5"/>
      <c r="U417" s="5"/>
      <c r="V417" s="5"/>
      <c r="W417" s="5"/>
      <c r="X417" s="5"/>
      <c r="Y417" s="5"/>
      <c r="Z417" s="5"/>
      <c r="AA417" s="5"/>
      <c r="AB417" s="5"/>
      <c r="AC417" s="5"/>
      <c r="AD417" s="5"/>
    </row>
    <row r="418">
      <c r="A418" s="55"/>
      <c r="B418" s="56"/>
      <c r="C418" s="52"/>
      <c r="D418" s="9"/>
      <c r="E418" s="9"/>
      <c r="F418" s="9"/>
      <c r="G418" s="9"/>
      <c r="H418" s="9"/>
      <c r="I418" s="9"/>
      <c r="J418" s="9"/>
      <c r="K418" s="9"/>
      <c r="L418" s="9"/>
      <c r="M418" s="9"/>
      <c r="N418" s="9"/>
      <c r="O418" s="9"/>
      <c r="P418" s="9"/>
      <c r="Q418" s="10"/>
      <c r="R418" s="5"/>
      <c r="S418" s="5"/>
      <c r="T418" s="5"/>
      <c r="U418" s="5"/>
      <c r="V418" s="5"/>
      <c r="W418" s="5"/>
      <c r="X418" s="5"/>
      <c r="Y418" s="5"/>
      <c r="Z418" s="5"/>
      <c r="AA418" s="5"/>
      <c r="AB418" s="5"/>
      <c r="AC418" s="5"/>
      <c r="AD418" s="5"/>
    </row>
    <row r="419">
      <c r="A419" s="57"/>
      <c r="B419" s="59"/>
      <c r="C419" s="54"/>
      <c r="D419" s="14"/>
      <c r="E419" s="14"/>
      <c r="F419" s="14"/>
      <c r="G419" s="14"/>
      <c r="H419" s="14"/>
      <c r="I419" s="14"/>
      <c r="J419" s="14"/>
      <c r="K419" s="14"/>
      <c r="L419" s="14"/>
      <c r="M419" s="14"/>
      <c r="N419" s="14"/>
      <c r="O419" s="14"/>
      <c r="P419" s="14"/>
      <c r="Q419" s="15"/>
      <c r="R419" s="5"/>
      <c r="S419" s="5"/>
      <c r="T419" s="5"/>
      <c r="U419" s="5"/>
      <c r="V419" s="5"/>
      <c r="W419" s="5"/>
      <c r="X419" s="5"/>
      <c r="Y419" s="5"/>
      <c r="Z419" s="5"/>
      <c r="AA419" s="5"/>
      <c r="AB419" s="5"/>
      <c r="AC419" s="5"/>
      <c r="AD419" s="5"/>
    </row>
    <row r="420">
      <c r="A420" s="55"/>
      <c r="B420" s="56"/>
      <c r="C420" s="52"/>
      <c r="D420" s="9"/>
      <c r="E420" s="9"/>
      <c r="F420" s="9"/>
      <c r="G420" s="9"/>
      <c r="H420" s="9"/>
      <c r="I420" s="9"/>
      <c r="J420" s="9"/>
      <c r="K420" s="9"/>
      <c r="L420" s="9"/>
      <c r="M420" s="9"/>
      <c r="N420" s="9"/>
      <c r="O420" s="9"/>
      <c r="P420" s="9"/>
      <c r="Q420" s="10"/>
      <c r="R420" s="5"/>
      <c r="S420" s="5"/>
      <c r="T420" s="5"/>
      <c r="U420" s="5"/>
      <c r="V420" s="5"/>
      <c r="W420" s="5"/>
      <c r="X420" s="5"/>
      <c r="Y420" s="5"/>
      <c r="Z420" s="5"/>
      <c r="AA420" s="5"/>
      <c r="AB420" s="5"/>
      <c r="AC420" s="5"/>
      <c r="AD420" s="5"/>
    </row>
    <row r="421">
      <c r="A421" s="57"/>
      <c r="B421" s="59"/>
      <c r="C421" s="54"/>
      <c r="D421" s="14"/>
      <c r="E421" s="14"/>
      <c r="F421" s="14"/>
      <c r="G421" s="14"/>
      <c r="H421" s="14"/>
      <c r="I421" s="14"/>
      <c r="J421" s="14"/>
      <c r="K421" s="14"/>
      <c r="L421" s="14"/>
      <c r="M421" s="14"/>
      <c r="N421" s="14"/>
      <c r="O421" s="14"/>
      <c r="P421" s="14"/>
      <c r="Q421" s="15"/>
      <c r="R421" s="5"/>
      <c r="S421" s="5"/>
      <c r="T421" s="5"/>
      <c r="U421" s="5"/>
      <c r="V421" s="5"/>
      <c r="W421" s="5"/>
      <c r="X421" s="5"/>
      <c r="Y421" s="5"/>
      <c r="Z421" s="5"/>
      <c r="AA421" s="5"/>
      <c r="AB421" s="5"/>
      <c r="AC421" s="5"/>
      <c r="AD421" s="5"/>
    </row>
    <row r="422">
      <c r="A422" s="55"/>
      <c r="B422" s="56"/>
      <c r="C422" s="52"/>
      <c r="D422" s="9"/>
      <c r="E422" s="9"/>
      <c r="F422" s="9"/>
      <c r="G422" s="9"/>
      <c r="H422" s="9"/>
      <c r="I422" s="9"/>
      <c r="J422" s="9"/>
      <c r="K422" s="9"/>
      <c r="L422" s="9"/>
      <c r="M422" s="9"/>
      <c r="N422" s="9"/>
      <c r="O422" s="9"/>
      <c r="P422" s="9"/>
      <c r="Q422" s="10"/>
      <c r="R422" s="5"/>
      <c r="S422" s="5"/>
      <c r="T422" s="5"/>
      <c r="U422" s="5"/>
      <c r="V422" s="5"/>
      <c r="W422" s="5"/>
      <c r="X422" s="5"/>
      <c r="Y422" s="5"/>
      <c r="Z422" s="5"/>
      <c r="AA422" s="5"/>
      <c r="AB422" s="5"/>
      <c r="AC422" s="5"/>
      <c r="AD422" s="5"/>
    </row>
    <row r="423">
      <c r="A423" s="57"/>
      <c r="B423" s="59"/>
      <c r="C423" s="54"/>
      <c r="D423" s="14"/>
      <c r="E423" s="14"/>
      <c r="F423" s="14"/>
      <c r="G423" s="14"/>
      <c r="H423" s="14"/>
      <c r="I423" s="14"/>
      <c r="J423" s="14"/>
      <c r="K423" s="14"/>
      <c r="L423" s="14"/>
      <c r="M423" s="14"/>
      <c r="N423" s="14"/>
      <c r="O423" s="14"/>
      <c r="P423" s="14"/>
      <c r="Q423" s="15"/>
      <c r="R423" s="5"/>
      <c r="S423" s="5"/>
      <c r="T423" s="5"/>
      <c r="U423" s="5"/>
      <c r="V423" s="5"/>
      <c r="W423" s="5"/>
      <c r="X423" s="5"/>
      <c r="Y423" s="5"/>
      <c r="Z423" s="5"/>
      <c r="AA423" s="5"/>
      <c r="AB423" s="5"/>
      <c r="AC423" s="5"/>
      <c r="AD423" s="5"/>
    </row>
    <row r="424">
      <c r="A424" s="55"/>
      <c r="B424" s="56"/>
      <c r="C424" s="52"/>
      <c r="D424" s="9"/>
      <c r="E424" s="9"/>
      <c r="F424" s="9"/>
      <c r="G424" s="9"/>
      <c r="H424" s="9"/>
      <c r="I424" s="9"/>
      <c r="J424" s="9"/>
      <c r="K424" s="9"/>
      <c r="L424" s="9"/>
      <c r="M424" s="9"/>
      <c r="N424" s="9"/>
      <c r="O424" s="9"/>
      <c r="P424" s="9"/>
      <c r="Q424" s="10"/>
      <c r="R424" s="5"/>
      <c r="S424" s="5"/>
      <c r="T424" s="5"/>
      <c r="U424" s="5"/>
      <c r="V424" s="5"/>
      <c r="W424" s="5"/>
      <c r="X424" s="5"/>
      <c r="Y424" s="5"/>
      <c r="Z424" s="5"/>
      <c r="AA424" s="5"/>
      <c r="AB424" s="5"/>
      <c r="AC424" s="5"/>
      <c r="AD424" s="5"/>
    </row>
    <row r="425">
      <c r="A425" s="57"/>
      <c r="B425" s="59"/>
      <c r="C425" s="54"/>
      <c r="D425" s="14"/>
      <c r="E425" s="14"/>
      <c r="F425" s="14"/>
      <c r="G425" s="14"/>
      <c r="H425" s="14"/>
      <c r="I425" s="14"/>
      <c r="J425" s="14"/>
      <c r="K425" s="14"/>
      <c r="L425" s="14"/>
      <c r="M425" s="14"/>
      <c r="N425" s="14"/>
      <c r="O425" s="14"/>
      <c r="P425" s="14"/>
      <c r="Q425" s="15"/>
      <c r="R425" s="5"/>
      <c r="S425" s="5"/>
      <c r="T425" s="5"/>
      <c r="U425" s="5"/>
      <c r="V425" s="5"/>
      <c r="W425" s="5"/>
      <c r="X425" s="5"/>
      <c r="Y425" s="5"/>
      <c r="Z425" s="5"/>
      <c r="AA425" s="5"/>
      <c r="AB425" s="5"/>
      <c r="AC425" s="5"/>
      <c r="AD425" s="5"/>
    </row>
    <row r="426">
      <c r="A426" s="55"/>
      <c r="B426" s="56"/>
      <c r="C426" s="52"/>
      <c r="D426" s="9"/>
      <c r="E426" s="9"/>
      <c r="F426" s="9"/>
      <c r="G426" s="9"/>
      <c r="H426" s="9"/>
      <c r="I426" s="9"/>
      <c r="J426" s="9"/>
      <c r="K426" s="9"/>
      <c r="L426" s="9"/>
      <c r="M426" s="9"/>
      <c r="N426" s="9"/>
      <c r="O426" s="9"/>
      <c r="P426" s="9"/>
      <c r="Q426" s="10"/>
      <c r="R426" s="5"/>
      <c r="S426" s="5"/>
      <c r="T426" s="5"/>
      <c r="U426" s="5"/>
      <c r="V426" s="5"/>
      <c r="W426" s="5"/>
      <c r="X426" s="5"/>
      <c r="Y426" s="5"/>
      <c r="Z426" s="5"/>
      <c r="AA426" s="5"/>
      <c r="AB426" s="5"/>
      <c r="AC426" s="5"/>
      <c r="AD426" s="5"/>
    </row>
    <row r="427">
      <c r="A427" s="57"/>
      <c r="B427" s="59"/>
      <c r="C427" s="54"/>
      <c r="D427" s="14"/>
      <c r="E427" s="14"/>
      <c r="F427" s="14"/>
      <c r="G427" s="14"/>
      <c r="H427" s="14"/>
      <c r="I427" s="14"/>
      <c r="J427" s="14"/>
      <c r="K427" s="14"/>
      <c r="L427" s="14"/>
      <c r="M427" s="14"/>
      <c r="N427" s="14"/>
      <c r="O427" s="14"/>
      <c r="P427" s="14"/>
      <c r="Q427" s="15"/>
      <c r="R427" s="5"/>
      <c r="S427" s="5"/>
      <c r="T427" s="5"/>
      <c r="U427" s="5"/>
      <c r="V427" s="5"/>
      <c r="W427" s="5"/>
      <c r="X427" s="5"/>
      <c r="Y427" s="5"/>
      <c r="Z427" s="5"/>
      <c r="AA427" s="5"/>
      <c r="AB427" s="5"/>
      <c r="AC427" s="5"/>
      <c r="AD427" s="5"/>
    </row>
    <row r="428">
      <c r="A428" s="55"/>
      <c r="B428" s="56"/>
      <c r="C428" s="52"/>
      <c r="D428" s="9"/>
      <c r="E428" s="9"/>
      <c r="F428" s="9"/>
      <c r="G428" s="9"/>
      <c r="H428" s="9"/>
      <c r="I428" s="9"/>
      <c r="J428" s="9"/>
      <c r="K428" s="9"/>
      <c r="L428" s="9"/>
      <c r="M428" s="9"/>
      <c r="N428" s="9"/>
      <c r="O428" s="9"/>
      <c r="P428" s="9"/>
      <c r="Q428" s="10"/>
      <c r="R428" s="5"/>
      <c r="S428" s="5"/>
      <c r="T428" s="5"/>
      <c r="U428" s="5"/>
      <c r="V428" s="5"/>
      <c r="W428" s="5"/>
      <c r="X428" s="5"/>
      <c r="Y428" s="5"/>
      <c r="Z428" s="5"/>
      <c r="AA428" s="5"/>
      <c r="AB428" s="5"/>
      <c r="AC428" s="5"/>
      <c r="AD428" s="5"/>
    </row>
    <row r="429">
      <c r="A429" s="57"/>
      <c r="B429" s="59"/>
      <c r="C429" s="54"/>
      <c r="D429" s="14"/>
      <c r="E429" s="14"/>
      <c r="F429" s="14"/>
      <c r="G429" s="14"/>
      <c r="H429" s="14"/>
      <c r="I429" s="14"/>
      <c r="J429" s="14"/>
      <c r="K429" s="14"/>
      <c r="L429" s="14"/>
      <c r="M429" s="14"/>
      <c r="N429" s="14"/>
      <c r="O429" s="14"/>
      <c r="P429" s="14"/>
      <c r="Q429" s="15"/>
      <c r="R429" s="5"/>
      <c r="S429" s="5"/>
      <c r="T429" s="5"/>
      <c r="U429" s="5"/>
      <c r="V429" s="5"/>
      <c r="W429" s="5"/>
      <c r="X429" s="5"/>
      <c r="Y429" s="5"/>
      <c r="Z429" s="5"/>
      <c r="AA429" s="5"/>
      <c r="AB429" s="5"/>
      <c r="AC429" s="5"/>
      <c r="AD429" s="5"/>
    </row>
    <row r="430">
      <c r="A430" s="55"/>
      <c r="B430" s="56"/>
      <c r="C430" s="52"/>
      <c r="D430" s="9"/>
      <c r="E430" s="9"/>
      <c r="F430" s="9"/>
      <c r="G430" s="9"/>
      <c r="H430" s="9"/>
      <c r="I430" s="9"/>
      <c r="J430" s="9"/>
      <c r="K430" s="9"/>
      <c r="L430" s="9"/>
      <c r="M430" s="9"/>
      <c r="N430" s="9"/>
      <c r="O430" s="9"/>
      <c r="P430" s="9"/>
      <c r="Q430" s="10"/>
      <c r="R430" s="5"/>
      <c r="S430" s="5"/>
      <c r="T430" s="5"/>
      <c r="U430" s="5"/>
      <c r="V430" s="5"/>
      <c r="W430" s="5"/>
      <c r="X430" s="5"/>
      <c r="Y430" s="5"/>
      <c r="Z430" s="5"/>
      <c r="AA430" s="5"/>
      <c r="AB430" s="5"/>
      <c r="AC430" s="5"/>
      <c r="AD430" s="5"/>
    </row>
    <row r="431">
      <c r="A431" s="57"/>
      <c r="B431" s="59"/>
      <c r="C431" s="54"/>
      <c r="D431" s="14"/>
      <c r="E431" s="14"/>
      <c r="F431" s="14"/>
      <c r="G431" s="14"/>
      <c r="H431" s="14"/>
      <c r="I431" s="14"/>
      <c r="J431" s="14"/>
      <c r="K431" s="14"/>
      <c r="L431" s="14"/>
      <c r="M431" s="14"/>
      <c r="N431" s="14"/>
      <c r="O431" s="14"/>
      <c r="P431" s="14"/>
      <c r="Q431" s="15"/>
      <c r="R431" s="5"/>
      <c r="S431" s="5"/>
      <c r="T431" s="5"/>
      <c r="U431" s="5"/>
      <c r="V431" s="5"/>
      <c r="W431" s="5"/>
      <c r="X431" s="5"/>
      <c r="Y431" s="5"/>
      <c r="Z431" s="5"/>
      <c r="AA431" s="5"/>
      <c r="AB431" s="5"/>
      <c r="AC431" s="5"/>
      <c r="AD431" s="5"/>
    </row>
    <row r="432">
      <c r="A432" s="55"/>
      <c r="B432" s="56"/>
      <c r="C432" s="52"/>
      <c r="D432" s="9"/>
      <c r="E432" s="9"/>
      <c r="F432" s="9"/>
      <c r="G432" s="9"/>
      <c r="H432" s="9"/>
      <c r="I432" s="9"/>
      <c r="J432" s="9"/>
      <c r="K432" s="9"/>
      <c r="L432" s="9"/>
      <c r="M432" s="9"/>
      <c r="N432" s="9"/>
      <c r="O432" s="9"/>
      <c r="P432" s="9"/>
      <c r="Q432" s="10"/>
      <c r="R432" s="5"/>
      <c r="S432" s="5"/>
      <c r="T432" s="5"/>
      <c r="U432" s="5"/>
      <c r="V432" s="5"/>
      <c r="W432" s="5"/>
      <c r="X432" s="5"/>
      <c r="Y432" s="5"/>
      <c r="Z432" s="5"/>
      <c r="AA432" s="5"/>
      <c r="AB432" s="5"/>
      <c r="AC432" s="5"/>
      <c r="AD432" s="5"/>
    </row>
    <row r="433">
      <c r="A433" s="57"/>
      <c r="B433" s="59"/>
      <c r="C433" s="54"/>
      <c r="D433" s="14"/>
      <c r="E433" s="14"/>
      <c r="F433" s="14"/>
      <c r="G433" s="14"/>
      <c r="H433" s="14"/>
      <c r="I433" s="14"/>
      <c r="J433" s="14"/>
      <c r="K433" s="14"/>
      <c r="L433" s="14"/>
      <c r="M433" s="14"/>
      <c r="N433" s="14"/>
      <c r="O433" s="14"/>
      <c r="P433" s="14"/>
      <c r="Q433" s="15"/>
      <c r="R433" s="5"/>
      <c r="S433" s="5"/>
      <c r="T433" s="5"/>
      <c r="U433" s="5"/>
      <c r="V433" s="5"/>
      <c r="W433" s="5"/>
      <c r="X433" s="5"/>
      <c r="Y433" s="5"/>
      <c r="Z433" s="5"/>
      <c r="AA433" s="5"/>
      <c r="AB433" s="5"/>
      <c r="AC433" s="5"/>
      <c r="AD433" s="5"/>
    </row>
    <row r="434">
      <c r="A434" s="55"/>
      <c r="B434" s="56"/>
      <c r="C434" s="52"/>
      <c r="D434" s="9"/>
      <c r="E434" s="9"/>
      <c r="F434" s="9"/>
      <c r="G434" s="9"/>
      <c r="H434" s="9"/>
      <c r="I434" s="9"/>
      <c r="J434" s="9"/>
      <c r="K434" s="9"/>
      <c r="L434" s="9"/>
      <c r="M434" s="9"/>
      <c r="N434" s="9"/>
      <c r="O434" s="9"/>
      <c r="P434" s="9"/>
      <c r="Q434" s="10"/>
      <c r="R434" s="5"/>
      <c r="S434" s="5"/>
      <c r="T434" s="5"/>
      <c r="U434" s="5"/>
      <c r="V434" s="5"/>
      <c r="W434" s="5"/>
      <c r="X434" s="5"/>
      <c r="Y434" s="5"/>
      <c r="Z434" s="5"/>
      <c r="AA434" s="5"/>
      <c r="AB434" s="5"/>
      <c r="AC434" s="5"/>
      <c r="AD434" s="5"/>
    </row>
    <row r="435">
      <c r="A435" s="57"/>
      <c r="B435" s="59"/>
      <c r="C435" s="54"/>
      <c r="D435" s="14"/>
      <c r="E435" s="14"/>
      <c r="F435" s="14"/>
      <c r="G435" s="14"/>
      <c r="H435" s="14"/>
      <c r="I435" s="14"/>
      <c r="J435" s="14"/>
      <c r="K435" s="14"/>
      <c r="L435" s="14"/>
      <c r="M435" s="14"/>
      <c r="N435" s="14"/>
      <c r="O435" s="14"/>
      <c r="P435" s="14"/>
      <c r="Q435" s="15"/>
      <c r="R435" s="5"/>
      <c r="S435" s="5"/>
      <c r="T435" s="5"/>
      <c r="U435" s="5"/>
      <c r="V435" s="5"/>
      <c r="W435" s="5"/>
      <c r="X435" s="5"/>
      <c r="Y435" s="5"/>
      <c r="Z435" s="5"/>
      <c r="AA435" s="5"/>
      <c r="AB435" s="5"/>
      <c r="AC435" s="5"/>
      <c r="AD435" s="5"/>
    </row>
    <row r="436">
      <c r="A436" s="55"/>
      <c r="B436" s="56"/>
      <c r="C436" s="52"/>
      <c r="D436" s="9"/>
      <c r="E436" s="9"/>
      <c r="F436" s="9"/>
      <c r="G436" s="9"/>
      <c r="H436" s="9"/>
      <c r="I436" s="9"/>
      <c r="J436" s="9"/>
      <c r="K436" s="9"/>
      <c r="L436" s="9"/>
      <c r="M436" s="9"/>
      <c r="N436" s="9"/>
      <c r="O436" s="9"/>
      <c r="P436" s="9"/>
      <c r="Q436" s="10"/>
      <c r="R436" s="5"/>
      <c r="S436" s="5"/>
      <c r="T436" s="5"/>
      <c r="U436" s="5"/>
      <c r="V436" s="5"/>
      <c r="W436" s="5"/>
      <c r="X436" s="5"/>
      <c r="Y436" s="5"/>
      <c r="Z436" s="5"/>
      <c r="AA436" s="5"/>
      <c r="AB436" s="5"/>
      <c r="AC436" s="5"/>
      <c r="AD436" s="5"/>
    </row>
    <row r="437">
      <c r="A437" s="57"/>
      <c r="B437" s="59"/>
      <c r="C437" s="54"/>
      <c r="D437" s="14"/>
      <c r="E437" s="14"/>
      <c r="F437" s="14"/>
      <c r="G437" s="14"/>
      <c r="H437" s="14"/>
      <c r="I437" s="14"/>
      <c r="J437" s="14"/>
      <c r="K437" s="14"/>
      <c r="L437" s="14"/>
      <c r="M437" s="14"/>
      <c r="N437" s="14"/>
      <c r="O437" s="14"/>
      <c r="P437" s="14"/>
      <c r="Q437" s="15"/>
      <c r="R437" s="5"/>
      <c r="S437" s="5"/>
      <c r="T437" s="5"/>
      <c r="U437" s="5"/>
      <c r="V437" s="5"/>
      <c r="W437" s="5"/>
      <c r="X437" s="5"/>
      <c r="Y437" s="5"/>
      <c r="Z437" s="5"/>
      <c r="AA437" s="5"/>
      <c r="AB437" s="5"/>
      <c r="AC437" s="5"/>
      <c r="AD437" s="5"/>
    </row>
    <row r="438">
      <c r="A438" s="55"/>
      <c r="B438" s="56"/>
      <c r="C438" s="52"/>
      <c r="D438" s="9"/>
      <c r="E438" s="9"/>
      <c r="F438" s="9"/>
      <c r="G438" s="9"/>
      <c r="H438" s="9"/>
      <c r="I438" s="9"/>
      <c r="J438" s="9"/>
      <c r="K438" s="9"/>
      <c r="L438" s="9"/>
      <c r="M438" s="9"/>
      <c r="N438" s="9"/>
      <c r="O438" s="9"/>
      <c r="P438" s="9"/>
      <c r="Q438" s="10"/>
      <c r="R438" s="5"/>
      <c r="S438" s="5"/>
      <c r="T438" s="5"/>
      <c r="U438" s="5"/>
      <c r="V438" s="5"/>
      <c r="W438" s="5"/>
      <c r="X438" s="5"/>
      <c r="Y438" s="5"/>
      <c r="Z438" s="5"/>
      <c r="AA438" s="5"/>
      <c r="AB438" s="5"/>
      <c r="AC438" s="5"/>
      <c r="AD438" s="5"/>
    </row>
    <row r="439">
      <c r="A439" s="57"/>
      <c r="B439" s="59"/>
      <c r="C439" s="54"/>
      <c r="D439" s="14"/>
      <c r="E439" s="14"/>
      <c r="F439" s="14"/>
      <c r="G439" s="14"/>
      <c r="H439" s="14"/>
      <c r="I439" s="14"/>
      <c r="J439" s="14"/>
      <c r="K439" s="14"/>
      <c r="L439" s="14"/>
      <c r="M439" s="14"/>
      <c r="N439" s="14"/>
      <c r="O439" s="14"/>
      <c r="P439" s="14"/>
      <c r="Q439" s="15"/>
      <c r="R439" s="5"/>
      <c r="S439" s="5"/>
      <c r="T439" s="5"/>
      <c r="U439" s="5"/>
      <c r="V439" s="5"/>
      <c r="W439" s="5"/>
      <c r="X439" s="5"/>
      <c r="Y439" s="5"/>
      <c r="Z439" s="5"/>
      <c r="AA439" s="5"/>
      <c r="AB439" s="5"/>
      <c r="AC439" s="5"/>
      <c r="AD439" s="5"/>
    </row>
    <row r="440">
      <c r="A440" s="55"/>
      <c r="B440" s="56"/>
      <c r="C440" s="52"/>
      <c r="D440" s="9"/>
      <c r="E440" s="9"/>
      <c r="F440" s="9"/>
      <c r="G440" s="9"/>
      <c r="H440" s="9"/>
      <c r="I440" s="9"/>
      <c r="J440" s="9"/>
      <c r="K440" s="9"/>
      <c r="L440" s="9"/>
      <c r="M440" s="9"/>
      <c r="N440" s="9"/>
      <c r="O440" s="9"/>
      <c r="P440" s="9"/>
      <c r="Q440" s="10"/>
      <c r="R440" s="5"/>
      <c r="S440" s="5"/>
      <c r="T440" s="5"/>
      <c r="U440" s="5"/>
      <c r="V440" s="5"/>
      <c r="W440" s="5"/>
      <c r="X440" s="5"/>
      <c r="Y440" s="5"/>
      <c r="Z440" s="5"/>
      <c r="AA440" s="5"/>
      <c r="AB440" s="5"/>
      <c r="AC440" s="5"/>
      <c r="AD440" s="5"/>
    </row>
    <row r="441">
      <c r="A441" s="57"/>
      <c r="B441" s="59"/>
      <c r="C441" s="54"/>
      <c r="D441" s="14"/>
      <c r="E441" s="14"/>
      <c r="F441" s="14"/>
      <c r="G441" s="14"/>
      <c r="H441" s="14"/>
      <c r="I441" s="14"/>
      <c r="J441" s="14"/>
      <c r="K441" s="14"/>
      <c r="L441" s="14"/>
      <c r="M441" s="14"/>
      <c r="N441" s="14"/>
      <c r="O441" s="14"/>
      <c r="P441" s="14"/>
      <c r="Q441" s="15"/>
      <c r="R441" s="5"/>
      <c r="S441" s="5"/>
      <c r="T441" s="5"/>
      <c r="U441" s="5"/>
      <c r="V441" s="5"/>
      <c r="W441" s="5"/>
      <c r="X441" s="5"/>
      <c r="Y441" s="5"/>
      <c r="Z441" s="5"/>
      <c r="AA441" s="5"/>
      <c r="AB441" s="5"/>
      <c r="AC441" s="5"/>
      <c r="AD441" s="5"/>
    </row>
    <row r="442">
      <c r="A442" s="55"/>
      <c r="B442" s="56"/>
      <c r="C442" s="52"/>
      <c r="D442" s="9"/>
      <c r="E442" s="9"/>
      <c r="F442" s="9"/>
      <c r="G442" s="9"/>
      <c r="H442" s="9"/>
      <c r="I442" s="9"/>
      <c r="J442" s="9"/>
      <c r="K442" s="9"/>
      <c r="L442" s="9"/>
      <c r="M442" s="9"/>
      <c r="N442" s="9"/>
      <c r="O442" s="9"/>
      <c r="P442" s="9"/>
      <c r="Q442" s="10"/>
      <c r="R442" s="5"/>
      <c r="S442" s="5"/>
      <c r="T442" s="5"/>
      <c r="U442" s="5"/>
      <c r="V442" s="5"/>
      <c r="W442" s="5"/>
      <c r="X442" s="5"/>
      <c r="Y442" s="5"/>
      <c r="Z442" s="5"/>
      <c r="AA442" s="5"/>
      <c r="AB442" s="5"/>
      <c r="AC442" s="5"/>
      <c r="AD442" s="5"/>
    </row>
    <row r="443">
      <c r="A443" s="57"/>
      <c r="B443" s="59"/>
      <c r="C443" s="54"/>
      <c r="D443" s="14"/>
      <c r="E443" s="14"/>
      <c r="F443" s="14"/>
      <c r="G443" s="14"/>
      <c r="H443" s="14"/>
      <c r="I443" s="14"/>
      <c r="J443" s="14"/>
      <c r="K443" s="14"/>
      <c r="L443" s="14"/>
      <c r="M443" s="14"/>
      <c r="N443" s="14"/>
      <c r="O443" s="14"/>
      <c r="P443" s="14"/>
      <c r="Q443" s="15"/>
      <c r="R443" s="5"/>
      <c r="S443" s="5"/>
      <c r="T443" s="5"/>
      <c r="U443" s="5"/>
      <c r="V443" s="5"/>
      <c r="W443" s="5"/>
      <c r="X443" s="5"/>
      <c r="Y443" s="5"/>
      <c r="Z443" s="5"/>
      <c r="AA443" s="5"/>
      <c r="AB443" s="5"/>
      <c r="AC443" s="5"/>
      <c r="AD443" s="5"/>
    </row>
    <row r="444">
      <c r="A444" s="55"/>
      <c r="B444" s="56"/>
      <c r="C444" s="52"/>
      <c r="D444" s="9"/>
      <c r="E444" s="9"/>
      <c r="F444" s="9"/>
      <c r="G444" s="9"/>
      <c r="H444" s="9"/>
      <c r="I444" s="9"/>
      <c r="J444" s="9"/>
      <c r="K444" s="9"/>
      <c r="L444" s="9"/>
      <c r="M444" s="9"/>
      <c r="N444" s="9"/>
      <c r="O444" s="9"/>
      <c r="P444" s="9"/>
      <c r="Q444" s="10"/>
      <c r="R444" s="5"/>
      <c r="S444" s="5"/>
      <c r="T444" s="5"/>
      <c r="U444" s="5"/>
      <c r="V444" s="5"/>
      <c r="W444" s="5"/>
      <c r="X444" s="5"/>
      <c r="Y444" s="5"/>
      <c r="Z444" s="5"/>
      <c r="AA444" s="5"/>
      <c r="AB444" s="5"/>
      <c r="AC444" s="5"/>
      <c r="AD444" s="5"/>
    </row>
    <row r="445">
      <c r="A445" s="57"/>
      <c r="B445" s="59"/>
      <c r="C445" s="54"/>
      <c r="D445" s="14"/>
      <c r="E445" s="14"/>
      <c r="F445" s="14"/>
      <c r="G445" s="14"/>
      <c r="H445" s="14"/>
      <c r="I445" s="14"/>
      <c r="J445" s="14"/>
      <c r="K445" s="14"/>
      <c r="L445" s="14"/>
      <c r="M445" s="14"/>
      <c r="N445" s="14"/>
      <c r="O445" s="14"/>
      <c r="P445" s="14"/>
      <c r="Q445" s="15"/>
      <c r="R445" s="5"/>
      <c r="S445" s="5"/>
      <c r="T445" s="5"/>
      <c r="U445" s="5"/>
      <c r="V445" s="5"/>
      <c r="W445" s="5"/>
      <c r="X445" s="5"/>
      <c r="Y445" s="5"/>
      <c r="Z445" s="5"/>
      <c r="AA445" s="5"/>
      <c r="AB445" s="5"/>
      <c r="AC445" s="5"/>
      <c r="AD445" s="5"/>
    </row>
    <row r="446">
      <c r="A446" s="55"/>
      <c r="B446" s="56"/>
      <c r="C446" s="52"/>
      <c r="D446" s="9"/>
      <c r="E446" s="9"/>
      <c r="F446" s="9"/>
      <c r="G446" s="9"/>
      <c r="H446" s="9"/>
      <c r="I446" s="9"/>
      <c r="J446" s="9"/>
      <c r="K446" s="9"/>
      <c r="L446" s="9"/>
      <c r="M446" s="9"/>
      <c r="N446" s="9"/>
      <c r="O446" s="9"/>
      <c r="P446" s="9"/>
      <c r="Q446" s="10"/>
      <c r="R446" s="5"/>
      <c r="S446" s="5"/>
      <c r="T446" s="5"/>
      <c r="U446" s="5"/>
      <c r="V446" s="5"/>
      <c r="W446" s="5"/>
      <c r="X446" s="5"/>
      <c r="Y446" s="5"/>
      <c r="Z446" s="5"/>
      <c r="AA446" s="5"/>
      <c r="AB446" s="5"/>
      <c r="AC446" s="5"/>
      <c r="AD446" s="5"/>
    </row>
    <row r="447">
      <c r="A447" s="57"/>
      <c r="B447" s="59"/>
      <c r="C447" s="54"/>
      <c r="D447" s="14"/>
      <c r="E447" s="14"/>
      <c r="F447" s="14"/>
      <c r="G447" s="14"/>
      <c r="H447" s="14"/>
      <c r="I447" s="14"/>
      <c r="J447" s="14"/>
      <c r="K447" s="14"/>
      <c r="L447" s="14"/>
      <c r="M447" s="14"/>
      <c r="N447" s="14"/>
      <c r="O447" s="14"/>
      <c r="P447" s="14"/>
      <c r="Q447" s="15"/>
      <c r="R447" s="5"/>
      <c r="S447" s="5"/>
      <c r="T447" s="5"/>
      <c r="U447" s="5"/>
      <c r="V447" s="5"/>
      <c r="W447" s="5"/>
      <c r="X447" s="5"/>
      <c r="Y447" s="5"/>
      <c r="Z447" s="5"/>
      <c r="AA447" s="5"/>
      <c r="AB447" s="5"/>
      <c r="AC447" s="5"/>
      <c r="AD447" s="5"/>
    </row>
    <row r="448">
      <c r="A448" s="55"/>
      <c r="B448" s="56"/>
      <c r="C448" s="52"/>
      <c r="D448" s="9"/>
      <c r="E448" s="9"/>
      <c r="F448" s="9"/>
      <c r="G448" s="9"/>
      <c r="H448" s="9"/>
      <c r="I448" s="9"/>
      <c r="J448" s="9"/>
      <c r="K448" s="9"/>
      <c r="L448" s="9"/>
      <c r="M448" s="9"/>
      <c r="N448" s="9"/>
      <c r="O448" s="9"/>
      <c r="P448" s="9"/>
      <c r="Q448" s="10"/>
      <c r="R448" s="5"/>
      <c r="S448" s="5"/>
      <c r="T448" s="5"/>
      <c r="U448" s="5"/>
      <c r="V448" s="5"/>
      <c r="W448" s="5"/>
      <c r="X448" s="5"/>
      <c r="Y448" s="5"/>
      <c r="Z448" s="5"/>
      <c r="AA448" s="5"/>
      <c r="AB448" s="5"/>
      <c r="AC448" s="5"/>
      <c r="AD448" s="5"/>
    </row>
    <row r="449">
      <c r="A449" s="57"/>
      <c r="B449" s="59"/>
      <c r="C449" s="54"/>
      <c r="D449" s="14"/>
      <c r="E449" s="14"/>
      <c r="F449" s="14"/>
      <c r="G449" s="14"/>
      <c r="H449" s="14"/>
      <c r="I449" s="14"/>
      <c r="J449" s="14"/>
      <c r="K449" s="14"/>
      <c r="L449" s="14"/>
      <c r="M449" s="14"/>
      <c r="N449" s="14"/>
      <c r="O449" s="14"/>
      <c r="P449" s="14"/>
      <c r="Q449" s="15"/>
      <c r="R449" s="5"/>
      <c r="S449" s="5"/>
      <c r="T449" s="5"/>
      <c r="U449" s="5"/>
      <c r="V449" s="5"/>
      <c r="W449" s="5"/>
      <c r="X449" s="5"/>
      <c r="Y449" s="5"/>
      <c r="Z449" s="5"/>
      <c r="AA449" s="5"/>
      <c r="AB449" s="5"/>
      <c r="AC449" s="5"/>
      <c r="AD449" s="5"/>
    </row>
    <row r="450">
      <c r="A450" s="55"/>
      <c r="B450" s="56"/>
      <c r="C450" s="52"/>
      <c r="D450" s="9"/>
      <c r="E450" s="9"/>
      <c r="F450" s="9"/>
      <c r="G450" s="9"/>
      <c r="H450" s="9"/>
      <c r="I450" s="9"/>
      <c r="J450" s="9"/>
      <c r="K450" s="9"/>
      <c r="L450" s="9"/>
      <c r="M450" s="9"/>
      <c r="N450" s="9"/>
      <c r="O450" s="9"/>
      <c r="P450" s="9"/>
      <c r="Q450" s="10"/>
      <c r="R450" s="5"/>
      <c r="S450" s="5"/>
      <c r="T450" s="5"/>
      <c r="U450" s="5"/>
      <c r="V450" s="5"/>
      <c r="W450" s="5"/>
      <c r="X450" s="5"/>
      <c r="Y450" s="5"/>
      <c r="Z450" s="5"/>
      <c r="AA450" s="5"/>
      <c r="AB450" s="5"/>
      <c r="AC450" s="5"/>
      <c r="AD450" s="5"/>
    </row>
    <row r="451">
      <c r="A451" s="57"/>
      <c r="B451" s="59"/>
      <c r="C451" s="54"/>
      <c r="D451" s="14"/>
      <c r="E451" s="14"/>
      <c r="F451" s="14"/>
      <c r="G451" s="14"/>
      <c r="H451" s="14"/>
      <c r="I451" s="14"/>
      <c r="J451" s="14"/>
      <c r="K451" s="14"/>
      <c r="L451" s="14"/>
      <c r="M451" s="14"/>
      <c r="N451" s="14"/>
      <c r="O451" s="14"/>
      <c r="P451" s="14"/>
      <c r="Q451" s="15"/>
      <c r="R451" s="5"/>
      <c r="S451" s="5"/>
      <c r="T451" s="5"/>
      <c r="U451" s="5"/>
      <c r="V451" s="5"/>
      <c r="W451" s="5"/>
      <c r="X451" s="5"/>
      <c r="Y451" s="5"/>
      <c r="Z451" s="5"/>
      <c r="AA451" s="5"/>
      <c r="AB451" s="5"/>
      <c r="AC451" s="5"/>
      <c r="AD451" s="5"/>
    </row>
    <row r="452">
      <c r="A452" s="55"/>
      <c r="B452" s="56"/>
      <c r="C452" s="52"/>
      <c r="D452" s="9"/>
      <c r="E452" s="9"/>
      <c r="F452" s="9"/>
      <c r="G452" s="9"/>
      <c r="H452" s="9"/>
      <c r="I452" s="9"/>
      <c r="J452" s="9"/>
      <c r="K452" s="9"/>
      <c r="L452" s="9"/>
      <c r="M452" s="9"/>
      <c r="N452" s="9"/>
      <c r="O452" s="9"/>
      <c r="P452" s="9"/>
      <c r="Q452" s="10"/>
      <c r="R452" s="5"/>
      <c r="S452" s="5"/>
      <c r="T452" s="5"/>
      <c r="U452" s="5"/>
      <c r="V452" s="5"/>
      <c r="W452" s="5"/>
      <c r="X452" s="5"/>
      <c r="Y452" s="5"/>
      <c r="Z452" s="5"/>
      <c r="AA452" s="5"/>
      <c r="AB452" s="5"/>
      <c r="AC452" s="5"/>
      <c r="AD452" s="5"/>
    </row>
    <row r="453">
      <c r="A453" s="57"/>
      <c r="B453" s="59"/>
      <c r="C453" s="54"/>
      <c r="D453" s="14"/>
      <c r="E453" s="14"/>
      <c r="F453" s="14"/>
      <c r="G453" s="14"/>
      <c r="H453" s="14"/>
      <c r="I453" s="14"/>
      <c r="J453" s="14"/>
      <c r="K453" s="14"/>
      <c r="L453" s="14"/>
      <c r="M453" s="14"/>
      <c r="N453" s="14"/>
      <c r="O453" s="14"/>
      <c r="P453" s="14"/>
      <c r="Q453" s="15"/>
      <c r="R453" s="5"/>
      <c r="S453" s="5"/>
      <c r="T453" s="5"/>
      <c r="U453" s="5"/>
      <c r="V453" s="5"/>
      <c r="W453" s="5"/>
      <c r="X453" s="5"/>
      <c r="Y453" s="5"/>
      <c r="Z453" s="5"/>
      <c r="AA453" s="5"/>
      <c r="AB453" s="5"/>
      <c r="AC453" s="5"/>
      <c r="AD453" s="5"/>
    </row>
    <row r="454">
      <c r="A454" s="55"/>
      <c r="B454" s="56"/>
      <c r="C454" s="52"/>
      <c r="D454" s="9"/>
      <c r="E454" s="9"/>
      <c r="F454" s="9"/>
      <c r="G454" s="9"/>
      <c r="H454" s="9"/>
      <c r="I454" s="9"/>
      <c r="J454" s="9"/>
      <c r="K454" s="9"/>
      <c r="L454" s="9"/>
      <c r="M454" s="9"/>
      <c r="N454" s="9"/>
      <c r="O454" s="9"/>
      <c r="P454" s="9"/>
      <c r="Q454" s="10"/>
      <c r="R454" s="5"/>
      <c r="S454" s="5"/>
      <c r="T454" s="5"/>
      <c r="U454" s="5"/>
      <c r="V454" s="5"/>
      <c r="W454" s="5"/>
      <c r="X454" s="5"/>
      <c r="Y454" s="5"/>
      <c r="Z454" s="5"/>
      <c r="AA454" s="5"/>
      <c r="AB454" s="5"/>
      <c r="AC454" s="5"/>
      <c r="AD454" s="5"/>
    </row>
    <row r="455">
      <c r="A455" s="57"/>
      <c r="B455" s="59"/>
      <c r="C455" s="54"/>
      <c r="D455" s="14"/>
      <c r="E455" s="14"/>
      <c r="F455" s="14"/>
      <c r="G455" s="14"/>
      <c r="H455" s="14"/>
      <c r="I455" s="14"/>
      <c r="J455" s="14"/>
      <c r="K455" s="14"/>
      <c r="L455" s="14"/>
      <c r="M455" s="14"/>
      <c r="N455" s="14"/>
      <c r="O455" s="14"/>
      <c r="P455" s="14"/>
      <c r="Q455" s="15"/>
      <c r="R455" s="5"/>
      <c r="S455" s="5"/>
      <c r="T455" s="5"/>
      <c r="U455" s="5"/>
      <c r="V455" s="5"/>
      <c r="W455" s="5"/>
      <c r="X455" s="5"/>
      <c r="Y455" s="5"/>
      <c r="Z455" s="5"/>
      <c r="AA455" s="5"/>
      <c r="AB455" s="5"/>
      <c r="AC455" s="5"/>
      <c r="AD455" s="5"/>
    </row>
    <row r="456">
      <c r="A456" s="55"/>
      <c r="B456" s="56"/>
      <c r="C456" s="52"/>
      <c r="D456" s="9"/>
      <c r="E456" s="9"/>
      <c r="F456" s="9"/>
      <c r="G456" s="9"/>
      <c r="H456" s="9"/>
      <c r="I456" s="9"/>
      <c r="J456" s="9"/>
      <c r="K456" s="9"/>
      <c r="L456" s="9"/>
      <c r="M456" s="9"/>
      <c r="N456" s="9"/>
      <c r="O456" s="9"/>
      <c r="P456" s="9"/>
      <c r="Q456" s="10"/>
      <c r="R456" s="5"/>
      <c r="S456" s="5"/>
      <c r="T456" s="5"/>
      <c r="U456" s="5"/>
      <c r="V456" s="5"/>
      <c r="W456" s="5"/>
      <c r="X456" s="5"/>
      <c r="Y456" s="5"/>
      <c r="Z456" s="5"/>
      <c r="AA456" s="5"/>
      <c r="AB456" s="5"/>
      <c r="AC456" s="5"/>
      <c r="AD456" s="5"/>
    </row>
    <row r="457">
      <c r="A457" s="57"/>
      <c r="B457" s="59"/>
      <c r="C457" s="54"/>
      <c r="D457" s="14"/>
      <c r="E457" s="14"/>
      <c r="F457" s="14"/>
      <c r="G457" s="14"/>
      <c r="H457" s="14"/>
      <c r="I457" s="14"/>
      <c r="J457" s="14"/>
      <c r="K457" s="14"/>
      <c r="L457" s="14"/>
      <c r="M457" s="14"/>
      <c r="N457" s="14"/>
      <c r="O457" s="14"/>
      <c r="P457" s="14"/>
      <c r="Q457" s="15"/>
      <c r="R457" s="5"/>
      <c r="S457" s="5"/>
      <c r="T457" s="5"/>
      <c r="U457" s="5"/>
      <c r="V457" s="5"/>
      <c r="W457" s="5"/>
      <c r="X457" s="5"/>
      <c r="Y457" s="5"/>
      <c r="Z457" s="5"/>
      <c r="AA457" s="5"/>
      <c r="AB457" s="5"/>
      <c r="AC457" s="5"/>
      <c r="AD457" s="5"/>
    </row>
    <row r="458">
      <c r="A458" s="55"/>
      <c r="B458" s="56"/>
      <c r="C458" s="52"/>
      <c r="D458" s="9"/>
      <c r="E458" s="9"/>
      <c r="F458" s="9"/>
      <c r="G458" s="9"/>
      <c r="H458" s="9"/>
      <c r="I458" s="9"/>
      <c r="J458" s="9"/>
      <c r="K458" s="9"/>
      <c r="L458" s="9"/>
      <c r="M458" s="9"/>
      <c r="N458" s="9"/>
      <c r="O458" s="9"/>
      <c r="P458" s="9"/>
      <c r="Q458" s="10"/>
      <c r="R458" s="5"/>
      <c r="S458" s="5"/>
      <c r="T458" s="5"/>
      <c r="U458" s="5"/>
      <c r="V458" s="5"/>
      <c r="W458" s="5"/>
      <c r="X458" s="5"/>
      <c r="Y458" s="5"/>
      <c r="Z458" s="5"/>
      <c r="AA458" s="5"/>
      <c r="AB458" s="5"/>
      <c r="AC458" s="5"/>
      <c r="AD458" s="5"/>
    </row>
    <row r="459">
      <c r="A459" s="57"/>
      <c r="B459" s="59"/>
      <c r="C459" s="54"/>
      <c r="D459" s="14"/>
      <c r="E459" s="14"/>
      <c r="F459" s="14"/>
      <c r="G459" s="14"/>
      <c r="H459" s="14"/>
      <c r="I459" s="14"/>
      <c r="J459" s="14"/>
      <c r="K459" s="14"/>
      <c r="L459" s="14"/>
      <c r="M459" s="14"/>
      <c r="N459" s="14"/>
      <c r="O459" s="14"/>
      <c r="P459" s="14"/>
      <c r="Q459" s="15"/>
      <c r="R459" s="5"/>
      <c r="S459" s="5"/>
      <c r="T459" s="5"/>
      <c r="U459" s="5"/>
      <c r="V459" s="5"/>
      <c r="W459" s="5"/>
      <c r="X459" s="5"/>
      <c r="Y459" s="5"/>
      <c r="Z459" s="5"/>
      <c r="AA459" s="5"/>
      <c r="AB459" s="5"/>
      <c r="AC459" s="5"/>
      <c r="AD459" s="5"/>
    </row>
    <row r="460">
      <c r="A460" s="55"/>
      <c r="B460" s="56"/>
      <c r="C460" s="52"/>
      <c r="D460" s="9"/>
      <c r="E460" s="9"/>
      <c r="F460" s="9"/>
      <c r="G460" s="9"/>
      <c r="H460" s="9"/>
      <c r="I460" s="9"/>
      <c r="J460" s="9"/>
      <c r="K460" s="9"/>
      <c r="L460" s="9"/>
      <c r="M460" s="9"/>
      <c r="N460" s="9"/>
      <c r="O460" s="9"/>
      <c r="P460" s="9"/>
      <c r="Q460" s="10"/>
      <c r="R460" s="5"/>
      <c r="S460" s="5"/>
      <c r="T460" s="5"/>
      <c r="U460" s="5"/>
      <c r="V460" s="5"/>
      <c r="W460" s="5"/>
      <c r="X460" s="5"/>
      <c r="Y460" s="5"/>
      <c r="Z460" s="5"/>
      <c r="AA460" s="5"/>
      <c r="AB460" s="5"/>
      <c r="AC460" s="5"/>
      <c r="AD460" s="5"/>
    </row>
    <row r="461">
      <c r="A461" s="57"/>
      <c r="B461" s="59"/>
      <c r="C461" s="54"/>
      <c r="D461" s="14"/>
      <c r="E461" s="14"/>
      <c r="F461" s="14"/>
      <c r="G461" s="14"/>
      <c r="H461" s="14"/>
      <c r="I461" s="14"/>
      <c r="J461" s="14"/>
      <c r="K461" s="14"/>
      <c r="L461" s="14"/>
      <c r="M461" s="14"/>
      <c r="N461" s="14"/>
      <c r="O461" s="14"/>
      <c r="P461" s="14"/>
      <c r="Q461" s="15"/>
      <c r="R461" s="5"/>
      <c r="S461" s="5"/>
      <c r="T461" s="5"/>
      <c r="U461" s="5"/>
      <c r="V461" s="5"/>
      <c r="W461" s="5"/>
      <c r="X461" s="5"/>
      <c r="Y461" s="5"/>
      <c r="Z461" s="5"/>
      <c r="AA461" s="5"/>
      <c r="AB461" s="5"/>
      <c r="AC461" s="5"/>
      <c r="AD461" s="5"/>
    </row>
    <row r="462">
      <c r="A462" s="55"/>
      <c r="B462" s="56"/>
      <c r="C462" s="52"/>
      <c r="D462" s="9"/>
      <c r="E462" s="9"/>
      <c r="F462" s="9"/>
      <c r="G462" s="9"/>
      <c r="H462" s="9"/>
      <c r="I462" s="9"/>
      <c r="J462" s="9"/>
      <c r="K462" s="9"/>
      <c r="L462" s="9"/>
      <c r="M462" s="9"/>
      <c r="N462" s="9"/>
      <c r="O462" s="9"/>
      <c r="P462" s="9"/>
      <c r="Q462" s="10"/>
      <c r="R462" s="5"/>
      <c r="S462" s="5"/>
      <c r="T462" s="5"/>
      <c r="U462" s="5"/>
      <c r="V462" s="5"/>
      <c r="W462" s="5"/>
      <c r="X462" s="5"/>
      <c r="Y462" s="5"/>
      <c r="Z462" s="5"/>
      <c r="AA462" s="5"/>
      <c r="AB462" s="5"/>
      <c r="AC462" s="5"/>
      <c r="AD462" s="5"/>
    </row>
    <row r="463">
      <c r="A463" s="57"/>
      <c r="B463" s="59"/>
      <c r="C463" s="54"/>
      <c r="D463" s="14"/>
      <c r="E463" s="14"/>
      <c r="F463" s="14"/>
      <c r="G463" s="14"/>
      <c r="H463" s="14"/>
      <c r="I463" s="14"/>
      <c r="J463" s="14"/>
      <c r="K463" s="14"/>
      <c r="L463" s="14"/>
      <c r="M463" s="14"/>
      <c r="N463" s="14"/>
      <c r="O463" s="14"/>
      <c r="P463" s="14"/>
      <c r="Q463" s="15"/>
      <c r="R463" s="5"/>
      <c r="S463" s="5"/>
      <c r="T463" s="5"/>
      <c r="U463" s="5"/>
      <c r="V463" s="5"/>
      <c r="W463" s="5"/>
      <c r="X463" s="5"/>
      <c r="Y463" s="5"/>
      <c r="Z463" s="5"/>
      <c r="AA463" s="5"/>
      <c r="AB463" s="5"/>
      <c r="AC463" s="5"/>
      <c r="AD463" s="5"/>
    </row>
    <row r="464">
      <c r="A464" s="55"/>
      <c r="B464" s="56"/>
      <c r="C464" s="52"/>
      <c r="D464" s="9"/>
      <c r="E464" s="9"/>
      <c r="F464" s="9"/>
      <c r="G464" s="9"/>
      <c r="H464" s="9"/>
      <c r="I464" s="9"/>
      <c r="J464" s="9"/>
      <c r="K464" s="9"/>
      <c r="L464" s="9"/>
      <c r="M464" s="9"/>
      <c r="N464" s="9"/>
      <c r="O464" s="9"/>
      <c r="P464" s="9"/>
      <c r="Q464" s="10"/>
      <c r="R464" s="5"/>
      <c r="S464" s="5"/>
      <c r="T464" s="5"/>
      <c r="U464" s="5"/>
      <c r="V464" s="5"/>
      <c r="W464" s="5"/>
      <c r="X464" s="5"/>
      <c r="Y464" s="5"/>
      <c r="Z464" s="5"/>
      <c r="AA464" s="5"/>
      <c r="AB464" s="5"/>
      <c r="AC464" s="5"/>
      <c r="AD464" s="5"/>
    </row>
    <row r="465">
      <c r="A465" s="57"/>
      <c r="B465" s="59"/>
      <c r="C465" s="54"/>
      <c r="D465" s="14"/>
      <c r="E465" s="14"/>
      <c r="F465" s="14"/>
      <c r="G465" s="14"/>
      <c r="H465" s="14"/>
      <c r="I465" s="14"/>
      <c r="J465" s="14"/>
      <c r="K465" s="14"/>
      <c r="L465" s="14"/>
      <c r="M465" s="14"/>
      <c r="N465" s="14"/>
      <c r="O465" s="14"/>
      <c r="P465" s="14"/>
      <c r="Q465" s="15"/>
      <c r="R465" s="5"/>
      <c r="S465" s="5"/>
      <c r="T465" s="5"/>
      <c r="U465" s="5"/>
      <c r="V465" s="5"/>
      <c r="W465" s="5"/>
      <c r="X465" s="5"/>
      <c r="Y465" s="5"/>
      <c r="Z465" s="5"/>
      <c r="AA465" s="5"/>
      <c r="AB465" s="5"/>
      <c r="AC465" s="5"/>
      <c r="AD465" s="5"/>
    </row>
    <row r="466">
      <c r="A466" s="55"/>
      <c r="B466" s="56"/>
      <c r="C466" s="52"/>
      <c r="D466" s="9"/>
      <c r="E466" s="9"/>
      <c r="F466" s="9"/>
      <c r="G466" s="9"/>
      <c r="H466" s="9"/>
      <c r="I466" s="9"/>
      <c r="J466" s="9"/>
      <c r="K466" s="9"/>
      <c r="L466" s="9"/>
      <c r="M466" s="9"/>
      <c r="N466" s="9"/>
      <c r="O466" s="9"/>
      <c r="P466" s="9"/>
      <c r="Q466" s="10"/>
      <c r="R466" s="5"/>
      <c r="S466" s="5"/>
      <c r="T466" s="5"/>
      <c r="U466" s="5"/>
      <c r="V466" s="5"/>
      <c r="W466" s="5"/>
      <c r="X466" s="5"/>
      <c r="Y466" s="5"/>
      <c r="Z466" s="5"/>
      <c r="AA466" s="5"/>
      <c r="AB466" s="5"/>
      <c r="AC466" s="5"/>
      <c r="AD466" s="5"/>
    </row>
    <row r="467">
      <c r="A467" s="57"/>
      <c r="B467" s="59"/>
      <c r="C467" s="54"/>
      <c r="D467" s="14"/>
      <c r="E467" s="14"/>
      <c r="F467" s="14"/>
      <c r="G467" s="14"/>
      <c r="H467" s="14"/>
      <c r="I467" s="14"/>
      <c r="J467" s="14"/>
      <c r="K467" s="14"/>
      <c r="L467" s="14"/>
      <c r="M467" s="14"/>
      <c r="N467" s="14"/>
      <c r="O467" s="14"/>
      <c r="P467" s="14"/>
      <c r="Q467" s="15"/>
      <c r="R467" s="5"/>
      <c r="S467" s="5"/>
      <c r="T467" s="5"/>
      <c r="U467" s="5"/>
      <c r="V467" s="5"/>
      <c r="W467" s="5"/>
      <c r="X467" s="5"/>
      <c r="Y467" s="5"/>
      <c r="Z467" s="5"/>
      <c r="AA467" s="5"/>
      <c r="AB467" s="5"/>
      <c r="AC467" s="5"/>
      <c r="AD467" s="5"/>
    </row>
    <row r="468">
      <c r="A468" s="55"/>
      <c r="B468" s="56"/>
      <c r="C468" s="52"/>
      <c r="D468" s="9"/>
      <c r="E468" s="9"/>
      <c r="F468" s="9"/>
      <c r="G468" s="9"/>
      <c r="H468" s="9"/>
      <c r="I468" s="9"/>
      <c r="J468" s="9"/>
      <c r="K468" s="9"/>
      <c r="L468" s="9"/>
      <c r="M468" s="9"/>
      <c r="N468" s="9"/>
      <c r="O468" s="9"/>
      <c r="P468" s="9"/>
      <c r="Q468" s="10"/>
      <c r="R468" s="5"/>
      <c r="S468" s="5"/>
      <c r="T468" s="5"/>
      <c r="U468" s="5"/>
      <c r="V468" s="5"/>
      <c r="W468" s="5"/>
      <c r="X468" s="5"/>
      <c r="Y468" s="5"/>
      <c r="Z468" s="5"/>
      <c r="AA468" s="5"/>
      <c r="AB468" s="5"/>
      <c r="AC468" s="5"/>
      <c r="AD468" s="5"/>
    </row>
    <row r="469">
      <c r="A469" s="57"/>
      <c r="B469" s="59"/>
      <c r="C469" s="54"/>
      <c r="D469" s="14"/>
      <c r="E469" s="14"/>
      <c r="F469" s="14"/>
      <c r="G469" s="14"/>
      <c r="H469" s="14"/>
      <c r="I469" s="14"/>
      <c r="J469" s="14"/>
      <c r="K469" s="14"/>
      <c r="L469" s="14"/>
      <c r="M469" s="14"/>
      <c r="N469" s="14"/>
      <c r="O469" s="14"/>
      <c r="P469" s="14"/>
      <c r="Q469" s="15"/>
      <c r="R469" s="5"/>
      <c r="S469" s="5"/>
      <c r="T469" s="5"/>
      <c r="U469" s="5"/>
      <c r="V469" s="5"/>
      <c r="W469" s="5"/>
      <c r="X469" s="5"/>
      <c r="Y469" s="5"/>
      <c r="Z469" s="5"/>
      <c r="AA469" s="5"/>
      <c r="AB469" s="5"/>
      <c r="AC469" s="5"/>
      <c r="AD469" s="5"/>
    </row>
    <row r="470">
      <c r="A470" s="55"/>
      <c r="B470" s="56"/>
      <c r="C470" s="52"/>
      <c r="D470" s="9"/>
      <c r="E470" s="9"/>
      <c r="F470" s="9"/>
      <c r="G470" s="9"/>
      <c r="H470" s="9"/>
      <c r="I470" s="9"/>
      <c r="J470" s="9"/>
      <c r="K470" s="9"/>
      <c r="L470" s="9"/>
      <c r="M470" s="9"/>
      <c r="N470" s="9"/>
      <c r="O470" s="9"/>
      <c r="P470" s="9"/>
      <c r="Q470" s="10"/>
      <c r="R470" s="5"/>
      <c r="S470" s="5"/>
      <c r="T470" s="5"/>
      <c r="U470" s="5"/>
      <c r="V470" s="5"/>
      <c r="W470" s="5"/>
      <c r="X470" s="5"/>
      <c r="Y470" s="5"/>
      <c r="Z470" s="5"/>
      <c r="AA470" s="5"/>
      <c r="AB470" s="5"/>
      <c r="AC470" s="5"/>
      <c r="AD470" s="5"/>
    </row>
    <row r="471">
      <c r="A471" s="57"/>
      <c r="B471" s="59"/>
      <c r="C471" s="54"/>
      <c r="D471" s="14"/>
      <c r="E471" s="14"/>
      <c r="F471" s="14"/>
      <c r="G471" s="14"/>
      <c r="H471" s="14"/>
      <c r="I471" s="14"/>
      <c r="J471" s="14"/>
      <c r="K471" s="14"/>
      <c r="L471" s="14"/>
      <c r="M471" s="14"/>
      <c r="N471" s="14"/>
      <c r="O471" s="14"/>
      <c r="P471" s="14"/>
      <c r="Q471" s="15"/>
      <c r="R471" s="5"/>
      <c r="S471" s="5"/>
      <c r="T471" s="5"/>
      <c r="U471" s="5"/>
      <c r="V471" s="5"/>
      <c r="W471" s="5"/>
      <c r="X471" s="5"/>
      <c r="Y471" s="5"/>
      <c r="Z471" s="5"/>
      <c r="AA471" s="5"/>
      <c r="AB471" s="5"/>
      <c r="AC471" s="5"/>
      <c r="AD471" s="5"/>
    </row>
    <row r="472">
      <c r="A472" s="55"/>
      <c r="B472" s="56"/>
      <c r="C472" s="52"/>
      <c r="D472" s="9"/>
      <c r="E472" s="9"/>
      <c r="F472" s="9"/>
      <c r="G472" s="9"/>
      <c r="H472" s="9"/>
      <c r="I472" s="9"/>
      <c r="J472" s="9"/>
      <c r="K472" s="9"/>
      <c r="L472" s="9"/>
      <c r="M472" s="9"/>
      <c r="N472" s="9"/>
      <c r="O472" s="9"/>
      <c r="P472" s="9"/>
      <c r="Q472" s="10"/>
      <c r="R472" s="5"/>
      <c r="S472" s="5"/>
      <c r="T472" s="5"/>
      <c r="U472" s="5"/>
      <c r="V472" s="5"/>
      <c r="W472" s="5"/>
      <c r="X472" s="5"/>
      <c r="Y472" s="5"/>
      <c r="Z472" s="5"/>
      <c r="AA472" s="5"/>
      <c r="AB472" s="5"/>
      <c r="AC472" s="5"/>
      <c r="AD472" s="5"/>
    </row>
    <row r="473">
      <c r="A473" s="57"/>
      <c r="B473" s="59"/>
      <c r="C473" s="54"/>
      <c r="D473" s="14"/>
      <c r="E473" s="14"/>
      <c r="F473" s="14"/>
      <c r="G473" s="14"/>
      <c r="H473" s="14"/>
      <c r="I473" s="14"/>
      <c r="J473" s="14"/>
      <c r="K473" s="14"/>
      <c r="L473" s="14"/>
      <c r="M473" s="14"/>
      <c r="N473" s="14"/>
      <c r="O473" s="14"/>
      <c r="P473" s="14"/>
      <c r="Q473" s="15"/>
      <c r="R473" s="5"/>
      <c r="S473" s="5"/>
      <c r="T473" s="5"/>
      <c r="U473" s="5"/>
      <c r="V473" s="5"/>
      <c r="W473" s="5"/>
      <c r="X473" s="5"/>
      <c r="Y473" s="5"/>
      <c r="Z473" s="5"/>
      <c r="AA473" s="5"/>
      <c r="AB473" s="5"/>
      <c r="AC473" s="5"/>
      <c r="AD473" s="5"/>
    </row>
    <row r="474">
      <c r="A474" s="55"/>
      <c r="B474" s="56"/>
      <c r="C474" s="52"/>
      <c r="D474" s="9"/>
      <c r="E474" s="9"/>
      <c r="F474" s="9"/>
      <c r="G474" s="9"/>
      <c r="H474" s="9"/>
      <c r="I474" s="9"/>
      <c r="J474" s="9"/>
      <c r="K474" s="9"/>
      <c r="L474" s="9"/>
      <c r="M474" s="9"/>
      <c r="N474" s="9"/>
      <c r="O474" s="9"/>
      <c r="P474" s="9"/>
      <c r="Q474" s="10"/>
      <c r="R474" s="5"/>
      <c r="S474" s="5"/>
      <c r="T474" s="5"/>
      <c r="U474" s="5"/>
      <c r="V474" s="5"/>
      <c r="W474" s="5"/>
      <c r="X474" s="5"/>
      <c r="Y474" s="5"/>
      <c r="Z474" s="5"/>
      <c r="AA474" s="5"/>
      <c r="AB474" s="5"/>
      <c r="AC474" s="5"/>
      <c r="AD474" s="5"/>
    </row>
    <row r="475">
      <c r="A475" s="57"/>
      <c r="B475" s="59"/>
      <c r="C475" s="54"/>
      <c r="D475" s="14"/>
      <c r="E475" s="14"/>
      <c r="F475" s="14"/>
      <c r="G475" s="14"/>
      <c r="H475" s="14"/>
      <c r="I475" s="14"/>
      <c r="J475" s="14"/>
      <c r="K475" s="14"/>
      <c r="L475" s="14"/>
      <c r="M475" s="14"/>
      <c r="N475" s="14"/>
      <c r="O475" s="14"/>
      <c r="P475" s="14"/>
      <c r="Q475" s="15"/>
      <c r="R475" s="5"/>
      <c r="S475" s="5"/>
      <c r="T475" s="5"/>
      <c r="U475" s="5"/>
      <c r="V475" s="5"/>
      <c r="W475" s="5"/>
      <c r="X475" s="5"/>
      <c r="Y475" s="5"/>
      <c r="Z475" s="5"/>
      <c r="AA475" s="5"/>
      <c r="AB475" s="5"/>
      <c r="AC475" s="5"/>
      <c r="AD475" s="5"/>
    </row>
    <row r="476">
      <c r="A476" s="55"/>
      <c r="B476" s="56"/>
      <c r="C476" s="52"/>
      <c r="D476" s="9"/>
      <c r="E476" s="9"/>
      <c r="F476" s="9"/>
      <c r="G476" s="9"/>
      <c r="H476" s="9"/>
      <c r="I476" s="9"/>
      <c r="J476" s="9"/>
      <c r="K476" s="9"/>
      <c r="L476" s="9"/>
      <c r="M476" s="9"/>
      <c r="N476" s="9"/>
      <c r="O476" s="9"/>
      <c r="P476" s="9"/>
      <c r="Q476" s="10"/>
      <c r="R476" s="5"/>
      <c r="S476" s="5"/>
      <c r="T476" s="5"/>
      <c r="U476" s="5"/>
      <c r="V476" s="5"/>
      <c r="W476" s="5"/>
      <c r="X476" s="5"/>
      <c r="Y476" s="5"/>
      <c r="Z476" s="5"/>
      <c r="AA476" s="5"/>
      <c r="AB476" s="5"/>
      <c r="AC476" s="5"/>
      <c r="AD476" s="5"/>
    </row>
    <row r="477">
      <c r="A477" s="57"/>
      <c r="B477" s="59"/>
      <c r="C477" s="54"/>
      <c r="D477" s="14"/>
      <c r="E477" s="14"/>
      <c r="F477" s="14"/>
      <c r="G477" s="14"/>
      <c r="H477" s="14"/>
      <c r="I477" s="14"/>
      <c r="J477" s="14"/>
      <c r="K477" s="14"/>
      <c r="L477" s="14"/>
      <c r="M477" s="14"/>
      <c r="N477" s="14"/>
      <c r="O477" s="14"/>
      <c r="P477" s="14"/>
      <c r="Q477" s="15"/>
      <c r="R477" s="5"/>
      <c r="S477" s="5"/>
      <c r="T477" s="5"/>
      <c r="U477" s="5"/>
      <c r="V477" s="5"/>
      <c r="W477" s="5"/>
      <c r="X477" s="5"/>
      <c r="Y477" s="5"/>
      <c r="Z477" s="5"/>
      <c r="AA477" s="5"/>
      <c r="AB477" s="5"/>
      <c r="AC477" s="5"/>
      <c r="AD477" s="5"/>
    </row>
    <row r="478">
      <c r="A478" s="55"/>
      <c r="B478" s="56"/>
      <c r="C478" s="52"/>
      <c r="D478" s="9"/>
      <c r="E478" s="9"/>
      <c r="F478" s="9"/>
      <c r="G478" s="9"/>
      <c r="H478" s="9"/>
      <c r="I478" s="9"/>
      <c r="J478" s="9"/>
      <c r="K478" s="9"/>
      <c r="L478" s="9"/>
      <c r="M478" s="9"/>
      <c r="N478" s="9"/>
      <c r="O478" s="9"/>
      <c r="P478" s="9"/>
      <c r="Q478" s="10"/>
      <c r="R478" s="5"/>
      <c r="S478" s="5"/>
      <c r="T478" s="5"/>
      <c r="U478" s="5"/>
      <c r="V478" s="5"/>
      <c r="W478" s="5"/>
      <c r="X478" s="5"/>
      <c r="Y478" s="5"/>
      <c r="Z478" s="5"/>
      <c r="AA478" s="5"/>
      <c r="AB478" s="5"/>
      <c r="AC478" s="5"/>
      <c r="AD478" s="5"/>
    </row>
    <row r="479">
      <c r="A479" s="57"/>
      <c r="B479" s="59"/>
      <c r="C479" s="54"/>
      <c r="D479" s="14"/>
      <c r="E479" s="14"/>
      <c r="F479" s="14"/>
      <c r="G479" s="14"/>
      <c r="H479" s="14"/>
      <c r="I479" s="14"/>
      <c r="J479" s="14"/>
      <c r="K479" s="14"/>
      <c r="L479" s="14"/>
      <c r="M479" s="14"/>
      <c r="N479" s="14"/>
      <c r="O479" s="14"/>
      <c r="P479" s="14"/>
      <c r="Q479" s="15"/>
      <c r="R479" s="5"/>
      <c r="S479" s="5"/>
      <c r="T479" s="5"/>
      <c r="U479" s="5"/>
      <c r="V479" s="5"/>
      <c r="W479" s="5"/>
      <c r="X479" s="5"/>
      <c r="Y479" s="5"/>
      <c r="Z479" s="5"/>
      <c r="AA479" s="5"/>
      <c r="AB479" s="5"/>
      <c r="AC479" s="5"/>
      <c r="AD479" s="5"/>
    </row>
    <row r="480">
      <c r="A480" s="55"/>
      <c r="B480" s="56"/>
      <c r="C480" s="52"/>
      <c r="D480" s="9"/>
      <c r="E480" s="9"/>
      <c r="F480" s="9"/>
      <c r="G480" s="9"/>
      <c r="H480" s="9"/>
      <c r="I480" s="9"/>
      <c r="J480" s="9"/>
      <c r="K480" s="9"/>
      <c r="L480" s="9"/>
      <c r="M480" s="9"/>
      <c r="N480" s="9"/>
      <c r="O480" s="9"/>
      <c r="P480" s="9"/>
      <c r="Q480" s="10"/>
      <c r="R480" s="5"/>
      <c r="S480" s="5"/>
      <c r="T480" s="5"/>
      <c r="U480" s="5"/>
      <c r="V480" s="5"/>
      <c r="W480" s="5"/>
      <c r="X480" s="5"/>
      <c r="Y480" s="5"/>
      <c r="Z480" s="5"/>
      <c r="AA480" s="5"/>
      <c r="AB480" s="5"/>
      <c r="AC480" s="5"/>
      <c r="AD480" s="5"/>
    </row>
    <row r="481">
      <c r="A481" s="57"/>
      <c r="B481" s="59"/>
      <c r="C481" s="54"/>
      <c r="D481" s="14"/>
      <c r="E481" s="14"/>
      <c r="F481" s="14"/>
      <c r="G481" s="14"/>
      <c r="H481" s="14"/>
      <c r="I481" s="14"/>
      <c r="J481" s="14"/>
      <c r="K481" s="14"/>
      <c r="L481" s="14"/>
      <c r="M481" s="14"/>
      <c r="N481" s="14"/>
      <c r="O481" s="14"/>
      <c r="P481" s="14"/>
      <c r="Q481" s="15"/>
      <c r="R481" s="5"/>
      <c r="S481" s="5"/>
      <c r="T481" s="5"/>
      <c r="U481" s="5"/>
      <c r="V481" s="5"/>
      <c r="W481" s="5"/>
      <c r="X481" s="5"/>
      <c r="Y481" s="5"/>
      <c r="Z481" s="5"/>
      <c r="AA481" s="5"/>
      <c r="AB481" s="5"/>
      <c r="AC481" s="5"/>
      <c r="AD481" s="5"/>
    </row>
    <row r="482">
      <c r="A482" s="55"/>
      <c r="B482" s="56"/>
      <c r="C482" s="52"/>
      <c r="D482" s="9"/>
      <c r="E482" s="9"/>
      <c r="F482" s="9"/>
      <c r="G482" s="9"/>
      <c r="H482" s="9"/>
      <c r="I482" s="9"/>
      <c r="J482" s="9"/>
      <c r="K482" s="9"/>
      <c r="L482" s="9"/>
      <c r="M482" s="9"/>
      <c r="N482" s="9"/>
      <c r="O482" s="9"/>
      <c r="P482" s="9"/>
      <c r="Q482" s="10"/>
      <c r="R482" s="5"/>
      <c r="S482" s="5"/>
      <c r="T482" s="5"/>
      <c r="U482" s="5"/>
      <c r="V482" s="5"/>
      <c r="W482" s="5"/>
      <c r="X482" s="5"/>
      <c r="Y482" s="5"/>
      <c r="Z482" s="5"/>
      <c r="AA482" s="5"/>
      <c r="AB482" s="5"/>
      <c r="AC482" s="5"/>
      <c r="AD482" s="5"/>
    </row>
    <row r="483">
      <c r="A483" s="57"/>
      <c r="B483" s="59"/>
      <c r="C483" s="54"/>
      <c r="D483" s="14"/>
      <c r="E483" s="14"/>
      <c r="F483" s="14"/>
      <c r="G483" s="14"/>
      <c r="H483" s="14"/>
      <c r="I483" s="14"/>
      <c r="J483" s="14"/>
      <c r="K483" s="14"/>
      <c r="L483" s="14"/>
      <c r="M483" s="14"/>
      <c r="N483" s="14"/>
      <c r="O483" s="14"/>
      <c r="P483" s="14"/>
      <c r="Q483" s="15"/>
      <c r="R483" s="5"/>
      <c r="S483" s="5"/>
      <c r="T483" s="5"/>
      <c r="U483" s="5"/>
      <c r="V483" s="5"/>
      <c r="W483" s="5"/>
      <c r="X483" s="5"/>
      <c r="Y483" s="5"/>
      <c r="Z483" s="5"/>
      <c r="AA483" s="5"/>
      <c r="AB483" s="5"/>
      <c r="AC483" s="5"/>
      <c r="AD483" s="5"/>
    </row>
    <row r="484">
      <c r="A484" s="55"/>
      <c r="B484" s="56"/>
      <c r="C484" s="52"/>
      <c r="D484" s="9"/>
      <c r="E484" s="9"/>
      <c r="F484" s="9"/>
      <c r="G484" s="9"/>
      <c r="H484" s="9"/>
      <c r="I484" s="9"/>
      <c r="J484" s="9"/>
      <c r="K484" s="9"/>
      <c r="L484" s="9"/>
      <c r="M484" s="9"/>
      <c r="N484" s="9"/>
      <c r="O484" s="9"/>
      <c r="P484" s="9"/>
      <c r="Q484" s="10"/>
      <c r="R484" s="5"/>
      <c r="S484" s="5"/>
      <c r="T484" s="5"/>
      <c r="U484" s="5"/>
      <c r="V484" s="5"/>
      <c r="W484" s="5"/>
      <c r="X484" s="5"/>
      <c r="Y484" s="5"/>
      <c r="Z484" s="5"/>
      <c r="AA484" s="5"/>
      <c r="AB484" s="5"/>
      <c r="AC484" s="5"/>
      <c r="AD484" s="5"/>
    </row>
    <row r="485">
      <c r="A485" s="57"/>
      <c r="B485" s="59"/>
      <c r="C485" s="54"/>
      <c r="D485" s="14"/>
      <c r="E485" s="14"/>
      <c r="F485" s="14"/>
      <c r="G485" s="14"/>
      <c r="H485" s="14"/>
      <c r="I485" s="14"/>
      <c r="J485" s="14"/>
      <c r="K485" s="14"/>
      <c r="L485" s="14"/>
      <c r="M485" s="14"/>
      <c r="N485" s="14"/>
      <c r="O485" s="14"/>
      <c r="P485" s="14"/>
      <c r="Q485" s="15"/>
      <c r="R485" s="5"/>
      <c r="S485" s="5"/>
      <c r="T485" s="5"/>
      <c r="U485" s="5"/>
      <c r="V485" s="5"/>
      <c r="W485" s="5"/>
      <c r="X485" s="5"/>
      <c r="Y485" s="5"/>
      <c r="Z485" s="5"/>
      <c r="AA485" s="5"/>
      <c r="AB485" s="5"/>
      <c r="AC485" s="5"/>
      <c r="AD485" s="5"/>
    </row>
    <row r="486">
      <c r="A486" s="55"/>
      <c r="B486" s="56"/>
      <c r="C486" s="52"/>
      <c r="D486" s="9"/>
      <c r="E486" s="9"/>
      <c r="F486" s="9"/>
      <c r="G486" s="9"/>
      <c r="H486" s="9"/>
      <c r="I486" s="9"/>
      <c r="J486" s="9"/>
      <c r="K486" s="9"/>
      <c r="L486" s="9"/>
      <c r="M486" s="9"/>
      <c r="N486" s="9"/>
      <c r="O486" s="9"/>
      <c r="P486" s="9"/>
      <c r="Q486" s="10"/>
      <c r="R486" s="5"/>
      <c r="S486" s="5"/>
      <c r="T486" s="5"/>
      <c r="U486" s="5"/>
      <c r="V486" s="5"/>
      <c r="W486" s="5"/>
      <c r="X486" s="5"/>
      <c r="Y486" s="5"/>
      <c r="Z486" s="5"/>
      <c r="AA486" s="5"/>
      <c r="AB486" s="5"/>
      <c r="AC486" s="5"/>
      <c r="AD486" s="5"/>
    </row>
    <row r="487">
      <c r="A487" s="57"/>
      <c r="B487" s="59"/>
      <c r="C487" s="54"/>
      <c r="D487" s="14"/>
      <c r="E487" s="14"/>
      <c r="F487" s="14"/>
      <c r="G487" s="14"/>
      <c r="H487" s="14"/>
      <c r="I487" s="14"/>
      <c r="J487" s="14"/>
      <c r="K487" s="14"/>
      <c r="L487" s="14"/>
      <c r="M487" s="14"/>
      <c r="N487" s="14"/>
      <c r="O487" s="14"/>
      <c r="P487" s="14"/>
      <c r="Q487" s="15"/>
      <c r="R487" s="5"/>
      <c r="S487" s="5"/>
      <c r="T487" s="5"/>
      <c r="U487" s="5"/>
      <c r="V487" s="5"/>
      <c r="W487" s="5"/>
      <c r="X487" s="5"/>
      <c r="Y487" s="5"/>
      <c r="Z487" s="5"/>
      <c r="AA487" s="5"/>
      <c r="AB487" s="5"/>
      <c r="AC487" s="5"/>
      <c r="AD487" s="5"/>
    </row>
    <row r="488">
      <c r="A488" s="55"/>
      <c r="B488" s="56"/>
      <c r="C488" s="52"/>
      <c r="D488" s="9"/>
      <c r="E488" s="9"/>
      <c r="F488" s="9"/>
      <c r="G488" s="9"/>
      <c r="H488" s="9"/>
      <c r="I488" s="9"/>
      <c r="J488" s="9"/>
      <c r="K488" s="9"/>
      <c r="L488" s="9"/>
      <c r="M488" s="9"/>
      <c r="N488" s="9"/>
      <c r="O488" s="9"/>
      <c r="P488" s="9"/>
      <c r="Q488" s="10"/>
      <c r="R488" s="5"/>
      <c r="S488" s="5"/>
      <c r="T488" s="5"/>
      <c r="U488" s="5"/>
      <c r="V488" s="5"/>
      <c r="W488" s="5"/>
      <c r="X488" s="5"/>
      <c r="Y488" s="5"/>
      <c r="Z488" s="5"/>
      <c r="AA488" s="5"/>
      <c r="AB488" s="5"/>
      <c r="AC488" s="5"/>
      <c r="AD488" s="5"/>
    </row>
    <row r="489">
      <c r="A489" s="57"/>
      <c r="B489" s="59"/>
      <c r="C489" s="54"/>
      <c r="D489" s="14"/>
      <c r="E489" s="14"/>
      <c r="F489" s="14"/>
      <c r="G489" s="14"/>
      <c r="H489" s="14"/>
      <c r="I489" s="14"/>
      <c r="J489" s="14"/>
      <c r="K489" s="14"/>
      <c r="L489" s="14"/>
      <c r="M489" s="14"/>
      <c r="N489" s="14"/>
      <c r="O489" s="14"/>
      <c r="P489" s="14"/>
      <c r="Q489" s="15"/>
      <c r="R489" s="5"/>
      <c r="S489" s="5"/>
      <c r="T489" s="5"/>
      <c r="U489" s="5"/>
      <c r="V489" s="5"/>
      <c r="W489" s="5"/>
      <c r="X489" s="5"/>
      <c r="Y489" s="5"/>
      <c r="Z489" s="5"/>
      <c r="AA489" s="5"/>
      <c r="AB489" s="5"/>
      <c r="AC489" s="5"/>
      <c r="AD489" s="5"/>
    </row>
    <row r="490">
      <c r="A490" s="55"/>
      <c r="B490" s="56"/>
      <c r="C490" s="52"/>
      <c r="D490" s="9"/>
      <c r="E490" s="9"/>
      <c r="F490" s="9"/>
      <c r="G490" s="9"/>
      <c r="H490" s="9"/>
      <c r="I490" s="9"/>
      <c r="J490" s="9"/>
      <c r="K490" s="9"/>
      <c r="L490" s="9"/>
      <c r="M490" s="9"/>
      <c r="N490" s="9"/>
      <c r="O490" s="9"/>
      <c r="P490" s="9"/>
      <c r="Q490" s="10"/>
      <c r="R490" s="5"/>
      <c r="S490" s="5"/>
      <c r="T490" s="5"/>
      <c r="U490" s="5"/>
      <c r="V490" s="5"/>
      <c r="W490" s="5"/>
      <c r="X490" s="5"/>
      <c r="Y490" s="5"/>
      <c r="Z490" s="5"/>
      <c r="AA490" s="5"/>
      <c r="AB490" s="5"/>
      <c r="AC490" s="5"/>
      <c r="AD490" s="5"/>
    </row>
    <row r="491">
      <c r="A491" s="57"/>
      <c r="B491" s="59"/>
      <c r="C491" s="54"/>
      <c r="D491" s="14"/>
      <c r="E491" s="14"/>
      <c r="F491" s="14"/>
      <c r="G491" s="14"/>
      <c r="H491" s="14"/>
      <c r="I491" s="14"/>
      <c r="J491" s="14"/>
      <c r="K491" s="14"/>
      <c r="L491" s="14"/>
      <c r="M491" s="14"/>
      <c r="N491" s="14"/>
      <c r="O491" s="14"/>
      <c r="P491" s="14"/>
      <c r="Q491" s="15"/>
      <c r="R491" s="5"/>
      <c r="S491" s="5"/>
      <c r="T491" s="5"/>
      <c r="U491" s="5"/>
      <c r="V491" s="5"/>
      <c r="W491" s="5"/>
      <c r="X491" s="5"/>
      <c r="Y491" s="5"/>
      <c r="Z491" s="5"/>
      <c r="AA491" s="5"/>
      <c r="AB491" s="5"/>
      <c r="AC491" s="5"/>
      <c r="AD491" s="5"/>
    </row>
    <row r="492">
      <c r="A492" s="55"/>
      <c r="B492" s="56"/>
      <c r="C492" s="52"/>
      <c r="D492" s="9"/>
      <c r="E492" s="9"/>
      <c r="F492" s="9"/>
      <c r="G492" s="9"/>
      <c r="H492" s="9"/>
      <c r="I492" s="9"/>
      <c r="J492" s="9"/>
      <c r="K492" s="9"/>
      <c r="L492" s="9"/>
      <c r="M492" s="9"/>
      <c r="N492" s="9"/>
      <c r="O492" s="9"/>
      <c r="P492" s="9"/>
      <c r="Q492" s="10"/>
      <c r="R492" s="5"/>
      <c r="S492" s="5"/>
      <c r="T492" s="5"/>
      <c r="U492" s="5"/>
      <c r="V492" s="5"/>
      <c r="W492" s="5"/>
      <c r="X492" s="5"/>
      <c r="Y492" s="5"/>
      <c r="Z492" s="5"/>
      <c r="AA492" s="5"/>
      <c r="AB492" s="5"/>
      <c r="AC492" s="5"/>
      <c r="AD492" s="5"/>
    </row>
    <row r="493">
      <c r="A493" s="57"/>
      <c r="B493" s="59"/>
      <c r="C493" s="54"/>
      <c r="D493" s="14"/>
      <c r="E493" s="14"/>
      <c r="F493" s="14"/>
      <c r="G493" s="14"/>
      <c r="H493" s="14"/>
      <c r="I493" s="14"/>
      <c r="J493" s="14"/>
      <c r="K493" s="14"/>
      <c r="L493" s="14"/>
      <c r="M493" s="14"/>
      <c r="N493" s="14"/>
      <c r="O493" s="14"/>
      <c r="P493" s="14"/>
      <c r="Q493" s="15"/>
      <c r="R493" s="5"/>
      <c r="S493" s="5"/>
      <c r="T493" s="5"/>
      <c r="U493" s="5"/>
      <c r="V493" s="5"/>
      <c r="W493" s="5"/>
      <c r="X493" s="5"/>
      <c r="Y493" s="5"/>
      <c r="Z493" s="5"/>
      <c r="AA493" s="5"/>
      <c r="AB493" s="5"/>
      <c r="AC493" s="5"/>
      <c r="AD493" s="5"/>
    </row>
    <row r="494">
      <c r="A494" s="55"/>
      <c r="B494" s="56"/>
      <c r="C494" s="52"/>
      <c r="D494" s="9"/>
      <c r="E494" s="9"/>
      <c r="F494" s="9"/>
      <c r="G494" s="9"/>
      <c r="H494" s="9"/>
      <c r="I494" s="9"/>
      <c r="J494" s="9"/>
      <c r="K494" s="9"/>
      <c r="L494" s="9"/>
      <c r="M494" s="9"/>
      <c r="N494" s="9"/>
      <c r="O494" s="9"/>
      <c r="P494" s="9"/>
      <c r="Q494" s="10"/>
      <c r="R494" s="5"/>
      <c r="S494" s="5"/>
      <c r="T494" s="5"/>
      <c r="U494" s="5"/>
      <c r="V494" s="5"/>
      <c r="W494" s="5"/>
      <c r="X494" s="5"/>
      <c r="Y494" s="5"/>
      <c r="Z494" s="5"/>
      <c r="AA494" s="5"/>
      <c r="AB494" s="5"/>
      <c r="AC494" s="5"/>
      <c r="AD494" s="5"/>
    </row>
    <row r="495">
      <c r="A495" s="57"/>
      <c r="B495" s="59"/>
      <c r="C495" s="54"/>
      <c r="D495" s="14"/>
      <c r="E495" s="14"/>
      <c r="F495" s="14"/>
      <c r="G495" s="14"/>
      <c r="H495" s="14"/>
      <c r="I495" s="14"/>
      <c r="J495" s="14"/>
      <c r="K495" s="14"/>
      <c r="L495" s="14"/>
      <c r="M495" s="14"/>
      <c r="N495" s="14"/>
      <c r="O495" s="14"/>
      <c r="P495" s="14"/>
      <c r="Q495" s="15"/>
      <c r="R495" s="5"/>
      <c r="S495" s="5"/>
      <c r="T495" s="5"/>
      <c r="U495" s="5"/>
      <c r="V495" s="5"/>
      <c r="W495" s="5"/>
      <c r="X495" s="5"/>
      <c r="Y495" s="5"/>
      <c r="Z495" s="5"/>
      <c r="AA495" s="5"/>
      <c r="AB495" s="5"/>
      <c r="AC495" s="5"/>
      <c r="AD495" s="5"/>
    </row>
    <row r="496">
      <c r="A496" s="55"/>
      <c r="B496" s="56"/>
      <c r="C496" s="52"/>
      <c r="D496" s="9"/>
      <c r="E496" s="9"/>
      <c r="F496" s="9"/>
      <c r="G496" s="9"/>
      <c r="H496" s="9"/>
      <c r="I496" s="9"/>
      <c r="J496" s="9"/>
      <c r="K496" s="9"/>
      <c r="L496" s="9"/>
      <c r="M496" s="9"/>
      <c r="N496" s="9"/>
      <c r="O496" s="9"/>
      <c r="P496" s="9"/>
      <c r="Q496" s="10"/>
      <c r="R496" s="5"/>
      <c r="S496" s="5"/>
      <c r="T496" s="5"/>
      <c r="U496" s="5"/>
      <c r="V496" s="5"/>
      <c r="W496" s="5"/>
      <c r="X496" s="5"/>
      <c r="Y496" s="5"/>
      <c r="Z496" s="5"/>
      <c r="AA496" s="5"/>
      <c r="AB496" s="5"/>
      <c r="AC496" s="5"/>
      <c r="AD496" s="5"/>
    </row>
    <row r="497">
      <c r="A497" s="57"/>
      <c r="B497" s="59"/>
      <c r="C497" s="54"/>
      <c r="D497" s="14"/>
      <c r="E497" s="14"/>
      <c r="F497" s="14"/>
      <c r="G497" s="14"/>
      <c r="H497" s="14"/>
      <c r="I497" s="14"/>
      <c r="J497" s="14"/>
      <c r="K497" s="14"/>
      <c r="L497" s="14"/>
      <c r="M497" s="14"/>
      <c r="N497" s="14"/>
      <c r="O497" s="14"/>
      <c r="P497" s="14"/>
      <c r="Q497" s="15"/>
      <c r="R497" s="5"/>
      <c r="S497" s="5"/>
      <c r="T497" s="5"/>
      <c r="U497" s="5"/>
      <c r="V497" s="5"/>
      <c r="W497" s="5"/>
      <c r="X497" s="5"/>
      <c r="Y497" s="5"/>
      <c r="Z497" s="5"/>
      <c r="AA497" s="5"/>
      <c r="AB497" s="5"/>
      <c r="AC497" s="5"/>
      <c r="AD497" s="5"/>
    </row>
    <row r="498">
      <c r="A498" s="55"/>
      <c r="B498" s="56"/>
      <c r="C498" s="52"/>
      <c r="D498" s="9"/>
      <c r="E498" s="9"/>
      <c r="F498" s="9"/>
      <c r="G498" s="9"/>
      <c r="H498" s="9"/>
      <c r="I498" s="9"/>
      <c r="J498" s="9"/>
      <c r="K498" s="9"/>
      <c r="L498" s="9"/>
      <c r="M498" s="9"/>
      <c r="N498" s="9"/>
      <c r="O498" s="9"/>
      <c r="P498" s="9"/>
      <c r="Q498" s="10"/>
      <c r="R498" s="5"/>
      <c r="S498" s="5"/>
      <c r="T498" s="5"/>
      <c r="U498" s="5"/>
      <c r="V498" s="5"/>
      <c r="W498" s="5"/>
      <c r="X498" s="5"/>
      <c r="Y498" s="5"/>
      <c r="Z498" s="5"/>
      <c r="AA498" s="5"/>
      <c r="AB498" s="5"/>
      <c r="AC498" s="5"/>
      <c r="AD498" s="5"/>
    </row>
    <row r="499">
      <c r="A499" s="57"/>
      <c r="B499" s="59"/>
      <c r="C499" s="54"/>
      <c r="D499" s="14"/>
      <c r="E499" s="14"/>
      <c r="F499" s="14"/>
      <c r="G499" s="14"/>
      <c r="H499" s="14"/>
      <c r="I499" s="14"/>
      <c r="J499" s="14"/>
      <c r="K499" s="14"/>
      <c r="L499" s="14"/>
      <c r="M499" s="14"/>
      <c r="N499" s="14"/>
      <c r="O499" s="14"/>
      <c r="P499" s="14"/>
      <c r="Q499" s="15"/>
      <c r="R499" s="5"/>
      <c r="S499" s="5"/>
      <c r="T499" s="5"/>
      <c r="U499" s="5"/>
      <c r="V499" s="5"/>
      <c r="W499" s="5"/>
      <c r="X499" s="5"/>
      <c r="Y499" s="5"/>
      <c r="Z499" s="5"/>
      <c r="AA499" s="5"/>
      <c r="AB499" s="5"/>
      <c r="AC499" s="5"/>
      <c r="AD499" s="5"/>
    </row>
    <row r="500">
      <c r="A500" s="55"/>
      <c r="B500" s="56"/>
      <c r="C500" s="52"/>
      <c r="D500" s="9"/>
      <c r="E500" s="9"/>
      <c r="F500" s="9"/>
      <c r="G500" s="9"/>
      <c r="H500" s="9"/>
      <c r="I500" s="9"/>
      <c r="J500" s="9"/>
      <c r="K500" s="9"/>
      <c r="L500" s="9"/>
      <c r="M500" s="9"/>
      <c r="N500" s="9"/>
      <c r="O500" s="9"/>
      <c r="P500" s="9"/>
      <c r="Q500" s="10"/>
      <c r="R500" s="5"/>
      <c r="S500" s="5"/>
      <c r="T500" s="5"/>
      <c r="U500" s="5"/>
      <c r="V500" s="5"/>
      <c r="W500" s="5"/>
      <c r="X500" s="5"/>
      <c r="Y500" s="5"/>
      <c r="Z500" s="5"/>
      <c r="AA500" s="5"/>
      <c r="AB500" s="5"/>
      <c r="AC500" s="5"/>
      <c r="AD500" s="5"/>
    </row>
    <row r="501">
      <c r="A501" s="57"/>
      <c r="B501" s="59"/>
      <c r="C501" s="54"/>
      <c r="D501" s="14"/>
      <c r="E501" s="14"/>
      <c r="F501" s="14"/>
      <c r="G501" s="14"/>
      <c r="H501" s="14"/>
      <c r="I501" s="14"/>
      <c r="J501" s="14"/>
      <c r="K501" s="14"/>
      <c r="L501" s="14"/>
      <c r="M501" s="14"/>
      <c r="N501" s="14"/>
      <c r="O501" s="14"/>
      <c r="P501" s="14"/>
      <c r="Q501" s="15"/>
      <c r="R501" s="5"/>
      <c r="S501" s="5"/>
      <c r="T501" s="5"/>
      <c r="U501" s="5"/>
      <c r="V501" s="5"/>
      <c r="W501" s="5"/>
      <c r="X501" s="5"/>
      <c r="Y501" s="5"/>
      <c r="Z501" s="5"/>
      <c r="AA501" s="5"/>
      <c r="AB501" s="5"/>
      <c r="AC501" s="5"/>
      <c r="AD501" s="5"/>
    </row>
    <row r="502">
      <c r="A502" s="55"/>
      <c r="B502" s="56"/>
      <c r="C502" s="52"/>
      <c r="D502" s="9"/>
      <c r="E502" s="9"/>
      <c r="F502" s="9"/>
      <c r="G502" s="9"/>
      <c r="H502" s="9"/>
      <c r="I502" s="9"/>
      <c r="J502" s="9"/>
      <c r="K502" s="9"/>
      <c r="L502" s="9"/>
      <c r="M502" s="9"/>
      <c r="N502" s="9"/>
      <c r="O502" s="9"/>
      <c r="P502" s="9"/>
      <c r="Q502" s="10"/>
      <c r="R502" s="5"/>
      <c r="S502" s="5"/>
      <c r="T502" s="5"/>
      <c r="U502" s="5"/>
      <c r="V502" s="5"/>
      <c r="W502" s="5"/>
      <c r="X502" s="5"/>
      <c r="Y502" s="5"/>
      <c r="Z502" s="5"/>
      <c r="AA502" s="5"/>
      <c r="AB502" s="5"/>
      <c r="AC502" s="5"/>
      <c r="AD502" s="5"/>
    </row>
    <row r="503">
      <c r="A503" s="57"/>
      <c r="B503" s="59"/>
      <c r="C503" s="54"/>
      <c r="D503" s="14"/>
      <c r="E503" s="14"/>
      <c r="F503" s="14"/>
      <c r="G503" s="14"/>
      <c r="H503" s="14"/>
      <c r="I503" s="14"/>
      <c r="J503" s="14"/>
      <c r="K503" s="14"/>
      <c r="L503" s="14"/>
      <c r="M503" s="14"/>
      <c r="N503" s="14"/>
      <c r="O503" s="14"/>
      <c r="P503" s="14"/>
      <c r="Q503" s="15"/>
      <c r="R503" s="5"/>
      <c r="S503" s="5"/>
      <c r="T503" s="5"/>
      <c r="U503" s="5"/>
      <c r="V503" s="5"/>
      <c r="W503" s="5"/>
      <c r="X503" s="5"/>
      <c r="Y503" s="5"/>
      <c r="Z503" s="5"/>
      <c r="AA503" s="5"/>
      <c r="AB503" s="5"/>
      <c r="AC503" s="5"/>
      <c r="AD503" s="5"/>
    </row>
    <row r="504">
      <c r="A504" s="55"/>
      <c r="B504" s="56"/>
      <c r="C504" s="52"/>
      <c r="D504" s="9"/>
      <c r="E504" s="9"/>
      <c r="F504" s="9"/>
      <c r="G504" s="9"/>
      <c r="H504" s="9"/>
      <c r="I504" s="9"/>
      <c r="J504" s="9"/>
      <c r="K504" s="9"/>
      <c r="L504" s="9"/>
      <c r="M504" s="9"/>
      <c r="N504" s="9"/>
      <c r="O504" s="9"/>
      <c r="P504" s="9"/>
      <c r="Q504" s="10"/>
      <c r="R504" s="5"/>
      <c r="S504" s="5"/>
      <c r="T504" s="5"/>
      <c r="U504" s="5"/>
      <c r="V504" s="5"/>
      <c r="W504" s="5"/>
      <c r="X504" s="5"/>
      <c r="Y504" s="5"/>
      <c r="Z504" s="5"/>
      <c r="AA504" s="5"/>
      <c r="AB504" s="5"/>
      <c r="AC504" s="5"/>
      <c r="AD504" s="5"/>
    </row>
    <row r="505">
      <c r="A505" s="57"/>
      <c r="B505" s="59"/>
      <c r="C505" s="54"/>
      <c r="D505" s="14"/>
      <c r="E505" s="14"/>
      <c r="F505" s="14"/>
      <c r="G505" s="14"/>
      <c r="H505" s="14"/>
      <c r="I505" s="14"/>
      <c r="J505" s="14"/>
      <c r="K505" s="14"/>
      <c r="L505" s="14"/>
      <c r="M505" s="14"/>
      <c r="N505" s="14"/>
      <c r="O505" s="14"/>
      <c r="P505" s="14"/>
      <c r="Q505" s="15"/>
      <c r="R505" s="5"/>
      <c r="S505" s="5"/>
      <c r="T505" s="5"/>
      <c r="U505" s="5"/>
      <c r="V505" s="5"/>
      <c r="W505" s="5"/>
      <c r="X505" s="5"/>
      <c r="Y505" s="5"/>
      <c r="Z505" s="5"/>
      <c r="AA505" s="5"/>
      <c r="AB505" s="5"/>
      <c r="AC505" s="5"/>
      <c r="AD505" s="5"/>
    </row>
    <row r="506">
      <c r="A506" s="55"/>
      <c r="B506" s="56"/>
      <c r="C506" s="52"/>
      <c r="D506" s="9"/>
      <c r="E506" s="9"/>
      <c r="F506" s="9"/>
      <c r="G506" s="9"/>
      <c r="H506" s="9"/>
      <c r="I506" s="9"/>
      <c r="J506" s="9"/>
      <c r="K506" s="9"/>
      <c r="L506" s="9"/>
      <c r="M506" s="9"/>
      <c r="N506" s="9"/>
      <c r="O506" s="9"/>
      <c r="P506" s="9"/>
      <c r="Q506" s="10"/>
      <c r="R506" s="5"/>
      <c r="S506" s="5"/>
      <c r="T506" s="5"/>
      <c r="U506" s="5"/>
      <c r="V506" s="5"/>
      <c r="W506" s="5"/>
      <c r="X506" s="5"/>
      <c r="Y506" s="5"/>
      <c r="Z506" s="5"/>
      <c r="AA506" s="5"/>
      <c r="AB506" s="5"/>
      <c r="AC506" s="5"/>
      <c r="AD506" s="5"/>
    </row>
    <row r="507">
      <c r="A507" s="57"/>
      <c r="B507" s="59"/>
      <c r="C507" s="54"/>
      <c r="D507" s="14"/>
      <c r="E507" s="14"/>
      <c r="F507" s="14"/>
      <c r="G507" s="14"/>
      <c r="H507" s="14"/>
      <c r="I507" s="14"/>
      <c r="J507" s="14"/>
      <c r="K507" s="14"/>
      <c r="L507" s="14"/>
      <c r="M507" s="14"/>
      <c r="N507" s="14"/>
      <c r="O507" s="14"/>
      <c r="P507" s="14"/>
      <c r="Q507" s="15"/>
      <c r="R507" s="5"/>
      <c r="S507" s="5"/>
      <c r="T507" s="5"/>
      <c r="U507" s="5"/>
      <c r="V507" s="5"/>
      <c r="W507" s="5"/>
      <c r="X507" s="5"/>
      <c r="Y507" s="5"/>
      <c r="Z507" s="5"/>
      <c r="AA507" s="5"/>
      <c r="AB507" s="5"/>
      <c r="AC507" s="5"/>
      <c r="AD507" s="5"/>
    </row>
    <row r="508">
      <c r="A508" s="55"/>
      <c r="B508" s="56"/>
      <c r="C508" s="52"/>
      <c r="D508" s="9"/>
      <c r="E508" s="9"/>
      <c r="F508" s="9"/>
      <c r="G508" s="9"/>
      <c r="H508" s="9"/>
      <c r="I508" s="9"/>
      <c r="J508" s="9"/>
      <c r="K508" s="9"/>
      <c r="L508" s="9"/>
      <c r="M508" s="9"/>
      <c r="N508" s="9"/>
      <c r="O508" s="9"/>
      <c r="P508" s="9"/>
      <c r="Q508" s="10"/>
      <c r="R508" s="5"/>
      <c r="S508" s="5"/>
      <c r="T508" s="5"/>
      <c r="U508" s="5"/>
      <c r="V508" s="5"/>
      <c r="W508" s="5"/>
      <c r="X508" s="5"/>
      <c r="Y508" s="5"/>
      <c r="Z508" s="5"/>
      <c r="AA508" s="5"/>
      <c r="AB508" s="5"/>
      <c r="AC508" s="5"/>
      <c r="AD508" s="5"/>
    </row>
    <row r="509">
      <c r="A509" s="57"/>
      <c r="B509" s="59"/>
      <c r="C509" s="54"/>
      <c r="D509" s="14"/>
      <c r="E509" s="14"/>
      <c r="F509" s="14"/>
      <c r="G509" s="14"/>
      <c r="H509" s="14"/>
      <c r="I509" s="14"/>
      <c r="J509" s="14"/>
      <c r="K509" s="14"/>
      <c r="L509" s="14"/>
      <c r="M509" s="14"/>
      <c r="N509" s="14"/>
      <c r="O509" s="14"/>
      <c r="P509" s="14"/>
      <c r="Q509" s="15"/>
      <c r="R509" s="5"/>
      <c r="S509" s="5"/>
      <c r="T509" s="5"/>
      <c r="U509" s="5"/>
      <c r="V509" s="5"/>
      <c r="W509" s="5"/>
      <c r="X509" s="5"/>
      <c r="Y509" s="5"/>
      <c r="Z509" s="5"/>
      <c r="AA509" s="5"/>
      <c r="AB509" s="5"/>
      <c r="AC509" s="5"/>
      <c r="AD509" s="5"/>
    </row>
    <row r="510">
      <c r="A510" s="55"/>
      <c r="B510" s="56"/>
      <c r="C510" s="52"/>
      <c r="D510" s="9"/>
      <c r="E510" s="9"/>
      <c r="F510" s="9"/>
      <c r="G510" s="9"/>
      <c r="H510" s="9"/>
      <c r="I510" s="9"/>
      <c r="J510" s="9"/>
      <c r="K510" s="9"/>
      <c r="L510" s="9"/>
      <c r="M510" s="9"/>
      <c r="N510" s="9"/>
      <c r="O510" s="9"/>
      <c r="P510" s="9"/>
      <c r="Q510" s="10"/>
      <c r="R510" s="5"/>
      <c r="S510" s="5"/>
      <c r="T510" s="5"/>
      <c r="U510" s="5"/>
      <c r="V510" s="5"/>
      <c r="W510" s="5"/>
      <c r="X510" s="5"/>
      <c r="Y510" s="5"/>
      <c r="Z510" s="5"/>
      <c r="AA510" s="5"/>
      <c r="AB510" s="5"/>
      <c r="AC510" s="5"/>
      <c r="AD510" s="5"/>
    </row>
    <row r="511">
      <c r="A511" s="57"/>
      <c r="B511" s="59"/>
      <c r="C511" s="54"/>
      <c r="D511" s="14"/>
      <c r="E511" s="14"/>
      <c r="F511" s="14"/>
      <c r="G511" s="14"/>
      <c r="H511" s="14"/>
      <c r="I511" s="14"/>
      <c r="J511" s="14"/>
      <c r="K511" s="14"/>
      <c r="L511" s="14"/>
      <c r="M511" s="14"/>
      <c r="N511" s="14"/>
      <c r="O511" s="14"/>
      <c r="P511" s="14"/>
      <c r="Q511" s="15"/>
      <c r="R511" s="5"/>
      <c r="S511" s="5"/>
      <c r="T511" s="5"/>
      <c r="U511" s="5"/>
      <c r="V511" s="5"/>
      <c r="W511" s="5"/>
      <c r="X511" s="5"/>
      <c r="Y511" s="5"/>
      <c r="Z511" s="5"/>
      <c r="AA511" s="5"/>
      <c r="AB511" s="5"/>
      <c r="AC511" s="5"/>
      <c r="AD511" s="5"/>
    </row>
    <row r="512">
      <c r="A512" s="55"/>
      <c r="B512" s="56"/>
      <c r="C512" s="52"/>
      <c r="D512" s="9"/>
      <c r="E512" s="9"/>
      <c r="F512" s="9"/>
      <c r="G512" s="9"/>
      <c r="H512" s="9"/>
      <c r="I512" s="9"/>
      <c r="J512" s="9"/>
      <c r="K512" s="9"/>
      <c r="L512" s="9"/>
      <c r="M512" s="9"/>
      <c r="N512" s="9"/>
      <c r="O512" s="9"/>
      <c r="P512" s="9"/>
      <c r="Q512" s="10"/>
      <c r="R512" s="5"/>
      <c r="S512" s="5"/>
      <c r="T512" s="5"/>
      <c r="U512" s="5"/>
      <c r="V512" s="5"/>
      <c r="W512" s="5"/>
      <c r="X512" s="5"/>
      <c r="Y512" s="5"/>
      <c r="Z512" s="5"/>
      <c r="AA512" s="5"/>
      <c r="AB512" s="5"/>
      <c r="AC512" s="5"/>
      <c r="AD512" s="5"/>
    </row>
    <row r="513">
      <c r="A513" s="57"/>
      <c r="B513" s="59"/>
      <c r="C513" s="54"/>
      <c r="D513" s="14"/>
      <c r="E513" s="14"/>
      <c r="F513" s="14"/>
      <c r="G513" s="14"/>
      <c r="H513" s="14"/>
      <c r="I513" s="14"/>
      <c r="J513" s="14"/>
      <c r="K513" s="14"/>
      <c r="L513" s="14"/>
      <c r="M513" s="14"/>
      <c r="N513" s="14"/>
      <c r="O513" s="14"/>
      <c r="P513" s="14"/>
      <c r="Q513" s="15"/>
      <c r="R513" s="5"/>
      <c r="S513" s="5"/>
      <c r="T513" s="5"/>
      <c r="U513" s="5"/>
      <c r="V513" s="5"/>
      <c r="W513" s="5"/>
      <c r="X513" s="5"/>
      <c r="Y513" s="5"/>
      <c r="Z513" s="5"/>
      <c r="AA513" s="5"/>
      <c r="AB513" s="5"/>
      <c r="AC513" s="5"/>
      <c r="AD513" s="5"/>
    </row>
    <row r="514">
      <c r="A514" s="55"/>
      <c r="B514" s="56"/>
      <c r="C514" s="52"/>
      <c r="D514" s="9"/>
      <c r="E514" s="9"/>
      <c r="F514" s="9"/>
      <c r="G514" s="9"/>
      <c r="H514" s="9"/>
      <c r="I514" s="9"/>
      <c r="J514" s="9"/>
      <c r="K514" s="9"/>
      <c r="L514" s="9"/>
      <c r="M514" s="9"/>
      <c r="N514" s="9"/>
      <c r="O514" s="9"/>
      <c r="P514" s="9"/>
      <c r="Q514" s="10"/>
      <c r="R514" s="5"/>
      <c r="S514" s="5"/>
      <c r="T514" s="5"/>
      <c r="U514" s="5"/>
      <c r="V514" s="5"/>
      <c r="W514" s="5"/>
      <c r="X514" s="5"/>
      <c r="Y514" s="5"/>
      <c r="Z514" s="5"/>
      <c r="AA514" s="5"/>
      <c r="AB514" s="5"/>
      <c r="AC514" s="5"/>
      <c r="AD514" s="5"/>
    </row>
    <row r="515">
      <c r="A515" s="57"/>
      <c r="B515" s="59"/>
      <c r="C515" s="54"/>
      <c r="D515" s="14"/>
      <c r="E515" s="14"/>
      <c r="F515" s="14"/>
      <c r="G515" s="14"/>
      <c r="H515" s="14"/>
      <c r="I515" s="14"/>
      <c r="J515" s="14"/>
      <c r="K515" s="14"/>
      <c r="L515" s="14"/>
      <c r="M515" s="14"/>
      <c r="N515" s="14"/>
      <c r="O515" s="14"/>
      <c r="P515" s="14"/>
      <c r="Q515" s="15"/>
      <c r="R515" s="5"/>
      <c r="S515" s="5"/>
      <c r="T515" s="5"/>
      <c r="U515" s="5"/>
      <c r="V515" s="5"/>
      <c r="W515" s="5"/>
      <c r="X515" s="5"/>
      <c r="Y515" s="5"/>
      <c r="Z515" s="5"/>
      <c r="AA515" s="5"/>
      <c r="AB515" s="5"/>
      <c r="AC515" s="5"/>
      <c r="AD515" s="5"/>
    </row>
    <row r="516">
      <c r="A516" s="55"/>
      <c r="B516" s="56"/>
      <c r="C516" s="52"/>
      <c r="D516" s="9"/>
      <c r="E516" s="9"/>
      <c r="F516" s="9"/>
      <c r="G516" s="9"/>
      <c r="H516" s="9"/>
      <c r="I516" s="9"/>
      <c r="J516" s="9"/>
      <c r="K516" s="9"/>
      <c r="L516" s="9"/>
      <c r="M516" s="9"/>
      <c r="N516" s="9"/>
      <c r="O516" s="9"/>
      <c r="P516" s="9"/>
      <c r="Q516" s="10"/>
      <c r="R516" s="5"/>
      <c r="S516" s="5"/>
      <c r="T516" s="5"/>
      <c r="U516" s="5"/>
      <c r="V516" s="5"/>
      <c r="W516" s="5"/>
      <c r="X516" s="5"/>
      <c r="Y516" s="5"/>
      <c r="Z516" s="5"/>
      <c r="AA516" s="5"/>
      <c r="AB516" s="5"/>
      <c r="AC516" s="5"/>
      <c r="AD516" s="5"/>
    </row>
    <row r="517">
      <c r="A517" s="57"/>
      <c r="B517" s="59"/>
      <c r="C517" s="54"/>
      <c r="D517" s="14"/>
      <c r="E517" s="14"/>
      <c r="F517" s="14"/>
      <c r="G517" s="14"/>
      <c r="H517" s="14"/>
      <c r="I517" s="14"/>
      <c r="J517" s="14"/>
      <c r="K517" s="14"/>
      <c r="L517" s="14"/>
      <c r="M517" s="14"/>
      <c r="N517" s="14"/>
      <c r="O517" s="14"/>
      <c r="P517" s="14"/>
      <c r="Q517" s="15"/>
      <c r="R517" s="5"/>
      <c r="S517" s="5"/>
      <c r="T517" s="5"/>
      <c r="U517" s="5"/>
      <c r="V517" s="5"/>
      <c r="W517" s="5"/>
      <c r="X517" s="5"/>
      <c r="Y517" s="5"/>
      <c r="Z517" s="5"/>
      <c r="AA517" s="5"/>
      <c r="AB517" s="5"/>
      <c r="AC517" s="5"/>
      <c r="AD517" s="5"/>
    </row>
    <row r="518">
      <c r="A518" s="55"/>
      <c r="B518" s="56"/>
      <c r="C518" s="52"/>
      <c r="D518" s="9"/>
      <c r="E518" s="9"/>
      <c r="F518" s="9"/>
      <c r="G518" s="9"/>
      <c r="H518" s="9"/>
      <c r="I518" s="9"/>
      <c r="J518" s="9"/>
      <c r="K518" s="9"/>
      <c r="L518" s="9"/>
      <c r="M518" s="9"/>
      <c r="N518" s="9"/>
      <c r="O518" s="9"/>
      <c r="P518" s="9"/>
      <c r="Q518" s="10"/>
      <c r="R518" s="5"/>
      <c r="S518" s="5"/>
      <c r="T518" s="5"/>
      <c r="U518" s="5"/>
      <c r="V518" s="5"/>
      <c r="W518" s="5"/>
      <c r="X518" s="5"/>
      <c r="Y518" s="5"/>
      <c r="Z518" s="5"/>
      <c r="AA518" s="5"/>
      <c r="AB518" s="5"/>
      <c r="AC518" s="5"/>
      <c r="AD518" s="5"/>
    </row>
    <row r="519">
      <c r="A519" s="57"/>
      <c r="B519" s="59"/>
      <c r="C519" s="54"/>
      <c r="D519" s="14"/>
      <c r="E519" s="14"/>
      <c r="F519" s="14"/>
      <c r="G519" s="14"/>
      <c r="H519" s="14"/>
      <c r="I519" s="14"/>
      <c r="J519" s="14"/>
      <c r="K519" s="14"/>
      <c r="L519" s="14"/>
      <c r="M519" s="14"/>
      <c r="N519" s="14"/>
      <c r="O519" s="14"/>
      <c r="P519" s="14"/>
      <c r="Q519" s="15"/>
      <c r="R519" s="5"/>
      <c r="S519" s="5"/>
      <c r="T519" s="5"/>
      <c r="U519" s="5"/>
      <c r="V519" s="5"/>
      <c r="W519" s="5"/>
      <c r="X519" s="5"/>
      <c r="Y519" s="5"/>
      <c r="Z519" s="5"/>
      <c r="AA519" s="5"/>
      <c r="AB519" s="5"/>
      <c r="AC519" s="5"/>
      <c r="AD519" s="5"/>
    </row>
    <row r="520">
      <c r="A520" s="55"/>
      <c r="B520" s="56"/>
      <c r="C520" s="52"/>
      <c r="D520" s="9"/>
      <c r="E520" s="9"/>
      <c r="F520" s="9"/>
      <c r="G520" s="9"/>
      <c r="H520" s="9"/>
      <c r="I520" s="9"/>
      <c r="J520" s="9"/>
      <c r="K520" s="9"/>
      <c r="L520" s="9"/>
      <c r="M520" s="9"/>
      <c r="N520" s="9"/>
      <c r="O520" s="9"/>
      <c r="P520" s="9"/>
      <c r="Q520" s="10"/>
      <c r="R520" s="5"/>
      <c r="S520" s="5"/>
      <c r="T520" s="5"/>
      <c r="U520" s="5"/>
      <c r="V520" s="5"/>
      <c r="W520" s="5"/>
      <c r="X520" s="5"/>
      <c r="Y520" s="5"/>
      <c r="Z520" s="5"/>
      <c r="AA520" s="5"/>
      <c r="AB520" s="5"/>
      <c r="AC520" s="5"/>
      <c r="AD520" s="5"/>
    </row>
    <row r="521">
      <c r="A521" s="57"/>
      <c r="B521" s="59"/>
      <c r="C521" s="54"/>
      <c r="D521" s="14"/>
      <c r="E521" s="14"/>
      <c r="F521" s="14"/>
      <c r="G521" s="14"/>
      <c r="H521" s="14"/>
      <c r="I521" s="14"/>
      <c r="J521" s="14"/>
      <c r="K521" s="14"/>
      <c r="L521" s="14"/>
      <c r="M521" s="14"/>
      <c r="N521" s="14"/>
      <c r="O521" s="14"/>
      <c r="P521" s="14"/>
      <c r="Q521" s="15"/>
      <c r="R521" s="5"/>
      <c r="S521" s="5"/>
      <c r="T521" s="5"/>
      <c r="U521" s="5"/>
      <c r="V521" s="5"/>
      <c r="W521" s="5"/>
      <c r="X521" s="5"/>
      <c r="Y521" s="5"/>
      <c r="Z521" s="5"/>
      <c r="AA521" s="5"/>
      <c r="AB521" s="5"/>
      <c r="AC521" s="5"/>
      <c r="AD521" s="5"/>
    </row>
    <row r="522">
      <c r="A522" s="55"/>
      <c r="B522" s="56"/>
      <c r="C522" s="52"/>
      <c r="D522" s="9"/>
      <c r="E522" s="9"/>
      <c r="F522" s="9"/>
      <c r="G522" s="9"/>
      <c r="H522" s="9"/>
      <c r="I522" s="9"/>
      <c r="J522" s="9"/>
      <c r="K522" s="9"/>
      <c r="L522" s="9"/>
      <c r="M522" s="9"/>
      <c r="N522" s="9"/>
      <c r="O522" s="9"/>
      <c r="P522" s="9"/>
      <c r="Q522" s="10"/>
      <c r="R522" s="5"/>
      <c r="S522" s="5"/>
      <c r="T522" s="5"/>
      <c r="U522" s="5"/>
      <c r="V522" s="5"/>
      <c r="W522" s="5"/>
      <c r="X522" s="5"/>
      <c r="Y522" s="5"/>
      <c r="Z522" s="5"/>
      <c r="AA522" s="5"/>
      <c r="AB522" s="5"/>
      <c r="AC522" s="5"/>
      <c r="AD522" s="5"/>
    </row>
    <row r="523">
      <c r="A523" s="57"/>
      <c r="B523" s="59"/>
      <c r="C523" s="54"/>
      <c r="D523" s="14"/>
      <c r="E523" s="14"/>
      <c r="F523" s="14"/>
      <c r="G523" s="14"/>
      <c r="H523" s="14"/>
      <c r="I523" s="14"/>
      <c r="J523" s="14"/>
      <c r="K523" s="14"/>
      <c r="L523" s="14"/>
      <c r="M523" s="14"/>
      <c r="N523" s="14"/>
      <c r="O523" s="14"/>
      <c r="P523" s="14"/>
      <c r="Q523" s="15"/>
      <c r="R523" s="5"/>
      <c r="S523" s="5"/>
      <c r="T523" s="5"/>
      <c r="U523" s="5"/>
      <c r="V523" s="5"/>
      <c r="W523" s="5"/>
      <c r="X523" s="5"/>
      <c r="Y523" s="5"/>
      <c r="Z523" s="5"/>
      <c r="AA523" s="5"/>
      <c r="AB523" s="5"/>
      <c r="AC523" s="5"/>
      <c r="AD523" s="5"/>
    </row>
    <row r="524">
      <c r="A524" s="55"/>
      <c r="B524" s="56"/>
      <c r="C524" s="52"/>
      <c r="D524" s="9"/>
      <c r="E524" s="9"/>
      <c r="F524" s="9"/>
      <c r="G524" s="9"/>
      <c r="H524" s="9"/>
      <c r="I524" s="9"/>
      <c r="J524" s="9"/>
      <c r="K524" s="9"/>
      <c r="L524" s="9"/>
      <c r="M524" s="9"/>
      <c r="N524" s="9"/>
      <c r="O524" s="9"/>
      <c r="P524" s="9"/>
      <c r="Q524" s="10"/>
      <c r="R524" s="5"/>
      <c r="S524" s="5"/>
      <c r="T524" s="5"/>
      <c r="U524" s="5"/>
      <c r="V524" s="5"/>
      <c r="W524" s="5"/>
      <c r="X524" s="5"/>
      <c r="Y524" s="5"/>
      <c r="Z524" s="5"/>
      <c r="AA524" s="5"/>
      <c r="AB524" s="5"/>
      <c r="AC524" s="5"/>
      <c r="AD524" s="5"/>
    </row>
    <row r="525">
      <c r="A525" s="57"/>
      <c r="B525" s="59"/>
      <c r="C525" s="54"/>
      <c r="D525" s="14"/>
      <c r="E525" s="14"/>
      <c r="F525" s="14"/>
      <c r="G525" s="14"/>
      <c r="H525" s="14"/>
      <c r="I525" s="14"/>
      <c r="J525" s="14"/>
      <c r="K525" s="14"/>
      <c r="L525" s="14"/>
      <c r="M525" s="14"/>
      <c r="N525" s="14"/>
      <c r="O525" s="14"/>
      <c r="P525" s="14"/>
      <c r="Q525" s="15"/>
      <c r="R525" s="5"/>
      <c r="S525" s="5"/>
      <c r="T525" s="5"/>
      <c r="U525" s="5"/>
      <c r="V525" s="5"/>
      <c r="W525" s="5"/>
      <c r="X525" s="5"/>
      <c r="Y525" s="5"/>
      <c r="Z525" s="5"/>
      <c r="AA525" s="5"/>
      <c r="AB525" s="5"/>
      <c r="AC525" s="5"/>
      <c r="AD525" s="5"/>
    </row>
    <row r="526">
      <c r="A526" s="55"/>
      <c r="B526" s="56"/>
      <c r="C526" s="52"/>
      <c r="D526" s="9"/>
      <c r="E526" s="9"/>
      <c r="F526" s="9"/>
      <c r="G526" s="9"/>
      <c r="H526" s="9"/>
      <c r="I526" s="9"/>
      <c r="J526" s="9"/>
      <c r="K526" s="9"/>
      <c r="L526" s="9"/>
      <c r="M526" s="9"/>
      <c r="N526" s="9"/>
      <c r="O526" s="9"/>
      <c r="P526" s="9"/>
      <c r="Q526" s="10"/>
      <c r="R526" s="5"/>
      <c r="S526" s="5"/>
      <c r="T526" s="5"/>
      <c r="U526" s="5"/>
      <c r="V526" s="5"/>
      <c r="W526" s="5"/>
      <c r="X526" s="5"/>
      <c r="Y526" s="5"/>
      <c r="Z526" s="5"/>
      <c r="AA526" s="5"/>
      <c r="AB526" s="5"/>
      <c r="AC526" s="5"/>
      <c r="AD526" s="5"/>
    </row>
    <row r="527">
      <c r="A527" s="57"/>
      <c r="B527" s="59"/>
      <c r="C527" s="54"/>
      <c r="D527" s="14"/>
      <c r="E527" s="14"/>
      <c r="F527" s="14"/>
      <c r="G527" s="14"/>
      <c r="H527" s="14"/>
      <c r="I527" s="14"/>
      <c r="J527" s="14"/>
      <c r="K527" s="14"/>
      <c r="L527" s="14"/>
      <c r="M527" s="14"/>
      <c r="N527" s="14"/>
      <c r="O527" s="14"/>
      <c r="P527" s="14"/>
      <c r="Q527" s="15"/>
      <c r="R527" s="5"/>
      <c r="S527" s="5"/>
      <c r="T527" s="5"/>
      <c r="U527" s="5"/>
      <c r="V527" s="5"/>
      <c r="W527" s="5"/>
      <c r="X527" s="5"/>
      <c r="Y527" s="5"/>
      <c r="Z527" s="5"/>
      <c r="AA527" s="5"/>
      <c r="AB527" s="5"/>
      <c r="AC527" s="5"/>
      <c r="AD527" s="5"/>
    </row>
    <row r="528">
      <c r="A528" s="55"/>
      <c r="B528" s="56"/>
      <c r="C528" s="52"/>
      <c r="D528" s="9"/>
      <c r="E528" s="9"/>
      <c r="F528" s="9"/>
      <c r="G528" s="9"/>
      <c r="H528" s="9"/>
      <c r="I528" s="9"/>
      <c r="J528" s="9"/>
      <c r="K528" s="9"/>
      <c r="L528" s="9"/>
      <c r="M528" s="9"/>
      <c r="N528" s="9"/>
      <c r="O528" s="9"/>
      <c r="P528" s="9"/>
      <c r="Q528" s="10"/>
      <c r="R528" s="5"/>
      <c r="S528" s="5"/>
      <c r="T528" s="5"/>
      <c r="U528" s="5"/>
      <c r="V528" s="5"/>
      <c r="W528" s="5"/>
      <c r="X528" s="5"/>
      <c r="Y528" s="5"/>
      <c r="Z528" s="5"/>
      <c r="AA528" s="5"/>
      <c r="AB528" s="5"/>
      <c r="AC528" s="5"/>
      <c r="AD528" s="5"/>
    </row>
    <row r="529">
      <c r="A529" s="57"/>
      <c r="B529" s="59"/>
      <c r="C529" s="54"/>
      <c r="D529" s="14"/>
      <c r="E529" s="14"/>
      <c r="F529" s="14"/>
      <c r="G529" s="14"/>
      <c r="H529" s="14"/>
      <c r="I529" s="14"/>
      <c r="J529" s="14"/>
      <c r="K529" s="14"/>
      <c r="L529" s="14"/>
      <c r="M529" s="14"/>
      <c r="N529" s="14"/>
      <c r="O529" s="14"/>
      <c r="P529" s="14"/>
      <c r="Q529" s="15"/>
      <c r="R529" s="5"/>
      <c r="S529" s="5"/>
      <c r="T529" s="5"/>
      <c r="U529" s="5"/>
      <c r="V529" s="5"/>
      <c r="W529" s="5"/>
      <c r="X529" s="5"/>
      <c r="Y529" s="5"/>
      <c r="Z529" s="5"/>
      <c r="AA529" s="5"/>
      <c r="AB529" s="5"/>
      <c r="AC529" s="5"/>
      <c r="AD529" s="5"/>
    </row>
    <row r="530">
      <c r="A530" s="55"/>
      <c r="B530" s="56"/>
      <c r="C530" s="52"/>
      <c r="D530" s="9"/>
      <c r="E530" s="9"/>
      <c r="F530" s="9"/>
      <c r="G530" s="9"/>
      <c r="H530" s="9"/>
      <c r="I530" s="9"/>
      <c r="J530" s="9"/>
      <c r="K530" s="9"/>
      <c r="L530" s="9"/>
      <c r="M530" s="9"/>
      <c r="N530" s="9"/>
      <c r="O530" s="9"/>
      <c r="P530" s="9"/>
      <c r="Q530" s="10"/>
      <c r="R530" s="5"/>
      <c r="S530" s="5"/>
      <c r="T530" s="5"/>
      <c r="U530" s="5"/>
      <c r="V530" s="5"/>
      <c r="W530" s="5"/>
      <c r="X530" s="5"/>
      <c r="Y530" s="5"/>
      <c r="Z530" s="5"/>
      <c r="AA530" s="5"/>
      <c r="AB530" s="5"/>
      <c r="AC530" s="5"/>
      <c r="AD530" s="5"/>
    </row>
    <row r="531">
      <c r="A531" s="57"/>
      <c r="B531" s="59"/>
      <c r="C531" s="54"/>
      <c r="D531" s="14"/>
      <c r="E531" s="14"/>
      <c r="F531" s="14"/>
      <c r="G531" s="14"/>
      <c r="H531" s="14"/>
      <c r="I531" s="14"/>
      <c r="J531" s="14"/>
      <c r="K531" s="14"/>
      <c r="L531" s="14"/>
      <c r="M531" s="14"/>
      <c r="N531" s="14"/>
      <c r="O531" s="14"/>
      <c r="P531" s="14"/>
      <c r="Q531" s="15"/>
      <c r="R531" s="5"/>
      <c r="S531" s="5"/>
      <c r="T531" s="5"/>
      <c r="U531" s="5"/>
      <c r="V531" s="5"/>
      <c r="W531" s="5"/>
      <c r="X531" s="5"/>
      <c r="Y531" s="5"/>
      <c r="Z531" s="5"/>
      <c r="AA531" s="5"/>
      <c r="AB531" s="5"/>
      <c r="AC531" s="5"/>
      <c r="AD531" s="5"/>
    </row>
    <row r="532">
      <c r="A532" s="55"/>
      <c r="B532" s="56"/>
      <c r="C532" s="52"/>
      <c r="D532" s="9"/>
      <c r="E532" s="9"/>
      <c r="F532" s="9"/>
      <c r="G532" s="9"/>
      <c r="H532" s="9"/>
      <c r="I532" s="9"/>
      <c r="J532" s="9"/>
      <c r="K532" s="9"/>
      <c r="L532" s="9"/>
      <c r="M532" s="9"/>
      <c r="N532" s="9"/>
      <c r="O532" s="9"/>
      <c r="P532" s="9"/>
      <c r="Q532" s="10"/>
      <c r="R532" s="5"/>
      <c r="S532" s="5"/>
      <c r="T532" s="5"/>
      <c r="U532" s="5"/>
      <c r="V532" s="5"/>
      <c r="W532" s="5"/>
      <c r="X532" s="5"/>
      <c r="Y532" s="5"/>
      <c r="Z532" s="5"/>
      <c r="AA532" s="5"/>
      <c r="AB532" s="5"/>
      <c r="AC532" s="5"/>
      <c r="AD532" s="5"/>
    </row>
    <row r="533">
      <c r="A533" s="57"/>
      <c r="B533" s="59"/>
      <c r="C533" s="54"/>
      <c r="D533" s="14"/>
      <c r="E533" s="14"/>
      <c r="F533" s="14"/>
      <c r="G533" s="14"/>
      <c r="H533" s="14"/>
      <c r="I533" s="14"/>
      <c r="J533" s="14"/>
      <c r="K533" s="14"/>
      <c r="L533" s="14"/>
      <c r="M533" s="14"/>
      <c r="N533" s="14"/>
      <c r="O533" s="14"/>
      <c r="P533" s="14"/>
      <c r="Q533" s="15"/>
      <c r="R533" s="5"/>
      <c r="S533" s="5"/>
      <c r="T533" s="5"/>
      <c r="U533" s="5"/>
      <c r="V533" s="5"/>
      <c r="W533" s="5"/>
      <c r="X533" s="5"/>
      <c r="Y533" s="5"/>
      <c r="Z533" s="5"/>
      <c r="AA533" s="5"/>
      <c r="AB533" s="5"/>
      <c r="AC533" s="5"/>
      <c r="AD533" s="5"/>
    </row>
    <row r="534">
      <c r="A534" s="55"/>
      <c r="B534" s="56"/>
      <c r="C534" s="52"/>
      <c r="D534" s="9"/>
      <c r="E534" s="9"/>
      <c r="F534" s="9"/>
      <c r="G534" s="9"/>
      <c r="H534" s="9"/>
      <c r="I534" s="9"/>
      <c r="J534" s="9"/>
      <c r="K534" s="9"/>
      <c r="L534" s="9"/>
      <c r="M534" s="9"/>
      <c r="N534" s="9"/>
      <c r="O534" s="9"/>
      <c r="P534" s="9"/>
      <c r="Q534" s="10"/>
      <c r="R534" s="5"/>
      <c r="S534" s="5"/>
      <c r="T534" s="5"/>
      <c r="U534" s="5"/>
      <c r="V534" s="5"/>
      <c r="W534" s="5"/>
      <c r="X534" s="5"/>
      <c r="Y534" s="5"/>
      <c r="Z534" s="5"/>
      <c r="AA534" s="5"/>
      <c r="AB534" s="5"/>
      <c r="AC534" s="5"/>
      <c r="AD534" s="5"/>
    </row>
    <row r="535">
      <c r="A535" s="57"/>
      <c r="B535" s="59"/>
      <c r="C535" s="54"/>
      <c r="D535" s="14"/>
      <c r="E535" s="14"/>
      <c r="F535" s="14"/>
      <c r="G535" s="14"/>
      <c r="H535" s="14"/>
      <c r="I535" s="14"/>
      <c r="J535" s="14"/>
      <c r="K535" s="14"/>
      <c r="L535" s="14"/>
      <c r="M535" s="14"/>
      <c r="N535" s="14"/>
      <c r="O535" s="14"/>
      <c r="P535" s="14"/>
      <c r="Q535" s="15"/>
      <c r="R535" s="5"/>
      <c r="S535" s="5"/>
      <c r="T535" s="5"/>
      <c r="U535" s="5"/>
      <c r="V535" s="5"/>
      <c r="W535" s="5"/>
      <c r="X535" s="5"/>
      <c r="Y535" s="5"/>
      <c r="Z535" s="5"/>
      <c r="AA535" s="5"/>
      <c r="AB535" s="5"/>
      <c r="AC535" s="5"/>
      <c r="AD535" s="5"/>
    </row>
    <row r="536">
      <c r="A536" s="55"/>
      <c r="B536" s="56"/>
      <c r="C536" s="52"/>
      <c r="D536" s="9"/>
      <c r="E536" s="9"/>
      <c r="F536" s="9"/>
      <c r="G536" s="9"/>
      <c r="H536" s="9"/>
      <c r="I536" s="9"/>
      <c r="J536" s="9"/>
      <c r="K536" s="9"/>
      <c r="L536" s="9"/>
      <c r="M536" s="9"/>
      <c r="N536" s="9"/>
      <c r="O536" s="9"/>
      <c r="P536" s="9"/>
      <c r="Q536" s="10"/>
      <c r="R536" s="5"/>
      <c r="S536" s="5"/>
      <c r="T536" s="5"/>
      <c r="U536" s="5"/>
      <c r="V536" s="5"/>
      <c r="W536" s="5"/>
      <c r="X536" s="5"/>
      <c r="Y536" s="5"/>
      <c r="Z536" s="5"/>
      <c r="AA536" s="5"/>
      <c r="AB536" s="5"/>
      <c r="AC536" s="5"/>
      <c r="AD536" s="5"/>
    </row>
    <row r="537">
      <c r="A537" s="57"/>
      <c r="B537" s="59"/>
      <c r="C537" s="54"/>
      <c r="D537" s="14"/>
      <c r="E537" s="14"/>
      <c r="F537" s="14"/>
      <c r="G537" s="14"/>
      <c r="H537" s="14"/>
      <c r="I537" s="14"/>
      <c r="J537" s="14"/>
      <c r="K537" s="14"/>
      <c r="L537" s="14"/>
      <c r="M537" s="14"/>
      <c r="N537" s="14"/>
      <c r="O537" s="14"/>
      <c r="P537" s="14"/>
      <c r="Q537" s="15"/>
      <c r="R537" s="5"/>
      <c r="S537" s="5"/>
      <c r="T537" s="5"/>
      <c r="U537" s="5"/>
      <c r="V537" s="5"/>
      <c r="W537" s="5"/>
      <c r="X537" s="5"/>
      <c r="Y537" s="5"/>
      <c r="Z537" s="5"/>
      <c r="AA537" s="5"/>
      <c r="AB537" s="5"/>
      <c r="AC537" s="5"/>
      <c r="AD537" s="5"/>
    </row>
    <row r="538">
      <c r="A538" s="55"/>
      <c r="B538" s="56"/>
      <c r="C538" s="52"/>
      <c r="D538" s="9"/>
      <c r="E538" s="9"/>
      <c r="F538" s="9"/>
      <c r="G538" s="9"/>
      <c r="H538" s="9"/>
      <c r="I538" s="9"/>
      <c r="J538" s="9"/>
      <c r="K538" s="9"/>
      <c r="L538" s="9"/>
      <c r="M538" s="9"/>
      <c r="N538" s="9"/>
      <c r="O538" s="9"/>
      <c r="P538" s="9"/>
      <c r="Q538" s="10"/>
      <c r="R538" s="5"/>
      <c r="S538" s="5"/>
      <c r="T538" s="5"/>
      <c r="U538" s="5"/>
      <c r="V538" s="5"/>
      <c r="W538" s="5"/>
      <c r="X538" s="5"/>
      <c r="Y538" s="5"/>
      <c r="Z538" s="5"/>
      <c r="AA538" s="5"/>
      <c r="AB538" s="5"/>
      <c r="AC538" s="5"/>
      <c r="AD538" s="5"/>
    </row>
    <row r="539">
      <c r="A539" s="57"/>
      <c r="B539" s="59"/>
      <c r="C539" s="54"/>
      <c r="D539" s="14"/>
      <c r="E539" s="14"/>
      <c r="F539" s="14"/>
      <c r="G539" s="14"/>
      <c r="H539" s="14"/>
      <c r="I539" s="14"/>
      <c r="J539" s="14"/>
      <c r="K539" s="14"/>
      <c r="L539" s="14"/>
      <c r="M539" s="14"/>
      <c r="N539" s="14"/>
      <c r="O539" s="14"/>
      <c r="P539" s="14"/>
      <c r="Q539" s="15"/>
      <c r="R539" s="5"/>
      <c r="S539" s="5"/>
      <c r="T539" s="5"/>
      <c r="U539" s="5"/>
      <c r="V539" s="5"/>
      <c r="W539" s="5"/>
      <c r="X539" s="5"/>
      <c r="Y539" s="5"/>
      <c r="Z539" s="5"/>
      <c r="AA539" s="5"/>
      <c r="AB539" s="5"/>
      <c r="AC539" s="5"/>
      <c r="AD539" s="5"/>
    </row>
    <row r="540">
      <c r="A540" s="55"/>
      <c r="B540" s="56"/>
      <c r="C540" s="52"/>
      <c r="D540" s="9"/>
      <c r="E540" s="9"/>
      <c r="F540" s="9"/>
      <c r="G540" s="9"/>
      <c r="H540" s="9"/>
      <c r="I540" s="9"/>
      <c r="J540" s="9"/>
      <c r="K540" s="9"/>
      <c r="L540" s="9"/>
      <c r="M540" s="9"/>
      <c r="N540" s="9"/>
      <c r="O540" s="9"/>
      <c r="P540" s="9"/>
      <c r="Q540" s="10"/>
      <c r="R540" s="5"/>
      <c r="S540" s="5"/>
      <c r="T540" s="5"/>
      <c r="U540" s="5"/>
      <c r="V540" s="5"/>
      <c r="W540" s="5"/>
      <c r="X540" s="5"/>
      <c r="Y540" s="5"/>
      <c r="Z540" s="5"/>
      <c r="AA540" s="5"/>
      <c r="AB540" s="5"/>
      <c r="AC540" s="5"/>
      <c r="AD540" s="5"/>
    </row>
    <row r="541">
      <c r="A541" s="57"/>
      <c r="B541" s="59"/>
      <c r="C541" s="54"/>
      <c r="D541" s="14"/>
      <c r="E541" s="14"/>
      <c r="F541" s="14"/>
      <c r="G541" s="14"/>
      <c r="H541" s="14"/>
      <c r="I541" s="14"/>
      <c r="J541" s="14"/>
      <c r="K541" s="14"/>
      <c r="L541" s="14"/>
      <c r="M541" s="14"/>
      <c r="N541" s="14"/>
      <c r="O541" s="14"/>
      <c r="P541" s="14"/>
      <c r="Q541" s="15"/>
      <c r="R541" s="5"/>
      <c r="S541" s="5"/>
      <c r="T541" s="5"/>
      <c r="U541" s="5"/>
      <c r="V541" s="5"/>
      <c r="W541" s="5"/>
      <c r="X541" s="5"/>
      <c r="Y541" s="5"/>
      <c r="Z541" s="5"/>
      <c r="AA541" s="5"/>
      <c r="AB541" s="5"/>
      <c r="AC541" s="5"/>
      <c r="AD541" s="5"/>
    </row>
    <row r="542">
      <c r="A542" s="55"/>
      <c r="B542" s="56"/>
      <c r="C542" s="52"/>
      <c r="D542" s="9"/>
      <c r="E542" s="9"/>
      <c r="F542" s="9"/>
      <c r="G542" s="9"/>
      <c r="H542" s="9"/>
      <c r="I542" s="9"/>
      <c r="J542" s="9"/>
      <c r="K542" s="9"/>
      <c r="L542" s="9"/>
      <c r="M542" s="9"/>
      <c r="N542" s="9"/>
      <c r="O542" s="9"/>
      <c r="P542" s="9"/>
      <c r="Q542" s="10"/>
      <c r="R542" s="5"/>
      <c r="S542" s="5"/>
      <c r="T542" s="5"/>
      <c r="U542" s="5"/>
      <c r="V542" s="5"/>
      <c r="W542" s="5"/>
      <c r="X542" s="5"/>
      <c r="Y542" s="5"/>
      <c r="Z542" s="5"/>
      <c r="AA542" s="5"/>
      <c r="AB542" s="5"/>
      <c r="AC542" s="5"/>
      <c r="AD542" s="5"/>
    </row>
    <row r="543">
      <c r="A543" s="57"/>
      <c r="B543" s="59"/>
      <c r="C543" s="54"/>
      <c r="D543" s="14"/>
      <c r="E543" s="14"/>
      <c r="F543" s="14"/>
      <c r="G543" s="14"/>
      <c r="H543" s="14"/>
      <c r="I543" s="14"/>
      <c r="J543" s="14"/>
      <c r="K543" s="14"/>
      <c r="L543" s="14"/>
      <c r="M543" s="14"/>
      <c r="N543" s="14"/>
      <c r="O543" s="14"/>
      <c r="P543" s="14"/>
      <c r="Q543" s="15"/>
      <c r="R543" s="5"/>
      <c r="S543" s="5"/>
      <c r="T543" s="5"/>
      <c r="U543" s="5"/>
      <c r="V543" s="5"/>
      <c r="W543" s="5"/>
      <c r="X543" s="5"/>
      <c r="Y543" s="5"/>
      <c r="Z543" s="5"/>
      <c r="AA543" s="5"/>
      <c r="AB543" s="5"/>
      <c r="AC543" s="5"/>
      <c r="AD543" s="5"/>
    </row>
    <row r="544">
      <c r="A544" s="55"/>
      <c r="B544" s="56"/>
      <c r="C544" s="52"/>
      <c r="D544" s="9"/>
      <c r="E544" s="9"/>
      <c r="F544" s="9"/>
      <c r="G544" s="9"/>
      <c r="H544" s="9"/>
      <c r="I544" s="9"/>
      <c r="J544" s="9"/>
      <c r="K544" s="9"/>
      <c r="L544" s="9"/>
      <c r="M544" s="9"/>
      <c r="N544" s="9"/>
      <c r="O544" s="9"/>
      <c r="P544" s="9"/>
      <c r="Q544" s="10"/>
      <c r="R544" s="5"/>
      <c r="S544" s="5"/>
      <c r="T544" s="5"/>
      <c r="U544" s="5"/>
      <c r="V544" s="5"/>
      <c r="W544" s="5"/>
      <c r="X544" s="5"/>
      <c r="Y544" s="5"/>
      <c r="Z544" s="5"/>
      <c r="AA544" s="5"/>
      <c r="AB544" s="5"/>
      <c r="AC544" s="5"/>
      <c r="AD544" s="5"/>
    </row>
    <row r="545">
      <c r="A545" s="57"/>
      <c r="B545" s="59"/>
      <c r="C545" s="54"/>
      <c r="D545" s="14"/>
      <c r="E545" s="14"/>
      <c r="F545" s="14"/>
      <c r="G545" s="14"/>
      <c r="H545" s="14"/>
      <c r="I545" s="14"/>
      <c r="J545" s="14"/>
      <c r="K545" s="14"/>
      <c r="L545" s="14"/>
      <c r="M545" s="14"/>
      <c r="N545" s="14"/>
      <c r="O545" s="14"/>
      <c r="P545" s="14"/>
      <c r="Q545" s="15"/>
      <c r="R545" s="5"/>
      <c r="S545" s="5"/>
      <c r="T545" s="5"/>
      <c r="U545" s="5"/>
      <c r="V545" s="5"/>
      <c r="W545" s="5"/>
      <c r="X545" s="5"/>
      <c r="Y545" s="5"/>
      <c r="Z545" s="5"/>
      <c r="AA545" s="5"/>
      <c r="AB545" s="5"/>
      <c r="AC545" s="5"/>
      <c r="AD545" s="5"/>
    </row>
    <row r="546">
      <c r="A546" s="55"/>
      <c r="B546" s="56"/>
      <c r="C546" s="52"/>
      <c r="D546" s="9"/>
      <c r="E546" s="9"/>
      <c r="F546" s="9"/>
      <c r="G546" s="9"/>
      <c r="H546" s="9"/>
      <c r="I546" s="9"/>
      <c r="J546" s="9"/>
      <c r="K546" s="9"/>
      <c r="L546" s="9"/>
      <c r="M546" s="9"/>
      <c r="N546" s="9"/>
      <c r="O546" s="9"/>
      <c r="P546" s="9"/>
      <c r="Q546" s="10"/>
      <c r="R546" s="5"/>
      <c r="S546" s="5"/>
      <c r="T546" s="5"/>
      <c r="U546" s="5"/>
      <c r="V546" s="5"/>
      <c r="W546" s="5"/>
      <c r="X546" s="5"/>
      <c r="Y546" s="5"/>
      <c r="Z546" s="5"/>
      <c r="AA546" s="5"/>
      <c r="AB546" s="5"/>
      <c r="AC546" s="5"/>
      <c r="AD546" s="5"/>
    </row>
    <row r="547">
      <c r="A547" s="57"/>
      <c r="B547" s="59"/>
      <c r="C547" s="54"/>
      <c r="D547" s="14"/>
      <c r="E547" s="14"/>
      <c r="F547" s="14"/>
      <c r="G547" s="14"/>
      <c r="H547" s="14"/>
      <c r="I547" s="14"/>
      <c r="J547" s="14"/>
      <c r="K547" s="14"/>
      <c r="L547" s="14"/>
      <c r="M547" s="14"/>
      <c r="N547" s="14"/>
      <c r="O547" s="14"/>
      <c r="P547" s="14"/>
      <c r="Q547" s="15"/>
      <c r="R547" s="5"/>
      <c r="S547" s="5"/>
      <c r="T547" s="5"/>
      <c r="U547" s="5"/>
      <c r="V547" s="5"/>
      <c r="W547" s="5"/>
      <c r="X547" s="5"/>
      <c r="Y547" s="5"/>
      <c r="Z547" s="5"/>
      <c r="AA547" s="5"/>
      <c r="AB547" s="5"/>
      <c r="AC547" s="5"/>
      <c r="AD547" s="5"/>
    </row>
    <row r="548">
      <c r="A548" s="55"/>
      <c r="B548" s="56"/>
      <c r="C548" s="52"/>
      <c r="D548" s="9"/>
      <c r="E548" s="9"/>
      <c r="F548" s="9"/>
      <c r="G548" s="9"/>
      <c r="H548" s="9"/>
      <c r="I548" s="9"/>
      <c r="J548" s="9"/>
      <c r="K548" s="9"/>
      <c r="L548" s="9"/>
      <c r="M548" s="9"/>
      <c r="N548" s="9"/>
      <c r="O548" s="9"/>
      <c r="P548" s="9"/>
      <c r="Q548" s="10"/>
      <c r="R548" s="5"/>
      <c r="S548" s="5"/>
      <c r="T548" s="5"/>
      <c r="U548" s="5"/>
      <c r="V548" s="5"/>
      <c r="W548" s="5"/>
      <c r="X548" s="5"/>
      <c r="Y548" s="5"/>
      <c r="Z548" s="5"/>
      <c r="AA548" s="5"/>
      <c r="AB548" s="5"/>
      <c r="AC548" s="5"/>
      <c r="AD548" s="5"/>
    </row>
    <row r="549">
      <c r="A549" s="57"/>
      <c r="B549" s="59"/>
      <c r="C549" s="54"/>
      <c r="D549" s="14"/>
      <c r="E549" s="14"/>
      <c r="F549" s="14"/>
      <c r="G549" s="14"/>
      <c r="H549" s="14"/>
      <c r="I549" s="14"/>
      <c r="J549" s="14"/>
      <c r="K549" s="14"/>
      <c r="L549" s="14"/>
      <c r="M549" s="14"/>
      <c r="N549" s="14"/>
      <c r="O549" s="14"/>
      <c r="P549" s="14"/>
      <c r="Q549" s="15"/>
      <c r="R549" s="5"/>
      <c r="S549" s="5"/>
      <c r="T549" s="5"/>
      <c r="U549" s="5"/>
      <c r="V549" s="5"/>
      <c r="W549" s="5"/>
      <c r="X549" s="5"/>
      <c r="Y549" s="5"/>
      <c r="Z549" s="5"/>
      <c r="AA549" s="5"/>
      <c r="AB549" s="5"/>
      <c r="AC549" s="5"/>
      <c r="AD549" s="5"/>
    </row>
    <row r="550">
      <c r="A550" s="55"/>
      <c r="B550" s="56"/>
      <c r="C550" s="52"/>
      <c r="D550" s="9"/>
      <c r="E550" s="9"/>
      <c r="F550" s="9"/>
      <c r="G550" s="9"/>
      <c r="H550" s="9"/>
      <c r="I550" s="9"/>
      <c r="J550" s="9"/>
      <c r="K550" s="9"/>
      <c r="L550" s="9"/>
      <c r="M550" s="9"/>
      <c r="N550" s="9"/>
      <c r="O550" s="9"/>
      <c r="P550" s="9"/>
      <c r="Q550" s="10"/>
      <c r="R550" s="5"/>
      <c r="S550" s="5"/>
      <c r="T550" s="5"/>
      <c r="U550" s="5"/>
      <c r="V550" s="5"/>
      <c r="W550" s="5"/>
      <c r="X550" s="5"/>
      <c r="Y550" s="5"/>
      <c r="Z550" s="5"/>
      <c r="AA550" s="5"/>
      <c r="AB550" s="5"/>
      <c r="AC550" s="5"/>
      <c r="AD550" s="5"/>
    </row>
    <row r="551">
      <c r="A551" s="57"/>
      <c r="B551" s="59"/>
      <c r="C551" s="54"/>
      <c r="D551" s="14"/>
      <c r="E551" s="14"/>
      <c r="F551" s="14"/>
      <c r="G551" s="14"/>
      <c r="H551" s="14"/>
      <c r="I551" s="14"/>
      <c r="J551" s="14"/>
      <c r="K551" s="14"/>
      <c r="L551" s="14"/>
      <c r="M551" s="14"/>
      <c r="N551" s="14"/>
      <c r="O551" s="14"/>
      <c r="P551" s="14"/>
      <c r="Q551" s="15"/>
      <c r="R551" s="5"/>
      <c r="S551" s="5"/>
      <c r="T551" s="5"/>
      <c r="U551" s="5"/>
      <c r="V551" s="5"/>
      <c r="W551" s="5"/>
      <c r="X551" s="5"/>
      <c r="Y551" s="5"/>
      <c r="Z551" s="5"/>
      <c r="AA551" s="5"/>
      <c r="AB551" s="5"/>
      <c r="AC551" s="5"/>
      <c r="AD551" s="5"/>
    </row>
    <row r="552">
      <c r="A552" s="55"/>
      <c r="B552" s="56"/>
      <c r="C552" s="52"/>
      <c r="D552" s="9"/>
      <c r="E552" s="9"/>
      <c r="F552" s="9"/>
      <c r="G552" s="9"/>
      <c r="H552" s="9"/>
      <c r="I552" s="9"/>
      <c r="J552" s="9"/>
      <c r="K552" s="9"/>
      <c r="L552" s="9"/>
      <c r="M552" s="9"/>
      <c r="N552" s="9"/>
      <c r="O552" s="9"/>
      <c r="P552" s="9"/>
      <c r="Q552" s="10"/>
      <c r="R552" s="5"/>
      <c r="S552" s="5"/>
      <c r="T552" s="5"/>
      <c r="U552" s="5"/>
      <c r="V552" s="5"/>
      <c r="W552" s="5"/>
      <c r="X552" s="5"/>
      <c r="Y552" s="5"/>
      <c r="Z552" s="5"/>
      <c r="AA552" s="5"/>
      <c r="AB552" s="5"/>
      <c r="AC552" s="5"/>
      <c r="AD552" s="5"/>
    </row>
    <row r="553">
      <c r="A553" s="57"/>
      <c r="B553" s="59"/>
      <c r="C553" s="54"/>
      <c r="D553" s="14"/>
      <c r="E553" s="14"/>
      <c r="F553" s="14"/>
      <c r="G553" s="14"/>
      <c r="H553" s="14"/>
      <c r="I553" s="14"/>
      <c r="J553" s="14"/>
      <c r="K553" s="14"/>
      <c r="L553" s="14"/>
      <c r="M553" s="14"/>
      <c r="N553" s="14"/>
      <c r="O553" s="14"/>
      <c r="P553" s="14"/>
      <c r="Q553" s="15"/>
      <c r="R553" s="5"/>
      <c r="S553" s="5"/>
      <c r="T553" s="5"/>
      <c r="U553" s="5"/>
      <c r="V553" s="5"/>
      <c r="W553" s="5"/>
      <c r="X553" s="5"/>
      <c r="Y553" s="5"/>
      <c r="Z553" s="5"/>
      <c r="AA553" s="5"/>
      <c r="AB553" s="5"/>
      <c r="AC553" s="5"/>
      <c r="AD553" s="5"/>
    </row>
    <row r="554">
      <c r="A554" s="55"/>
      <c r="B554" s="56"/>
      <c r="C554" s="52"/>
      <c r="D554" s="9"/>
      <c r="E554" s="9"/>
      <c r="F554" s="9"/>
      <c r="G554" s="9"/>
      <c r="H554" s="9"/>
      <c r="I554" s="9"/>
      <c r="J554" s="9"/>
      <c r="K554" s="9"/>
      <c r="L554" s="9"/>
      <c r="M554" s="9"/>
      <c r="N554" s="9"/>
      <c r="O554" s="9"/>
      <c r="P554" s="9"/>
      <c r="Q554" s="10"/>
      <c r="R554" s="5"/>
      <c r="S554" s="5"/>
      <c r="T554" s="5"/>
      <c r="U554" s="5"/>
      <c r="V554" s="5"/>
      <c r="W554" s="5"/>
      <c r="X554" s="5"/>
      <c r="Y554" s="5"/>
      <c r="Z554" s="5"/>
      <c r="AA554" s="5"/>
      <c r="AB554" s="5"/>
      <c r="AC554" s="5"/>
      <c r="AD554" s="5"/>
    </row>
    <row r="555">
      <c r="A555" s="57"/>
      <c r="B555" s="59"/>
      <c r="C555" s="54"/>
      <c r="D555" s="14"/>
      <c r="E555" s="14"/>
      <c r="F555" s="14"/>
      <c r="G555" s="14"/>
      <c r="H555" s="14"/>
      <c r="I555" s="14"/>
      <c r="J555" s="14"/>
      <c r="K555" s="14"/>
      <c r="L555" s="14"/>
      <c r="M555" s="14"/>
      <c r="N555" s="14"/>
      <c r="O555" s="14"/>
      <c r="P555" s="14"/>
      <c r="Q555" s="15"/>
      <c r="R555" s="5"/>
      <c r="S555" s="5"/>
      <c r="T555" s="5"/>
      <c r="U555" s="5"/>
      <c r="V555" s="5"/>
      <c r="W555" s="5"/>
      <c r="X555" s="5"/>
      <c r="Y555" s="5"/>
      <c r="Z555" s="5"/>
      <c r="AA555" s="5"/>
      <c r="AB555" s="5"/>
      <c r="AC555" s="5"/>
      <c r="AD555" s="5"/>
    </row>
    <row r="556">
      <c r="A556" s="55"/>
      <c r="B556" s="56"/>
      <c r="C556" s="52"/>
      <c r="D556" s="9"/>
      <c r="E556" s="9"/>
      <c r="F556" s="9"/>
      <c r="G556" s="9"/>
      <c r="H556" s="9"/>
      <c r="I556" s="9"/>
      <c r="J556" s="9"/>
      <c r="K556" s="9"/>
      <c r="L556" s="9"/>
      <c r="M556" s="9"/>
      <c r="N556" s="9"/>
      <c r="O556" s="9"/>
      <c r="P556" s="9"/>
      <c r="Q556" s="10"/>
      <c r="R556" s="5"/>
      <c r="S556" s="5"/>
      <c r="T556" s="5"/>
      <c r="U556" s="5"/>
      <c r="V556" s="5"/>
      <c r="W556" s="5"/>
      <c r="X556" s="5"/>
      <c r="Y556" s="5"/>
      <c r="Z556" s="5"/>
      <c r="AA556" s="5"/>
      <c r="AB556" s="5"/>
      <c r="AC556" s="5"/>
      <c r="AD556" s="5"/>
    </row>
    <row r="557">
      <c r="A557" s="57"/>
      <c r="B557" s="59"/>
      <c r="C557" s="54"/>
      <c r="D557" s="14"/>
      <c r="E557" s="14"/>
      <c r="F557" s="14"/>
      <c r="G557" s="14"/>
      <c r="H557" s="14"/>
      <c r="I557" s="14"/>
      <c r="J557" s="14"/>
      <c r="K557" s="14"/>
      <c r="L557" s="14"/>
      <c r="M557" s="14"/>
      <c r="N557" s="14"/>
      <c r="O557" s="14"/>
      <c r="P557" s="14"/>
      <c r="Q557" s="15"/>
      <c r="R557" s="5"/>
      <c r="S557" s="5"/>
      <c r="T557" s="5"/>
      <c r="U557" s="5"/>
      <c r="V557" s="5"/>
      <c r="W557" s="5"/>
      <c r="X557" s="5"/>
      <c r="Y557" s="5"/>
      <c r="Z557" s="5"/>
      <c r="AA557" s="5"/>
      <c r="AB557" s="5"/>
      <c r="AC557" s="5"/>
      <c r="AD557" s="5"/>
    </row>
    <row r="558">
      <c r="A558" s="55"/>
      <c r="B558" s="56"/>
      <c r="C558" s="52"/>
      <c r="D558" s="9"/>
      <c r="E558" s="9"/>
      <c r="F558" s="9"/>
      <c r="G558" s="9"/>
      <c r="H558" s="9"/>
      <c r="I558" s="9"/>
      <c r="J558" s="9"/>
      <c r="K558" s="9"/>
      <c r="L558" s="9"/>
      <c r="M558" s="9"/>
      <c r="N558" s="9"/>
      <c r="O558" s="9"/>
      <c r="P558" s="9"/>
      <c r="Q558" s="10"/>
      <c r="R558" s="5"/>
      <c r="S558" s="5"/>
      <c r="T558" s="5"/>
      <c r="U558" s="5"/>
      <c r="V558" s="5"/>
      <c r="W558" s="5"/>
      <c r="X558" s="5"/>
      <c r="Y558" s="5"/>
      <c r="Z558" s="5"/>
      <c r="AA558" s="5"/>
      <c r="AB558" s="5"/>
      <c r="AC558" s="5"/>
      <c r="AD558" s="5"/>
    </row>
    <row r="559">
      <c r="A559" s="57"/>
      <c r="B559" s="59"/>
      <c r="C559" s="54"/>
      <c r="D559" s="14"/>
      <c r="E559" s="14"/>
      <c r="F559" s="14"/>
      <c r="G559" s="14"/>
      <c r="H559" s="14"/>
      <c r="I559" s="14"/>
      <c r="J559" s="14"/>
      <c r="K559" s="14"/>
      <c r="L559" s="14"/>
      <c r="M559" s="14"/>
      <c r="N559" s="14"/>
      <c r="O559" s="14"/>
      <c r="P559" s="14"/>
      <c r="Q559" s="15"/>
      <c r="R559" s="5"/>
      <c r="S559" s="5"/>
      <c r="T559" s="5"/>
      <c r="U559" s="5"/>
      <c r="V559" s="5"/>
      <c r="W559" s="5"/>
      <c r="X559" s="5"/>
      <c r="Y559" s="5"/>
      <c r="Z559" s="5"/>
      <c r="AA559" s="5"/>
      <c r="AB559" s="5"/>
      <c r="AC559" s="5"/>
      <c r="AD559" s="5"/>
    </row>
    <row r="560">
      <c r="A560" s="55"/>
      <c r="B560" s="56"/>
      <c r="C560" s="52"/>
      <c r="D560" s="9"/>
      <c r="E560" s="9"/>
      <c r="F560" s="9"/>
      <c r="G560" s="9"/>
      <c r="H560" s="9"/>
      <c r="I560" s="9"/>
      <c r="J560" s="9"/>
      <c r="K560" s="9"/>
      <c r="L560" s="9"/>
      <c r="M560" s="9"/>
      <c r="N560" s="9"/>
      <c r="O560" s="9"/>
      <c r="P560" s="9"/>
      <c r="Q560" s="10"/>
      <c r="R560" s="5"/>
      <c r="S560" s="5"/>
      <c r="T560" s="5"/>
      <c r="U560" s="5"/>
      <c r="V560" s="5"/>
      <c r="W560" s="5"/>
      <c r="X560" s="5"/>
      <c r="Y560" s="5"/>
      <c r="Z560" s="5"/>
      <c r="AA560" s="5"/>
      <c r="AB560" s="5"/>
      <c r="AC560" s="5"/>
      <c r="AD560" s="5"/>
    </row>
    <row r="561">
      <c r="A561" s="57"/>
      <c r="B561" s="59"/>
      <c r="C561" s="54"/>
      <c r="D561" s="14"/>
      <c r="E561" s="14"/>
      <c r="F561" s="14"/>
      <c r="G561" s="14"/>
      <c r="H561" s="14"/>
      <c r="I561" s="14"/>
      <c r="J561" s="14"/>
      <c r="K561" s="14"/>
      <c r="L561" s="14"/>
      <c r="M561" s="14"/>
      <c r="N561" s="14"/>
      <c r="O561" s="14"/>
      <c r="P561" s="14"/>
      <c r="Q561" s="15"/>
      <c r="R561" s="5"/>
      <c r="S561" s="5"/>
      <c r="T561" s="5"/>
      <c r="U561" s="5"/>
      <c r="V561" s="5"/>
      <c r="W561" s="5"/>
      <c r="X561" s="5"/>
      <c r="Y561" s="5"/>
      <c r="Z561" s="5"/>
      <c r="AA561" s="5"/>
      <c r="AB561" s="5"/>
      <c r="AC561" s="5"/>
      <c r="AD561" s="5"/>
    </row>
    <row r="562">
      <c r="A562" s="55"/>
      <c r="B562" s="56"/>
      <c r="C562" s="52"/>
      <c r="D562" s="9"/>
      <c r="E562" s="9"/>
      <c r="F562" s="9"/>
      <c r="G562" s="9"/>
      <c r="H562" s="9"/>
      <c r="I562" s="9"/>
      <c r="J562" s="9"/>
      <c r="K562" s="9"/>
      <c r="L562" s="9"/>
      <c r="M562" s="9"/>
      <c r="N562" s="9"/>
      <c r="O562" s="9"/>
      <c r="P562" s="9"/>
      <c r="Q562" s="10"/>
      <c r="R562" s="5"/>
      <c r="S562" s="5"/>
      <c r="T562" s="5"/>
      <c r="U562" s="5"/>
      <c r="V562" s="5"/>
      <c r="W562" s="5"/>
      <c r="X562" s="5"/>
      <c r="Y562" s="5"/>
      <c r="Z562" s="5"/>
      <c r="AA562" s="5"/>
      <c r="AB562" s="5"/>
      <c r="AC562" s="5"/>
      <c r="AD562" s="5"/>
    </row>
    <row r="563">
      <c r="A563" s="57"/>
      <c r="B563" s="59"/>
      <c r="C563" s="54"/>
      <c r="D563" s="14"/>
      <c r="E563" s="14"/>
      <c r="F563" s="14"/>
      <c r="G563" s="14"/>
      <c r="H563" s="14"/>
      <c r="I563" s="14"/>
      <c r="J563" s="14"/>
      <c r="K563" s="14"/>
      <c r="L563" s="14"/>
      <c r="M563" s="14"/>
      <c r="N563" s="14"/>
      <c r="O563" s="14"/>
      <c r="P563" s="14"/>
      <c r="Q563" s="15"/>
      <c r="R563" s="5"/>
      <c r="S563" s="5"/>
      <c r="T563" s="5"/>
      <c r="U563" s="5"/>
      <c r="V563" s="5"/>
      <c r="W563" s="5"/>
      <c r="X563" s="5"/>
      <c r="Y563" s="5"/>
      <c r="Z563" s="5"/>
      <c r="AA563" s="5"/>
      <c r="AB563" s="5"/>
      <c r="AC563" s="5"/>
      <c r="AD563" s="5"/>
    </row>
    <row r="564">
      <c r="A564" s="55"/>
      <c r="B564" s="56"/>
      <c r="C564" s="52"/>
      <c r="D564" s="9"/>
      <c r="E564" s="9"/>
      <c r="F564" s="9"/>
      <c r="G564" s="9"/>
      <c r="H564" s="9"/>
      <c r="I564" s="9"/>
      <c r="J564" s="9"/>
      <c r="K564" s="9"/>
      <c r="L564" s="9"/>
      <c r="M564" s="9"/>
      <c r="N564" s="9"/>
      <c r="O564" s="9"/>
      <c r="P564" s="9"/>
      <c r="Q564" s="10"/>
      <c r="R564" s="5"/>
      <c r="S564" s="5"/>
      <c r="T564" s="5"/>
      <c r="U564" s="5"/>
      <c r="V564" s="5"/>
      <c r="W564" s="5"/>
      <c r="X564" s="5"/>
      <c r="Y564" s="5"/>
      <c r="Z564" s="5"/>
      <c r="AA564" s="5"/>
      <c r="AB564" s="5"/>
      <c r="AC564" s="5"/>
      <c r="AD564" s="5"/>
    </row>
    <row r="565">
      <c r="A565" s="57"/>
      <c r="B565" s="59"/>
      <c r="C565" s="54"/>
      <c r="D565" s="14"/>
      <c r="E565" s="14"/>
      <c r="F565" s="14"/>
      <c r="G565" s="14"/>
      <c r="H565" s="14"/>
      <c r="I565" s="14"/>
      <c r="J565" s="14"/>
      <c r="K565" s="14"/>
      <c r="L565" s="14"/>
      <c r="M565" s="14"/>
      <c r="N565" s="14"/>
      <c r="O565" s="14"/>
      <c r="P565" s="14"/>
      <c r="Q565" s="15"/>
      <c r="R565" s="5"/>
      <c r="S565" s="5"/>
      <c r="T565" s="5"/>
      <c r="U565" s="5"/>
      <c r="V565" s="5"/>
      <c r="W565" s="5"/>
      <c r="X565" s="5"/>
      <c r="Y565" s="5"/>
      <c r="Z565" s="5"/>
      <c r="AA565" s="5"/>
      <c r="AB565" s="5"/>
      <c r="AC565" s="5"/>
      <c r="AD565" s="5"/>
    </row>
    <row r="566">
      <c r="A566" s="55"/>
      <c r="B566" s="56"/>
      <c r="C566" s="52"/>
      <c r="D566" s="9"/>
      <c r="E566" s="9"/>
      <c r="F566" s="9"/>
      <c r="G566" s="9"/>
      <c r="H566" s="9"/>
      <c r="I566" s="9"/>
      <c r="J566" s="9"/>
      <c r="K566" s="9"/>
      <c r="L566" s="9"/>
      <c r="M566" s="9"/>
      <c r="N566" s="9"/>
      <c r="O566" s="9"/>
      <c r="P566" s="9"/>
      <c r="Q566" s="10"/>
      <c r="R566" s="5"/>
      <c r="S566" s="5"/>
      <c r="T566" s="5"/>
      <c r="U566" s="5"/>
      <c r="V566" s="5"/>
      <c r="W566" s="5"/>
      <c r="X566" s="5"/>
      <c r="Y566" s="5"/>
      <c r="Z566" s="5"/>
      <c r="AA566" s="5"/>
      <c r="AB566" s="5"/>
      <c r="AC566" s="5"/>
      <c r="AD566" s="5"/>
    </row>
    <row r="567">
      <c r="A567" s="57"/>
      <c r="B567" s="59"/>
      <c r="C567" s="54"/>
      <c r="D567" s="14"/>
      <c r="E567" s="14"/>
      <c r="F567" s="14"/>
      <c r="G567" s="14"/>
      <c r="H567" s="14"/>
      <c r="I567" s="14"/>
      <c r="J567" s="14"/>
      <c r="K567" s="14"/>
      <c r="L567" s="14"/>
      <c r="M567" s="14"/>
      <c r="N567" s="14"/>
      <c r="O567" s="14"/>
      <c r="P567" s="14"/>
      <c r="Q567" s="15"/>
      <c r="R567" s="5"/>
      <c r="S567" s="5"/>
      <c r="T567" s="5"/>
      <c r="U567" s="5"/>
      <c r="V567" s="5"/>
      <c r="W567" s="5"/>
      <c r="X567" s="5"/>
      <c r="Y567" s="5"/>
      <c r="Z567" s="5"/>
      <c r="AA567" s="5"/>
      <c r="AB567" s="5"/>
      <c r="AC567" s="5"/>
      <c r="AD567" s="5"/>
    </row>
    <row r="568">
      <c r="A568" s="55"/>
      <c r="B568" s="56"/>
      <c r="C568" s="52"/>
      <c r="D568" s="9"/>
      <c r="E568" s="9"/>
      <c r="F568" s="9"/>
      <c r="G568" s="9"/>
      <c r="H568" s="9"/>
      <c r="I568" s="9"/>
      <c r="J568" s="9"/>
      <c r="K568" s="9"/>
      <c r="L568" s="9"/>
      <c r="M568" s="9"/>
      <c r="N568" s="9"/>
      <c r="O568" s="9"/>
      <c r="P568" s="9"/>
      <c r="Q568" s="10"/>
      <c r="R568" s="5"/>
      <c r="S568" s="5"/>
      <c r="T568" s="5"/>
      <c r="U568" s="5"/>
      <c r="V568" s="5"/>
      <c r="W568" s="5"/>
      <c r="X568" s="5"/>
      <c r="Y568" s="5"/>
      <c r="Z568" s="5"/>
      <c r="AA568" s="5"/>
      <c r="AB568" s="5"/>
      <c r="AC568" s="5"/>
      <c r="AD568" s="5"/>
    </row>
    <row r="569">
      <c r="A569" s="57"/>
      <c r="B569" s="59"/>
      <c r="C569" s="54"/>
      <c r="D569" s="14"/>
      <c r="E569" s="14"/>
      <c r="F569" s="14"/>
      <c r="G569" s="14"/>
      <c r="H569" s="14"/>
      <c r="I569" s="14"/>
      <c r="J569" s="14"/>
      <c r="K569" s="14"/>
      <c r="L569" s="14"/>
      <c r="M569" s="14"/>
      <c r="N569" s="14"/>
      <c r="O569" s="14"/>
      <c r="P569" s="14"/>
      <c r="Q569" s="15"/>
      <c r="R569" s="5"/>
      <c r="S569" s="5"/>
      <c r="T569" s="5"/>
      <c r="U569" s="5"/>
      <c r="V569" s="5"/>
      <c r="W569" s="5"/>
      <c r="X569" s="5"/>
      <c r="Y569" s="5"/>
      <c r="Z569" s="5"/>
      <c r="AA569" s="5"/>
      <c r="AB569" s="5"/>
      <c r="AC569" s="5"/>
      <c r="AD569" s="5"/>
    </row>
    <row r="570">
      <c r="A570" s="55"/>
      <c r="B570" s="56"/>
      <c r="C570" s="52"/>
      <c r="D570" s="9"/>
      <c r="E570" s="9"/>
      <c r="F570" s="9"/>
      <c r="G570" s="9"/>
      <c r="H570" s="9"/>
      <c r="I570" s="9"/>
      <c r="J570" s="9"/>
      <c r="K570" s="9"/>
      <c r="L570" s="9"/>
      <c r="M570" s="9"/>
      <c r="N570" s="9"/>
      <c r="O570" s="9"/>
      <c r="P570" s="9"/>
      <c r="Q570" s="10"/>
      <c r="R570" s="5"/>
      <c r="S570" s="5"/>
      <c r="T570" s="5"/>
      <c r="U570" s="5"/>
      <c r="V570" s="5"/>
      <c r="W570" s="5"/>
      <c r="X570" s="5"/>
      <c r="Y570" s="5"/>
      <c r="Z570" s="5"/>
      <c r="AA570" s="5"/>
      <c r="AB570" s="5"/>
      <c r="AC570" s="5"/>
      <c r="AD570" s="5"/>
    </row>
    <row r="571">
      <c r="A571" s="57"/>
      <c r="B571" s="59"/>
      <c r="C571" s="54"/>
      <c r="D571" s="14"/>
      <c r="E571" s="14"/>
      <c r="F571" s="14"/>
      <c r="G571" s="14"/>
      <c r="H571" s="14"/>
      <c r="I571" s="14"/>
      <c r="J571" s="14"/>
      <c r="K571" s="14"/>
      <c r="L571" s="14"/>
      <c r="M571" s="14"/>
      <c r="N571" s="14"/>
      <c r="O571" s="14"/>
      <c r="P571" s="14"/>
      <c r="Q571" s="15"/>
      <c r="R571" s="5"/>
      <c r="S571" s="5"/>
      <c r="T571" s="5"/>
      <c r="U571" s="5"/>
      <c r="V571" s="5"/>
      <c r="W571" s="5"/>
      <c r="X571" s="5"/>
      <c r="Y571" s="5"/>
      <c r="Z571" s="5"/>
      <c r="AA571" s="5"/>
      <c r="AB571" s="5"/>
      <c r="AC571" s="5"/>
      <c r="AD571" s="5"/>
    </row>
    <row r="572">
      <c r="A572" s="55"/>
      <c r="B572" s="56"/>
      <c r="C572" s="52"/>
      <c r="D572" s="9"/>
      <c r="E572" s="9"/>
      <c r="F572" s="9"/>
      <c r="G572" s="9"/>
      <c r="H572" s="9"/>
      <c r="I572" s="9"/>
      <c r="J572" s="9"/>
      <c r="K572" s="9"/>
      <c r="L572" s="9"/>
      <c r="M572" s="9"/>
      <c r="N572" s="9"/>
      <c r="O572" s="9"/>
      <c r="P572" s="9"/>
      <c r="Q572" s="10"/>
      <c r="R572" s="5"/>
      <c r="S572" s="5"/>
      <c r="T572" s="5"/>
      <c r="U572" s="5"/>
      <c r="V572" s="5"/>
      <c r="W572" s="5"/>
      <c r="X572" s="5"/>
      <c r="Y572" s="5"/>
      <c r="Z572" s="5"/>
      <c r="AA572" s="5"/>
      <c r="AB572" s="5"/>
      <c r="AC572" s="5"/>
      <c r="AD572" s="5"/>
    </row>
    <row r="573">
      <c r="A573" s="57"/>
      <c r="B573" s="59"/>
      <c r="C573" s="54"/>
      <c r="D573" s="14"/>
      <c r="E573" s="14"/>
      <c r="F573" s="14"/>
      <c r="G573" s="14"/>
      <c r="H573" s="14"/>
      <c r="I573" s="14"/>
      <c r="J573" s="14"/>
      <c r="K573" s="14"/>
      <c r="L573" s="14"/>
      <c r="M573" s="14"/>
      <c r="N573" s="14"/>
      <c r="O573" s="14"/>
      <c r="P573" s="14"/>
      <c r="Q573" s="15"/>
      <c r="R573" s="5"/>
      <c r="S573" s="5"/>
      <c r="T573" s="5"/>
      <c r="U573" s="5"/>
      <c r="V573" s="5"/>
      <c r="W573" s="5"/>
      <c r="X573" s="5"/>
      <c r="Y573" s="5"/>
      <c r="Z573" s="5"/>
      <c r="AA573" s="5"/>
      <c r="AB573" s="5"/>
      <c r="AC573" s="5"/>
      <c r="AD573" s="5"/>
    </row>
    <row r="574">
      <c r="A574" s="55"/>
      <c r="B574" s="56"/>
      <c r="C574" s="52"/>
      <c r="D574" s="9"/>
      <c r="E574" s="9"/>
      <c r="F574" s="9"/>
      <c r="G574" s="9"/>
      <c r="H574" s="9"/>
      <c r="I574" s="9"/>
      <c r="J574" s="9"/>
      <c r="K574" s="9"/>
      <c r="L574" s="9"/>
      <c r="M574" s="9"/>
      <c r="N574" s="9"/>
      <c r="O574" s="9"/>
      <c r="P574" s="9"/>
      <c r="Q574" s="10"/>
      <c r="R574" s="5"/>
      <c r="S574" s="5"/>
      <c r="T574" s="5"/>
      <c r="U574" s="5"/>
      <c r="V574" s="5"/>
      <c r="W574" s="5"/>
      <c r="X574" s="5"/>
      <c r="Y574" s="5"/>
      <c r="Z574" s="5"/>
      <c r="AA574" s="5"/>
      <c r="AB574" s="5"/>
      <c r="AC574" s="5"/>
      <c r="AD574" s="5"/>
    </row>
    <row r="575">
      <c r="A575" s="57"/>
      <c r="B575" s="59"/>
      <c r="C575" s="54"/>
      <c r="D575" s="14"/>
      <c r="E575" s="14"/>
      <c r="F575" s="14"/>
      <c r="G575" s="14"/>
      <c r="H575" s="14"/>
      <c r="I575" s="14"/>
      <c r="J575" s="14"/>
      <c r="K575" s="14"/>
      <c r="L575" s="14"/>
      <c r="M575" s="14"/>
      <c r="N575" s="14"/>
      <c r="O575" s="14"/>
      <c r="P575" s="14"/>
      <c r="Q575" s="15"/>
      <c r="R575" s="5"/>
      <c r="S575" s="5"/>
      <c r="T575" s="5"/>
      <c r="U575" s="5"/>
      <c r="V575" s="5"/>
      <c r="W575" s="5"/>
      <c r="X575" s="5"/>
      <c r="Y575" s="5"/>
      <c r="Z575" s="5"/>
      <c r="AA575" s="5"/>
      <c r="AB575" s="5"/>
      <c r="AC575" s="5"/>
      <c r="AD575" s="5"/>
    </row>
    <row r="576">
      <c r="A576" s="55"/>
      <c r="B576" s="56"/>
      <c r="C576" s="52"/>
      <c r="D576" s="9"/>
      <c r="E576" s="9"/>
      <c r="F576" s="9"/>
      <c r="G576" s="9"/>
      <c r="H576" s="9"/>
      <c r="I576" s="9"/>
      <c r="J576" s="9"/>
      <c r="K576" s="9"/>
      <c r="L576" s="9"/>
      <c r="M576" s="9"/>
      <c r="N576" s="9"/>
      <c r="O576" s="9"/>
      <c r="P576" s="9"/>
      <c r="Q576" s="10"/>
      <c r="R576" s="5"/>
      <c r="S576" s="5"/>
      <c r="T576" s="5"/>
      <c r="U576" s="5"/>
      <c r="V576" s="5"/>
      <c r="W576" s="5"/>
      <c r="X576" s="5"/>
      <c r="Y576" s="5"/>
      <c r="Z576" s="5"/>
      <c r="AA576" s="5"/>
      <c r="AB576" s="5"/>
      <c r="AC576" s="5"/>
      <c r="AD576" s="5"/>
    </row>
    <row r="577">
      <c r="A577" s="57"/>
      <c r="B577" s="59"/>
      <c r="C577" s="54"/>
      <c r="D577" s="14"/>
      <c r="E577" s="14"/>
      <c r="F577" s="14"/>
      <c r="G577" s="14"/>
      <c r="H577" s="14"/>
      <c r="I577" s="14"/>
      <c r="J577" s="14"/>
      <c r="K577" s="14"/>
      <c r="L577" s="14"/>
      <c r="M577" s="14"/>
      <c r="N577" s="14"/>
      <c r="O577" s="14"/>
      <c r="P577" s="14"/>
      <c r="Q577" s="15"/>
      <c r="R577" s="5"/>
      <c r="S577" s="5"/>
      <c r="T577" s="5"/>
      <c r="U577" s="5"/>
      <c r="V577" s="5"/>
      <c r="W577" s="5"/>
      <c r="X577" s="5"/>
      <c r="Y577" s="5"/>
      <c r="Z577" s="5"/>
      <c r="AA577" s="5"/>
      <c r="AB577" s="5"/>
      <c r="AC577" s="5"/>
      <c r="AD577" s="5"/>
    </row>
    <row r="578">
      <c r="A578" s="55"/>
      <c r="B578" s="56"/>
      <c r="C578" s="52"/>
      <c r="D578" s="9"/>
      <c r="E578" s="9"/>
      <c r="F578" s="9"/>
      <c r="G578" s="9"/>
      <c r="H578" s="9"/>
      <c r="I578" s="9"/>
      <c r="J578" s="9"/>
      <c r="K578" s="9"/>
      <c r="L578" s="9"/>
      <c r="M578" s="9"/>
      <c r="N578" s="9"/>
      <c r="O578" s="9"/>
      <c r="P578" s="9"/>
      <c r="Q578" s="10"/>
      <c r="R578" s="5"/>
      <c r="S578" s="5"/>
      <c r="T578" s="5"/>
      <c r="U578" s="5"/>
      <c r="V578" s="5"/>
      <c r="W578" s="5"/>
      <c r="X578" s="5"/>
      <c r="Y578" s="5"/>
      <c r="Z578" s="5"/>
      <c r="AA578" s="5"/>
      <c r="AB578" s="5"/>
      <c r="AC578" s="5"/>
      <c r="AD578" s="5"/>
    </row>
    <row r="579">
      <c r="A579" s="57"/>
      <c r="B579" s="59"/>
      <c r="C579" s="54"/>
      <c r="D579" s="14"/>
      <c r="E579" s="14"/>
      <c r="F579" s="14"/>
      <c r="G579" s="14"/>
      <c r="H579" s="14"/>
      <c r="I579" s="14"/>
      <c r="J579" s="14"/>
      <c r="K579" s="14"/>
      <c r="L579" s="14"/>
      <c r="M579" s="14"/>
      <c r="N579" s="14"/>
      <c r="O579" s="14"/>
      <c r="P579" s="14"/>
      <c r="Q579" s="15"/>
      <c r="R579" s="5"/>
      <c r="S579" s="5"/>
      <c r="T579" s="5"/>
      <c r="U579" s="5"/>
      <c r="V579" s="5"/>
      <c r="W579" s="5"/>
      <c r="X579" s="5"/>
      <c r="Y579" s="5"/>
      <c r="Z579" s="5"/>
      <c r="AA579" s="5"/>
      <c r="AB579" s="5"/>
      <c r="AC579" s="5"/>
      <c r="AD579" s="5"/>
    </row>
    <row r="580">
      <c r="A580" s="55"/>
      <c r="B580" s="56"/>
      <c r="C580" s="52"/>
      <c r="D580" s="9"/>
      <c r="E580" s="9"/>
      <c r="F580" s="9"/>
      <c r="G580" s="9"/>
      <c r="H580" s="9"/>
      <c r="I580" s="9"/>
      <c r="J580" s="9"/>
      <c r="K580" s="9"/>
      <c r="L580" s="9"/>
      <c r="M580" s="9"/>
      <c r="N580" s="9"/>
      <c r="O580" s="9"/>
      <c r="P580" s="9"/>
      <c r="Q580" s="10"/>
      <c r="R580" s="5"/>
      <c r="S580" s="5"/>
      <c r="T580" s="5"/>
      <c r="U580" s="5"/>
      <c r="V580" s="5"/>
      <c r="W580" s="5"/>
      <c r="X580" s="5"/>
      <c r="Y580" s="5"/>
      <c r="Z580" s="5"/>
      <c r="AA580" s="5"/>
      <c r="AB580" s="5"/>
      <c r="AC580" s="5"/>
      <c r="AD580" s="5"/>
    </row>
    <row r="581">
      <c r="A581" s="57"/>
      <c r="B581" s="59"/>
      <c r="C581" s="54"/>
      <c r="D581" s="14"/>
      <c r="E581" s="14"/>
      <c r="F581" s="14"/>
      <c r="G581" s="14"/>
      <c r="H581" s="14"/>
      <c r="I581" s="14"/>
      <c r="J581" s="14"/>
      <c r="K581" s="14"/>
      <c r="L581" s="14"/>
      <c r="M581" s="14"/>
      <c r="N581" s="14"/>
      <c r="O581" s="14"/>
      <c r="P581" s="14"/>
      <c r="Q581" s="15"/>
      <c r="R581" s="5"/>
      <c r="S581" s="5"/>
      <c r="T581" s="5"/>
      <c r="U581" s="5"/>
      <c r="V581" s="5"/>
      <c r="W581" s="5"/>
      <c r="X581" s="5"/>
      <c r="Y581" s="5"/>
      <c r="Z581" s="5"/>
      <c r="AA581" s="5"/>
      <c r="AB581" s="5"/>
      <c r="AC581" s="5"/>
      <c r="AD581" s="5"/>
    </row>
    <row r="582">
      <c r="A582" s="55"/>
      <c r="B582" s="56"/>
      <c r="C582" s="52"/>
      <c r="D582" s="9"/>
      <c r="E582" s="9"/>
      <c r="F582" s="9"/>
      <c r="G582" s="9"/>
      <c r="H582" s="9"/>
      <c r="I582" s="9"/>
      <c r="J582" s="9"/>
      <c r="K582" s="9"/>
      <c r="L582" s="9"/>
      <c r="M582" s="9"/>
      <c r="N582" s="9"/>
      <c r="O582" s="9"/>
      <c r="P582" s="9"/>
      <c r="Q582" s="10"/>
      <c r="R582" s="5"/>
      <c r="S582" s="5"/>
      <c r="T582" s="5"/>
      <c r="U582" s="5"/>
      <c r="V582" s="5"/>
      <c r="W582" s="5"/>
      <c r="X582" s="5"/>
      <c r="Y582" s="5"/>
      <c r="Z582" s="5"/>
      <c r="AA582" s="5"/>
      <c r="AB582" s="5"/>
      <c r="AC582" s="5"/>
      <c r="AD582" s="5"/>
    </row>
    <row r="583">
      <c r="A583" s="57"/>
      <c r="B583" s="59"/>
      <c r="C583" s="54"/>
      <c r="D583" s="14"/>
      <c r="E583" s="14"/>
      <c r="F583" s="14"/>
      <c r="G583" s="14"/>
      <c r="H583" s="14"/>
      <c r="I583" s="14"/>
      <c r="J583" s="14"/>
      <c r="K583" s="14"/>
      <c r="L583" s="14"/>
      <c r="M583" s="14"/>
      <c r="N583" s="14"/>
      <c r="O583" s="14"/>
      <c r="P583" s="14"/>
      <c r="Q583" s="15"/>
      <c r="R583" s="5"/>
      <c r="S583" s="5"/>
      <c r="T583" s="5"/>
      <c r="U583" s="5"/>
      <c r="V583" s="5"/>
      <c r="W583" s="5"/>
      <c r="X583" s="5"/>
      <c r="Y583" s="5"/>
      <c r="Z583" s="5"/>
      <c r="AA583" s="5"/>
      <c r="AB583" s="5"/>
      <c r="AC583" s="5"/>
      <c r="AD583" s="5"/>
    </row>
    <row r="584">
      <c r="A584" s="55"/>
      <c r="B584" s="56"/>
      <c r="C584" s="52"/>
      <c r="D584" s="9"/>
      <c r="E584" s="9"/>
      <c r="F584" s="9"/>
      <c r="G584" s="9"/>
      <c r="H584" s="9"/>
      <c r="I584" s="9"/>
      <c r="J584" s="9"/>
      <c r="K584" s="9"/>
      <c r="L584" s="9"/>
      <c r="M584" s="9"/>
      <c r="N584" s="9"/>
      <c r="O584" s="9"/>
      <c r="P584" s="9"/>
      <c r="Q584" s="10"/>
      <c r="R584" s="5"/>
      <c r="S584" s="5"/>
      <c r="T584" s="5"/>
      <c r="U584" s="5"/>
      <c r="V584" s="5"/>
      <c r="W584" s="5"/>
      <c r="X584" s="5"/>
      <c r="Y584" s="5"/>
      <c r="Z584" s="5"/>
      <c r="AA584" s="5"/>
      <c r="AB584" s="5"/>
      <c r="AC584" s="5"/>
      <c r="AD584" s="5"/>
    </row>
    <row r="585">
      <c r="A585" s="57"/>
      <c r="B585" s="59"/>
      <c r="C585" s="54"/>
      <c r="D585" s="14"/>
      <c r="E585" s="14"/>
      <c r="F585" s="14"/>
      <c r="G585" s="14"/>
      <c r="H585" s="14"/>
      <c r="I585" s="14"/>
      <c r="J585" s="14"/>
      <c r="K585" s="14"/>
      <c r="L585" s="14"/>
      <c r="M585" s="14"/>
      <c r="N585" s="14"/>
      <c r="O585" s="14"/>
      <c r="P585" s="14"/>
      <c r="Q585" s="15"/>
      <c r="R585" s="5"/>
      <c r="S585" s="5"/>
      <c r="T585" s="5"/>
      <c r="U585" s="5"/>
      <c r="V585" s="5"/>
      <c r="W585" s="5"/>
      <c r="X585" s="5"/>
      <c r="Y585" s="5"/>
      <c r="Z585" s="5"/>
      <c r="AA585" s="5"/>
      <c r="AB585" s="5"/>
      <c r="AC585" s="5"/>
      <c r="AD585" s="5"/>
    </row>
    <row r="586">
      <c r="A586" s="55"/>
      <c r="B586" s="56"/>
      <c r="C586" s="52"/>
      <c r="D586" s="9"/>
      <c r="E586" s="9"/>
      <c r="F586" s="9"/>
      <c r="G586" s="9"/>
      <c r="H586" s="9"/>
      <c r="I586" s="9"/>
      <c r="J586" s="9"/>
      <c r="K586" s="9"/>
      <c r="L586" s="9"/>
      <c r="M586" s="9"/>
      <c r="N586" s="9"/>
      <c r="O586" s="9"/>
      <c r="P586" s="9"/>
      <c r="Q586" s="10"/>
      <c r="R586" s="5"/>
      <c r="S586" s="5"/>
      <c r="T586" s="5"/>
      <c r="U586" s="5"/>
      <c r="V586" s="5"/>
      <c r="W586" s="5"/>
      <c r="X586" s="5"/>
      <c r="Y586" s="5"/>
      <c r="Z586" s="5"/>
      <c r="AA586" s="5"/>
      <c r="AB586" s="5"/>
      <c r="AC586" s="5"/>
      <c r="AD586" s="5"/>
    </row>
    <row r="587">
      <c r="A587" s="57"/>
      <c r="B587" s="59"/>
      <c r="C587" s="54"/>
      <c r="D587" s="14"/>
      <c r="E587" s="14"/>
      <c r="F587" s="14"/>
      <c r="G587" s="14"/>
      <c r="H587" s="14"/>
      <c r="I587" s="14"/>
      <c r="J587" s="14"/>
      <c r="K587" s="14"/>
      <c r="L587" s="14"/>
      <c r="M587" s="14"/>
      <c r="N587" s="14"/>
      <c r="O587" s="14"/>
      <c r="P587" s="14"/>
      <c r="Q587" s="15"/>
      <c r="R587" s="5"/>
      <c r="S587" s="5"/>
      <c r="T587" s="5"/>
      <c r="U587" s="5"/>
      <c r="V587" s="5"/>
      <c r="W587" s="5"/>
      <c r="X587" s="5"/>
      <c r="Y587" s="5"/>
      <c r="Z587" s="5"/>
      <c r="AA587" s="5"/>
      <c r="AB587" s="5"/>
      <c r="AC587" s="5"/>
      <c r="AD587" s="5"/>
    </row>
    <row r="588">
      <c r="A588" s="55"/>
      <c r="B588" s="56"/>
      <c r="C588" s="52"/>
      <c r="D588" s="9"/>
      <c r="E588" s="9"/>
      <c r="F588" s="9"/>
      <c r="G588" s="9"/>
      <c r="H588" s="9"/>
      <c r="I588" s="9"/>
      <c r="J588" s="9"/>
      <c r="K588" s="9"/>
      <c r="L588" s="9"/>
      <c r="M588" s="9"/>
      <c r="N588" s="9"/>
      <c r="O588" s="9"/>
      <c r="P588" s="9"/>
      <c r="Q588" s="10"/>
      <c r="R588" s="5"/>
      <c r="S588" s="5"/>
      <c r="T588" s="5"/>
      <c r="U588" s="5"/>
      <c r="V588" s="5"/>
      <c r="W588" s="5"/>
      <c r="X588" s="5"/>
      <c r="Y588" s="5"/>
      <c r="Z588" s="5"/>
      <c r="AA588" s="5"/>
      <c r="AB588" s="5"/>
      <c r="AC588" s="5"/>
      <c r="AD588" s="5"/>
    </row>
    <row r="589">
      <c r="A589" s="57"/>
      <c r="B589" s="59"/>
      <c r="C589" s="54"/>
      <c r="D589" s="14"/>
      <c r="E589" s="14"/>
      <c r="F589" s="14"/>
      <c r="G589" s="14"/>
      <c r="H589" s="14"/>
      <c r="I589" s="14"/>
      <c r="J589" s="14"/>
      <c r="K589" s="14"/>
      <c r="L589" s="14"/>
      <c r="M589" s="14"/>
      <c r="N589" s="14"/>
      <c r="O589" s="14"/>
      <c r="P589" s="14"/>
      <c r="Q589" s="15"/>
      <c r="R589" s="5"/>
      <c r="S589" s="5"/>
      <c r="T589" s="5"/>
      <c r="U589" s="5"/>
      <c r="V589" s="5"/>
      <c r="W589" s="5"/>
      <c r="X589" s="5"/>
      <c r="Y589" s="5"/>
      <c r="Z589" s="5"/>
      <c r="AA589" s="5"/>
      <c r="AB589" s="5"/>
      <c r="AC589" s="5"/>
      <c r="AD589" s="5"/>
    </row>
    <row r="590">
      <c r="A590" s="55"/>
      <c r="B590" s="56"/>
      <c r="C590" s="52"/>
      <c r="D590" s="9"/>
      <c r="E590" s="9"/>
      <c r="F590" s="9"/>
      <c r="G590" s="9"/>
      <c r="H590" s="9"/>
      <c r="I590" s="9"/>
      <c r="J590" s="9"/>
      <c r="K590" s="9"/>
      <c r="L590" s="9"/>
      <c r="M590" s="9"/>
      <c r="N590" s="9"/>
      <c r="O590" s="9"/>
      <c r="P590" s="9"/>
      <c r="Q590" s="10"/>
      <c r="R590" s="5"/>
      <c r="S590" s="5"/>
      <c r="T590" s="5"/>
      <c r="U590" s="5"/>
      <c r="V590" s="5"/>
      <c r="W590" s="5"/>
      <c r="X590" s="5"/>
      <c r="Y590" s="5"/>
      <c r="Z590" s="5"/>
      <c r="AA590" s="5"/>
      <c r="AB590" s="5"/>
      <c r="AC590" s="5"/>
      <c r="AD590" s="5"/>
    </row>
    <row r="591">
      <c r="A591" s="57"/>
      <c r="B591" s="59"/>
      <c r="C591" s="54"/>
      <c r="D591" s="14"/>
      <c r="E591" s="14"/>
      <c r="F591" s="14"/>
      <c r="G591" s="14"/>
      <c r="H591" s="14"/>
      <c r="I591" s="14"/>
      <c r="J591" s="14"/>
      <c r="K591" s="14"/>
      <c r="L591" s="14"/>
      <c r="M591" s="14"/>
      <c r="N591" s="14"/>
      <c r="O591" s="14"/>
      <c r="P591" s="14"/>
      <c r="Q591" s="15"/>
      <c r="R591" s="5"/>
      <c r="S591" s="5"/>
      <c r="T591" s="5"/>
      <c r="U591" s="5"/>
      <c r="V591" s="5"/>
      <c r="W591" s="5"/>
      <c r="X591" s="5"/>
      <c r="Y591" s="5"/>
      <c r="Z591" s="5"/>
      <c r="AA591" s="5"/>
      <c r="AB591" s="5"/>
      <c r="AC591" s="5"/>
      <c r="AD591" s="5"/>
    </row>
    <row r="592">
      <c r="A592" s="55"/>
      <c r="B592" s="56"/>
      <c r="C592" s="52"/>
      <c r="D592" s="9"/>
      <c r="E592" s="9"/>
      <c r="F592" s="9"/>
      <c r="G592" s="9"/>
      <c r="H592" s="9"/>
      <c r="I592" s="9"/>
      <c r="J592" s="9"/>
      <c r="K592" s="9"/>
      <c r="L592" s="9"/>
      <c r="M592" s="9"/>
      <c r="N592" s="9"/>
      <c r="O592" s="9"/>
      <c r="P592" s="9"/>
      <c r="Q592" s="10"/>
      <c r="R592" s="5"/>
      <c r="S592" s="5"/>
      <c r="T592" s="5"/>
      <c r="U592" s="5"/>
      <c r="V592" s="5"/>
      <c r="W592" s="5"/>
      <c r="X592" s="5"/>
      <c r="Y592" s="5"/>
      <c r="Z592" s="5"/>
      <c r="AA592" s="5"/>
      <c r="AB592" s="5"/>
      <c r="AC592" s="5"/>
      <c r="AD592" s="5"/>
    </row>
    <row r="593">
      <c r="A593" s="57"/>
      <c r="B593" s="59"/>
      <c r="C593" s="54"/>
      <c r="D593" s="14"/>
      <c r="E593" s="14"/>
      <c r="F593" s="14"/>
      <c r="G593" s="14"/>
      <c r="H593" s="14"/>
      <c r="I593" s="14"/>
      <c r="J593" s="14"/>
      <c r="K593" s="14"/>
      <c r="L593" s="14"/>
      <c r="M593" s="14"/>
      <c r="N593" s="14"/>
      <c r="O593" s="14"/>
      <c r="P593" s="14"/>
      <c r="Q593" s="15"/>
      <c r="R593" s="5"/>
      <c r="S593" s="5"/>
      <c r="T593" s="5"/>
      <c r="U593" s="5"/>
      <c r="V593" s="5"/>
      <c r="W593" s="5"/>
      <c r="X593" s="5"/>
      <c r="Y593" s="5"/>
      <c r="Z593" s="5"/>
      <c r="AA593" s="5"/>
      <c r="AB593" s="5"/>
      <c r="AC593" s="5"/>
      <c r="AD593" s="5"/>
    </row>
    <row r="594">
      <c r="A594" s="55"/>
      <c r="B594" s="56"/>
      <c r="C594" s="52"/>
      <c r="D594" s="9"/>
      <c r="E594" s="9"/>
      <c r="F594" s="9"/>
      <c r="G594" s="9"/>
      <c r="H594" s="9"/>
      <c r="I594" s="9"/>
      <c r="J594" s="9"/>
      <c r="K594" s="9"/>
      <c r="L594" s="9"/>
      <c r="M594" s="9"/>
      <c r="N594" s="9"/>
      <c r="O594" s="9"/>
      <c r="P594" s="9"/>
      <c r="Q594" s="10"/>
      <c r="R594" s="5"/>
      <c r="S594" s="5"/>
      <c r="T594" s="5"/>
      <c r="U594" s="5"/>
      <c r="V594" s="5"/>
      <c r="W594" s="5"/>
      <c r="X594" s="5"/>
      <c r="Y594" s="5"/>
      <c r="Z594" s="5"/>
      <c r="AA594" s="5"/>
      <c r="AB594" s="5"/>
      <c r="AC594" s="5"/>
      <c r="AD594" s="5"/>
    </row>
    <row r="595">
      <c r="A595" s="57"/>
      <c r="B595" s="59"/>
      <c r="C595" s="54"/>
      <c r="D595" s="14"/>
      <c r="E595" s="14"/>
      <c r="F595" s="14"/>
      <c r="G595" s="14"/>
      <c r="H595" s="14"/>
      <c r="I595" s="14"/>
      <c r="J595" s="14"/>
      <c r="K595" s="14"/>
      <c r="L595" s="14"/>
      <c r="M595" s="14"/>
      <c r="N595" s="14"/>
      <c r="O595" s="14"/>
      <c r="P595" s="14"/>
      <c r="Q595" s="15"/>
      <c r="R595" s="5"/>
      <c r="S595" s="5"/>
      <c r="T595" s="5"/>
      <c r="U595" s="5"/>
      <c r="V595" s="5"/>
      <c r="W595" s="5"/>
      <c r="X595" s="5"/>
      <c r="Y595" s="5"/>
      <c r="Z595" s="5"/>
      <c r="AA595" s="5"/>
      <c r="AB595" s="5"/>
      <c r="AC595" s="5"/>
      <c r="AD595" s="5"/>
    </row>
    <row r="596">
      <c r="A596" s="55"/>
      <c r="B596" s="56"/>
      <c r="C596" s="52"/>
      <c r="D596" s="9"/>
      <c r="E596" s="9"/>
      <c r="F596" s="9"/>
      <c r="G596" s="9"/>
      <c r="H596" s="9"/>
      <c r="I596" s="9"/>
      <c r="J596" s="9"/>
      <c r="K596" s="9"/>
      <c r="L596" s="9"/>
      <c r="M596" s="9"/>
      <c r="N596" s="9"/>
      <c r="O596" s="9"/>
      <c r="P596" s="9"/>
      <c r="Q596" s="10"/>
      <c r="R596" s="5"/>
      <c r="S596" s="5"/>
      <c r="T596" s="5"/>
      <c r="U596" s="5"/>
      <c r="V596" s="5"/>
      <c r="W596" s="5"/>
      <c r="X596" s="5"/>
      <c r="Y596" s="5"/>
      <c r="Z596" s="5"/>
      <c r="AA596" s="5"/>
      <c r="AB596" s="5"/>
      <c r="AC596" s="5"/>
      <c r="AD596" s="5"/>
    </row>
    <row r="597">
      <c r="A597" s="57"/>
      <c r="B597" s="59"/>
      <c r="C597" s="54"/>
      <c r="D597" s="14"/>
      <c r="E597" s="14"/>
      <c r="F597" s="14"/>
      <c r="G597" s="14"/>
      <c r="H597" s="14"/>
      <c r="I597" s="14"/>
      <c r="J597" s="14"/>
      <c r="K597" s="14"/>
      <c r="L597" s="14"/>
      <c r="M597" s="14"/>
      <c r="N597" s="14"/>
      <c r="O597" s="14"/>
      <c r="P597" s="14"/>
      <c r="Q597" s="15"/>
      <c r="R597" s="5"/>
      <c r="S597" s="5"/>
      <c r="T597" s="5"/>
      <c r="U597" s="5"/>
      <c r="V597" s="5"/>
      <c r="W597" s="5"/>
      <c r="X597" s="5"/>
      <c r="Y597" s="5"/>
      <c r="Z597" s="5"/>
      <c r="AA597" s="5"/>
      <c r="AB597" s="5"/>
      <c r="AC597" s="5"/>
      <c r="AD597" s="5"/>
    </row>
    <row r="598">
      <c r="A598" s="55"/>
      <c r="B598" s="56"/>
      <c r="C598" s="52"/>
      <c r="D598" s="9"/>
      <c r="E598" s="9"/>
      <c r="F598" s="9"/>
      <c r="G598" s="9"/>
      <c r="H598" s="9"/>
      <c r="I598" s="9"/>
      <c r="J598" s="9"/>
      <c r="K598" s="9"/>
      <c r="L598" s="9"/>
      <c r="M598" s="9"/>
      <c r="N598" s="9"/>
      <c r="O598" s="9"/>
      <c r="P598" s="9"/>
      <c r="Q598" s="10"/>
      <c r="R598" s="5"/>
      <c r="S598" s="5"/>
      <c r="T598" s="5"/>
      <c r="U598" s="5"/>
      <c r="V598" s="5"/>
      <c r="W598" s="5"/>
      <c r="X598" s="5"/>
      <c r="Y598" s="5"/>
      <c r="Z598" s="5"/>
      <c r="AA598" s="5"/>
      <c r="AB598" s="5"/>
      <c r="AC598" s="5"/>
      <c r="AD598" s="5"/>
    </row>
    <row r="599">
      <c r="A599" s="57"/>
      <c r="B599" s="59"/>
      <c r="C599" s="54"/>
      <c r="D599" s="14"/>
      <c r="E599" s="14"/>
      <c r="F599" s="14"/>
      <c r="G599" s="14"/>
      <c r="H599" s="14"/>
      <c r="I599" s="14"/>
      <c r="J599" s="14"/>
      <c r="K599" s="14"/>
      <c r="L599" s="14"/>
      <c r="M599" s="14"/>
      <c r="N599" s="14"/>
      <c r="O599" s="14"/>
      <c r="P599" s="14"/>
      <c r="Q599" s="15"/>
      <c r="R599" s="5"/>
      <c r="S599" s="5"/>
      <c r="T599" s="5"/>
      <c r="U599" s="5"/>
      <c r="V599" s="5"/>
      <c r="W599" s="5"/>
      <c r="X599" s="5"/>
      <c r="Y599" s="5"/>
      <c r="Z599" s="5"/>
      <c r="AA599" s="5"/>
      <c r="AB599" s="5"/>
      <c r="AC599" s="5"/>
      <c r="AD599" s="5"/>
    </row>
    <row r="600">
      <c r="A600" s="55"/>
      <c r="B600" s="56"/>
      <c r="C600" s="52"/>
      <c r="D600" s="9"/>
      <c r="E600" s="9"/>
      <c r="F600" s="9"/>
      <c r="G600" s="9"/>
      <c r="H600" s="9"/>
      <c r="I600" s="9"/>
      <c r="J600" s="9"/>
      <c r="K600" s="9"/>
      <c r="L600" s="9"/>
      <c r="M600" s="9"/>
      <c r="N600" s="9"/>
      <c r="O600" s="9"/>
      <c r="P600" s="9"/>
      <c r="Q600" s="10"/>
      <c r="R600" s="5"/>
      <c r="S600" s="5"/>
      <c r="T600" s="5"/>
      <c r="U600" s="5"/>
      <c r="V600" s="5"/>
      <c r="W600" s="5"/>
      <c r="X600" s="5"/>
      <c r="Y600" s="5"/>
      <c r="Z600" s="5"/>
      <c r="AA600" s="5"/>
      <c r="AB600" s="5"/>
      <c r="AC600" s="5"/>
      <c r="AD600" s="5"/>
    </row>
    <row r="601">
      <c r="A601" s="57"/>
      <c r="B601" s="59"/>
      <c r="C601" s="54"/>
      <c r="D601" s="14"/>
      <c r="E601" s="14"/>
      <c r="F601" s="14"/>
      <c r="G601" s="14"/>
      <c r="H601" s="14"/>
      <c r="I601" s="14"/>
      <c r="J601" s="14"/>
      <c r="K601" s="14"/>
      <c r="L601" s="14"/>
      <c r="M601" s="14"/>
      <c r="N601" s="14"/>
      <c r="O601" s="14"/>
      <c r="P601" s="14"/>
      <c r="Q601" s="15"/>
      <c r="R601" s="5"/>
      <c r="S601" s="5"/>
      <c r="T601" s="5"/>
      <c r="U601" s="5"/>
      <c r="V601" s="5"/>
      <c r="W601" s="5"/>
      <c r="X601" s="5"/>
      <c r="Y601" s="5"/>
      <c r="Z601" s="5"/>
      <c r="AA601" s="5"/>
      <c r="AB601" s="5"/>
      <c r="AC601" s="5"/>
      <c r="AD601" s="5"/>
    </row>
    <row r="602">
      <c r="A602" s="55"/>
      <c r="B602" s="56"/>
      <c r="C602" s="52"/>
      <c r="D602" s="9"/>
      <c r="E602" s="9"/>
      <c r="F602" s="9"/>
      <c r="G602" s="9"/>
      <c r="H602" s="9"/>
      <c r="I602" s="9"/>
      <c r="J602" s="9"/>
      <c r="K602" s="9"/>
      <c r="L602" s="9"/>
      <c r="M602" s="9"/>
      <c r="N602" s="9"/>
      <c r="O602" s="9"/>
      <c r="P602" s="9"/>
      <c r="Q602" s="10"/>
      <c r="R602" s="5"/>
      <c r="S602" s="5"/>
      <c r="T602" s="5"/>
      <c r="U602" s="5"/>
      <c r="V602" s="5"/>
      <c r="W602" s="5"/>
      <c r="X602" s="5"/>
      <c r="Y602" s="5"/>
      <c r="Z602" s="5"/>
      <c r="AA602" s="5"/>
      <c r="AB602" s="5"/>
      <c r="AC602" s="5"/>
      <c r="AD602" s="5"/>
    </row>
    <row r="603">
      <c r="A603" s="57"/>
      <c r="B603" s="59"/>
      <c r="C603" s="54"/>
      <c r="D603" s="14"/>
      <c r="E603" s="14"/>
      <c r="F603" s="14"/>
      <c r="G603" s="14"/>
      <c r="H603" s="14"/>
      <c r="I603" s="14"/>
      <c r="J603" s="14"/>
      <c r="K603" s="14"/>
      <c r="L603" s="14"/>
      <c r="M603" s="14"/>
      <c r="N603" s="14"/>
      <c r="O603" s="14"/>
      <c r="P603" s="14"/>
      <c r="Q603" s="15"/>
      <c r="R603" s="5"/>
      <c r="S603" s="5"/>
      <c r="T603" s="5"/>
      <c r="U603" s="5"/>
      <c r="V603" s="5"/>
      <c r="W603" s="5"/>
      <c r="X603" s="5"/>
      <c r="Y603" s="5"/>
      <c r="Z603" s="5"/>
      <c r="AA603" s="5"/>
      <c r="AB603" s="5"/>
      <c r="AC603" s="5"/>
      <c r="AD603" s="5"/>
    </row>
    <row r="604">
      <c r="A604" s="55"/>
      <c r="B604" s="56"/>
      <c r="C604" s="52"/>
      <c r="D604" s="9"/>
      <c r="E604" s="9"/>
      <c r="F604" s="9"/>
      <c r="G604" s="9"/>
      <c r="H604" s="9"/>
      <c r="I604" s="9"/>
      <c r="J604" s="9"/>
      <c r="K604" s="9"/>
      <c r="L604" s="9"/>
      <c r="M604" s="9"/>
      <c r="N604" s="9"/>
      <c r="O604" s="9"/>
      <c r="P604" s="9"/>
      <c r="Q604" s="10"/>
      <c r="R604" s="5"/>
      <c r="S604" s="5"/>
      <c r="T604" s="5"/>
      <c r="U604" s="5"/>
      <c r="V604" s="5"/>
      <c r="W604" s="5"/>
      <c r="X604" s="5"/>
      <c r="Y604" s="5"/>
      <c r="Z604" s="5"/>
      <c r="AA604" s="5"/>
      <c r="AB604" s="5"/>
      <c r="AC604" s="5"/>
      <c r="AD604" s="5"/>
    </row>
    <row r="605">
      <c r="A605" s="57"/>
      <c r="B605" s="59"/>
      <c r="C605" s="54"/>
      <c r="D605" s="14"/>
      <c r="E605" s="14"/>
      <c r="F605" s="14"/>
      <c r="G605" s="14"/>
      <c r="H605" s="14"/>
      <c r="I605" s="14"/>
      <c r="J605" s="14"/>
      <c r="K605" s="14"/>
      <c r="L605" s="14"/>
      <c r="M605" s="14"/>
      <c r="N605" s="14"/>
      <c r="O605" s="14"/>
      <c r="P605" s="14"/>
      <c r="Q605" s="15"/>
      <c r="R605" s="5"/>
      <c r="S605" s="5"/>
      <c r="T605" s="5"/>
      <c r="U605" s="5"/>
      <c r="V605" s="5"/>
      <c r="W605" s="5"/>
      <c r="X605" s="5"/>
      <c r="Y605" s="5"/>
      <c r="Z605" s="5"/>
      <c r="AA605" s="5"/>
      <c r="AB605" s="5"/>
      <c r="AC605" s="5"/>
      <c r="AD605" s="5"/>
    </row>
    <row r="606">
      <c r="A606" s="55"/>
      <c r="B606" s="56"/>
      <c r="C606" s="52"/>
      <c r="D606" s="9"/>
      <c r="E606" s="9"/>
      <c r="F606" s="9"/>
      <c r="G606" s="9"/>
      <c r="H606" s="9"/>
      <c r="I606" s="9"/>
      <c r="J606" s="9"/>
      <c r="K606" s="9"/>
      <c r="L606" s="9"/>
      <c r="M606" s="9"/>
      <c r="N606" s="9"/>
      <c r="O606" s="9"/>
      <c r="P606" s="9"/>
      <c r="Q606" s="10"/>
      <c r="R606" s="5"/>
      <c r="S606" s="5"/>
      <c r="T606" s="5"/>
      <c r="U606" s="5"/>
      <c r="V606" s="5"/>
      <c r="W606" s="5"/>
      <c r="X606" s="5"/>
      <c r="Y606" s="5"/>
      <c r="Z606" s="5"/>
      <c r="AA606" s="5"/>
      <c r="AB606" s="5"/>
      <c r="AC606" s="5"/>
      <c r="AD606" s="5"/>
    </row>
    <row r="607">
      <c r="A607" s="57"/>
      <c r="B607" s="59"/>
      <c r="C607" s="54"/>
      <c r="D607" s="14"/>
      <c r="E607" s="14"/>
      <c r="F607" s="14"/>
      <c r="G607" s="14"/>
      <c r="H607" s="14"/>
      <c r="I607" s="14"/>
      <c r="J607" s="14"/>
      <c r="K607" s="14"/>
      <c r="L607" s="14"/>
      <c r="M607" s="14"/>
      <c r="N607" s="14"/>
      <c r="O607" s="14"/>
      <c r="P607" s="14"/>
      <c r="Q607" s="15"/>
      <c r="R607" s="5"/>
      <c r="S607" s="5"/>
      <c r="T607" s="5"/>
      <c r="U607" s="5"/>
      <c r="V607" s="5"/>
      <c r="W607" s="5"/>
      <c r="X607" s="5"/>
      <c r="Y607" s="5"/>
      <c r="Z607" s="5"/>
      <c r="AA607" s="5"/>
      <c r="AB607" s="5"/>
      <c r="AC607" s="5"/>
      <c r="AD607" s="5"/>
    </row>
    <row r="608">
      <c r="A608" s="55"/>
      <c r="B608" s="56"/>
      <c r="C608" s="52"/>
      <c r="D608" s="9"/>
      <c r="E608" s="9"/>
      <c r="F608" s="9"/>
      <c r="G608" s="9"/>
      <c r="H608" s="9"/>
      <c r="I608" s="9"/>
      <c r="J608" s="9"/>
      <c r="K608" s="9"/>
      <c r="L608" s="9"/>
      <c r="M608" s="9"/>
      <c r="N608" s="9"/>
      <c r="O608" s="9"/>
      <c r="P608" s="9"/>
      <c r="Q608" s="10"/>
      <c r="R608" s="5"/>
      <c r="S608" s="5"/>
      <c r="T608" s="5"/>
      <c r="U608" s="5"/>
      <c r="V608" s="5"/>
      <c r="W608" s="5"/>
      <c r="X608" s="5"/>
      <c r="Y608" s="5"/>
      <c r="Z608" s="5"/>
      <c r="AA608" s="5"/>
      <c r="AB608" s="5"/>
      <c r="AC608" s="5"/>
      <c r="AD608" s="5"/>
    </row>
    <row r="609">
      <c r="A609" s="57"/>
      <c r="B609" s="59"/>
      <c r="C609" s="54"/>
      <c r="D609" s="14"/>
      <c r="E609" s="14"/>
      <c r="F609" s="14"/>
      <c r="G609" s="14"/>
      <c r="H609" s="14"/>
      <c r="I609" s="14"/>
      <c r="J609" s="14"/>
      <c r="K609" s="14"/>
      <c r="L609" s="14"/>
      <c r="M609" s="14"/>
      <c r="N609" s="14"/>
      <c r="O609" s="14"/>
      <c r="P609" s="14"/>
      <c r="Q609" s="15"/>
      <c r="R609" s="5"/>
      <c r="S609" s="5"/>
      <c r="T609" s="5"/>
      <c r="U609" s="5"/>
      <c r="V609" s="5"/>
      <c r="W609" s="5"/>
      <c r="X609" s="5"/>
      <c r="Y609" s="5"/>
      <c r="Z609" s="5"/>
      <c r="AA609" s="5"/>
      <c r="AB609" s="5"/>
      <c r="AC609" s="5"/>
      <c r="AD609" s="5"/>
    </row>
    <row r="610">
      <c r="A610" s="55"/>
      <c r="B610" s="56"/>
      <c r="C610" s="52"/>
      <c r="D610" s="9"/>
      <c r="E610" s="9"/>
      <c r="F610" s="9"/>
      <c r="G610" s="9"/>
      <c r="H610" s="9"/>
      <c r="I610" s="9"/>
      <c r="J610" s="9"/>
      <c r="K610" s="9"/>
      <c r="L610" s="9"/>
      <c r="M610" s="9"/>
      <c r="N610" s="9"/>
      <c r="O610" s="9"/>
      <c r="P610" s="9"/>
      <c r="Q610" s="10"/>
      <c r="R610" s="5"/>
      <c r="S610" s="5"/>
      <c r="T610" s="5"/>
      <c r="U610" s="5"/>
      <c r="V610" s="5"/>
      <c r="W610" s="5"/>
      <c r="X610" s="5"/>
      <c r="Y610" s="5"/>
      <c r="Z610" s="5"/>
      <c r="AA610" s="5"/>
      <c r="AB610" s="5"/>
      <c r="AC610" s="5"/>
      <c r="AD610" s="5"/>
    </row>
    <row r="611">
      <c r="A611" s="57"/>
      <c r="B611" s="59"/>
      <c r="C611" s="54"/>
      <c r="D611" s="14"/>
      <c r="E611" s="14"/>
      <c r="F611" s="14"/>
      <c r="G611" s="14"/>
      <c r="H611" s="14"/>
      <c r="I611" s="14"/>
      <c r="J611" s="14"/>
      <c r="K611" s="14"/>
      <c r="L611" s="14"/>
      <c r="M611" s="14"/>
      <c r="N611" s="14"/>
      <c r="O611" s="14"/>
      <c r="P611" s="14"/>
      <c r="Q611" s="15"/>
      <c r="R611" s="5"/>
      <c r="S611" s="5"/>
      <c r="T611" s="5"/>
      <c r="U611" s="5"/>
      <c r="V611" s="5"/>
      <c r="W611" s="5"/>
      <c r="X611" s="5"/>
      <c r="Y611" s="5"/>
      <c r="Z611" s="5"/>
      <c r="AA611" s="5"/>
      <c r="AB611" s="5"/>
      <c r="AC611" s="5"/>
      <c r="AD611" s="5"/>
    </row>
    <row r="612">
      <c r="A612" s="55"/>
      <c r="B612" s="56"/>
      <c r="C612" s="52"/>
      <c r="D612" s="9"/>
      <c r="E612" s="9"/>
      <c r="F612" s="9"/>
      <c r="G612" s="9"/>
      <c r="H612" s="9"/>
      <c r="I612" s="9"/>
      <c r="J612" s="9"/>
      <c r="K612" s="9"/>
      <c r="L612" s="9"/>
      <c r="M612" s="9"/>
      <c r="N612" s="9"/>
      <c r="O612" s="9"/>
      <c r="P612" s="9"/>
      <c r="Q612" s="10"/>
      <c r="R612" s="5"/>
      <c r="S612" s="5"/>
      <c r="T612" s="5"/>
      <c r="U612" s="5"/>
      <c r="V612" s="5"/>
      <c r="W612" s="5"/>
      <c r="X612" s="5"/>
      <c r="Y612" s="5"/>
      <c r="Z612" s="5"/>
      <c r="AA612" s="5"/>
      <c r="AB612" s="5"/>
      <c r="AC612" s="5"/>
      <c r="AD612" s="5"/>
    </row>
    <row r="613">
      <c r="A613" s="57"/>
      <c r="B613" s="59"/>
      <c r="C613" s="54"/>
      <c r="D613" s="14"/>
      <c r="E613" s="14"/>
      <c r="F613" s="14"/>
      <c r="G613" s="14"/>
      <c r="H613" s="14"/>
      <c r="I613" s="14"/>
      <c r="J613" s="14"/>
      <c r="K613" s="14"/>
      <c r="L613" s="14"/>
      <c r="M613" s="14"/>
      <c r="N613" s="14"/>
      <c r="O613" s="14"/>
      <c r="P613" s="14"/>
      <c r="Q613" s="15"/>
      <c r="R613" s="5"/>
      <c r="S613" s="5"/>
      <c r="T613" s="5"/>
      <c r="U613" s="5"/>
      <c r="V613" s="5"/>
      <c r="W613" s="5"/>
      <c r="X613" s="5"/>
      <c r="Y613" s="5"/>
      <c r="Z613" s="5"/>
      <c r="AA613" s="5"/>
      <c r="AB613" s="5"/>
      <c r="AC613" s="5"/>
      <c r="AD613" s="5"/>
    </row>
    <row r="614">
      <c r="A614" s="55"/>
      <c r="B614" s="56"/>
      <c r="C614" s="52"/>
      <c r="D614" s="9"/>
      <c r="E614" s="9"/>
      <c r="F614" s="9"/>
      <c r="G614" s="9"/>
      <c r="H614" s="9"/>
      <c r="I614" s="9"/>
      <c r="J614" s="9"/>
      <c r="K614" s="9"/>
      <c r="L614" s="9"/>
      <c r="M614" s="9"/>
      <c r="N614" s="9"/>
      <c r="O614" s="9"/>
      <c r="P614" s="9"/>
      <c r="Q614" s="10"/>
      <c r="R614" s="5"/>
      <c r="S614" s="5"/>
      <c r="T614" s="5"/>
      <c r="U614" s="5"/>
      <c r="V614" s="5"/>
      <c r="W614" s="5"/>
      <c r="X614" s="5"/>
      <c r="Y614" s="5"/>
      <c r="Z614" s="5"/>
      <c r="AA614" s="5"/>
      <c r="AB614" s="5"/>
      <c r="AC614" s="5"/>
      <c r="AD614" s="5"/>
    </row>
    <row r="615">
      <c r="A615" s="57"/>
      <c r="B615" s="59"/>
      <c r="C615" s="54"/>
      <c r="D615" s="14"/>
      <c r="E615" s="14"/>
      <c r="F615" s="14"/>
      <c r="G615" s="14"/>
      <c r="H615" s="14"/>
      <c r="I615" s="14"/>
      <c r="J615" s="14"/>
      <c r="K615" s="14"/>
      <c r="L615" s="14"/>
      <c r="M615" s="14"/>
      <c r="N615" s="14"/>
      <c r="O615" s="14"/>
      <c r="P615" s="14"/>
      <c r="Q615" s="15"/>
      <c r="R615" s="5"/>
      <c r="S615" s="5"/>
      <c r="T615" s="5"/>
      <c r="U615" s="5"/>
      <c r="V615" s="5"/>
      <c r="W615" s="5"/>
      <c r="X615" s="5"/>
      <c r="Y615" s="5"/>
      <c r="Z615" s="5"/>
      <c r="AA615" s="5"/>
      <c r="AB615" s="5"/>
      <c r="AC615" s="5"/>
      <c r="AD615" s="5"/>
    </row>
    <row r="616">
      <c r="A616" s="55"/>
      <c r="B616" s="56"/>
      <c r="C616" s="52"/>
      <c r="D616" s="9"/>
      <c r="E616" s="9"/>
      <c r="F616" s="9"/>
      <c r="G616" s="9"/>
      <c r="H616" s="9"/>
      <c r="I616" s="9"/>
      <c r="J616" s="9"/>
      <c r="K616" s="9"/>
      <c r="L616" s="9"/>
      <c r="M616" s="9"/>
      <c r="N616" s="9"/>
      <c r="O616" s="9"/>
      <c r="P616" s="9"/>
      <c r="Q616" s="10"/>
      <c r="R616" s="5"/>
      <c r="S616" s="5"/>
      <c r="T616" s="5"/>
      <c r="U616" s="5"/>
      <c r="V616" s="5"/>
      <c r="W616" s="5"/>
      <c r="X616" s="5"/>
      <c r="Y616" s="5"/>
      <c r="Z616" s="5"/>
      <c r="AA616" s="5"/>
      <c r="AB616" s="5"/>
      <c r="AC616" s="5"/>
      <c r="AD616" s="5"/>
    </row>
    <row r="617">
      <c r="A617" s="57"/>
      <c r="B617" s="59"/>
      <c r="C617" s="54"/>
      <c r="D617" s="14"/>
      <c r="E617" s="14"/>
      <c r="F617" s="14"/>
      <c r="G617" s="14"/>
      <c r="H617" s="14"/>
      <c r="I617" s="14"/>
      <c r="J617" s="14"/>
      <c r="K617" s="14"/>
      <c r="L617" s="14"/>
      <c r="M617" s="14"/>
      <c r="N617" s="14"/>
      <c r="O617" s="14"/>
      <c r="P617" s="14"/>
      <c r="Q617" s="15"/>
      <c r="R617" s="5"/>
      <c r="S617" s="5"/>
      <c r="T617" s="5"/>
      <c r="U617" s="5"/>
      <c r="V617" s="5"/>
      <c r="W617" s="5"/>
      <c r="X617" s="5"/>
      <c r="Y617" s="5"/>
      <c r="Z617" s="5"/>
      <c r="AA617" s="5"/>
      <c r="AB617" s="5"/>
      <c r="AC617" s="5"/>
      <c r="AD617" s="5"/>
    </row>
    <row r="618">
      <c r="A618" s="55"/>
      <c r="B618" s="56"/>
      <c r="C618" s="52"/>
      <c r="D618" s="9"/>
      <c r="E618" s="9"/>
      <c r="F618" s="9"/>
      <c r="G618" s="9"/>
      <c r="H618" s="9"/>
      <c r="I618" s="9"/>
      <c r="J618" s="9"/>
      <c r="K618" s="9"/>
      <c r="L618" s="9"/>
      <c r="M618" s="9"/>
      <c r="N618" s="9"/>
      <c r="O618" s="9"/>
      <c r="P618" s="9"/>
      <c r="Q618" s="10"/>
      <c r="R618" s="5"/>
      <c r="S618" s="5"/>
      <c r="T618" s="5"/>
      <c r="U618" s="5"/>
      <c r="V618" s="5"/>
      <c r="W618" s="5"/>
      <c r="X618" s="5"/>
      <c r="Y618" s="5"/>
      <c r="Z618" s="5"/>
      <c r="AA618" s="5"/>
      <c r="AB618" s="5"/>
      <c r="AC618" s="5"/>
      <c r="AD618" s="5"/>
    </row>
    <row r="619">
      <c r="A619" s="57"/>
      <c r="B619" s="59"/>
      <c r="C619" s="54"/>
      <c r="D619" s="14"/>
      <c r="E619" s="14"/>
      <c r="F619" s="14"/>
      <c r="G619" s="14"/>
      <c r="H619" s="14"/>
      <c r="I619" s="14"/>
      <c r="J619" s="14"/>
      <c r="K619" s="14"/>
      <c r="L619" s="14"/>
      <c r="M619" s="14"/>
      <c r="N619" s="14"/>
      <c r="O619" s="14"/>
      <c r="P619" s="14"/>
      <c r="Q619" s="15"/>
      <c r="R619" s="5"/>
      <c r="S619" s="5"/>
      <c r="T619" s="5"/>
      <c r="U619" s="5"/>
      <c r="V619" s="5"/>
      <c r="W619" s="5"/>
      <c r="X619" s="5"/>
      <c r="Y619" s="5"/>
      <c r="Z619" s="5"/>
      <c r="AA619" s="5"/>
      <c r="AB619" s="5"/>
      <c r="AC619" s="5"/>
      <c r="AD619" s="5"/>
    </row>
    <row r="620">
      <c r="A620" s="55"/>
      <c r="B620" s="56"/>
      <c r="C620" s="52"/>
      <c r="D620" s="9"/>
      <c r="E620" s="9"/>
      <c r="F620" s="9"/>
      <c r="G620" s="9"/>
      <c r="H620" s="9"/>
      <c r="I620" s="9"/>
      <c r="J620" s="9"/>
      <c r="K620" s="9"/>
      <c r="L620" s="9"/>
      <c r="M620" s="9"/>
      <c r="N620" s="9"/>
      <c r="O620" s="9"/>
      <c r="P620" s="9"/>
      <c r="Q620" s="10"/>
      <c r="R620" s="5"/>
      <c r="S620" s="5"/>
      <c r="T620" s="5"/>
      <c r="U620" s="5"/>
      <c r="V620" s="5"/>
      <c r="W620" s="5"/>
      <c r="X620" s="5"/>
      <c r="Y620" s="5"/>
      <c r="Z620" s="5"/>
      <c r="AA620" s="5"/>
      <c r="AB620" s="5"/>
      <c r="AC620" s="5"/>
      <c r="AD620" s="5"/>
    </row>
    <row r="621">
      <c r="A621" s="57"/>
      <c r="B621" s="59"/>
      <c r="C621" s="54"/>
      <c r="D621" s="14"/>
      <c r="E621" s="14"/>
      <c r="F621" s="14"/>
      <c r="G621" s="14"/>
      <c r="H621" s="14"/>
      <c r="I621" s="14"/>
      <c r="J621" s="14"/>
      <c r="K621" s="14"/>
      <c r="L621" s="14"/>
      <c r="M621" s="14"/>
      <c r="N621" s="14"/>
      <c r="O621" s="14"/>
      <c r="P621" s="14"/>
      <c r="Q621" s="15"/>
      <c r="R621" s="5"/>
      <c r="S621" s="5"/>
      <c r="T621" s="5"/>
      <c r="U621" s="5"/>
      <c r="V621" s="5"/>
      <c r="W621" s="5"/>
      <c r="X621" s="5"/>
      <c r="Y621" s="5"/>
      <c r="Z621" s="5"/>
      <c r="AA621" s="5"/>
      <c r="AB621" s="5"/>
      <c r="AC621" s="5"/>
      <c r="AD621" s="5"/>
    </row>
    <row r="622">
      <c r="A622" s="55"/>
      <c r="B622" s="56"/>
      <c r="C622" s="52"/>
      <c r="D622" s="9"/>
      <c r="E622" s="9"/>
      <c r="F622" s="9"/>
      <c r="G622" s="9"/>
      <c r="H622" s="9"/>
      <c r="I622" s="9"/>
      <c r="J622" s="9"/>
      <c r="K622" s="9"/>
      <c r="L622" s="9"/>
      <c r="M622" s="9"/>
      <c r="N622" s="9"/>
      <c r="O622" s="9"/>
      <c r="P622" s="9"/>
      <c r="Q622" s="10"/>
      <c r="R622" s="5"/>
      <c r="S622" s="5"/>
      <c r="T622" s="5"/>
      <c r="U622" s="5"/>
      <c r="V622" s="5"/>
      <c r="W622" s="5"/>
      <c r="X622" s="5"/>
      <c r="Y622" s="5"/>
      <c r="Z622" s="5"/>
      <c r="AA622" s="5"/>
      <c r="AB622" s="5"/>
      <c r="AC622" s="5"/>
      <c r="AD622" s="5"/>
    </row>
    <row r="623">
      <c r="A623" s="57"/>
      <c r="B623" s="59"/>
      <c r="C623" s="54"/>
      <c r="D623" s="14"/>
      <c r="E623" s="14"/>
      <c r="F623" s="14"/>
      <c r="G623" s="14"/>
      <c r="H623" s="14"/>
      <c r="I623" s="14"/>
      <c r="J623" s="14"/>
      <c r="K623" s="14"/>
      <c r="L623" s="14"/>
      <c r="M623" s="14"/>
      <c r="N623" s="14"/>
      <c r="O623" s="14"/>
      <c r="P623" s="14"/>
      <c r="Q623" s="15"/>
      <c r="R623" s="5"/>
      <c r="S623" s="5"/>
      <c r="T623" s="5"/>
      <c r="U623" s="5"/>
      <c r="V623" s="5"/>
      <c r="W623" s="5"/>
      <c r="X623" s="5"/>
      <c r="Y623" s="5"/>
      <c r="Z623" s="5"/>
      <c r="AA623" s="5"/>
      <c r="AB623" s="5"/>
      <c r="AC623" s="5"/>
      <c r="AD623" s="5"/>
    </row>
    <row r="624">
      <c r="A624" s="55"/>
      <c r="B624" s="56"/>
      <c r="C624" s="52"/>
      <c r="D624" s="9"/>
      <c r="E624" s="9"/>
      <c r="F624" s="9"/>
      <c r="G624" s="9"/>
      <c r="H624" s="9"/>
      <c r="I624" s="9"/>
      <c r="J624" s="9"/>
      <c r="K624" s="9"/>
      <c r="L624" s="9"/>
      <c r="M624" s="9"/>
      <c r="N624" s="9"/>
      <c r="O624" s="9"/>
      <c r="P624" s="9"/>
      <c r="Q624" s="10"/>
      <c r="R624" s="5"/>
      <c r="S624" s="5"/>
      <c r="T624" s="5"/>
      <c r="U624" s="5"/>
      <c r="V624" s="5"/>
      <c r="W624" s="5"/>
      <c r="X624" s="5"/>
      <c r="Y624" s="5"/>
      <c r="Z624" s="5"/>
      <c r="AA624" s="5"/>
      <c r="AB624" s="5"/>
      <c r="AC624" s="5"/>
      <c r="AD624" s="5"/>
    </row>
    <row r="625">
      <c r="A625" s="57"/>
      <c r="B625" s="59"/>
      <c r="C625" s="54"/>
      <c r="D625" s="14"/>
      <c r="E625" s="14"/>
      <c r="F625" s="14"/>
      <c r="G625" s="14"/>
      <c r="H625" s="14"/>
      <c r="I625" s="14"/>
      <c r="J625" s="14"/>
      <c r="K625" s="14"/>
      <c r="L625" s="14"/>
      <c r="M625" s="14"/>
      <c r="N625" s="14"/>
      <c r="O625" s="14"/>
      <c r="P625" s="14"/>
      <c r="Q625" s="15"/>
      <c r="R625" s="5"/>
      <c r="S625" s="5"/>
      <c r="T625" s="5"/>
      <c r="U625" s="5"/>
      <c r="V625" s="5"/>
      <c r="W625" s="5"/>
      <c r="X625" s="5"/>
      <c r="Y625" s="5"/>
      <c r="Z625" s="5"/>
      <c r="AA625" s="5"/>
      <c r="AB625" s="5"/>
      <c r="AC625" s="5"/>
      <c r="AD625" s="5"/>
    </row>
    <row r="626">
      <c r="A626" s="55"/>
      <c r="B626" s="56"/>
      <c r="C626" s="52"/>
      <c r="D626" s="9"/>
      <c r="E626" s="9"/>
      <c r="F626" s="9"/>
      <c r="G626" s="9"/>
      <c r="H626" s="9"/>
      <c r="I626" s="9"/>
      <c r="J626" s="9"/>
      <c r="K626" s="9"/>
      <c r="L626" s="9"/>
      <c r="M626" s="9"/>
      <c r="N626" s="9"/>
      <c r="O626" s="9"/>
      <c r="P626" s="9"/>
      <c r="Q626" s="10"/>
      <c r="R626" s="5"/>
      <c r="S626" s="5"/>
      <c r="T626" s="5"/>
      <c r="U626" s="5"/>
      <c r="V626" s="5"/>
      <c r="W626" s="5"/>
      <c r="X626" s="5"/>
      <c r="Y626" s="5"/>
      <c r="Z626" s="5"/>
      <c r="AA626" s="5"/>
      <c r="AB626" s="5"/>
      <c r="AC626" s="5"/>
      <c r="AD626" s="5"/>
    </row>
    <row r="627">
      <c r="A627" s="57"/>
      <c r="B627" s="59"/>
      <c r="C627" s="54"/>
      <c r="D627" s="14"/>
      <c r="E627" s="14"/>
      <c r="F627" s="14"/>
      <c r="G627" s="14"/>
      <c r="H627" s="14"/>
      <c r="I627" s="14"/>
      <c r="J627" s="14"/>
      <c r="K627" s="14"/>
      <c r="L627" s="14"/>
      <c r="M627" s="14"/>
      <c r="N627" s="14"/>
      <c r="O627" s="14"/>
      <c r="P627" s="14"/>
      <c r="Q627" s="15"/>
      <c r="R627" s="5"/>
      <c r="S627" s="5"/>
      <c r="T627" s="5"/>
      <c r="U627" s="5"/>
      <c r="V627" s="5"/>
      <c r="W627" s="5"/>
      <c r="X627" s="5"/>
      <c r="Y627" s="5"/>
      <c r="Z627" s="5"/>
      <c r="AA627" s="5"/>
      <c r="AB627" s="5"/>
      <c r="AC627" s="5"/>
      <c r="AD627" s="5"/>
    </row>
    <row r="628">
      <c r="A628" s="55"/>
      <c r="B628" s="56"/>
      <c r="C628" s="52"/>
      <c r="D628" s="9"/>
      <c r="E628" s="9"/>
      <c r="F628" s="9"/>
      <c r="G628" s="9"/>
      <c r="H628" s="9"/>
      <c r="I628" s="9"/>
      <c r="J628" s="9"/>
      <c r="K628" s="9"/>
      <c r="L628" s="9"/>
      <c r="M628" s="9"/>
      <c r="N628" s="9"/>
      <c r="O628" s="9"/>
      <c r="P628" s="9"/>
      <c r="Q628" s="10"/>
      <c r="R628" s="5"/>
      <c r="S628" s="5"/>
      <c r="T628" s="5"/>
      <c r="U628" s="5"/>
      <c r="V628" s="5"/>
      <c r="W628" s="5"/>
      <c r="X628" s="5"/>
      <c r="Y628" s="5"/>
      <c r="Z628" s="5"/>
      <c r="AA628" s="5"/>
      <c r="AB628" s="5"/>
      <c r="AC628" s="5"/>
      <c r="AD628" s="5"/>
    </row>
    <row r="629">
      <c r="A629" s="57"/>
      <c r="B629" s="59"/>
      <c r="C629" s="54"/>
      <c r="D629" s="14"/>
      <c r="E629" s="14"/>
      <c r="F629" s="14"/>
      <c r="G629" s="14"/>
      <c r="H629" s="14"/>
      <c r="I629" s="14"/>
      <c r="J629" s="14"/>
      <c r="K629" s="14"/>
      <c r="L629" s="14"/>
      <c r="M629" s="14"/>
      <c r="N629" s="14"/>
      <c r="O629" s="14"/>
      <c r="P629" s="14"/>
      <c r="Q629" s="15"/>
      <c r="R629" s="5"/>
      <c r="S629" s="5"/>
      <c r="T629" s="5"/>
      <c r="U629" s="5"/>
      <c r="V629" s="5"/>
      <c r="W629" s="5"/>
      <c r="X629" s="5"/>
      <c r="Y629" s="5"/>
      <c r="Z629" s="5"/>
      <c r="AA629" s="5"/>
      <c r="AB629" s="5"/>
      <c r="AC629" s="5"/>
      <c r="AD629" s="5"/>
    </row>
    <row r="630">
      <c r="A630" s="55"/>
      <c r="B630" s="56"/>
      <c r="C630" s="52"/>
      <c r="D630" s="9"/>
      <c r="E630" s="9"/>
      <c r="F630" s="9"/>
      <c r="G630" s="9"/>
      <c r="H630" s="9"/>
      <c r="I630" s="9"/>
      <c r="J630" s="9"/>
      <c r="K630" s="9"/>
      <c r="L630" s="9"/>
      <c r="M630" s="9"/>
      <c r="N630" s="9"/>
      <c r="O630" s="9"/>
      <c r="P630" s="9"/>
      <c r="Q630" s="10"/>
      <c r="R630" s="5"/>
      <c r="S630" s="5"/>
      <c r="T630" s="5"/>
      <c r="U630" s="5"/>
      <c r="V630" s="5"/>
      <c r="W630" s="5"/>
      <c r="X630" s="5"/>
      <c r="Y630" s="5"/>
      <c r="Z630" s="5"/>
      <c r="AA630" s="5"/>
      <c r="AB630" s="5"/>
      <c r="AC630" s="5"/>
      <c r="AD630" s="5"/>
    </row>
    <row r="631">
      <c r="A631" s="57"/>
      <c r="B631" s="59"/>
      <c r="C631" s="54"/>
      <c r="D631" s="14"/>
      <c r="E631" s="14"/>
      <c r="F631" s="14"/>
      <c r="G631" s="14"/>
      <c r="H631" s="14"/>
      <c r="I631" s="14"/>
      <c r="J631" s="14"/>
      <c r="K631" s="14"/>
      <c r="L631" s="14"/>
      <c r="M631" s="14"/>
      <c r="N631" s="14"/>
      <c r="O631" s="14"/>
      <c r="P631" s="14"/>
      <c r="Q631" s="15"/>
      <c r="R631" s="5"/>
      <c r="S631" s="5"/>
      <c r="T631" s="5"/>
      <c r="U631" s="5"/>
      <c r="V631" s="5"/>
      <c r="W631" s="5"/>
      <c r="X631" s="5"/>
      <c r="Y631" s="5"/>
      <c r="Z631" s="5"/>
      <c r="AA631" s="5"/>
      <c r="AB631" s="5"/>
      <c r="AC631" s="5"/>
      <c r="AD631" s="5"/>
    </row>
    <row r="632">
      <c r="A632" s="55"/>
      <c r="B632" s="56"/>
      <c r="C632" s="52"/>
      <c r="D632" s="9"/>
      <c r="E632" s="9"/>
      <c r="F632" s="9"/>
      <c r="G632" s="9"/>
      <c r="H632" s="9"/>
      <c r="I632" s="9"/>
      <c r="J632" s="9"/>
      <c r="K632" s="9"/>
      <c r="L632" s="9"/>
      <c r="M632" s="9"/>
      <c r="N632" s="9"/>
      <c r="O632" s="9"/>
      <c r="P632" s="9"/>
      <c r="Q632" s="10"/>
      <c r="R632" s="5"/>
      <c r="S632" s="5"/>
      <c r="T632" s="5"/>
      <c r="U632" s="5"/>
      <c r="V632" s="5"/>
      <c r="W632" s="5"/>
      <c r="X632" s="5"/>
      <c r="Y632" s="5"/>
      <c r="Z632" s="5"/>
      <c r="AA632" s="5"/>
      <c r="AB632" s="5"/>
      <c r="AC632" s="5"/>
      <c r="AD632" s="5"/>
    </row>
    <row r="633">
      <c r="A633" s="57"/>
      <c r="B633" s="59"/>
      <c r="C633" s="54"/>
      <c r="D633" s="14"/>
      <c r="E633" s="14"/>
      <c r="F633" s="14"/>
      <c r="G633" s="14"/>
      <c r="H633" s="14"/>
      <c r="I633" s="14"/>
      <c r="J633" s="14"/>
      <c r="K633" s="14"/>
      <c r="L633" s="14"/>
      <c r="M633" s="14"/>
      <c r="N633" s="14"/>
      <c r="O633" s="14"/>
      <c r="P633" s="14"/>
      <c r="Q633" s="15"/>
      <c r="R633" s="5"/>
      <c r="S633" s="5"/>
      <c r="T633" s="5"/>
      <c r="U633" s="5"/>
      <c r="V633" s="5"/>
      <c r="W633" s="5"/>
      <c r="X633" s="5"/>
      <c r="Y633" s="5"/>
      <c r="Z633" s="5"/>
      <c r="AA633" s="5"/>
      <c r="AB633" s="5"/>
      <c r="AC633" s="5"/>
      <c r="AD633" s="5"/>
    </row>
    <row r="634">
      <c r="A634" s="55"/>
      <c r="B634" s="56"/>
      <c r="C634" s="52"/>
      <c r="D634" s="9"/>
      <c r="E634" s="9"/>
      <c r="F634" s="9"/>
      <c r="G634" s="9"/>
      <c r="H634" s="9"/>
      <c r="I634" s="9"/>
      <c r="J634" s="9"/>
      <c r="K634" s="9"/>
      <c r="L634" s="9"/>
      <c r="M634" s="9"/>
      <c r="N634" s="9"/>
      <c r="O634" s="9"/>
      <c r="P634" s="9"/>
      <c r="Q634" s="10"/>
      <c r="R634" s="5"/>
      <c r="S634" s="5"/>
      <c r="T634" s="5"/>
      <c r="U634" s="5"/>
      <c r="V634" s="5"/>
      <c r="W634" s="5"/>
      <c r="X634" s="5"/>
      <c r="Y634" s="5"/>
      <c r="Z634" s="5"/>
      <c r="AA634" s="5"/>
      <c r="AB634" s="5"/>
      <c r="AC634" s="5"/>
      <c r="AD634" s="5"/>
    </row>
    <row r="635">
      <c r="A635" s="57"/>
      <c r="B635" s="59"/>
      <c r="C635" s="54"/>
      <c r="D635" s="14"/>
      <c r="E635" s="14"/>
      <c r="F635" s="14"/>
      <c r="G635" s="14"/>
      <c r="H635" s="14"/>
      <c r="I635" s="14"/>
      <c r="J635" s="14"/>
      <c r="K635" s="14"/>
      <c r="L635" s="14"/>
      <c r="M635" s="14"/>
      <c r="N635" s="14"/>
      <c r="O635" s="14"/>
      <c r="P635" s="14"/>
      <c r="Q635" s="15"/>
      <c r="R635" s="5"/>
      <c r="S635" s="5"/>
      <c r="T635" s="5"/>
      <c r="U635" s="5"/>
      <c r="V635" s="5"/>
      <c r="W635" s="5"/>
      <c r="X635" s="5"/>
      <c r="Y635" s="5"/>
      <c r="Z635" s="5"/>
      <c r="AA635" s="5"/>
      <c r="AB635" s="5"/>
      <c r="AC635" s="5"/>
      <c r="AD635" s="5"/>
    </row>
    <row r="636">
      <c r="A636" s="55"/>
      <c r="B636" s="56"/>
      <c r="C636" s="52"/>
      <c r="D636" s="9"/>
      <c r="E636" s="9"/>
      <c r="F636" s="9"/>
      <c r="G636" s="9"/>
      <c r="H636" s="9"/>
      <c r="I636" s="9"/>
      <c r="J636" s="9"/>
      <c r="K636" s="9"/>
      <c r="L636" s="9"/>
      <c r="M636" s="9"/>
      <c r="N636" s="9"/>
      <c r="O636" s="9"/>
      <c r="P636" s="9"/>
      <c r="Q636" s="10"/>
      <c r="R636" s="5"/>
      <c r="S636" s="5"/>
      <c r="T636" s="5"/>
      <c r="U636" s="5"/>
      <c r="V636" s="5"/>
      <c r="W636" s="5"/>
      <c r="X636" s="5"/>
      <c r="Y636" s="5"/>
      <c r="Z636" s="5"/>
      <c r="AA636" s="5"/>
      <c r="AB636" s="5"/>
      <c r="AC636" s="5"/>
      <c r="AD636" s="5"/>
    </row>
    <row r="637">
      <c r="A637" s="57"/>
      <c r="B637" s="59"/>
      <c r="C637" s="54"/>
      <c r="D637" s="14"/>
      <c r="E637" s="14"/>
      <c r="F637" s="14"/>
      <c r="G637" s="14"/>
      <c r="H637" s="14"/>
      <c r="I637" s="14"/>
      <c r="J637" s="14"/>
      <c r="K637" s="14"/>
      <c r="L637" s="14"/>
      <c r="M637" s="14"/>
      <c r="N637" s="14"/>
      <c r="O637" s="14"/>
      <c r="P637" s="14"/>
      <c r="Q637" s="15"/>
      <c r="R637" s="5"/>
      <c r="S637" s="5"/>
      <c r="T637" s="5"/>
      <c r="U637" s="5"/>
      <c r="V637" s="5"/>
      <c r="W637" s="5"/>
      <c r="X637" s="5"/>
      <c r="Y637" s="5"/>
      <c r="Z637" s="5"/>
      <c r="AA637" s="5"/>
      <c r="AB637" s="5"/>
      <c r="AC637" s="5"/>
      <c r="AD637" s="5"/>
    </row>
    <row r="638">
      <c r="A638" s="55"/>
      <c r="B638" s="56"/>
      <c r="C638" s="52"/>
      <c r="D638" s="9"/>
      <c r="E638" s="9"/>
      <c r="F638" s="9"/>
      <c r="G638" s="9"/>
      <c r="H638" s="9"/>
      <c r="I638" s="9"/>
      <c r="J638" s="9"/>
      <c r="K638" s="9"/>
      <c r="L638" s="9"/>
      <c r="M638" s="9"/>
      <c r="N638" s="9"/>
      <c r="O638" s="9"/>
      <c r="P638" s="9"/>
      <c r="Q638" s="10"/>
      <c r="R638" s="5"/>
      <c r="S638" s="5"/>
      <c r="T638" s="5"/>
      <c r="U638" s="5"/>
      <c r="V638" s="5"/>
      <c r="W638" s="5"/>
      <c r="X638" s="5"/>
      <c r="Y638" s="5"/>
      <c r="Z638" s="5"/>
      <c r="AA638" s="5"/>
      <c r="AB638" s="5"/>
      <c r="AC638" s="5"/>
      <c r="AD638" s="5"/>
    </row>
    <row r="639">
      <c r="A639" s="57"/>
      <c r="B639" s="59"/>
      <c r="C639" s="54"/>
      <c r="D639" s="14"/>
      <c r="E639" s="14"/>
      <c r="F639" s="14"/>
      <c r="G639" s="14"/>
      <c r="H639" s="14"/>
      <c r="I639" s="14"/>
      <c r="J639" s="14"/>
      <c r="K639" s="14"/>
      <c r="L639" s="14"/>
      <c r="M639" s="14"/>
      <c r="N639" s="14"/>
      <c r="O639" s="14"/>
      <c r="P639" s="14"/>
      <c r="Q639" s="15"/>
      <c r="R639" s="5"/>
      <c r="S639" s="5"/>
      <c r="T639" s="5"/>
      <c r="U639" s="5"/>
      <c r="V639" s="5"/>
      <c r="W639" s="5"/>
      <c r="X639" s="5"/>
      <c r="Y639" s="5"/>
      <c r="Z639" s="5"/>
      <c r="AA639" s="5"/>
      <c r="AB639" s="5"/>
      <c r="AC639" s="5"/>
      <c r="AD639" s="5"/>
    </row>
    <row r="640">
      <c r="A640" s="55"/>
      <c r="B640" s="56"/>
      <c r="C640" s="52"/>
      <c r="D640" s="9"/>
      <c r="E640" s="9"/>
      <c r="F640" s="9"/>
      <c r="G640" s="9"/>
      <c r="H640" s="9"/>
      <c r="I640" s="9"/>
      <c r="J640" s="9"/>
      <c r="K640" s="9"/>
      <c r="L640" s="9"/>
      <c r="M640" s="9"/>
      <c r="N640" s="9"/>
      <c r="O640" s="9"/>
      <c r="P640" s="9"/>
      <c r="Q640" s="10"/>
      <c r="R640" s="5"/>
      <c r="S640" s="5"/>
      <c r="T640" s="5"/>
      <c r="U640" s="5"/>
      <c r="V640" s="5"/>
      <c r="W640" s="5"/>
      <c r="X640" s="5"/>
      <c r="Y640" s="5"/>
      <c r="Z640" s="5"/>
      <c r="AA640" s="5"/>
      <c r="AB640" s="5"/>
      <c r="AC640" s="5"/>
      <c r="AD640" s="5"/>
    </row>
    <row r="641">
      <c r="A641" s="57"/>
      <c r="B641" s="59"/>
      <c r="C641" s="54"/>
      <c r="D641" s="14"/>
      <c r="E641" s="14"/>
      <c r="F641" s="14"/>
      <c r="G641" s="14"/>
      <c r="H641" s="14"/>
      <c r="I641" s="14"/>
      <c r="J641" s="14"/>
      <c r="K641" s="14"/>
      <c r="L641" s="14"/>
      <c r="M641" s="14"/>
      <c r="N641" s="14"/>
      <c r="O641" s="14"/>
      <c r="P641" s="14"/>
      <c r="Q641" s="15"/>
      <c r="R641" s="5"/>
      <c r="S641" s="5"/>
      <c r="T641" s="5"/>
      <c r="U641" s="5"/>
      <c r="V641" s="5"/>
      <c r="W641" s="5"/>
      <c r="X641" s="5"/>
      <c r="Y641" s="5"/>
      <c r="Z641" s="5"/>
      <c r="AA641" s="5"/>
      <c r="AB641" s="5"/>
      <c r="AC641" s="5"/>
      <c r="AD641" s="5"/>
    </row>
    <row r="642">
      <c r="A642" s="55"/>
      <c r="B642" s="56"/>
      <c r="C642" s="52"/>
      <c r="D642" s="9"/>
      <c r="E642" s="9"/>
      <c r="F642" s="9"/>
      <c r="G642" s="9"/>
      <c r="H642" s="9"/>
      <c r="I642" s="9"/>
      <c r="J642" s="9"/>
      <c r="K642" s="9"/>
      <c r="L642" s="9"/>
      <c r="M642" s="9"/>
      <c r="N642" s="9"/>
      <c r="O642" s="9"/>
      <c r="P642" s="9"/>
      <c r="Q642" s="10"/>
      <c r="R642" s="5"/>
      <c r="S642" s="5"/>
      <c r="T642" s="5"/>
      <c r="U642" s="5"/>
      <c r="V642" s="5"/>
      <c r="W642" s="5"/>
      <c r="X642" s="5"/>
      <c r="Y642" s="5"/>
      <c r="Z642" s="5"/>
      <c r="AA642" s="5"/>
      <c r="AB642" s="5"/>
      <c r="AC642" s="5"/>
      <c r="AD642" s="5"/>
    </row>
    <row r="643">
      <c r="A643" s="57"/>
      <c r="B643" s="59"/>
      <c r="C643" s="54"/>
      <c r="D643" s="14"/>
      <c r="E643" s="14"/>
      <c r="F643" s="14"/>
      <c r="G643" s="14"/>
      <c r="H643" s="14"/>
      <c r="I643" s="14"/>
      <c r="J643" s="14"/>
      <c r="K643" s="14"/>
      <c r="L643" s="14"/>
      <c r="M643" s="14"/>
      <c r="N643" s="14"/>
      <c r="O643" s="14"/>
      <c r="P643" s="14"/>
      <c r="Q643" s="15"/>
      <c r="R643" s="5"/>
      <c r="S643" s="5"/>
      <c r="T643" s="5"/>
      <c r="U643" s="5"/>
      <c r="V643" s="5"/>
      <c r="W643" s="5"/>
      <c r="X643" s="5"/>
      <c r="Y643" s="5"/>
      <c r="Z643" s="5"/>
      <c r="AA643" s="5"/>
      <c r="AB643" s="5"/>
      <c r="AC643" s="5"/>
      <c r="AD643" s="5"/>
    </row>
    <row r="644">
      <c r="A644" s="55"/>
      <c r="B644" s="56"/>
      <c r="C644" s="52"/>
      <c r="D644" s="9"/>
      <c r="E644" s="9"/>
      <c r="F644" s="9"/>
      <c r="G644" s="9"/>
      <c r="H644" s="9"/>
      <c r="I644" s="9"/>
      <c r="J644" s="9"/>
      <c r="K644" s="9"/>
      <c r="L644" s="9"/>
      <c r="M644" s="9"/>
      <c r="N644" s="9"/>
      <c r="O644" s="9"/>
      <c r="P644" s="9"/>
      <c r="Q644" s="10"/>
      <c r="R644" s="5"/>
      <c r="S644" s="5"/>
      <c r="T644" s="5"/>
      <c r="U644" s="5"/>
      <c r="V644" s="5"/>
      <c r="W644" s="5"/>
      <c r="X644" s="5"/>
      <c r="Y644" s="5"/>
      <c r="Z644" s="5"/>
      <c r="AA644" s="5"/>
      <c r="AB644" s="5"/>
      <c r="AC644" s="5"/>
      <c r="AD644" s="5"/>
    </row>
    <row r="645">
      <c r="A645" s="57"/>
      <c r="B645" s="59"/>
      <c r="C645" s="54"/>
      <c r="D645" s="14"/>
      <c r="E645" s="14"/>
      <c r="F645" s="14"/>
      <c r="G645" s="14"/>
      <c r="H645" s="14"/>
      <c r="I645" s="14"/>
      <c r="J645" s="14"/>
      <c r="K645" s="14"/>
      <c r="L645" s="14"/>
      <c r="M645" s="14"/>
      <c r="N645" s="14"/>
      <c r="O645" s="14"/>
      <c r="P645" s="14"/>
      <c r="Q645" s="15"/>
      <c r="R645" s="5"/>
      <c r="S645" s="5"/>
      <c r="T645" s="5"/>
      <c r="U645" s="5"/>
      <c r="V645" s="5"/>
      <c r="W645" s="5"/>
      <c r="X645" s="5"/>
      <c r="Y645" s="5"/>
      <c r="Z645" s="5"/>
      <c r="AA645" s="5"/>
      <c r="AB645" s="5"/>
      <c r="AC645" s="5"/>
      <c r="AD645" s="5"/>
    </row>
    <row r="646">
      <c r="A646" s="55"/>
      <c r="B646" s="56"/>
      <c r="C646" s="52"/>
      <c r="D646" s="9"/>
      <c r="E646" s="9"/>
      <c r="F646" s="9"/>
      <c r="G646" s="9"/>
      <c r="H646" s="9"/>
      <c r="I646" s="9"/>
      <c r="J646" s="9"/>
      <c r="K646" s="9"/>
      <c r="L646" s="9"/>
      <c r="M646" s="9"/>
      <c r="N646" s="9"/>
      <c r="O646" s="9"/>
      <c r="P646" s="9"/>
      <c r="Q646" s="10"/>
      <c r="R646" s="5"/>
      <c r="S646" s="5"/>
      <c r="T646" s="5"/>
      <c r="U646" s="5"/>
      <c r="V646" s="5"/>
      <c r="W646" s="5"/>
      <c r="X646" s="5"/>
      <c r="Y646" s="5"/>
      <c r="Z646" s="5"/>
      <c r="AA646" s="5"/>
      <c r="AB646" s="5"/>
      <c r="AC646" s="5"/>
      <c r="AD646" s="5"/>
    </row>
    <row r="647">
      <c r="A647" s="57"/>
      <c r="B647" s="59"/>
      <c r="C647" s="54"/>
      <c r="D647" s="14"/>
      <c r="E647" s="14"/>
      <c r="F647" s="14"/>
      <c r="G647" s="14"/>
      <c r="H647" s="14"/>
      <c r="I647" s="14"/>
      <c r="J647" s="14"/>
      <c r="K647" s="14"/>
      <c r="L647" s="14"/>
      <c r="M647" s="14"/>
      <c r="N647" s="14"/>
      <c r="O647" s="14"/>
      <c r="P647" s="14"/>
      <c r="Q647" s="15"/>
      <c r="R647" s="5"/>
      <c r="S647" s="5"/>
      <c r="T647" s="5"/>
      <c r="U647" s="5"/>
      <c r="V647" s="5"/>
      <c r="W647" s="5"/>
      <c r="X647" s="5"/>
      <c r="Y647" s="5"/>
      <c r="Z647" s="5"/>
      <c r="AA647" s="5"/>
      <c r="AB647" s="5"/>
      <c r="AC647" s="5"/>
      <c r="AD647" s="5"/>
    </row>
    <row r="648">
      <c r="A648" s="55"/>
      <c r="B648" s="56"/>
      <c r="C648" s="52"/>
      <c r="D648" s="9"/>
      <c r="E648" s="9"/>
      <c r="F648" s="9"/>
      <c r="G648" s="9"/>
      <c r="H648" s="9"/>
      <c r="I648" s="9"/>
      <c r="J648" s="9"/>
      <c r="K648" s="9"/>
      <c r="L648" s="9"/>
      <c r="M648" s="9"/>
      <c r="N648" s="9"/>
      <c r="O648" s="9"/>
      <c r="P648" s="9"/>
      <c r="Q648" s="10"/>
      <c r="R648" s="5"/>
      <c r="S648" s="5"/>
      <c r="T648" s="5"/>
      <c r="U648" s="5"/>
      <c r="V648" s="5"/>
      <c r="W648" s="5"/>
      <c r="X648" s="5"/>
      <c r="Y648" s="5"/>
      <c r="Z648" s="5"/>
      <c r="AA648" s="5"/>
      <c r="AB648" s="5"/>
      <c r="AC648" s="5"/>
      <c r="AD648" s="5"/>
    </row>
    <row r="649">
      <c r="A649" s="57"/>
      <c r="B649" s="59"/>
      <c r="C649" s="54"/>
      <c r="D649" s="14"/>
      <c r="E649" s="14"/>
      <c r="F649" s="14"/>
      <c r="G649" s="14"/>
      <c r="H649" s="14"/>
      <c r="I649" s="14"/>
      <c r="J649" s="14"/>
      <c r="K649" s="14"/>
      <c r="L649" s="14"/>
      <c r="M649" s="14"/>
      <c r="N649" s="14"/>
      <c r="O649" s="14"/>
      <c r="P649" s="14"/>
      <c r="Q649" s="15"/>
      <c r="R649" s="5"/>
      <c r="S649" s="5"/>
      <c r="T649" s="5"/>
      <c r="U649" s="5"/>
      <c r="V649" s="5"/>
      <c r="W649" s="5"/>
      <c r="X649" s="5"/>
      <c r="Y649" s="5"/>
      <c r="Z649" s="5"/>
      <c r="AA649" s="5"/>
      <c r="AB649" s="5"/>
      <c r="AC649" s="5"/>
      <c r="AD649" s="5"/>
    </row>
    <row r="650">
      <c r="A650" s="55"/>
      <c r="B650" s="56"/>
      <c r="C650" s="52"/>
      <c r="D650" s="9"/>
      <c r="E650" s="9"/>
      <c r="F650" s="9"/>
      <c r="G650" s="9"/>
      <c r="H650" s="9"/>
      <c r="I650" s="9"/>
      <c r="J650" s="9"/>
      <c r="K650" s="9"/>
      <c r="L650" s="9"/>
      <c r="M650" s="9"/>
      <c r="N650" s="9"/>
      <c r="O650" s="9"/>
      <c r="P650" s="9"/>
      <c r="Q650" s="10"/>
      <c r="R650" s="5"/>
      <c r="S650" s="5"/>
      <c r="T650" s="5"/>
      <c r="U650" s="5"/>
      <c r="V650" s="5"/>
      <c r="W650" s="5"/>
      <c r="X650" s="5"/>
      <c r="Y650" s="5"/>
      <c r="Z650" s="5"/>
      <c r="AA650" s="5"/>
      <c r="AB650" s="5"/>
      <c r="AC650" s="5"/>
      <c r="AD650" s="5"/>
    </row>
    <row r="651">
      <c r="A651" s="57"/>
      <c r="B651" s="59"/>
      <c r="C651" s="54"/>
      <c r="D651" s="14"/>
      <c r="E651" s="14"/>
      <c r="F651" s="14"/>
      <c r="G651" s="14"/>
      <c r="H651" s="14"/>
      <c r="I651" s="14"/>
      <c r="J651" s="14"/>
      <c r="K651" s="14"/>
      <c r="L651" s="14"/>
      <c r="M651" s="14"/>
      <c r="N651" s="14"/>
      <c r="O651" s="14"/>
      <c r="P651" s="14"/>
      <c r="Q651" s="15"/>
      <c r="R651" s="5"/>
      <c r="S651" s="5"/>
      <c r="T651" s="5"/>
      <c r="U651" s="5"/>
      <c r="V651" s="5"/>
      <c r="W651" s="5"/>
      <c r="X651" s="5"/>
      <c r="Y651" s="5"/>
      <c r="Z651" s="5"/>
      <c r="AA651" s="5"/>
      <c r="AB651" s="5"/>
      <c r="AC651" s="5"/>
      <c r="AD651" s="5"/>
    </row>
    <row r="652">
      <c r="A652" s="55"/>
      <c r="B652" s="56"/>
      <c r="C652" s="52"/>
      <c r="D652" s="9"/>
      <c r="E652" s="9"/>
      <c r="F652" s="9"/>
      <c r="G652" s="9"/>
      <c r="H652" s="9"/>
      <c r="I652" s="9"/>
      <c r="J652" s="9"/>
      <c r="K652" s="9"/>
      <c r="L652" s="9"/>
      <c r="M652" s="9"/>
      <c r="N652" s="9"/>
      <c r="O652" s="9"/>
      <c r="P652" s="9"/>
      <c r="Q652" s="10"/>
      <c r="R652" s="5"/>
      <c r="S652" s="5"/>
      <c r="T652" s="5"/>
      <c r="U652" s="5"/>
      <c r="V652" s="5"/>
      <c r="W652" s="5"/>
      <c r="X652" s="5"/>
      <c r="Y652" s="5"/>
      <c r="Z652" s="5"/>
      <c r="AA652" s="5"/>
      <c r="AB652" s="5"/>
      <c r="AC652" s="5"/>
      <c r="AD652" s="5"/>
    </row>
    <row r="653">
      <c r="A653" s="57"/>
      <c r="B653" s="59"/>
      <c r="C653" s="54"/>
      <c r="D653" s="14"/>
      <c r="E653" s="14"/>
      <c r="F653" s="14"/>
      <c r="G653" s="14"/>
      <c r="H653" s="14"/>
      <c r="I653" s="14"/>
      <c r="J653" s="14"/>
      <c r="K653" s="14"/>
      <c r="L653" s="14"/>
      <c r="M653" s="14"/>
      <c r="N653" s="14"/>
      <c r="O653" s="14"/>
      <c r="P653" s="14"/>
      <c r="Q653" s="15"/>
      <c r="R653" s="5"/>
      <c r="S653" s="5"/>
      <c r="T653" s="5"/>
      <c r="U653" s="5"/>
      <c r="V653" s="5"/>
      <c r="W653" s="5"/>
      <c r="X653" s="5"/>
      <c r="Y653" s="5"/>
      <c r="Z653" s="5"/>
      <c r="AA653" s="5"/>
      <c r="AB653" s="5"/>
      <c r="AC653" s="5"/>
      <c r="AD653" s="5"/>
    </row>
    <row r="654">
      <c r="A654" s="55"/>
      <c r="B654" s="56"/>
      <c r="C654" s="52"/>
      <c r="D654" s="9"/>
      <c r="E654" s="9"/>
      <c r="F654" s="9"/>
      <c r="G654" s="9"/>
      <c r="H654" s="9"/>
      <c r="I654" s="9"/>
      <c r="J654" s="9"/>
      <c r="K654" s="9"/>
      <c r="L654" s="9"/>
      <c r="M654" s="9"/>
      <c r="N654" s="9"/>
      <c r="O654" s="9"/>
      <c r="P654" s="9"/>
      <c r="Q654" s="10"/>
      <c r="R654" s="5"/>
      <c r="S654" s="5"/>
      <c r="T654" s="5"/>
      <c r="U654" s="5"/>
      <c r="V654" s="5"/>
      <c r="W654" s="5"/>
      <c r="X654" s="5"/>
      <c r="Y654" s="5"/>
      <c r="Z654" s="5"/>
      <c r="AA654" s="5"/>
      <c r="AB654" s="5"/>
      <c r="AC654" s="5"/>
      <c r="AD654" s="5"/>
    </row>
    <row r="655">
      <c r="A655" s="57"/>
      <c r="B655" s="59"/>
      <c r="C655" s="54"/>
      <c r="D655" s="14"/>
      <c r="E655" s="14"/>
      <c r="F655" s="14"/>
      <c r="G655" s="14"/>
      <c r="H655" s="14"/>
      <c r="I655" s="14"/>
      <c r="J655" s="14"/>
      <c r="K655" s="14"/>
      <c r="L655" s="14"/>
      <c r="M655" s="14"/>
      <c r="N655" s="14"/>
      <c r="O655" s="14"/>
      <c r="P655" s="14"/>
      <c r="Q655" s="15"/>
      <c r="R655" s="5"/>
      <c r="S655" s="5"/>
      <c r="T655" s="5"/>
      <c r="U655" s="5"/>
      <c r="V655" s="5"/>
      <c r="W655" s="5"/>
      <c r="X655" s="5"/>
      <c r="Y655" s="5"/>
      <c r="Z655" s="5"/>
      <c r="AA655" s="5"/>
      <c r="AB655" s="5"/>
      <c r="AC655" s="5"/>
      <c r="AD655" s="5"/>
    </row>
    <row r="656">
      <c r="A656" s="55"/>
      <c r="B656" s="56"/>
      <c r="C656" s="52"/>
      <c r="D656" s="9"/>
      <c r="E656" s="9"/>
      <c r="F656" s="9"/>
      <c r="G656" s="9"/>
      <c r="H656" s="9"/>
      <c r="I656" s="9"/>
      <c r="J656" s="9"/>
      <c r="K656" s="9"/>
      <c r="L656" s="9"/>
      <c r="M656" s="9"/>
      <c r="N656" s="9"/>
      <c r="O656" s="9"/>
      <c r="P656" s="9"/>
      <c r="Q656" s="10"/>
      <c r="R656" s="5"/>
      <c r="S656" s="5"/>
      <c r="T656" s="5"/>
      <c r="U656" s="5"/>
      <c r="V656" s="5"/>
      <c r="W656" s="5"/>
      <c r="X656" s="5"/>
      <c r="Y656" s="5"/>
      <c r="Z656" s="5"/>
      <c r="AA656" s="5"/>
      <c r="AB656" s="5"/>
      <c r="AC656" s="5"/>
      <c r="AD656" s="5"/>
    </row>
    <row r="657">
      <c r="A657" s="57"/>
      <c r="B657" s="59"/>
      <c r="C657" s="54"/>
      <c r="D657" s="14"/>
      <c r="E657" s="14"/>
      <c r="F657" s="14"/>
      <c r="G657" s="14"/>
      <c r="H657" s="14"/>
      <c r="I657" s="14"/>
      <c r="J657" s="14"/>
      <c r="K657" s="14"/>
      <c r="L657" s="14"/>
      <c r="M657" s="14"/>
      <c r="N657" s="14"/>
      <c r="O657" s="14"/>
      <c r="P657" s="14"/>
      <c r="Q657" s="15"/>
      <c r="R657" s="5"/>
      <c r="S657" s="5"/>
      <c r="T657" s="5"/>
      <c r="U657" s="5"/>
      <c r="V657" s="5"/>
      <c r="W657" s="5"/>
      <c r="X657" s="5"/>
      <c r="Y657" s="5"/>
      <c r="Z657" s="5"/>
      <c r="AA657" s="5"/>
      <c r="AB657" s="5"/>
      <c r="AC657" s="5"/>
      <c r="AD657" s="5"/>
    </row>
    <row r="658">
      <c r="A658" s="55"/>
      <c r="B658" s="56"/>
      <c r="C658" s="52"/>
      <c r="D658" s="9"/>
      <c r="E658" s="9"/>
      <c r="F658" s="9"/>
      <c r="G658" s="9"/>
      <c r="H658" s="9"/>
      <c r="I658" s="9"/>
      <c r="J658" s="9"/>
      <c r="K658" s="9"/>
      <c r="L658" s="9"/>
      <c r="M658" s="9"/>
      <c r="N658" s="9"/>
      <c r="O658" s="9"/>
      <c r="P658" s="9"/>
      <c r="Q658" s="10"/>
      <c r="R658" s="5"/>
      <c r="S658" s="5"/>
      <c r="T658" s="5"/>
      <c r="U658" s="5"/>
      <c r="V658" s="5"/>
      <c r="W658" s="5"/>
      <c r="X658" s="5"/>
      <c r="Y658" s="5"/>
      <c r="Z658" s="5"/>
      <c r="AA658" s="5"/>
      <c r="AB658" s="5"/>
      <c r="AC658" s="5"/>
      <c r="AD658" s="5"/>
    </row>
    <row r="659">
      <c r="A659" s="57"/>
      <c r="B659" s="59"/>
      <c r="C659" s="54"/>
      <c r="D659" s="14"/>
      <c r="E659" s="14"/>
      <c r="F659" s="14"/>
      <c r="G659" s="14"/>
      <c r="H659" s="14"/>
      <c r="I659" s="14"/>
      <c r="J659" s="14"/>
      <c r="K659" s="14"/>
      <c r="L659" s="14"/>
      <c r="M659" s="14"/>
      <c r="N659" s="14"/>
      <c r="O659" s="14"/>
      <c r="P659" s="14"/>
      <c r="Q659" s="15"/>
      <c r="R659" s="5"/>
      <c r="S659" s="5"/>
      <c r="T659" s="5"/>
      <c r="U659" s="5"/>
      <c r="V659" s="5"/>
      <c r="W659" s="5"/>
      <c r="X659" s="5"/>
      <c r="Y659" s="5"/>
      <c r="Z659" s="5"/>
      <c r="AA659" s="5"/>
      <c r="AB659" s="5"/>
      <c r="AC659" s="5"/>
      <c r="AD659" s="5"/>
    </row>
    <row r="660">
      <c r="A660" s="55"/>
      <c r="B660" s="56"/>
      <c r="C660" s="52"/>
      <c r="D660" s="9"/>
      <c r="E660" s="9"/>
      <c r="F660" s="9"/>
      <c r="G660" s="9"/>
      <c r="H660" s="9"/>
      <c r="I660" s="9"/>
      <c r="J660" s="9"/>
      <c r="K660" s="9"/>
      <c r="L660" s="9"/>
      <c r="M660" s="9"/>
      <c r="N660" s="9"/>
      <c r="O660" s="9"/>
      <c r="P660" s="9"/>
      <c r="Q660" s="10"/>
      <c r="R660" s="5"/>
      <c r="S660" s="5"/>
      <c r="T660" s="5"/>
      <c r="U660" s="5"/>
      <c r="V660" s="5"/>
      <c r="W660" s="5"/>
      <c r="X660" s="5"/>
      <c r="Y660" s="5"/>
      <c r="Z660" s="5"/>
      <c r="AA660" s="5"/>
      <c r="AB660" s="5"/>
      <c r="AC660" s="5"/>
      <c r="AD660" s="5"/>
    </row>
    <row r="661">
      <c r="A661" s="57"/>
      <c r="B661" s="59"/>
      <c r="C661" s="54"/>
      <c r="D661" s="14"/>
      <c r="E661" s="14"/>
      <c r="F661" s="14"/>
      <c r="G661" s="14"/>
      <c r="H661" s="14"/>
      <c r="I661" s="14"/>
      <c r="J661" s="14"/>
      <c r="K661" s="14"/>
      <c r="L661" s="14"/>
      <c r="M661" s="14"/>
      <c r="N661" s="14"/>
      <c r="O661" s="14"/>
      <c r="P661" s="14"/>
      <c r="Q661" s="15"/>
      <c r="R661" s="5"/>
      <c r="S661" s="5"/>
      <c r="T661" s="5"/>
      <c r="U661" s="5"/>
      <c r="V661" s="5"/>
      <c r="W661" s="5"/>
      <c r="X661" s="5"/>
      <c r="Y661" s="5"/>
      <c r="Z661" s="5"/>
      <c r="AA661" s="5"/>
      <c r="AB661" s="5"/>
      <c r="AC661" s="5"/>
      <c r="AD661" s="5"/>
    </row>
    <row r="662">
      <c r="A662" s="55"/>
      <c r="B662" s="56"/>
      <c r="C662" s="52"/>
      <c r="D662" s="9"/>
      <c r="E662" s="9"/>
      <c r="F662" s="9"/>
      <c r="G662" s="9"/>
      <c r="H662" s="9"/>
      <c r="I662" s="9"/>
      <c r="J662" s="9"/>
      <c r="K662" s="9"/>
      <c r="L662" s="9"/>
      <c r="M662" s="9"/>
      <c r="N662" s="9"/>
      <c r="O662" s="9"/>
      <c r="P662" s="9"/>
      <c r="Q662" s="10"/>
      <c r="R662" s="5"/>
      <c r="S662" s="5"/>
      <c r="T662" s="5"/>
      <c r="U662" s="5"/>
      <c r="V662" s="5"/>
      <c r="W662" s="5"/>
      <c r="X662" s="5"/>
      <c r="Y662" s="5"/>
      <c r="Z662" s="5"/>
      <c r="AA662" s="5"/>
      <c r="AB662" s="5"/>
      <c r="AC662" s="5"/>
      <c r="AD662" s="5"/>
    </row>
    <row r="663">
      <c r="A663" s="57"/>
      <c r="B663" s="59"/>
      <c r="C663" s="54"/>
      <c r="D663" s="14"/>
      <c r="E663" s="14"/>
      <c r="F663" s="14"/>
      <c r="G663" s="14"/>
      <c r="H663" s="14"/>
      <c r="I663" s="14"/>
      <c r="J663" s="14"/>
      <c r="K663" s="14"/>
      <c r="L663" s="14"/>
      <c r="M663" s="14"/>
      <c r="N663" s="14"/>
      <c r="O663" s="14"/>
      <c r="P663" s="14"/>
      <c r="Q663" s="15"/>
      <c r="R663" s="5"/>
      <c r="S663" s="5"/>
      <c r="T663" s="5"/>
      <c r="U663" s="5"/>
      <c r="V663" s="5"/>
      <c r="W663" s="5"/>
      <c r="X663" s="5"/>
      <c r="Y663" s="5"/>
      <c r="Z663" s="5"/>
      <c r="AA663" s="5"/>
      <c r="AB663" s="5"/>
      <c r="AC663" s="5"/>
      <c r="AD663" s="5"/>
    </row>
    <row r="664">
      <c r="A664" s="55"/>
      <c r="B664" s="56"/>
      <c r="C664" s="52"/>
      <c r="D664" s="9"/>
      <c r="E664" s="9"/>
      <c r="F664" s="9"/>
      <c r="G664" s="9"/>
      <c r="H664" s="9"/>
      <c r="I664" s="9"/>
      <c r="J664" s="9"/>
      <c r="K664" s="9"/>
      <c r="L664" s="9"/>
      <c r="M664" s="9"/>
      <c r="N664" s="9"/>
      <c r="O664" s="9"/>
      <c r="P664" s="9"/>
      <c r="Q664" s="10"/>
      <c r="R664" s="5"/>
      <c r="S664" s="5"/>
      <c r="T664" s="5"/>
      <c r="U664" s="5"/>
      <c r="V664" s="5"/>
      <c r="W664" s="5"/>
      <c r="X664" s="5"/>
      <c r="Y664" s="5"/>
      <c r="Z664" s="5"/>
      <c r="AA664" s="5"/>
      <c r="AB664" s="5"/>
      <c r="AC664" s="5"/>
      <c r="AD664" s="5"/>
    </row>
    <row r="665">
      <c r="A665" s="57"/>
      <c r="B665" s="59"/>
      <c r="C665" s="54"/>
      <c r="D665" s="14"/>
      <c r="E665" s="14"/>
      <c r="F665" s="14"/>
      <c r="G665" s="14"/>
      <c r="H665" s="14"/>
      <c r="I665" s="14"/>
      <c r="J665" s="14"/>
      <c r="K665" s="14"/>
      <c r="L665" s="14"/>
      <c r="M665" s="14"/>
      <c r="N665" s="14"/>
      <c r="O665" s="14"/>
      <c r="P665" s="14"/>
      <c r="Q665" s="15"/>
      <c r="R665" s="5"/>
      <c r="S665" s="5"/>
      <c r="T665" s="5"/>
      <c r="U665" s="5"/>
      <c r="V665" s="5"/>
      <c r="W665" s="5"/>
      <c r="X665" s="5"/>
      <c r="Y665" s="5"/>
      <c r="Z665" s="5"/>
      <c r="AA665" s="5"/>
      <c r="AB665" s="5"/>
      <c r="AC665" s="5"/>
      <c r="AD665" s="5"/>
    </row>
    <row r="666">
      <c r="A666" s="55"/>
      <c r="B666" s="56"/>
      <c r="C666" s="52"/>
      <c r="D666" s="9"/>
      <c r="E666" s="9"/>
      <c r="F666" s="9"/>
      <c r="G666" s="9"/>
      <c r="H666" s="9"/>
      <c r="I666" s="9"/>
      <c r="J666" s="9"/>
      <c r="K666" s="9"/>
      <c r="L666" s="9"/>
      <c r="M666" s="9"/>
      <c r="N666" s="9"/>
      <c r="O666" s="9"/>
      <c r="P666" s="9"/>
      <c r="Q666" s="10"/>
      <c r="R666" s="5"/>
      <c r="S666" s="5"/>
      <c r="T666" s="5"/>
      <c r="U666" s="5"/>
      <c r="V666" s="5"/>
      <c r="W666" s="5"/>
      <c r="X666" s="5"/>
      <c r="Y666" s="5"/>
      <c r="Z666" s="5"/>
      <c r="AA666" s="5"/>
      <c r="AB666" s="5"/>
      <c r="AC666" s="5"/>
      <c r="AD666" s="5"/>
    </row>
    <row r="667">
      <c r="A667" s="57"/>
      <c r="B667" s="59"/>
      <c r="C667" s="54"/>
      <c r="D667" s="14"/>
      <c r="E667" s="14"/>
      <c r="F667" s="14"/>
      <c r="G667" s="14"/>
      <c r="H667" s="14"/>
      <c r="I667" s="14"/>
      <c r="J667" s="14"/>
      <c r="K667" s="14"/>
      <c r="L667" s="14"/>
      <c r="M667" s="14"/>
      <c r="N667" s="14"/>
      <c r="O667" s="14"/>
      <c r="P667" s="14"/>
      <c r="Q667" s="15"/>
      <c r="R667" s="5"/>
      <c r="S667" s="5"/>
      <c r="T667" s="5"/>
      <c r="U667" s="5"/>
      <c r="V667" s="5"/>
      <c r="W667" s="5"/>
      <c r="X667" s="5"/>
      <c r="Y667" s="5"/>
      <c r="Z667" s="5"/>
      <c r="AA667" s="5"/>
      <c r="AB667" s="5"/>
      <c r="AC667" s="5"/>
      <c r="AD667" s="5"/>
    </row>
    <row r="668">
      <c r="A668" s="55"/>
      <c r="B668" s="56"/>
      <c r="C668" s="52"/>
      <c r="D668" s="9"/>
      <c r="E668" s="9"/>
      <c r="F668" s="9"/>
      <c r="G668" s="9"/>
      <c r="H668" s="9"/>
      <c r="I668" s="9"/>
      <c r="J668" s="9"/>
      <c r="K668" s="9"/>
      <c r="L668" s="9"/>
      <c r="M668" s="9"/>
      <c r="N668" s="9"/>
      <c r="O668" s="9"/>
      <c r="P668" s="9"/>
      <c r="Q668" s="10"/>
      <c r="R668" s="5"/>
      <c r="S668" s="5"/>
      <c r="T668" s="5"/>
      <c r="U668" s="5"/>
      <c r="V668" s="5"/>
      <c r="W668" s="5"/>
      <c r="X668" s="5"/>
      <c r="Y668" s="5"/>
      <c r="Z668" s="5"/>
      <c r="AA668" s="5"/>
      <c r="AB668" s="5"/>
      <c r="AC668" s="5"/>
      <c r="AD668" s="5"/>
    </row>
    <row r="669">
      <c r="A669" s="57"/>
      <c r="B669" s="59"/>
      <c r="C669" s="54"/>
      <c r="D669" s="14"/>
      <c r="E669" s="14"/>
      <c r="F669" s="14"/>
      <c r="G669" s="14"/>
      <c r="H669" s="14"/>
      <c r="I669" s="14"/>
      <c r="J669" s="14"/>
      <c r="K669" s="14"/>
      <c r="L669" s="14"/>
      <c r="M669" s="14"/>
      <c r="N669" s="14"/>
      <c r="O669" s="14"/>
      <c r="P669" s="14"/>
      <c r="Q669" s="15"/>
      <c r="R669" s="5"/>
      <c r="S669" s="5"/>
      <c r="T669" s="5"/>
      <c r="U669" s="5"/>
      <c r="V669" s="5"/>
      <c r="W669" s="5"/>
      <c r="X669" s="5"/>
      <c r="Y669" s="5"/>
      <c r="Z669" s="5"/>
      <c r="AA669" s="5"/>
      <c r="AB669" s="5"/>
      <c r="AC669" s="5"/>
      <c r="AD669" s="5"/>
    </row>
    <row r="670">
      <c r="A670" s="55"/>
      <c r="B670" s="56"/>
      <c r="C670" s="52"/>
      <c r="D670" s="9"/>
      <c r="E670" s="9"/>
      <c r="F670" s="9"/>
      <c r="G670" s="9"/>
      <c r="H670" s="9"/>
      <c r="I670" s="9"/>
      <c r="J670" s="9"/>
      <c r="K670" s="9"/>
      <c r="L670" s="9"/>
      <c r="M670" s="9"/>
      <c r="N670" s="9"/>
      <c r="O670" s="9"/>
      <c r="P670" s="9"/>
      <c r="Q670" s="10"/>
      <c r="R670" s="5"/>
      <c r="S670" s="5"/>
      <c r="T670" s="5"/>
      <c r="U670" s="5"/>
      <c r="V670" s="5"/>
      <c r="W670" s="5"/>
      <c r="X670" s="5"/>
      <c r="Y670" s="5"/>
      <c r="Z670" s="5"/>
      <c r="AA670" s="5"/>
      <c r="AB670" s="5"/>
      <c r="AC670" s="5"/>
      <c r="AD670" s="5"/>
    </row>
    <row r="671">
      <c r="A671" s="57"/>
      <c r="B671" s="59"/>
      <c r="C671" s="54"/>
      <c r="D671" s="14"/>
      <c r="E671" s="14"/>
      <c r="F671" s="14"/>
      <c r="G671" s="14"/>
      <c r="H671" s="14"/>
      <c r="I671" s="14"/>
      <c r="J671" s="14"/>
      <c r="K671" s="14"/>
      <c r="L671" s="14"/>
      <c r="M671" s="14"/>
      <c r="N671" s="14"/>
      <c r="O671" s="14"/>
      <c r="P671" s="14"/>
      <c r="Q671" s="15"/>
      <c r="R671" s="5"/>
      <c r="S671" s="5"/>
      <c r="T671" s="5"/>
      <c r="U671" s="5"/>
      <c r="V671" s="5"/>
      <c r="W671" s="5"/>
      <c r="X671" s="5"/>
      <c r="Y671" s="5"/>
      <c r="Z671" s="5"/>
      <c r="AA671" s="5"/>
      <c r="AB671" s="5"/>
      <c r="AC671" s="5"/>
      <c r="AD671" s="5"/>
    </row>
    <row r="672">
      <c r="A672" s="55"/>
      <c r="B672" s="56"/>
      <c r="C672" s="52"/>
      <c r="D672" s="9"/>
      <c r="E672" s="9"/>
      <c r="F672" s="9"/>
      <c r="G672" s="9"/>
      <c r="H672" s="9"/>
      <c r="I672" s="9"/>
      <c r="J672" s="9"/>
      <c r="K672" s="9"/>
      <c r="L672" s="9"/>
      <c r="M672" s="9"/>
      <c r="N672" s="9"/>
      <c r="O672" s="9"/>
      <c r="P672" s="9"/>
      <c r="Q672" s="10"/>
      <c r="R672" s="5"/>
      <c r="S672" s="5"/>
      <c r="T672" s="5"/>
      <c r="U672" s="5"/>
      <c r="V672" s="5"/>
      <c r="W672" s="5"/>
      <c r="X672" s="5"/>
      <c r="Y672" s="5"/>
      <c r="Z672" s="5"/>
      <c r="AA672" s="5"/>
      <c r="AB672" s="5"/>
      <c r="AC672" s="5"/>
      <c r="AD672" s="5"/>
    </row>
    <row r="673">
      <c r="A673" s="57"/>
      <c r="B673" s="59"/>
      <c r="C673" s="54"/>
      <c r="D673" s="14"/>
      <c r="E673" s="14"/>
      <c r="F673" s="14"/>
      <c r="G673" s="14"/>
      <c r="H673" s="14"/>
      <c r="I673" s="14"/>
      <c r="J673" s="14"/>
      <c r="K673" s="14"/>
      <c r="L673" s="14"/>
      <c r="M673" s="14"/>
      <c r="N673" s="14"/>
      <c r="O673" s="14"/>
      <c r="P673" s="14"/>
      <c r="Q673" s="15"/>
      <c r="R673" s="5"/>
      <c r="S673" s="5"/>
      <c r="T673" s="5"/>
      <c r="U673" s="5"/>
      <c r="V673" s="5"/>
      <c r="W673" s="5"/>
      <c r="X673" s="5"/>
      <c r="Y673" s="5"/>
      <c r="Z673" s="5"/>
      <c r="AA673" s="5"/>
      <c r="AB673" s="5"/>
      <c r="AC673" s="5"/>
      <c r="AD673" s="5"/>
    </row>
    <row r="674">
      <c r="A674" s="55"/>
      <c r="B674" s="56"/>
      <c r="C674" s="52"/>
      <c r="D674" s="9"/>
      <c r="E674" s="9"/>
      <c r="F674" s="9"/>
      <c r="G674" s="9"/>
      <c r="H674" s="9"/>
      <c r="I674" s="9"/>
      <c r="J674" s="9"/>
      <c r="K674" s="9"/>
      <c r="L674" s="9"/>
      <c r="M674" s="9"/>
      <c r="N674" s="9"/>
      <c r="O674" s="9"/>
      <c r="P674" s="9"/>
      <c r="Q674" s="10"/>
      <c r="R674" s="5"/>
      <c r="S674" s="5"/>
      <c r="T674" s="5"/>
      <c r="U674" s="5"/>
      <c r="V674" s="5"/>
      <c r="W674" s="5"/>
      <c r="X674" s="5"/>
      <c r="Y674" s="5"/>
      <c r="Z674" s="5"/>
      <c r="AA674" s="5"/>
      <c r="AB674" s="5"/>
      <c r="AC674" s="5"/>
      <c r="AD674" s="5"/>
    </row>
    <row r="675">
      <c r="A675" s="57"/>
      <c r="B675" s="59"/>
      <c r="C675" s="54"/>
      <c r="D675" s="14"/>
      <c r="E675" s="14"/>
      <c r="F675" s="14"/>
      <c r="G675" s="14"/>
      <c r="H675" s="14"/>
      <c r="I675" s="14"/>
      <c r="J675" s="14"/>
      <c r="K675" s="14"/>
      <c r="L675" s="14"/>
      <c r="M675" s="14"/>
      <c r="N675" s="14"/>
      <c r="O675" s="14"/>
      <c r="P675" s="14"/>
      <c r="Q675" s="15"/>
      <c r="R675" s="5"/>
      <c r="S675" s="5"/>
      <c r="T675" s="5"/>
      <c r="U675" s="5"/>
      <c r="V675" s="5"/>
      <c r="W675" s="5"/>
      <c r="X675" s="5"/>
      <c r="Y675" s="5"/>
      <c r="Z675" s="5"/>
      <c r="AA675" s="5"/>
      <c r="AB675" s="5"/>
      <c r="AC675" s="5"/>
      <c r="AD675" s="5"/>
    </row>
    <row r="676">
      <c r="A676" s="55"/>
      <c r="B676" s="56"/>
      <c r="C676" s="52"/>
      <c r="D676" s="9"/>
      <c r="E676" s="9"/>
      <c r="F676" s="9"/>
      <c r="G676" s="9"/>
      <c r="H676" s="9"/>
      <c r="I676" s="9"/>
      <c r="J676" s="9"/>
      <c r="K676" s="9"/>
      <c r="L676" s="9"/>
      <c r="M676" s="9"/>
      <c r="N676" s="9"/>
      <c r="O676" s="9"/>
      <c r="P676" s="9"/>
      <c r="Q676" s="10"/>
      <c r="R676" s="5"/>
      <c r="S676" s="5"/>
      <c r="T676" s="5"/>
      <c r="U676" s="5"/>
      <c r="V676" s="5"/>
      <c r="W676" s="5"/>
      <c r="X676" s="5"/>
      <c r="Y676" s="5"/>
      <c r="Z676" s="5"/>
      <c r="AA676" s="5"/>
      <c r="AB676" s="5"/>
      <c r="AC676" s="5"/>
      <c r="AD676" s="5"/>
    </row>
    <row r="677">
      <c r="A677" s="57"/>
      <c r="B677" s="59"/>
      <c r="C677" s="54"/>
      <c r="D677" s="14"/>
      <c r="E677" s="14"/>
      <c r="F677" s="14"/>
      <c r="G677" s="14"/>
      <c r="H677" s="14"/>
      <c r="I677" s="14"/>
      <c r="J677" s="14"/>
      <c r="K677" s="14"/>
      <c r="L677" s="14"/>
      <c r="M677" s="14"/>
      <c r="N677" s="14"/>
      <c r="O677" s="14"/>
      <c r="P677" s="14"/>
      <c r="Q677" s="15"/>
      <c r="R677" s="5"/>
      <c r="S677" s="5"/>
      <c r="T677" s="5"/>
      <c r="U677" s="5"/>
      <c r="V677" s="5"/>
      <c r="W677" s="5"/>
      <c r="X677" s="5"/>
      <c r="Y677" s="5"/>
      <c r="Z677" s="5"/>
      <c r="AA677" s="5"/>
      <c r="AB677" s="5"/>
      <c r="AC677" s="5"/>
      <c r="AD677" s="5"/>
    </row>
    <row r="678">
      <c r="A678" s="55"/>
      <c r="B678" s="56"/>
      <c r="C678" s="52"/>
      <c r="D678" s="9"/>
      <c r="E678" s="9"/>
      <c r="F678" s="9"/>
      <c r="G678" s="9"/>
      <c r="H678" s="9"/>
      <c r="I678" s="9"/>
      <c r="J678" s="9"/>
      <c r="K678" s="9"/>
      <c r="L678" s="9"/>
      <c r="M678" s="9"/>
      <c r="N678" s="9"/>
      <c r="O678" s="9"/>
      <c r="P678" s="9"/>
      <c r="Q678" s="10"/>
      <c r="R678" s="5"/>
      <c r="S678" s="5"/>
      <c r="T678" s="5"/>
      <c r="U678" s="5"/>
      <c r="V678" s="5"/>
      <c r="W678" s="5"/>
      <c r="X678" s="5"/>
      <c r="Y678" s="5"/>
      <c r="Z678" s="5"/>
      <c r="AA678" s="5"/>
      <c r="AB678" s="5"/>
      <c r="AC678" s="5"/>
      <c r="AD678" s="5"/>
    </row>
    <row r="679">
      <c r="A679" s="57"/>
      <c r="B679" s="59"/>
      <c r="C679" s="54"/>
      <c r="D679" s="14"/>
      <c r="E679" s="14"/>
      <c r="F679" s="14"/>
      <c r="G679" s="14"/>
      <c r="H679" s="14"/>
      <c r="I679" s="14"/>
      <c r="J679" s="14"/>
      <c r="K679" s="14"/>
      <c r="L679" s="14"/>
      <c r="M679" s="14"/>
      <c r="N679" s="14"/>
      <c r="O679" s="14"/>
      <c r="P679" s="14"/>
      <c r="Q679" s="15"/>
      <c r="R679" s="5"/>
      <c r="S679" s="5"/>
      <c r="T679" s="5"/>
      <c r="U679" s="5"/>
      <c r="V679" s="5"/>
      <c r="W679" s="5"/>
      <c r="X679" s="5"/>
      <c r="Y679" s="5"/>
      <c r="Z679" s="5"/>
      <c r="AA679" s="5"/>
      <c r="AB679" s="5"/>
      <c r="AC679" s="5"/>
      <c r="AD679" s="5"/>
    </row>
    <row r="680">
      <c r="A680" s="55"/>
      <c r="B680" s="56"/>
      <c r="C680" s="52"/>
      <c r="D680" s="9"/>
      <c r="E680" s="9"/>
      <c r="F680" s="9"/>
      <c r="G680" s="9"/>
      <c r="H680" s="9"/>
      <c r="I680" s="9"/>
      <c r="J680" s="9"/>
      <c r="K680" s="9"/>
      <c r="L680" s="9"/>
      <c r="M680" s="9"/>
      <c r="N680" s="9"/>
      <c r="O680" s="9"/>
      <c r="P680" s="9"/>
      <c r="Q680" s="10"/>
      <c r="R680" s="5"/>
      <c r="S680" s="5"/>
      <c r="T680" s="5"/>
      <c r="U680" s="5"/>
      <c r="V680" s="5"/>
      <c r="W680" s="5"/>
      <c r="X680" s="5"/>
      <c r="Y680" s="5"/>
      <c r="Z680" s="5"/>
      <c r="AA680" s="5"/>
      <c r="AB680" s="5"/>
      <c r="AC680" s="5"/>
      <c r="AD680" s="5"/>
    </row>
    <row r="681">
      <c r="A681" s="57"/>
      <c r="B681" s="59"/>
      <c r="C681" s="54"/>
      <c r="D681" s="14"/>
      <c r="E681" s="14"/>
      <c r="F681" s="14"/>
      <c r="G681" s="14"/>
      <c r="H681" s="14"/>
      <c r="I681" s="14"/>
      <c r="J681" s="14"/>
      <c r="K681" s="14"/>
      <c r="L681" s="14"/>
      <c r="M681" s="14"/>
      <c r="N681" s="14"/>
      <c r="O681" s="14"/>
      <c r="P681" s="14"/>
      <c r="Q681" s="15"/>
      <c r="R681" s="5"/>
      <c r="S681" s="5"/>
      <c r="T681" s="5"/>
      <c r="U681" s="5"/>
      <c r="V681" s="5"/>
      <c r="W681" s="5"/>
      <c r="X681" s="5"/>
      <c r="Y681" s="5"/>
      <c r="Z681" s="5"/>
      <c r="AA681" s="5"/>
      <c r="AB681" s="5"/>
      <c r="AC681" s="5"/>
      <c r="AD681" s="5"/>
    </row>
    <row r="682">
      <c r="A682" s="55"/>
      <c r="B682" s="56"/>
      <c r="C682" s="52"/>
      <c r="D682" s="9"/>
      <c r="E682" s="9"/>
      <c r="F682" s="9"/>
      <c r="G682" s="9"/>
      <c r="H682" s="9"/>
      <c r="I682" s="9"/>
      <c r="J682" s="9"/>
      <c r="K682" s="9"/>
      <c r="L682" s="9"/>
      <c r="M682" s="9"/>
      <c r="N682" s="9"/>
      <c r="O682" s="9"/>
      <c r="P682" s="9"/>
      <c r="Q682" s="10"/>
      <c r="R682" s="5"/>
      <c r="S682" s="5"/>
      <c r="T682" s="5"/>
      <c r="U682" s="5"/>
      <c r="V682" s="5"/>
      <c r="W682" s="5"/>
      <c r="X682" s="5"/>
      <c r="Y682" s="5"/>
      <c r="Z682" s="5"/>
      <c r="AA682" s="5"/>
      <c r="AB682" s="5"/>
      <c r="AC682" s="5"/>
      <c r="AD682" s="5"/>
    </row>
    <row r="683">
      <c r="A683" s="57"/>
      <c r="B683" s="59"/>
      <c r="C683" s="54"/>
      <c r="D683" s="14"/>
      <c r="E683" s="14"/>
      <c r="F683" s="14"/>
      <c r="G683" s="14"/>
      <c r="H683" s="14"/>
      <c r="I683" s="14"/>
      <c r="J683" s="14"/>
      <c r="K683" s="14"/>
      <c r="L683" s="14"/>
      <c r="M683" s="14"/>
      <c r="N683" s="14"/>
      <c r="O683" s="14"/>
      <c r="P683" s="14"/>
      <c r="Q683" s="15"/>
      <c r="R683" s="5"/>
      <c r="S683" s="5"/>
      <c r="T683" s="5"/>
      <c r="U683" s="5"/>
      <c r="V683" s="5"/>
      <c r="W683" s="5"/>
      <c r="X683" s="5"/>
      <c r="Y683" s="5"/>
      <c r="Z683" s="5"/>
      <c r="AA683" s="5"/>
      <c r="AB683" s="5"/>
      <c r="AC683" s="5"/>
      <c r="AD683" s="5"/>
    </row>
    <row r="684">
      <c r="A684" s="55"/>
      <c r="B684" s="56"/>
      <c r="C684" s="52"/>
      <c r="D684" s="9"/>
      <c r="E684" s="9"/>
      <c r="F684" s="9"/>
      <c r="G684" s="9"/>
      <c r="H684" s="9"/>
      <c r="I684" s="9"/>
      <c r="J684" s="9"/>
      <c r="K684" s="9"/>
      <c r="L684" s="9"/>
      <c r="M684" s="9"/>
      <c r="N684" s="9"/>
      <c r="O684" s="9"/>
      <c r="P684" s="9"/>
      <c r="Q684" s="10"/>
      <c r="R684" s="5"/>
      <c r="S684" s="5"/>
      <c r="T684" s="5"/>
      <c r="U684" s="5"/>
      <c r="V684" s="5"/>
      <c r="W684" s="5"/>
      <c r="X684" s="5"/>
      <c r="Y684" s="5"/>
      <c r="Z684" s="5"/>
      <c r="AA684" s="5"/>
      <c r="AB684" s="5"/>
      <c r="AC684" s="5"/>
      <c r="AD684" s="5"/>
    </row>
    <row r="685">
      <c r="A685" s="57"/>
      <c r="B685" s="59"/>
      <c r="C685" s="54"/>
      <c r="D685" s="14"/>
      <c r="E685" s="14"/>
      <c r="F685" s="14"/>
      <c r="G685" s="14"/>
      <c r="H685" s="14"/>
      <c r="I685" s="14"/>
      <c r="J685" s="14"/>
      <c r="K685" s="14"/>
      <c r="L685" s="14"/>
      <c r="M685" s="14"/>
      <c r="N685" s="14"/>
      <c r="O685" s="14"/>
      <c r="P685" s="14"/>
      <c r="Q685" s="15"/>
      <c r="R685" s="5"/>
      <c r="S685" s="5"/>
      <c r="T685" s="5"/>
      <c r="U685" s="5"/>
      <c r="V685" s="5"/>
      <c r="W685" s="5"/>
      <c r="X685" s="5"/>
      <c r="Y685" s="5"/>
      <c r="Z685" s="5"/>
      <c r="AA685" s="5"/>
      <c r="AB685" s="5"/>
      <c r="AC685" s="5"/>
      <c r="AD685" s="5"/>
    </row>
    <row r="686">
      <c r="A686" s="55"/>
      <c r="B686" s="56"/>
      <c r="C686" s="52"/>
      <c r="D686" s="9"/>
      <c r="E686" s="9"/>
      <c r="F686" s="9"/>
      <c r="G686" s="9"/>
      <c r="H686" s="9"/>
      <c r="I686" s="9"/>
      <c r="J686" s="9"/>
      <c r="K686" s="9"/>
      <c r="L686" s="9"/>
      <c r="M686" s="9"/>
      <c r="N686" s="9"/>
      <c r="O686" s="9"/>
      <c r="P686" s="9"/>
      <c r="Q686" s="10"/>
      <c r="R686" s="5"/>
      <c r="S686" s="5"/>
      <c r="T686" s="5"/>
      <c r="U686" s="5"/>
      <c r="V686" s="5"/>
      <c r="W686" s="5"/>
      <c r="X686" s="5"/>
      <c r="Y686" s="5"/>
      <c r="Z686" s="5"/>
      <c r="AA686" s="5"/>
      <c r="AB686" s="5"/>
      <c r="AC686" s="5"/>
      <c r="AD686" s="5"/>
    </row>
    <row r="687">
      <c r="A687" s="57"/>
      <c r="B687" s="59"/>
      <c r="C687" s="54"/>
      <c r="D687" s="14"/>
      <c r="E687" s="14"/>
      <c r="F687" s="14"/>
      <c r="G687" s="14"/>
      <c r="H687" s="14"/>
      <c r="I687" s="14"/>
      <c r="J687" s="14"/>
      <c r="K687" s="14"/>
      <c r="L687" s="14"/>
      <c r="M687" s="14"/>
      <c r="N687" s="14"/>
      <c r="O687" s="14"/>
      <c r="P687" s="14"/>
      <c r="Q687" s="15"/>
      <c r="R687" s="5"/>
      <c r="S687" s="5"/>
      <c r="T687" s="5"/>
      <c r="U687" s="5"/>
      <c r="V687" s="5"/>
      <c r="W687" s="5"/>
      <c r="X687" s="5"/>
      <c r="Y687" s="5"/>
      <c r="Z687" s="5"/>
      <c r="AA687" s="5"/>
      <c r="AB687" s="5"/>
      <c r="AC687" s="5"/>
      <c r="AD687" s="5"/>
    </row>
    <row r="688">
      <c r="A688" s="55"/>
      <c r="B688" s="56"/>
      <c r="C688" s="52"/>
      <c r="D688" s="9"/>
      <c r="E688" s="9"/>
      <c r="F688" s="9"/>
      <c r="G688" s="9"/>
      <c r="H688" s="9"/>
      <c r="I688" s="9"/>
      <c r="J688" s="9"/>
      <c r="K688" s="9"/>
      <c r="L688" s="9"/>
      <c r="M688" s="9"/>
      <c r="N688" s="9"/>
      <c r="O688" s="9"/>
      <c r="P688" s="9"/>
      <c r="Q688" s="10"/>
      <c r="R688" s="5"/>
      <c r="S688" s="5"/>
      <c r="T688" s="5"/>
      <c r="U688" s="5"/>
      <c r="V688" s="5"/>
      <c r="W688" s="5"/>
      <c r="X688" s="5"/>
      <c r="Y688" s="5"/>
      <c r="Z688" s="5"/>
      <c r="AA688" s="5"/>
      <c r="AB688" s="5"/>
      <c r="AC688" s="5"/>
      <c r="AD688" s="5"/>
    </row>
    <row r="689">
      <c r="A689" s="57"/>
      <c r="B689" s="59"/>
      <c r="C689" s="54"/>
      <c r="D689" s="14"/>
      <c r="E689" s="14"/>
      <c r="F689" s="14"/>
      <c r="G689" s="14"/>
      <c r="H689" s="14"/>
      <c r="I689" s="14"/>
      <c r="J689" s="14"/>
      <c r="K689" s="14"/>
      <c r="L689" s="14"/>
      <c r="M689" s="14"/>
      <c r="N689" s="14"/>
      <c r="O689" s="14"/>
      <c r="P689" s="14"/>
      <c r="Q689" s="15"/>
      <c r="R689" s="5"/>
      <c r="S689" s="5"/>
      <c r="T689" s="5"/>
      <c r="U689" s="5"/>
      <c r="V689" s="5"/>
      <c r="W689" s="5"/>
      <c r="X689" s="5"/>
      <c r="Y689" s="5"/>
      <c r="Z689" s="5"/>
      <c r="AA689" s="5"/>
      <c r="AB689" s="5"/>
      <c r="AC689" s="5"/>
      <c r="AD689" s="5"/>
    </row>
    <row r="690">
      <c r="A690" s="55"/>
      <c r="B690" s="56"/>
      <c r="C690" s="52"/>
      <c r="D690" s="9"/>
      <c r="E690" s="9"/>
      <c r="F690" s="9"/>
      <c r="G690" s="9"/>
      <c r="H690" s="9"/>
      <c r="I690" s="9"/>
      <c r="J690" s="9"/>
      <c r="K690" s="9"/>
      <c r="L690" s="9"/>
      <c r="M690" s="9"/>
      <c r="N690" s="9"/>
      <c r="O690" s="9"/>
      <c r="P690" s="9"/>
      <c r="Q690" s="10"/>
      <c r="R690" s="5"/>
      <c r="S690" s="5"/>
      <c r="T690" s="5"/>
      <c r="U690" s="5"/>
      <c r="V690" s="5"/>
      <c r="W690" s="5"/>
      <c r="X690" s="5"/>
      <c r="Y690" s="5"/>
      <c r="Z690" s="5"/>
      <c r="AA690" s="5"/>
      <c r="AB690" s="5"/>
      <c r="AC690" s="5"/>
      <c r="AD690" s="5"/>
    </row>
    <row r="691">
      <c r="A691" s="57"/>
      <c r="B691" s="59"/>
      <c r="C691" s="54"/>
      <c r="D691" s="14"/>
      <c r="E691" s="14"/>
      <c r="F691" s="14"/>
      <c r="G691" s="14"/>
      <c r="H691" s="14"/>
      <c r="I691" s="14"/>
      <c r="J691" s="14"/>
      <c r="K691" s="14"/>
      <c r="L691" s="14"/>
      <c r="M691" s="14"/>
      <c r="N691" s="14"/>
      <c r="O691" s="14"/>
      <c r="P691" s="14"/>
      <c r="Q691" s="15"/>
      <c r="R691" s="5"/>
      <c r="S691" s="5"/>
      <c r="T691" s="5"/>
      <c r="U691" s="5"/>
      <c r="V691" s="5"/>
      <c r="W691" s="5"/>
      <c r="X691" s="5"/>
      <c r="Y691" s="5"/>
      <c r="Z691" s="5"/>
      <c r="AA691" s="5"/>
      <c r="AB691" s="5"/>
      <c r="AC691" s="5"/>
      <c r="AD691" s="5"/>
    </row>
    <row r="692">
      <c r="A692" s="55"/>
      <c r="B692" s="56"/>
      <c r="C692" s="52"/>
      <c r="D692" s="9"/>
      <c r="E692" s="9"/>
      <c r="F692" s="9"/>
      <c r="G692" s="9"/>
      <c r="H692" s="9"/>
      <c r="I692" s="9"/>
      <c r="J692" s="9"/>
      <c r="K692" s="9"/>
      <c r="L692" s="9"/>
      <c r="M692" s="9"/>
      <c r="N692" s="9"/>
      <c r="O692" s="9"/>
      <c r="P692" s="9"/>
      <c r="Q692" s="10"/>
      <c r="R692" s="5"/>
      <c r="S692" s="5"/>
      <c r="T692" s="5"/>
      <c r="U692" s="5"/>
      <c r="V692" s="5"/>
      <c r="W692" s="5"/>
      <c r="X692" s="5"/>
      <c r="Y692" s="5"/>
      <c r="Z692" s="5"/>
      <c r="AA692" s="5"/>
      <c r="AB692" s="5"/>
      <c r="AC692" s="5"/>
      <c r="AD692" s="5"/>
    </row>
    <row r="693">
      <c r="A693" s="57"/>
      <c r="B693" s="59"/>
      <c r="C693" s="54"/>
      <c r="D693" s="14"/>
      <c r="E693" s="14"/>
      <c r="F693" s="14"/>
      <c r="G693" s="14"/>
      <c r="H693" s="14"/>
      <c r="I693" s="14"/>
      <c r="J693" s="14"/>
      <c r="K693" s="14"/>
      <c r="L693" s="14"/>
      <c r="M693" s="14"/>
      <c r="N693" s="14"/>
      <c r="O693" s="14"/>
      <c r="P693" s="14"/>
      <c r="Q693" s="15"/>
      <c r="R693" s="5"/>
      <c r="S693" s="5"/>
      <c r="T693" s="5"/>
      <c r="U693" s="5"/>
      <c r="V693" s="5"/>
      <c r="W693" s="5"/>
      <c r="X693" s="5"/>
      <c r="Y693" s="5"/>
      <c r="Z693" s="5"/>
      <c r="AA693" s="5"/>
      <c r="AB693" s="5"/>
      <c r="AC693" s="5"/>
      <c r="AD693" s="5"/>
    </row>
    <row r="694">
      <c r="A694" s="55"/>
      <c r="B694" s="56"/>
      <c r="C694" s="52"/>
      <c r="D694" s="9"/>
      <c r="E694" s="9"/>
      <c r="F694" s="9"/>
      <c r="G694" s="9"/>
      <c r="H694" s="9"/>
      <c r="I694" s="9"/>
      <c r="J694" s="9"/>
      <c r="K694" s="9"/>
      <c r="L694" s="9"/>
      <c r="M694" s="9"/>
      <c r="N694" s="9"/>
      <c r="O694" s="9"/>
      <c r="P694" s="9"/>
      <c r="Q694" s="10"/>
      <c r="R694" s="5"/>
      <c r="S694" s="5"/>
      <c r="T694" s="5"/>
      <c r="U694" s="5"/>
      <c r="V694" s="5"/>
      <c r="W694" s="5"/>
      <c r="X694" s="5"/>
      <c r="Y694" s="5"/>
      <c r="Z694" s="5"/>
      <c r="AA694" s="5"/>
      <c r="AB694" s="5"/>
      <c r="AC694" s="5"/>
      <c r="AD694" s="5"/>
    </row>
    <row r="695">
      <c r="A695" s="57"/>
      <c r="B695" s="59"/>
      <c r="C695" s="54"/>
      <c r="D695" s="14"/>
      <c r="E695" s="14"/>
      <c r="F695" s="14"/>
      <c r="G695" s="14"/>
      <c r="H695" s="14"/>
      <c r="I695" s="14"/>
      <c r="J695" s="14"/>
      <c r="K695" s="14"/>
      <c r="L695" s="14"/>
      <c r="M695" s="14"/>
      <c r="N695" s="14"/>
      <c r="O695" s="14"/>
      <c r="P695" s="14"/>
      <c r="Q695" s="15"/>
      <c r="R695" s="5"/>
      <c r="S695" s="5"/>
      <c r="T695" s="5"/>
      <c r="U695" s="5"/>
      <c r="V695" s="5"/>
      <c r="W695" s="5"/>
      <c r="X695" s="5"/>
      <c r="Y695" s="5"/>
      <c r="Z695" s="5"/>
      <c r="AA695" s="5"/>
      <c r="AB695" s="5"/>
      <c r="AC695" s="5"/>
      <c r="AD695" s="5"/>
    </row>
    <row r="696">
      <c r="A696" s="55"/>
      <c r="B696" s="56"/>
      <c r="C696" s="52"/>
      <c r="D696" s="9"/>
      <c r="E696" s="9"/>
      <c r="F696" s="9"/>
      <c r="G696" s="9"/>
      <c r="H696" s="9"/>
      <c r="I696" s="9"/>
      <c r="J696" s="9"/>
      <c r="K696" s="9"/>
      <c r="L696" s="9"/>
      <c r="M696" s="9"/>
      <c r="N696" s="9"/>
      <c r="O696" s="9"/>
      <c r="P696" s="9"/>
      <c r="Q696" s="10"/>
      <c r="R696" s="5"/>
      <c r="S696" s="5"/>
      <c r="T696" s="5"/>
      <c r="U696" s="5"/>
      <c r="V696" s="5"/>
      <c r="W696" s="5"/>
      <c r="X696" s="5"/>
      <c r="Y696" s="5"/>
      <c r="Z696" s="5"/>
      <c r="AA696" s="5"/>
      <c r="AB696" s="5"/>
      <c r="AC696" s="5"/>
      <c r="AD696" s="5"/>
    </row>
    <row r="697">
      <c r="A697" s="57"/>
      <c r="B697" s="59"/>
      <c r="C697" s="54"/>
      <c r="D697" s="14"/>
      <c r="E697" s="14"/>
      <c r="F697" s="14"/>
      <c r="G697" s="14"/>
      <c r="H697" s="14"/>
      <c r="I697" s="14"/>
      <c r="J697" s="14"/>
      <c r="K697" s="14"/>
      <c r="L697" s="14"/>
      <c r="M697" s="14"/>
      <c r="N697" s="14"/>
      <c r="O697" s="14"/>
      <c r="P697" s="14"/>
      <c r="Q697" s="15"/>
      <c r="R697" s="5"/>
      <c r="S697" s="5"/>
      <c r="T697" s="5"/>
      <c r="U697" s="5"/>
      <c r="V697" s="5"/>
      <c r="W697" s="5"/>
      <c r="X697" s="5"/>
      <c r="Y697" s="5"/>
      <c r="Z697" s="5"/>
      <c r="AA697" s="5"/>
      <c r="AB697" s="5"/>
      <c r="AC697" s="5"/>
      <c r="AD697" s="5"/>
    </row>
    <row r="698">
      <c r="A698" s="55"/>
      <c r="B698" s="56"/>
      <c r="C698" s="52"/>
      <c r="D698" s="9"/>
      <c r="E698" s="9"/>
      <c r="F698" s="9"/>
      <c r="G698" s="9"/>
      <c r="H698" s="9"/>
      <c r="I698" s="9"/>
      <c r="J698" s="9"/>
      <c r="K698" s="9"/>
      <c r="L698" s="9"/>
      <c r="M698" s="9"/>
      <c r="N698" s="9"/>
      <c r="O698" s="9"/>
      <c r="P698" s="9"/>
      <c r="Q698" s="10"/>
      <c r="R698" s="5"/>
      <c r="S698" s="5"/>
      <c r="T698" s="5"/>
      <c r="U698" s="5"/>
      <c r="V698" s="5"/>
      <c r="W698" s="5"/>
      <c r="X698" s="5"/>
      <c r="Y698" s="5"/>
      <c r="Z698" s="5"/>
      <c r="AA698" s="5"/>
      <c r="AB698" s="5"/>
      <c r="AC698" s="5"/>
      <c r="AD698" s="5"/>
    </row>
    <row r="699">
      <c r="A699" s="57"/>
      <c r="B699" s="59"/>
      <c r="C699" s="54"/>
      <c r="D699" s="14"/>
      <c r="E699" s="14"/>
      <c r="F699" s="14"/>
      <c r="G699" s="14"/>
      <c r="H699" s="14"/>
      <c r="I699" s="14"/>
      <c r="J699" s="14"/>
      <c r="K699" s="14"/>
      <c r="L699" s="14"/>
      <c r="M699" s="14"/>
      <c r="N699" s="14"/>
      <c r="O699" s="14"/>
      <c r="P699" s="14"/>
      <c r="Q699" s="15"/>
      <c r="R699" s="5"/>
      <c r="S699" s="5"/>
      <c r="T699" s="5"/>
      <c r="U699" s="5"/>
      <c r="V699" s="5"/>
      <c r="W699" s="5"/>
      <c r="X699" s="5"/>
      <c r="Y699" s="5"/>
      <c r="Z699" s="5"/>
      <c r="AA699" s="5"/>
      <c r="AB699" s="5"/>
      <c r="AC699" s="5"/>
      <c r="AD699" s="5"/>
    </row>
    <row r="700">
      <c r="A700" s="55"/>
      <c r="B700" s="56"/>
      <c r="C700" s="52"/>
      <c r="D700" s="9"/>
      <c r="E700" s="9"/>
      <c r="F700" s="9"/>
      <c r="G700" s="9"/>
      <c r="H700" s="9"/>
      <c r="I700" s="9"/>
      <c r="J700" s="9"/>
      <c r="K700" s="9"/>
      <c r="L700" s="9"/>
      <c r="M700" s="9"/>
      <c r="N700" s="9"/>
      <c r="O700" s="9"/>
      <c r="P700" s="9"/>
      <c r="Q700" s="10"/>
      <c r="R700" s="5"/>
      <c r="S700" s="5"/>
      <c r="T700" s="5"/>
      <c r="U700" s="5"/>
      <c r="V700" s="5"/>
      <c r="W700" s="5"/>
      <c r="X700" s="5"/>
      <c r="Y700" s="5"/>
      <c r="Z700" s="5"/>
      <c r="AA700" s="5"/>
      <c r="AB700" s="5"/>
      <c r="AC700" s="5"/>
      <c r="AD700" s="5"/>
    </row>
    <row r="701">
      <c r="A701" s="57"/>
      <c r="B701" s="59"/>
      <c r="C701" s="54"/>
      <c r="D701" s="14"/>
      <c r="E701" s="14"/>
      <c r="F701" s="14"/>
      <c r="G701" s="14"/>
      <c r="H701" s="14"/>
      <c r="I701" s="14"/>
      <c r="J701" s="14"/>
      <c r="K701" s="14"/>
      <c r="L701" s="14"/>
      <c r="M701" s="14"/>
      <c r="N701" s="14"/>
      <c r="O701" s="14"/>
      <c r="P701" s="14"/>
      <c r="Q701" s="15"/>
      <c r="R701" s="5"/>
      <c r="S701" s="5"/>
      <c r="T701" s="5"/>
      <c r="U701" s="5"/>
      <c r="V701" s="5"/>
      <c r="W701" s="5"/>
      <c r="X701" s="5"/>
      <c r="Y701" s="5"/>
      <c r="Z701" s="5"/>
      <c r="AA701" s="5"/>
      <c r="AB701" s="5"/>
      <c r="AC701" s="5"/>
      <c r="AD701" s="5"/>
    </row>
    <row r="702">
      <c r="A702" s="55"/>
      <c r="B702" s="56"/>
      <c r="C702" s="52"/>
      <c r="D702" s="9"/>
      <c r="E702" s="9"/>
      <c r="F702" s="9"/>
      <c r="G702" s="9"/>
      <c r="H702" s="9"/>
      <c r="I702" s="9"/>
      <c r="J702" s="9"/>
      <c r="K702" s="9"/>
      <c r="L702" s="9"/>
      <c r="M702" s="9"/>
      <c r="N702" s="9"/>
      <c r="O702" s="9"/>
      <c r="P702" s="9"/>
      <c r="Q702" s="10"/>
      <c r="R702" s="5"/>
      <c r="S702" s="5"/>
      <c r="T702" s="5"/>
      <c r="U702" s="5"/>
      <c r="V702" s="5"/>
      <c r="W702" s="5"/>
      <c r="X702" s="5"/>
      <c r="Y702" s="5"/>
      <c r="Z702" s="5"/>
      <c r="AA702" s="5"/>
      <c r="AB702" s="5"/>
      <c r="AC702" s="5"/>
      <c r="AD702" s="5"/>
    </row>
    <row r="703">
      <c r="A703" s="57"/>
      <c r="B703" s="59"/>
      <c r="C703" s="54"/>
      <c r="D703" s="14"/>
      <c r="E703" s="14"/>
      <c r="F703" s="14"/>
      <c r="G703" s="14"/>
      <c r="H703" s="14"/>
      <c r="I703" s="14"/>
      <c r="J703" s="14"/>
      <c r="K703" s="14"/>
      <c r="L703" s="14"/>
      <c r="M703" s="14"/>
      <c r="N703" s="14"/>
      <c r="O703" s="14"/>
      <c r="P703" s="14"/>
      <c r="Q703" s="15"/>
      <c r="R703" s="5"/>
      <c r="S703" s="5"/>
      <c r="T703" s="5"/>
      <c r="U703" s="5"/>
      <c r="V703" s="5"/>
      <c r="W703" s="5"/>
      <c r="X703" s="5"/>
      <c r="Y703" s="5"/>
      <c r="Z703" s="5"/>
      <c r="AA703" s="5"/>
      <c r="AB703" s="5"/>
      <c r="AC703" s="5"/>
      <c r="AD703" s="5"/>
    </row>
    <row r="704">
      <c r="A704" s="55"/>
      <c r="B704" s="56"/>
      <c r="C704" s="52"/>
      <c r="D704" s="9"/>
      <c r="E704" s="9"/>
      <c r="F704" s="9"/>
      <c r="G704" s="9"/>
      <c r="H704" s="9"/>
      <c r="I704" s="9"/>
      <c r="J704" s="9"/>
      <c r="K704" s="9"/>
      <c r="L704" s="9"/>
      <c r="M704" s="9"/>
      <c r="N704" s="9"/>
      <c r="O704" s="9"/>
      <c r="P704" s="9"/>
      <c r="Q704" s="10"/>
      <c r="R704" s="5"/>
      <c r="S704" s="5"/>
      <c r="T704" s="5"/>
      <c r="U704" s="5"/>
      <c r="V704" s="5"/>
      <c r="W704" s="5"/>
      <c r="X704" s="5"/>
      <c r="Y704" s="5"/>
      <c r="Z704" s="5"/>
      <c r="AA704" s="5"/>
      <c r="AB704" s="5"/>
      <c r="AC704" s="5"/>
      <c r="AD704" s="5"/>
    </row>
    <row r="705">
      <c r="A705" s="57"/>
      <c r="B705" s="59"/>
      <c r="C705" s="54"/>
      <c r="D705" s="14"/>
      <c r="E705" s="14"/>
      <c r="F705" s="14"/>
      <c r="G705" s="14"/>
      <c r="H705" s="14"/>
      <c r="I705" s="14"/>
      <c r="J705" s="14"/>
      <c r="K705" s="14"/>
      <c r="L705" s="14"/>
      <c r="M705" s="14"/>
      <c r="N705" s="14"/>
      <c r="O705" s="14"/>
      <c r="P705" s="14"/>
      <c r="Q705" s="15"/>
      <c r="R705" s="5"/>
      <c r="S705" s="5"/>
      <c r="T705" s="5"/>
      <c r="U705" s="5"/>
      <c r="V705" s="5"/>
      <c r="W705" s="5"/>
      <c r="X705" s="5"/>
      <c r="Y705" s="5"/>
      <c r="Z705" s="5"/>
      <c r="AA705" s="5"/>
      <c r="AB705" s="5"/>
      <c r="AC705" s="5"/>
      <c r="AD705" s="5"/>
    </row>
    <row r="706">
      <c r="A706" s="55"/>
      <c r="B706" s="56"/>
      <c r="C706" s="52"/>
      <c r="D706" s="9"/>
      <c r="E706" s="9"/>
      <c r="F706" s="9"/>
      <c r="G706" s="9"/>
      <c r="H706" s="9"/>
      <c r="I706" s="9"/>
      <c r="J706" s="9"/>
      <c r="K706" s="9"/>
      <c r="L706" s="9"/>
      <c r="M706" s="9"/>
      <c r="N706" s="9"/>
      <c r="O706" s="9"/>
      <c r="P706" s="9"/>
      <c r="Q706" s="10"/>
      <c r="R706" s="5"/>
      <c r="S706" s="5"/>
      <c r="T706" s="5"/>
      <c r="U706" s="5"/>
      <c r="V706" s="5"/>
      <c r="W706" s="5"/>
      <c r="X706" s="5"/>
      <c r="Y706" s="5"/>
      <c r="Z706" s="5"/>
      <c r="AA706" s="5"/>
      <c r="AB706" s="5"/>
      <c r="AC706" s="5"/>
      <c r="AD706" s="5"/>
    </row>
    <row r="707">
      <c r="A707" s="57"/>
      <c r="B707" s="59"/>
      <c r="C707" s="54"/>
      <c r="D707" s="14"/>
      <c r="E707" s="14"/>
      <c r="F707" s="14"/>
      <c r="G707" s="14"/>
      <c r="H707" s="14"/>
      <c r="I707" s="14"/>
      <c r="J707" s="14"/>
      <c r="K707" s="14"/>
      <c r="L707" s="14"/>
      <c r="M707" s="14"/>
      <c r="N707" s="14"/>
      <c r="O707" s="14"/>
      <c r="P707" s="14"/>
      <c r="Q707" s="15"/>
      <c r="R707" s="5"/>
      <c r="S707" s="5"/>
      <c r="T707" s="5"/>
      <c r="U707" s="5"/>
      <c r="V707" s="5"/>
      <c r="W707" s="5"/>
      <c r="X707" s="5"/>
      <c r="Y707" s="5"/>
      <c r="Z707" s="5"/>
      <c r="AA707" s="5"/>
      <c r="AB707" s="5"/>
      <c r="AC707" s="5"/>
      <c r="AD707" s="5"/>
    </row>
    <row r="708">
      <c r="A708" s="55"/>
      <c r="B708" s="56"/>
      <c r="C708" s="52"/>
      <c r="D708" s="9"/>
      <c r="E708" s="9"/>
      <c r="F708" s="9"/>
      <c r="G708" s="9"/>
      <c r="H708" s="9"/>
      <c r="I708" s="9"/>
      <c r="J708" s="9"/>
      <c r="K708" s="9"/>
      <c r="L708" s="9"/>
      <c r="M708" s="9"/>
      <c r="N708" s="9"/>
      <c r="O708" s="9"/>
      <c r="P708" s="9"/>
      <c r="Q708" s="10"/>
      <c r="R708" s="5"/>
      <c r="S708" s="5"/>
      <c r="T708" s="5"/>
      <c r="U708" s="5"/>
      <c r="V708" s="5"/>
      <c r="W708" s="5"/>
      <c r="X708" s="5"/>
      <c r="Y708" s="5"/>
      <c r="Z708" s="5"/>
      <c r="AA708" s="5"/>
      <c r="AB708" s="5"/>
      <c r="AC708" s="5"/>
      <c r="AD708" s="5"/>
    </row>
    <row r="709">
      <c r="A709" s="57"/>
      <c r="B709" s="59"/>
      <c r="C709" s="54"/>
      <c r="D709" s="14"/>
      <c r="E709" s="14"/>
      <c r="F709" s="14"/>
      <c r="G709" s="14"/>
      <c r="H709" s="14"/>
      <c r="I709" s="14"/>
      <c r="J709" s="14"/>
      <c r="K709" s="14"/>
      <c r="L709" s="14"/>
      <c r="M709" s="14"/>
      <c r="N709" s="14"/>
      <c r="O709" s="14"/>
      <c r="P709" s="14"/>
      <c r="Q709" s="15"/>
      <c r="R709" s="5"/>
      <c r="S709" s="5"/>
      <c r="T709" s="5"/>
      <c r="U709" s="5"/>
      <c r="V709" s="5"/>
      <c r="W709" s="5"/>
      <c r="X709" s="5"/>
      <c r="Y709" s="5"/>
      <c r="Z709" s="5"/>
      <c r="AA709" s="5"/>
      <c r="AB709" s="5"/>
      <c r="AC709" s="5"/>
      <c r="AD709" s="5"/>
    </row>
    <row r="710">
      <c r="A710" s="55"/>
      <c r="B710" s="56"/>
      <c r="C710" s="52"/>
      <c r="D710" s="9"/>
      <c r="E710" s="9"/>
      <c r="F710" s="9"/>
      <c r="G710" s="9"/>
      <c r="H710" s="9"/>
      <c r="I710" s="9"/>
      <c r="J710" s="9"/>
      <c r="K710" s="9"/>
      <c r="L710" s="9"/>
      <c r="M710" s="9"/>
      <c r="N710" s="9"/>
      <c r="O710" s="9"/>
      <c r="P710" s="9"/>
      <c r="Q710" s="10"/>
      <c r="R710" s="5"/>
      <c r="S710" s="5"/>
      <c r="T710" s="5"/>
      <c r="U710" s="5"/>
      <c r="V710" s="5"/>
      <c r="W710" s="5"/>
      <c r="X710" s="5"/>
      <c r="Y710" s="5"/>
      <c r="Z710" s="5"/>
      <c r="AA710" s="5"/>
      <c r="AB710" s="5"/>
      <c r="AC710" s="5"/>
      <c r="AD710" s="5"/>
    </row>
    <row r="711">
      <c r="A711" s="57"/>
      <c r="B711" s="59"/>
      <c r="C711" s="54"/>
      <c r="D711" s="14"/>
      <c r="E711" s="14"/>
      <c r="F711" s="14"/>
      <c r="G711" s="14"/>
      <c r="H711" s="14"/>
      <c r="I711" s="14"/>
      <c r="J711" s="14"/>
      <c r="K711" s="14"/>
      <c r="L711" s="14"/>
      <c r="M711" s="14"/>
      <c r="N711" s="14"/>
      <c r="O711" s="14"/>
      <c r="P711" s="14"/>
      <c r="Q711" s="15"/>
      <c r="R711" s="5"/>
      <c r="S711" s="5"/>
      <c r="T711" s="5"/>
      <c r="U711" s="5"/>
      <c r="V711" s="5"/>
      <c r="W711" s="5"/>
      <c r="X711" s="5"/>
      <c r="Y711" s="5"/>
      <c r="Z711" s="5"/>
      <c r="AA711" s="5"/>
      <c r="AB711" s="5"/>
      <c r="AC711" s="5"/>
      <c r="AD711" s="5"/>
    </row>
    <row r="712">
      <c r="A712" s="55"/>
      <c r="B712" s="56"/>
      <c r="C712" s="52"/>
      <c r="D712" s="9"/>
      <c r="E712" s="9"/>
      <c r="F712" s="9"/>
      <c r="G712" s="9"/>
      <c r="H712" s="9"/>
      <c r="I712" s="9"/>
      <c r="J712" s="9"/>
      <c r="K712" s="9"/>
      <c r="L712" s="9"/>
      <c r="M712" s="9"/>
      <c r="N712" s="9"/>
      <c r="O712" s="9"/>
      <c r="P712" s="9"/>
      <c r="Q712" s="10"/>
      <c r="R712" s="5"/>
      <c r="S712" s="5"/>
      <c r="T712" s="5"/>
      <c r="U712" s="5"/>
      <c r="V712" s="5"/>
      <c r="W712" s="5"/>
      <c r="X712" s="5"/>
      <c r="Y712" s="5"/>
      <c r="Z712" s="5"/>
      <c r="AA712" s="5"/>
      <c r="AB712" s="5"/>
      <c r="AC712" s="5"/>
      <c r="AD712" s="5"/>
    </row>
    <row r="713">
      <c r="A713" s="57"/>
      <c r="B713" s="59"/>
      <c r="C713" s="54"/>
      <c r="D713" s="14"/>
      <c r="E713" s="14"/>
      <c r="F713" s="14"/>
      <c r="G713" s="14"/>
      <c r="H713" s="14"/>
      <c r="I713" s="14"/>
      <c r="J713" s="14"/>
      <c r="K713" s="14"/>
      <c r="L713" s="14"/>
      <c r="M713" s="14"/>
      <c r="N713" s="14"/>
      <c r="O713" s="14"/>
      <c r="P713" s="14"/>
      <c r="Q713" s="15"/>
      <c r="R713" s="5"/>
      <c r="S713" s="5"/>
      <c r="T713" s="5"/>
      <c r="U713" s="5"/>
      <c r="V713" s="5"/>
      <c r="W713" s="5"/>
      <c r="X713" s="5"/>
      <c r="Y713" s="5"/>
      <c r="Z713" s="5"/>
      <c r="AA713" s="5"/>
      <c r="AB713" s="5"/>
      <c r="AC713" s="5"/>
      <c r="AD713" s="5"/>
    </row>
    <row r="714">
      <c r="A714" s="55"/>
      <c r="B714" s="56"/>
      <c r="C714" s="52"/>
      <c r="D714" s="9"/>
      <c r="E714" s="9"/>
      <c r="F714" s="9"/>
      <c r="G714" s="9"/>
      <c r="H714" s="9"/>
      <c r="I714" s="9"/>
      <c r="J714" s="9"/>
      <c r="K714" s="9"/>
      <c r="L714" s="9"/>
      <c r="M714" s="9"/>
      <c r="N714" s="9"/>
      <c r="O714" s="9"/>
      <c r="P714" s="9"/>
      <c r="Q714" s="10"/>
      <c r="R714" s="5"/>
      <c r="S714" s="5"/>
      <c r="T714" s="5"/>
      <c r="U714" s="5"/>
      <c r="V714" s="5"/>
      <c r="W714" s="5"/>
      <c r="X714" s="5"/>
      <c r="Y714" s="5"/>
      <c r="Z714" s="5"/>
      <c r="AA714" s="5"/>
      <c r="AB714" s="5"/>
      <c r="AC714" s="5"/>
      <c r="AD714" s="5"/>
    </row>
    <row r="715">
      <c r="A715" s="57"/>
      <c r="B715" s="59"/>
      <c r="C715" s="54"/>
      <c r="D715" s="14"/>
      <c r="E715" s="14"/>
      <c r="F715" s="14"/>
      <c r="G715" s="14"/>
      <c r="H715" s="14"/>
      <c r="I715" s="14"/>
      <c r="J715" s="14"/>
      <c r="K715" s="14"/>
      <c r="L715" s="14"/>
      <c r="M715" s="14"/>
      <c r="N715" s="14"/>
      <c r="O715" s="14"/>
      <c r="P715" s="14"/>
      <c r="Q715" s="15"/>
      <c r="R715" s="5"/>
      <c r="S715" s="5"/>
      <c r="T715" s="5"/>
      <c r="U715" s="5"/>
      <c r="V715" s="5"/>
      <c r="W715" s="5"/>
      <c r="X715" s="5"/>
      <c r="Y715" s="5"/>
      <c r="Z715" s="5"/>
      <c r="AA715" s="5"/>
      <c r="AB715" s="5"/>
      <c r="AC715" s="5"/>
      <c r="AD715" s="5"/>
    </row>
    <row r="716">
      <c r="A716" s="55"/>
      <c r="B716" s="56"/>
      <c r="C716" s="52"/>
      <c r="D716" s="9"/>
      <c r="E716" s="9"/>
      <c r="F716" s="9"/>
      <c r="G716" s="9"/>
      <c r="H716" s="9"/>
      <c r="I716" s="9"/>
      <c r="J716" s="9"/>
      <c r="K716" s="9"/>
      <c r="L716" s="9"/>
      <c r="M716" s="9"/>
      <c r="N716" s="9"/>
      <c r="O716" s="9"/>
      <c r="P716" s="9"/>
      <c r="Q716" s="10"/>
      <c r="R716" s="5"/>
      <c r="S716" s="5"/>
      <c r="T716" s="5"/>
      <c r="U716" s="5"/>
      <c r="V716" s="5"/>
      <c r="W716" s="5"/>
      <c r="X716" s="5"/>
      <c r="Y716" s="5"/>
      <c r="Z716" s="5"/>
      <c r="AA716" s="5"/>
      <c r="AB716" s="5"/>
      <c r="AC716" s="5"/>
      <c r="AD716" s="5"/>
    </row>
    <row r="717">
      <c r="A717" s="57"/>
      <c r="B717" s="59"/>
      <c r="C717" s="54"/>
      <c r="D717" s="14"/>
      <c r="E717" s="14"/>
      <c r="F717" s="14"/>
      <c r="G717" s="14"/>
      <c r="H717" s="14"/>
      <c r="I717" s="14"/>
      <c r="J717" s="14"/>
      <c r="K717" s="14"/>
      <c r="L717" s="14"/>
      <c r="M717" s="14"/>
      <c r="N717" s="14"/>
      <c r="O717" s="14"/>
      <c r="P717" s="14"/>
      <c r="Q717" s="15"/>
      <c r="R717" s="5"/>
      <c r="S717" s="5"/>
      <c r="T717" s="5"/>
      <c r="U717" s="5"/>
      <c r="V717" s="5"/>
      <c r="W717" s="5"/>
      <c r="X717" s="5"/>
      <c r="Y717" s="5"/>
      <c r="Z717" s="5"/>
      <c r="AA717" s="5"/>
      <c r="AB717" s="5"/>
      <c r="AC717" s="5"/>
      <c r="AD717" s="5"/>
    </row>
    <row r="718">
      <c r="A718" s="55"/>
      <c r="B718" s="56"/>
      <c r="C718" s="52"/>
      <c r="D718" s="9"/>
      <c r="E718" s="9"/>
      <c r="F718" s="9"/>
      <c r="G718" s="9"/>
      <c r="H718" s="9"/>
      <c r="I718" s="9"/>
      <c r="J718" s="9"/>
      <c r="K718" s="9"/>
      <c r="L718" s="9"/>
      <c r="M718" s="9"/>
      <c r="N718" s="9"/>
      <c r="O718" s="9"/>
      <c r="P718" s="9"/>
      <c r="Q718" s="10"/>
      <c r="R718" s="5"/>
      <c r="S718" s="5"/>
      <c r="T718" s="5"/>
      <c r="U718" s="5"/>
      <c r="V718" s="5"/>
      <c r="W718" s="5"/>
      <c r="X718" s="5"/>
      <c r="Y718" s="5"/>
      <c r="Z718" s="5"/>
      <c r="AA718" s="5"/>
      <c r="AB718" s="5"/>
      <c r="AC718" s="5"/>
      <c r="AD718" s="5"/>
    </row>
    <row r="719">
      <c r="A719" s="57"/>
      <c r="B719" s="59"/>
      <c r="C719" s="54"/>
      <c r="D719" s="14"/>
      <c r="E719" s="14"/>
      <c r="F719" s="14"/>
      <c r="G719" s="14"/>
      <c r="H719" s="14"/>
      <c r="I719" s="14"/>
      <c r="J719" s="14"/>
      <c r="K719" s="14"/>
      <c r="L719" s="14"/>
      <c r="M719" s="14"/>
      <c r="N719" s="14"/>
      <c r="O719" s="14"/>
      <c r="P719" s="14"/>
      <c r="Q719" s="15"/>
      <c r="R719" s="5"/>
      <c r="S719" s="5"/>
      <c r="T719" s="5"/>
      <c r="U719" s="5"/>
      <c r="V719" s="5"/>
      <c r="W719" s="5"/>
      <c r="X719" s="5"/>
      <c r="Y719" s="5"/>
      <c r="Z719" s="5"/>
      <c r="AA719" s="5"/>
      <c r="AB719" s="5"/>
      <c r="AC719" s="5"/>
      <c r="AD719" s="5"/>
    </row>
    <row r="720">
      <c r="A720" s="55"/>
      <c r="B720" s="56"/>
      <c r="C720" s="52"/>
      <c r="D720" s="9"/>
      <c r="E720" s="9"/>
      <c r="F720" s="9"/>
      <c r="G720" s="9"/>
      <c r="H720" s="9"/>
      <c r="I720" s="9"/>
      <c r="J720" s="9"/>
      <c r="K720" s="9"/>
      <c r="L720" s="9"/>
      <c r="M720" s="9"/>
      <c r="N720" s="9"/>
      <c r="O720" s="9"/>
      <c r="P720" s="9"/>
      <c r="Q720" s="10"/>
      <c r="R720" s="5"/>
      <c r="S720" s="5"/>
      <c r="T720" s="5"/>
      <c r="U720" s="5"/>
      <c r="V720" s="5"/>
      <c r="W720" s="5"/>
      <c r="X720" s="5"/>
      <c r="Y720" s="5"/>
      <c r="Z720" s="5"/>
      <c r="AA720" s="5"/>
      <c r="AB720" s="5"/>
      <c r="AC720" s="5"/>
      <c r="AD720" s="5"/>
    </row>
    <row r="721">
      <c r="A721" s="57"/>
      <c r="B721" s="59"/>
      <c r="C721" s="54"/>
      <c r="D721" s="14"/>
      <c r="E721" s="14"/>
      <c r="F721" s="14"/>
      <c r="G721" s="14"/>
      <c r="H721" s="14"/>
      <c r="I721" s="14"/>
      <c r="J721" s="14"/>
      <c r="K721" s="14"/>
      <c r="L721" s="14"/>
      <c r="M721" s="14"/>
      <c r="N721" s="14"/>
      <c r="O721" s="14"/>
      <c r="P721" s="14"/>
      <c r="Q721" s="15"/>
      <c r="R721" s="5"/>
      <c r="S721" s="5"/>
      <c r="T721" s="5"/>
      <c r="U721" s="5"/>
      <c r="V721" s="5"/>
      <c r="W721" s="5"/>
      <c r="X721" s="5"/>
      <c r="Y721" s="5"/>
      <c r="Z721" s="5"/>
      <c r="AA721" s="5"/>
      <c r="AB721" s="5"/>
      <c r="AC721" s="5"/>
      <c r="AD721" s="5"/>
    </row>
    <row r="722">
      <c r="A722" s="55"/>
      <c r="B722" s="56"/>
      <c r="C722" s="52"/>
      <c r="D722" s="9"/>
      <c r="E722" s="9"/>
      <c r="F722" s="9"/>
      <c r="G722" s="9"/>
      <c r="H722" s="9"/>
      <c r="I722" s="9"/>
      <c r="J722" s="9"/>
      <c r="K722" s="9"/>
      <c r="L722" s="9"/>
      <c r="M722" s="9"/>
      <c r="N722" s="9"/>
      <c r="O722" s="9"/>
      <c r="P722" s="9"/>
      <c r="Q722" s="10"/>
      <c r="R722" s="5"/>
      <c r="S722" s="5"/>
      <c r="T722" s="5"/>
      <c r="U722" s="5"/>
      <c r="V722" s="5"/>
      <c r="W722" s="5"/>
      <c r="X722" s="5"/>
      <c r="Y722" s="5"/>
      <c r="Z722" s="5"/>
      <c r="AA722" s="5"/>
      <c r="AB722" s="5"/>
      <c r="AC722" s="5"/>
      <c r="AD722" s="5"/>
    </row>
    <row r="723">
      <c r="A723" s="57"/>
      <c r="B723" s="59"/>
      <c r="C723" s="54"/>
      <c r="D723" s="14"/>
      <c r="E723" s="14"/>
      <c r="F723" s="14"/>
      <c r="G723" s="14"/>
      <c r="H723" s="14"/>
      <c r="I723" s="14"/>
      <c r="J723" s="14"/>
      <c r="K723" s="14"/>
      <c r="L723" s="14"/>
      <c r="M723" s="14"/>
      <c r="N723" s="14"/>
      <c r="O723" s="14"/>
      <c r="P723" s="14"/>
      <c r="Q723" s="15"/>
      <c r="R723" s="5"/>
      <c r="S723" s="5"/>
      <c r="T723" s="5"/>
      <c r="U723" s="5"/>
      <c r="V723" s="5"/>
      <c r="W723" s="5"/>
      <c r="X723" s="5"/>
      <c r="Y723" s="5"/>
      <c r="Z723" s="5"/>
      <c r="AA723" s="5"/>
      <c r="AB723" s="5"/>
      <c r="AC723" s="5"/>
      <c r="AD723" s="5"/>
    </row>
    <row r="724">
      <c r="A724" s="55"/>
      <c r="B724" s="56"/>
      <c r="C724" s="52"/>
      <c r="D724" s="9"/>
      <c r="E724" s="9"/>
      <c r="F724" s="9"/>
      <c r="G724" s="9"/>
      <c r="H724" s="9"/>
      <c r="I724" s="9"/>
      <c r="J724" s="9"/>
      <c r="K724" s="9"/>
      <c r="L724" s="9"/>
      <c r="M724" s="9"/>
      <c r="N724" s="9"/>
      <c r="O724" s="9"/>
      <c r="P724" s="9"/>
      <c r="Q724" s="10"/>
      <c r="R724" s="5"/>
      <c r="S724" s="5"/>
      <c r="T724" s="5"/>
      <c r="U724" s="5"/>
      <c r="V724" s="5"/>
      <c r="W724" s="5"/>
      <c r="X724" s="5"/>
      <c r="Y724" s="5"/>
      <c r="Z724" s="5"/>
      <c r="AA724" s="5"/>
      <c r="AB724" s="5"/>
      <c r="AC724" s="5"/>
      <c r="AD724" s="5"/>
    </row>
    <row r="725">
      <c r="A725" s="57"/>
      <c r="B725" s="59"/>
      <c r="C725" s="54"/>
      <c r="D725" s="14"/>
      <c r="E725" s="14"/>
      <c r="F725" s="14"/>
      <c r="G725" s="14"/>
      <c r="H725" s="14"/>
      <c r="I725" s="14"/>
      <c r="J725" s="14"/>
      <c r="K725" s="14"/>
      <c r="L725" s="14"/>
      <c r="M725" s="14"/>
      <c r="N725" s="14"/>
      <c r="O725" s="14"/>
      <c r="P725" s="14"/>
      <c r="Q725" s="15"/>
      <c r="R725" s="5"/>
      <c r="S725" s="5"/>
      <c r="T725" s="5"/>
      <c r="U725" s="5"/>
      <c r="V725" s="5"/>
      <c r="W725" s="5"/>
      <c r="X725" s="5"/>
      <c r="Y725" s="5"/>
      <c r="Z725" s="5"/>
      <c r="AA725" s="5"/>
      <c r="AB725" s="5"/>
      <c r="AC725" s="5"/>
      <c r="AD725" s="5"/>
    </row>
    <row r="726">
      <c r="A726" s="55"/>
      <c r="B726" s="56"/>
      <c r="C726" s="52"/>
      <c r="D726" s="9"/>
      <c r="E726" s="9"/>
      <c r="F726" s="9"/>
      <c r="G726" s="9"/>
      <c r="H726" s="9"/>
      <c r="I726" s="9"/>
      <c r="J726" s="9"/>
      <c r="K726" s="9"/>
      <c r="L726" s="9"/>
      <c r="M726" s="9"/>
      <c r="N726" s="9"/>
      <c r="O726" s="9"/>
      <c r="P726" s="9"/>
      <c r="Q726" s="10"/>
      <c r="R726" s="5"/>
      <c r="S726" s="5"/>
      <c r="T726" s="5"/>
      <c r="U726" s="5"/>
      <c r="V726" s="5"/>
      <c r="W726" s="5"/>
      <c r="X726" s="5"/>
      <c r="Y726" s="5"/>
      <c r="Z726" s="5"/>
      <c r="AA726" s="5"/>
      <c r="AB726" s="5"/>
      <c r="AC726" s="5"/>
      <c r="AD726" s="5"/>
    </row>
    <row r="727">
      <c r="A727" s="57"/>
      <c r="B727" s="59"/>
      <c r="C727" s="54"/>
      <c r="D727" s="14"/>
      <c r="E727" s="14"/>
      <c r="F727" s="14"/>
      <c r="G727" s="14"/>
      <c r="H727" s="14"/>
      <c r="I727" s="14"/>
      <c r="J727" s="14"/>
      <c r="K727" s="14"/>
      <c r="L727" s="14"/>
      <c r="M727" s="14"/>
      <c r="N727" s="14"/>
      <c r="O727" s="14"/>
      <c r="P727" s="14"/>
      <c r="Q727" s="15"/>
      <c r="R727" s="5"/>
      <c r="S727" s="5"/>
      <c r="T727" s="5"/>
      <c r="U727" s="5"/>
      <c r="V727" s="5"/>
      <c r="W727" s="5"/>
      <c r="X727" s="5"/>
      <c r="Y727" s="5"/>
      <c r="Z727" s="5"/>
      <c r="AA727" s="5"/>
      <c r="AB727" s="5"/>
      <c r="AC727" s="5"/>
      <c r="AD727" s="5"/>
    </row>
    <row r="728">
      <c r="A728" s="55"/>
      <c r="B728" s="56"/>
      <c r="C728" s="52"/>
      <c r="D728" s="9"/>
      <c r="E728" s="9"/>
      <c r="F728" s="9"/>
      <c r="G728" s="9"/>
      <c r="H728" s="9"/>
      <c r="I728" s="9"/>
      <c r="J728" s="9"/>
      <c r="K728" s="9"/>
      <c r="L728" s="9"/>
      <c r="M728" s="9"/>
      <c r="N728" s="9"/>
      <c r="O728" s="9"/>
      <c r="P728" s="9"/>
      <c r="Q728" s="10"/>
      <c r="R728" s="5"/>
      <c r="S728" s="5"/>
      <c r="T728" s="5"/>
      <c r="U728" s="5"/>
      <c r="V728" s="5"/>
      <c r="W728" s="5"/>
      <c r="X728" s="5"/>
      <c r="Y728" s="5"/>
      <c r="Z728" s="5"/>
      <c r="AA728" s="5"/>
      <c r="AB728" s="5"/>
      <c r="AC728" s="5"/>
      <c r="AD728" s="5"/>
    </row>
    <row r="729">
      <c r="A729" s="57"/>
      <c r="B729" s="59"/>
      <c r="C729" s="54"/>
      <c r="D729" s="14"/>
      <c r="E729" s="14"/>
      <c r="F729" s="14"/>
      <c r="G729" s="14"/>
      <c r="H729" s="14"/>
      <c r="I729" s="14"/>
      <c r="J729" s="14"/>
      <c r="K729" s="14"/>
      <c r="L729" s="14"/>
      <c r="M729" s="14"/>
      <c r="N729" s="14"/>
      <c r="O729" s="14"/>
      <c r="P729" s="14"/>
      <c r="Q729" s="15"/>
      <c r="R729" s="5"/>
      <c r="S729" s="5"/>
      <c r="T729" s="5"/>
      <c r="U729" s="5"/>
      <c r="V729" s="5"/>
      <c r="W729" s="5"/>
      <c r="X729" s="5"/>
      <c r="Y729" s="5"/>
      <c r="Z729" s="5"/>
      <c r="AA729" s="5"/>
      <c r="AB729" s="5"/>
      <c r="AC729" s="5"/>
      <c r="AD729" s="5"/>
    </row>
    <row r="730">
      <c r="A730" s="55"/>
      <c r="B730" s="56"/>
      <c r="C730" s="52"/>
      <c r="D730" s="9"/>
      <c r="E730" s="9"/>
      <c r="F730" s="9"/>
      <c r="G730" s="9"/>
      <c r="H730" s="9"/>
      <c r="I730" s="9"/>
      <c r="J730" s="9"/>
      <c r="K730" s="9"/>
      <c r="L730" s="9"/>
      <c r="M730" s="9"/>
      <c r="N730" s="9"/>
      <c r="O730" s="9"/>
      <c r="P730" s="9"/>
      <c r="Q730" s="10"/>
      <c r="R730" s="5"/>
      <c r="S730" s="5"/>
      <c r="T730" s="5"/>
      <c r="U730" s="5"/>
      <c r="V730" s="5"/>
      <c r="W730" s="5"/>
      <c r="X730" s="5"/>
      <c r="Y730" s="5"/>
      <c r="Z730" s="5"/>
      <c r="AA730" s="5"/>
      <c r="AB730" s="5"/>
      <c r="AC730" s="5"/>
      <c r="AD730" s="5"/>
    </row>
    <row r="731">
      <c r="A731" s="57"/>
      <c r="B731" s="59"/>
      <c r="C731" s="54"/>
      <c r="D731" s="14"/>
      <c r="E731" s="14"/>
      <c r="F731" s="14"/>
      <c r="G731" s="14"/>
      <c r="H731" s="14"/>
      <c r="I731" s="14"/>
      <c r="J731" s="14"/>
      <c r="K731" s="14"/>
      <c r="L731" s="14"/>
      <c r="M731" s="14"/>
      <c r="N731" s="14"/>
      <c r="O731" s="14"/>
      <c r="P731" s="14"/>
      <c r="Q731" s="15"/>
      <c r="R731" s="5"/>
      <c r="S731" s="5"/>
      <c r="T731" s="5"/>
      <c r="U731" s="5"/>
      <c r="V731" s="5"/>
      <c r="W731" s="5"/>
      <c r="X731" s="5"/>
      <c r="Y731" s="5"/>
      <c r="Z731" s="5"/>
      <c r="AA731" s="5"/>
      <c r="AB731" s="5"/>
      <c r="AC731" s="5"/>
      <c r="AD731" s="5"/>
    </row>
    <row r="732">
      <c r="A732" s="55"/>
      <c r="B732" s="56"/>
      <c r="C732" s="52"/>
      <c r="D732" s="9"/>
      <c r="E732" s="9"/>
      <c r="F732" s="9"/>
      <c r="G732" s="9"/>
      <c r="H732" s="9"/>
      <c r="I732" s="9"/>
      <c r="J732" s="9"/>
      <c r="K732" s="9"/>
      <c r="L732" s="9"/>
      <c r="M732" s="9"/>
      <c r="N732" s="9"/>
      <c r="O732" s="9"/>
      <c r="P732" s="9"/>
      <c r="Q732" s="10"/>
      <c r="R732" s="5"/>
      <c r="S732" s="5"/>
      <c r="T732" s="5"/>
      <c r="U732" s="5"/>
      <c r="V732" s="5"/>
      <c r="W732" s="5"/>
      <c r="X732" s="5"/>
      <c r="Y732" s="5"/>
      <c r="Z732" s="5"/>
      <c r="AA732" s="5"/>
      <c r="AB732" s="5"/>
      <c r="AC732" s="5"/>
      <c r="AD732" s="5"/>
    </row>
    <row r="733">
      <c r="A733" s="57"/>
      <c r="B733" s="59"/>
      <c r="C733" s="54"/>
      <c r="D733" s="14"/>
      <c r="E733" s="14"/>
      <c r="F733" s="14"/>
      <c r="G733" s="14"/>
      <c r="H733" s="14"/>
      <c r="I733" s="14"/>
      <c r="J733" s="14"/>
      <c r="K733" s="14"/>
      <c r="L733" s="14"/>
      <c r="M733" s="14"/>
      <c r="N733" s="14"/>
      <c r="O733" s="14"/>
      <c r="P733" s="14"/>
      <c r="Q733" s="15"/>
      <c r="R733" s="5"/>
      <c r="S733" s="5"/>
      <c r="T733" s="5"/>
      <c r="U733" s="5"/>
      <c r="V733" s="5"/>
      <c r="W733" s="5"/>
      <c r="X733" s="5"/>
      <c r="Y733" s="5"/>
      <c r="Z733" s="5"/>
      <c r="AA733" s="5"/>
      <c r="AB733" s="5"/>
      <c r="AC733" s="5"/>
      <c r="AD733" s="5"/>
    </row>
    <row r="734">
      <c r="A734" s="55"/>
      <c r="B734" s="56"/>
      <c r="C734" s="52"/>
      <c r="D734" s="9"/>
      <c r="E734" s="9"/>
      <c r="F734" s="9"/>
      <c r="G734" s="9"/>
      <c r="H734" s="9"/>
      <c r="I734" s="9"/>
      <c r="J734" s="9"/>
      <c r="K734" s="9"/>
      <c r="L734" s="9"/>
      <c r="M734" s="9"/>
      <c r="N734" s="9"/>
      <c r="O734" s="9"/>
      <c r="P734" s="9"/>
      <c r="Q734" s="10"/>
      <c r="R734" s="5"/>
      <c r="S734" s="5"/>
      <c r="T734" s="5"/>
      <c r="U734" s="5"/>
      <c r="V734" s="5"/>
      <c r="W734" s="5"/>
      <c r="X734" s="5"/>
      <c r="Y734" s="5"/>
      <c r="Z734" s="5"/>
      <c r="AA734" s="5"/>
      <c r="AB734" s="5"/>
      <c r="AC734" s="5"/>
      <c r="AD734" s="5"/>
    </row>
    <row r="735">
      <c r="A735" s="57"/>
      <c r="B735" s="59"/>
      <c r="C735" s="54"/>
      <c r="D735" s="14"/>
      <c r="E735" s="14"/>
      <c r="F735" s="14"/>
      <c r="G735" s="14"/>
      <c r="H735" s="14"/>
      <c r="I735" s="14"/>
      <c r="J735" s="14"/>
      <c r="K735" s="14"/>
      <c r="L735" s="14"/>
      <c r="M735" s="14"/>
      <c r="N735" s="14"/>
      <c r="O735" s="14"/>
      <c r="P735" s="14"/>
      <c r="Q735" s="15"/>
      <c r="R735" s="5"/>
      <c r="S735" s="5"/>
      <c r="T735" s="5"/>
      <c r="U735" s="5"/>
      <c r="V735" s="5"/>
      <c r="W735" s="5"/>
      <c r="X735" s="5"/>
      <c r="Y735" s="5"/>
      <c r="Z735" s="5"/>
      <c r="AA735" s="5"/>
      <c r="AB735" s="5"/>
      <c r="AC735" s="5"/>
      <c r="AD735" s="5"/>
    </row>
    <row r="736">
      <c r="A736" s="55"/>
      <c r="B736" s="56"/>
      <c r="C736" s="52"/>
      <c r="D736" s="9"/>
      <c r="E736" s="9"/>
      <c r="F736" s="9"/>
      <c r="G736" s="9"/>
      <c r="H736" s="9"/>
      <c r="I736" s="9"/>
      <c r="J736" s="9"/>
      <c r="K736" s="9"/>
      <c r="L736" s="9"/>
      <c r="M736" s="9"/>
      <c r="N736" s="9"/>
      <c r="O736" s="9"/>
      <c r="P736" s="9"/>
      <c r="Q736" s="10"/>
      <c r="R736" s="5"/>
      <c r="S736" s="5"/>
      <c r="T736" s="5"/>
      <c r="U736" s="5"/>
      <c r="V736" s="5"/>
      <c r="W736" s="5"/>
      <c r="X736" s="5"/>
      <c r="Y736" s="5"/>
      <c r="Z736" s="5"/>
      <c r="AA736" s="5"/>
      <c r="AB736" s="5"/>
      <c r="AC736" s="5"/>
      <c r="AD736" s="5"/>
    </row>
    <row r="737">
      <c r="A737" s="57"/>
      <c r="B737" s="59"/>
      <c r="C737" s="54"/>
      <c r="D737" s="14"/>
      <c r="E737" s="14"/>
      <c r="F737" s="14"/>
      <c r="G737" s="14"/>
      <c r="H737" s="14"/>
      <c r="I737" s="14"/>
      <c r="J737" s="14"/>
      <c r="K737" s="14"/>
      <c r="L737" s="14"/>
      <c r="M737" s="14"/>
      <c r="N737" s="14"/>
      <c r="O737" s="14"/>
      <c r="P737" s="14"/>
      <c r="Q737" s="15"/>
      <c r="R737" s="5"/>
      <c r="S737" s="5"/>
      <c r="T737" s="5"/>
      <c r="U737" s="5"/>
      <c r="V737" s="5"/>
      <c r="W737" s="5"/>
      <c r="X737" s="5"/>
      <c r="Y737" s="5"/>
      <c r="Z737" s="5"/>
      <c r="AA737" s="5"/>
      <c r="AB737" s="5"/>
      <c r="AC737" s="5"/>
      <c r="AD737" s="5"/>
    </row>
    <row r="738">
      <c r="A738" s="55"/>
      <c r="B738" s="56"/>
      <c r="C738" s="52"/>
      <c r="D738" s="9"/>
      <c r="E738" s="9"/>
      <c r="F738" s="9"/>
      <c r="G738" s="9"/>
      <c r="H738" s="9"/>
      <c r="I738" s="9"/>
      <c r="J738" s="9"/>
      <c r="K738" s="9"/>
      <c r="L738" s="9"/>
      <c r="M738" s="9"/>
      <c r="N738" s="9"/>
      <c r="O738" s="9"/>
      <c r="P738" s="9"/>
      <c r="Q738" s="10"/>
      <c r="R738" s="5"/>
      <c r="S738" s="5"/>
      <c r="T738" s="5"/>
      <c r="U738" s="5"/>
      <c r="V738" s="5"/>
      <c r="W738" s="5"/>
      <c r="X738" s="5"/>
      <c r="Y738" s="5"/>
      <c r="Z738" s="5"/>
      <c r="AA738" s="5"/>
      <c r="AB738" s="5"/>
      <c r="AC738" s="5"/>
      <c r="AD738" s="5"/>
    </row>
    <row r="739">
      <c r="A739" s="57"/>
      <c r="B739" s="59"/>
      <c r="C739" s="54"/>
      <c r="D739" s="14"/>
      <c r="E739" s="14"/>
      <c r="F739" s="14"/>
      <c r="G739" s="14"/>
      <c r="H739" s="14"/>
      <c r="I739" s="14"/>
      <c r="J739" s="14"/>
      <c r="K739" s="14"/>
      <c r="L739" s="14"/>
      <c r="M739" s="14"/>
      <c r="N739" s="14"/>
      <c r="O739" s="14"/>
      <c r="P739" s="14"/>
      <c r="Q739" s="15"/>
      <c r="R739" s="5"/>
      <c r="S739" s="5"/>
      <c r="T739" s="5"/>
      <c r="U739" s="5"/>
      <c r="V739" s="5"/>
      <c r="W739" s="5"/>
      <c r="X739" s="5"/>
      <c r="Y739" s="5"/>
      <c r="Z739" s="5"/>
      <c r="AA739" s="5"/>
      <c r="AB739" s="5"/>
      <c r="AC739" s="5"/>
      <c r="AD739" s="5"/>
    </row>
    <row r="740">
      <c r="A740" s="55"/>
      <c r="B740" s="56"/>
      <c r="C740" s="52"/>
      <c r="D740" s="9"/>
      <c r="E740" s="9"/>
      <c r="F740" s="9"/>
      <c r="G740" s="9"/>
      <c r="H740" s="9"/>
      <c r="I740" s="9"/>
      <c r="J740" s="9"/>
      <c r="K740" s="9"/>
      <c r="L740" s="9"/>
      <c r="M740" s="9"/>
      <c r="N740" s="9"/>
      <c r="O740" s="9"/>
      <c r="P740" s="9"/>
      <c r="Q740" s="10"/>
      <c r="R740" s="5"/>
      <c r="S740" s="5"/>
      <c r="T740" s="5"/>
      <c r="U740" s="5"/>
      <c r="V740" s="5"/>
      <c r="W740" s="5"/>
      <c r="X740" s="5"/>
      <c r="Y740" s="5"/>
      <c r="Z740" s="5"/>
      <c r="AA740" s="5"/>
      <c r="AB740" s="5"/>
      <c r="AC740" s="5"/>
      <c r="AD740" s="5"/>
    </row>
    <row r="741">
      <c r="A741" s="57"/>
      <c r="B741" s="59"/>
      <c r="C741" s="54"/>
      <c r="D741" s="14"/>
      <c r="E741" s="14"/>
      <c r="F741" s="14"/>
      <c r="G741" s="14"/>
      <c r="H741" s="14"/>
      <c r="I741" s="14"/>
      <c r="J741" s="14"/>
      <c r="K741" s="14"/>
      <c r="L741" s="14"/>
      <c r="M741" s="14"/>
      <c r="N741" s="14"/>
      <c r="O741" s="14"/>
      <c r="P741" s="14"/>
      <c r="Q741" s="15"/>
      <c r="R741" s="5"/>
      <c r="S741" s="5"/>
      <c r="T741" s="5"/>
      <c r="U741" s="5"/>
      <c r="V741" s="5"/>
      <c r="W741" s="5"/>
      <c r="X741" s="5"/>
      <c r="Y741" s="5"/>
      <c r="Z741" s="5"/>
      <c r="AA741" s="5"/>
      <c r="AB741" s="5"/>
      <c r="AC741" s="5"/>
      <c r="AD741" s="5"/>
    </row>
    <row r="742">
      <c r="A742" s="55"/>
      <c r="B742" s="56"/>
      <c r="C742" s="52"/>
      <c r="D742" s="9"/>
      <c r="E742" s="9"/>
      <c r="F742" s="9"/>
      <c r="G742" s="9"/>
      <c r="H742" s="9"/>
      <c r="I742" s="9"/>
      <c r="J742" s="9"/>
      <c r="K742" s="9"/>
      <c r="L742" s="9"/>
      <c r="M742" s="9"/>
      <c r="N742" s="9"/>
      <c r="O742" s="9"/>
      <c r="P742" s="9"/>
      <c r="Q742" s="10"/>
      <c r="R742" s="5"/>
      <c r="S742" s="5"/>
      <c r="T742" s="5"/>
      <c r="U742" s="5"/>
      <c r="V742" s="5"/>
      <c r="W742" s="5"/>
      <c r="X742" s="5"/>
      <c r="Y742" s="5"/>
      <c r="Z742" s="5"/>
      <c r="AA742" s="5"/>
      <c r="AB742" s="5"/>
      <c r="AC742" s="5"/>
      <c r="AD742" s="5"/>
    </row>
    <row r="743">
      <c r="A743" s="57"/>
      <c r="B743" s="59"/>
      <c r="C743" s="54"/>
      <c r="D743" s="14"/>
      <c r="E743" s="14"/>
      <c r="F743" s="14"/>
      <c r="G743" s="14"/>
      <c r="H743" s="14"/>
      <c r="I743" s="14"/>
      <c r="J743" s="14"/>
      <c r="K743" s="14"/>
      <c r="L743" s="14"/>
      <c r="M743" s="14"/>
      <c r="N743" s="14"/>
      <c r="O743" s="14"/>
      <c r="P743" s="14"/>
      <c r="Q743" s="15"/>
      <c r="R743" s="5"/>
      <c r="S743" s="5"/>
      <c r="T743" s="5"/>
      <c r="U743" s="5"/>
      <c r="V743" s="5"/>
      <c r="W743" s="5"/>
      <c r="X743" s="5"/>
      <c r="Y743" s="5"/>
      <c r="Z743" s="5"/>
      <c r="AA743" s="5"/>
      <c r="AB743" s="5"/>
      <c r="AC743" s="5"/>
      <c r="AD743" s="5"/>
    </row>
    <row r="744">
      <c r="A744" s="55"/>
      <c r="B744" s="56"/>
      <c r="C744" s="52"/>
      <c r="D744" s="9"/>
      <c r="E744" s="9"/>
      <c r="F744" s="9"/>
      <c r="G744" s="9"/>
      <c r="H744" s="9"/>
      <c r="I744" s="9"/>
      <c r="J744" s="9"/>
      <c r="K744" s="9"/>
      <c r="L744" s="9"/>
      <c r="M744" s="9"/>
      <c r="N744" s="9"/>
      <c r="O744" s="9"/>
      <c r="P744" s="9"/>
      <c r="Q744" s="10"/>
      <c r="R744" s="5"/>
      <c r="S744" s="5"/>
      <c r="T744" s="5"/>
      <c r="U744" s="5"/>
      <c r="V744" s="5"/>
      <c r="W744" s="5"/>
      <c r="X744" s="5"/>
      <c r="Y744" s="5"/>
      <c r="Z744" s="5"/>
      <c r="AA744" s="5"/>
      <c r="AB744" s="5"/>
      <c r="AC744" s="5"/>
      <c r="AD744" s="5"/>
    </row>
    <row r="745">
      <c r="A745" s="57"/>
      <c r="B745" s="59"/>
      <c r="C745" s="54"/>
      <c r="D745" s="14"/>
      <c r="E745" s="14"/>
      <c r="F745" s="14"/>
      <c r="G745" s="14"/>
      <c r="H745" s="14"/>
      <c r="I745" s="14"/>
      <c r="J745" s="14"/>
      <c r="K745" s="14"/>
      <c r="L745" s="14"/>
      <c r="M745" s="14"/>
      <c r="N745" s="14"/>
      <c r="O745" s="14"/>
      <c r="P745" s="14"/>
      <c r="Q745" s="15"/>
      <c r="R745" s="5"/>
      <c r="S745" s="5"/>
      <c r="T745" s="5"/>
      <c r="U745" s="5"/>
      <c r="V745" s="5"/>
      <c r="W745" s="5"/>
      <c r="X745" s="5"/>
      <c r="Y745" s="5"/>
      <c r="Z745" s="5"/>
      <c r="AA745" s="5"/>
      <c r="AB745" s="5"/>
      <c r="AC745" s="5"/>
      <c r="AD745" s="5"/>
    </row>
    <row r="746">
      <c r="A746" s="55"/>
      <c r="B746" s="56"/>
      <c r="C746" s="52"/>
      <c r="D746" s="9"/>
      <c r="E746" s="9"/>
      <c r="F746" s="9"/>
      <c r="G746" s="9"/>
      <c r="H746" s="9"/>
      <c r="I746" s="9"/>
      <c r="J746" s="9"/>
      <c r="K746" s="9"/>
      <c r="L746" s="9"/>
      <c r="M746" s="9"/>
      <c r="N746" s="9"/>
      <c r="O746" s="9"/>
      <c r="P746" s="9"/>
      <c r="Q746" s="10"/>
      <c r="R746" s="5"/>
      <c r="S746" s="5"/>
      <c r="T746" s="5"/>
      <c r="U746" s="5"/>
      <c r="V746" s="5"/>
      <c r="W746" s="5"/>
      <c r="X746" s="5"/>
      <c r="Y746" s="5"/>
      <c r="Z746" s="5"/>
      <c r="AA746" s="5"/>
      <c r="AB746" s="5"/>
      <c r="AC746" s="5"/>
      <c r="AD746" s="5"/>
    </row>
    <row r="747">
      <c r="A747" s="57"/>
      <c r="B747" s="59"/>
      <c r="C747" s="54"/>
      <c r="D747" s="14"/>
      <c r="E747" s="14"/>
      <c r="F747" s="14"/>
      <c r="G747" s="14"/>
      <c r="H747" s="14"/>
      <c r="I747" s="14"/>
      <c r="J747" s="14"/>
      <c r="K747" s="14"/>
      <c r="L747" s="14"/>
      <c r="M747" s="14"/>
      <c r="N747" s="14"/>
      <c r="O747" s="14"/>
      <c r="P747" s="14"/>
      <c r="Q747" s="15"/>
      <c r="R747" s="5"/>
      <c r="S747" s="5"/>
      <c r="T747" s="5"/>
      <c r="U747" s="5"/>
      <c r="V747" s="5"/>
      <c r="W747" s="5"/>
      <c r="X747" s="5"/>
      <c r="Y747" s="5"/>
      <c r="Z747" s="5"/>
      <c r="AA747" s="5"/>
      <c r="AB747" s="5"/>
      <c r="AC747" s="5"/>
      <c r="AD747" s="5"/>
    </row>
    <row r="748">
      <c r="A748" s="55"/>
      <c r="B748" s="56"/>
      <c r="C748" s="52"/>
      <c r="D748" s="9"/>
      <c r="E748" s="9"/>
      <c r="F748" s="9"/>
      <c r="G748" s="9"/>
      <c r="H748" s="9"/>
      <c r="I748" s="9"/>
      <c r="J748" s="9"/>
      <c r="K748" s="9"/>
      <c r="L748" s="9"/>
      <c r="M748" s="9"/>
      <c r="N748" s="9"/>
      <c r="O748" s="9"/>
      <c r="P748" s="9"/>
      <c r="Q748" s="10"/>
      <c r="R748" s="5"/>
      <c r="S748" s="5"/>
      <c r="T748" s="5"/>
      <c r="U748" s="5"/>
      <c r="V748" s="5"/>
      <c r="W748" s="5"/>
      <c r="X748" s="5"/>
      <c r="Y748" s="5"/>
      <c r="Z748" s="5"/>
      <c r="AA748" s="5"/>
      <c r="AB748" s="5"/>
      <c r="AC748" s="5"/>
      <c r="AD748" s="5"/>
    </row>
    <row r="749">
      <c r="A749" s="57"/>
      <c r="B749" s="59"/>
      <c r="C749" s="54"/>
      <c r="D749" s="14"/>
      <c r="E749" s="14"/>
      <c r="F749" s="14"/>
      <c r="G749" s="14"/>
      <c r="H749" s="14"/>
      <c r="I749" s="14"/>
      <c r="J749" s="14"/>
      <c r="K749" s="14"/>
      <c r="L749" s="14"/>
      <c r="M749" s="14"/>
      <c r="N749" s="14"/>
      <c r="O749" s="14"/>
      <c r="P749" s="14"/>
      <c r="Q749" s="15"/>
      <c r="R749" s="5"/>
      <c r="S749" s="5"/>
      <c r="T749" s="5"/>
      <c r="U749" s="5"/>
      <c r="V749" s="5"/>
      <c r="W749" s="5"/>
      <c r="X749" s="5"/>
      <c r="Y749" s="5"/>
      <c r="Z749" s="5"/>
      <c r="AA749" s="5"/>
      <c r="AB749" s="5"/>
      <c r="AC749" s="5"/>
      <c r="AD749" s="5"/>
    </row>
    <row r="750">
      <c r="A750" s="55"/>
      <c r="B750" s="56"/>
      <c r="C750" s="52"/>
      <c r="D750" s="9"/>
      <c r="E750" s="9"/>
      <c r="F750" s="9"/>
      <c r="G750" s="9"/>
      <c r="H750" s="9"/>
      <c r="I750" s="9"/>
      <c r="J750" s="9"/>
      <c r="K750" s="9"/>
      <c r="L750" s="9"/>
      <c r="M750" s="9"/>
      <c r="N750" s="9"/>
      <c r="O750" s="9"/>
      <c r="P750" s="9"/>
      <c r="Q750" s="10"/>
      <c r="R750" s="5"/>
      <c r="S750" s="5"/>
      <c r="T750" s="5"/>
      <c r="U750" s="5"/>
      <c r="V750" s="5"/>
      <c r="W750" s="5"/>
      <c r="X750" s="5"/>
      <c r="Y750" s="5"/>
      <c r="Z750" s="5"/>
      <c r="AA750" s="5"/>
      <c r="AB750" s="5"/>
      <c r="AC750" s="5"/>
      <c r="AD750" s="5"/>
    </row>
    <row r="751">
      <c r="A751" s="57"/>
      <c r="B751" s="59"/>
      <c r="C751" s="54"/>
      <c r="D751" s="14"/>
      <c r="E751" s="14"/>
      <c r="F751" s="14"/>
      <c r="G751" s="14"/>
      <c r="H751" s="14"/>
      <c r="I751" s="14"/>
      <c r="J751" s="14"/>
      <c r="K751" s="14"/>
      <c r="L751" s="14"/>
      <c r="M751" s="14"/>
      <c r="N751" s="14"/>
      <c r="O751" s="14"/>
      <c r="P751" s="14"/>
      <c r="Q751" s="15"/>
      <c r="R751" s="5"/>
      <c r="S751" s="5"/>
      <c r="T751" s="5"/>
      <c r="U751" s="5"/>
      <c r="V751" s="5"/>
      <c r="W751" s="5"/>
      <c r="X751" s="5"/>
      <c r="Y751" s="5"/>
      <c r="Z751" s="5"/>
      <c r="AA751" s="5"/>
      <c r="AB751" s="5"/>
      <c r="AC751" s="5"/>
      <c r="AD751" s="5"/>
    </row>
    <row r="752">
      <c r="A752" s="55"/>
      <c r="B752" s="56"/>
      <c r="C752" s="52"/>
      <c r="D752" s="9"/>
      <c r="E752" s="9"/>
      <c r="F752" s="9"/>
      <c r="G752" s="9"/>
      <c r="H752" s="9"/>
      <c r="I752" s="9"/>
      <c r="J752" s="9"/>
      <c r="K752" s="9"/>
      <c r="L752" s="9"/>
      <c r="M752" s="9"/>
      <c r="N752" s="9"/>
      <c r="O752" s="9"/>
      <c r="P752" s="9"/>
      <c r="Q752" s="10"/>
      <c r="R752" s="5"/>
      <c r="S752" s="5"/>
      <c r="T752" s="5"/>
      <c r="U752" s="5"/>
      <c r="V752" s="5"/>
      <c r="W752" s="5"/>
      <c r="X752" s="5"/>
      <c r="Y752" s="5"/>
      <c r="Z752" s="5"/>
      <c r="AA752" s="5"/>
      <c r="AB752" s="5"/>
      <c r="AC752" s="5"/>
      <c r="AD752" s="5"/>
    </row>
    <row r="753">
      <c r="A753" s="57"/>
      <c r="B753" s="59"/>
      <c r="C753" s="54"/>
      <c r="D753" s="14"/>
      <c r="E753" s="14"/>
      <c r="F753" s="14"/>
      <c r="G753" s="14"/>
      <c r="H753" s="14"/>
      <c r="I753" s="14"/>
      <c r="J753" s="14"/>
      <c r="K753" s="14"/>
      <c r="L753" s="14"/>
      <c r="M753" s="14"/>
      <c r="N753" s="14"/>
      <c r="O753" s="14"/>
      <c r="P753" s="14"/>
      <c r="Q753" s="15"/>
      <c r="R753" s="5"/>
      <c r="S753" s="5"/>
      <c r="T753" s="5"/>
      <c r="U753" s="5"/>
      <c r="V753" s="5"/>
      <c r="W753" s="5"/>
      <c r="X753" s="5"/>
      <c r="Y753" s="5"/>
      <c r="Z753" s="5"/>
      <c r="AA753" s="5"/>
      <c r="AB753" s="5"/>
      <c r="AC753" s="5"/>
      <c r="AD753" s="5"/>
    </row>
    <row r="754">
      <c r="A754" s="55"/>
      <c r="B754" s="56"/>
      <c r="C754" s="52"/>
      <c r="D754" s="9"/>
      <c r="E754" s="9"/>
      <c r="F754" s="9"/>
      <c r="G754" s="9"/>
      <c r="H754" s="9"/>
      <c r="I754" s="9"/>
      <c r="J754" s="9"/>
      <c r="K754" s="9"/>
      <c r="L754" s="9"/>
      <c r="M754" s="9"/>
      <c r="N754" s="9"/>
      <c r="O754" s="9"/>
      <c r="P754" s="9"/>
      <c r="Q754" s="10"/>
      <c r="R754" s="5"/>
      <c r="S754" s="5"/>
      <c r="T754" s="5"/>
      <c r="U754" s="5"/>
      <c r="V754" s="5"/>
      <c r="W754" s="5"/>
      <c r="X754" s="5"/>
      <c r="Y754" s="5"/>
      <c r="Z754" s="5"/>
      <c r="AA754" s="5"/>
      <c r="AB754" s="5"/>
      <c r="AC754" s="5"/>
      <c r="AD754" s="5"/>
    </row>
    <row r="755">
      <c r="A755" s="57"/>
      <c r="B755" s="59"/>
      <c r="C755" s="54"/>
      <c r="D755" s="14"/>
      <c r="E755" s="14"/>
      <c r="F755" s="14"/>
      <c r="G755" s="14"/>
      <c r="H755" s="14"/>
      <c r="I755" s="14"/>
      <c r="J755" s="14"/>
      <c r="K755" s="14"/>
      <c r="L755" s="14"/>
      <c r="M755" s="14"/>
      <c r="N755" s="14"/>
      <c r="O755" s="14"/>
      <c r="P755" s="14"/>
      <c r="Q755" s="15"/>
      <c r="R755" s="5"/>
      <c r="S755" s="5"/>
      <c r="T755" s="5"/>
      <c r="U755" s="5"/>
      <c r="V755" s="5"/>
      <c r="W755" s="5"/>
      <c r="X755" s="5"/>
      <c r="Y755" s="5"/>
      <c r="Z755" s="5"/>
      <c r="AA755" s="5"/>
      <c r="AB755" s="5"/>
      <c r="AC755" s="5"/>
      <c r="AD755" s="5"/>
    </row>
    <row r="756">
      <c r="A756" s="55"/>
      <c r="B756" s="56"/>
      <c r="C756" s="52"/>
      <c r="D756" s="9"/>
      <c r="E756" s="9"/>
      <c r="F756" s="9"/>
      <c r="G756" s="9"/>
      <c r="H756" s="9"/>
      <c r="I756" s="9"/>
      <c r="J756" s="9"/>
      <c r="K756" s="9"/>
      <c r="L756" s="9"/>
      <c r="M756" s="9"/>
      <c r="N756" s="9"/>
      <c r="O756" s="9"/>
      <c r="P756" s="9"/>
      <c r="Q756" s="10"/>
      <c r="R756" s="5"/>
      <c r="S756" s="5"/>
      <c r="T756" s="5"/>
      <c r="U756" s="5"/>
      <c r="V756" s="5"/>
      <c r="W756" s="5"/>
      <c r="X756" s="5"/>
      <c r="Y756" s="5"/>
      <c r="Z756" s="5"/>
      <c r="AA756" s="5"/>
      <c r="AB756" s="5"/>
      <c r="AC756" s="5"/>
      <c r="AD756" s="5"/>
    </row>
    <row r="757">
      <c r="A757" s="57"/>
      <c r="B757" s="59"/>
      <c r="C757" s="54"/>
      <c r="D757" s="14"/>
      <c r="E757" s="14"/>
      <c r="F757" s="14"/>
      <c r="G757" s="14"/>
      <c r="H757" s="14"/>
      <c r="I757" s="14"/>
      <c r="J757" s="14"/>
      <c r="K757" s="14"/>
      <c r="L757" s="14"/>
      <c r="M757" s="14"/>
      <c r="N757" s="14"/>
      <c r="O757" s="14"/>
      <c r="P757" s="14"/>
      <c r="Q757" s="15"/>
      <c r="R757" s="5"/>
      <c r="S757" s="5"/>
      <c r="T757" s="5"/>
      <c r="U757" s="5"/>
      <c r="V757" s="5"/>
      <c r="W757" s="5"/>
      <c r="X757" s="5"/>
      <c r="Y757" s="5"/>
      <c r="Z757" s="5"/>
      <c r="AA757" s="5"/>
      <c r="AB757" s="5"/>
      <c r="AC757" s="5"/>
      <c r="AD757" s="5"/>
    </row>
    <row r="758">
      <c r="A758" s="55"/>
      <c r="B758" s="56"/>
      <c r="C758" s="52"/>
      <c r="D758" s="9"/>
      <c r="E758" s="9"/>
      <c r="F758" s="9"/>
      <c r="G758" s="9"/>
      <c r="H758" s="9"/>
      <c r="I758" s="9"/>
      <c r="J758" s="9"/>
      <c r="K758" s="9"/>
      <c r="L758" s="9"/>
      <c r="M758" s="9"/>
      <c r="N758" s="9"/>
      <c r="O758" s="9"/>
      <c r="P758" s="9"/>
      <c r="Q758" s="10"/>
      <c r="R758" s="5"/>
      <c r="S758" s="5"/>
      <c r="T758" s="5"/>
      <c r="U758" s="5"/>
      <c r="V758" s="5"/>
      <c r="W758" s="5"/>
      <c r="X758" s="5"/>
      <c r="Y758" s="5"/>
      <c r="Z758" s="5"/>
      <c r="AA758" s="5"/>
      <c r="AB758" s="5"/>
      <c r="AC758" s="5"/>
      <c r="AD758" s="5"/>
    </row>
    <row r="759">
      <c r="A759" s="57"/>
      <c r="B759" s="59"/>
      <c r="C759" s="54"/>
      <c r="D759" s="14"/>
      <c r="E759" s="14"/>
      <c r="F759" s="14"/>
      <c r="G759" s="14"/>
      <c r="H759" s="14"/>
      <c r="I759" s="14"/>
      <c r="J759" s="14"/>
      <c r="K759" s="14"/>
      <c r="L759" s="14"/>
      <c r="M759" s="14"/>
      <c r="N759" s="14"/>
      <c r="O759" s="14"/>
      <c r="P759" s="14"/>
      <c r="Q759" s="15"/>
      <c r="R759" s="5"/>
      <c r="S759" s="5"/>
      <c r="T759" s="5"/>
      <c r="U759" s="5"/>
      <c r="V759" s="5"/>
      <c r="W759" s="5"/>
      <c r="X759" s="5"/>
      <c r="Y759" s="5"/>
      <c r="Z759" s="5"/>
      <c r="AA759" s="5"/>
      <c r="AB759" s="5"/>
      <c r="AC759" s="5"/>
      <c r="AD759" s="5"/>
    </row>
    <row r="760">
      <c r="A760" s="55"/>
      <c r="B760" s="56"/>
      <c r="C760" s="52"/>
      <c r="D760" s="9"/>
      <c r="E760" s="9"/>
      <c r="F760" s="9"/>
      <c r="G760" s="9"/>
      <c r="H760" s="9"/>
      <c r="I760" s="9"/>
      <c r="J760" s="9"/>
      <c r="K760" s="9"/>
      <c r="L760" s="9"/>
      <c r="M760" s="9"/>
      <c r="N760" s="9"/>
      <c r="O760" s="9"/>
      <c r="P760" s="9"/>
      <c r="Q760" s="10"/>
      <c r="R760" s="5"/>
      <c r="S760" s="5"/>
      <c r="T760" s="5"/>
      <c r="U760" s="5"/>
      <c r="V760" s="5"/>
      <c r="W760" s="5"/>
      <c r="X760" s="5"/>
      <c r="Y760" s="5"/>
      <c r="Z760" s="5"/>
      <c r="AA760" s="5"/>
      <c r="AB760" s="5"/>
      <c r="AC760" s="5"/>
      <c r="AD760" s="5"/>
    </row>
    <row r="761">
      <c r="A761" s="57"/>
      <c r="B761" s="59"/>
      <c r="C761" s="54"/>
      <c r="D761" s="14"/>
      <c r="E761" s="14"/>
      <c r="F761" s="14"/>
      <c r="G761" s="14"/>
      <c r="H761" s="14"/>
      <c r="I761" s="14"/>
      <c r="J761" s="14"/>
      <c r="K761" s="14"/>
      <c r="L761" s="14"/>
      <c r="M761" s="14"/>
      <c r="N761" s="14"/>
      <c r="O761" s="14"/>
      <c r="P761" s="14"/>
      <c r="Q761" s="15"/>
      <c r="R761" s="5"/>
      <c r="S761" s="5"/>
      <c r="T761" s="5"/>
      <c r="U761" s="5"/>
      <c r="V761" s="5"/>
      <c r="W761" s="5"/>
      <c r="X761" s="5"/>
      <c r="Y761" s="5"/>
      <c r="Z761" s="5"/>
      <c r="AA761" s="5"/>
      <c r="AB761" s="5"/>
      <c r="AC761" s="5"/>
      <c r="AD761" s="5"/>
    </row>
    <row r="762">
      <c r="A762" s="55"/>
      <c r="B762" s="56"/>
      <c r="C762" s="52"/>
      <c r="D762" s="9"/>
      <c r="E762" s="9"/>
      <c r="F762" s="9"/>
      <c r="G762" s="9"/>
      <c r="H762" s="9"/>
      <c r="I762" s="9"/>
      <c r="J762" s="9"/>
      <c r="K762" s="9"/>
      <c r="L762" s="9"/>
      <c r="M762" s="9"/>
      <c r="N762" s="9"/>
      <c r="O762" s="9"/>
      <c r="P762" s="9"/>
      <c r="Q762" s="10"/>
      <c r="R762" s="5"/>
      <c r="S762" s="5"/>
      <c r="T762" s="5"/>
      <c r="U762" s="5"/>
      <c r="V762" s="5"/>
      <c r="W762" s="5"/>
      <c r="X762" s="5"/>
      <c r="Y762" s="5"/>
      <c r="Z762" s="5"/>
      <c r="AA762" s="5"/>
      <c r="AB762" s="5"/>
      <c r="AC762" s="5"/>
      <c r="AD762" s="5"/>
    </row>
    <row r="763">
      <c r="A763" s="57"/>
      <c r="B763" s="59"/>
      <c r="C763" s="54"/>
      <c r="D763" s="14"/>
      <c r="E763" s="14"/>
      <c r="F763" s="14"/>
      <c r="G763" s="14"/>
      <c r="H763" s="14"/>
      <c r="I763" s="14"/>
      <c r="J763" s="14"/>
      <c r="K763" s="14"/>
      <c r="L763" s="14"/>
      <c r="M763" s="14"/>
      <c r="N763" s="14"/>
      <c r="O763" s="14"/>
      <c r="P763" s="14"/>
      <c r="Q763" s="15"/>
      <c r="R763" s="5"/>
      <c r="S763" s="5"/>
      <c r="T763" s="5"/>
      <c r="U763" s="5"/>
      <c r="V763" s="5"/>
      <c r="W763" s="5"/>
      <c r="X763" s="5"/>
      <c r="Y763" s="5"/>
      <c r="Z763" s="5"/>
      <c r="AA763" s="5"/>
      <c r="AB763" s="5"/>
      <c r="AC763" s="5"/>
      <c r="AD763" s="5"/>
    </row>
    <row r="764">
      <c r="A764" s="55"/>
      <c r="B764" s="56"/>
      <c r="C764" s="52"/>
      <c r="D764" s="9"/>
      <c r="E764" s="9"/>
      <c r="F764" s="9"/>
      <c r="G764" s="9"/>
      <c r="H764" s="9"/>
      <c r="I764" s="9"/>
      <c r="J764" s="9"/>
      <c r="K764" s="9"/>
      <c r="L764" s="9"/>
      <c r="M764" s="9"/>
      <c r="N764" s="9"/>
      <c r="O764" s="9"/>
      <c r="P764" s="9"/>
      <c r="Q764" s="10"/>
      <c r="R764" s="5"/>
      <c r="S764" s="5"/>
      <c r="T764" s="5"/>
      <c r="U764" s="5"/>
      <c r="V764" s="5"/>
      <c r="W764" s="5"/>
      <c r="X764" s="5"/>
      <c r="Y764" s="5"/>
      <c r="Z764" s="5"/>
      <c r="AA764" s="5"/>
      <c r="AB764" s="5"/>
      <c r="AC764" s="5"/>
      <c r="AD764" s="5"/>
    </row>
    <row r="765">
      <c r="A765" s="57"/>
      <c r="B765" s="59"/>
      <c r="C765" s="54"/>
      <c r="D765" s="14"/>
      <c r="E765" s="14"/>
      <c r="F765" s="14"/>
      <c r="G765" s="14"/>
      <c r="H765" s="14"/>
      <c r="I765" s="14"/>
      <c r="J765" s="14"/>
      <c r="K765" s="14"/>
      <c r="L765" s="14"/>
      <c r="M765" s="14"/>
      <c r="N765" s="14"/>
      <c r="O765" s="14"/>
      <c r="P765" s="14"/>
      <c r="Q765" s="15"/>
      <c r="R765" s="5"/>
      <c r="S765" s="5"/>
      <c r="T765" s="5"/>
      <c r="U765" s="5"/>
      <c r="V765" s="5"/>
      <c r="W765" s="5"/>
      <c r="X765" s="5"/>
      <c r="Y765" s="5"/>
      <c r="Z765" s="5"/>
      <c r="AA765" s="5"/>
      <c r="AB765" s="5"/>
      <c r="AC765" s="5"/>
      <c r="AD765" s="5"/>
    </row>
    <row r="766">
      <c r="A766" s="55"/>
      <c r="B766" s="56"/>
      <c r="C766" s="52"/>
      <c r="D766" s="9"/>
      <c r="E766" s="9"/>
      <c r="F766" s="9"/>
      <c r="G766" s="9"/>
      <c r="H766" s="9"/>
      <c r="I766" s="9"/>
      <c r="J766" s="9"/>
      <c r="K766" s="9"/>
      <c r="L766" s="9"/>
      <c r="M766" s="9"/>
      <c r="N766" s="9"/>
      <c r="O766" s="9"/>
      <c r="P766" s="9"/>
      <c r="Q766" s="10"/>
      <c r="R766" s="5"/>
      <c r="S766" s="5"/>
      <c r="T766" s="5"/>
      <c r="U766" s="5"/>
      <c r="V766" s="5"/>
      <c r="W766" s="5"/>
      <c r="X766" s="5"/>
      <c r="Y766" s="5"/>
      <c r="Z766" s="5"/>
      <c r="AA766" s="5"/>
      <c r="AB766" s="5"/>
      <c r="AC766" s="5"/>
      <c r="AD766" s="5"/>
    </row>
    <row r="767">
      <c r="A767" s="57"/>
      <c r="B767" s="59"/>
      <c r="C767" s="54"/>
      <c r="D767" s="14"/>
      <c r="E767" s="14"/>
      <c r="F767" s="14"/>
      <c r="G767" s="14"/>
      <c r="H767" s="14"/>
      <c r="I767" s="14"/>
      <c r="J767" s="14"/>
      <c r="K767" s="14"/>
      <c r="L767" s="14"/>
      <c r="M767" s="14"/>
      <c r="N767" s="14"/>
      <c r="O767" s="14"/>
      <c r="P767" s="14"/>
      <c r="Q767" s="15"/>
      <c r="R767" s="5"/>
      <c r="S767" s="5"/>
      <c r="T767" s="5"/>
      <c r="U767" s="5"/>
      <c r="V767" s="5"/>
      <c r="W767" s="5"/>
      <c r="X767" s="5"/>
      <c r="Y767" s="5"/>
      <c r="Z767" s="5"/>
      <c r="AA767" s="5"/>
      <c r="AB767" s="5"/>
      <c r="AC767" s="5"/>
      <c r="AD767" s="5"/>
    </row>
    <row r="768">
      <c r="A768" s="55"/>
      <c r="B768" s="56"/>
      <c r="C768" s="52"/>
      <c r="D768" s="9"/>
      <c r="E768" s="9"/>
      <c r="F768" s="9"/>
      <c r="G768" s="9"/>
      <c r="H768" s="9"/>
      <c r="I768" s="9"/>
      <c r="J768" s="9"/>
      <c r="K768" s="9"/>
      <c r="L768" s="9"/>
      <c r="M768" s="9"/>
      <c r="N768" s="9"/>
      <c r="O768" s="9"/>
      <c r="P768" s="9"/>
      <c r="Q768" s="10"/>
      <c r="R768" s="5"/>
      <c r="S768" s="5"/>
      <c r="T768" s="5"/>
      <c r="U768" s="5"/>
      <c r="V768" s="5"/>
      <c r="W768" s="5"/>
      <c r="X768" s="5"/>
      <c r="Y768" s="5"/>
      <c r="Z768" s="5"/>
      <c r="AA768" s="5"/>
      <c r="AB768" s="5"/>
      <c r="AC768" s="5"/>
      <c r="AD768" s="5"/>
    </row>
    <row r="769">
      <c r="A769" s="57"/>
      <c r="B769" s="59"/>
      <c r="C769" s="54"/>
      <c r="D769" s="14"/>
      <c r="E769" s="14"/>
      <c r="F769" s="14"/>
      <c r="G769" s="14"/>
      <c r="H769" s="14"/>
      <c r="I769" s="14"/>
      <c r="J769" s="14"/>
      <c r="K769" s="14"/>
      <c r="L769" s="14"/>
      <c r="M769" s="14"/>
      <c r="N769" s="14"/>
      <c r="O769" s="14"/>
      <c r="P769" s="14"/>
      <c r="Q769" s="15"/>
      <c r="R769" s="5"/>
      <c r="S769" s="5"/>
      <c r="T769" s="5"/>
      <c r="U769" s="5"/>
      <c r="V769" s="5"/>
      <c r="W769" s="5"/>
      <c r="X769" s="5"/>
      <c r="Y769" s="5"/>
      <c r="Z769" s="5"/>
      <c r="AA769" s="5"/>
      <c r="AB769" s="5"/>
      <c r="AC769" s="5"/>
      <c r="AD769" s="5"/>
    </row>
    <row r="770">
      <c r="A770" s="55"/>
      <c r="B770" s="56"/>
      <c r="C770" s="52"/>
      <c r="D770" s="9"/>
      <c r="E770" s="9"/>
      <c r="F770" s="9"/>
      <c r="G770" s="9"/>
      <c r="H770" s="9"/>
      <c r="I770" s="9"/>
      <c r="J770" s="9"/>
      <c r="K770" s="9"/>
      <c r="L770" s="9"/>
      <c r="M770" s="9"/>
      <c r="N770" s="9"/>
      <c r="O770" s="9"/>
      <c r="P770" s="9"/>
      <c r="Q770" s="10"/>
      <c r="R770" s="5"/>
      <c r="S770" s="5"/>
      <c r="T770" s="5"/>
      <c r="U770" s="5"/>
      <c r="V770" s="5"/>
      <c r="W770" s="5"/>
      <c r="X770" s="5"/>
      <c r="Y770" s="5"/>
      <c r="Z770" s="5"/>
      <c r="AA770" s="5"/>
      <c r="AB770" s="5"/>
      <c r="AC770" s="5"/>
      <c r="AD770" s="5"/>
    </row>
    <row r="771">
      <c r="A771" s="57"/>
      <c r="B771" s="59"/>
      <c r="C771" s="54"/>
      <c r="D771" s="14"/>
      <c r="E771" s="14"/>
      <c r="F771" s="14"/>
      <c r="G771" s="14"/>
      <c r="H771" s="14"/>
      <c r="I771" s="14"/>
      <c r="J771" s="14"/>
      <c r="K771" s="14"/>
      <c r="L771" s="14"/>
      <c r="M771" s="14"/>
      <c r="N771" s="14"/>
      <c r="O771" s="14"/>
      <c r="P771" s="14"/>
      <c r="Q771" s="15"/>
      <c r="R771" s="5"/>
      <c r="S771" s="5"/>
      <c r="T771" s="5"/>
      <c r="U771" s="5"/>
      <c r="V771" s="5"/>
      <c r="W771" s="5"/>
      <c r="X771" s="5"/>
      <c r="Y771" s="5"/>
      <c r="Z771" s="5"/>
      <c r="AA771" s="5"/>
      <c r="AB771" s="5"/>
      <c r="AC771" s="5"/>
      <c r="AD771" s="5"/>
    </row>
    <row r="772">
      <c r="A772" s="55"/>
      <c r="B772" s="56"/>
      <c r="C772" s="52"/>
      <c r="D772" s="9"/>
      <c r="E772" s="9"/>
      <c r="F772" s="9"/>
      <c r="G772" s="9"/>
      <c r="H772" s="9"/>
      <c r="I772" s="9"/>
      <c r="J772" s="9"/>
      <c r="K772" s="9"/>
      <c r="L772" s="9"/>
      <c r="M772" s="9"/>
      <c r="N772" s="9"/>
      <c r="O772" s="9"/>
      <c r="P772" s="9"/>
      <c r="Q772" s="10"/>
      <c r="R772" s="5"/>
      <c r="S772" s="5"/>
      <c r="T772" s="5"/>
      <c r="U772" s="5"/>
      <c r="V772" s="5"/>
      <c r="W772" s="5"/>
      <c r="X772" s="5"/>
      <c r="Y772" s="5"/>
      <c r="Z772" s="5"/>
      <c r="AA772" s="5"/>
      <c r="AB772" s="5"/>
      <c r="AC772" s="5"/>
      <c r="AD772" s="5"/>
    </row>
    <row r="773">
      <c r="A773" s="57"/>
      <c r="B773" s="59"/>
      <c r="C773" s="54"/>
      <c r="D773" s="14"/>
      <c r="E773" s="14"/>
      <c r="F773" s="14"/>
      <c r="G773" s="14"/>
      <c r="H773" s="14"/>
      <c r="I773" s="14"/>
      <c r="J773" s="14"/>
      <c r="K773" s="14"/>
      <c r="L773" s="14"/>
      <c r="M773" s="14"/>
      <c r="N773" s="14"/>
      <c r="O773" s="14"/>
      <c r="P773" s="14"/>
      <c r="Q773" s="15"/>
      <c r="R773" s="5"/>
      <c r="S773" s="5"/>
      <c r="T773" s="5"/>
      <c r="U773" s="5"/>
      <c r="V773" s="5"/>
      <c r="W773" s="5"/>
      <c r="X773" s="5"/>
      <c r="Y773" s="5"/>
      <c r="Z773" s="5"/>
      <c r="AA773" s="5"/>
      <c r="AB773" s="5"/>
      <c r="AC773" s="5"/>
      <c r="AD773" s="5"/>
    </row>
    <row r="774">
      <c r="A774" s="55"/>
      <c r="B774" s="56"/>
      <c r="C774" s="52"/>
      <c r="D774" s="9"/>
      <c r="E774" s="9"/>
      <c r="F774" s="9"/>
      <c r="G774" s="9"/>
      <c r="H774" s="9"/>
      <c r="I774" s="9"/>
      <c r="J774" s="9"/>
      <c r="K774" s="9"/>
      <c r="L774" s="9"/>
      <c r="M774" s="9"/>
      <c r="N774" s="9"/>
      <c r="O774" s="9"/>
      <c r="P774" s="9"/>
      <c r="Q774" s="10"/>
      <c r="R774" s="5"/>
      <c r="S774" s="5"/>
      <c r="T774" s="5"/>
      <c r="U774" s="5"/>
      <c r="V774" s="5"/>
      <c r="W774" s="5"/>
      <c r="X774" s="5"/>
      <c r="Y774" s="5"/>
      <c r="Z774" s="5"/>
      <c r="AA774" s="5"/>
      <c r="AB774" s="5"/>
      <c r="AC774" s="5"/>
      <c r="AD774" s="5"/>
    </row>
    <row r="775">
      <c r="A775" s="57"/>
      <c r="B775" s="59"/>
      <c r="C775" s="54"/>
      <c r="D775" s="14"/>
      <c r="E775" s="14"/>
      <c r="F775" s="14"/>
      <c r="G775" s="14"/>
      <c r="H775" s="14"/>
      <c r="I775" s="14"/>
      <c r="J775" s="14"/>
      <c r="K775" s="14"/>
      <c r="L775" s="14"/>
      <c r="M775" s="14"/>
      <c r="N775" s="14"/>
      <c r="O775" s="14"/>
      <c r="P775" s="14"/>
      <c r="Q775" s="15"/>
      <c r="R775" s="5"/>
      <c r="S775" s="5"/>
      <c r="T775" s="5"/>
      <c r="U775" s="5"/>
      <c r="V775" s="5"/>
      <c r="W775" s="5"/>
      <c r="X775" s="5"/>
      <c r="Y775" s="5"/>
      <c r="Z775" s="5"/>
      <c r="AA775" s="5"/>
      <c r="AB775" s="5"/>
      <c r="AC775" s="5"/>
      <c r="AD775" s="5"/>
    </row>
    <row r="776">
      <c r="A776" s="55"/>
      <c r="B776" s="56"/>
      <c r="C776" s="52"/>
      <c r="D776" s="9"/>
      <c r="E776" s="9"/>
      <c r="F776" s="9"/>
      <c r="G776" s="9"/>
      <c r="H776" s="9"/>
      <c r="I776" s="9"/>
      <c r="J776" s="9"/>
      <c r="K776" s="9"/>
      <c r="L776" s="9"/>
      <c r="M776" s="9"/>
      <c r="N776" s="9"/>
      <c r="O776" s="9"/>
      <c r="P776" s="9"/>
      <c r="Q776" s="10"/>
      <c r="R776" s="5"/>
      <c r="S776" s="5"/>
      <c r="T776" s="5"/>
      <c r="U776" s="5"/>
      <c r="V776" s="5"/>
      <c r="W776" s="5"/>
      <c r="X776" s="5"/>
      <c r="Y776" s="5"/>
      <c r="Z776" s="5"/>
      <c r="AA776" s="5"/>
      <c r="AB776" s="5"/>
      <c r="AC776" s="5"/>
      <c r="AD776" s="5"/>
    </row>
    <row r="777">
      <c r="A777" s="57"/>
      <c r="B777" s="59"/>
      <c r="C777" s="54"/>
      <c r="D777" s="14"/>
      <c r="E777" s="14"/>
      <c r="F777" s="14"/>
      <c r="G777" s="14"/>
      <c r="H777" s="14"/>
      <c r="I777" s="14"/>
      <c r="J777" s="14"/>
      <c r="K777" s="14"/>
      <c r="L777" s="14"/>
      <c r="M777" s="14"/>
      <c r="N777" s="14"/>
      <c r="O777" s="14"/>
      <c r="P777" s="14"/>
      <c r="Q777" s="15"/>
      <c r="R777" s="5"/>
      <c r="S777" s="5"/>
      <c r="T777" s="5"/>
      <c r="U777" s="5"/>
      <c r="V777" s="5"/>
      <c r="W777" s="5"/>
      <c r="X777" s="5"/>
      <c r="Y777" s="5"/>
      <c r="Z777" s="5"/>
      <c r="AA777" s="5"/>
      <c r="AB777" s="5"/>
      <c r="AC777" s="5"/>
      <c r="AD777" s="5"/>
    </row>
    <row r="778">
      <c r="A778" s="55"/>
      <c r="B778" s="56"/>
      <c r="C778" s="52"/>
      <c r="D778" s="9"/>
      <c r="E778" s="9"/>
      <c r="F778" s="9"/>
      <c r="G778" s="9"/>
      <c r="H778" s="9"/>
      <c r="I778" s="9"/>
      <c r="J778" s="9"/>
      <c r="K778" s="9"/>
      <c r="L778" s="9"/>
      <c r="M778" s="9"/>
      <c r="N778" s="9"/>
      <c r="O778" s="9"/>
      <c r="P778" s="9"/>
      <c r="Q778" s="10"/>
      <c r="R778" s="5"/>
      <c r="S778" s="5"/>
      <c r="T778" s="5"/>
      <c r="U778" s="5"/>
      <c r="V778" s="5"/>
      <c r="W778" s="5"/>
      <c r="X778" s="5"/>
      <c r="Y778" s="5"/>
      <c r="Z778" s="5"/>
      <c r="AA778" s="5"/>
      <c r="AB778" s="5"/>
      <c r="AC778" s="5"/>
      <c r="AD778" s="5"/>
    </row>
    <row r="779">
      <c r="A779" s="57"/>
      <c r="B779" s="59"/>
      <c r="C779" s="54"/>
      <c r="D779" s="14"/>
      <c r="E779" s="14"/>
      <c r="F779" s="14"/>
      <c r="G779" s="14"/>
      <c r="H779" s="14"/>
      <c r="I779" s="14"/>
      <c r="J779" s="14"/>
      <c r="K779" s="14"/>
      <c r="L779" s="14"/>
      <c r="M779" s="14"/>
      <c r="N779" s="14"/>
      <c r="O779" s="14"/>
      <c r="P779" s="14"/>
      <c r="Q779" s="15"/>
      <c r="R779" s="5"/>
      <c r="S779" s="5"/>
      <c r="T779" s="5"/>
      <c r="U779" s="5"/>
      <c r="V779" s="5"/>
      <c r="W779" s="5"/>
      <c r="X779" s="5"/>
      <c r="Y779" s="5"/>
      <c r="Z779" s="5"/>
      <c r="AA779" s="5"/>
      <c r="AB779" s="5"/>
      <c r="AC779" s="5"/>
      <c r="AD779" s="5"/>
    </row>
    <row r="780">
      <c r="A780" s="55"/>
      <c r="B780" s="56"/>
      <c r="C780" s="52"/>
      <c r="D780" s="9"/>
      <c r="E780" s="9"/>
      <c r="F780" s="9"/>
      <c r="G780" s="9"/>
      <c r="H780" s="9"/>
      <c r="I780" s="9"/>
      <c r="J780" s="9"/>
      <c r="K780" s="9"/>
      <c r="L780" s="9"/>
      <c r="M780" s="9"/>
      <c r="N780" s="9"/>
      <c r="O780" s="9"/>
      <c r="P780" s="9"/>
      <c r="Q780" s="10"/>
      <c r="R780" s="5"/>
      <c r="S780" s="5"/>
      <c r="T780" s="5"/>
      <c r="U780" s="5"/>
      <c r="V780" s="5"/>
      <c r="W780" s="5"/>
      <c r="X780" s="5"/>
      <c r="Y780" s="5"/>
      <c r="Z780" s="5"/>
      <c r="AA780" s="5"/>
      <c r="AB780" s="5"/>
      <c r="AC780" s="5"/>
      <c r="AD780" s="5"/>
    </row>
    <row r="781">
      <c r="A781" s="57"/>
      <c r="B781" s="59"/>
      <c r="C781" s="54"/>
      <c r="D781" s="14"/>
      <c r="E781" s="14"/>
      <c r="F781" s="14"/>
      <c r="G781" s="14"/>
      <c r="H781" s="14"/>
      <c r="I781" s="14"/>
      <c r="J781" s="14"/>
      <c r="K781" s="14"/>
      <c r="L781" s="14"/>
      <c r="M781" s="14"/>
      <c r="N781" s="14"/>
      <c r="O781" s="14"/>
      <c r="P781" s="14"/>
      <c r="Q781" s="15"/>
      <c r="R781" s="5"/>
      <c r="S781" s="5"/>
      <c r="T781" s="5"/>
      <c r="U781" s="5"/>
      <c r="V781" s="5"/>
      <c r="W781" s="5"/>
      <c r="X781" s="5"/>
      <c r="Y781" s="5"/>
      <c r="Z781" s="5"/>
      <c r="AA781" s="5"/>
      <c r="AB781" s="5"/>
      <c r="AC781" s="5"/>
      <c r="AD781" s="5"/>
    </row>
    <row r="782">
      <c r="A782" s="55"/>
      <c r="B782" s="56"/>
      <c r="C782" s="52"/>
      <c r="D782" s="9"/>
      <c r="E782" s="9"/>
      <c r="F782" s="9"/>
      <c r="G782" s="9"/>
      <c r="H782" s="9"/>
      <c r="I782" s="9"/>
      <c r="J782" s="9"/>
      <c r="K782" s="9"/>
      <c r="L782" s="9"/>
      <c r="M782" s="9"/>
      <c r="N782" s="9"/>
      <c r="O782" s="9"/>
      <c r="P782" s="9"/>
      <c r="Q782" s="10"/>
      <c r="R782" s="5"/>
      <c r="S782" s="5"/>
      <c r="T782" s="5"/>
      <c r="U782" s="5"/>
      <c r="V782" s="5"/>
      <c r="W782" s="5"/>
      <c r="X782" s="5"/>
      <c r="Y782" s="5"/>
      <c r="Z782" s="5"/>
      <c r="AA782" s="5"/>
      <c r="AB782" s="5"/>
      <c r="AC782" s="5"/>
      <c r="AD782" s="5"/>
    </row>
    <row r="783">
      <c r="A783" s="57"/>
      <c r="B783" s="59"/>
      <c r="C783" s="54"/>
      <c r="D783" s="14"/>
      <c r="E783" s="14"/>
      <c r="F783" s="14"/>
      <c r="G783" s="14"/>
      <c r="H783" s="14"/>
      <c r="I783" s="14"/>
      <c r="J783" s="14"/>
      <c r="K783" s="14"/>
      <c r="L783" s="14"/>
      <c r="M783" s="14"/>
      <c r="N783" s="14"/>
      <c r="O783" s="14"/>
      <c r="P783" s="14"/>
      <c r="Q783" s="15"/>
      <c r="R783" s="5"/>
      <c r="S783" s="5"/>
      <c r="T783" s="5"/>
      <c r="U783" s="5"/>
      <c r="V783" s="5"/>
      <c r="W783" s="5"/>
      <c r="X783" s="5"/>
      <c r="Y783" s="5"/>
      <c r="Z783" s="5"/>
      <c r="AA783" s="5"/>
      <c r="AB783" s="5"/>
      <c r="AC783" s="5"/>
      <c r="AD783" s="5"/>
    </row>
    <row r="784">
      <c r="A784" s="55"/>
      <c r="B784" s="56"/>
      <c r="C784" s="52"/>
      <c r="D784" s="9"/>
      <c r="E784" s="9"/>
      <c r="F784" s="9"/>
      <c r="G784" s="9"/>
      <c r="H784" s="9"/>
      <c r="I784" s="9"/>
      <c r="J784" s="9"/>
      <c r="K784" s="9"/>
      <c r="L784" s="9"/>
      <c r="M784" s="9"/>
      <c r="N784" s="9"/>
      <c r="O784" s="9"/>
      <c r="P784" s="9"/>
      <c r="Q784" s="10"/>
      <c r="R784" s="5"/>
      <c r="S784" s="5"/>
      <c r="T784" s="5"/>
      <c r="U784" s="5"/>
      <c r="V784" s="5"/>
      <c r="W784" s="5"/>
      <c r="X784" s="5"/>
      <c r="Y784" s="5"/>
      <c r="Z784" s="5"/>
      <c r="AA784" s="5"/>
      <c r="AB784" s="5"/>
      <c r="AC784" s="5"/>
      <c r="AD784" s="5"/>
    </row>
    <row r="785">
      <c r="A785" s="57"/>
      <c r="B785" s="59"/>
      <c r="C785" s="54"/>
      <c r="D785" s="14"/>
      <c r="E785" s="14"/>
      <c r="F785" s="14"/>
      <c r="G785" s="14"/>
      <c r="H785" s="14"/>
      <c r="I785" s="14"/>
      <c r="J785" s="14"/>
      <c r="K785" s="14"/>
      <c r="L785" s="14"/>
      <c r="M785" s="14"/>
      <c r="N785" s="14"/>
      <c r="O785" s="14"/>
      <c r="P785" s="14"/>
      <c r="Q785" s="15"/>
      <c r="R785" s="5"/>
      <c r="S785" s="5"/>
      <c r="T785" s="5"/>
      <c r="U785" s="5"/>
      <c r="V785" s="5"/>
      <c r="W785" s="5"/>
      <c r="X785" s="5"/>
      <c r="Y785" s="5"/>
      <c r="Z785" s="5"/>
      <c r="AA785" s="5"/>
      <c r="AB785" s="5"/>
      <c r="AC785" s="5"/>
      <c r="AD785" s="5"/>
    </row>
    <row r="786">
      <c r="A786" s="55"/>
      <c r="B786" s="56"/>
      <c r="C786" s="52"/>
      <c r="D786" s="9"/>
      <c r="E786" s="9"/>
      <c r="F786" s="9"/>
      <c r="G786" s="9"/>
      <c r="H786" s="9"/>
      <c r="I786" s="9"/>
      <c r="J786" s="9"/>
      <c r="K786" s="9"/>
      <c r="L786" s="9"/>
      <c r="M786" s="9"/>
      <c r="N786" s="9"/>
      <c r="O786" s="9"/>
      <c r="P786" s="9"/>
      <c r="Q786" s="10"/>
      <c r="R786" s="5"/>
      <c r="S786" s="5"/>
      <c r="T786" s="5"/>
      <c r="U786" s="5"/>
      <c r="V786" s="5"/>
      <c r="W786" s="5"/>
      <c r="X786" s="5"/>
      <c r="Y786" s="5"/>
      <c r="Z786" s="5"/>
      <c r="AA786" s="5"/>
      <c r="AB786" s="5"/>
      <c r="AC786" s="5"/>
      <c r="AD786" s="5"/>
    </row>
    <row r="787">
      <c r="A787" s="57"/>
      <c r="B787" s="59"/>
      <c r="C787" s="54"/>
      <c r="D787" s="14"/>
      <c r="E787" s="14"/>
      <c r="F787" s="14"/>
      <c r="G787" s="14"/>
      <c r="H787" s="14"/>
      <c r="I787" s="14"/>
      <c r="J787" s="14"/>
      <c r="K787" s="14"/>
      <c r="L787" s="14"/>
      <c r="M787" s="14"/>
      <c r="N787" s="14"/>
      <c r="O787" s="14"/>
      <c r="P787" s="14"/>
      <c r="Q787" s="15"/>
      <c r="R787" s="5"/>
      <c r="S787" s="5"/>
      <c r="T787" s="5"/>
      <c r="U787" s="5"/>
      <c r="V787" s="5"/>
      <c r="W787" s="5"/>
      <c r="X787" s="5"/>
      <c r="Y787" s="5"/>
      <c r="Z787" s="5"/>
      <c r="AA787" s="5"/>
      <c r="AB787" s="5"/>
      <c r="AC787" s="5"/>
      <c r="AD787" s="5"/>
    </row>
    <row r="788">
      <c r="A788" s="55"/>
      <c r="B788" s="56"/>
      <c r="C788" s="52"/>
      <c r="D788" s="9"/>
      <c r="E788" s="9"/>
      <c r="F788" s="9"/>
      <c r="G788" s="9"/>
      <c r="H788" s="9"/>
      <c r="I788" s="9"/>
      <c r="J788" s="9"/>
      <c r="K788" s="9"/>
      <c r="L788" s="9"/>
      <c r="M788" s="9"/>
      <c r="N788" s="9"/>
      <c r="O788" s="9"/>
      <c r="P788" s="9"/>
      <c r="Q788" s="10"/>
      <c r="R788" s="5"/>
      <c r="S788" s="5"/>
      <c r="T788" s="5"/>
      <c r="U788" s="5"/>
      <c r="V788" s="5"/>
      <c r="W788" s="5"/>
      <c r="X788" s="5"/>
      <c r="Y788" s="5"/>
      <c r="Z788" s="5"/>
      <c r="AA788" s="5"/>
      <c r="AB788" s="5"/>
      <c r="AC788" s="5"/>
      <c r="AD788" s="5"/>
    </row>
    <row r="789">
      <c r="A789" s="57"/>
      <c r="B789" s="59"/>
      <c r="C789" s="54"/>
      <c r="D789" s="14"/>
      <c r="E789" s="14"/>
      <c r="F789" s="14"/>
      <c r="G789" s="14"/>
      <c r="H789" s="14"/>
      <c r="I789" s="14"/>
      <c r="J789" s="14"/>
      <c r="K789" s="14"/>
      <c r="L789" s="14"/>
      <c r="M789" s="14"/>
      <c r="N789" s="14"/>
      <c r="O789" s="14"/>
      <c r="P789" s="14"/>
      <c r="Q789" s="15"/>
      <c r="R789" s="5"/>
      <c r="S789" s="5"/>
      <c r="T789" s="5"/>
      <c r="U789" s="5"/>
      <c r="V789" s="5"/>
      <c r="W789" s="5"/>
      <c r="X789" s="5"/>
      <c r="Y789" s="5"/>
      <c r="Z789" s="5"/>
      <c r="AA789" s="5"/>
      <c r="AB789" s="5"/>
      <c r="AC789" s="5"/>
      <c r="AD789" s="5"/>
    </row>
    <row r="790">
      <c r="A790" s="55"/>
      <c r="B790" s="56"/>
      <c r="C790" s="52"/>
      <c r="D790" s="9"/>
      <c r="E790" s="9"/>
      <c r="F790" s="9"/>
      <c r="G790" s="9"/>
      <c r="H790" s="9"/>
      <c r="I790" s="9"/>
      <c r="J790" s="9"/>
      <c r="K790" s="9"/>
      <c r="L790" s="9"/>
      <c r="M790" s="9"/>
      <c r="N790" s="9"/>
      <c r="O790" s="9"/>
      <c r="P790" s="9"/>
      <c r="Q790" s="10"/>
      <c r="R790" s="5"/>
      <c r="S790" s="5"/>
      <c r="T790" s="5"/>
      <c r="U790" s="5"/>
      <c r="V790" s="5"/>
      <c r="W790" s="5"/>
      <c r="X790" s="5"/>
      <c r="Y790" s="5"/>
      <c r="Z790" s="5"/>
      <c r="AA790" s="5"/>
      <c r="AB790" s="5"/>
      <c r="AC790" s="5"/>
      <c r="AD790" s="5"/>
    </row>
    <row r="791">
      <c r="A791" s="57"/>
      <c r="B791" s="59"/>
      <c r="C791" s="54"/>
      <c r="D791" s="14"/>
      <c r="E791" s="14"/>
      <c r="F791" s="14"/>
      <c r="G791" s="14"/>
      <c r="H791" s="14"/>
      <c r="I791" s="14"/>
      <c r="J791" s="14"/>
      <c r="K791" s="14"/>
      <c r="L791" s="14"/>
      <c r="M791" s="14"/>
      <c r="N791" s="14"/>
      <c r="O791" s="14"/>
      <c r="P791" s="14"/>
      <c r="Q791" s="15"/>
      <c r="R791" s="5"/>
      <c r="S791" s="5"/>
      <c r="T791" s="5"/>
      <c r="U791" s="5"/>
      <c r="V791" s="5"/>
      <c r="W791" s="5"/>
      <c r="X791" s="5"/>
      <c r="Y791" s="5"/>
      <c r="Z791" s="5"/>
      <c r="AA791" s="5"/>
      <c r="AB791" s="5"/>
      <c r="AC791" s="5"/>
      <c r="AD791" s="5"/>
    </row>
    <row r="792">
      <c r="A792" s="55"/>
      <c r="B792" s="56"/>
      <c r="C792" s="52"/>
      <c r="D792" s="9"/>
      <c r="E792" s="9"/>
      <c r="F792" s="9"/>
      <c r="G792" s="9"/>
      <c r="H792" s="9"/>
      <c r="I792" s="9"/>
      <c r="J792" s="9"/>
      <c r="K792" s="9"/>
      <c r="L792" s="9"/>
      <c r="M792" s="9"/>
      <c r="N792" s="9"/>
      <c r="O792" s="9"/>
      <c r="P792" s="9"/>
      <c r="Q792" s="10"/>
      <c r="R792" s="5"/>
      <c r="S792" s="5"/>
      <c r="T792" s="5"/>
      <c r="U792" s="5"/>
      <c r="V792" s="5"/>
      <c r="W792" s="5"/>
      <c r="X792" s="5"/>
      <c r="Y792" s="5"/>
      <c r="Z792" s="5"/>
      <c r="AA792" s="5"/>
      <c r="AB792" s="5"/>
      <c r="AC792" s="5"/>
      <c r="AD792" s="5"/>
    </row>
    <row r="793">
      <c r="A793" s="57"/>
      <c r="B793" s="59"/>
      <c r="C793" s="54"/>
      <c r="D793" s="14"/>
      <c r="E793" s="14"/>
      <c r="F793" s="14"/>
      <c r="G793" s="14"/>
      <c r="H793" s="14"/>
      <c r="I793" s="14"/>
      <c r="J793" s="14"/>
      <c r="K793" s="14"/>
      <c r="L793" s="14"/>
      <c r="M793" s="14"/>
      <c r="N793" s="14"/>
      <c r="O793" s="14"/>
      <c r="P793" s="14"/>
      <c r="Q793" s="15"/>
      <c r="R793" s="5"/>
      <c r="S793" s="5"/>
      <c r="T793" s="5"/>
      <c r="U793" s="5"/>
      <c r="V793" s="5"/>
      <c r="W793" s="5"/>
      <c r="X793" s="5"/>
      <c r="Y793" s="5"/>
      <c r="Z793" s="5"/>
      <c r="AA793" s="5"/>
      <c r="AB793" s="5"/>
      <c r="AC793" s="5"/>
      <c r="AD793" s="5"/>
    </row>
    <row r="794">
      <c r="A794" s="55"/>
      <c r="B794" s="56"/>
      <c r="C794" s="52"/>
      <c r="D794" s="9"/>
      <c r="E794" s="9"/>
      <c r="F794" s="9"/>
      <c r="G794" s="9"/>
      <c r="H794" s="9"/>
      <c r="I794" s="9"/>
      <c r="J794" s="9"/>
      <c r="K794" s="9"/>
      <c r="L794" s="9"/>
      <c r="M794" s="9"/>
      <c r="N794" s="9"/>
      <c r="O794" s="9"/>
      <c r="P794" s="9"/>
      <c r="Q794" s="10"/>
      <c r="R794" s="5"/>
      <c r="S794" s="5"/>
      <c r="T794" s="5"/>
      <c r="U794" s="5"/>
      <c r="V794" s="5"/>
      <c r="W794" s="5"/>
      <c r="X794" s="5"/>
      <c r="Y794" s="5"/>
      <c r="Z794" s="5"/>
      <c r="AA794" s="5"/>
      <c r="AB794" s="5"/>
      <c r="AC794" s="5"/>
      <c r="AD794" s="5"/>
    </row>
    <row r="795">
      <c r="A795" s="57"/>
      <c r="B795" s="59"/>
      <c r="C795" s="54"/>
      <c r="D795" s="14"/>
      <c r="E795" s="14"/>
      <c r="F795" s="14"/>
      <c r="G795" s="14"/>
      <c r="H795" s="14"/>
      <c r="I795" s="14"/>
      <c r="J795" s="14"/>
      <c r="K795" s="14"/>
      <c r="L795" s="14"/>
      <c r="M795" s="14"/>
      <c r="N795" s="14"/>
      <c r="O795" s="14"/>
      <c r="P795" s="14"/>
      <c r="Q795" s="15"/>
      <c r="R795" s="5"/>
      <c r="S795" s="5"/>
      <c r="T795" s="5"/>
      <c r="U795" s="5"/>
      <c r="V795" s="5"/>
      <c r="W795" s="5"/>
      <c r="X795" s="5"/>
      <c r="Y795" s="5"/>
      <c r="Z795" s="5"/>
      <c r="AA795" s="5"/>
      <c r="AB795" s="5"/>
      <c r="AC795" s="5"/>
      <c r="AD795" s="5"/>
    </row>
    <row r="796">
      <c r="A796" s="55"/>
      <c r="B796" s="56"/>
      <c r="C796" s="52"/>
      <c r="D796" s="9"/>
      <c r="E796" s="9"/>
      <c r="F796" s="9"/>
      <c r="G796" s="9"/>
      <c r="H796" s="9"/>
      <c r="I796" s="9"/>
      <c r="J796" s="9"/>
      <c r="K796" s="9"/>
      <c r="L796" s="9"/>
      <c r="M796" s="9"/>
      <c r="N796" s="9"/>
      <c r="O796" s="9"/>
      <c r="P796" s="9"/>
      <c r="Q796" s="10"/>
      <c r="R796" s="5"/>
      <c r="S796" s="5"/>
      <c r="T796" s="5"/>
      <c r="U796" s="5"/>
      <c r="V796" s="5"/>
      <c r="W796" s="5"/>
      <c r="X796" s="5"/>
      <c r="Y796" s="5"/>
      <c r="Z796" s="5"/>
      <c r="AA796" s="5"/>
      <c r="AB796" s="5"/>
      <c r="AC796" s="5"/>
      <c r="AD796" s="5"/>
    </row>
    <row r="797">
      <c r="A797" s="57"/>
      <c r="B797" s="59"/>
      <c r="C797" s="54"/>
      <c r="D797" s="14"/>
      <c r="E797" s="14"/>
      <c r="F797" s="14"/>
      <c r="G797" s="14"/>
      <c r="H797" s="14"/>
      <c r="I797" s="14"/>
      <c r="J797" s="14"/>
      <c r="K797" s="14"/>
      <c r="L797" s="14"/>
      <c r="M797" s="14"/>
      <c r="N797" s="14"/>
      <c r="O797" s="14"/>
      <c r="P797" s="14"/>
      <c r="Q797" s="15"/>
      <c r="R797" s="5"/>
      <c r="S797" s="5"/>
      <c r="T797" s="5"/>
      <c r="U797" s="5"/>
      <c r="V797" s="5"/>
      <c r="W797" s="5"/>
      <c r="X797" s="5"/>
      <c r="Y797" s="5"/>
      <c r="Z797" s="5"/>
      <c r="AA797" s="5"/>
      <c r="AB797" s="5"/>
      <c r="AC797" s="5"/>
      <c r="AD797" s="5"/>
    </row>
    <row r="798">
      <c r="A798" s="55"/>
      <c r="B798" s="56"/>
      <c r="C798" s="52"/>
      <c r="D798" s="9"/>
      <c r="E798" s="9"/>
      <c r="F798" s="9"/>
      <c r="G798" s="9"/>
      <c r="H798" s="9"/>
      <c r="I798" s="9"/>
      <c r="J798" s="9"/>
      <c r="K798" s="9"/>
      <c r="L798" s="9"/>
      <c r="M798" s="9"/>
      <c r="N798" s="9"/>
      <c r="O798" s="9"/>
      <c r="P798" s="9"/>
      <c r="Q798" s="10"/>
      <c r="R798" s="5"/>
      <c r="S798" s="5"/>
      <c r="T798" s="5"/>
      <c r="U798" s="5"/>
      <c r="V798" s="5"/>
      <c r="W798" s="5"/>
      <c r="X798" s="5"/>
      <c r="Y798" s="5"/>
      <c r="Z798" s="5"/>
      <c r="AA798" s="5"/>
      <c r="AB798" s="5"/>
      <c r="AC798" s="5"/>
      <c r="AD798" s="5"/>
    </row>
    <row r="799">
      <c r="A799" s="57"/>
      <c r="B799" s="59"/>
      <c r="C799" s="54"/>
      <c r="D799" s="14"/>
      <c r="E799" s="14"/>
      <c r="F799" s="14"/>
      <c r="G799" s="14"/>
      <c r="H799" s="14"/>
      <c r="I799" s="14"/>
      <c r="J799" s="14"/>
      <c r="K799" s="14"/>
      <c r="L799" s="14"/>
      <c r="M799" s="14"/>
      <c r="N799" s="14"/>
      <c r="O799" s="14"/>
      <c r="P799" s="14"/>
      <c r="Q799" s="15"/>
      <c r="R799" s="5"/>
      <c r="S799" s="5"/>
      <c r="T799" s="5"/>
      <c r="U799" s="5"/>
      <c r="V799" s="5"/>
      <c r="W799" s="5"/>
      <c r="X799" s="5"/>
      <c r="Y799" s="5"/>
      <c r="Z799" s="5"/>
      <c r="AA799" s="5"/>
      <c r="AB799" s="5"/>
      <c r="AC799" s="5"/>
      <c r="AD799" s="5"/>
    </row>
    <row r="800">
      <c r="A800" s="55"/>
      <c r="B800" s="56"/>
      <c r="C800" s="52"/>
      <c r="D800" s="9"/>
      <c r="E800" s="9"/>
      <c r="F800" s="9"/>
      <c r="G800" s="9"/>
      <c r="H800" s="9"/>
      <c r="I800" s="9"/>
      <c r="J800" s="9"/>
      <c r="K800" s="9"/>
      <c r="L800" s="9"/>
      <c r="M800" s="9"/>
      <c r="N800" s="9"/>
      <c r="O800" s="9"/>
      <c r="P800" s="9"/>
      <c r="Q800" s="10"/>
      <c r="R800" s="5"/>
      <c r="S800" s="5"/>
      <c r="T800" s="5"/>
      <c r="U800" s="5"/>
      <c r="V800" s="5"/>
      <c r="W800" s="5"/>
      <c r="X800" s="5"/>
      <c r="Y800" s="5"/>
      <c r="Z800" s="5"/>
      <c r="AA800" s="5"/>
      <c r="AB800" s="5"/>
      <c r="AC800" s="5"/>
      <c r="AD800" s="5"/>
    </row>
    <row r="801">
      <c r="A801" s="57"/>
      <c r="B801" s="59"/>
      <c r="C801" s="54"/>
      <c r="D801" s="14"/>
      <c r="E801" s="14"/>
      <c r="F801" s="14"/>
      <c r="G801" s="14"/>
      <c r="H801" s="14"/>
      <c r="I801" s="14"/>
      <c r="J801" s="14"/>
      <c r="K801" s="14"/>
      <c r="L801" s="14"/>
      <c r="M801" s="14"/>
      <c r="N801" s="14"/>
      <c r="O801" s="14"/>
      <c r="P801" s="14"/>
      <c r="Q801" s="15"/>
      <c r="R801" s="5"/>
      <c r="S801" s="5"/>
      <c r="T801" s="5"/>
      <c r="U801" s="5"/>
      <c r="V801" s="5"/>
      <c r="W801" s="5"/>
      <c r="X801" s="5"/>
      <c r="Y801" s="5"/>
      <c r="Z801" s="5"/>
      <c r="AA801" s="5"/>
      <c r="AB801" s="5"/>
      <c r="AC801" s="5"/>
      <c r="AD801" s="5"/>
    </row>
    <row r="802">
      <c r="A802" s="55"/>
      <c r="B802" s="56"/>
      <c r="C802" s="52"/>
      <c r="D802" s="9"/>
      <c r="E802" s="9"/>
      <c r="F802" s="9"/>
      <c r="G802" s="9"/>
      <c r="H802" s="9"/>
      <c r="I802" s="9"/>
      <c r="J802" s="9"/>
      <c r="K802" s="9"/>
      <c r="L802" s="9"/>
      <c r="M802" s="9"/>
      <c r="N802" s="9"/>
      <c r="O802" s="9"/>
      <c r="P802" s="9"/>
      <c r="Q802" s="10"/>
      <c r="R802" s="5"/>
      <c r="S802" s="5"/>
      <c r="T802" s="5"/>
      <c r="U802" s="5"/>
      <c r="V802" s="5"/>
      <c r="W802" s="5"/>
      <c r="X802" s="5"/>
      <c r="Y802" s="5"/>
      <c r="Z802" s="5"/>
      <c r="AA802" s="5"/>
      <c r="AB802" s="5"/>
      <c r="AC802" s="5"/>
      <c r="AD802" s="5"/>
    </row>
    <row r="803">
      <c r="A803" s="57"/>
      <c r="B803" s="59"/>
      <c r="C803" s="54"/>
      <c r="D803" s="14"/>
      <c r="E803" s="14"/>
      <c r="F803" s="14"/>
      <c r="G803" s="14"/>
      <c r="H803" s="14"/>
      <c r="I803" s="14"/>
      <c r="J803" s="14"/>
      <c r="K803" s="14"/>
      <c r="L803" s="14"/>
      <c r="M803" s="14"/>
      <c r="N803" s="14"/>
      <c r="O803" s="14"/>
      <c r="P803" s="14"/>
      <c r="Q803" s="15"/>
      <c r="R803" s="5"/>
      <c r="S803" s="5"/>
      <c r="T803" s="5"/>
      <c r="U803" s="5"/>
      <c r="V803" s="5"/>
      <c r="W803" s="5"/>
      <c r="X803" s="5"/>
      <c r="Y803" s="5"/>
      <c r="Z803" s="5"/>
      <c r="AA803" s="5"/>
      <c r="AB803" s="5"/>
      <c r="AC803" s="5"/>
      <c r="AD803" s="5"/>
    </row>
    <row r="804">
      <c r="A804" s="55"/>
      <c r="B804" s="56"/>
      <c r="C804" s="52"/>
      <c r="D804" s="9"/>
      <c r="E804" s="9"/>
      <c r="F804" s="9"/>
      <c r="G804" s="9"/>
      <c r="H804" s="9"/>
      <c r="I804" s="9"/>
      <c r="J804" s="9"/>
      <c r="K804" s="9"/>
      <c r="L804" s="9"/>
      <c r="M804" s="9"/>
      <c r="N804" s="9"/>
      <c r="O804" s="9"/>
      <c r="P804" s="9"/>
      <c r="Q804" s="10"/>
      <c r="R804" s="5"/>
      <c r="S804" s="5"/>
      <c r="T804" s="5"/>
      <c r="U804" s="5"/>
      <c r="V804" s="5"/>
      <c r="W804" s="5"/>
      <c r="X804" s="5"/>
      <c r="Y804" s="5"/>
      <c r="Z804" s="5"/>
      <c r="AA804" s="5"/>
      <c r="AB804" s="5"/>
      <c r="AC804" s="5"/>
      <c r="AD804" s="5"/>
    </row>
    <row r="805">
      <c r="A805" s="57"/>
      <c r="B805" s="59"/>
      <c r="C805" s="54"/>
      <c r="D805" s="14"/>
      <c r="E805" s="14"/>
      <c r="F805" s="14"/>
      <c r="G805" s="14"/>
      <c r="H805" s="14"/>
      <c r="I805" s="14"/>
      <c r="J805" s="14"/>
      <c r="K805" s="14"/>
      <c r="L805" s="14"/>
      <c r="M805" s="14"/>
      <c r="N805" s="14"/>
      <c r="O805" s="14"/>
      <c r="P805" s="14"/>
      <c r="Q805" s="15"/>
      <c r="R805" s="5"/>
      <c r="S805" s="5"/>
      <c r="T805" s="5"/>
      <c r="U805" s="5"/>
      <c r="V805" s="5"/>
      <c r="W805" s="5"/>
      <c r="X805" s="5"/>
      <c r="Y805" s="5"/>
      <c r="Z805" s="5"/>
      <c r="AA805" s="5"/>
      <c r="AB805" s="5"/>
      <c r="AC805" s="5"/>
      <c r="AD805" s="5"/>
    </row>
    <row r="806">
      <c r="A806" s="55"/>
      <c r="B806" s="56"/>
      <c r="C806" s="52"/>
      <c r="D806" s="9"/>
      <c r="E806" s="9"/>
      <c r="F806" s="9"/>
      <c r="G806" s="9"/>
      <c r="H806" s="9"/>
      <c r="I806" s="9"/>
      <c r="J806" s="9"/>
      <c r="K806" s="9"/>
      <c r="L806" s="9"/>
      <c r="M806" s="9"/>
      <c r="N806" s="9"/>
      <c r="O806" s="9"/>
      <c r="P806" s="9"/>
      <c r="Q806" s="10"/>
      <c r="R806" s="5"/>
      <c r="S806" s="5"/>
      <c r="T806" s="5"/>
      <c r="U806" s="5"/>
      <c r="V806" s="5"/>
      <c r="W806" s="5"/>
      <c r="X806" s="5"/>
      <c r="Y806" s="5"/>
      <c r="Z806" s="5"/>
      <c r="AA806" s="5"/>
      <c r="AB806" s="5"/>
      <c r="AC806" s="5"/>
      <c r="AD806" s="5"/>
    </row>
    <row r="807">
      <c r="A807" s="57"/>
      <c r="B807" s="59"/>
      <c r="C807" s="54"/>
      <c r="D807" s="14"/>
      <c r="E807" s="14"/>
      <c r="F807" s="14"/>
      <c r="G807" s="14"/>
      <c r="H807" s="14"/>
      <c r="I807" s="14"/>
      <c r="J807" s="14"/>
      <c r="K807" s="14"/>
      <c r="L807" s="14"/>
      <c r="M807" s="14"/>
      <c r="N807" s="14"/>
      <c r="O807" s="14"/>
      <c r="P807" s="14"/>
      <c r="Q807" s="15"/>
      <c r="R807" s="5"/>
      <c r="S807" s="5"/>
      <c r="T807" s="5"/>
      <c r="U807" s="5"/>
      <c r="V807" s="5"/>
      <c r="W807" s="5"/>
      <c r="X807" s="5"/>
      <c r="Y807" s="5"/>
      <c r="Z807" s="5"/>
      <c r="AA807" s="5"/>
      <c r="AB807" s="5"/>
      <c r="AC807" s="5"/>
      <c r="AD807" s="5"/>
    </row>
    <row r="808">
      <c r="A808" s="55"/>
      <c r="B808" s="56"/>
      <c r="C808" s="52"/>
      <c r="D808" s="9"/>
      <c r="E808" s="9"/>
      <c r="F808" s="9"/>
      <c r="G808" s="9"/>
      <c r="H808" s="9"/>
      <c r="I808" s="9"/>
      <c r="J808" s="9"/>
      <c r="K808" s="9"/>
      <c r="L808" s="9"/>
      <c r="M808" s="9"/>
      <c r="N808" s="9"/>
      <c r="O808" s="9"/>
      <c r="P808" s="9"/>
      <c r="Q808" s="10"/>
      <c r="R808" s="5"/>
      <c r="S808" s="5"/>
      <c r="T808" s="5"/>
      <c r="U808" s="5"/>
      <c r="V808" s="5"/>
      <c r="W808" s="5"/>
      <c r="X808" s="5"/>
      <c r="Y808" s="5"/>
      <c r="Z808" s="5"/>
      <c r="AA808" s="5"/>
      <c r="AB808" s="5"/>
      <c r="AC808" s="5"/>
      <c r="AD808" s="5"/>
    </row>
    <row r="809">
      <c r="A809" s="57"/>
      <c r="B809" s="59"/>
      <c r="C809" s="54"/>
      <c r="D809" s="14"/>
      <c r="E809" s="14"/>
      <c r="F809" s="14"/>
      <c r="G809" s="14"/>
      <c r="H809" s="14"/>
      <c r="I809" s="14"/>
      <c r="J809" s="14"/>
      <c r="K809" s="14"/>
      <c r="L809" s="14"/>
      <c r="M809" s="14"/>
      <c r="N809" s="14"/>
      <c r="O809" s="14"/>
      <c r="P809" s="14"/>
      <c r="Q809" s="15"/>
      <c r="R809" s="5"/>
      <c r="S809" s="5"/>
      <c r="T809" s="5"/>
      <c r="U809" s="5"/>
      <c r="V809" s="5"/>
      <c r="W809" s="5"/>
      <c r="X809" s="5"/>
      <c r="Y809" s="5"/>
      <c r="Z809" s="5"/>
      <c r="AA809" s="5"/>
      <c r="AB809" s="5"/>
      <c r="AC809" s="5"/>
      <c r="AD809" s="5"/>
    </row>
    <row r="810">
      <c r="A810" s="55"/>
      <c r="B810" s="56"/>
      <c r="C810" s="52"/>
      <c r="D810" s="9"/>
      <c r="E810" s="9"/>
      <c r="F810" s="9"/>
      <c r="G810" s="9"/>
      <c r="H810" s="9"/>
      <c r="I810" s="9"/>
      <c r="J810" s="9"/>
      <c r="K810" s="9"/>
      <c r="L810" s="9"/>
      <c r="M810" s="9"/>
      <c r="N810" s="9"/>
      <c r="O810" s="9"/>
      <c r="P810" s="9"/>
      <c r="Q810" s="10"/>
      <c r="R810" s="5"/>
      <c r="S810" s="5"/>
      <c r="T810" s="5"/>
      <c r="U810" s="5"/>
      <c r="V810" s="5"/>
      <c r="W810" s="5"/>
      <c r="X810" s="5"/>
      <c r="Y810" s="5"/>
      <c r="Z810" s="5"/>
      <c r="AA810" s="5"/>
      <c r="AB810" s="5"/>
      <c r="AC810" s="5"/>
      <c r="AD810" s="5"/>
    </row>
    <row r="811">
      <c r="A811" s="57"/>
      <c r="B811" s="59"/>
      <c r="C811" s="54"/>
      <c r="D811" s="14"/>
      <c r="E811" s="14"/>
      <c r="F811" s="14"/>
      <c r="G811" s="14"/>
      <c r="H811" s="14"/>
      <c r="I811" s="14"/>
      <c r="J811" s="14"/>
      <c r="K811" s="14"/>
      <c r="L811" s="14"/>
      <c r="M811" s="14"/>
      <c r="N811" s="14"/>
      <c r="O811" s="14"/>
      <c r="P811" s="14"/>
      <c r="Q811" s="15"/>
      <c r="R811" s="5"/>
      <c r="S811" s="5"/>
      <c r="T811" s="5"/>
      <c r="U811" s="5"/>
      <c r="V811" s="5"/>
      <c r="W811" s="5"/>
      <c r="X811" s="5"/>
      <c r="Y811" s="5"/>
      <c r="Z811" s="5"/>
      <c r="AA811" s="5"/>
      <c r="AB811" s="5"/>
      <c r="AC811" s="5"/>
      <c r="AD811" s="5"/>
    </row>
    <row r="812">
      <c r="A812" s="55"/>
      <c r="B812" s="56"/>
      <c r="C812" s="52"/>
      <c r="D812" s="9"/>
      <c r="E812" s="9"/>
      <c r="F812" s="9"/>
      <c r="G812" s="9"/>
      <c r="H812" s="9"/>
      <c r="I812" s="9"/>
      <c r="J812" s="9"/>
      <c r="K812" s="9"/>
      <c r="L812" s="9"/>
      <c r="M812" s="9"/>
      <c r="N812" s="9"/>
      <c r="O812" s="9"/>
      <c r="P812" s="9"/>
      <c r="Q812" s="10"/>
      <c r="R812" s="5"/>
      <c r="S812" s="5"/>
      <c r="T812" s="5"/>
      <c r="U812" s="5"/>
      <c r="V812" s="5"/>
      <c r="W812" s="5"/>
      <c r="X812" s="5"/>
      <c r="Y812" s="5"/>
      <c r="Z812" s="5"/>
      <c r="AA812" s="5"/>
      <c r="AB812" s="5"/>
      <c r="AC812" s="5"/>
      <c r="AD812" s="5"/>
    </row>
    <row r="813">
      <c r="A813" s="57"/>
      <c r="B813" s="59"/>
      <c r="C813" s="54"/>
      <c r="D813" s="14"/>
      <c r="E813" s="14"/>
      <c r="F813" s="14"/>
      <c r="G813" s="14"/>
      <c r="H813" s="14"/>
      <c r="I813" s="14"/>
      <c r="J813" s="14"/>
      <c r="K813" s="14"/>
      <c r="L813" s="14"/>
      <c r="M813" s="14"/>
      <c r="N813" s="14"/>
      <c r="O813" s="14"/>
      <c r="P813" s="14"/>
      <c r="Q813" s="15"/>
      <c r="R813" s="5"/>
      <c r="S813" s="5"/>
      <c r="T813" s="5"/>
      <c r="U813" s="5"/>
      <c r="V813" s="5"/>
      <c r="W813" s="5"/>
      <c r="X813" s="5"/>
      <c r="Y813" s="5"/>
      <c r="Z813" s="5"/>
      <c r="AA813" s="5"/>
      <c r="AB813" s="5"/>
      <c r="AC813" s="5"/>
      <c r="AD813" s="5"/>
    </row>
    <row r="814">
      <c r="A814" s="55"/>
      <c r="B814" s="56"/>
      <c r="C814" s="52"/>
      <c r="D814" s="9"/>
      <c r="E814" s="9"/>
      <c r="F814" s="9"/>
      <c r="G814" s="9"/>
      <c r="H814" s="9"/>
      <c r="I814" s="9"/>
      <c r="J814" s="9"/>
      <c r="K814" s="9"/>
      <c r="L814" s="9"/>
      <c r="M814" s="9"/>
      <c r="N814" s="9"/>
      <c r="O814" s="9"/>
      <c r="P814" s="9"/>
      <c r="Q814" s="10"/>
      <c r="R814" s="5"/>
      <c r="S814" s="5"/>
      <c r="T814" s="5"/>
      <c r="U814" s="5"/>
      <c r="V814" s="5"/>
      <c r="W814" s="5"/>
      <c r="X814" s="5"/>
      <c r="Y814" s="5"/>
      <c r="Z814" s="5"/>
      <c r="AA814" s="5"/>
      <c r="AB814" s="5"/>
      <c r="AC814" s="5"/>
      <c r="AD814" s="5"/>
    </row>
    <row r="815">
      <c r="A815" s="57"/>
      <c r="B815" s="59"/>
      <c r="C815" s="54"/>
      <c r="D815" s="14"/>
      <c r="E815" s="14"/>
      <c r="F815" s="14"/>
      <c r="G815" s="14"/>
      <c r="H815" s="14"/>
      <c r="I815" s="14"/>
      <c r="J815" s="14"/>
      <c r="K815" s="14"/>
      <c r="L815" s="14"/>
      <c r="M815" s="14"/>
      <c r="N815" s="14"/>
      <c r="O815" s="14"/>
      <c r="P815" s="14"/>
      <c r="Q815" s="15"/>
      <c r="R815" s="5"/>
      <c r="S815" s="5"/>
      <c r="T815" s="5"/>
      <c r="U815" s="5"/>
      <c r="V815" s="5"/>
      <c r="W815" s="5"/>
      <c r="X815" s="5"/>
      <c r="Y815" s="5"/>
      <c r="Z815" s="5"/>
      <c r="AA815" s="5"/>
      <c r="AB815" s="5"/>
      <c r="AC815" s="5"/>
      <c r="AD815" s="5"/>
    </row>
    <row r="816">
      <c r="A816" s="55"/>
      <c r="B816" s="56"/>
      <c r="C816" s="52"/>
      <c r="D816" s="9"/>
      <c r="E816" s="9"/>
      <c r="F816" s="9"/>
      <c r="G816" s="9"/>
      <c r="H816" s="9"/>
      <c r="I816" s="9"/>
      <c r="J816" s="9"/>
      <c r="K816" s="9"/>
      <c r="L816" s="9"/>
      <c r="M816" s="9"/>
      <c r="N816" s="9"/>
      <c r="O816" s="9"/>
      <c r="P816" s="9"/>
      <c r="Q816" s="10"/>
      <c r="R816" s="5"/>
      <c r="S816" s="5"/>
      <c r="T816" s="5"/>
      <c r="U816" s="5"/>
      <c r="V816" s="5"/>
      <c r="W816" s="5"/>
      <c r="X816" s="5"/>
      <c r="Y816" s="5"/>
      <c r="Z816" s="5"/>
      <c r="AA816" s="5"/>
      <c r="AB816" s="5"/>
      <c r="AC816" s="5"/>
      <c r="AD816" s="5"/>
    </row>
    <row r="817">
      <c r="A817" s="57"/>
      <c r="B817" s="59"/>
      <c r="C817" s="54"/>
      <c r="D817" s="14"/>
      <c r="E817" s="14"/>
      <c r="F817" s="14"/>
      <c r="G817" s="14"/>
      <c r="H817" s="14"/>
      <c r="I817" s="14"/>
      <c r="J817" s="14"/>
      <c r="K817" s="14"/>
      <c r="L817" s="14"/>
      <c r="M817" s="14"/>
      <c r="N817" s="14"/>
      <c r="O817" s="14"/>
      <c r="P817" s="14"/>
      <c r="Q817" s="15"/>
      <c r="R817" s="5"/>
      <c r="S817" s="5"/>
      <c r="T817" s="5"/>
      <c r="U817" s="5"/>
      <c r="V817" s="5"/>
      <c r="W817" s="5"/>
      <c r="X817" s="5"/>
      <c r="Y817" s="5"/>
      <c r="Z817" s="5"/>
      <c r="AA817" s="5"/>
      <c r="AB817" s="5"/>
      <c r="AC817" s="5"/>
      <c r="AD817" s="5"/>
    </row>
    <row r="818">
      <c r="A818" s="55"/>
      <c r="B818" s="56"/>
      <c r="C818" s="52"/>
      <c r="D818" s="9"/>
      <c r="E818" s="9"/>
      <c r="F818" s="9"/>
      <c r="G818" s="9"/>
      <c r="H818" s="9"/>
      <c r="I818" s="9"/>
      <c r="J818" s="9"/>
      <c r="K818" s="9"/>
      <c r="L818" s="9"/>
      <c r="M818" s="9"/>
      <c r="N818" s="9"/>
      <c r="O818" s="9"/>
      <c r="P818" s="9"/>
      <c r="Q818" s="10"/>
      <c r="R818" s="5"/>
      <c r="S818" s="5"/>
      <c r="T818" s="5"/>
      <c r="U818" s="5"/>
      <c r="V818" s="5"/>
      <c r="W818" s="5"/>
      <c r="X818" s="5"/>
      <c r="Y818" s="5"/>
      <c r="Z818" s="5"/>
      <c r="AA818" s="5"/>
      <c r="AB818" s="5"/>
      <c r="AC818" s="5"/>
      <c r="AD818" s="5"/>
    </row>
    <row r="819">
      <c r="A819" s="57"/>
      <c r="B819" s="59"/>
      <c r="C819" s="54"/>
      <c r="D819" s="14"/>
      <c r="E819" s="14"/>
      <c r="F819" s="14"/>
      <c r="G819" s="14"/>
      <c r="H819" s="14"/>
      <c r="I819" s="14"/>
      <c r="J819" s="14"/>
      <c r="K819" s="14"/>
      <c r="L819" s="14"/>
      <c r="M819" s="14"/>
      <c r="N819" s="14"/>
      <c r="O819" s="14"/>
      <c r="P819" s="14"/>
      <c r="Q819" s="15"/>
      <c r="R819" s="5"/>
      <c r="S819" s="5"/>
      <c r="T819" s="5"/>
      <c r="U819" s="5"/>
      <c r="V819" s="5"/>
      <c r="W819" s="5"/>
      <c r="X819" s="5"/>
      <c r="Y819" s="5"/>
      <c r="Z819" s="5"/>
      <c r="AA819" s="5"/>
      <c r="AB819" s="5"/>
      <c r="AC819" s="5"/>
      <c r="AD819" s="5"/>
    </row>
    <row r="820">
      <c r="A820" s="55"/>
      <c r="B820" s="56"/>
      <c r="C820" s="52"/>
      <c r="D820" s="9"/>
      <c r="E820" s="9"/>
      <c r="F820" s="9"/>
      <c r="G820" s="9"/>
      <c r="H820" s="9"/>
      <c r="I820" s="9"/>
      <c r="J820" s="9"/>
      <c r="K820" s="9"/>
      <c r="L820" s="9"/>
      <c r="M820" s="9"/>
      <c r="N820" s="9"/>
      <c r="O820" s="9"/>
      <c r="P820" s="9"/>
      <c r="Q820" s="10"/>
      <c r="R820" s="5"/>
      <c r="S820" s="5"/>
      <c r="T820" s="5"/>
      <c r="U820" s="5"/>
      <c r="V820" s="5"/>
      <c r="W820" s="5"/>
      <c r="X820" s="5"/>
      <c r="Y820" s="5"/>
      <c r="Z820" s="5"/>
      <c r="AA820" s="5"/>
      <c r="AB820" s="5"/>
      <c r="AC820" s="5"/>
      <c r="AD820" s="5"/>
    </row>
    <row r="821">
      <c r="A821" s="57"/>
      <c r="B821" s="59"/>
      <c r="C821" s="54"/>
      <c r="D821" s="14"/>
      <c r="E821" s="14"/>
      <c r="F821" s="14"/>
      <c r="G821" s="14"/>
      <c r="H821" s="14"/>
      <c r="I821" s="14"/>
      <c r="J821" s="14"/>
      <c r="K821" s="14"/>
      <c r="L821" s="14"/>
      <c r="M821" s="14"/>
      <c r="N821" s="14"/>
      <c r="O821" s="14"/>
      <c r="P821" s="14"/>
      <c r="Q821" s="15"/>
      <c r="R821" s="5"/>
      <c r="S821" s="5"/>
      <c r="T821" s="5"/>
      <c r="U821" s="5"/>
      <c r="V821" s="5"/>
      <c r="W821" s="5"/>
      <c r="X821" s="5"/>
      <c r="Y821" s="5"/>
      <c r="Z821" s="5"/>
      <c r="AA821" s="5"/>
      <c r="AB821" s="5"/>
      <c r="AC821" s="5"/>
      <c r="AD821" s="5"/>
    </row>
    <row r="822">
      <c r="A822" s="55"/>
      <c r="B822" s="56"/>
      <c r="C822" s="52"/>
      <c r="D822" s="9"/>
      <c r="E822" s="9"/>
      <c r="F822" s="9"/>
      <c r="G822" s="9"/>
      <c r="H822" s="9"/>
      <c r="I822" s="9"/>
      <c r="J822" s="9"/>
      <c r="K822" s="9"/>
      <c r="L822" s="9"/>
      <c r="M822" s="9"/>
      <c r="N822" s="9"/>
      <c r="O822" s="9"/>
      <c r="P822" s="9"/>
      <c r="Q822" s="10"/>
      <c r="R822" s="5"/>
      <c r="S822" s="5"/>
      <c r="T822" s="5"/>
      <c r="U822" s="5"/>
      <c r="V822" s="5"/>
      <c r="W822" s="5"/>
      <c r="X822" s="5"/>
      <c r="Y822" s="5"/>
      <c r="Z822" s="5"/>
      <c r="AA822" s="5"/>
      <c r="AB822" s="5"/>
      <c r="AC822" s="5"/>
      <c r="AD822" s="5"/>
    </row>
    <row r="823">
      <c r="A823" s="57"/>
      <c r="B823" s="59"/>
      <c r="C823" s="54"/>
      <c r="D823" s="14"/>
      <c r="E823" s="14"/>
      <c r="F823" s="14"/>
      <c r="G823" s="14"/>
      <c r="H823" s="14"/>
      <c r="I823" s="14"/>
      <c r="J823" s="14"/>
      <c r="K823" s="14"/>
      <c r="L823" s="14"/>
      <c r="M823" s="14"/>
      <c r="N823" s="14"/>
      <c r="O823" s="14"/>
      <c r="P823" s="14"/>
      <c r="Q823" s="15"/>
      <c r="R823" s="5"/>
      <c r="S823" s="5"/>
      <c r="T823" s="5"/>
      <c r="U823" s="5"/>
      <c r="V823" s="5"/>
      <c r="W823" s="5"/>
      <c r="X823" s="5"/>
      <c r="Y823" s="5"/>
      <c r="Z823" s="5"/>
      <c r="AA823" s="5"/>
      <c r="AB823" s="5"/>
      <c r="AC823" s="5"/>
      <c r="AD823" s="5"/>
    </row>
    <row r="824">
      <c r="A824" s="55"/>
      <c r="B824" s="56"/>
      <c r="C824" s="52"/>
      <c r="D824" s="9"/>
      <c r="E824" s="9"/>
      <c r="F824" s="9"/>
      <c r="G824" s="9"/>
      <c r="H824" s="9"/>
      <c r="I824" s="9"/>
      <c r="J824" s="9"/>
      <c r="K824" s="9"/>
      <c r="L824" s="9"/>
      <c r="M824" s="9"/>
      <c r="N824" s="9"/>
      <c r="O824" s="9"/>
      <c r="P824" s="9"/>
      <c r="Q824" s="10"/>
      <c r="R824" s="5"/>
      <c r="S824" s="5"/>
      <c r="T824" s="5"/>
      <c r="U824" s="5"/>
      <c r="V824" s="5"/>
      <c r="W824" s="5"/>
      <c r="X824" s="5"/>
      <c r="Y824" s="5"/>
      <c r="Z824" s="5"/>
      <c r="AA824" s="5"/>
      <c r="AB824" s="5"/>
      <c r="AC824" s="5"/>
      <c r="AD824" s="5"/>
    </row>
    <row r="825">
      <c r="A825" s="57"/>
      <c r="B825" s="59"/>
      <c r="C825" s="54"/>
      <c r="D825" s="14"/>
      <c r="E825" s="14"/>
      <c r="F825" s="14"/>
      <c r="G825" s="14"/>
      <c r="H825" s="14"/>
      <c r="I825" s="14"/>
      <c r="J825" s="14"/>
      <c r="K825" s="14"/>
      <c r="L825" s="14"/>
      <c r="M825" s="14"/>
      <c r="N825" s="14"/>
      <c r="O825" s="14"/>
      <c r="P825" s="14"/>
      <c r="Q825" s="15"/>
      <c r="R825" s="5"/>
      <c r="S825" s="5"/>
      <c r="T825" s="5"/>
      <c r="U825" s="5"/>
      <c r="V825" s="5"/>
      <c r="W825" s="5"/>
      <c r="X825" s="5"/>
      <c r="Y825" s="5"/>
      <c r="Z825" s="5"/>
      <c r="AA825" s="5"/>
      <c r="AB825" s="5"/>
      <c r="AC825" s="5"/>
      <c r="AD825" s="5"/>
    </row>
    <row r="826">
      <c r="A826" s="55"/>
      <c r="B826" s="56"/>
      <c r="C826" s="52"/>
      <c r="D826" s="9"/>
      <c r="E826" s="9"/>
      <c r="F826" s="9"/>
      <c r="G826" s="9"/>
      <c r="H826" s="9"/>
      <c r="I826" s="9"/>
      <c r="J826" s="9"/>
      <c r="K826" s="9"/>
      <c r="L826" s="9"/>
      <c r="M826" s="9"/>
      <c r="N826" s="9"/>
      <c r="O826" s="9"/>
      <c r="P826" s="9"/>
      <c r="Q826" s="10"/>
      <c r="R826" s="5"/>
      <c r="S826" s="5"/>
      <c r="T826" s="5"/>
      <c r="U826" s="5"/>
      <c r="V826" s="5"/>
      <c r="W826" s="5"/>
      <c r="X826" s="5"/>
      <c r="Y826" s="5"/>
      <c r="Z826" s="5"/>
      <c r="AA826" s="5"/>
      <c r="AB826" s="5"/>
      <c r="AC826" s="5"/>
      <c r="AD826" s="5"/>
    </row>
    <row r="827">
      <c r="A827" s="57"/>
      <c r="B827" s="59"/>
      <c r="C827" s="54"/>
      <c r="D827" s="14"/>
      <c r="E827" s="14"/>
      <c r="F827" s="14"/>
      <c r="G827" s="14"/>
      <c r="H827" s="14"/>
      <c r="I827" s="14"/>
      <c r="J827" s="14"/>
      <c r="K827" s="14"/>
      <c r="L827" s="14"/>
      <c r="M827" s="14"/>
      <c r="N827" s="14"/>
      <c r="O827" s="14"/>
      <c r="P827" s="14"/>
      <c r="Q827" s="15"/>
      <c r="R827" s="5"/>
      <c r="S827" s="5"/>
      <c r="T827" s="5"/>
      <c r="U827" s="5"/>
      <c r="V827" s="5"/>
      <c r="W827" s="5"/>
      <c r="X827" s="5"/>
      <c r="Y827" s="5"/>
      <c r="Z827" s="5"/>
      <c r="AA827" s="5"/>
      <c r="AB827" s="5"/>
      <c r="AC827" s="5"/>
      <c r="AD827" s="5"/>
    </row>
    <row r="828">
      <c r="A828" s="55"/>
      <c r="B828" s="56"/>
      <c r="C828" s="52"/>
      <c r="D828" s="9"/>
      <c r="E828" s="9"/>
      <c r="F828" s="9"/>
      <c r="G828" s="9"/>
      <c r="H828" s="9"/>
      <c r="I828" s="9"/>
      <c r="J828" s="9"/>
      <c r="K828" s="9"/>
      <c r="L828" s="9"/>
      <c r="M828" s="9"/>
      <c r="N828" s="9"/>
      <c r="O828" s="9"/>
      <c r="P828" s="9"/>
      <c r="Q828" s="10"/>
      <c r="R828" s="5"/>
      <c r="S828" s="5"/>
      <c r="T828" s="5"/>
      <c r="U828" s="5"/>
      <c r="V828" s="5"/>
      <c r="W828" s="5"/>
      <c r="X828" s="5"/>
      <c r="Y828" s="5"/>
      <c r="Z828" s="5"/>
      <c r="AA828" s="5"/>
      <c r="AB828" s="5"/>
      <c r="AC828" s="5"/>
      <c r="AD828" s="5"/>
    </row>
    <row r="829">
      <c r="A829" s="57"/>
      <c r="B829" s="59"/>
      <c r="C829" s="54"/>
      <c r="D829" s="14"/>
      <c r="E829" s="14"/>
      <c r="F829" s="14"/>
      <c r="G829" s="14"/>
      <c r="H829" s="14"/>
      <c r="I829" s="14"/>
      <c r="J829" s="14"/>
      <c r="K829" s="14"/>
      <c r="L829" s="14"/>
      <c r="M829" s="14"/>
      <c r="N829" s="14"/>
      <c r="O829" s="14"/>
      <c r="P829" s="14"/>
      <c r="Q829" s="15"/>
      <c r="R829" s="5"/>
      <c r="S829" s="5"/>
      <c r="T829" s="5"/>
      <c r="U829" s="5"/>
      <c r="V829" s="5"/>
      <c r="W829" s="5"/>
      <c r="X829" s="5"/>
      <c r="Y829" s="5"/>
      <c r="Z829" s="5"/>
      <c r="AA829" s="5"/>
      <c r="AB829" s="5"/>
      <c r="AC829" s="5"/>
      <c r="AD829" s="5"/>
    </row>
    <row r="830">
      <c r="A830" s="55"/>
      <c r="B830" s="56"/>
      <c r="C830" s="52"/>
      <c r="D830" s="9"/>
      <c r="E830" s="9"/>
      <c r="F830" s="9"/>
      <c r="G830" s="9"/>
      <c r="H830" s="9"/>
      <c r="I830" s="9"/>
      <c r="J830" s="9"/>
      <c r="K830" s="9"/>
      <c r="L830" s="9"/>
      <c r="M830" s="9"/>
      <c r="N830" s="9"/>
      <c r="O830" s="9"/>
      <c r="P830" s="9"/>
      <c r="Q830" s="10"/>
      <c r="R830" s="5"/>
      <c r="S830" s="5"/>
      <c r="T830" s="5"/>
      <c r="U830" s="5"/>
      <c r="V830" s="5"/>
      <c r="W830" s="5"/>
      <c r="X830" s="5"/>
      <c r="Y830" s="5"/>
      <c r="Z830" s="5"/>
      <c r="AA830" s="5"/>
      <c r="AB830" s="5"/>
      <c r="AC830" s="5"/>
      <c r="AD830" s="5"/>
    </row>
    <row r="831">
      <c r="A831" s="57"/>
      <c r="B831" s="59"/>
      <c r="C831" s="54"/>
      <c r="D831" s="14"/>
      <c r="E831" s="14"/>
      <c r="F831" s="14"/>
      <c r="G831" s="14"/>
      <c r="H831" s="14"/>
      <c r="I831" s="14"/>
      <c r="J831" s="14"/>
      <c r="K831" s="14"/>
      <c r="L831" s="14"/>
      <c r="M831" s="14"/>
      <c r="N831" s="14"/>
      <c r="O831" s="14"/>
      <c r="P831" s="14"/>
      <c r="Q831" s="15"/>
      <c r="R831" s="5"/>
      <c r="S831" s="5"/>
      <c r="T831" s="5"/>
      <c r="U831" s="5"/>
      <c r="V831" s="5"/>
      <c r="W831" s="5"/>
      <c r="X831" s="5"/>
      <c r="Y831" s="5"/>
      <c r="Z831" s="5"/>
      <c r="AA831" s="5"/>
      <c r="AB831" s="5"/>
      <c r="AC831" s="5"/>
      <c r="AD831" s="5"/>
    </row>
    <row r="832">
      <c r="A832" s="55"/>
      <c r="B832" s="56"/>
      <c r="C832" s="52"/>
      <c r="D832" s="9"/>
      <c r="E832" s="9"/>
      <c r="F832" s="9"/>
      <c r="G832" s="9"/>
      <c r="H832" s="9"/>
      <c r="I832" s="9"/>
      <c r="J832" s="9"/>
      <c r="K832" s="9"/>
      <c r="L832" s="9"/>
      <c r="M832" s="9"/>
      <c r="N832" s="9"/>
      <c r="O832" s="9"/>
      <c r="P832" s="9"/>
      <c r="Q832" s="10"/>
      <c r="R832" s="5"/>
      <c r="S832" s="5"/>
      <c r="T832" s="5"/>
      <c r="U832" s="5"/>
      <c r="V832" s="5"/>
      <c r="W832" s="5"/>
      <c r="X832" s="5"/>
      <c r="Y832" s="5"/>
      <c r="Z832" s="5"/>
      <c r="AA832" s="5"/>
      <c r="AB832" s="5"/>
      <c r="AC832" s="5"/>
      <c r="AD832" s="5"/>
    </row>
    <row r="833">
      <c r="A833" s="57"/>
      <c r="B833" s="59"/>
      <c r="C833" s="54"/>
      <c r="D833" s="14"/>
      <c r="E833" s="14"/>
      <c r="F833" s="14"/>
      <c r="G833" s="14"/>
      <c r="H833" s="14"/>
      <c r="I833" s="14"/>
      <c r="J833" s="14"/>
      <c r="K833" s="14"/>
      <c r="L833" s="14"/>
      <c r="M833" s="14"/>
      <c r="N833" s="14"/>
      <c r="O833" s="14"/>
      <c r="P833" s="14"/>
      <c r="Q833" s="15"/>
      <c r="R833" s="5"/>
      <c r="S833" s="5"/>
      <c r="T833" s="5"/>
      <c r="U833" s="5"/>
      <c r="V833" s="5"/>
      <c r="W833" s="5"/>
      <c r="X833" s="5"/>
      <c r="Y833" s="5"/>
      <c r="Z833" s="5"/>
      <c r="AA833" s="5"/>
      <c r="AB833" s="5"/>
      <c r="AC833" s="5"/>
      <c r="AD833" s="5"/>
    </row>
    <row r="834">
      <c r="A834" s="55"/>
      <c r="B834" s="56"/>
      <c r="C834" s="52"/>
      <c r="D834" s="9"/>
      <c r="E834" s="9"/>
      <c r="F834" s="9"/>
      <c r="G834" s="9"/>
      <c r="H834" s="9"/>
      <c r="I834" s="9"/>
      <c r="J834" s="9"/>
      <c r="K834" s="9"/>
      <c r="L834" s="9"/>
      <c r="M834" s="9"/>
      <c r="N834" s="9"/>
      <c r="O834" s="9"/>
      <c r="P834" s="9"/>
      <c r="Q834" s="10"/>
      <c r="R834" s="5"/>
      <c r="S834" s="5"/>
      <c r="T834" s="5"/>
      <c r="U834" s="5"/>
      <c r="V834" s="5"/>
      <c r="W834" s="5"/>
      <c r="X834" s="5"/>
      <c r="Y834" s="5"/>
      <c r="Z834" s="5"/>
      <c r="AA834" s="5"/>
      <c r="AB834" s="5"/>
      <c r="AC834" s="5"/>
      <c r="AD834" s="5"/>
    </row>
    <row r="835">
      <c r="A835" s="57"/>
      <c r="B835" s="59"/>
      <c r="C835" s="54"/>
      <c r="D835" s="14"/>
      <c r="E835" s="14"/>
      <c r="F835" s="14"/>
      <c r="G835" s="14"/>
      <c r="H835" s="14"/>
      <c r="I835" s="14"/>
      <c r="J835" s="14"/>
      <c r="K835" s="14"/>
      <c r="L835" s="14"/>
      <c r="M835" s="14"/>
      <c r="N835" s="14"/>
      <c r="O835" s="14"/>
      <c r="P835" s="14"/>
      <c r="Q835" s="15"/>
      <c r="R835" s="5"/>
      <c r="S835" s="5"/>
      <c r="T835" s="5"/>
      <c r="U835" s="5"/>
      <c r="V835" s="5"/>
      <c r="W835" s="5"/>
      <c r="X835" s="5"/>
      <c r="Y835" s="5"/>
      <c r="Z835" s="5"/>
      <c r="AA835" s="5"/>
      <c r="AB835" s="5"/>
      <c r="AC835" s="5"/>
      <c r="AD835" s="5"/>
    </row>
    <row r="836">
      <c r="A836" s="55"/>
      <c r="B836" s="56"/>
      <c r="C836" s="52"/>
      <c r="D836" s="9"/>
      <c r="E836" s="9"/>
      <c r="F836" s="9"/>
      <c r="G836" s="9"/>
      <c r="H836" s="9"/>
      <c r="I836" s="9"/>
      <c r="J836" s="9"/>
      <c r="K836" s="9"/>
      <c r="L836" s="9"/>
      <c r="M836" s="9"/>
      <c r="N836" s="9"/>
      <c r="O836" s="9"/>
      <c r="P836" s="9"/>
      <c r="Q836" s="10"/>
      <c r="R836" s="5"/>
      <c r="S836" s="5"/>
      <c r="T836" s="5"/>
      <c r="U836" s="5"/>
      <c r="V836" s="5"/>
      <c r="W836" s="5"/>
      <c r="X836" s="5"/>
      <c r="Y836" s="5"/>
      <c r="Z836" s="5"/>
      <c r="AA836" s="5"/>
      <c r="AB836" s="5"/>
      <c r="AC836" s="5"/>
      <c r="AD836" s="5"/>
    </row>
    <row r="837">
      <c r="A837" s="57"/>
      <c r="B837" s="59"/>
      <c r="C837" s="54"/>
      <c r="D837" s="14"/>
      <c r="E837" s="14"/>
      <c r="F837" s="14"/>
      <c r="G837" s="14"/>
      <c r="H837" s="14"/>
      <c r="I837" s="14"/>
      <c r="J837" s="14"/>
      <c r="K837" s="14"/>
      <c r="L837" s="14"/>
      <c r="M837" s="14"/>
      <c r="N837" s="14"/>
      <c r="O837" s="14"/>
      <c r="P837" s="14"/>
      <c r="Q837" s="15"/>
      <c r="R837" s="5"/>
      <c r="S837" s="5"/>
      <c r="T837" s="5"/>
      <c r="U837" s="5"/>
      <c r="V837" s="5"/>
      <c r="W837" s="5"/>
      <c r="X837" s="5"/>
      <c r="Y837" s="5"/>
      <c r="Z837" s="5"/>
      <c r="AA837" s="5"/>
      <c r="AB837" s="5"/>
      <c r="AC837" s="5"/>
      <c r="AD837" s="5"/>
    </row>
    <row r="838">
      <c r="A838" s="55"/>
      <c r="B838" s="56"/>
      <c r="C838" s="52"/>
      <c r="D838" s="9"/>
      <c r="E838" s="9"/>
      <c r="F838" s="9"/>
      <c r="G838" s="9"/>
      <c r="H838" s="9"/>
      <c r="I838" s="9"/>
      <c r="J838" s="9"/>
      <c r="K838" s="9"/>
      <c r="L838" s="9"/>
      <c r="M838" s="9"/>
      <c r="N838" s="9"/>
      <c r="O838" s="9"/>
      <c r="P838" s="9"/>
      <c r="Q838" s="10"/>
      <c r="R838" s="5"/>
      <c r="S838" s="5"/>
      <c r="T838" s="5"/>
      <c r="U838" s="5"/>
      <c r="V838" s="5"/>
      <c r="W838" s="5"/>
      <c r="X838" s="5"/>
      <c r="Y838" s="5"/>
      <c r="Z838" s="5"/>
      <c r="AA838" s="5"/>
      <c r="AB838" s="5"/>
      <c r="AC838" s="5"/>
      <c r="AD838" s="5"/>
    </row>
    <row r="839">
      <c r="A839" s="57"/>
      <c r="B839" s="59"/>
      <c r="C839" s="54"/>
      <c r="D839" s="14"/>
      <c r="E839" s="14"/>
      <c r="F839" s="14"/>
      <c r="G839" s="14"/>
      <c r="H839" s="14"/>
      <c r="I839" s="14"/>
      <c r="J839" s="14"/>
      <c r="K839" s="14"/>
      <c r="L839" s="14"/>
      <c r="M839" s="14"/>
      <c r="N839" s="14"/>
      <c r="O839" s="14"/>
      <c r="P839" s="14"/>
      <c r="Q839" s="15"/>
      <c r="R839" s="5"/>
      <c r="S839" s="5"/>
      <c r="T839" s="5"/>
      <c r="U839" s="5"/>
      <c r="V839" s="5"/>
      <c r="W839" s="5"/>
      <c r="X839" s="5"/>
      <c r="Y839" s="5"/>
      <c r="Z839" s="5"/>
      <c r="AA839" s="5"/>
      <c r="AB839" s="5"/>
      <c r="AC839" s="5"/>
      <c r="AD839" s="5"/>
    </row>
    <row r="840">
      <c r="A840" s="55"/>
      <c r="B840" s="56"/>
      <c r="C840" s="52"/>
      <c r="D840" s="9"/>
      <c r="E840" s="9"/>
      <c r="F840" s="9"/>
      <c r="G840" s="9"/>
      <c r="H840" s="9"/>
      <c r="I840" s="9"/>
      <c r="J840" s="9"/>
      <c r="K840" s="9"/>
      <c r="L840" s="9"/>
      <c r="M840" s="9"/>
      <c r="N840" s="9"/>
      <c r="O840" s="9"/>
      <c r="P840" s="9"/>
      <c r="Q840" s="10"/>
      <c r="R840" s="5"/>
      <c r="S840" s="5"/>
      <c r="T840" s="5"/>
      <c r="U840" s="5"/>
      <c r="V840" s="5"/>
      <c r="W840" s="5"/>
      <c r="X840" s="5"/>
      <c r="Y840" s="5"/>
      <c r="Z840" s="5"/>
      <c r="AA840" s="5"/>
      <c r="AB840" s="5"/>
      <c r="AC840" s="5"/>
      <c r="AD840" s="5"/>
    </row>
    <row r="841">
      <c r="A841" s="57"/>
      <c r="B841" s="59"/>
      <c r="C841" s="54"/>
      <c r="D841" s="14"/>
      <c r="E841" s="14"/>
      <c r="F841" s="14"/>
      <c r="G841" s="14"/>
      <c r="H841" s="14"/>
      <c r="I841" s="14"/>
      <c r="J841" s="14"/>
      <c r="K841" s="14"/>
      <c r="L841" s="14"/>
      <c r="M841" s="14"/>
      <c r="N841" s="14"/>
      <c r="O841" s="14"/>
      <c r="P841" s="14"/>
      <c r="Q841" s="15"/>
      <c r="R841" s="5"/>
      <c r="S841" s="5"/>
      <c r="T841" s="5"/>
      <c r="U841" s="5"/>
      <c r="V841" s="5"/>
      <c r="W841" s="5"/>
      <c r="X841" s="5"/>
      <c r="Y841" s="5"/>
      <c r="Z841" s="5"/>
      <c r="AA841" s="5"/>
      <c r="AB841" s="5"/>
      <c r="AC841" s="5"/>
      <c r="AD841" s="5"/>
    </row>
    <row r="842">
      <c r="A842" s="55"/>
      <c r="B842" s="56"/>
      <c r="C842" s="52"/>
      <c r="D842" s="9"/>
      <c r="E842" s="9"/>
      <c r="F842" s="9"/>
      <c r="G842" s="9"/>
      <c r="H842" s="9"/>
      <c r="I842" s="9"/>
      <c r="J842" s="9"/>
      <c r="K842" s="9"/>
      <c r="L842" s="9"/>
      <c r="M842" s="9"/>
      <c r="N842" s="9"/>
      <c r="O842" s="9"/>
      <c r="P842" s="9"/>
      <c r="Q842" s="10"/>
      <c r="R842" s="5"/>
      <c r="S842" s="5"/>
      <c r="T842" s="5"/>
      <c r="U842" s="5"/>
      <c r="V842" s="5"/>
      <c r="W842" s="5"/>
      <c r="X842" s="5"/>
      <c r="Y842" s="5"/>
      <c r="Z842" s="5"/>
      <c r="AA842" s="5"/>
      <c r="AB842" s="5"/>
      <c r="AC842" s="5"/>
      <c r="AD842" s="5"/>
    </row>
    <row r="843">
      <c r="A843" s="57"/>
      <c r="B843" s="59"/>
      <c r="C843" s="54"/>
      <c r="D843" s="14"/>
      <c r="E843" s="14"/>
      <c r="F843" s="14"/>
      <c r="G843" s="14"/>
      <c r="H843" s="14"/>
      <c r="I843" s="14"/>
      <c r="J843" s="14"/>
      <c r="K843" s="14"/>
      <c r="L843" s="14"/>
      <c r="M843" s="14"/>
      <c r="N843" s="14"/>
      <c r="O843" s="14"/>
      <c r="P843" s="14"/>
      <c r="Q843" s="15"/>
      <c r="R843" s="5"/>
      <c r="S843" s="5"/>
      <c r="T843" s="5"/>
      <c r="U843" s="5"/>
      <c r="V843" s="5"/>
      <c r="W843" s="5"/>
      <c r="X843" s="5"/>
      <c r="Y843" s="5"/>
      <c r="Z843" s="5"/>
      <c r="AA843" s="5"/>
      <c r="AB843" s="5"/>
      <c r="AC843" s="5"/>
      <c r="AD843" s="5"/>
    </row>
    <row r="844">
      <c r="A844" s="55"/>
      <c r="B844" s="56"/>
      <c r="C844" s="52"/>
      <c r="D844" s="9"/>
      <c r="E844" s="9"/>
      <c r="F844" s="9"/>
      <c r="G844" s="9"/>
      <c r="H844" s="9"/>
      <c r="I844" s="9"/>
      <c r="J844" s="9"/>
      <c r="K844" s="9"/>
      <c r="L844" s="9"/>
      <c r="M844" s="9"/>
      <c r="N844" s="9"/>
      <c r="O844" s="9"/>
      <c r="P844" s="9"/>
      <c r="Q844" s="10"/>
      <c r="R844" s="5"/>
      <c r="S844" s="5"/>
      <c r="T844" s="5"/>
      <c r="U844" s="5"/>
      <c r="V844" s="5"/>
      <c r="W844" s="5"/>
      <c r="X844" s="5"/>
      <c r="Y844" s="5"/>
      <c r="Z844" s="5"/>
      <c r="AA844" s="5"/>
      <c r="AB844" s="5"/>
      <c r="AC844" s="5"/>
      <c r="AD844" s="5"/>
    </row>
    <row r="845">
      <c r="A845" s="57"/>
      <c r="B845" s="59"/>
      <c r="C845" s="54"/>
      <c r="D845" s="14"/>
      <c r="E845" s="14"/>
      <c r="F845" s="14"/>
      <c r="G845" s="14"/>
      <c r="H845" s="14"/>
      <c r="I845" s="14"/>
      <c r="J845" s="14"/>
      <c r="K845" s="14"/>
      <c r="L845" s="14"/>
      <c r="M845" s="14"/>
      <c r="N845" s="14"/>
      <c r="O845" s="14"/>
      <c r="P845" s="14"/>
      <c r="Q845" s="15"/>
      <c r="R845" s="5"/>
      <c r="S845" s="5"/>
      <c r="T845" s="5"/>
      <c r="U845" s="5"/>
      <c r="V845" s="5"/>
      <c r="W845" s="5"/>
      <c r="X845" s="5"/>
      <c r="Y845" s="5"/>
      <c r="Z845" s="5"/>
      <c r="AA845" s="5"/>
      <c r="AB845" s="5"/>
      <c r="AC845" s="5"/>
      <c r="AD845" s="5"/>
    </row>
    <row r="846">
      <c r="A846" s="55"/>
      <c r="B846" s="56"/>
      <c r="C846" s="52"/>
      <c r="D846" s="9"/>
      <c r="E846" s="9"/>
      <c r="F846" s="9"/>
      <c r="G846" s="9"/>
      <c r="H846" s="9"/>
      <c r="I846" s="9"/>
      <c r="J846" s="9"/>
      <c r="K846" s="9"/>
      <c r="L846" s="9"/>
      <c r="M846" s="9"/>
      <c r="N846" s="9"/>
      <c r="O846" s="9"/>
      <c r="P846" s="9"/>
      <c r="Q846" s="10"/>
      <c r="R846" s="5"/>
      <c r="S846" s="5"/>
      <c r="T846" s="5"/>
      <c r="U846" s="5"/>
      <c r="V846" s="5"/>
      <c r="W846" s="5"/>
      <c r="X846" s="5"/>
      <c r="Y846" s="5"/>
      <c r="Z846" s="5"/>
      <c r="AA846" s="5"/>
      <c r="AB846" s="5"/>
      <c r="AC846" s="5"/>
      <c r="AD846" s="5"/>
    </row>
    <row r="847">
      <c r="A847" s="57"/>
      <c r="B847" s="59"/>
      <c r="C847" s="54"/>
      <c r="D847" s="14"/>
      <c r="E847" s="14"/>
      <c r="F847" s="14"/>
      <c r="G847" s="14"/>
      <c r="H847" s="14"/>
      <c r="I847" s="14"/>
      <c r="J847" s="14"/>
      <c r="K847" s="14"/>
      <c r="L847" s="14"/>
      <c r="M847" s="14"/>
      <c r="N847" s="14"/>
      <c r="O847" s="14"/>
      <c r="P847" s="14"/>
      <c r="Q847" s="15"/>
      <c r="R847" s="5"/>
      <c r="S847" s="5"/>
      <c r="T847" s="5"/>
      <c r="U847" s="5"/>
      <c r="V847" s="5"/>
      <c r="W847" s="5"/>
      <c r="X847" s="5"/>
      <c r="Y847" s="5"/>
      <c r="Z847" s="5"/>
      <c r="AA847" s="5"/>
      <c r="AB847" s="5"/>
      <c r="AC847" s="5"/>
      <c r="AD847" s="5"/>
    </row>
    <row r="848">
      <c r="A848" s="55"/>
      <c r="B848" s="56"/>
      <c r="C848" s="52"/>
      <c r="D848" s="9"/>
      <c r="E848" s="9"/>
      <c r="F848" s="9"/>
      <c r="G848" s="9"/>
      <c r="H848" s="9"/>
      <c r="I848" s="9"/>
      <c r="J848" s="9"/>
      <c r="K848" s="9"/>
      <c r="L848" s="9"/>
      <c r="M848" s="9"/>
      <c r="N848" s="9"/>
      <c r="O848" s="9"/>
      <c r="P848" s="9"/>
      <c r="Q848" s="10"/>
      <c r="R848" s="5"/>
      <c r="S848" s="5"/>
      <c r="T848" s="5"/>
      <c r="U848" s="5"/>
      <c r="V848" s="5"/>
      <c r="W848" s="5"/>
      <c r="X848" s="5"/>
      <c r="Y848" s="5"/>
      <c r="Z848" s="5"/>
      <c r="AA848" s="5"/>
      <c r="AB848" s="5"/>
      <c r="AC848" s="5"/>
      <c r="AD848" s="5"/>
    </row>
    <row r="849">
      <c r="A849" s="57"/>
      <c r="B849" s="59"/>
      <c r="C849" s="54"/>
      <c r="D849" s="14"/>
      <c r="E849" s="14"/>
      <c r="F849" s="14"/>
      <c r="G849" s="14"/>
      <c r="H849" s="14"/>
      <c r="I849" s="14"/>
      <c r="J849" s="14"/>
      <c r="K849" s="14"/>
      <c r="L849" s="14"/>
      <c r="M849" s="14"/>
      <c r="N849" s="14"/>
      <c r="O849" s="14"/>
      <c r="P849" s="14"/>
      <c r="Q849" s="15"/>
      <c r="R849" s="5"/>
      <c r="S849" s="5"/>
      <c r="T849" s="5"/>
      <c r="U849" s="5"/>
      <c r="V849" s="5"/>
      <c r="W849" s="5"/>
      <c r="X849" s="5"/>
      <c r="Y849" s="5"/>
      <c r="Z849" s="5"/>
      <c r="AA849" s="5"/>
      <c r="AB849" s="5"/>
      <c r="AC849" s="5"/>
      <c r="AD849" s="5"/>
    </row>
    <row r="850">
      <c r="A850" s="55"/>
      <c r="B850" s="56"/>
      <c r="C850" s="52"/>
      <c r="D850" s="9"/>
      <c r="E850" s="9"/>
      <c r="F850" s="9"/>
      <c r="G850" s="9"/>
      <c r="H850" s="9"/>
      <c r="I850" s="9"/>
      <c r="J850" s="9"/>
      <c r="K850" s="9"/>
      <c r="L850" s="9"/>
      <c r="M850" s="9"/>
      <c r="N850" s="9"/>
      <c r="O850" s="9"/>
      <c r="P850" s="9"/>
      <c r="Q850" s="10"/>
      <c r="R850" s="5"/>
      <c r="S850" s="5"/>
      <c r="T850" s="5"/>
      <c r="U850" s="5"/>
      <c r="V850" s="5"/>
      <c r="W850" s="5"/>
      <c r="X850" s="5"/>
      <c r="Y850" s="5"/>
      <c r="Z850" s="5"/>
      <c r="AA850" s="5"/>
      <c r="AB850" s="5"/>
      <c r="AC850" s="5"/>
      <c r="AD850" s="5"/>
    </row>
    <row r="851">
      <c r="A851" s="57"/>
      <c r="B851" s="59"/>
      <c r="C851" s="54"/>
      <c r="D851" s="14"/>
      <c r="E851" s="14"/>
      <c r="F851" s="14"/>
      <c r="G851" s="14"/>
      <c r="H851" s="14"/>
      <c r="I851" s="14"/>
      <c r="J851" s="14"/>
      <c r="K851" s="14"/>
      <c r="L851" s="14"/>
      <c r="M851" s="14"/>
      <c r="N851" s="14"/>
      <c r="O851" s="14"/>
      <c r="P851" s="14"/>
      <c r="Q851" s="15"/>
      <c r="R851" s="5"/>
      <c r="S851" s="5"/>
      <c r="T851" s="5"/>
      <c r="U851" s="5"/>
      <c r="V851" s="5"/>
      <c r="W851" s="5"/>
      <c r="X851" s="5"/>
      <c r="Y851" s="5"/>
      <c r="Z851" s="5"/>
      <c r="AA851" s="5"/>
      <c r="AB851" s="5"/>
      <c r="AC851" s="5"/>
      <c r="AD851" s="5"/>
    </row>
    <row r="852">
      <c r="A852" s="55"/>
      <c r="B852" s="56"/>
      <c r="C852" s="52"/>
      <c r="D852" s="9"/>
      <c r="E852" s="9"/>
      <c r="F852" s="9"/>
      <c r="G852" s="9"/>
      <c r="H852" s="9"/>
      <c r="I852" s="9"/>
      <c r="J852" s="9"/>
      <c r="K852" s="9"/>
      <c r="L852" s="9"/>
      <c r="M852" s="9"/>
      <c r="N852" s="9"/>
      <c r="O852" s="9"/>
      <c r="P852" s="9"/>
      <c r="Q852" s="10"/>
      <c r="R852" s="5"/>
      <c r="S852" s="5"/>
      <c r="T852" s="5"/>
      <c r="U852" s="5"/>
      <c r="V852" s="5"/>
      <c r="W852" s="5"/>
      <c r="X852" s="5"/>
      <c r="Y852" s="5"/>
      <c r="Z852" s="5"/>
      <c r="AA852" s="5"/>
      <c r="AB852" s="5"/>
      <c r="AC852" s="5"/>
      <c r="AD852" s="5"/>
    </row>
    <row r="853">
      <c r="A853" s="57"/>
      <c r="B853" s="59"/>
      <c r="C853" s="54"/>
      <c r="D853" s="14"/>
      <c r="E853" s="14"/>
      <c r="F853" s="14"/>
      <c r="G853" s="14"/>
      <c r="H853" s="14"/>
      <c r="I853" s="14"/>
      <c r="J853" s="14"/>
      <c r="K853" s="14"/>
      <c r="L853" s="14"/>
      <c r="M853" s="14"/>
      <c r="N853" s="14"/>
      <c r="O853" s="14"/>
      <c r="P853" s="14"/>
      <c r="Q853" s="15"/>
      <c r="R853" s="5"/>
      <c r="S853" s="5"/>
      <c r="T853" s="5"/>
      <c r="U853" s="5"/>
      <c r="V853" s="5"/>
      <c r="W853" s="5"/>
      <c r="X853" s="5"/>
      <c r="Y853" s="5"/>
      <c r="Z853" s="5"/>
      <c r="AA853" s="5"/>
      <c r="AB853" s="5"/>
      <c r="AC853" s="5"/>
      <c r="AD853" s="5"/>
    </row>
    <row r="854">
      <c r="A854" s="55"/>
      <c r="B854" s="56"/>
      <c r="C854" s="52"/>
      <c r="D854" s="9"/>
      <c r="E854" s="9"/>
      <c r="F854" s="9"/>
      <c r="G854" s="9"/>
      <c r="H854" s="9"/>
      <c r="I854" s="9"/>
      <c r="J854" s="9"/>
      <c r="K854" s="9"/>
      <c r="L854" s="9"/>
      <c r="M854" s="9"/>
      <c r="N854" s="9"/>
      <c r="O854" s="9"/>
      <c r="P854" s="9"/>
      <c r="Q854" s="10"/>
      <c r="R854" s="5"/>
      <c r="S854" s="5"/>
      <c r="T854" s="5"/>
      <c r="U854" s="5"/>
      <c r="V854" s="5"/>
      <c r="W854" s="5"/>
      <c r="X854" s="5"/>
      <c r="Y854" s="5"/>
      <c r="Z854" s="5"/>
      <c r="AA854" s="5"/>
      <c r="AB854" s="5"/>
      <c r="AC854" s="5"/>
      <c r="AD854" s="5"/>
    </row>
    <row r="855">
      <c r="A855" s="57"/>
      <c r="B855" s="59"/>
      <c r="C855" s="54"/>
      <c r="D855" s="14"/>
      <c r="E855" s="14"/>
      <c r="F855" s="14"/>
      <c r="G855" s="14"/>
      <c r="H855" s="14"/>
      <c r="I855" s="14"/>
      <c r="J855" s="14"/>
      <c r="K855" s="14"/>
      <c r="L855" s="14"/>
      <c r="M855" s="14"/>
      <c r="N855" s="14"/>
      <c r="O855" s="14"/>
      <c r="P855" s="14"/>
      <c r="Q855" s="15"/>
      <c r="R855" s="5"/>
      <c r="S855" s="5"/>
      <c r="T855" s="5"/>
      <c r="U855" s="5"/>
      <c r="V855" s="5"/>
      <c r="W855" s="5"/>
      <c r="X855" s="5"/>
      <c r="Y855" s="5"/>
      <c r="Z855" s="5"/>
      <c r="AA855" s="5"/>
      <c r="AB855" s="5"/>
      <c r="AC855" s="5"/>
      <c r="AD855" s="5"/>
    </row>
    <row r="856">
      <c r="A856" s="55"/>
      <c r="B856" s="56"/>
      <c r="C856" s="52"/>
      <c r="D856" s="9"/>
      <c r="E856" s="9"/>
      <c r="F856" s="9"/>
      <c r="G856" s="9"/>
      <c r="H856" s="9"/>
      <c r="I856" s="9"/>
      <c r="J856" s="9"/>
      <c r="K856" s="9"/>
      <c r="L856" s="9"/>
      <c r="M856" s="9"/>
      <c r="N856" s="9"/>
      <c r="O856" s="9"/>
      <c r="P856" s="9"/>
      <c r="Q856" s="10"/>
      <c r="R856" s="5"/>
      <c r="S856" s="5"/>
      <c r="T856" s="5"/>
      <c r="U856" s="5"/>
      <c r="V856" s="5"/>
      <c r="W856" s="5"/>
      <c r="X856" s="5"/>
      <c r="Y856" s="5"/>
      <c r="Z856" s="5"/>
      <c r="AA856" s="5"/>
      <c r="AB856" s="5"/>
      <c r="AC856" s="5"/>
      <c r="AD856" s="5"/>
    </row>
    <row r="857">
      <c r="A857" s="57"/>
      <c r="B857" s="59"/>
      <c r="C857" s="54"/>
      <c r="D857" s="14"/>
      <c r="E857" s="14"/>
      <c r="F857" s="14"/>
      <c r="G857" s="14"/>
      <c r="H857" s="14"/>
      <c r="I857" s="14"/>
      <c r="J857" s="14"/>
      <c r="K857" s="14"/>
      <c r="L857" s="14"/>
      <c r="M857" s="14"/>
      <c r="N857" s="14"/>
      <c r="O857" s="14"/>
      <c r="P857" s="14"/>
      <c r="Q857" s="15"/>
      <c r="R857" s="5"/>
      <c r="S857" s="5"/>
      <c r="T857" s="5"/>
      <c r="U857" s="5"/>
      <c r="V857" s="5"/>
      <c r="W857" s="5"/>
      <c r="X857" s="5"/>
      <c r="Y857" s="5"/>
      <c r="Z857" s="5"/>
      <c r="AA857" s="5"/>
      <c r="AB857" s="5"/>
      <c r="AC857" s="5"/>
      <c r="AD857" s="5"/>
    </row>
    <row r="858">
      <c r="A858" s="55"/>
      <c r="B858" s="56"/>
      <c r="C858" s="52"/>
      <c r="D858" s="9"/>
      <c r="E858" s="9"/>
      <c r="F858" s="9"/>
      <c r="G858" s="9"/>
      <c r="H858" s="9"/>
      <c r="I858" s="9"/>
      <c r="J858" s="9"/>
      <c r="K858" s="9"/>
      <c r="L858" s="9"/>
      <c r="M858" s="9"/>
      <c r="N858" s="9"/>
      <c r="O858" s="9"/>
      <c r="P858" s="9"/>
      <c r="Q858" s="10"/>
      <c r="R858" s="5"/>
      <c r="S858" s="5"/>
      <c r="T858" s="5"/>
      <c r="U858" s="5"/>
      <c r="V858" s="5"/>
      <c r="W858" s="5"/>
      <c r="X858" s="5"/>
      <c r="Y858" s="5"/>
      <c r="Z858" s="5"/>
      <c r="AA858" s="5"/>
      <c r="AB858" s="5"/>
      <c r="AC858" s="5"/>
      <c r="AD858" s="5"/>
    </row>
    <row r="859">
      <c r="A859" s="57"/>
      <c r="B859" s="59"/>
      <c r="C859" s="54"/>
      <c r="D859" s="14"/>
      <c r="E859" s="14"/>
      <c r="F859" s="14"/>
      <c r="G859" s="14"/>
      <c r="H859" s="14"/>
      <c r="I859" s="14"/>
      <c r="J859" s="14"/>
      <c r="K859" s="14"/>
      <c r="L859" s="14"/>
      <c r="M859" s="14"/>
      <c r="N859" s="14"/>
      <c r="O859" s="14"/>
      <c r="P859" s="14"/>
      <c r="Q859" s="15"/>
      <c r="R859" s="5"/>
      <c r="S859" s="5"/>
      <c r="T859" s="5"/>
      <c r="U859" s="5"/>
      <c r="V859" s="5"/>
      <c r="W859" s="5"/>
      <c r="X859" s="5"/>
      <c r="Y859" s="5"/>
      <c r="Z859" s="5"/>
      <c r="AA859" s="5"/>
      <c r="AB859" s="5"/>
      <c r="AC859" s="5"/>
      <c r="AD859" s="5"/>
    </row>
    <row r="860">
      <c r="A860" s="55"/>
      <c r="B860" s="56"/>
      <c r="C860" s="52"/>
      <c r="D860" s="9"/>
      <c r="E860" s="9"/>
      <c r="F860" s="9"/>
      <c r="G860" s="9"/>
      <c r="H860" s="9"/>
      <c r="I860" s="9"/>
      <c r="J860" s="9"/>
      <c r="K860" s="9"/>
      <c r="L860" s="9"/>
      <c r="M860" s="9"/>
      <c r="N860" s="9"/>
      <c r="O860" s="9"/>
      <c r="P860" s="9"/>
      <c r="Q860" s="10"/>
      <c r="R860" s="5"/>
      <c r="S860" s="5"/>
      <c r="T860" s="5"/>
      <c r="U860" s="5"/>
      <c r="V860" s="5"/>
      <c r="W860" s="5"/>
      <c r="X860" s="5"/>
      <c r="Y860" s="5"/>
      <c r="Z860" s="5"/>
      <c r="AA860" s="5"/>
      <c r="AB860" s="5"/>
      <c r="AC860" s="5"/>
      <c r="AD860" s="5"/>
    </row>
    <row r="861">
      <c r="A861" s="57"/>
      <c r="B861" s="59"/>
      <c r="C861" s="54"/>
      <c r="D861" s="14"/>
      <c r="E861" s="14"/>
      <c r="F861" s="14"/>
      <c r="G861" s="14"/>
      <c r="H861" s="14"/>
      <c r="I861" s="14"/>
      <c r="J861" s="14"/>
      <c r="K861" s="14"/>
      <c r="L861" s="14"/>
      <c r="M861" s="14"/>
      <c r="N861" s="14"/>
      <c r="O861" s="14"/>
      <c r="P861" s="14"/>
      <c r="Q861" s="15"/>
      <c r="R861" s="5"/>
      <c r="S861" s="5"/>
      <c r="T861" s="5"/>
      <c r="U861" s="5"/>
      <c r="V861" s="5"/>
      <c r="W861" s="5"/>
      <c r="X861" s="5"/>
      <c r="Y861" s="5"/>
      <c r="Z861" s="5"/>
      <c r="AA861" s="5"/>
      <c r="AB861" s="5"/>
      <c r="AC861" s="5"/>
      <c r="AD861" s="5"/>
    </row>
    <row r="862">
      <c r="A862" s="55"/>
      <c r="B862" s="56"/>
      <c r="C862" s="52"/>
      <c r="D862" s="9"/>
      <c r="E862" s="9"/>
      <c r="F862" s="9"/>
      <c r="G862" s="9"/>
      <c r="H862" s="9"/>
      <c r="I862" s="9"/>
      <c r="J862" s="9"/>
      <c r="K862" s="9"/>
      <c r="L862" s="9"/>
      <c r="M862" s="9"/>
      <c r="N862" s="9"/>
      <c r="O862" s="9"/>
      <c r="P862" s="9"/>
      <c r="Q862" s="10"/>
      <c r="R862" s="5"/>
      <c r="S862" s="5"/>
      <c r="T862" s="5"/>
      <c r="U862" s="5"/>
      <c r="V862" s="5"/>
      <c r="W862" s="5"/>
      <c r="X862" s="5"/>
      <c r="Y862" s="5"/>
      <c r="Z862" s="5"/>
      <c r="AA862" s="5"/>
      <c r="AB862" s="5"/>
      <c r="AC862" s="5"/>
      <c r="AD862" s="5"/>
    </row>
    <row r="863">
      <c r="A863" s="57"/>
      <c r="B863" s="59"/>
      <c r="C863" s="54"/>
      <c r="D863" s="14"/>
      <c r="E863" s="14"/>
      <c r="F863" s="14"/>
      <c r="G863" s="14"/>
      <c r="H863" s="14"/>
      <c r="I863" s="14"/>
      <c r="J863" s="14"/>
      <c r="K863" s="14"/>
      <c r="L863" s="14"/>
      <c r="M863" s="14"/>
      <c r="N863" s="14"/>
      <c r="O863" s="14"/>
      <c r="P863" s="14"/>
      <c r="Q863" s="15"/>
      <c r="R863" s="5"/>
      <c r="S863" s="5"/>
      <c r="T863" s="5"/>
      <c r="U863" s="5"/>
      <c r="V863" s="5"/>
      <c r="W863" s="5"/>
      <c r="X863" s="5"/>
      <c r="Y863" s="5"/>
      <c r="Z863" s="5"/>
      <c r="AA863" s="5"/>
      <c r="AB863" s="5"/>
      <c r="AC863" s="5"/>
      <c r="AD863" s="5"/>
    </row>
    <row r="864">
      <c r="A864" s="55"/>
      <c r="B864" s="56"/>
      <c r="C864" s="52"/>
      <c r="D864" s="9"/>
      <c r="E864" s="9"/>
      <c r="F864" s="9"/>
      <c r="G864" s="9"/>
      <c r="H864" s="9"/>
      <c r="I864" s="9"/>
      <c r="J864" s="9"/>
      <c r="K864" s="9"/>
      <c r="L864" s="9"/>
      <c r="M864" s="9"/>
      <c r="N864" s="9"/>
      <c r="O864" s="9"/>
      <c r="P864" s="9"/>
      <c r="Q864" s="10"/>
      <c r="R864" s="5"/>
      <c r="S864" s="5"/>
      <c r="T864" s="5"/>
      <c r="U864" s="5"/>
      <c r="V864" s="5"/>
      <c r="W864" s="5"/>
      <c r="X864" s="5"/>
      <c r="Y864" s="5"/>
      <c r="Z864" s="5"/>
      <c r="AA864" s="5"/>
      <c r="AB864" s="5"/>
      <c r="AC864" s="5"/>
      <c r="AD864" s="5"/>
    </row>
    <row r="865">
      <c r="A865" s="57"/>
      <c r="B865" s="59"/>
      <c r="C865" s="54"/>
      <c r="D865" s="14"/>
      <c r="E865" s="14"/>
      <c r="F865" s="14"/>
      <c r="G865" s="14"/>
      <c r="H865" s="14"/>
      <c r="I865" s="14"/>
      <c r="J865" s="14"/>
      <c r="K865" s="14"/>
      <c r="L865" s="14"/>
      <c r="M865" s="14"/>
      <c r="N865" s="14"/>
      <c r="O865" s="14"/>
      <c r="P865" s="14"/>
      <c r="Q865" s="15"/>
      <c r="R865" s="5"/>
      <c r="S865" s="5"/>
      <c r="T865" s="5"/>
      <c r="U865" s="5"/>
      <c r="V865" s="5"/>
      <c r="W865" s="5"/>
      <c r="X865" s="5"/>
      <c r="Y865" s="5"/>
      <c r="Z865" s="5"/>
      <c r="AA865" s="5"/>
      <c r="AB865" s="5"/>
      <c r="AC865" s="5"/>
      <c r="AD865" s="5"/>
    </row>
    <row r="866">
      <c r="A866" s="55"/>
      <c r="B866" s="56"/>
      <c r="C866" s="52"/>
      <c r="D866" s="9"/>
      <c r="E866" s="9"/>
      <c r="F866" s="9"/>
      <c r="G866" s="9"/>
      <c r="H866" s="9"/>
      <c r="I866" s="9"/>
      <c r="J866" s="9"/>
      <c r="K866" s="9"/>
      <c r="L866" s="9"/>
      <c r="M866" s="9"/>
      <c r="N866" s="9"/>
      <c r="O866" s="9"/>
      <c r="P866" s="9"/>
      <c r="Q866" s="10"/>
      <c r="R866" s="5"/>
      <c r="S866" s="5"/>
      <c r="T866" s="5"/>
      <c r="U866" s="5"/>
      <c r="V866" s="5"/>
      <c r="W866" s="5"/>
      <c r="X866" s="5"/>
      <c r="Y866" s="5"/>
      <c r="Z866" s="5"/>
      <c r="AA866" s="5"/>
      <c r="AB866" s="5"/>
      <c r="AC866" s="5"/>
      <c r="AD866" s="5"/>
    </row>
    <row r="867">
      <c r="A867" s="57"/>
      <c r="B867" s="59"/>
      <c r="C867" s="54"/>
      <c r="D867" s="14"/>
      <c r="E867" s="14"/>
      <c r="F867" s="14"/>
      <c r="G867" s="14"/>
      <c r="H867" s="14"/>
      <c r="I867" s="14"/>
      <c r="J867" s="14"/>
      <c r="K867" s="14"/>
      <c r="L867" s="14"/>
      <c r="M867" s="14"/>
      <c r="N867" s="14"/>
      <c r="O867" s="14"/>
      <c r="P867" s="14"/>
      <c r="Q867" s="15"/>
      <c r="R867" s="5"/>
      <c r="S867" s="5"/>
      <c r="T867" s="5"/>
      <c r="U867" s="5"/>
      <c r="V867" s="5"/>
      <c r="W867" s="5"/>
      <c r="X867" s="5"/>
      <c r="Y867" s="5"/>
      <c r="Z867" s="5"/>
      <c r="AA867" s="5"/>
      <c r="AB867" s="5"/>
      <c r="AC867" s="5"/>
      <c r="AD867" s="5"/>
    </row>
    <row r="868">
      <c r="A868" s="55"/>
      <c r="B868" s="56"/>
      <c r="C868" s="52"/>
      <c r="D868" s="9"/>
      <c r="E868" s="9"/>
      <c r="F868" s="9"/>
      <c r="G868" s="9"/>
      <c r="H868" s="9"/>
      <c r="I868" s="9"/>
      <c r="J868" s="9"/>
      <c r="K868" s="9"/>
      <c r="L868" s="9"/>
      <c r="M868" s="9"/>
      <c r="N868" s="9"/>
      <c r="O868" s="9"/>
      <c r="P868" s="9"/>
      <c r="Q868" s="10"/>
      <c r="R868" s="5"/>
      <c r="S868" s="5"/>
      <c r="T868" s="5"/>
      <c r="U868" s="5"/>
      <c r="V868" s="5"/>
      <c r="W868" s="5"/>
      <c r="X868" s="5"/>
      <c r="Y868" s="5"/>
      <c r="Z868" s="5"/>
      <c r="AA868" s="5"/>
      <c r="AB868" s="5"/>
      <c r="AC868" s="5"/>
      <c r="AD868" s="5"/>
    </row>
    <row r="869">
      <c r="A869" s="57"/>
      <c r="B869" s="59"/>
      <c r="C869" s="54"/>
      <c r="D869" s="14"/>
      <c r="E869" s="14"/>
      <c r="F869" s="14"/>
      <c r="G869" s="14"/>
      <c r="H869" s="14"/>
      <c r="I869" s="14"/>
      <c r="J869" s="14"/>
      <c r="K869" s="14"/>
      <c r="L869" s="14"/>
      <c r="M869" s="14"/>
      <c r="N869" s="14"/>
      <c r="O869" s="14"/>
      <c r="P869" s="14"/>
      <c r="Q869" s="15"/>
      <c r="R869" s="5"/>
      <c r="S869" s="5"/>
      <c r="T869" s="5"/>
      <c r="U869" s="5"/>
      <c r="V869" s="5"/>
      <c r="W869" s="5"/>
      <c r="X869" s="5"/>
      <c r="Y869" s="5"/>
      <c r="Z869" s="5"/>
      <c r="AA869" s="5"/>
      <c r="AB869" s="5"/>
      <c r="AC869" s="5"/>
      <c r="AD869" s="5"/>
    </row>
    <row r="870">
      <c r="A870" s="55"/>
      <c r="B870" s="56"/>
      <c r="C870" s="52"/>
      <c r="D870" s="9"/>
      <c r="E870" s="9"/>
      <c r="F870" s="9"/>
      <c r="G870" s="9"/>
      <c r="H870" s="9"/>
      <c r="I870" s="9"/>
      <c r="J870" s="9"/>
      <c r="K870" s="9"/>
      <c r="L870" s="9"/>
      <c r="M870" s="9"/>
      <c r="N870" s="9"/>
      <c r="O870" s="9"/>
      <c r="P870" s="9"/>
      <c r="Q870" s="10"/>
      <c r="R870" s="5"/>
      <c r="S870" s="5"/>
      <c r="T870" s="5"/>
      <c r="U870" s="5"/>
      <c r="V870" s="5"/>
      <c r="W870" s="5"/>
      <c r="X870" s="5"/>
      <c r="Y870" s="5"/>
      <c r="Z870" s="5"/>
      <c r="AA870" s="5"/>
      <c r="AB870" s="5"/>
      <c r="AC870" s="5"/>
      <c r="AD870" s="5"/>
    </row>
    <row r="871">
      <c r="A871" s="57"/>
      <c r="B871" s="59"/>
      <c r="C871" s="54"/>
      <c r="D871" s="14"/>
      <c r="E871" s="14"/>
      <c r="F871" s="14"/>
      <c r="G871" s="14"/>
      <c r="H871" s="14"/>
      <c r="I871" s="14"/>
      <c r="J871" s="14"/>
      <c r="K871" s="14"/>
      <c r="L871" s="14"/>
      <c r="M871" s="14"/>
      <c r="N871" s="14"/>
      <c r="O871" s="14"/>
      <c r="P871" s="14"/>
      <c r="Q871" s="15"/>
      <c r="R871" s="5"/>
      <c r="S871" s="5"/>
      <c r="T871" s="5"/>
      <c r="U871" s="5"/>
      <c r="V871" s="5"/>
      <c r="W871" s="5"/>
      <c r="X871" s="5"/>
      <c r="Y871" s="5"/>
      <c r="Z871" s="5"/>
      <c r="AA871" s="5"/>
      <c r="AB871" s="5"/>
      <c r="AC871" s="5"/>
      <c r="AD871" s="5"/>
    </row>
    <row r="872">
      <c r="A872" s="55"/>
      <c r="B872" s="56"/>
      <c r="C872" s="52"/>
      <c r="D872" s="9"/>
      <c r="E872" s="9"/>
      <c r="F872" s="9"/>
      <c r="G872" s="9"/>
      <c r="H872" s="9"/>
      <c r="I872" s="9"/>
      <c r="J872" s="9"/>
      <c r="K872" s="9"/>
      <c r="L872" s="9"/>
      <c r="M872" s="9"/>
      <c r="N872" s="9"/>
      <c r="O872" s="9"/>
      <c r="P872" s="9"/>
      <c r="Q872" s="10"/>
      <c r="R872" s="5"/>
      <c r="S872" s="5"/>
      <c r="T872" s="5"/>
      <c r="U872" s="5"/>
      <c r="V872" s="5"/>
      <c r="W872" s="5"/>
      <c r="X872" s="5"/>
      <c r="Y872" s="5"/>
      <c r="Z872" s="5"/>
      <c r="AA872" s="5"/>
      <c r="AB872" s="5"/>
      <c r="AC872" s="5"/>
      <c r="AD872" s="5"/>
    </row>
    <row r="873">
      <c r="A873" s="57"/>
      <c r="B873" s="59"/>
      <c r="C873" s="54"/>
      <c r="D873" s="14"/>
      <c r="E873" s="14"/>
      <c r="F873" s="14"/>
      <c r="G873" s="14"/>
      <c r="H873" s="14"/>
      <c r="I873" s="14"/>
      <c r="J873" s="14"/>
      <c r="K873" s="14"/>
      <c r="L873" s="14"/>
      <c r="M873" s="14"/>
      <c r="N873" s="14"/>
      <c r="O873" s="14"/>
      <c r="P873" s="14"/>
      <c r="Q873" s="15"/>
      <c r="R873" s="5"/>
      <c r="S873" s="5"/>
      <c r="T873" s="5"/>
      <c r="U873" s="5"/>
      <c r="V873" s="5"/>
      <c r="W873" s="5"/>
      <c r="X873" s="5"/>
      <c r="Y873" s="5"/>
      <c r="Z873" s="5"/>
      <c r="AA873" s="5"/>
      <c r="AB873" s="5"/>
      <c r="AC873" s="5"/>
      <c r="AD873" s="5"/>
    </row>
    <row r="874">
      <c r="A874" s="55"/>
      <c r="B874" s="56"/>
      <c r="C874" s="52"/>
      <c r="D874" s="9"/>
      <c r="E874" s="9"/>
      <c r="F874" s="9"/>
      <c r="G874" s="9"/>
      <c r="H874" s="9"/>
      <c r="I874" s="9"/>
      <c r="J874" s="9"/>
      <c r="K874" s="9"/>
      <c r="L874" s="9"/>
      <c r="M874" s="9"/>
      <c r="N874" s="9"/>
      <c r="O874" s="9"/>
      <c r="P874" s="9"/>
      <c r="Q874" s="10"/>
      <c r="R874" s="5"/>
      <c r="S874" s="5"/>
      <c r="T874" s="5"/>
      <c r="U874" s="5"/>
      <c r="V874" s="5"/>
      <c r="W874" s="5"/>
      <c r="X874" s="5"/>
      <c r="Y874" s="5"/>
      <c r="Z874" s="5"/>
      <c r="AA874" s="5"/>
      <c r="AB874" s="5"/>
      <c r="AC874" s="5"/>
      <c r="AD874" s="5"/>
    </row>
    <row r="875">
      <c r="A875" s="57"/>
      <c r="B875" s="59"/>
      <c r="C875" s="54"/>
      <c r="D875" s="14"/>
      <c r="E875" s="14"/>
      <c r="F875" s="14"/>
      <c r="G875" s="14"/>
      <c r="H875" s="14"/>
      <c r="I875" s="14"/>
      <c r="J875" s="14"/>
      <c r="K875" s="14"/>
      <c r="L875" s="14"/>
      <c r="M875" s="14"/>
      <c r="N875" s="14"/>
      <c r="O875" s="14"/>
      <c r="P875" s="14"/>
      <c r="Q875" s="15"/>
      <c r="R875" s="5"/>
      <c r="S875" s="5"/>
      <c r="T875" s="5"/>
      <c r="U875" s="5"/>
      <c r="V875" s="5"/>
      <c r="W875" s="5"/>
      <c r="X875" s="5"/>
      <c r="Y875" s="5"/>
      <c r="Z875" s="5"/>
      <c r="AA875" s="5"/>
      <c r="AB875" s="5"/>
      <c r="AC875" s="5"/>
      <c r="AD875" s="5"/>
    </row>
    <row r="876">
      <c r="A876" s="55"/>
      <c r="B876" s="56"/>
      <c r="C876" s="52"/>
      <c r="D876" s="9"/>
      <c r="E876" s="9"/>
      <c r="F876" s="9"/>
      <c r="G876" s="9"/>
      <c r="H876" s="9"/>
      <c r="I876" s="9"/>
      <c r="J876" s="9"/>
      <c r="K876" s="9"/>
      <c r="L876" s="9"/>
      <c r="M876" s="9"/>
      <c r="N876" s="9"/>
      <c r="O876" s="9"/>
      <c r="P876" s="9"/>
      <c r="Q876" s="10"/>
      <c r="R876" s="5"/>
      <c r="S876" s="5"/>
      <c r="T876" s="5"/>
      <c r="U876" s="5"/>
      <c r="V876" s="5"/>
      <c r="W876" s="5"/>
      <c r="X876" s="5"/>
      <c r="Y876" s="5"/>
      <c r="Z876" s="5"/>
      <c r="AA876" s="5"/>
      <c r="AB876" s="5"/>
      <c r="AC876" s="5"/>
      <c r="AD876" s="5"/>
    </row>
    <row r="877">
      <c r="A877" s="57"/>
      <c r="B877" s="59"/>
      <c r="C877" s="54"/>
      <c r="D877" s="14"/>
      <c r="E877" s="14"/>
      <c r="F877" s="14"/>
      <c r="G877" s="14"/>
      <c r="H877" s="14"/>
      <c r="I877" s="14"/>
      <c r="J877" s="14"/>
      <c r="K877" s="14"/>
      <c r="L877" s="14"/>
      <c r="M877" s="14"/>
      <c r="N877" s="14"/>
      <c r="O877" s="14"/>
      <c r="P877" s="14"/>
      <c r="Q877" s="15"/>
      <c r="R877" s="5"/>
      <c r="S877" s="5"/>
      <c r="T877" s="5"/>
      <c r="U877" s="5"/>
      <c r="V877" s="5"/>
      <c r="W877" s="5"/>
      <c r="X877" s="5"/>
      <c r="Y877" s="5"/>
      <c r="Z877" s="5"/>
      <c r="AA877" s="5"/>
      <c r="AB877" s="5"/>
      <c r="AC877" s="5"/>
      <c r="AD877" s="5"/>
    </row>
    <row r="878">
      <c r="A878" s="55"/>
      <c r="B878" s="56"/>
      <c r="C878" s="52"/>
      <c r="D878" s="9"/>
      <c r="E878" s="9"/>
      <c r="F878" s="9"/>
      <c r="G878" s="9"/>
      <c r="H878" s="9"/>
      <c r="I878" s="9"/>
      <c r="J878" s="9"/>
      <c r="K878" s="9"/>
      <c r="L878" s="9"/>
      <c r="M878" s="9"/>
      <c r="N878" s="9"/>
      <c r="O878" s="9"/>
      <c r="P878" s="9"/>
      <c r="Q878" s="10"/>
      <c r="R878" s="5"/>
      <c r="S878" s="5"/>
      <c r="T878" s="5"/>
      <c r="U878" s="5"/>
      <c r="V878" s="5"/>
      <c r="W878" s="5"/>
      <c r="X878" s="5"/>
      <c r="Y878" s="5"/>
      <c r="Z878" s="5"/>
      <c r="AA878" s="5"/>
      <c r="AB878" s="5"/>
      <c r="AC878" s="5"/>
      <c r="AD878" s="5"/>
    </row>
    <row r="879">
      <c r="A879" s="57"/>
      <c r="B879" s="59"/>
      <c r="C879" s="54"/>
      <c r="D879" s="14"/>
      <c r="E879" s="14"/>
      <c r="F879" s="14"/>
      <c r="G879" s="14"/>
      <c r="H879" s="14"/>
      <c r="I879" s="14"/>
      <c r="J879" s="14"/>
      <c r="K879" s="14"/>
      <c r="L879" s="14"/>
      <c r="M879" s="14"/>
      <c r="N879" s="14"/>
      <c r="O879" s="14"/>
      <c r="P879" s="14"/>
      <c r="Q879" s="15"/>
      <c r="R879" s="5"/>
      <c r="S879" s="5"/>
      <c r="T879" s="5"/>
      <c r="U879" s="5"/>
      <c r="V879" s="5"/>
      <c r="W879" s="5"/>
      <c r="X879" s="5"/>
      <c r="Y879" s="5"/>
      <c r="Z879" s="5"/>
      <c r="AA879" s="5"/>
      <c r="AB879" s="5"/>
      <c r="AC879" s="5"/>
      <c r="AD879" s="5"/>
    </row>
    <row r="880">
      <c r="A880" s="55"/>
      <c r="B880" s="56"/>
      <c r="C880" s="52"/>
      <c r="D880" s="9"/>
      <c r="E880" s="9"/>
      <c r="F880" s="9"/>
      <c r="G880" s="9"/>
      <c r="H880" s="9"/>
      <c r="I880" s="9"/>
      <c r="J880" s="9"/>
      <c r="K880" s="9"/>
      <c r="L880" s="9"/>
      <c r="M880" s="9"/>
      <c r="N880" s="9"/>
      <c r="O880" s="9"/>
      <c r="P880" s="9"/>
      <c r="Q880" s="10"/>
      <c r="R880" s="5"/>
      <c r="S880" s="5"/>
      <c r="T880" s="5"/>
      <c r="U880" s="5"/>
      <c r="V880" s="5"/>
      <c r="W880" s="5"/>
      <c r="X880" s="5"/>
      <c r="Y880" s="5"/>
      <c r="Z880" s="5"/>
      <c r="AA880" s="5"/>
      <c r="AB880" s="5"/>
      <c r="AC880" s="5"/>
      <c r="AD880" s="5"/>
    </row>
    <row r="881">
      <c r="A881" s="57"/>
      <c r="B881" s="59"/>
      <c r="C881" s="54"/>
      <c r="D881" s="14"/>
      <c r="E881" s="14"/>
      <c r="F881" s="14"/>
      <c r="G881" s="14"/>
      <c r="H881" s="14"/>
      <c r="I881" s="14"/>
      <c r="J881" s="14"/>
      <c r="K881" s="14"/>
      <c r="L881" s="14"/>
      <c r="M881" s="14"/>
      <c r="N881" s="14"/>
      <c r="O881" s="14"/>
      <c r="P881" s="14"/>
      <c r="Q881" s="15"/>
      <c r="R881" s="5"/>
      <c r="S881" s="5"/>
      <c r="T881" s="5"/>
      <c r="U881" s="5"/>
      <c r="V881" s="5"/>
      <c r="W881" s="5"/>
      <c r="X881" s="5"/>
      <c r="Y881" s="5"/>
      <c r="Z881" s="5"/>
      <c r="AA881" s="5"/>
      <c r="AB881" s="5"/>
      <c r="AC881" s="5"/>
      <c r="AD881" s="5"/>
    </row>
    <row r="882">
      <c r="A882" s="55"/>
      <c r="B882" s="56"/>
      <c r="C882" s="52"/>
      <c r="D882" s="9"/>
      <c r="E882" s="9"/>
      <c r="F882" s="9"/>
      <c r="G882" s="9"/>
      <c r="H882" s="9"/>
      <c r="I882" s="9"/>
      <c r="J882" s="9"/>
      <c r="K882" s="9"/>
      <c r="L882" s="9"/>
      <c r="M882" s="9"/>
      <c r="N882" s="9"/>
      <c r="O882" s="9"/>
      <c r="P882" s="9"/>
      <c r="Q882" s="10"/>
      <c r="R882" s="5"/>
      <c r="S882" s="5"/>
      <c r="T882" s="5"/>
      <c r="U882" s="5"/>
      <c r="V882" s="5"/>
      <c r="W882" s="5"/>
      <c r="X882" s="5"/>
      <c r="Y882" s="5"/>
      <c r="Z882" s="5"/>
      <c r="AA882" s="5"/>
      <c r="AB882" s="5"/>
      <c r="AC882" s="5"/>
      <c r="AD882" s="5"/>
    </row>
    <row r="883">
      <c r="A883" s="57"/>
      <c r="B883" s="59"/>
      <c r="C883" s="54"/>
      <c r="D883" s="14"/>
      <c r="E883" s="14"/>
      <c r="F883" s="14"/>
      <c r="G883" s="14"/>
      <c r="H883" s="14"/>
      <c r="I883" s="14"/>
      <c r="J883" s="14"/>
      <c r="K883" s="14"/>
      <c r="L883" s="14"/>
      <c r="M883" s="14"/>
      <c r="N883" s="14"/>
      <c r="O883" s="14"/>
      <c r="P883" s="14"/>
      <c r="Q883" s="15"/>
      <c r="R883" s="5"/>
      <c r="S883" s="5"/>
      <c r="T883" s="5"/>
      <c r="U883" s="5"/>
      <c r="V883" s="5"/>
      <c r="W883" s="5"/>
      <c r="X883" s="5"/>
      <c r="Y883" s="5"/>
      <c r="Z883" s="5"/>
      <c r="AA883" s="5"/>
      <c r="AB883" s="5"/>
      <c r="AC883" s="5"/>
      <c r="AD883" s="5"/>
    </row>
    <row r="884">
      <c r="A884" s="55"/>
      <c r="B884" s="56"/>
      <c r="C884" s="52"/>
      <c r="D884" s="9"/>
      <c r="E884" s="9"/>
      <c r="F884" s="9"/>
      <c r="G884" s="9"/>
      <c r="H884" s="9"/>
      <c r="I884" s="9"/>
      <c r="J884" s="9"/>
      <c r="K884" s="9"/>
      <c r="L884" s="9"/>
      <c r="M884" s="9"/>
      <c r="N884" s="9"/>
      <c r="O884" s="9"/>
      <c r="P884" s="9"/>
      <c r="Q884" s="10"/>
      <c r="R884" s="5"/>
      <c r="S884" s="5"/>
      <c r="T884" s="5"/>
      <c r="U884" s="5"/>
      <c r="V884" s="5"/>
      <c r="W884" s="5"/>
      <c r="X884" s="5"/>
      <c r="Y884" s="5"/>
      <c r="Z884" s="5"/>
      <c r="AA884" s="5"/>
      <c r="AB884" s="5"/>
      <c r="AC884" s="5"/>
      <c r="AD884" s="5"/>
    </row>
    <row r="885">
      <c r="A885" s="57"/>
      <c r="B885" s="59"/>
      <c r="C885" s="54"/>
      <c r="D885" s="14"/>
      <c r="E885" s="14"/>
      <c r="F885" s="14"/>
      <c r="G885" s="14"/>
      <c r="H885" s="14"/>
      <c r="I885" s="14"/>
      <c r="J885" s="14"/>
      <c r="K885" s="14"/>
      <c r="L885" s="14"/>
      <c r="M885" s="14"/>
      <c r="N885" s="14"/>
      <c r="O885" s="14"/>
      <c r="P885" s="14"/>
      <c r="Q885" s="15"/>
      <c r="R885" s="5"/>
      <c r="S885" s="5"/>
      <c r="T885" s="5"/>
      <c r="U885" s="5"/>
      <c r="V885" s="5"/>
      <c r="W885" s="5"/>
      <c r="X885" s="5"/>
      <c r="Y885" s="5"/>
      <c r="Z885" s="5"/>
      <c r="AA885" s="5"/>
      <c r="AB885" s="5"/>
      <c r="AC885" s="5"/>
      <c r="AD885" s="5"/>
    </row>
    <row r="886">
      <c r="A886" s="55"/>
      <c r="B886" s="56"/>
      <c r="C886" s="52"/>
      <c r="D886" s="9"/>
      <c r="E886" s="9"/>
      <c r="F886" s="9"/>
      <c r="G886" s="9"/>
      <c r="H886" s="9"/>
      <c r="I886" s="9"/>
      <c r="J886" s="9"/>
      <c r="K886" s="9"/>
      <c r="L886" s="9"/>
      <c r="M886" s="9"/>
      <c r="N886" s="9"/>
      <c r="O886" s="9"/>
      <c r="P886" s="9"/>
      <c r="Q886" s="10"/>
      <c r="R886" s="5"/>
      <c r="S886" s="5"/>
      <c r="T886" s="5"/>
      <c r="U886" s="5"/>
      <c r="V886" s="5"/>
      <c r="W886" s="5"/>
      <c r="X886" s="5"/>
      <c r="Y886" s="5"/>
      <c r="Z886" s="5"/>
      <c r="AA886" s="5"/>
      <c r="AB886" s="5"/>
      <c r="AC886" s="5"/>
      <c r="AD886" s="5"/>
    </row>
    <row r="887">
      <c r="A887" s="57"/>
      <c r="B887" s="59"/>
      <c r="C887" s="54"/>
      <c r="D887" s="14"/>
      <c r="E887" s="14"/>
      <c r="F887" s="14"/>
      <c r="G887" s="14"/>
      <c r="H887" s="14"/>
      <c r="I887" s="14"/>
      <c r="J887" s="14"/>
      <c r="K887" s="14"/>
      <c r="L887" s="14"/>
      <c r="M887" s="14"/>
      <c r="N887" s="14"/>
      <c r="O887" s="14"/>
      <c r="P887" s="14"/>
      <c r="Q887" s="15"/>
      <c r="R887" s="5"/>
      <c r="S887" s="5"/>
      <c r="T887" s="5"/>
      <c r="U887" s="5"/>
      <c r="V887" s="5"/>
      <c r="W887" s="5"/>
      <c r="X887" s="5"/>
      <c r="Y887" s="5"/>
      <c r="Z887" s="5"/>
      <c r="AA887" s="5"/>
      <c r="AB887" s="5"/>
      <c r="AC887" s="5"/>
      <c r="AD887" s="5"/>
    </row>
    <row r="888">
      <c r="A888" s="55"/>
      <c r="B888" s="56"/>
      <c r="C888" s="52"/>
      <c r="D888" s="9"/>
      <c r="E888" s="9"/>
      <c r="F888" s="9"/>
      <c r="G888" s="9"/>
      <c r="H888" s="9"/>
      <c r="I888" s="9"/>
      <c r="J888" s="9"/>
      <c r="K888" s="9"/>
      <c r="L888" s="9"/>
      <c r="M888" s="9"/>
      <c r="N888" s="9"/>
      <c r="O888" s="9"/>
      <c r="P888" s="9"/>
      <c r="Q888" s="10"/>
      <c r="R888" s="5"/>
      <c r="S888" s="5"/>
      <c r="T888" s="5"/>
      <c r="U888" s="5"/>
      <c r="V888" s="5"/>
      <c r="W888" s="5"/>
      <c r="X888" s="5"/>
      <c r="Y888" s="5"/>
      <c r="Z888" s="5"/>
      <c r="AA888" s="5"/>
      <c r="AB888" s="5"/>
      <c r="AC888" s="5"/>
      <c r="AD888" s="5"/>
    </row>
    <row r="889">
      <c r="A889" s="57"/>
      <c r="B889" s="59"/>
      <c r="C889" s="54"/>
      <c r="D889" s="14"/>
      <c r="E889" s="14"/>
      <c r="F889" s="14"/>
      <c r="G889" s="14"/>
      <c r="H889" s="14"/>
      <c r="I889" s="14"/>
      <c r="J889" s="14"/>
      <c r="K889" s="14"/>
      <c r="L889" s="14"/>
      <c r="M889" s="14"/>
      <c r="N889" s="14"/>
      <c r="O889" s="14"/>
      <c r="P889" s="14"/>
      <c r="Q889" s="15"/>
      <c r="R889" s="5"/>
      <c r="S889" s="5"/>
      <c r="T889" s="5"/>
      <c r="U889" s="5"/>
      <c r="V889" s="5"/>
      <c r="W889" s="5"/>
      <c r="X889" s="5"/>
      <c r="Y889" s="5"/>
      <c r="Z889" s="5"/>
      <c r="AA889" s="5"/>
      <c r="AB889" s="5"/>
      <c r="AC889" s="5"/>
      <c r="AD889" s="5"/>
    </row>
    <row r="890">
      <c r="A890" s="55"/>
      <c r="B890" s="56"/>
      <c r="C890" s="52"/>
      <c r="D890" s="9"/>
      <c r="E890" s="9"/>
      <c r="F890" s="9"/>
      <c r="G890" s="9"/>
      <c r="H890" s="9"/>
      <c r="I890" s="9"/>
      <c r="J890" s="9"/>
      <c r="K890" s="9"/>
      <c r="L890" s="9"/>
      <c r="M890" s="9"/>
      <c r="N890" s="9"/>
      <c r="O890" s="9"/>
      <c r="P890" s="9"/>
      <c r="Q890" s="10"/>
      <c r="R890" s="5"/>
      <c r="S890" s="5"/>
      <c r="T890" s="5"/>
      <c r="U890" s="5"/>
      <c r="V890" s="5"/>
      <c r="W890" s="5"/>
      <c r="X890" s="5"/>
      <c r="Y890" s="5"/>
      <c r="Z890" s="5"/>
      <c r="AA890" s="5"/>
      <c r="AB890" s="5"/>
      <c r="AC890" s="5"/>
      <c r="AD890" s="5"/>
    </row>
    <row r="891">
      <c r="A891" s="57"/>
      <c r="B891" s="59"/>
      <c r="C891" s="54"/>
      <c r="D891" s="14"/>
      <c r="E891" s="14"/>
      <c r="F891" s="14"/>
      <c r="G891" s="14"/>
      <c r="H891" s="14"/>
      <c r="I891" s="14"/>
      <c r="J891" s="14"/>
      <c r="K891" s="14"/>
      <c r="L891" s="14"/>
      <c r="M891" s="14"/>
      <c r="N891" s="14"/>
      <c r="O891" s="14"/>
      <c r="P891" s="14"/>
      <c r="Q891" s="15"/>
      <c r="R891" s="5"/>
      <c r="S891" s="5"/>
      <c r="T891" s="5"/>
      <c r="U891" s="5"/>
      <c r="V891" s="5"/>
      <c r="W891" s="5"/>
      <c r="X891" s="5"/>
      <c r="Y891" s="5"/>
      <c r="Z891" s="5"/>
      <c r="AA891" s="5"/>
      <c r="AB891" s="5"/>
      <c r="AC891" s="5"/>
      <c r="AD891" s="5"/>
    </row>
    <row r="892">
      <c r="A892" s="55"/>
      <c r="B892" s="56"/>
      <c r="C892" s="52"/>
      <c r="D892" s="9"/>
      <c r="E892" s="9"/>
      <c r="F892" s="9"/>
      <c r="G892" s="9"/>
      <c r="H892" s="9"/>
      <c r="I892" s="9"/>
      <c r="J892" s="9"/>
      <c r="K892" s="9"/>
      <c r="L892" s="9"/>
      <c r="M892" s="9"/>
      <c r="N892" s="9"/>
      <c r="O892" s="9"/>
      <c r="P892" s="9"/>
      <c r="Q892" s="10"/>
      <c r="R892" s="5"/>
      <c r="S892" s="5"/>
      <c r="T892" s="5"/>
      <c r="U892" s="5"/>
      <c r="V892" s="5"/>
      <c r="W892" s="5"/>
      <c r="X892" s="5"/>
      <c r="Y892" s="5"/>
      <c r="Z892" s="5"/>
      <c r="AA892" s="5"/>
      <c r="AB892" s="5"/>
      <c r="AC892" s="5"/>
      <c r="AD892" s="5"/>
    </row>
    <row r="893">
      <c r="A893" s="57"/>
      <c r="B893" s="59"/>
      <c r="C893" s="54"/>
      <c r="D893" s="14"/>
      <c r="E893" s="14"/>
      <c r="F893" s="14"/>
      <c r="G893" s="14"/>
      <c r="H893" s="14"/>
      <c r="I893" s="14"/>
      <c r="J893" s="14"/>
      <c r="K893" s="14"/>
      <c r="L893" s="14"/>
      <c r="M893" s="14"/>
      <c r="N893" s="14"/>
      <c r="O893" s="14"/>
      <c r="P893" s="14"/>
      <c r="Q893" s="15"/>
      <c r="R893" s="5"/>
      <c r="S893" s="5"/>
      <c r="T893" s="5"/>
      <c r="U893" s="5"/>
      <c r="V893" s="5"/>
      <c r="W893" s="5"/>
      <c r="X893" s="5"/>
      <c r="Y893" s="5"/>
      <c r="Z893" s="5"/>
      <c r="AA893" s="5"/>
      <c r="AB893" s="5"/>
      <c r="AC893" s="5"/>
      <c r="AD893" s="5"/>
    </row>
    <row r="894">
      <c r="A894" s="55"/>
      <c r="B894" s="56"/>
      <c r="C894" s="52"/>
      <c r="D894" s="9"/>
      <c r="E894" s="9"/>
      <c r="F894" s="9"/>
      <c r="G894" s="9"/>
      <c r="H894" s="9"/>
      <c r="I894" s="9"/>
      <c r="J894" s="9"/>
      <c r="K894" s="9"/>
      <c r="L894" s="9"/>
      <c r="M894" s="9"/>
      <c r="N894" s="9"/>
      <c r="O894" s="9"/>
      <c r="P894" s="9"/>
      <c r="Q894" s="10"/>
      <c r="R894" s="5"/>
      <c r="S894" s="5"/>
      <c r="T894" s="5"/>
      <c r="U894" s="5"/>
      <c r="V894" s="5"/>
      <c r="W894" s="5"/>
      <c r="X894" s="5"/>
      <c r="Y894" s="5"/>
      <c r="Z894" s="5"/>
      <c r="AA894" s="5"/>
      <c r="AB894" s="5"/>
      <c r="AC894" s="5"/>
      <c r="AD894" s="5"/>
    </row>
    <row r="895">
      <c r="A895" s="57"/>
      <c r="B895" s="59"/>
      <c r="C895" s="54"/>
      <c r="D895" s="14"/>
      <c r="E895" s="14"/>
      <c r="F895" s="14"/>
      <c r="G895" s="14"/>
      <c r="H895" s="14"/>
      <c r="I895" s="14"/>
      <c r="J895" s="14"/>
      <c r="K895" s="14"/>
      <c r="L895" s="14"/>
      <c r="M895" s="14"/>
      <c r="N895" s="14"/>
      <c r="O895" s="14"/>
      <c r="P895" s="14"/>
      <c r="Q895" s="15"/>
      <c r="R895" s="5"/>
      <c r="S895" s="5"/>
      <c r="T895" s="5"/>
      <c r="U895" s="5"/>
      <c r="V895" s="5"/>
      <c r="W895" s="5"/>
      <c r="X895" s="5"/>
      <c r="Y895" s="5"/>
      <c r="Z895" s="5"/>
      <c r="AA895" s="5"/>
      <c r="AB895" s="5"/>
      <c r="AC895" s="5"/>
      <c r="AD895" s="5"/>
    </row>
    <row r="896">
      <c r="A896" s="55"/>
      <c r="B896" s="56"/>
      <c r="C896" s="52"/>
      <c r="D896" s="9"/>
      <c r="E896" s="9"/>
      <c r="F896" s="9"/>
      <c r="G896" s="9"/>
      <c r="H896" s="9"/>
      <c r="I896" s="9"/>
      <c r="J896" s="9"/>
      <c r="K896" s="9"/>
      <c r="L896" s="9"/>
      <c r="M896" s="9"/>
      <c r="N896" s="9"/>
      <c r="O896" s="9"/>
      <c r="P896" s="9"/>
      <c r="Q896" s="10"/>
      <c r="R896" s="5"/>
      <c r="S896" s="5"/>
      <c r="T896" s="5"/>
      <c r="U896" s="5"/>
      <c r="V896" s="5"/>
      <c r="W896" s="5"/>
      <c r="X896" s="5"/>
      <c r="Y896" s="5"/>
      <c r="Z896" s="5"/>
      <c r="AA896" s="5"/>
      <c r="AB896" s="5"/>
      <c r="AC896" s="5"/>
      <c r="AD896" s="5"/>
    </row>
    <row r="897">
      <c r="A897" s="57"/>
      <c r="B897" s="59"/>
      <c r="C897" s="54"/>
      <c r="D897" s="14"/>
      <c r="E897" s="14"/>
      <c r="F897" s="14"/>
      <c r="G897" s="14"/>
      <c r="H897" s="14"/>
      <c r="I897" s="14"/>
      <c r="J897" s="14"/>
      <c r="K897" s="14"/>
      <c r="L897" s="14"/>
      <c r="M897" s="14"/>
      <c r="N897" s="14"/>
      <c r="O897" s="14"/>
      <c r="P897" s="14"/>
      <c r="Q897" s="15"/>
      <c r="R897" s="5"/>
      <c r="S897" s="5"/>
      <c r="T897" s="5"/>
      <c r="U897" s="5"/>
      <c r="V897" s="5"/>
      <c r="W897" s="5"/>
      <c r="X897" s="5"/>
      <c r="Y897" s="5"/>
      <c r="Z897" s="5"/>
      <c r="AA897" s="5"/>
      <c r="AB897" s="5"/>
      <c r="AC897" s="5"/>
      <c r="AD897" s="5"/>
    </row>
    <row r="898">
      <c r="A898" s="55"/>
      <c r="B898" s="56"/>
      <c r="C898" s="52"/>
      <c r="D898" s="9"/>
      <c r="E898" s="9"/>
      <c r="F898" s="9"/>
      <c r="G898" s="9"/>
      <c r="H898" s="9"/>
      <c r="I898" s="9"/>
      <c r="J898" s="9"/>
      <c r="K898" s="9"/>
      <c r="L898" s="9"/>
      <c r="M898" s="9"/>
      <c r="N898" s="9"/>
      <c r="O898" s="9"/>
      <c r="P898" s="9"/>
      <c r="Q898" s="10"/>
      <c r="R898" s="5"/>
      <c r="S898" s="5"/>
      <c r="T898" s="5"/>
      <c r="U898" s="5"/>
      <c r="V898" s="5"/>
      <c r="W898" s="5"/>
      <c r="X898" s="5"/>
      <c r="Y898" s="5"/>
      <c r="Z898" s="5"/>
      <c r="AA898" s="5"/>
      <c r="AB898" s="5"/>
      <c r="AC898" s="5"/>
      <c r="AD898" s="5"/>
    </row>
    <row r="899">
      <c r="A899" s="57"/>
      <c r="B899" s="59"/>
      <c r="C899" s="54"/>
      <c r="D899" s="14"/>
      <c r="E899" s="14"/>
      <c r="F899" s="14"/>
      <c r="G899" s="14"/>
      <c r="H899" s="14"/>
      <c r="I899" s="14"/>
      <c r="J899" s="14"/>
      <c r="K899" s="14"/>
      <c r="L899" s="14"/>
      <c r="M899" s="14"/>
      <c r="N899" s="14"/>
      <c r="O899" s="14"/>
      <c r="P899" s="14"/>
      <c r="Q899" s="15"/>
      <c r="R899" s="5"/>
      <c r="S899" s="5"/>
      <c r="T899" s="5"/>
      <c r="U899" s="5"/>
      <c r="V899" s="5"/>
      <c r="W899" s="5"/>
      <c r="X899" s="5"/>
      <c r="Y899" s="5"/>
      <c r="Z899" s="5"/>
      <c r="AA899" s="5"/>
      <c r="AB899" s="5"/>
      <c r="AC899" s="5"/>
      <c r="AD899" s="5"/>
    </row>
    <row r="900">
      <c r="A900" s="55"/>
      <c r="B900" s="56"/>
      <c r="C900" s="52"/>
      <c r="D900" s="9"/>
      <c r="E900" s="9"/>
      <c r="F900" s="9"/>
      <c r="G900" s="9"/>
      <c r="H900" s="9"/>
      <c r="I900" s="9"/>
      <c r="J900" s="9"/>
      <c r="K900" s="9"/>
      <c r="L900" s="9"/>
      <c r="M900" s="9"/>
      <c r="N900" s="9"/>
      <c r="O900" s="9"/>
      <c r="P900" s="9"/>
      <c r="Q900" s="10"/>
      <c r="R900" s="5"/>
      <c r="S900" s="5"/>
      <c r="T900" s="5"/>
      <c r="U900" s="5"/>
      <c r="V900" s="5"/>
      <c r="W900" s="5"/>
      <c r="X900" s="5"/>
      <c r="Y900" s="5"/>
      <c r="Z900" s="5"/>
      <c r="AA900" s="5"/>
      <c r="AB900" s="5"/>
      <c r="AC900" s="5"/>
      <c r="AD900" s="5"/>
    </row>
    <row r="901">
      <c r="A901" s="57"/>
      <c r="B901" s="59"/>
      <c r="C901" s="54"/>
      <c r="D901" s="14"/>
      <c r="E901" s="14"/>
      <c r="F901" s="14"/>
      <c r="G901" s="14"/>
      <c r="H901" s="14"/>
      <c r="I901" s="14"/>
      <c r="J901" s="14"/>
      <c r="K901" s="14"/>
      <c r="L901" s="14"/>
      <c r="M901" s="14"/>
      <c r="N901" s="14"/>
      <c r="O901" s="14"/>
      <c r="P901" s="14"/>
      <c r="Q901" s="15"/>
      <c r="R901" s="5"/>
      <c r="S901" s="5"/>
      <c r="T901" s="5"/>
      <c r="U901" s="5"/>
      <c r="V901" s="5"/>
      <c r="W901" s="5"/>
      <c r="X901" s="5"/>
      <c r="Y901" s="5"/>
      <c r="Z901" s="5"/>
      <c r="AA901" s="5"/>
      <c r="AB901" s="5"/>
      <c r="AC901" s="5"/>
      <c r="AD901" s="5"/>
    </row>
    <row r="902">
      <c r="A902" s="55"/>
      <c r="B902" s="56"/>
      <c r="C902" s="52"/>
      <c r="D902" s="9"/>
      <c r="E902" s="9"/>
      <c r="F902" s="9"/>
      <c r="G902" s="9"/>
      <c r="H902" s="9"/>
      <c r="I902" s="9"/>
      <c r="J902" s="9"/>
      <c r="K902" s="9"/>
      <c r="L902" s="9"/>
      <c r="M902" s="9"/>
      <c r="N902" s="9"/>
      <c r="O902" s="9"/>
      <c r="P902" s="9"/>
      <c r="Q902" s="10"/>
      <c r="R902" s="5"/>
      <c r="S902" s="5"/>
      <c r="T902" s="5"/>
      <c r="U902" s="5"/>
      <c r="V902" s="5"/>
      <c r="W902" s="5"/>
      <c r="X902" s="5"/>
      <c r="Y902" s="5"/>
      <c r="Z902" s="5"/>
      <c r="AA902" s="5"/>
      <c r="AB902" s="5"/>
      <c r="AC902" s="5"/>
      <c r="AD902" s="5"/>
    </row>
    <row r="903">
      <c r="A903" s="57"/>
      <c r="B903" s="59"/>
      <c r="C903" s="54"/>
      <c r="D903" s="14"/>
      <c r="E903" s="14"/>
      <c r="F903" s="14"/>
      <c r="G903" s="14"/>
      <c r="H903" s="14"/>
      <c r="I903" s="14"/>
      <c r="J903" s="14"/>
      <c r="K903" s="14"/>
      <c r="L903" s="14"/>
      <c r="M903" s="14"/>
      <c r="N903" s="14"/>
      <c r="O903" s="14"/>
      <c r="P903" s="14"/>
      <c r="Q903" s="15"/>
      <c r="R903" s="5"/>
      <c r="S903" s="5"/>
      <c r="T903" s="5"/>
      <c r="U903" s="5"/>
      <c r="V903" s="5"/>
      <c r="W903" s="5"/>
      <c r="X903" s="5"/>
      <c r="Y903" s="5"/>
      <c r="Z903" s="5"/>
      <c r="AA903" s="5"/>
      <c r="AB903" s="5"/>
      <c r="AC903" s="5"/>
      <c r="AD903" s="5"/>
    </row>
    <row r="904">
      <c r="A904" s="55"/>
      <c r="B904" s="56"/>
      <c r="C904" s="52"/>
      <c r="D904" s="9"/>
      <c r="E904" s="9"/>
      <c r="F904" s="9"/>
      <c r="G904" s="9"/>
      <c r="H904" s="9"/>
      <c r="I904" s="9"/>
      <c r="J904" s="9"/>
      <c r="K904" s="9"/>
      <c r="L904" s="9"/>
      <c r="M904" s="9"/>
      <c r="N904" s="9"/>
      <c r="O904" s="9"/>
      <c r="P904" s="9"/>
      <c r="Q904" s="10"/>
      <c r="R904" s="5"/>
      <c r="S904" s="5"/>
      <c r="T904" s="5"/>
      <c r="U904" s="5"/>
      <c r="V904" s="5"/>
      <c r="W904" s="5"/>
      <c r="X904" s="5"/>
      <c r="Y904" s="5"/>
      <c r="Z904" s="5"/>
      <c r="AA904" s="5"/>
      <c r="AB904" s="5"/>
      <c r="AC904" s="5"/>
      <c r="AD904" s="5"/>
    </row>
    <row r="905">
      <c r="A905" s="57"/>
      <c r="B905" s="59"/>
      <c r="C905" s="54"/>
      <c r="D905" s="14"/>
      <c r="E905" s="14"/>
      <c r="F905" s="14"/>
      <c r="G905" s="14"/>
      <c r="H905" s="14"/>
      <c r="I905" s="14"/>
      <c r="J905" s="14"/>
      <c r="K905" s="14"/>
      <c r="L905" s="14"/>
      <c r="M905" s="14"/>
      <c r="N905" s="14"/>
      <c r="O905" s="14"/>
      <c r="P905" s="14"/>
      <c r="Q905" s="15"/>
      <c r="R905" s="5"/>
      <c r="S905" s="5"/>
      <c r="T905" s="5"/>
      <c r="U905" s="5"/>
      <c r="V905" s="5"/>
      <c r="W905" s="5"/>
      <c r="X905" s="5"/>
      <c r="Y905" s="5"/>
      <c r="Z905" s="5"/>
      <c r="AA905" s="5"/>
      <c r="AB905" s="5"/>
      <c r="AC905" s="5"/>
      <c r="AD905" s="5"/>
    </row>
    <row r="906">
      <c r="A906" s="55"/>
      <c r="B906" s="56"/>
      <c r="C906" s="52"/>
      <c r="D906" s="9"/>
      <c r="E906" s="9"/>
      <c r="F906" s="9"/>
      <c r="G906" s="9"/>
      <c r="H906" s="9"/>
      <c r="I906" s="9"/>
      <c r="J906" s="9"/>
      <c r="K906" s="9"/>
      <c r="L906" s="9"/>
      <c r="M906" s="9"/>
      <c r="N906" s="9"/>
      <c r="O906" s="9"/>
      <c r="P906" s="9"/>
      <c r="Q906" s="10"/>
      <c r="R906" s="5"/>
      <c r="S906" s="5"/>
      <c r="T906" s="5"/>
      <c r="U906" s="5"/>
      <c r="V906" s="5"/>
      <c r="W906" s="5"/>
      <c r="X906" s="5"/>
      <c r="Y906" s="5"/>
      <c r="Z906" s="5"/>
      <c r="AA906" s="5"/>
      <c r="AB906" s="5"/>
      <c r="AC906" s="5"/>
      <c r="AD906" s="5"/>
    </row>
    <row r="907">
      <c r="A907" s="57"/>
      <c r="B907" s="59"/>
      <c r="C907" s="54"/>
      <c r="D907" s="14"/>
      <c r="E907" s="14"/>
      <c r="F907" s="14"/>
      <c r="G907" s="14"/>
      <c r="H907" s="14"/>
      <c r="I907" s="14"/>
      <c r="J907" s="14"/>
      <c r="K907" s="14"/>
      <c r="L907" s="14"/>
      <c r="M907" s="14"/>
      <c r="N907" s="14"/>
      <c r="O907" s="14"/>
      <c r="P907" s="14"/>
      <c r="Q907" s="15"/>
      <c r="R907" s="5"/>
      <c r="S907" s="5"/>
      <c r="T907" s="5"/>
      <c r="U907" s="5"/>
      <c r="V907" s="5"/>
      <c r="W907" s="5"/>
      <c r="X907" s="5"/>
      <c r="Y907" s="5"/>
      <c r="Z907" s="5"/>
      <c r="AA907" s="5"/>
      <c r="AB907" s="5"/>
      <c r="AC907" s="5"/>
      <c r="AD907" s="5"/>
    </row>
    <row r="908">
      <c r="A908" s="55"/>
      <c r="B908" s="56"/>
      <c r="C908" s="52"/>
      <c r="D908" s="9"/>
      <c r="E908" s="9"/>
      <c r="F908" s="9"/>
      <c r="G908" s="9"/>
      <c r="H908" s="9"/>
      <c r="I908" s="9"/>
      <c r="J908" s="9"/>
      <c r="K908" s="9"/>
      <c r="L908" s="9"/>
      <c r="M908" s="9"/>
      <c r="N908" s="9"/>
      <c r="O908" s="9"/>
      <c r="P908" s="9"/>
      <c r="Q908" s="10"/>
      <c r="R908" s="5"/>
      <c r="S908" s="5"/>
      <c r="T908" s="5"/>
      <c r="U908" s="5"/>
      <c r="V908" s="5"/>
      <c r="W908" s="5"/>
      <c r="X908" s="5"/>
      <c r="Y908" s="5"/>
      <c r="Z908" s="5"/>
      <c r="AA908" s="5"/>
      <c r="AB908" s="5"/>
      <c r="AC908" s="5"/>
      <c r="AD908" s="5"/>
    </row>
    <row r="909">
      <c r="A909" s="57"/>
      <c r="B909" s="59"/>
      <c r="C909" s="54"/>
      <c r="D909" s="14"/>
      <c r="E909" s="14"/>
      <c r="F909" s="14"/>
      <c r="G909" s="14"/>
      <c r="H909" s="14"/>
      <c r="I909" s="14"/>
      <c r="J909" s="14"/>
      <c r="K909" s="14"/>
      <c r="L909" s="14"/>
      <c r="M909" s="14"/>
      <c r="N909" s="14"/>
      <c r="O909" s="14"/>
      <c r="P909" s="14"/>
      <c r="Q909" s="15"/>
      <c r="R909" s="5"/>
      <c r="S909" s="5"/>
      <c r="T909" s="5"/>
      <c r="U909" s="5"/>
      <c r="V909" s="5"/>
      <c r="W909" s="5"/>
      <c r="X909" s="5"/>
      <c r="Y909" s="5"/>
      <c r="Z909" s="5"/>
      <c r="AA909" s="5"/>
      <c r="AB909" s="5"/>
      <c r="AC909" s="5"/>
      <c r="AD909" s="5"/>
    </row>
    <row r="910">
      <c r="A910" s="55"/>
      <c r="B910" s="56"/>
      <c r="C910" s="52"/>
      <c r="D910" s="9"/>
      <c r="E910" s="9"/>
      <c r="F910" s="9"/>
      <c r="G910" s="9"/>
      <c r="H910" s="9"/>
      <c r="I910" s="9"/>
      <c r="J910" s="9"/>
      <c r="K910" s="9"/>
      <c r="L910" s="9"/>
      <c r="M910" s="9"/>
      <c r="N910" s="9"/>
      <c r="O910" s="9"/>
      <c r="P910" s="9"/>
      <c r="Q910" s="10"/>
      <c r="R910" s="5"/>
      <c r="S910" s="5"/>
      <c r="T910" s="5"/>
      <c r="U910" s="5"/>
      <c r="V910" s="5"/>
      <c r="W910" s="5"/>
      <c r="X910" s="5"/>
      <c r="Y910" s="5"/>
      <c r="Z910" s="5"/>
      <c r="AA910" s="5"/>
      <c r="AB910" s="5"/>
      <c r="AC910" s="5"/>
      <c r="AD910" s="5"/>
    </row>
    <row r="911">
      <c r="A911" s="57"/>
      <c r="B911" s="59"/>
      <c r="C911" s="54"/>
      <c r="D911" s="14"/>
      <c r="E911" s="14"/>
      <c r="F911" s="14"/>
      <c r="G911" s="14"/>
      <c r="H911" s="14"/>
      <c r="I911" s="14"/>
      <c r="J911" s="14"/>
      <c r="K911" s="14"/>
      <c r="L911" s="14"/>
      <c r="M911" s="14"/>
      <c r="N911" s="14"/>
      <c r="O911" s="14"/>
      <c r="P911" s="14"/>
      <c r="Q911" s="15"/>
      <c r="R911" s="5"/>
      <c r="S911" s="5"/>
      <c r="T911" s="5"/>
      <c r="U911" s="5"/>
      <c r="V911" s="5"/>
      <c r="W911" s="5"/>
      <c r="X911" s="5"/>
      <c r="Y911" s="5"/>
      <c r="Z911" s="5"/>
      <c r="AA911" s="5"/>
      <c r="AB911" s="5"/>
      <c r="AC911" s="5"/>
      <c r="AD911" s="5"/>
    </row>
    <row r="912">
      <c r="A912" s="55"/>
      <c r="B912" s="56"/>
      <c r="C912" s="52"/>
      <c r="D912" s="9"/>
      <c r="E912" s="9"/>
      <c r="F912" s="9"/>
      <c r="G912" s="9"/>
      <c r="H912" s="9"/>
      <c r="I912" s="9"/>
      <c r="J912" s="9"/>
      <c r="K912" s="9"/>
      <c r="L912" s="9"/>
      <c r="M912" s="9"/>
      <c r="N912" s="9"/>
      <c r="O912" s="9"/>
      <c r="P912" s="9"/>
      <c r="Q912" s="10"/>
      <c r="R912" s="5"/>
      <c r="S912" s="5"/>
      <c r="T912" s="5"/>
      <c r="U912" s="5"/>
      <c r="V912" s="5"/>
      <c r="W912" s="5"/>
      <c r="X912" s="5"/>
      <c r="Y912" s="5"/>
      <c r="Z912" s="5"/>
      <c r="AA912" s="5"/>
      <c r="AB912" s="5"/>
      <c r="AC912" s="5"/>
      <c r="AD912" s="5"/>
    </row>
    <row r="913">
      <c r="A913" s="57"/>
      <c r="B913" s="59"/>
      <c r="C913" s="54"/>
      <c r="D913" s="14"/>
      <c r="E913" s="14"/>
      <c r="F913" s="14"/>
      <c r="G913" s="14"/>
      <c r="H913" s="14"/>
      <c r="I913" s="14"/>
      <c r="J913" s="14"/>
      <c r="K913" s="14"/>
      <c r="L913" s="14"/>
      <c r="M913" s="14"/>
      <c r="N913" s="14"/>
      <c r="O913" s="14"/>
      <c r="P913" s="14"/>
      <c r="Q913" s="15"/>
      <c r="R913" s="5"/>
      <c r="S913" s="5"/>
      <c r="T913" s="5"/>
      <c r="U913" s="5"/>
      <c r="V913" s="5"/>
      <c r="W913" s="5"/>
      <c r="X913" s="5"/>
      <c r="Y913" s="5"/>
      <c r="Z913" s="5"/>
      <c r="AA913" s="5"/>
      <c r="AB913" s="5"/>
      <c r="AC913" s="5"/>
      <c r="AD913" s="5"/>
    </row>
    <row r="914">
      <c r="A914" s="55"/>
      <c r="B914" s="56"/>
      <c r="C914" s="52"/>
      <c r="D914" s="9"/>
      <c r="E914" s="9"/>
      <c r="F914" s="9"/>
      <c r="G914" s="9"/>
      <c r="H914" s="9"/>
      <c r="I914" s="9"/>
      <c r="J914" s="9"/>
      <c r="K914" s="9"/>
      <c r="L914" s="9"/>
      <c r="M914" s="9"/>
      <c r="N914" s="9"/>
      <c r="O914" s="9"/>
      <c r="P914" s="9"/>
      <c r="Q914" s="10"/>
      <c r="R914" s="5"/>
      <c r="S914" s="5"/>
      <c r="T914" s="5"/>
      <c r="U914" s="5"/>
      <c r="V914" s="5"/>
      <c r="W914" s="5"/>
      <c r="X914" s="5"/>
      <c r="Y914" s="5"/>
      <c r="Z914" s="5"/>
      <c r="AA914" s="5"/>
      <c r="AB914" s="5"/>
      <c r="AC914" s="5"/>
      <c r="AD914" s="5"/>
    </row>
    <row r="915">
      <c r="A915" s="57"/>
      <c r="B915" s="59"/>
      <c r="C915" s="54"/>
      <c r="D915" s="14"/>
      <c r="E915" s="14"/>
      <c r="F915" s="14"/>
      <c r="G915" s="14"/>
      <c r="H915" s="14"/>
      <c r="I915" s="14"/>
      <c r="J915" s="14"/>
      <c r="K915" s="14"/>
      <c r="L915" s="14"/>
      <c r="M915" s="14"/>
      <c r="N915" s="14"/>
      <c r="O915" s="14"/>
      <c r="P915" s="14"/>
      <c r="Q915" s="15"/>
      <c r="R915" s="5"/>
      <c r="S915" s="5"/>
      <c r="T915" s="5"/>
      <c r="U915" s="5"/>
      <c r="V915" s="5"/>
      <c r="W915" s="5"/>
      <c r="X915" s="5"/>
      <c r="Y915" s="5"/>
      <c r="Z915" s="5"/>
      <c r="AA915" s="5"/>
      <c r="AB915" s="5"/>
      <c r="AC915" s="5"/>
      <c r="AD915" s="5"/>
    </row>
    <row r="916">
      <c r="A916" s="55"/>
      <c r="B916" s="56"/>
      <c r="C916" s="52"/>
      <c r="D916" s="9"/>
      <c r="E916" s="9"/>
      <c r="F916" s="9"/>
      <c r="G916" s="9"/>
      <c r="H916" s="9"/>
      <c r="I916" s="9"/>
      <c r="J916" s="9"/>
      <c r="K916" s="9"/>
      <c r="L916" s="9"/>
      <c r="M916" s="9"/>
      <c r="N916" s="9"/>
      <c r="O916" s="9"/>
      <c r="P916" s="9"/>
      <c r="Q916" s="10"/>
      <c r="R916" s="5"/>
      <c r="S916" s="5"/>
      <c r="T916" s="5"/>
      <c r="U916" s="5"/>
      <c r="V916" s="5"/>
      <c r="W916" s="5"/>
      <c r="X916" s="5"/>
      <c r="Y916" s="5"/>
      <c r="Z916" s="5"/>
      <c r="AA916" s="5"/>
      <c r="AB916" s="5"/>
      <c r="AC916" s="5"/>
      <c r="AD916" s="5"/>
    </row>
    <row r="917">
      <c r="A917" s="57"/>
      <c r="B917" s="59"/>
      <c r="C917" s="54"/>
      <c r="D917" s="14"/>
      <c r="E917" s="14"/>
      <c r="F917" s="14"/>
      <c r="G917" s="14"/>
      <c r="H917" s="14"/>
      <c r="I917" s="14"/>
      <c r="J917" s="14"/>
      <c r="K917" s="14"/>
      <c r="L917" s="14"/>
      <c r="M917" s="14"/>
      <c r="N917" s="14"/>
      <c r="O917" s="14"/>
      <c r="P917" s="14"/>
      <c r="Q917" s="15"/>
      <c r="R917" s="5"/>
      <c r="S917" s="5"/>
      <c r="T917" s="5"/>
      <c r="U917" s="5"/>
      <c r="V917" s="5"/>
      <c r="W917" s="5"/>
      <c r="X917" s="5"/>
      <c r="Y917" s="5"/>
      <c r="Z917" s="5"/>
      <c r="AA917" s="5"/>
      <c r="AB917" s="5"/>
      <c r="AC917" s="5"/>
      <c r="AD917" s="5"/>
    </row>
    <row r="918">
      <c r="A918" s="55"/>
      <c r="B918" s="56"/>
      <c r="C918" s="52"/>
      <c r="D918" s="9"/>
      <c r="E918" s="9"/>
      <c r="F918" s="9"/>
      <c r="G918" s="9"/>
      <c r="H918" s="9"/>
      <c r="I918" s="9"/>
      <c r="J918" s="9"/>
      <c r="K918" s="9"/>
      <c r="L918" s="9"/>
      <c r="M918" s="9"/>
      <c r="N918" s="9"/>
      <c r="O918" s="9"/>
      <c r="P918" s="9"/>
      <c r="Q918" s="10"/>
      <c r="R918" s="5"/>
      <c r="S918" s="5"/>
      <c r="T918" s="5"/>
      <c r="U918" s="5"/>
      <c r="V918" s="5"/>
      <c r="W918" s="5"/>
      <c r="X918" s="5"/>
      <c r="Y918" s="5"/>
      <c r="Z918" s="5"/>
      <c r="AA918" s="5"/>
      <c r="AB918" s="5"/>
      <c r="AC918" s="5"/>
      <c r="AD918" s="5"/>
    </row>
    <row r="919">
      <c r="A919" s="57"/>
      <c r="B919" s="59"/>
      <c r="C919" s="54"/>
      <c r="D919" s="14"/>
      <c r="E919" s="14"/>
      <c r="F919" s="14"/>
      <c r="G919" s="14"/>
      <c r="H919" s="14"/>
      <c r="I919" s="14"/>
      <c r="J919" s="14"/>
      <c r="K919" s="14"/>
      <c r="L919" s="14"/>
      <c r="M919" s="14"/>
      <c r="N919" s="14"/>
      <c r="O919" s="14"/>
      <c r="P919" s="14"/>
      <c r="Q919" s="15"/>
      <c r="R919" s="5"/>
      <c r="S919" s="5"/>
      <c r="T919" s="5"/>
      <c r="U919" s="5"/>
      <c r="V919" s="5"/>
      <c r="W919" s="5"/>
      <c r="X919" s="5"/>
      <c r="Y919" s="5"/>
      <c r="Z919" s="5"/>
      <c r="AA919" s="5"/>
      <c r="AB919" s="5"/>
      <c r="AC919" s="5"/>
      <c r="AD919" s="5"/>
    </row>
    <row r="920">
      <c r="A920" s="55"/>
      <c r="B920" s="56"/>
      <c r="C920" s="52"/>
      <c r="D920" s="9"/>
      <c r="E920" s="9"/>
      <c r="F920" s="9"/>
      <c r="G920" s="9"/>
      <c r="H920" s="9"/>
      <c r="I920" s="9"/>
      <c r="J920" s="9"/>
      <c r="K920" s="9"/>
      <c r="L920" s="9"/>
      <c r="M920" s="9"/>
      <c r="N920" s="9"/>
      <c r="O920" s="9"/>
      <c r="P920" s="9"/>
      <c r="Q920" s="10"/>
      <c r="R920" s="5"/>
      <c r="S920" s="5"/>
      <c r="T920" s="5"/>
      <c r="U920" s="5"/>
      <c r="V920" s="5"/>
      <c r="W920" s="5"/>
      <c r="X920" s="5"/>
      <c r="Y920" s="5"/>
      <c r="Z920" s="5"/>
      <c r="AA920" s="5"/>
      <c r="AB920" s="5"/>
      <c r="AC920" s="5"/>
      <c r="AD920" s="5"/>
    </row>
    <row r="921">
      <c r="A921" s="57"/>
      <c r="B921" s="59"/>
      <c r="C921" s="54"/>
      <c r="D921" s="14"/>
      <c r="E921" s="14"/>
      <c r="F921" s="14"/>
      <c r="G921" s="14"/>
      <c r="H921" s="14"/>
      <c r="I921" s="14"/>
      <c r="J921" s="14"/>
      <c r="K921" s="14"/>
      <c r="L921" s="14"/>
      <c r="M921" s="14"/>
      <c r="N921" s="14"/>
      <c r="O921" s="14"/>
      <c r="P921" s="14"/>
      <c r="Q921" s="15"/>
      <c r="R921" s="5"/>
      <c r="S921" s="5"/>
      <c r="T921" s="5"/>
      <c r="U921" s="5"/>
      <c r="V921" s="5"/>
      <c r="W921" s="5"/>
      <c r="X921" s="5"/>
      <c r="Y921" s="5"/>
      <c r="Z921" s="5"/>
      <c r="AA921" s="5"/>
      <c r="AB921" s="5"/>
      <c r="AC921" s="5"/>
      <c r="AD921" s="5"/>
    </row>
    <row r="922">
      <c r="A922" s="55"/>
      <c r="B922" s="56"/>
      <c r="C922" s="52"/>
      <c r="D922" s="9"/>
      <c r="E922" s="9"/>
      <c r="F922" s="9"/>
      <c r="G922" s="9"/>
      <c r="H922" s="9"/>
      <c r="I922" s="9"/>
      <c r="J922" s="9"/>
      <c r="K922" s="9"/>
      <c r="L922" s="9"/>
      <c r="M922" s="9"/>
      <c r="N922" s="9"/>
      <c r="O922" s="9"/>
      <c r="P922" s="9"/>
      <c r="Q922" s="10"/>
      <c r="R922" s="5"/>
      <c r="S922" s="5"/>
      <c r="T922" s="5"/>
      <c r="U922" s="5"/>
      <c r="V922" s="5"/>
      <c r="W922" s="5"/>
      <c r="X922" s="5"/>
      <c r="Y922" s="5"/>
      <c r="Z922" s="5"/>
      <c r="AA922" s="5"/>
      <c r="AB922" s="5"/>
      <c r="AC922" s="5"/>
      <c r="AD922" s="5"/>
    </row>
    <row r="923">
      <c r="A923" s="57"/>
      <c r="B923" s="59"/>
      <c r="C923" s="54"/>
      <c r="D923" s="14"/>
      <c r="E923" s="14"/>
      <c r="F923" s="14"/>
      <c r="G923" s="14"/>
      <c r="H923" s="14"/>
      <c r="I923" s="14"/>
      <c r="J923" s="14"/>
      <c r="K923" s="14"/>
      <c r="L923" s="14"/>
      <c r="M923" s="14"/>
      <c r="N923" s="14"/>
      <c r="O923" s="14"/>
      <c r="P923" s="14"/>
      <c r="Q923" s="15"/>
      <c r="R923" s="5"/>
      <c r="S923" s="5"/>
      <c r="T923" s="5"/>
      <c r="U923" s="5"/>
      <c r="V923" s="5"/>
      <c r="W923" s="5"/>
      <c r="X923" s="5"/>
      <c r="Y923" s="5"/>
      <c r="Z923" s="5"/>
      <c r="AA923" s="5"/>
      <c r="AB923" s="5"/>
      <c r="AC923" s="5"/>
      <c r="AD923" s="5"/>
    </row>
    <row r="924">
      <c r="A924" s="55"/>
      <c r="B924" s="56"/>
      <c r="C924" s="52"/>
      <c r="D924" s="9"/>
      <c r="E924" s="9"/>
      <c r="F924" s="9"/>
      <c r="G924" s="9"/>
      <c r="H924" s="9"/>
      <c r="I924" s="9"/>
      <c r="J924" s="9"/>
      <c r="K924" s="9"/>
      <c r="L924" s="9"/>
      <c r="M924" s="9"/>
      <c r="N924" s="9"/>
      <c r="O924" s="9"/>
      <c r="P924" s="9"/>
      <c r="Q924" s="10"/>
      <c r="R924" s="5"/>
      <c r="S924" s="5"/>
      <c r="T924" s="5"/>
      <c r="U924" s="5"/>
      <c r="V924" s="5"/>
      <c r="W924" s="5"/>
      <c r="X924" s="5"/>
      <c r="Y924" s="5"/>
      <c r="Z924" s="5"/>
      <c r="AA924" s="5"/>
      <c r="AB924" s="5"/>
      <c r="AC924" s="5"/>
      <c r="AD924" s="5"/>
    </row>
    <row r="925">
      <c r="A925" s="57"/>
      <c r="B925" s="59"/>
      <c r="C925" s="54"/>
      <c r="D925" s="14"/>
      <c r="E925" s="14"/>
      <c r="F925" s="14"/>
      <c r="G925" s="14"/>
      <c r="H925" s="14"/>
      <c r="I925" s="14"/>
      <c r="J925" s="14"/>
      <c r="K925" s="14"/>
      <c r="L925" s="14"/>
      <c r="M925" s="14"/>
      <c r="N925" s="14"/>
      <c r="O925" s="14"/>
      <c r="P925" s="14"/>
      <c r="Q925" s="15"/>
      <c r="R925" s="5"/>
      <c r="S925" s="5"/>
      <c r="T925" s="5"/>
      <c r="U925" s="5"/>
      <c r="V925" s="5"/>
      <c r="W925" s="5"/>
      <c r="X925" s="5"/>
      <c r="Y925" s="5"/>
      <c r="Z925" s="5"/>
      <c r="AA925" s="5"/>
      <c r="AB925" s="5"/>
      <c r="AC925" s="5"/>
      <c r="AD925" s="5"/>
    </row>
    <row r="926">
      <c r="A926" s="55"/>
      <c r="B926" s="56"/>
      <c r="C926" s="52"/>
      <c r="D926" s="9"/>
      <c r="E926" s="9"/>
      <c r="F926" s="9"/>
      <c r="G926" s="9"/>
      <c r="H926" s="9"/>
      <c r="I926" s="9"/>
      <c r="J926" s="9"/>
      <c r="K926" s="9"/>
      <c r="L926" s="9"/>
      <c r="M926" s="9"/>
      <c r="N926" s="9"/>
      <c r="O926" s="9"/>
      <c r="P926" s="9"/>
      <c r="Q926" s="10"/>
      <c r="R926" s="5"/>
      <c r="S926" s="5"/>
      <c r="T926" s="5"/>
      <c r="U926" s="5"/>
      <c r="V926" s="5"/>
      <c r="W926" s="5"/>
      <c r="X926" s="5"/>
      <c r="Y926" s="5"/>
      <c r="Z926" s="5"/>
      <c r="AA926" s="5"/>
      <c r="AB926" s="5"/>
      <c r="AC926" s="5"/>
      <c r="AD926" s="5"/>
    </row>
    <row r="927">
      <c r="A927" s="57"/>
      <c r="B927" s="59"/>
      <c r="C927" s="54"/>
      <c r="D927" s="14"/>
      <c r="E927" s="14"/>
      <c r="F927" s="14"/>
      <c r="G927" s="14"/>
      <c r="H927" s="14"/>
      <c r="I927" s="14"/>
      <c r="J927" s="14"/>
      <c r="K927" s="14"/>
      <c r="L927" s="14"/>
      <c r="M927" s="14"/>
      <c r="N927" s="14"/>
      <c r="O927" s="14"/>
      <c r="P927" s="14"/>
      <c r="Q927" s="15"/>
      <c r="R927" s="5"/>
      <c r="S927" s="5"/>
      <c r="T927" s="5"/>
      <c r="U927" s="5"/>
      <c r="V927" s="5"/>
      <c r="W927" s="5"/>
      <c r="X927" s="5"/>
      <c r="Y927" s="5"/>
      <c r="Z927" s="5"/>
      <c r="AA927" s="5"/>
      <c r="AB927" s="5"/>
      <c r="AC927" s="5"/>
      <c r="AD927" s="5"/>
    </row>
    <row r="928">
      <c r="A928" s="55"/>
      <c r="B928" s="56"/>
      <c r="C928" s="52"/>
      <c r="D928" s="9"/>
      <c r="E928" s="9"/>
      <c r="F928" s="9"/>
      <c r="G928" s="9"/>
      <c r="H928" s="9"/>
      <c r="I928" s="9"/>
      <c r="J928" s="9"/>
      <c r="K928" s="9"/>
      <c r="L928" s="9"/>
      <c r="M928" s="9"/>
      <c r="N928" s="9"/>
      <c r="O928" s="9"/>
      <c r="P928" s="9"/>
      <c r="Q928" s="10"/>
      <c r="R928" s="5"/>
      <c r="S928" s="5"/>
      <c r="T928" s="5"/>
      <c r="U928" s="5"/>
      <c r="V928" s="5"/>
      <c r="W928" s="5"/>
      <c r="X928" s="5"/>
      <c r="Y928" s="5"/>
      <c r="Z928" s="5"/>
      <c r="AA928" s="5"/>
      <c r="AB928" s="5"/>
      <c r="AC928" s="5"/>
      <c r="AD928" s="5"/>
    </row>
    <row r="929">
      <c r="A929" s="57"/>
      <c r="B929" s="59"/>
      <c r="C929" s="54"/>
      <c r="D929" s="14"/>
      <c r="E929" s="14"/>
      <c r="F929" s="14"/>
      <c r="G929" s="14"/>
      <c r="H929" s="14"/>
      <c r="I929" s="14"/>
      <c r="J929" s="14"/>
      <c r="K929" s="14"/>
      <c r="L929" s="14"/>
      <c r="M929" s="14"/>
      <c r="N929" s="14"/>
      <c r="O929" s="14"/>
      <c r="P929" s="14"/>
      <c r="Q929" s="15"/>
      <c r="R929" s="5"/>
      <c r="S929" s="5"/>
      <c r="T929" s="5"/>
      <c r="U929" s="5"/>
      <c r="V929" s="5"/>
      <c r="W929" s="5"/>
      <c r="X929" s="5"/>
      <c r="Y929" s="5"/>
      <c r="Z929" s="5"/>
      <c r="AA929" s="5"/>
      <c r="AB929" s="5"/>
      <c r="AC929" s="5"/>
      <c r="AD929" s="5"/>
    </row>
    <row r="930">
      <c r="A930" s="55"/>
      <c r="B930" s="56"/>
      <c r="C930" s="52"/>
      <c r="D930" s="9"/>
      <c r="E930" s="9"/>
      <c r="F930" s="9"/>
      <c r="G930" s="9"/>
      <c r="H930" s="9"/>
      <c r="I930" s="9"/>
      <c r="J930" s="9"/>
      <c r="K930" s="9"/>
      <c r="L930" s="9"/>
      <c r="M930" s="9"/>
      <c r="N930" s="9"/>
      <c r="O930" s="9"/>
      <c r="P930" s="9"/>
      <c r="Q930" s="10"/>
      <c r="R930" s="5"/>
      <c r="S930" s="5"/>
      <c r="T930" s="5"/>
      <c r="U930" s="5"/>
      <c r="V930" s="5"/>
      <c r="W930" s="5"/>
      <c r="X930" s="5"/>
      <c r="Y930" s="5"/>
      <c r="Z930" s="5"/>
      <c r="AA930" s="5"/>
      <c r="AB930" s="5"/>
      <c r="AC930" s="5"/>
      <c r="AD930" s="5"/>
    </row>
    <row r="931">
      <c r="A931" s="57"/>
      <c r="B931" s="59"/>
      <c r="C931" s="54"/>
      <c r="D931" s="14"/>
      <c r="E931" s="14"/>
      <c r="F931" s="14"/>
      <c r="G931" s="14"/>
      <c r="H931" s="14"/>
      <c r="I931" s="14"/>
      <c r="J931" s="14"/>
      <c r="K931" s="14"/>
      <c r="L931" s="14"/>
      <c r="M931" s="14"/>
      <c r="N931" s="14"/>
      <c r="O931" s="14"/>
      <c r="P931" s="14"/>
      <c r="Q931" s="15"/>
      <c r="R931" s="5"/>
      <c r="S931" s="5"/>
      <c r="T931" s="5"/>
      <c r="U931" s="5"/>
      <c r="V931" s="5"/>
      <c r="W931" s="5"/>
      <c r="X931" s="5"/>
      <c r="Y931" s="5"/>
      <c r="Z931" s="5"/>
      <c r="AA931" s="5"/>
      <c r="AB931" s="5"/>
      <c r="AC931" s="5"/>
      <c r="AD931" s="5"/>
    </row>
    <row r="932">
      <c r="A932" s="55"/>
      <c r="B932" s="56"/>
      <c r="C932" s="52"/>
      <c r="D932" s="9"/>
      <c r="E932" s="9"/>
      <c r="F932" s="9"/>
      <c r="G932" s="9"/>
      <c r="H932" s="9"/>
      <c r="I932" s="9"/>
      <c r="J932" s="9"/>
      <c r="K932" s="9"/>
      <c r="L932" s="9"/>
      <c r="M932" s="9"/>
      <c r="N932" s="9"/>
      <c r="O932" s="9"/>
      <c r="P932" s="9"/>
      <c r="Q932" s="10"/>
      <c r="R932" s="5"/>
      <c r="S932" s="5"/>
      <c r="T932" s="5"/>
      <c r="U932" s="5"/>
      <c r="V932" s="5"/>
      <c r="W932" s="5"/>
      <c r="X932" s="5"/>
      <c r="Y932" s="5"/>
      <c r="Z932" s="5"/>
      <c r="AA932" s="5"/>
      <c r="AB932" s="5"/>
      <c r="AC932" s="5"/>
      <c r="AD932" s="5"/>
    </row>
    <row r="933">
      <c r="A933" s="57"/>
      <c r="B933" s="59"/>
      <c r="C933" s="54"/>
      <c r="D933" s="14"/>
      <c r="E933" s="14"/>
      <c r="F933" s="14"/>
      <c r="G933" s="14"/>
      <c r="H933" s="14"/>
      <c r="I933" s="14"/>
      <c r="J933" s="14"/>
      <c r="K933" s="14"/>
      <c r="L933" s="14"/>
      <c r="M933" s="14"/>
      <c r="N933" s="14"/>
      <c r="O933" s="14"/>
      <c r="P933" s="14"/>
      <c r="Q933" s="15"/>
      <c r="R933" s="5"/>
      <c r="S933" s="5"/>
      <c r="T933" s="5"/>
      <c r="U933" s="5"/>
      <c r="V933" s="5"/>
      <c r="W933" s="5"/>
      <c r="X933" s="5"/>
      <c r="Y933" s="5"/>
      <c r="Z933" s="5"/>
      <c r="AA933" s="5"/>
      <c r="AB933" s="5"/>
      <c r="AC933" s="5"/>
      <c r="AD933" s="5"/>
    </row>
    <row r="934">
      <c r="A934" s="55"/>
      <c r="B934" s="56"/>
      <c r="C934" s="52"/>
      <c r="D934" s="9"/>
      <c r="E934" s="9"/>
      <c r="F934" s="9"/>
      <c r="G934" s="9"/>
      <c r="H934" s="9"/>
      <c r="I934" s="9"/>
      <c r="J934" s="9"/>
      <c r="K934" s="9"/>
      <c r="L934" s="9"/>
      <c r="M934" s="9"/>
      <c r="N934" s="9"/>
      <c r="O934" s="9"/>
      <c r="P934" s="9"/>
      <c r="Q934" s="10"/>
      <c r="R934" s="5"/>
      <c r="S934" s="5"/>
      <c r="T934" s="5"/>
      <c r="U934" s="5"/>
      <c r="V934" s="5"/>
      <c r="W934" s="5"/>
      <c r="X934" s="5"/>
      <c r="Y934" s="5"/>
      <c r="Z934" s="5"/>
      <c r="AA934" s="5"/>
      <c r="AB934" s="5"/>
      <c r="AC934" s="5"/>
      <c r="AD934" s="5"/>
    </row>
    <row r="935">
      <c r="A935" s="57"/>
      <c r="B935" s="59"/>
      <c r="C935" s="54"/>
      <c r="D935" s="14"/>
      <c r="E935" s="14"/>
      <c r="F935" s="14"/>
      <c r="G935" s="14"/>
      <c r="H935" s="14"/>
      <c r="I935" s="14"/>
      <c r="J935" s="14"/>
      <c r="K935" s="14"/>
      <c r="L935" s="14"/>
      <c r="M935" s="14"/>
      <c r="N935" s="14"/>
      <c r="O935" s="14"/>
      <c r="P935" s="14"/>
      <c r="Q935" s="15"/>
      <c r="R935" s="5"/>
      <c r="S935" s="5"/>
      <c r="T935" s="5"/>
      <c r="U935" s="5"/>
      <c r="V935" s="5"/>
      <c r="W935" s="5"/>
      <c r="X935" s="5"/>
      <c r="Y935" s="5"/>
      <c r="Z935" s="5"/>
      <c r="AA935" s="5"/>
      <c r="AB935" s="5"/>
      <c r="AC935" s="5"/>
      <c r="AD935" s="5"/>
    </row>
    <row r="936">
      <c r="A936" s="55"/>
      <c r="B936" s="56"/>
      <c r="C936" s="52"/>
      <c r="D936" s="9"/>
      <c r="E936" s="9"/>
      <c r="F936" s="9"/>
      <c r="G936" s="9"/>
      <c r="H936" s="9"/>
      <c r="I936" s="9"/>
      <c r="J936" s="9"/>
      <c r="K936" s="9"/>
      <c r="L936" s="9"/>
      <c r="M936" s="9"/>
      <c r="N936" s="9"/>
      <c r="O936" s="9"/>
      <c r="P936" s="9"/>
      <c r="Q936" s="10"/>
      <c r="R936" s="5"/>
      <c r="S936" s="5"/>
      <c r="T936" s="5"/>
      <c r="U936" s="5"/>
      <c r="V936" s="5"/>
      <c r="W936" s="5"/>
      <c r="X936" s="5"/>
      <c r="Y936" s="5"/>
      <c r="Z936" s="5"/>
      <c r="AA936" s="5"/>
      <c r="AB936" s="5"/>
      <c r="AC936" s="5"/>
      <c r="AD936" s="5"/>
    </row>
    <row r="937">
      <c r="A937" s="57"/>
      <c r="B937" s="59"/>
      <c r="C937" s="54"/>
      <c r="D937" s="14"/>
      <c r="E937" s="14"/>
      <c r="F937" s="14"/>
      <c r="G937" s="14"/>
      <c r="H937" s="14"/>
      <c r="I937" s="14"/>
      <c r="J937" s="14"/>
      <c r="K937" s="14"/>
      <c r="L937" s="14"/>
      <c r="M937" s="14"/>
      <c r="N937" s="14"/>
      <c r="O937" s="14"/>
      <c r="P937" s="14"/>
      <c r="Q937" s="15"/>
      <c r="R937" s="5"/>
      <c r="S937" s="5"/>
      <c r="T937" s="5"/>
      <c r="U937" s="5"/>
      <c r="V937" s="5"/>
      <c r="W937" s="5"/>
      <c r="X937" s="5"/>
      <c r="Y937" s="5"/>
      <c r="Z937" s="5"/>
      <c r="AA937" s="5"/>
      <c r="AB937" s="5"/>
      <c r="AC937" s="5"/>
      <c r="AD937" s="5"/>
    </row>
    <row r="938">
      <c r="A938" s="55"/>
      <c r="B938" s="56"/>
      <c r="C938" s="52"/>
      <c r="D938" s="9"/>
      <c r="E938" s="9"/>
      <c r="F938" s="9"/>
      <c r="G938" s="9"/>
      <c r="H938" s="9"/>
      <c r="I938" s="9"/>
      <c r="J938" s="9"/>
      <c r="K938" s="9"/>
      <c r="L938" s="9"/>
      <c r="M938" s="9"/>
      <c r="N938" s="9"/>
      <c r="O938" s="9"/>
      <c r="P938" s="9"/>
      <c r="Q938" s="10"/>
      <c r="R938" s="5"/>
      <c r="S938" s="5"/>
      <c r="T938" s="5"/>
      <c r="U938" s="5"/>
      <c r="V938" s="5"/>
      <c r="W938" s="5"/>
      <c r="X938" s="5"/>
      <c r="Y938" s="5"/>
      <c r="Z938" s="5"/>
      <c r="AA938" s="5"/>
      <c r="AB938" s="5"/>
      <c r="AC938" s="5"/>
      <c r="AD938" s="5"/>
    </row>
    <row r="939">
      <c r="A939" s="57"/>
      <c r="B939" s="59"/>
      <c r="C939" s="54"/>
      <c r="D939" s="14"/>
      <c r="E939" s="14"/>
      <c r="F939" s="14"/>
      <c r="G939" s="14"/>
      <c r="H939" s="14"/>
      <c r="I939" s="14"/>
      <c r="J939" s="14"/>
      <c r="K939" s="14"/>
      <c r="L939" s="14"/>
      <c r="M939" s="14"/>
      <c r="N939" s="14"/>
      <c r="O939" s="14"/>
      <c r="P939" s="14"/>
      <c r="Q939" s="15"/>
      <c r="R939" s="5"/>
      <c r="S939" s="5"/>
      <c r="T939" s="5"/>
      <c r="U939" s="5"/>
      <c r="V939" s="5"/>
      <c r="W939" s="5"/>
      <c r="X939" s="5"/>
      <c r="Y939" s="5"/>
      <c r="Z939" s="5"/>
      <c r="AA939" s="5"/>
      <c r="AB939" s="5"/>
      <c r="AC939" s="5"/>
      <c r="AD939" s="5"/>
    </row>
    <row r="940">
      <c r="A940" s="55"/>
      <c r="B940" s="56"/>
      <c r="C940" s="52"/>
      <c r="D940" s="9"/>
      <c r="E940" s="9"/>
      <c r="F940" s="9"/>
      <c r="G940" s="9"/>
      <c r="H940" s="9"/>
      <c r="I940" s="9"/>
      <c r="J940" s="9"/>
      <c r="K940" s="9"/>
      <c r="L940" s="9"/>
      <c r="M940" s="9"/>
      <c r="N940" s="9"/>
      <c r="O940" s="9"/>
      <c r="P940" s="9"/>
      <c r="Q940" s="10"/>
      <c r="R940" s="5"/>
      <c r="S940" s="5"/>
      <c r="T940" s="5"/>
      <c r="U940" s="5"/>
      <c r="V940" s="5"/>
      <c r="W940" s="5"/>
      <c r="X940" s="5"/>
      <c r="Y940" s="5"/>
      <c r="Z940" s="5"/>
      <c r="AA940" s="5"/>
      <c r="AB940" s="5"/>
      <c r="AC940" s="5"/>
      <c r="AD940" s="5"/>
    </row>
    <row r="941">
      <c r="A941" s="57"/>
      <c r="B941" s="59"/>
      <c r="C941" s="54"/>
      <c r="D941" s="14"/>
      <c r="E941" s="14"/>
      <c r="F941" s="14"/>
      <c r="G941" s="14"/>
      <c r="H941" s="14"/>
      <c r="I941" s="14"/>
      <c r="J941" s="14"/>
      <c r="K941" s="14"/>
      <c r="L941" s="14"/>
      <c r="M941" s="14"/>
      <c r="N941" s="14"/>
      <c r="O941" s="14"/>
      <c r="P941" s="14"/>
      <c r="Q941" s="15"/>
      <c r="R941" s="5"/>
      <c r="S941" s="5"/>
      <c r="T941" s="5"/>
      <c r="U941" s="5"/>
      <c r="V941" s="5"/>
      <c r="W941" s="5"/>
      <c r="X941" s="5"/>
      <c r="Y941" s="5"/>
      <c r="Z941" s="5"/>
      <c r="AA941" s="5"/>
      <c r="AB941" s="5"/>
      <c r="AC941" s="5"/>
      <c r="AD941" s="5"/>
    </row>
    <row r="942">
      <c r="A942" s="55"/>
      <c r="B942" s="56"/>
      <c r="C942" s="52"/>
      <c r="D942" s="9"/>
      <c r="E942" s="9"/>
      <c r="F942" s="9"/>
      <c r="G942" s="9"/>
      <c r="H942" s="9"/>
      <c r="I942" s="9"/>
      <c r="J942" s="9"/>
      <c r="K942" s="9"/>
      <c r="L942" s="9"/>
      <c r="M942" s="9"/>
      <c r="N942" s="9"/>
      <c r="O942" s="9"/>
      <c r="P942" s="9"/>
      <c r="Q942" s="10"/>
      <c r="R942" s="5"/>
      <c r="S942" s="5"/>
      <c r="T942" s="5"/>
      <c r="U942" s="5"/>
      <c r="V942" s="5"/>
      <c r="W942" s="5"/>
      <c r="X942" s="5"/>
      <c r="Y942" s="5"/>
      <c r="Z942" s="5"/>
      <c r="AA942" s="5"/>
      <c r="AB942" s="5"/>
      <c r="AC942" s="5"/>
      <c r="AD942" s="5"/>
    </row>
    <row r="943">
      <c r="A943" s="57"/>
      <c r="B943" s="59"/>
      <c r="C943" s="54"/>
      <c r="D943" s="14"/>
      <c r="E943" s="14"/>
      <c r="F943" s="14"/>
      <c r="G943" s="14"/>
      <c r="H943" s="14"/>
      <c r="I943" s="14"/>
      <c r="J943" s="14"/>
      <c r="K943" s="14"/>
      <c r="L943" s="14"/>
      <c r="M943" s="14"/>
      <c r="N943" s="14"/>
      <c r="O943" s="14"/>
      <c r="P943" s="14"/>
      <c r="Q943" s="15"/>
      <c r="R943" s="5"/>
      <c r="S943" s="5"/>
      <c r="T943" s="5"/>
      <c r="U943" s="5"/>
      <c r="V943" s="5"/>
      <c r="W943" s="5"/>
      <c r="X943" s="5"/>
      <c r="Y943" s="5"/>
      <c r="Z943" s="5"/>
      <c r="AA943" s="5"/>
      <c r="AB943" s="5"/>
      <c r="AC943" s="5"/>
      <c r="AD943" s="5"/>
    </row>
    <row r="944">
      <c r="A944" s="55"/>
      <c r="B944" s="56"/>
      <c r="C944" s="52"/>
      <c r="D944" s="9"/>
      <c r="E944" s="9"/>
      <c r="F944" s="9"/>
      <c r="G944" s="9"/>
      <c r="H944" s="9"/>
      <c r="I944" s="9"/>
      <c r="J944" s="9"/>
      <c r="K944" s="9"/>
      <c r="L944" s="9"/>
      <c r="M944" s="9"/>
      <c r="N944" s="9"/>
      <c r="O944" s="9"/>
      <c r="P944" s="9"/>
      <c r="Q944" s="10"/>
      <c r="R944" s="5"/>
      <c r="S944" s="5"/>
      <c r="T944" s="5"/>
      <c r="U944" s="5"/>
      <c r="V944" s="5"/>
      <c r="W944" s="5"/>
      <c r="X944" s="5"/>
      <c r="Y944" s="5"/>
      <c r="Z944" s="5"/>
      <c r="AA944" s="5"/>
      <c r="AB944" s="5"/>
      <c r="AC944" s="5"/>
      <c r="AD944" s="5"/>
    </row>
    <row r="945">
      <c r="A945" s="57"/>
      <c r="B945" s="59"/>
      <c r="C945" s="54"/>
      <c r="D945" s="14"/>
      <c r="E945" s="14"/>
      <c r="F945" s="14"/>
      <c r="G945" s="14"/>
      <c r="H945" s="14"/>
      <c r="I945" s="14"/>
      <c r="J945" s="14"/>
      <c r="K945" s="14"/>
      <c r="L945" s="14"/>
      <c r="M945" s="14"/>
      <c r="N945" s="14"/>
      <c r="O945" s="14"/>
      <c r="P945" s="14"/>
      <c r="Q945" s="15"/>
      <c r="R945" s="5"/>
      <c r="S945" s="5"/>
      <c r="T945" s="5"/>
      <c r="U945" s="5"/>
      <c r="V945" s="5"/>
      <c r="W945" s="5"/>
      <c r="X945" s="5"/>
      <c r="Y945" s="5"/>
      <c r="Z945" s="5"/>
      <c r="AA945" s="5"/>
      <c r="AB945" s="5"/>
      <c r="AC945" s="5"/>
      <c r="AD945" s="5"/>
    </row>
    <row r="946">
      <c r="A946" s="55"/>
      <c r="B946" s="56"/>
      <c r="C946" s="52"/>
      <c r="D946" s="9"/>
      <c r="E946" s="9"/>
      <c r="F946" s="9"/>
      <c r="G946" s="9"/>
      <c r="H946" s="9"/>
      <c r="I946" s="9"/>
      <c r="J946" s="9"/>
      <c r="K946" s="9"/>
      <c r="L946" s="9"/>
      <c r="M946" s="9"/>
      <c r="N946" s="9"/>
      <c r="O946" s="9"/>
      <c r="P946" s="9"/>
      <c r="Q946" s="10"/>
      <c r="R946" s="5"/>
      <c r="S946" s="5"/>
      <c r="T946" s="5"/>
      <c r="U946" s="5"/>
      <c r="V946" s="5"/>
      <c r="W946" s="5"/>
      <c r="X946" s="5"/>
      <c r="Y946" s="5"/>
      <c r="Z946" s="5"/>
      <c r="AA946" s="5"/>
      <c r="AB946" s="5"/>
      <c r="AC946" s="5"/>
      <c r="AD946" s="5"/>
    </row>
    <row r="947">
      <c r="A947" s="57"/>
      <c r="B947" s="59"/>
      <c r="C947" s="54"/>
      <c r="D947" s="14"/>
      <c r="E947" s="14"/>
      <c r="F947" s="14"/>
      <c r="G947" s="14"/>
      <c r="H947" s="14"/>
      <c r="I947" s="14"/>
      <c r="J947" s="14"/>
      <c r="K947" s="14"/>
      <c r="L947" s="14"/>
      <c r="M947" s="14"/>
      <c r="N947" s="14"/>
      <c r="O947" s="14"/>
      <c r="P947" s="14"/>
      <c r="Q947" s="15"/>
      <c r="R947" s="5"/>
      <c r="S947" s="5"/>
      <c r="T947" s="5"/>
      <c r="U947" s="5"/>
      <c r="V947" s="5"/>
      <c r="W947" s="5"/>
      <c r="X947" s="5"/>
      <c r="Y947" s="5"/>
      <c r="Z947" s="5"/>
      <c r="AA947" s="5"/>
      <c r="AB947" s="5"/>
      <c r="AC947" s="5"/>
      <c r="AD947" s="5"/>
    </row>
    <row r="948">
      <c r="A948" s="55"/>
      <c r="B948" s="56"/>
      <c r="C948" s="52"/>
      <c r="D948" s="9"/>
      <c r="E948" s="9"/>
      <c r="F948" s="9"/>
      <c r="G948" s="9"/>
      <c r="H948" s="9"/>
      <c r="I948" s="9"/>
      <c r="J948" s="9"/>
      <c r="K948" s="9"/>
      <c r="L948" s="9"/>
      <c r="M948" s="9"/>
      <c r="N948" s="9"/>
      <c r="O948" s="9"/>
      <c r="P948" s="9"/>
      <c r="Q948" s="10"/>
      <c r="R948" s="5"/>
      <c r="S948" s="5"/>
      <c r="T948" s="5"/>
      <c r="U948" s="5"/>
      <c r="V948" s="5"/>
      <c r="W948" s="5"/>
      <c r="X948" s="5"/>
      <c r="Y948" s="5"/>
      <c r="Z948" s="5"/>
      <c r="AA948" s="5"/>
      <c r="AB948" s="5"/>
      <c r="AC948" s="5"/>
      <c r="AD948" s="5"/>
    </row>
    <row r="949">
      <c r="A949" s="57"/>
      <c r="B949" s="59"/>
      <c r="C949" s="54"/>
      <c r="D949" s="14"/>
      <c r="E949" s="14"/>
      <c r="F949" s="14"/>
      <c r="G949" s="14"/>
      <c r="H949" s="14"/>
      <c r="I949" s="14"/>
      <c r="J949" s="14"/>
      <c r="K949" s="14"/>
      <c r="L949" s="14"/>
      <c r="M949" s="14"/>
      <c r="N949" s="14"/>
      <c r="O949" s="14"/>
      <c r="P949" s="14"/>
      <c r="Q949" s="15"/>
      <c r="R949" s="5"/>
      <c r="S949" s="5"/>
      <c r="T949" s="5"/>
      <c r="U949" s="5"/>
      <c r="V949" s="5"/>
      <c r="W949" s="5"/>
      <c r="X949" s="5"/>
      <c r="Y949" s="5"/>
      <c r="Z949" s="5"/>
      <c r="AA949" s="5"/>
      <c r="AB949" s="5"/>
      <c r="AC949" s="5"/>
      <c r="AD949" s="5"/>
    </row>
    <row r="950">
      <c r="A950" s="55"/>
      <c r="B950" s="56"/>
      <c r="C950" s="52"/>
      <c r="D950" s="9"/>
      <c r="E950" s="9"/>
      <c r="F950" s="9"/>
      <c r="G950" s="9"/>
      <c r="H950" s="9"/>
      <c r="I950" s="9"/>
      <c r="J950" s="9"/>
      <c r="K950" s="9"/>
      <c r="L950" s="9"/>
      <c r="M950" s="9"/>
      <c r="N950" s="9"/>
      <c r="O950" s="9"/>
      <c r="P950" s="9"/>
      <c r="Q950" s="10"/>
      <c r="R950" s="5"/>
      <c r="S950" s="5"/>
      <c r="T950" s="5"/>
      <c r="U950" s="5"/>
      <c r="V950" s="5"/>
      <c r="W950" s="5"/>
      <c r="X950" s="5"/>
      <c r="Y950" s="5"/>
      <c r="Z950" s="5"/>
      <c r="AA950" s="5"/>
      <c r="AB950" s="5"/>
      <c r="AC950" s="5"/>
      <c r="AD950" s="5"/>
    </row>
    <row r="951">
      <c r="A951" s="57"/>
      <c r="B951" s="59"/>
      <c r="C951" s="54"/>
      <c r="D951" s="14"/>
      <c r="E951" s="14"/>
      <c r="F951" s="14"/>
      <c r="G951" s="14"/>
      <c r="H951" s="14"/>
      <c r="I951" s="14"/>
      <c r="J951" s="14"/>
      <c r="K951" s="14"/>
      <c r="L951" s="14"/>
      <c r="M951" s="14"/>
      <c r="N951" s="14"/>
      <c r="O951" s="14"/>
      <c r="P951" s="14"/>
      <c r="Q951" s="15"/>
      <c r="R951" s="5"/>
      <c r="S951" s="5"/>
      <c r="T951" s="5"/>
      <c r="U951" s="5"/>
      <c r="V951" s="5"/>
      <c r="W951" s="5"/>
      <c r="X951" s="5"/>
      <c r="Y951" s="5"/>
      <c r="Z951" s="5"/>
      <c r="AA951" s="5"/>
      <c r="AB951" s="5"/>
      <c r="AC951" s="5"/>
      <c r="AD951" s="5"/>
    </row>
    <row r="952">
      <c r="A952" s="55"/>
      <c r="B952" s="56"/>
      <c r="C952" s="52"/>
      <c r="D952" s="9"/>
      <c r="E952" s="9"/>
      <c r="F952" s="9"/>
      <c r="G952" s="9"/>
      <c r="H952" s="9"/>
      <c r="I952" s="9"/>
      <c r="J952" s="9"/>
      <c r="K952" s="9"/>
      <c r="L952" s="9"/>
      <c r="M952" s="9"/>
      <c r="N952" s="9"/>
      <c r="O952" s="9"/>
      <c r="P952" s="9"/>
      <c r="Q952" s="10"/>
      <c r="R952" s="5"/>
      <c r="S952" s="5"/>
      <c r="T952" s="5"/>
      <c r="U952" s="5"/>
      <c r="V952" s="5"/>
      <c r="W952" s="5"/>
      <c r="X952" s="5"/>
      <c r="Y952" s="5"/>
      <c r="Z952" s="5"/>
      <c r="AA952" s="5"/>
      <c r="AB952" s="5"/>
      <c r="AC952" s="5"/>
      <c r="AD952" s="5"/>
    </row>
    <row r="953">
      <c r="A953" s="57"/>
      <c r="B953" s="59"/>
      <c r="C953" s="54"/>
      <c r="D953" s="14"/>
      <c r="E953" s="14"/>
      <c r="F953" s="14"/>
      <c r="G953" s="14"/>
      <c r="H953" s="14"/>
      <c r="I953" s="14"/>
      <c r="J953" s="14"/>
      <c r="K953" s="14"/>
      <c r="L953" s="14"/>
      <c r="M953" s="14"/>
      <c r="N953" s="14"/>
      <c r="O953" s="14"/>
      <c r="P953" s="14"/>
      <c r="Q953" s="15"/>
      <c r="R953" s="5"/>
      <c r="S953" s="5"/>
      <c r="T953" s="5"/>
      <c r="U953" s="5"/>
      <c r="V953" s="5"/>
      <c r="W953" s="5"/>
      <c r="X953" s="5"/>
      <c r="Y953" s="5"/>
      <c r="Z953" s="5"/>
      <c r="AA953" s="5"/>
      <c r="AB953" s="5"/>
      <c r="AC953" s="5"/>
      <c r="AD953" s="5"/>
    </row>
    <row r="954">
      <c r="A954" s="55"/>
      <c r="B954" s="56"/>
      <c r="C954" s="52"/>
      <c r="D954" s="9"/>
      <c r="E954" s="9"/>
      <c r="F954" s="9"/>
      <c r="G954" s="9"/>
      <c r="H954" s="9"/>
      <c r="I954" s="9"/>
      <c r="J954" s="9"/>
      <c r="K954" s="9"/>
      <c r="L954" s="9"/>
      <c r="M954" s="9"/>
      <c r="N954" s="9"/>
      <c r="O954" s="9"/>
      <c r="P954" s="9"/>
      <c r="Q954" s="10"/>
      <c r="R954" s="5"/>
      <c r="S954" s="5"/>
      <c r="T954" s="5"/>
      <c r="U954" s="5"/>
      <c r="V954" s="5"/>
      <c r="W954" s="5"/>
      <c r="X954" s="5"/>
      <c r="Y954" s="5"/>
      <c r="Z954" s="5"/>
      <c r="AA954" s="5"/>
      <c r="AB954" s="5"/>
      <c r="AC954" s="5"/>
      <c r="AD954" s="5"/>
    </row>
    <row r="955">
      <c r="A955" s="57"/>
      <c r="B955" s="59"/>
      <c r="C955" s="54"/>
      <c r="D955" s="14"/>
      <c r="E955" s="14"/>
      <c r="F955" s="14"/>
      <c r="G955" s="14"/>
      <c r="H955" s="14"/>
      <c r="I955" s="14"/>
      <c r="J955" s="14"/>
      <c r="K955" s="14"/>
      <c r="L955" s="14"/>
      <c r="M955" s="14"/>
      <c r="N955" s="14"/>
      <c r="O955" s="14"/>
      <c r="P955" s="14"/>
      <c r="Q955" s="15"/>
      <c r="R955" s="5"/>
      <c r="S955" s="5"/>
      <c r="T955" s="5"/>
      <c r="U955" s="5"/>
      <c r="V955" s="5"/>
      <c r="W955" s="5"/>
      <c r="X955" s="5"/>
      <c r="Y955" s="5"/>
      <c r="Z955" s="5"/>
      <c r="AA955" s="5"/>
      <c r="AB955" s="5"/>
      <c r="AC955" s="5"/>
      <c r="AD955" s="5"/>
    </row>
    <row r="956">
      <c r="A956" s="55"/>
      <c r="B956" s="56"/>
      <c r="C956" s="52"/>
      <c r="D956" s="9"/>
      <c r="E956" s="9"/>
      <c r="F956" s="9"/>
      <c r="G956" s="9"/>
      <c r="H956" s="9"/>
      <c r="I956" s="9"/>
      <c r="J956" s="9"/>
      <c r="K956" s="9"/>
      <c r="L956" s="9"/>
      <c r="M956" s="9"/>
      <c r="N956" s="9"/>
      <c r="O956" s="9"/>
      <c r="P956" s="9"/>
      <c r="Q956" s="10"/>
      <c r="R956" s="5"/>
      <c r="S956" s="5"/>
      <c r="T956" s="5"/>
      <c r="U956" s="5"/>
      <c r="V956" s="5"/>
      <c r="W956" s="5"/>
      <c r="X956" s="5"/>
      <c r="Y956" s="5"/>
      <c r="Z956" s="5"/>
      <c r="AA956" s="5"/>
      <c r="AB956" s="5"/>
      <c r="AC956" s="5"/>
      <c r="AD956" s="5"/>
    </row>
    <row r="957">
      <c r="A957" s="57"/>
      <c r="B957" s="59"/>
      <c r="C957" s="54"/>
      <c r="D957" s="14"/>
      <c r="E957" s="14"/>
      <c r="F957" s="14"/>
      <c r="G957" s="14"/>
      <c r="H957" s="14"/>
      <c r="I957" s="14"/>
      <c r="J957" s="14"/>
      <c r="K957" s="14"/>
      <c r="L957" s="14"/>
      <c r="M957" s="14"/>
      <c r="N957" s="14"/>
      <c r="O957" s="14"/>
      <c r="P957" s="14"/>
      <c r="Q957" s="15"/>
      <c r="R957" s="5"/>
      <c r="S957" s="5"/>
      <c r="T957" s="5"/>
      <c r="U957" s="5"/>
      <c r="V957" s="5"/>
      <c r="W957" s="5"/>
      <c r="X957" s="5"/>
      <c r="Y957" s="5"/>
      <c r="Z957" s="5"/>
      <c r="AA957" s="5"/>
      <c r="AB957" s="5"/>
      <c r="AC957" s="5"/>
      <c r="AD957" s="5"/>
    </row>
    <row r="958">
      <c r="A958" s="55"/>
      <c r="B958" s="56"/>
      <c r="C958" s="52"/>
      <c r="D958" s="9"/>
      <c r="E958" s="9"/>
      <c r="F958" s="9"/>
      <c r="G958" s="9"/>
      <c r="H958" s="9"/>
      <c r="I958" s="9"/>
      <c r="J958" s="9"/>
      <c r="K958" s="9"/>
      <c r="L958" s="9"/>
      <c r="M958" s="9"/>
      <c r="N958" s="9"/>
      <c r="O958" s="9"/>
      <c r="P958" s="9"/>
      <c r="Q958" s="10"/>
      <c r="R958" s="5"/>
      <c r="S958" s="5"/>
      <c r="T958" s="5"/>
      <c r="U958" s="5"/>
      <c r="V958" s="5"/>
      <c r="W958" s="5"/>
      <c r="X958" s="5"/>
      <c r="Y958" s="5"/>
      <c r="Z958" s="5"/>
      <c r="AA958" s="5"/>
      <c r="AB958" s="5"/>
      <c r="AC958" s="5"/>
      <c r="AD958" s="5"/>
    </row>
    <row r="959">
      <c r="A959" s="57"/>
      <c r="B959" s="59"/>
      <c r="C959" s="54"/>
      <c r="D959" s="14"/>
      <c r="E959" s="14"/>
      <c r="F959" s="14"/>
      <c r="G959" s="14"/>
      <c r="H959" s="14"/>
      <c r="I959" s="14"/>
      <c r="J959" s="14"/>
      <c r="K959" s="14"/>
      <c r="L959" s="14"/>
      <c r="M959" s="14"/>
      <c r="N959" s="14"/>
      <c r="O959" s="14"/>
      <c r="P959" s="14"/>
      <c r="Q959" s="15"/>
      <c r="R959" s="5"/>
      <c r="S959" s="5"/>
      <c r="T959" s="5"/>
      <c r="U959" s="5"/>
      <c r="V959" s="5"/>
      <c r="W959" s="5"/>
      <c r="X959" s="5"/>
      <c r="Y959" s="5"/>
      <c r="Z959" s="5"/>
      <c r="AA959" s="5"/>
      <c r="AB959" s="5"/>
      <c r="AC959" s="5"/>
      <c r="AD959" s="5"/>
    </row>
    <row r="960">
      <c r="A960" s="55"/>
      <c r="B960" s="56"/>
      <c r="C960" s="52"/>
      <c r="D960" s="9"/>
      <c r="E960" s="9"/>
      <c r="F960" s="9"/>
      <c r="G960" s="9"/>
      <c r="H960" s="9"/>
      <c r="I960" s="9"/>
      <c r="J960" s="9"/>
      <c r="K960" s="9"/>
      <c r="L960" s="9"/>
      <c r="M960" s="9"/>
      <c r="N960" s="9"/>
      <c r="O960" s="9"/>
      <c r="P960" s="9"/>
      <c r="Q960" s="10"/>
      <c r="R960" s="5"/>
      <c r="S960" s="5"/>
      <c r="T960" s="5"/>
      <c r="U960" s="5"/>
      <c r="V960" s="5"/>
      <c r="W960" s="5"/>
      <c r="X960" s="5"/>
      <c r="Y960" s="5"/>
      <c r="Z960" s="5"/>
      <c r="AA960" s="5"/>
      <c r="AB960" s="5"/>
      <c r="AC960" s="5"/>
      <c r="AD960" s="5"/>
    </row>
    <row r="961">
      <c r="A961" s="57"/>
      <c r="B961" s="59"/>
      <c r="C961" s="54"/>
      <c r="D961" s="14"/>
      <c r="E961" s="14"/>
      <c r="F961" s="14"/>
      <c r="G961" s="14"/>
      <c r="H961" s="14"/>
      <c r="I961" s="14"/>
      <c r="J961" s="14"/>
      <c r="K961" s="14"/>
      <c r="L961" s="14"/>
      <c r="M961" s="14"/>
      <c r="N961" s="14"/>
      <c r="O961" s="14"/>
      <c r="P961" s="14"/>
      <c r="Q961" s="15"/>
      <c r="R961" s="5"/>
      <c r="S961" s="5"/>
      <c r="T961" s="5"/>
      <c r="U961" s="5"/>
      <c r="V961" s="5"/>
      <c r="W961" s="5"/>
      <c r="X961" s="5"/>
      <c r="Y961" s="5"/>
      <c r="Z961" s="5"/>
      <c r="AA961" s="5"/>
      <c r="AB961" s="5"/>
      <c r="AC961" s="5"/>
      <c r="AD961" s="5"/>
    </row>
    <row r="962">
      <c r="A962" s="55"/>
      <c r="B962" s="56"/>
      <c r="C962" s="52"/>
      <c r="D962" s="9"/>
      <c r="E962" s="9"/>
      <c r="F962" s="9"/>
      <c r="G962" s="9"/>
      <c r="H962" s="9"/>
      <c r="I962" s="9"/>
      <c r="J962" s="9"/>
      <c r="K962" s="9"/>
      <c r="L962" s="9"/>
      <c r="M962" s="9"/>
      <c r="N962" s="9"/>
      <c r="O962" s="9"/>
      <c r="P962" s="9"/>
      <c r="Q962" s="10"/>
      <c r="R962" s="5"/>
      <c r="S962" s="5"/>
      <c r="T962" s="5"/>
      <c r="U962" s="5"/>
      <c r="V962" s="5"/>
      <c r="W962" s="5"/>
      <c r="X962" s="5"/>
      <c r="Y962" s="5"/>
      <c r="Z962" s="5"/>
      <c r="AA962" s="5"/>
      <c r="AB962" s="5"/>
      <c r="AC962" s="5"/>
      <c r="AD962" s="5"/>
    </row>
    <row r="963">
      <c r="A963" s="57"/>
      <c r="B963" s="59"/>
      <c r="C963" s="54"/>
      <c r="D963" s="14"/>
      <c r="E963" s="14"/>
      <c r="F963" s="14"/>
      <c r="G963" s="14"/>
      <c r="H963" s="14"/>
      <c r="I963" s="14"/>
      <c r="J963" s="14"/>
      <c r="K963" s="14"/>
      <c r="L963" s="14"/>
      <c r="M963" s="14"/>
      <c r="N963" s="14"/>
      <c r="O963" s="14"/>
      <c r="P963" s="14"/>
      <c r="Q963" s="15"/>
      <c r="R963" s="5"/>
      <c r="S963" s="5"/>
      <c r="T963" s="5"/>
      <c r="U963" s="5"/>
      <c r="V963" s="5"/>
      <c r="W963" s="5"/>
      <c r="X963" s="5"/>
      <c r="Y963" s="5"/>
      <c r="Z963" s="5"/>
      <c r="AA963" s="5"/>
      <c r="AB963" s="5"/>
      <c r="AC963" s="5"/>
      <c r="AD963" s="5"/>
    </row>
    <row r="964">
      <c r="A964" s="55"/>
      <c r="B964" s="56"/>
      <c r="C964" s="52"/>
      <c r="D964" s="9"/>
      <c r="E964" s="9"/>
      <c r="F964" s="9"/>
      <c r="G964" s="9"/>
      <c r="H964" s="9"/>
      <c r="I964" s="9"/>
      <c r="J964" s="9"/>
      <c r="K964" s="9"/>
      <c r="L964" s="9"/>
      <c r="M964" s="9"/>
      <c r="N964" s="9"/>
      <c r="O964" s="9"/>
      <c r="P964" s="9"/>
      <c r="Q964" s="10"/>
      <c r="R964" s="5"/>
      <c r="S964" s="5"/>
      <c r="T964" s="5"/>
      <c r="U964" s="5"/>
      <c r="V964" s="5"/>
      <c r="W964" s="5"/>
      <c r="X964" s="5"/>
      <c r="Y964" s="5"/>
      <c r="Z964" s="5"/>
      <c r="AA964" s="5"/>
      <c r="AB964" s="5"/>
      <c r="AC964" s="5"/>
      <c r="AD964" s="5"/>
    </row>
    <row r="965">
      <c r="A965" s="57"/>
      <c r="B965" s="59"/>
      <c r="C965" s="54"/>
      <c r="D965" s="14"/>
      <c r="E965" s="14"/>
      <c r="F965" s="14"/>
      <c r="G965" s="14"/>
      <c r="H965" s="14"/>
      <c r="I965" s="14"/>
      <c r="J965" s="14"/>
      <c r="K965" s="14"/>
      <c r="L965" s="14"/>
      <c r="M965" s="14"/>
      <c r="N965" s="14"/>
      <c r="O965" s="14"/>
      <c r="P965" s="14"/>
      <c r="Q965" s="15"/>
      <c r="R965" s="5"/>
      <c r="S965" s="5"/>
      <c r="T965" s="5"/>
      <c r="U965" s="5"/>
      <c r="V965" s="5"/>
      <c r="W965" s="5"/>
      <c r="X965" s="5"/>
      <c r="Y965" s="5"/>
      <c r="Z965" s="5"/>
      <c r="AA965" s="5"/>
      <c r="AB965" s="5"/>
      <c r="AC965" s="5"/>
      <c r="AD965" s="5"/>
    </row>
    <row r="966">
      <c r="A966" s="55"/>
      <c r="B966" s="56"/>
      <c r="C966" s="52"/>
      <c r="D966" s="9"/>
      <c r="E966" s="9"/>
      <c r="F966" s="9"/>
      <c r="G966" s="9"/>
      <c r="H966" s="9"/>
      <c r="I966" s="9"/>
      <c r="J966" s="9"/>
      <c r="K966" s="9"/>
      <c r="L966" s="9"/>
      <c r="M966" s="9"/>
      <c r="N966" s="9"/>
      <c r="O966" s="9"/>
      <c r="P966" s="9"/>
      <c r="Q966" s="10"/>
      <c r="R966" s="5"/>
      <c r="S966" s="5"/>
      <c r="T966" s="5"/>
      <c r="U966" s="5"/>
      <c r="V966" s="5"/>
      <c r="W966" s="5"/>
      <c r="X966" s="5"/>
      <c r="Y966" s="5"/>
      <c r="Z966" s="5"/>
      <c r="AA966" s="5"/>
      <c r="AB966" s="5"/>
      <c r="AC966" s="5"/>
      <c r="AD966" s="5"/>
    </row>
    <row r="967">
      <c r="A967" s="57"/>
      <c r="B967" s="59"/>
      <c r="C967" s="54"/>
      <c r="D967" s="14"/>
      <c r="E967" s="14"/>
      <c r="F967" s="14"/>
      <c r="G967" s="14"/>
      <c r="H967" s="14"/>
      <c r="I967" s="14"/>
      <c r="J967" s="14"/>
      <c r="K967" s="14"/>
      <c r="L967" s="14"/>
      <c r="M967" s="14"/>
      <c r="N967" s="14"/>
      <c r="O967" s="14"/>
      <c r="P967" s="14"/>
      <c r="Q967" s="15"/>
      <c r="R967" s="5"/>
      <c r="S967" s="5"/>
      <c r="T967" s="5"/>
      <c r="U967" s="5"/>
      <c r="V967" s="5"/>
      <c r="W967" s="5"/>
      <c r="X967" s="5"/>
      <c r="Y967" s="5"/>
      <c r="Z967" s="5"/>
      <c r="AA967" s="5"/>
      <c r="AB967" s="5"/>
      <c r="AC967" s="5"/>
      <c r="AD967" s="5"/>
    </row>
    <row r="968">
      <c r="A968" s="55"/>
      <c r="B968" s="56"/>
      <c r="C968" s="52"/>
      <c r="D968" s="9"/>
      <c r="E968" s="9"/>
      <c r="F968" s="9"/>
      <c r="G968" s="9"/>
      <c r="H968" s="9"/>
      <c r="I968" s="9"/>
      <c r="J968" s="9"/>
      <c r="K968" s="9"/>
      <c r="L968" s="9"/>
      <c r="M968" s="9"/>
      <c r="N968" s="9"/>
      <c r="O968" s="9"/>
      <c r="P968" s="9"/>
      <c r="Q968" s="10"/>
      <c r="R968" s="5"/>
      <c r="S968" s="5"/>
      <c r="T968" s="5"/>
      <c r="U968" s="5"/>
      <c r="V968" s="5"/>
      <c r="W968" s="5"/>
      <c r="X968" s="5"/>
      <c r="Y968" s="5"/>
      <c r="Z968" s="5"/>
      <c r="AA968" s="5"/>
      <c r="AB968" s="5"/>
      <c r="AC968" s="5"/>
      <c r="AD968" s="5"/>
    </row>
    <row r="969">
      <c r="A969" s="57"/>
      <c r="B969" s="59"/>
      <c r="C969" s="54"/>
      <c r="D969" s="14"/>
      <c r="E969" s="14"/>
      <c r="F969" s="14"/>
      <c r="G969" s="14"/>
      <c r="H969" s="14"/>
      <c r="I969" s="14"/>
      <c r="J969" s="14"/>
      <c r="K969" s="14"/>
      <c r="L969" s="14"/>
      <c r="M969" s="14"/>
      <c r="N969" s="14"/>
      <c r="O969" s="14"/>
      <c r="P969" s="14"/>
      <c r="Q969" s="15"/>
      <c r="R969" s="5"/>
      <c r="S969" s="5"/>
      <c r="T969" s="5"/>
      <c r="U969" s="5"/>
      <c r="V969" s="5"/>
      <c r="W969" s="5"/>
      <c r="X969" s="5"/>
      <c r="Y969" s="5"/>
      <c r="Z969" s="5"/>
      <c r="AA969" s="5"/>
      <c r="AB969" s="5"/>
      <c r="AC969" s="5"/>
      <c r="AD969" s="5"/>
    </row>
    <row r="970">
      <c r="A970" s="55"/>
      <c r="B970" s="56"/>
      <c r="C970" s="52"/>
      <c r="D970" s="9"/>
      <c r="E970" s="9"/>
      <c r="F970" s="9"/>
      <c r="G970" s="9"/>
      <c r="H970" s="9"/>
      <c r="I970" s="9"/>
      <c r="J970" s="9"/>
      <c r="K970" s="9"/>
      <c r="L970" s="9"/>
      <c r="M970" s="9"/>
      <c r="N970" s="9"/>
      <c r="O970" s="9"/>
      <c r="P970" s="9"/>
      <c r="Q970" s="10"/>
      <c r="R970" s="5"/>
      <c r="S970" s="5"/>
      <c r="T970" s="5"/>
      <c r="U970" s="5"/>
      <c r="V970" s="5"/>
      <c r="W970" s="5"/>
      <c r="X970" s="5"/>
      <c r="Y970" s="5"/>
      <c r="Z970" s="5"/>
      <c r="AA970" s="5"/>
      <c r="AB970" s="5"/>
      <c r="AC970" s="5"/>
      <c r="AD970" s="5"/>
    </row>
    <row r="971">
      <c r="A971" s="57"/>
      <c r="B971" s="59"/>
      <c r="C971" s="54"/>
      <c r="D971" s="14"/>
      <c r="E971" s="14"/>
      <c r="F971" s="14"/>
      <c r="G971" s="14"/>
      <c r="H971" s="14"/>
      <c r="I971" s="14"/>
      <c r="J971" s="14"/>
      <c r="K971" s="14"/>
      <c r="L971" s="14"/>
      <c r="M971" s="14"/>
      <c r="N971" s="14"/>
      <c r="O971" s="14"/>
      <c r="P971" s="14"/>
      <c r="Q971" s="15"/>
      <c r="R971" s="5"/>
      <c r="S971" s="5"/>
      <c r="T971" s="5"/>
      <c r="U971" s="5"/>
      <c r="V971" s="5"/>
      <c r="W971" s="5"/>
      <c r="X971" s="5"/>
      <c r="Y971" s="5"/>
      <c r="Z971" s="5"/>
      <c r="AA971" s="5"/>
      <c r="AB971" s="5"/>
      <c r="AC971" s="5"/>
      <c r="AD971" s="5"/>
    </row>
    <row r="972">
      <c r="A972" s="55"/>
      <c r="B972" s="56"/>
      <c r="C972" s="52"/>
      <c r="D972" s="9"/>
      <c r="E972" s="9"/>
      <c r="F972" s="9"/>
      <c r="G972" s="9"/>
      <c r="H972" s="9"/>
      <c r="I972" s="9"/>
      <c r="J972" s="9"/>
      <c r="K972" s="9"/>
      <c r="L972" s="9"/>
      <c r="M972" s="9"/>
      <c r="N972" s="9"/>
      <c r="O972" s="9"/>
      <c r="P972" s="9"/>
      <c r="Q972" s="10"/>
      <c r="R972" s="5"/>
      <c r="S972" s="5"/>
      <c r="T972" s="5"/>
      <c r="U972" s="5"/>
      <c r="V972" s="5"/>
      <c r="W972" s="5"/>
      <c r="X972" s="5"/>
      <c r="Y972" s="5"/>
      <c r="Z972" s="5"/>
      <c r="AA972" s="5"/>
      <c r="AB972" s="5"/>
      <c r="AC972" s="5"/>
      <c r="AD972" s="5"/>
    </row>
    <row r="973">
      <c r="A973" s="57"/>
      <c r="B973" s="59"/>
      <c r="C973" s="54"/>
      <c r="D973" s="14"/>
      <c r="E973" s="14"/>
      <c r="F973" s="14"/>
      <c r="G973" s="14"/>
      <c r="H973" s="14"/>
      <c r="I973" s="14"/>
      <c r="J973" s="14"/>
      <c r="K973" s="14"/>
      <c r="L973" s="14"/>
      <c r="M973" s="14"/>
      <c r="N973" s="14"/>
      <c r="O973" s="14"/>
      <c r="P973" s="14"/>
      <c r="Q973" s="15"/>
      <c r="R973" s="5"/>
      <c r="S973" s="5"/>
      <c r="T973" s="5"/>
      <c r="U973" s="5"/>
      <c r="V973" s="5"/>
      <c r="W973" s="5"/>
      <c r="X973" s="5"/>
      <c r="Y973" s="5"/>
      <c r="Z973" s="5"/>
      <c r="AA973" s="5"/>
      <c r="AB973" s="5"/>
      <c r="AC973" s="5"/>
      <c r="AD973" s="5"/>
    </row>
    <row r="974">
      <c r="A974" s="55"/>
      <c r="B974" s="56"/>
      <c r="C974" s="52"/>
      <c r="D974" s="9"/>
      <c r="E974" s="9"/>
      <c r="F974" s="9"/>
      <c r="G974" s="9"/>
      <c r="H974" s="9"/>
      <c r="I974" s="9"/>
      <c r="J974" s="9"/>
      <c r="K974" s="9"/>
      <c r="L974" s="9"/>
      <c r="M974" s="9"/>
      <c r="N974" s="9"/>
      <c r="O974" s="9"/>
      <c r="P974" s="9"/>
      <c r="Q974" s="10"/>
      <c r="R974" s="5"/>
      <c r="S974" s="5"/>
      <c r="T974" s="5"/>
      <c r="U974" s="5"/>
      <c r="V974" s="5"/>
      <c r="W974" s="5"/>
      <c r="X974" s="5"/>
      <c r="Y974" s="5"/>
      <c r="Z974" s="5"/>
      <c r="AA974" s="5"/>
      <c r="AB974" s="5"/>
      <c r="AC974" s="5"/>
      <c r="AD974" s="5"/>
    </row>
    <row r="975">
      <c r="A975" s="57"/>
      <c r="B975" s="59"/>
      <c r="C975" s="54"/>
      <c r="D975" s="14"/>
      <c r="E975" s="14"/>
      <c r="F975" s="14"/>
      <c r="G975" s="14"/>
      <c r="H975" s="14"/>
      <c r="I975" s="14"/>
      <c r="J975" s="14"/>
      <c r="K975" s="14"/>
      <c r="L975" s="14"/>
      <c r="M975" s="14"/>
      <c r="N975" s="14"/>
      <c r="O975" s="14"/>
      <c r="P975" s="14"/>
      <c r="Q975" s="15"/>
      <c r="R975" s="5"/>
      <c r="S975" s="5"/>
      <c r="T975" s="5"/>
      <c r="U975" s="5"/>
      <c r="V975" s="5"/>
      <c r="W975" s="5"/>
      <c r="X975" s="5"/>
      <c r="Y975" s="5"/>
      <c r="Z975" s="5"/>
      <c r="AA975" s="5"/>
      <c r="AB975" s="5"/>
      <c r="AC975" s="5"/>
      <c r="AD975" s="5"/>
    </row>
    <row r="976">
      <c r="A976" s="55"/>
      <c r="B976" s="56"/>
      <c r="C976" s="52"/>
      <c r="D976" s="9"/>
      <c r="E976" s="9"/>
      <c r="F976" s="9"/>
      <c r="G976" s="9"/>
      <c r="H976" s="9"/>
      <c r="I976" s="9"/>
      <c r="J976" s="9"/>
      <c r="K976" s="9"/>
      <c r="L976" s="9"/>
      <c r="M976" s="9"/>
      <c r="N976" s="9"/>
      <c r="O976" s="9"/>
      <c r="P976" s="9"/>
      <c r="Q976" s="10"/>
      <c r="R976" s="5"/>
      <c r="S976" s="5"/>
      <c r="T976" s="5"/>
      <c r="U976" s="5"/>
      <c r="V976" s="5"/>
      <c r="W976" s="5"/>
      <c r="X976" s="5"/>
      <c r="Y976" s="5"/>
      <c r="Z976" s="5"/>
      <c r="AA976" s="5"/>
      <c r="AB976" s="5"/>
      <c r="AC976" s="5"/>
      <c r="AD976" s="5"/>
    </row>
    <row r="977">
      <c r="A977" s="57"/>
      <c r="B977" s="59"/>
      <c r="C977" s="54"/>
      <c r="D977" s="14"/>
      <c r="E977" s="14"/>
      <c r="F977" s="14"/>
      <c r="G977" s="14"/>
      <c r="H977" s="14"/>
      <c r="I977" s="14"/>
      <c r="J977" s="14"/>
      <c r="K977" s="14"/>
      <c r="L977" s="14"/>
      <c r="M977" s="14"/>
      <c r="N977" s="14"/>
      <c r="O977" s="14"/>
      <c r="P977" s="14"/>
      <c r="Q977" s="15"/>
      <c r="R977" s="5"/>
      <c r="S977" s="5"/>
      <c r="T977" s="5"/>
      <c r="U977" s="5"/>
      <c r="V977" s="5"/>
      <c r="W977" s="5"/>
      <c r="X977" s="5"/>
      <c r="Y977" s="5"/>
      <c r="Z977" s="5"/>
      <c r="AA977" s="5"/>
      <c r="AB977" s="5"/>
      <c r="AC977" s="5"/>
      <c r="AD977" s="5"/>
    </row>
    <row r="978">
      <c r="A978" s="55"/>
      <c r="B978" s="56"/>
      <c r="C978" s="52"/>
      <c r="D978" s="9"/>
      <c r="E978" s="9"/>
      <c r="F978" s="9"/>
      <c r="G978" s="9"/>
      <c r="H978" s="9"/>
      <c r="I978" s="9"/>
      <c r="J978" s="9"/>
      <c r="K978" s="9"/>
      <c r="L978" s="9"/>
      <c r="M978" s="9"/>
      <c r="N978" s="9"/>
      <c r="O978" s="9"/>
      <c r="P978" s="9"/>
      <c r="Q978" s="10"/>
      <c r="R978" s="5"/>
      <c r="S978" s="5"/>
      <c r="T978" s="5"/>
      <c r="U978" s="5"/>
      <c r="V978" s="5"/>
      <c r="W978" s="5"/>
      <c r="X978" s="5"/>
      <c r="Y978" s="5"/>
      <c r="Z978" s="5"/>
      <c r="AA978" s="5"/>
      <c r="AB978" s="5"/>
      <c r="AC978" s="5"/>
      <c r="AD978" s="5"/>
    </row>
    <row r="979">
      <c r="A979" s="57"/>
      <c r="B979" s="59"/>
      <c r="C979" s="54"/>
      <c r="D979" s="14"/>
      <c r="E979" s="14"/>
      <c r="F979" s="14"/>
      <c r="G979" s="14"/>
      <c r="H979" s="14"/>
      <c r="I979" s="14"/>
      <c r="J979" s="14"/>
      <c r="K979" s="14"/>
      <c r="L979" s="14"/>
      <c r="M979" s="14"/>
      <c r="N979" s="14"/>
      <c r="O979" s="14"/>
      <c r="P979" s="14"/>
      <c r="Q979" s="15"/>
      <c r="R979" s="5"/>
      <c r="S979" s="5"/>
      <c r="T979" s="5"/>
      <c r="U979" s="5"/>
      <c r="V979" s="5"/>
      <c r="W979" s="5"/>
      <c r="X979" s="5"/>
      <c r="Y979" s="5"/>
      <c r="Z979" s="5"/>
      <c r="AA979" s="5"/>
      <c r="AB979" s="5"/>
      <c r="AC979" s="5"/>
      <c r="AD979" s="5"/>
    </row>
    <row r="980">
      <c r="A980" s="55"/>
      <c r="B980" s="56"/>
      <c r="C980" s="52"/>
      <c r="D980" s="9"/>
      <c r="E980" s="9"/>
      <c r="F980" s="9"/>
      <c r="G980" s="9"/>
      <c r="H980" s="9"/>
      <c r="I980" s="9"/>
      <c r="J980" s="9"/>
      <c r="K980" s="9"/>
      <c r="L980" s="9"/>
      <c r="M980" s="9"/>
      <c r="N980" s="9"/>
      <c r="O980" s="9"/>
      <c r="P980" s="9"/>
      <c r="Q980" s="10"/>
      <c r="R980" s="5"/>
      <c r="S980" s="5"/>
      <c r="T980" s="5"/>
      <c r="U980" s="5"/>
      <c r="V980" s="5"/>
      <c r="W980" s="5"/>
      <c r="X980" s="5"/>
      <c r="Y980" s="5"/>
      <c r="Z980" s="5"/>
      <c r="AA980" s="5"/>
      <c r="AB980" s="5"/>
      <c r="AC980" s="5"/>
      <c r="AD980" s="5"/>
    </row>
    <row r="981">
      <c r="A981" s="57"/>
      <c r="B981" s="59"/>
      <c r="C981" s="54"/>
      <c r="D981" s="14"/>
      <c r="E981" s="14"/>
      <c r="F981" s="14"/>
      <c r="G981" s="14"/>
      <c r="H981" s="14"/>
      <c r="I981" s="14"/>
      <c r="J981" s="14"/>
      <c r="K981" s="14"/>
      <c r="L981" s="14"/>
      <c r="M981" s="14"/>
      <c r="N981" s="14"/>
      <c r="O981" s="14"/>
      <c r="P981" s="14"/>
      <c r="Q981" s="15"/>
      <c r="R981" s="5"/>
      <c r="S981" s="5"/>
      <c r="T981" s="5"/>
      <c r="U981" s="5"/>
      <c r="V981" s="5"/>
      <c r="W981" s="5"/>
      <c r="X981" s="5"/>
      <c r="Y981" s="5"/>
      <c r="Z981" s="5"/>
      <c r="AA981" s="5"/>
      <c r="AB981" s="5"/>
      <c r="AC981" s="5"/>
      <c r="AD981" s="5"/>
    </row>
    <row r="982">
      <c r="A982" s="55"/>
      <c r="B982" s="56"/>
      <c r="C982" s="52"/>
      <c r="D982" s="9"/>
      <c r="E982" s="9"/>
      <c r="F982" s="9"/>
      <c r="G982" s="9"/>
      <c r="H982" s="9"/>
      <c r="I982" s="9"/>
      <c r="J982" s="9"/>
      <c r="K982" s="9"/>
      <c r="L982" s="9"/>
      <c r="M982" s="9"/>
      <c r="N982" s="9"/>
      <c r="O982" s="9"/>
      <c r="P982" s="9"/>
      <c r="Q982" s="10"/>
      <c r="R982" s="5"/>
      <c r="S982" s="5"/>
      <c r="T982" s="5"/>
      <c r="U982" s="5"/>
      <c r="V982" s="5"/>
      <c r="W982" s="5"/>
      <c r="X982" s="5"/>
      <c r="Y982" s="5"/>
      <c r="Z982" s="5"/>
      <c r="AA982" s="5"/>
      <c r="AB982" s="5"/>
      <c r="AC982" s="5"/>
      <c r="AD982" s="5"/>
    </row>
    <row r="983">
      <c r="A983" s="57"/>
      <c r="B983" s="59"/>
      <c r="C983" s="54"/>
      <c r="D983" s="14"/>
      <c r="E983" s="14"/>
      <c r="F983" s="14"/>
      <c r="G983" s="14"/>
      <c r="H983" s="14"/>
      <c r="I983" s="14"/>
      <c r="J983" s="14"/>
      <c r="K983" s="14"/>
      <c r="L983" s="14"/>
      <c r="M983" s="14"/>
      <c r="N983" s="14"/>
      <c r="O983" s="14"/>
      <c r="P983" s="14"/>
      <c r="Q983" s="15"/>
      <c r="R983" s="5"/>
      <c r="S983" s="5"/>
      <c r="T983" s="5"/>
      <c r="U983" s="5"/>
      <c r="V983" s="5"/>
      <c r="W983" s="5"/>
      <c r="X983" s="5"/>
      <c r="Y983" s="5"/>
      <c r="Z983" s="5"/>
      <c r="AA983" s="5"/>
      <c r="AB983" s="5"/>
      <c r="AC983" s="5"/>
      <c r="AD983" s="5"/>
    </row>
    <row r="984">
      <c r="A984" s="55"/>
      <c r="B984" s="56"/>
      <c r="C984" s="52"/>
      <c r="D984" s="9"/>
      <c r="E984" s="9"/>
      <c r="F984" s="9"/>
      <c r="G984" s="9"/>
      <c r="H984" s="9"/>
      <c r="I984" s="9"/>
      <c r="J984" s="9"/>
      <c r="K984" s="9"/>
      <c r="L984" s="9"/>
      <c r="M984" s="9"/>
      <c r="N984" s="9"/>
      <c r="O984" s="9"/>
      <c r="P984" s="9"/>
      <c r="Q984" s="10"/>
      <c r="R984" s="5"/>
      <c r="S984" s="5"/>
      <c r="T984" s="5"/>
      <c r="U984" s="5"/>
      <c r="V984" s="5"/>
      <c r="W984" s="5"/>
      <c r="X984" s="5"/>
      <c r="Y984" s="5"/>
      <c r="Z984" s="5"/>
      <c r="AA984" s="5"/>
      <c r="AB984" s="5"/>
      <c r="AC984" s="5"/>
      <c r="AD984" s="5"/>
    </row>
    <row r="985">
      <c r="A985" s="57"/>
      <c r="B985" s="59"/>
      <c r="C985" s="54"/>
      <c r="D985" s="14"/>
      <c r="E985" s="14"/>
      <c r="F985" s="14"/>
      <c r="G985" s="14"/>
      <c r="H985" s="14"/>
      <c r="I985" s="14"/>
      <c r="J985" s="14"/>
      <c r="K985" s="14"/>
      <c r="L985" s="14"/>
      <c r="M985" s="14"/>
      <c r="N985" s="14"/>
      <c r="O985" s="14"/>
      <c r="P985" s="14"/>
      <c r="Q985" s="15"/>
      <c r="R985" s="5"/>
      <c r="S985" s="5"/>
      <c r="T985" s="5"/>
      <c r="U985" s="5"/>
      <c r="V985" s="5"/>
      <c r="W985" s="5"/>
      <c r="X985" s="5"/>
      <c r="Y985" s="5"/>
      <c r="Z985" s="5"/>
      <c r="AA985" s="5"/>
      <c r="AB985" s="5"/>
      <c r="AC985" s="5"/>
      <c r="AD985" s="5"/>
    </row>
    <row r="986">
      <c r="A986" s="55"/>
      <c r="B986" s="56"/>
      <c r="C986" s="52"/>
      <c r="D986" s="9"/>
      <c r="E986" s="9"/>
      <c r="F986" s="9"/>
      <c r="G986" s="9"/>
      <c r="H986" s="9"/>
      <c r="I986" s="9"/>
      <c r="J986" s="9"/>
      <c r="K986" s="9"/>
      <c r="L986" s="9"/>
      <c r="M986" s="9"/>
      <c r="N986" s="9"/>
      <c r="O986" s="9"/>
      <c r="P986" s="9"/>
      <c r="Q986" s="10"/>
      <c r="R986" s="5"/>
      <c r="S986" s="5"/>
      <c r="T986" s="5"/>
      <c r="U986" s="5"/>
      <c r="V986" s="5"/>
      <c r="W986" s="5"/>
      <c r="X986" s="5"/>
      <c r="Y986" s="5"/>
      <c r="Z986" s="5"/>
      <c r="AA986" s="5"/>
      <c r="AB986" s="5"/>
      <c r="AC986" s="5"/>
      <c r="AD986" s="5"/>
    </row>
    <row r="987">
      <c r="A987" s="57"/>
      <c r="B987" s="59"/>
      <c r="C987" s="54"/>
      <c r="D987" s="14"/>
      <c r="E987" s="14"/>
      <c r="F987" s="14"/>
      <c r="G987" s="14"/>
      <c r="H987" s="14"/>
      <c r="I987" s="14"/>
      <c r="J987" s="14"/>
      <c r="K987" s="14"/>
      <c r="L987" s="14"/>
      <c r="M987" s="14"/>
      <c r="N987" s="14"/>
      <c r="O987" s="14"/>
      <c r="P987" s="14"/>
      <c r="Q987" s="15"/>
      <c r="R987" s="5"/>
      <c r="S987" s="5"/>
      <c r="T987" s="5"/>
      <c r="U987" s="5"/>
      <c r="V987" s="5"/>
      <c r="W987" s="5"/>
      <c r="X987" s="5"/>
      <c r="Y987" s="5"/>
      <c r="Z987" s="5"/>
      <c r="AA987" s="5"/>
      <c r="AB987" s="5"/>
      <c r="AC987" s="5"/>
      <c r="AD987" s="5"/>
    </row>
    <row r="988">
      <c r="A988" s="55"/>
      <c r="B988" s="56"/>
      <c r="C988" s="52"/>
      <c r="D988" s="9"/>
      <c r="E988" s="9"/>
      <c r="F988" s="9"/>
      <c r="G988" s="9"/>
      <c r="H988" s="9"/>
      <c r="I988" s="9"/>
      <c r="J988" s="9"/>
      <c r="K988" s="9"/>
      <c r="L988" s="9"/>
      <c r="M988" s="9"/>
      <c r="N988" s="9"/>
      <c r="O988" s="9"/>
      <c r="P988" s="9"/>
      <c r="Q988" s="10"/>
      <c r="R988" s="5"/>
      <c r="S988" s="5"/>
      <c r="T988" s="5"/>
      <c r="U988" s="5"/>
      <c r="V988" s="5"/>
      <c r="W988" s="5"/>
      <c r="X988" s="5"/>
      <c r="Y988" s="5"/>
      <c r="Z988" s="5"/>
      <c r="AA988" s="5"/>
      <c r="AB988" s="5"/>
      <c r="AC988" s="5"/>
      <c r="AD988" s="5"/>
    </row>
    <row r="989">
      <c r="A989" s="57"/>
      <c r="B989" s="59"/>
      <c r="C989" s="54"/>
      <c r="D989" s="14"/>
      <c r="E989" s="14"/>
      <c r="F989" s="14"/>
      <c r="G989" s="14"/>
      <c r="H989" s="14"/>
      <c r="I989" s="14"/>
      <c r="J989" s="14"/>
      <c r="K989" s="14"/>
      <c r="L989" s="14"/>
      <c r="M989" s="14"/>
      <c r="N989" s="14"/>
      <c r="O989" s="14"/>
      <c r="P989" s="14"/>
      <c r="Q989" s="15"/>
      <c r="R989" s="5"/>
      <c r="S989" s="5"/>
      <c r="T989" s="5"/>
      <c r="U989" s="5"/>
      <c r="V989" s="5"/>
      <c r="W989" s="5"/>
      <c r="X989" s="5"/>
      <c r="Y989" s="5"/>
      <c r="Z989" s="5"/>
      <c r="AA989" s="5"/>
      <c r="AB989" s="5"/>
      <c r="AC989" s="5"/>
      <c r="AD989" s="5"/>
    </row>
    <row r="990">
      <c r="A990" s="55"/>
      <c r="B990" s="56"/>
      <c r="C990" s="52"/>
      <c r="D990" s="9"/>
      <c r="E990" s="9"/>
      <c r="F990" s="9"/>
      <c r="G990" s="9"/>
      <c r="H990" s="9"/>
      <c r="I990" s="9"/>
      <c r="J990" s="9"/>
      <c r="K990" s="9"/>
      <c r="L990" s="9"/>
      <c r="M990" s="9"/>
      <c r="N990" s="9"/>
      <c r="O990" s="9"/>
      <c r="P990" s="9"/>
      <c r="Q990" s="10"/>
      <c r="R990" s="5"/>
      <c r="S990" s="5"/>
      <c r="T990" s="5"/>
      <c r="U990" s="5"/>
      <c r="V990" s="5"/>
      <c r="W990" s="5"/>
      <c r="X990" s="5"/>
      <c r="Y990" s="5"/>
      <c r="Z990" s="5"/>
      <c r="AA990" s="5"/>
      <c r="AB990" s="5"/>
      <c r="AC990" s="5"/>
      <c r="AD990" s="5"/>
    </row>
    <row r="991">
      <c r="A991" s="57"/>
      <c r="B991" s="59"/>
      <c r="C991" s="54"/>
      <c r="D991" s="14"/>
      <c r="E991" s="14"/>
      <c r="F991" s="14"/>
      <c r="G991" s="14"/>
      <c r="H991" s="14"/>
      <c r="I991" s="14"/>
      <c r="J991" s="14"/>
      <c r="K991" s="14"/>
      <c r="L991" s="14"/>
      <c r="M991" s="14"/>
      <c r="N991" s="14"/>
      <c r="O991" s="14"/>
      <c r="P991" s="14"/>
      <c r="Q991" s="15"/>
      <c r="R991" s="5"/>
      <c r="S991" s="5"/>
      <c r="T991" s="5"/>
      <c r="U991" s="5"/>
      <c r="V991" s="5"/>
      <c r="W991" s="5"/>
      <c r="X991" s="5"/>
      <c r="Y991" s="5"/>
      <c r="Z991" s="5"/>
      <c r="AA991" s="5"/>
      <c r="AB991" s="5"/>
      <c r="AC991" s="5"/>
      <c r="AD991" s="5"/>
    </row>
    <row r="992">
      <c r="A992" s="55"/>
      <c r="B992" s="56"/>
      <c r="C992" s="52"/>
      <c r="D992" s="9"/>
      <c r="E992" s="9"/>
      <c r="F992" s="9"/>
      <c r="G992" s="9"/>
      <c r="H992" s="9"/>
      <c r="I992" s="9"/>
      <c r="J992" s="9"/>
      <c r="K992" s="9"/>
      <c r="L992" s="9"/>
      <c r="M992" s="9"/>
      <c r="N992" s="9"/>
      <c r="O992" s="9"/>
      <c r="P992" s="9"/>
      <c r="Q992" s="10"/>
      <c r="R992" s="5"/>
      <c r="S992" s="5"/>
      <c r="T992" s="5"/>
      <c r="U992" s="5"/>
      <c r="V992" s="5"/>
      <c r="W992" s="5"/>
      <c r="X992" s="5"/>
      <c r="Y992" s="5"/>
      <c r="Z992" s="5"/>
      <c r="AA992" s="5"/>
      <c r="AB992" s="5"/>
      <c r="AC992" s="5"/>
      <c r="AD992" s="5"/>
    </row>
    <row r="993">
      <c r="A993" s="57"/>
      <c r="B993" s="59"/>
      <c r="C993" s="54"/>
      <c r="D993" s="14"/>
      <c r="E993" s="14"/>
      <c r="F993" s="14"/>
      <c r="G993" s="14"/>
      <c r="H993" s="14"/>
      <c r="I993" s="14"/>
      <c r="J993" s="14"/>
      <c r="K993" s="14"/>
      <c r="L993" s="14"/>
      <c r="M993" s="14"/>
      <c r="N993" s="14"/>
      <c r="O993" s="14"/>
      <c r="P993" s="14"/>
      <c r="Q993" s="15"/>
      <c r="R993" s="5"/>
      <c r="S993" s="5"/>
      <c r="T993" s="5"/>
      <c r="U993" s="5"/>
      <c r="V993" s="5"/>
      <c r="W993" s="5"/>
      <c r="X993" s="5"/>
      <c r="Y993" s="5"/>
      <c r="Z993" s="5"/>
      <c r="AA993" s="5"/>
      <c r="AB993" s="5"/>
      <c r="AC993" s="5"/>
      <c r="AD993" s="5"/>
    </row>
    <row r="994">
      <c r="A994" s="55"/>
      <c r="B994" s="56"/>
      <c r="C994" s="52"/>
      <c r="D994" s="9"/>
      <c r="E994" s="9"/>
      <c r="F994" s="9"/>
      <c r="G994" s="9"/>
      <c r="H994" s="9"/>
      <c r="I994" s="9"/>
      <c r="J994" s="9"/>
      <c r="K994" s="9"/>
      <c r="L994" s="9"/>
      <c r="M994" s="9"/>
      <c r="N994" s="9"/>
      <c r="O994" s="9"/>
      <c r="P994" s="9"/>
      <c r="Q994" s="10"/>
      <c r="R994" s="5"/>
      <c r="S994" s="5"/>
      <c r="T994" s="5"/>
      <c r="U994" s="5"/>
      <c r="V994" s="5"/>
      <c r="W994" s="5"/>
      <c r="X994" s="5"/>
      <c r="Y994" s="5"/>
      <c r="Z994" s="5"/>
      <c r="AA994" s="5"/>
      <c r="AB994" s="5"/>
      <c r="AC994" s="5"/>
      <c r="AD994" s="5"/>
    </row>
    <row r="995">
      <c r="A995" s="57"/>
      <c r="B995" s="59"/>
      <c r="C995" s="54"/>
      <c r="D995" s="14"/>
      <c r="E995" s="14"/>
      <c r="F995" s="14"/>
      <c r="G995" s="14"/>
      <c r="H995" s="14"/>
      <c r="I995" s="14"/>
      <c r="J995" s="14"/>
      <c r="K995" s="14"/>
      <c r="L995" s="14"/>
      <c r="M995" s="14"/>
      <c r="N995" s="14"/>
      <c r="O995" s="14"/>
      <c r="P995" s="14"/>
      <c r="Q995" s="15"/>
      <c r="R995" s="5"/>
      <c r="S995" s="5"/>
      <c r="T995" s="5"/>
      <c r="U995" s="5"/>
      <c r="V995" s="5"/>
      <c r="W995" s="5"/>
      <c r="X995" s="5"/>
      <c r="Y995" s="5"/>
      <c r="Z995" s="5"/>
      <c r="AA995" s="5"/>
      <c r="AB995" s="5"/>
      <c r="AC995" s="5"/>
      <c r="AD995" s="5"/>
    </row>
    <row r="996">
      <c r="A996" s="55"/>
      <c r="B996" s="56"/>
      <c r="C996" s="52"/>
      <c r="D996" s="9"/>
      <c r="E996" s="9"/>
      <c r="F996" s="9"/>
      <c r="G996" s="9"/>
      <c r="H996" s="9"/>
      <c r="I996" s="9"/>
      <c r="J996" s="9"/>
      <c r="K996" s="9"/>
      <c r="L996" s="9"/>
      <c r="M996" s="9"/>
      <c r="N996" s="9"/>
      <c r="O996" s="9"/>
      <c r="P996" s="9"/>
      <c r="Q996" s="10"/>
      <c r="R996" s="5"/>
      <c r="S996" s="5"/>
      <c r="T996" s="5"/>
      <c r="U996" s="5"/>
      <c r="V996" s="5"/>
      <c r="W996" s="5"/>
      <c r="X996" s="5"/>
      <c r="Y996" s="5"/>
      <c r="Z996" s="5"/>
      <c r="AA996" s="5"/>
      <c r="AB996" s="5"/>
      <c r="AC996" s="5"/>
      <c r="AD996" s="5"/>
    </row>
    <row r="997">
      <c r="A997" s="57"/>
      <c r="B997" s="59"/>
      <c r="C997" s="54"/>
      <c r="D997" s="14"/>
      <c r="E997" s="14"/>
      <c r="F997" s="14"/>
      <c r="G997" s="14"/>
      <c r="H997" s="14"/>
      <c r="I997" s="14"/>
      <c r="J997" s="14"/>
      <c r="K997" s="14"/>
      <c r="L997" s="14"/>
      <c r="M997" s="14"/>
      <c r="N997" s="14"/>
      <c r="O997" s="14"/>
      <c r="P997" s="14"/>
      <c r="Q997" s="15"/>
      <c r="R997" s="5"/>
      <c r="S997" s="5"/>
      <c r="T997" s="5"/>
      <c r="U997" s="5"/>
      <c r="V997" s="5"/>
      <c r="W997" s="5"/>
      <c r="X997" s="5"/>
      <c r="Y997" s="5"/>
      <c r="Z997" s="5"/>
      <c r="AA997" s="5"/>
      <c r="AB997" s="5"/>
      <c r="AC997" s="5"/>
      <c r="AD997" s="5"/>
    </row>
    <row r="998">
      <c r="A998" s="55"/>
      <c r="B998" s="56"/>
      <c r="C998" s="52"/>
      <c r="D998" s="9"/>
      <c r="E998" s="9"/>
      <c r="F998" s="9"/>
      <c r="G998" s="9"/>
      <c r="H998" s="9"/>
      <c r="I998" s="9"/>
      <c r="J998" s="9"/>
      <c r="K998" s="9"/>
      <c r="L998" s="9"/>
      <c r="M998" s="9"/>
      <c r="N998" s="9"/>
      <c r="O998" s="9"/>
      <c r="P998" s="9"/>
      <c r="Q998" s="10"/>
      <c r="R998" s="5"/>
      <c r="S998" s="5"/>
      <c r="T998" s="5"/>
      <c r="U998" s="5"/>
      <c r="V998" s="5"/>
      <c r="W998" s="5"/>
      <c r="X998" s="5"/>
      <c r="Y998" s="5"/>
      <c r="Z998" s="5"/>
      <c r="AA998" s="5"/>
      <c r="AB998" s="5"/>
      <c r="AC998" s="5"/>
      <c r="AD998" s="5"/>
    </row>
    <row r="999">
      <c r="A999" s="57"/>
      <c r="B999" s="59"/>
      <c r="C999" s="54"/>
      <c r="D999" s="14"/>
      <c r="E999" s="14"/>
      <c r="F999" s="14"/>
      <c r="G999" s="14"/>
      <c r="H999" s="14"/>
      <c r="I999" s="14"/>
      <c r="J999" s="14"/>
      <c r="K999" s="14"/>
      <c r="L999" s="14"/>
      <c r="M999" s="14"/>
      <c r="N999" s="14"/>
      <c r="O999" s="14"/>
      <c r="P999" s="14"/>
      <c r="Q999" s="15"/>
      <c r="R999" s="5"/>
      <c r="S999" s="5"/>
      <c r="T999" s="5"/>
      <c r="U999" s="5"/>
      <c r="V999" s="5"/>
      <c r="W999" s="5"/>
      <c r="X999" s="5"/>
      <c r="Y999" s="5"/>
      <c r="Z999" s="5"/>
      <c r="AA999" s="5"/>
      <c r="AB999" s="5"/>
      <c r="AC999" s="5"/>
      <c r="AD999" s="5"/>
    </row>
    <row r="1000">
      <c r="A1000" s="55"/>
      <c r="B1000" s="56"/>
      <c r="C1000" s="52"/>
      <c r="D1000" s="9"/>
      <c r="E1000" s="9"/>
      <c r="F1000" s="9"/>
      <c r="G1000" s="9"/>
      <c r="H1000" s="9"/>
      <c r="I1000" s="9"/>
      <c r="J1000" s="9"/>
      <c r="K1000" s="9"/>
      <c r="L1000" s="9"/>
      <c r="M1000" s="9"/>
      <c r="N1000" s="9"/>
      <c r="O1000" s="9"/>
      <c r="P1000" s="9"/>
      <c r="Q1000" s="10"/>
      <c r="R1000" s="5"/>
      <c r="S1000" s="5"/>
      <c r="T1000" s="5"/>
      <c r="U1000" s="5"/>
      <c r="V1000" s="5"/>
      <c r="W1000" s="5"/>
      <c r="X1000" s="5"/>
      <c r="Y1000" s="5"/>
      <c r="Z1000" s="5"/>
      <c r="AA1000" s="5"/>
      <c r="AB1000" s="5"/>
      <c r="AC1000" s="5"/>
      <c r="AD1000" s="5"/>
    </row>
    <row r="1001">
      <c r="A1001" s="57"/>
      <c r="B1001" s="59"/>
      <c r="C1001" s="54"/>
      <c r="D1001" s="14"/>
      <c r="E1001" s="14"/>
      <c r="F1001" s="14"/>
      <c r="G1001" s="14"/>
      <c r="H1001" s="14"/>
      <c r="I1001" s="14"/>
      <c r="J1001" s="14"/>
      <c r="K1001" s="14"/>
      <c r="L1001" s="14"/>
      <c r="M1001" s="14"/>
      <c r="N1001" s="14"/>
      <c r="O1001" s="14"/>
      <c r="P1001" s="14"/>
      <c r="Q1001" s="15"/>
      <c r="R1001" s="5"/>
      <c r="S1001" s="5"/>
      <c r="T1001" s="5"/>
      <c r="U1001" s="5"/>
      <c r="V1001" s="5"/>
      <c r="W1001" s="5"/>
      <c r="X1001" s="5"/>
      <c r="Y1001" s="5"/>
      <c r="Z1001" s="5"/>
      <c r="AA1001" s="5"/>
      <c r="AB1001" s="5"/>
      <c r="AC1001" s="5"/>
      <c r="AD1001" s="5"/>
    </row>
    <row r="1002">
      <c r="A1002" s="55"/>
      <c r="B1002" s="56"/>
      <c r="C1002" s="52"/>
      <c r="D1002" s="9"/>
      <c r="E1002" s="9"/>
      <c r="F1002" s="9"/>
      <c r="G1002" s="9"/>
      <c r="H1002" s="9"/>
      <c r="I1002" s="9"/>
      <c r="J1002" s="9"/>
      <c r="K1002" s="9"/>
      <c r="L1002" s="9"/>
      <c r="M1002" s="9"/>
      <c r="N1002" s="9"/>
      <c r="O1002" s="9"/>
      <c r="P1002" s="9"/>
      <c r="Q1002" s="10"/>
      <c r="R1002" s="5"/>
      <c r="S1002" s="5"/>
      <c r="T1002" s="5"/>
      <c r="U1002" s="5"/>
      <c r="V1002" s="5"/>
      <c r="W1002" s="5"/>
      <c r="X1002" s="5"/>
      <c r="Y1002" s="5"/>
      <c r="Z1002" s="5"/>
      <c r="AA1002" s="5"/>
      <c r="AB1002" s="5"/>
      <c r="AC1002" s="5"/>
      <c r="AD1002" s="5"/>
    </row>
    <row r="1003">
      <c r="A1003" s="57"/>
      <c r="B1003" s="59"/>
      <c r="C1003" s="54"/>
      <c r="D1003" s="14"/>
      <c r="E1003" s="14"/>
      <c r="F1003" s="14"/>
      <c r="G1003" s="14"/>
      <c r="H1003" s="14"/>
      <c r="I1003" s="14"/>
      <c r="J1003" s="14"/>
      <c r="K1003" s="14"/>
      <c r="L1003" s="14"/>
      <c r="M1003" s="14"/>
      <c r="N1003" s="14"/>
      <c r="O1003" s="14"/>
      <c r="P1003" s="14"/>
      <c r="Q1003" s="15"/>
      <c r="R1003" s="5"/>
      <c r="S1003" s="5"/>
      <c r="T1003" s="5"/>
      <c r="U1003" s="5"/>
      <c r="V1003" s="5"/>
      <c r="W1003" s="5"/>
      <c r="X1003" s="5"/>
      <c r="Y1003" s="5"/>
      <c r="Z1003" s="5"/>
      <c r="AA1003" s="5"/>
      <c r="AB1003" s="5"/>
      <c r="AC1003" s="5"/>
      <c r="AD1003" s="5"/>
    </row>
    <row r="1004">
      <c r="A1004" s="55"/>
      <c r="B1004" s="56"/>
      <c r="C1004" s="52"/>
      <c r="D1004" s="9"/>
      <c r="E1004" s="9"/>
      <c r="F1004" s="9"/>
      <c r="G1004" s="9"/>
      <c r="H1004" s="9"/>
      <c r="I1004" s="9"/>
      <c r="J1004" s="9"/>
      <c r="K1004" s="9"/>
      <c r="L1004" s="9"/>
      <c r="M1004" s="9"/>
      <c r="N1004" s="9"/>
      <c r="O1004" s="9"/>
      <c r="P1004" s="9"/>
      <c r="Q1004" s="10"/>
      <c r="R1004" s="5"/>
      <c r="S1004" s="5"/>
      <c r="T1004" s="5"/>
      <c r="U1004" s="5"/>
      <c r="V1004" s="5"/>
      <c r="W1004" s="5"/>
      <c r="X1004" s="5"/>
      <c r="Y1004" s="5"/>
      <c r="Z1004" s="5"/>
      <c r="AA1004" s="5"/>
      <c r="AB1004" s="5"/>
      <c r="AC1004" s="5"/>
      <c r="AD1004" s="5"/>
    </row>
    <row r="1005">
      <c r="A1005" s="57"/>
      <c r="B1005" s="59"/>
      <c r="C1005" s="54"/>
      <c r="D1005" s="14"/>
      <c r="E1005" s="14"/>
      <c r="F1005" s="14"/>
      <c r="G1005" s="14"/>
      <c r="H1005" s="14"/>
      <c r="I1005" s="14"/>
      <c r="J1005" s="14"/>
      <c r="K1005" s="14"/>
      <c r="L1005" s="14"/>
      <c r="M1005" s="14"/>
      <c r="N1005" s="14"/>
      <c r="O1005" s="14"/>
      <c r="P1005" s="14"/>
      <c r="Q1005" s="15"/>
      <c r="R1005" s="5"/>
      <c r="S1005" s="5"/>
      <c r="T1005" s="5"/>
      <c r="U1005" s="5"/>
      <c r="V1005" s="5"/>
      <c r="W1005" s="5"/>
      <c r="X1005" s="5"/>
      <c r="Y1005" s="5"/>
      <c r="Z1005" s="5"/>
      <c r="AA1005" s="5"/>
      <c r="AB1005" s="5"/>
      <c r="AC1005" s="5"/>
      <c r="AD1005" s="5"/>
    </row>
    <row r="1006">
      <c r="A1006" s="55"/>
      <c r="B1006" s="56"/>
      <c r="C1006" s="52"/>
      <c r="D1006" s="9"/>
      <c r="E1006" s="9"/>
      <c r="F1006" s="9"/>
      <c r="G1006" s="9"/>
      <c r="H1006" s="9"/>
      <c r="I1006" s="9"/>
      <c r="J1006" s="9"/>
      <c r="K1006" s="9"/>
      <c r="L1006" s="9"/>
      <c r="M1006" s="9"/>
      <c r="N1006" s="9"/>
      <c r="O1006" s="9"/>
      <c r="P1006" s="9"/>
      <c r="Q1006" s="10"/>
      <c r="R1006" s="5"/>
      <c r="S1006" s="5"/>
      <c r="T1006" s="5"/>
      <c r="U1006" s="5"/>
      <c r="V1006" s="5"/>
      <c r="W1006" s="5"/>
      <c r="X1006" s="5"/>
      <c r="Y1006" s="5"/>
      <c r="Z1006" s="5"/>
      <c r="AA1006" s="5"/>
      <c r="AB1006" s="5"/>
      <c r="AC1006" s="5"/>
      <c r="AD1006" s="5"/>
    </row>
    <row r="1007">
      <c r="A1007" s="57"/>
      <c r="B1007" s="59"/>
      <c r="C1007" s="54"/>
      <c r="D1007" s="14"/>
      <c r="E1007" s="14"/>
      <c r="F1007" s="14"/>
      <c r="G1007" s="14"/>
      <c r="H1007" s="14"/>
      <c r="I1007" s="14"/>
      <c r="J1007" s="14"/>
      <c r="K1007" s="14"/>
      <c r="L1007" s="14"/>
      <c r="M1007" s="14"/>
      <c r="N1007" s="14"/>
      <c r="O1007" s="14"/>
      <c r="P1007" s="14"/>
      <c r="Q1007" s="15"/>
      <c r="R1007" s="5"/>
      <c r="S1007" s="5"/>
      <c r="T1007" s="5"/>
      <c r="U1007" s="5"/>
      <c r="V1007" s="5"/>
      <c r="W1007" s="5"/>
      <c r="X1007" s="5"/>
      <c r="Y1007" s="5"/>
      <c r="Z1007" s="5"/>
      <c r="AA1007" s="5"/>
      <c r="AB1007" s="5"/>
      <c r="AC1007" s="5"/>
      <c r="AD1007" s="5"/>
    </row>
    <row r="1008">
      <c r="A1008" s="55"/>
      <c r="B1008" s="56"/>
      <c r="C1008" s="52"/>
      <c r="D1008" s="9"/>
      <c r="E1008" s="9"/>
      <c r="F1008" s="9"/>
      <c r="G1008" s="9"/>
      <c r="H1008" s="9"/>
      <c r="I1008" s="9"/>
      <c r="J1008" s="9"/>
      <c r="K1008" s="9"/>
      <c r="L1008" s="9"/>
      <c r="M1008" s="9"/>
      <c r="N1008" s="9"/>
      <c r="O1008" s="9"/>
      <c r="P1008" s="9"/>
      <c r="Q1008" s="10"/>
      <c r="R1008" s="5"/>
      <c r="S1008" s="5"/>
      <c r="T1008" s="5"/>
      <c r="U1008" s="5"/>
      <c r="V1008" s="5"/>
      <c r="W1008" s="5"/>
      <c r="X1008" s="5"/>
      <c r="Y1008" s="5"/>
      <c r="Z1008" s="5"/>
      <c r="AA1008" s="5"/>
      <c r="AB1008" s="5"/>
      <c r="AC1008" s="5"/>
      <c r="AD1008" s="5"/>
    </row>
    <row r="1009">
      <c r="A1009" s="60"/>
      <c r="B1009" s="61"/>
      <c r="C1009" s="62"/>
      <c r="D1009" s="63"/>
      <c r="E1009" s="63"/>
      <c r="F1009" s="63"/>
      <c r="G1009" s="63"/>
      <c r="H1009" s="63"/>
      <c r="I1009" s="63"/>
      <c r="J1009" s="63"/>
      <c r="K1009" s="63"/>
      <c r="L1009" s="63"/>
      <c r="M1009" s="63"/>
      <c r="N1009" s="63"/>
      <c r="O1009" s="63"/>
      <c r="P1009" s="63"/>
      <c r="Q1009" s="64"/>
      <c r="R1009" s="5"/>
      <c r="S1009" s="5"/>
      <c r="T1009" s="5"/>
      <c r="U1009" s="5"/>
      <c r="V1009" s="5"/>
      <c r="W1009" s="5"/>
      <c r="X1009" s="5"/>
      <c r="Y1009" s="5"/>
      <c r="Z1009" s="5"/>
      <c r="AA1009" s="5"/>
      <c r="AB1009" s="5"/>
      <c r="AC1009" s="5"/>
      <c r="AD1009" s="5"/>
    </row>
  </sheetData>
  <dataValidations>
    <dataValidation type="list" allowBlank="1" sqref="B2:B1009">
      <formula1>"پیش‌وایی,پیش‌وایی کسب‌وکار,پیله,جان کلام,مواجهه,تحویل سال,همایش,رابطه,پویش"</formula1>
    </dataValidation>
    <dataValidation type="list" allowBlank="1" sqref="A2:A1009">
      <formula1>"1,2,3,4,5,6,7,8,9,10,11,12,13,14,15,16,17,18,19,20,21"</formula1>
    </dataValidation>
  </dataValidation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13"/>
    <col customWidth="1" min="3" max="3" width="14.75"/>
  </cols>
  <sheetData>
    <row r="1">
      <c r="A1" s="65"/>
      <c r="B1" s="66"/>
      <c r="C1" s="67"/>
      <c r="D1" s="67"/>
      <c r="E1" s="67"/>
      <c r="F1" s="67"/>
      <c r="G1" s="67"/>
      <c r="H1" s="67"/>
      <c r="I1" s="67"/>
      <c r="J1" s="67"/>
      <c r="K1" s="67"/>
      <c r="L1" s="67"/>
      <c r="M1" s="67"/>
      <c r="N1" s="67"/>
      <c r="O1" s="67"/>
      <c r="P1" s="67"/>
      <c r="Q1" s="67"/>
      <c r="R1" s="67"/>
      <c r="S1" s="67"/>
      <c r="T1" s="67"/>
      <c r="U1" s="67"/>
      <c r="V1" s="67"/>
      <c r="W1" s="67"/>
      <c r="X1" s="67"/>
      <c r="Y1" s="67"/>
      <c r="Z1" s="67"/>
    </row>
    <row r="2">
      <c r="A2" s="65"/>
      <c r="B2" s="65"/>
      <c r="C2" s="65" t="s">
        <v>131</v>
      </c>
      <c r="D2" s="67"/>
      <c r="E2" s="67"/>
      <c r="F2" s="67"/>
      <c r="G2" s="67"/>
      <c r="H2" s="67"/>
      <c r="I2" s="67"/>
      <c r="J2" s="67"/>
      <c r="K2" s="67"/>
      <c r="L2" s="67"/>
      <c r="M2" s="67"/>
      <c r="N2" s="67"/>
      <c r="O2" s="67"/>
      <c r="P2" s="67"/>
      <c r="Q2" s="67"/>
      <c r="R2" s="67"/>
      <c r="S2" s="67"/>
      <c r="T2" s="67"/>
      <c r="U2" s="67"/>
      <c r="V2" s="67"/>
      <c r="W2" s="67"/>
      <c r="X2" s="67"/>
      <c r="Y2" s="67"/>
      <c r="Z2" s="67"/>
    </row>
    <row r="3">
      <c r="A3" s="68" t="s">
        <v>132</v>
      </c>
      <c r="B3" s="69" t="s">
        <v>133</v>
      </c>
      <c r="C3" s="70" t="s">
        <v>134</v>
      </c>
      <c r="H3" s="67"/>
      <c r="I3" s="67"/>
      <c r="J3" s="67"/>
      <c r="K3" s="67"/>
      <c r="L3" s="67"/>
      <c r="M3" s="67"/>
      <c r="N3" s="67"/>
      <c r="O3" s="67"/>
      <c r="P3" s="67"/>
      <c r="Q3" s="67"/>
      <c r="R3" s="67"/>
      <c r="S3" s="67"/>
      <c r="T3" s="67"/>
      <c r="U3" s="67"/>
      <c r="V3" s="67"/>
      <c r="W3" s="67"/>
      <c r="X3" s="67"/>
      <c r="Y3" s="67"/>
      <c r="Z3" s="67"/>
    </row>
    <row r="4">
      <c r="A4" s="71" t="s">
        <v>135</v>
      </c>
      <c r="B4" s="72" t="s">
        <v>53</v>
      </c>
      <c r="C4" s="73" t="s">
        <v>136</v>
      </c>
      <c r="H4" s="67"/>
      <c r="I4" s="67"/>
      <c r="J4" s="67"/>
      <c r="K4" s="67"/>
      <c r="L4" s="67"/>
      <c r="M4" s="67"/>
      <c r="N4" s="67"/>
      <c r="O4" s="67"/>
      <c r="P4" s="67"/>
      <c r="Q4" s="67"/>
      <c r="R4" s="67"/>
      <c r="S4" s="67"/>
      <c r="T4" s="67"/>
      <c r="U4" s="67"/>
      <c r="V4" s="67"/>
      <c r="W4" s="67"/>
      <c r="X4" s="67"/>
      <c r="Y4" s="67"/>
      <c r="Z4" s="67"/>
    </row>
    <row r="5">
      <c r="A5" s="74" t="s">
        <v>137</v>
      </c>
      <c r="B5" s="75" t="s">
        <v>53</v>
      </c>
      <c r="C5" s="76" t="s">
        <v>136</v>
      </c>
      <c r="E5" s="77"/>
      <c r="H5" s="67"/>
      <c r="I5" s="67"/>
      <c r="J5" s="67"/>
      <c r="K5" s="67"/>
      <c r="L5" s="67"/>
      <c r="M5" s="67"/>
      <c r="N5" s="67"/>
      <c r="O5" s="67"/>
      <c r="P5" s="67"/>
      <c r="Q5" s="67"/>
      <c r="R5" s="67"/>
      <c r="S5" s="67"/>
      <c r="T5" s="67"/>
      <c r="U5" s="67"/>
      <c r="V5" s="67"/>
      <c r="W5" s="67"/>
      <c r="X5" s="67"/>
      <c r="Y5" s="67"/>
      <c r="Z5" s="67"/>
    </row>
    <row r="6">
      <c r="A6" s="71" t="s">
        <v>138</v>
      </c>
      <c r="B6" s="72" t="s">
        <v>53</v>
      </c>
      <c r="C6" s="73" t="s">
        <v>136</v>
      </c>
      <c r="E6" s="77"/>
      <c r="H6" s="67"/>
      <c r="I6" s="67"/>
      <c r="J6" s="67"/>
      <c r="K6" s="67"/>
      <c r="L6" s="67"/>
      <c r="M6" s="67"/>
      <c r="N6" s="67"/>
      <c r="O6" s="67"/>
      <c r="P6" s="67"/>
      <c r="Q6" s="67"/>
      <c r="R6" s="67"/>
      <c r="S6" s="67"/>
      <c r="T6" s="67"/>
      <c r="U6" s="67"/>
      <c r="V6" s="67"/>
      <c r="W6" s="67"/>
      <c r="X6" s="67"/>
      <c r="Y6" s="67"/>
      <c r="Z6" s="67"/>
    </row>
    <row r="7">
      <c r="A7" s="74" t="s">
        <v>139</v>
      </c>
      <c r="B7" s="75" t="s">
        <v>53</v>
      </c>
      <c r="C7" s="76" t="s">
        <v>140</v>
      </c>
      <c r="E7" s="77"/>
      <c r="H7" s="67"/>
      <c r="I7" s="67"/>
      <c r="J7" s="67"/>
      <c r="K7" s="67"/>
      <c r="L7" s="67"/>
      <c r="M7" s="67"/>
      <c r="N7" s="67"/>
      <c r="O7" s="67"/>
      <c r="P7" s="67"/>
      <c r="Q7" s="67"/>
      <c r="R7" s="67"/>
      <c r="S7" s="67"/>
      <c r="T7" s="67"/>
      <c r="U7" s="67"/>
      <c r="V7" s="67"/>
      <c r="W7" s="67"/>
      <c r="X7" s="67"/>
      <c r="Y7" s="67"/>
      <c r="Z7" s="67"/>
    </row>
    <row r="8">
      <c r="A8" s="71" t="s">
        <v>141</v>
      </c>
      <c r="B8" s="72" t="s">
        <v>53</v>
      </c>
      <c r="C8" s="73" t="s">
        <v>142</v>
      </c>
      <c r="E8" s="77"/>
      <c r="H8" s="67"/>
      <c r="I8" s="67"/>
      <c r="J8" s="67"/>
      <c r="K8" s="67"/>
      <c r="L8" s="67"/>
      <c r="M8" s="67"/>
      <c r="N8" s="67"/>
      <c r="O8" s="67"/>
      <c r="P8" s="67"/>
      <c r="Q8" s="67"/>
      <c r="R8" s="67"/>
      <c r="S8" s="67"/>
      <c r="T8" s="67"/>
      <c r="U8" s="67"/>
      <c r="V8" s="67"/>
      <c r="W8" s="67"/>
      <c r="X8" s="67"/>
      <c r="Y8" s="67"/>
      <c r="Z8" s="67"/>
    </row>
    <row r="9">
      <c r="A9" s="74" t="s">
        <v>77</v>
      </c>
      <c r="B9" s="75" t="s">
        <v>53</v>
      </c>
      <c r="C9" s="76" t="s">
        <v>140</v>
      </c>
      <c r="E9" s="77"/>
      <c r="H9" s="67"/>
      <c r="I9" s="67"/>
      <c r="J9" s="67"/>
      <c r="K9" s="67"/>
      <c r="L9" s="67"/>
      <c r="M9" s="67"/>
      <c r="N9" s="67"/>
      <c r="O9" s="67"/>
      <c r="P9" s="67"/>
      <c r="Q9" s="67"/>
      <c r="R9" s="67"/>
      <c r="S9" s="67"/>
      <c r="T9" s="67"/>
      <c r="U9" s="67"/>
      <c r="V9" s="67"/>
      <c r="W9" s="67"/>
      <c r="X9" s="67"/>
      <c r="Y9" s="67"/>
      <c r="Z9" s="67"/>
    </row>
    <row r="10">
      <c r="A10" s="71" t="s">
        <v>143</v>
      </c>
      <c r="B10" s="72" t="s">
        <v>53</v>
      </c>
      <c r="C10" s="73" t="s">
        <v>136</v>
      </c>
      <c r="E10" s="77"/>
      <c r="H10" s="67"/>
      <c r="I10" s="67"/>
      <c r="J10" s="67"/>
      <c r="K10" s="67"/>
      <c r="L10" s="67"/>
      <c r="M10" s="67"/>
      <c r="N10" s="67"/>
      <c r="O10" s="67"/>
      <c r="P10" s="67"/>
      <c r="Q10" s="67"/>
      <c r="R10" s="67"/>
      <c r="S10" s="67"/>
      <c r="T10" s="67"/>
      <c r="U10" s="67"/>
      <c r="V10" s="67"/>
      <c r="W10" s="67"/>
      <c r="X10" s="67"/>
      <c r="Y10" s="67"/>
      <c r="Z10" s="67"/>
    </row>
    <row r="11">
      <c r="A11" s="74" t="s">
        <v>144</v>
      </c>
      <c r="B11" s="75" t="s">
        <v>27</v>
      </c>
      <c r="C11" s="76" t="s">
        <v>142</v>
      </c>
      <c r="E11" s="77"/>
      <c r="H11" s="67"/>
      <c r="I11" s="67"/>
      <c r="J11" s="67"/>
      <c r="K11" s="67"/>
      <c r="L11" s="67"/>
      <c r="M11" s="67"/>
      <c r="N11" s="67"/>
      <c r="O11" s="67"/>
      <c r="P11" s="67"/>
      <c r="Q11" s="67"/>
      <c r="R11" s="67"/>
      <c r="S11" s="67"/>
      <c r="T11" s="67"/>
      <c r="U11" s="67"/>
      <c r="V11" s="67"/>
      <c r="W11" s="67"/>
      <c r="X11" s="67"/>
      <c r="Y11" s="67"/>
      <c r="Z11" s="67"/>
    </row>
    <row r="12">
      <c r="A12" s="71" t="s">
        <v>145</v>
      </c>
      <c r="B12" s="72" t="s">
        <v>27</v>
      </c>
      <c r="C12" s="73" t="s">
        <v>146</v>
      </c>
      <c r="E12" s="77"/>
      <c r="H12" s="67"/>
      <c r="I12" s="67"/>
      <c r="J12" s="67"/>
      <c r="K12" s="67"/>
      <c r="L12" s="67"/>
      <c r="M12" s="67"/>
      <c r="N12" s="67"/>
      <c r="O12" s="67"/>
      <c r="P12" s="67"/>
      <c r="Q12" s="67"/>
      <c r="R12" s="67"/>
      <c r="S12" s="67"/>
      <c r="T12" s="67"/>
      <c r="U12" s="67"/>
      <c r="V12" s="67"/>
      <c r="W12" s="67"/>
      <c r="X12" s="67"/>
      <c r="Y12" s="67"/>
      <c r="Z12" s="67"/>
    </row>
    <row r="13">
      <c r="A13" s="74" t="s">
        <v>147</v>
      </c>
      <c r="B13" s="75" t="s">
        <v>102</v>
      </c>
      <c r="C13" s="76" t="s">
        <v>142</v>
      </c>
      <c r="E13" s="77"/>
      <c r="H13" s="67"/>
      <c r="I13" s="67"/>
      <c r="J13" s="67"/>
      <c r="K13" s="67"/>
      <c r="L13" s="67"/>
      <c r="M13" s="67"/>
      <c r="N13" s="67"/>
      <c r="O13" s="67"/>
      <c r="P13" s="67"/>
      <c r="Q13" s="67"/>
      <c r="R13" s="67"/>
      <c r="S13" s="67"/>
      <c r="T13" s="67"/>
      <c r="U13" s="67"/>
      <c r="V13" s="67"/>
      <c r="W13" s="67"/>
      <c r="X13" s="67"/>
      <c r="Y13" s="67"/>
      <c r="Z13" s="67"/>
    </row>
    <row r="14">
      <c r="A14" s="71" t="s">
        <v>148</v>
      </c>
      <c r="B14" s="72" t="s">
        <v>27</v>
      </c>
      <c r="C14" s="73" t="s">
        <v>146</v>
      </c>
      <c r="E14" s="77"/>
      <c r="H14" s="67"/>
      <c r="I14" s="67"/>
      <c r="J14" s="67"/>
      <c r="K14" s="67"/>
      <c r="L14" s="67"/>
      <c r="M14" s="67"/>
      <c r="N14" s="67"/>
      <c r="O14" s="67"/>
      <c r="P14" s="67"/>
      <c r="Q14" s="67"/>
      <c r="R14" s="67"/>
      <c r="S14" s="67"/>
      <c r="T14" s="67"/>
      <c r="U14" s="67"/>
      <c r="V14" s="67"/>
      <c r="W14" s="67"/>
      <c r="X14" s="67"/>
      <c r="Y14" s="67"/>
      <c r="Z14" s="67"/>
    </row>
    <row r="15">
      <c r="A15" s="74" t="s">
        <v>149</v>
      </c>
      <c r="B15" s="75" t="s">
        <v>102</v>
      </c>
      <c r="C15" s="76" t="s">
        <v>142</v>
      </c>
      <c r="E15" s="77"/>
      <c r="H15" s="67"/>
      <c r="I15" s="67"/>
      <c r="J15" s="67"/>
      <c r="K15" s="67"/>
      <c r="L15" s="67"/>
      <c r="M15" s="67"/>
      <c r="N15" s="67"/>
      <c r="O15" s="67"/>
      <c r="P15" s="67"/>
      <c r="Q15" s="67"/>
      <c r="R15" s="67"/>
      <c r="S15" s="67"/>
      <c r="T15" s="67"/>
      <c r="U15" s="67"/>
      <c r="V15" s="67"/>
      <c r="W15" s="67"/>
      <c r="X15" s="67"/>
      <c r="Y15" s="67"/>
      <c r="Z15" s="67"/>
    </row>
    <row r="16">
      <c r="A16" s="71" t="s">
        <v>150</v>
      </c>
      <c r="B16" s="72" t="s">
        <v>102</v>
      </c>
      <c r="C16" s="73" t="s">
        <v>140</v>
      </c>
      <c r="E16" s="77"/>
      <c r="H16" s="67"/>
      <c r="I16" s="67"/>
      <c r="J16" s="67"/>
      <c r="K16" s="67"/>
      <c r="L16" s="67"/>
      <c r="M16" s="67"/>
      <c r="N16" s="67"/>
      <c r="O16" s="67"/>
      <c r="P16" s="67"/>
      <c r="Q16" s="67"/>
      <c r="R16" s="67"/>
      <c r="S16" s="67"/>
      <c r="T16" s="67"/>
      <c r="U16" s="67"/>
      <c r="V16" s="67"/>
      <c r="W16" s="67"/>
      <c r="X16" s="67"/>
      <c r="Y16" s="67"/>
      <c r="Z16" s="67"/>
    </row>
    <row r="17">
      <c r="A17" s="74" t="s">
        <v>151</v>
      </c>
      <c r="B17" s="75" t="s">
        <v>102</v>
      </c>
      <c r="C17" s="76" t="s">
        <v>142</v>
      </c>
      <c r="H17" s="67"/>
      <c r="I17" s="67"/>
      <c r="J17" s="67"/>
      <c r="K17" s="67"/>
      <c r="L17" s="67"/>
      <c r="M17" s="67"/>
      <c r="N17" s="67"/>
      <c r="O17" s="67"/>
      <c r="P17" s="67"/>
      <c r="Q17" s="67"/>
      <c r="R17" s="67"/>
      <c r="S17" s="67"/>
      <c r="T17" s="67"/>
      <c r="U17" s="67"/>
      <c r="V17" s="67"/>
      <c r="W17" s="67"/>
      <c r="X17" s="67"/>
      <c r="Y17" s="67"/>
      <c r="Z17" s="67"/>
    </row>
    <row r="18">
      <c r="A18" s="71" t="s">
        <v>152</v>
      </c>
      <c r="B18" s="72" t="s">
        <v>102</v>
      </c>
      <c r="C18" s="73" t="s">
        <v>146</v>
      </c>
      <c r="D18" s="67"/>
      <c r="E18" s="67"/>
      <c r="F18" s="67"/>
      <c r="G18" s="67"/>
      <c r="H18" s="67"/>
      <c r="I18" s="67"/>
      <c r="J18" s="67"/>
      <c r="K18" s="67"/>
      <c r="L18" s="67"/>
      <c r="M18" s="67"/>
      <c r="N18" s="67"/>
      <c r="O18" s="67"/>
      <c r="P18" s="67"/>
      <c r="Q18" s="67"/>
      <c r="R18" s="67"/>
      <c r="S18" s="67"/>
      <c r="T18" s="67"/>
      <c r="U18" s="67"/>
      <c r="V18" s="67"/>
      <c r="W18" s="67"/>
      <c r="X18" s="67"/>
      <c r="Y18" s="67"/>
      <c r="Z18" s="67"/>
    </row>
    <row r="19">
      <c r="A19" s="78"/>
      <c r="B19" s="79"/>
      <c r="C19" s="80"/>
      <c r="D19" s="67"/>
      <c r="E19" s="67"/>
      <c r="F19" s="67"/>
      <c r="G19" s="67"/>
      <c r="H19" s="67"/>
      <c r="I19" s="67"/>
      <c r="J19" s="67"/>
      <c r="K19" s="67"/>
      <c r="L19" s="67"/>
      <c r="M19" s="67"/>
      <c r="N19" s="67"/>
      <c r="O19" s="67"/>
      <c r="P19" s="67"/>
      <c r="Q19" s="67"/>
      <c r="R19" s="67"/>
      <c r="S19" s="67"/>
      <c r="T19" s="67"/>
      <c r="U19" s="67"/>
      <c r="V19" s="67"/>
      <c r="W19" s="67"/>
      <c r="X19" s="67"/>
      <c r="Y19" s="67"/>
      <c r="Z19" s="67"/>
    </row>
    <row r="20">
      <c r="A20" s="67"/>
      <c r="B20" s="67"/>
      <c r="C20" s="67"/>
      <c r="D20" s="67"/>
      <c r="E20" s="67"/>
      <c r="F20" s="67"/>
      <c r="G20" s="67"/>
      <c r="H20" s="67"/>
      <c r="I20" s="67"/>
      <c r="J20" s="67"/>
      <c r="K20" s="67"/>
      <c r="L20" s="67"/>
      <c r="M20" s="67"/>
      <c r="N20" s="67"/>
      <c r="O20" s="67"/>
      <c r="P20" s="67"/>
      <c r="Q20" s="67"/>
      <c r="R20" s="67"/>
      <c r="S20" s="67"/>
      <c r="T20" s="67"/>
      <c r="U20" s="67"/>
      <c r="V20" s="67"/>
      <c r="W20" s="67"/>
      <c r="X20" s="67"/>
      <c r="Y20" s="67"/>
      <c r="Z20" s="67"/>
    </row>
    <row r="21">
      <c r="A21" s="67"/>
      <c r="B21" s="67"/>
      <c r="C21" s="67"/>
      <c r="D21" s="67"/>
      <c r="E21" s="67"/>
      <c r="F21" s="67"/>
      <c r="G21" s="67"/>
      <c r="H21" s="67"/>
      <c r="I21" s="67"/>
      <c r="J21" s="67"/>
      <c r="K21" s="67"/>
      <c r="L21" s="67"/>
      <c r="M21" s="67"/>
      <c r="N21" s="67"/>
      <c r="O21" s="67"/>
      <c r="P21" s="67"/>
      <c r="Q21" s="67"/>
      <c r="R21" s="67"/>
      <c r="S21" s="67"/>
      <c r="T21" s="67"/>
      <c r="U21" s="67"/>
      <c r="V21" s="67"/>
      <c r="W21" s="67"/>
      <c r="X21" s="67"/>
      <c r="Y21" s="67"/>
      <c r="Z21" s="67"/>
    </row>
    <row r="22">
      <c r="A22" s="67"/>
      <c r="B22" s="67"/>
      <c r="C22" s="67"/>
      <c r="D22" s="67"/>
      <c r="E22" s="67"/>
      <c r="F22" s="67"/>
      <c r="G22" s="67"/>
      <c r="H22" s="67"/>
      <c r="I22" s="67"/>
      <c r="J22" s="67"/>
      <c r="K22" s="67"/>
      <c r="L22" s="67"/>
      <c r="M22" s="67"/>
      <c r="N22" s="67"/>
      <c r="O22" s="67"/>
      <c r="P22" s="67"/>
      <c r="Q22" s="67"/>
      <c r="R22" s="67"/>
      <c r="S22" s="67"/>
      <c r="T22" s="67"/>
      <c r="U22" s="67"/>
      <c r="V22" s="67"/>
      <c r="W22" s="67"/>
      <c r="X22" s="67"/>
      <c r="Y22" s="67"/>
      <c r="Z22" s="67"/>
    </row>
    <row r="23">
      <c r="A23" s="67"/>
      <c r="B23" s="67"/>
      <c r="C23" s="67"/>
      <c r="D23" s="67"/>
      <c r="E23" s="67"/>
      <c r="F23" s="67"/>
      <c r="G23" s="67"/>
      <c r="H23" s="67"/>
      <c r="I23" s="67"/>
      <c r="J23" s="67"/>
      <c r="K23" s="67"/>
      <c r="L23" s="67"/>
      <c r="M23" s="67"/>
      <c r="N23" s="67"/>
      <c r="O23" s="67"/>
      <c r="P23" s="67"/>
      <c r="Q23" s="67"/>
      <c r="R23" s="67"/>
      <c r="S23" s="67"/>
      <c r="T23" s="67"/>
      <c r="U23" s="67"/>
      <c r="V23" s="67"/>
      <c r="W23" s="67"/>
      <c r="X23" s="67"/>
      <c r="Y23" s="67"/>
      <c r="Z23" s="67"/>
    </row>
    <row r="24">
      <c r="A24" s="67"/>
      <c r="B24" s="67"/>
      <c r="C24" s="67"/>
      <c r="D24" s="67"/>
      <c r="E24" s="67"/>
      <c r="F24" s="67"/>
      <c r="G24" s="67"/>
      <c r="H24" s="67"/>
      <c r="I24" s="67"/>
      <c r="J24" s="67"/>
      <c r="K24" s="67"/>
      <c r="L24" s="67"/>
      <c r="M24" s="67"/>
      <c r="N24" s="67"/>
      <c r="O24" s="67"/>
      <c r="P24" s="67"/>
      <c r="Q24" s="67"/>
      <c r="R24" s="67"/>
      <c r="S24" s="67"/>
      <c r="T24" s="67"/>
      <c r="U24" s="67"/>
      <c r="V24" s="67"/>
      <c r="W24" s="67"/>
      <c r="X24" s="67"/>
      <c r="Y24" s="67"/>
      <c r="Z24" s="67"/>
    </row>
    <row r="25">
      <c r="A25" s="67"/>
      <c r="B25" s="67"/>
      <c r="C25" s="67"/>
      <c r="D25" s="67"/>
      <c r="E25" s="67"/>
      <c r="F25" s="67"/>
      <c r="G25" s="67"/>
      <c r="H25" s="67"/>
      <c r="I25" s="67"/>
      <c r="J25" s="67"/>
      <c r="K25" s="67"/>
      <c r="L25" s="67"/>
      <c r="M25" s="67"/>
      <c r="N25" s="67"/>
      <c r="O25" s="67"/>
      <c r="P25" s="67"/>
      <c r="Q25" s="67"/>
      <c r="R25" s="67"/>
      <c r="S25" s="67"/>
      <c r="T25" s="67"/>
      <c r="U25" s="67"/>
      <c r="V25" s="67"/>
      <c r="W25" s="67"/>
      <c r="X25" s="67"/>
      <c r="Y25" s="67"/>
      <c r="Z25" s="67"/>
    </row>
    <row r="26">
      <c r="A26" s="67"/>
      <c r="B26" s="67"/>
      <c r="C26" s="67"/>
      <c r="D26" s="67"/>
      <c r="E26" s="67"/>
      <c r="F26" s="67"/>
      <c r="G26" s="67"/>
      <c r="H26" s="67"/>
      <c r="I26" s="67"/>
      <c r="J26" s="67"/>
      <c r="K26" s="67"/>
      <c r="L26" s="67"/>
      <c r="M26" s="67"/>
      <c r="N26" s="67"/>
      <c r="O26" s="67"/>
      <c r="P26" s="67"/>
      <c r="Q26" s="67"/>
      <c r="R26" s="67"/>
      <c r="S26" s="67"/>
      <c r="T26" s="67"/>
      <c r="U26" s="67"/>
      <c r="V26" s="67"/>
      <c r="W26" s="67"/>
      <c r="X26" s="67"/>
      <c r="Y26" s="67"/>
      <c r="Z26" s="67"/>
    </row>
    <row r="27">
      <c r="A27" s="67"/>
      <c r="B27" s="67"/>
      <c r="C27" s="67"/>
      <c r="D27" s="67"/>
      <c r="E27" s="67"/>
      <c r="F27" s="67"/>
      <c r="G27" s="67"/>
      <c r="H27" s="67"/>
      <c r="I27" s="67"/>
      <c r="J27" s="67"/>
      <c r="K27" s="67"/>
      <c r="L27" s="67"/>
      <c r="M27" s="67"/>
      <c r="N27" s="67"/>
      <c r="O27" s="67"/>
      <c r="P27" s="67"/>
      <c r="Q27" s="67"/>
      <c r="R27" s="67"/>
      <c r="S27" s="67"/>
      <c r="T27" s="67"/>
      <c r="U27" s="67"/>
      <c r="V27" s="67"/>
      <c r="W27" s="67"/>
      <c r="X27" s="67"/>
      <c r="Y27" s="67"/>
      <c r="Z27" s="67"/>
    </row>
    <row r="28">
      <c r="A28" s="67"/>
      <c r="B28" s="67"/>
      <c r="C28" s="67"/>
      <c r="D28" s="67"/>
      <c r="E28" s="67"/>
      <c r="F28" s="67"/>
      <c r="G28" s="67"/>
      <c r="H28" s="67"/>
      <c r="I28" s="67"/>
      <c r="J28" s="67"/>
      <c r="K28" s="67"/>
      <c r="L28" s="67"/>
      <c r="M28" s="67"/>
      <c r="N28" s="67"/>
      <c r="O28" s="67"/>
      <c r="P28" s="67"/>
      <c r="Q28" s="67"/>
      <c r="R28" s="67"/>
      <c r="S28" s="67"/>
      <c r="T28" s="67"/>
      <c r="U28" s="67"/>
      <c r="V28" s="67"/>
      <c r="W28" s="67"/>
      <c r="X28" s="67"/>
      <c r="Y28" s="67"/>
      <c r="Z28" s="67"/>
    </row>
    <row r="29">
      <c r="A29" s="67"/>
      <c r="B29" s="67"/>
      <c r="C29" s="67"/>
      <c r="D29" s="67"/>
      <c r="E29" s="67"/>
      <c r="F29" s="67"/>
      <c r="G29" s="67"/>
      <c r="H29" s="67"/>
      <c r="I29" s="67"/>
      <c r="J29" s="67"/>
      <c r="K29" s="67"/>
      <c r="L29" s="67"/>
      <c r="M29" s="67"/>
      <c r="N29" s="67"/>
      <c r="O29" s="67"/>
      <c r="P29" s="67"/>
      <c r="Q29" s="67"/>
      <c r="R29" s="67"/>
      <c r="S29" s="67"/>
      <c r="T29" s="67"/>
      <c r="U29" s="67"/>
      <c r="V29" s="67"/>
      <c r="W29" s="67"/>
      <c r="X29" s="67"/>
      <c r="Y29" s="67"/>
      <c r="Z29" s="67"/>
    </row>
    <row r="30">
      <c r="A30" s="67"/>
      <c r="B30" s="67"/>
      <c r="C30" s="67"/>
      <c r="D30" s="67"/>
      <c r="E30" s="67"/>
      <c r="F30" s="67"/>
      <c r="G30" s="67"/>
      <c r="H30" s="67"/>
      <c r="I30" s="67"/>
      <c r="J30" s="67"/>
      <c r="K30" s="67"/>
      <c r="L30" s="67"/>
      <c r="M30" s="67"/>
      <c r="N30" s="67"/>
      <c r="O30" s="67"/>
      <c r="P30" s="67"/>
      <c r="Q30" s="67"/>
      <c r="R30" s="67"/>
      <c r="S30" s="67"/>
      <c r="T30" s="67"/>
      <c r="U30" s="67"/>
      <c r="V30" s="67"/>
      <c r="W30" s="67"/>
      <c r="X30" s="67"/>
      <c r="Y30" s="67"/>
      <c r="Z30" s="67"/>
    </row>
    <row r="31">
      <c r="A31" s="67"/>
      <c r="B31" s="67"/>
      <c r="C31" s="67"/>
      <c r="D31" s="67"/>
      <c r="E31" s="67"/>
      <c r="F31" s="67"/>
      <c r="G31" s="67"/>
      <c r="H31" s="67"/>
      <c r="I31" s="67"/>
      <c r="J31" s="67"/>
      <c r="K31" s="67"/>
      <c r="L31" s="67"/>
      <c r="M31" s="67"/>
      <c r="N31" s="67"/>
      <c r="O31" s="67"/>
      <c r="P31" s="67"/>
      <c r="Q31" s="67"/>
      <c r="R31" s="67"/>
      <c r="S31" s="67"/>
      <c r="T31" s="67"/>
      <c r="U31" s="67"/>
      <c r="V31" s="67"/>
      <c r="W31" s="67"/>
      <c r="X31" s="67"/>
      <c r="Y31" s="67"/>
      <c r="Z31" s="67"/>
    </row>
    <row r="32">
      <c r="A32" s="67"/>
      <c r="B32" s="67"/>
      <c r="C32" s="67"/>
      <c r="D32" s="67"/>
      <c r="E32" s="67"/>
      <c r="F32" s="67"/>
      <c r="G32" s="67"/>
      <c r="H32" s="67"/>
      <c r="I32" s="67"/>
      <c r="J32" s="67"/>
      <c r="K32" s="67"/>
      <c r="L32" s="67"/>
      <c r="M32" s="67"/>
      <c r="N32" s="67"/>
      <c r="O32" s="67"/>
      <c r="P32" s="67"/>
      <c r="Q32" s="67"/>
      <c r="R32" s="67"/>
      <c r="S32" s="67"/>
      <c r="T32" s="67"/>
      <c r="U32" s="67"/>
      <c r="V32" s="67"/>
      <c r="W32" s="67"/>
      <c r="X32" s="67"/>
      <c r="Y32" s="67"/>
      <c r="Z32" s="67"/>
    </row>
    <row r="33">
      <c r="A33" s="67"/>
      <c r="B33" s="67"/>
      <c r="C33" s="67"/>
      <c r="D33" s="67"/>
      <c r="E33" s="67"/>
      <c r="F33" s="67"/>
      <c r="G33" s="67"/>
      <c r="H33" s="67"/>
      <c r="I33" s="67"/>
      <c r="J33" s="67"/>
      <c r="K33" s="67"/>
      <c r="L33" s="67"/>
      <c r="M33" s="67"/>
      <c r="N33" s="67"/>
      <c r="O33" s="67"/>
      <c r="P33" s="67"/>
      <c r="Q33" s="67"/>
      <c r="R33" s="67"/>
      <c r="S33" s="67"/>
      <c r="T33" s="67"/>
      <c r="U33" s="67"/>
      <c r="V33" s="67"/>
      <c r="W33" s="67"/>
      <c r="X33" s="67"/>
      <c r="Y33" s="67"/>
      <c r="Z33" s="67"/>
    </row>
    <row r="34">
      <c r="A34" s="67"/>
      <c r="B34" s="67"/>
      <c r="C34" s="67"/>
      <c r="D34" s="67"/>
      <c r="E34" s="67"/>
      <c r="F34" s="67"/>
      <c r="G34" s="67"/>
      <c r="H34" s="67"/>
      <c r="I34" s="67"/>
      <c r="J34" s="67"/>
      <c r="K34" s="67"/>
      <c r="L34" s="67"/>
      <c r="M34" s="67"/>
      <c r="N34" s="67"/>
      <c r="O34" s="67"/>
      <c r="P34" s="67"/>
      <c r="Q34" s="67"/>
      <c r="R34" s="67"/>
      <c r="S34" s="67"/>
      <c r="T34" s="67"/>
      <c r="U34" s="67"/>
      <c r="V34" s="67"/>
      <c r="W34" s="67"/>
      <c r="X34" s="67"/>
      <c r="Y34" s="67"/>
      <c r="Z34" s="67"/>
    </row>
    <row r="35">
      <c r="A35" s="67"/>
      <c r="B35" s="67"/>
      <c r="C35" s="67"/>
      <c r="D35" s="67"/>
      <c r="E35" s="67"/>
      <c r="F35" s="67"/>
      <c r="G35" s="67"/>
      <c r="H35" s="67"/>
      <c r="I35" s="67"/>
      <c r="J35" s="67"/>
      <c r="K35" s="67"/>
      <c r="L35" s="67"/>
      <c r="M35" s="67"/>
      <c r="N35" s="67"/>
      <c r="O35" s="67"/>
      <c r="P35" s="67"/>
      <c r="Q35" s="67"/>
      <c r="R35" s="67"/>
      <c r="S35" s="67"/>
      <c r="T35" s="67"/>
      <c r="U35" s="67"/>
      <c r="V35" s="67"/>
      <c r="W35" s="67"/>
      <c r="X35" s="67"/>
      <c r="Y35" s="67"/>
      <c r="Z35" s="67"/>
    </row>
    <row r="36">
      <c r="A36" s="67"/>
      <c r="B36" s="67"/>
      <c r="C36" s="67"/>
      <c r="D36" s="67"/>
      <c r="E36" s="67"/>
      <c r="F36" s="67"/>
      <c r="G36" s="67"/>
      <c r="H36" s="67"/>
      <c r="I36" s="67"/>
      <c r="J36" s="67"/>
      <c r="K36" s="67"/>
      <c r="L36" s="67"/>
      <c r="M36" s="67"/>
      <c r="N36" s="67"/>
      <c r="O36" s="67"/>
      <c r="P36" s="67"/>
      <c r="Q36" s="67"/>
      <c r="R36" s="67"/>
      <c r="S36" s="67"/>
      <c r="T36" s="67"/>
      <c r="U36" s="67"/>
      <c r="V36" s="67"/>
      <c r="W36" s="67"/>
      <c r="X36" s="67"/>
      <c r="Y36" s="67"/>
      <c r="Z36" s="67"/>
    </row>
    <row r="37">
      <c r="A37" s="67"/>
      <c r="B37" s="67"/>
      <c r="C37" s="67"/>
      <c r="D37" s="67"/>
      <c r="E37" s="67"/>
      <c r="F37" s="67"/>
      <c r="G37" s="67"/>
      <c r="H37" s="67"/>
      <c r="I37" s="67"/>
      <c r="J37" s="67"/>
      <c r="K37" s="67"/>
      <c r="L37" s="67"/>
      <c r="M37" s="67"/>
      <c r="N37" s="67"/>
      <c r="O37" s="67"/>
      <c r="P37" s="67"/>
      <c r="Q37" s="67"/>
      <c r="R37" s="67"/>
      <c r="S37" s="67"/>
      <c r="T37" s="67"/>
      <c r="U37" s="67"/>
      <c r="V37" s="67"/>
      <c r="W37" s="67"/>
      <c r="X37" s="67"/>
      <c r="Y37" s="67"/>
      <c r="Z37" s="67"/>
    </row>
    <row r="38">
      <c r="A38" s="67"/>
      <c r="B38" s="67"/>
      <c r="C38" s="67"/>
      <c r="D38" s="67"/>
      <c r="E38" s="67"/>
      <c r="F38" s="67"/>
      <c r="G38" s="67"/>
      <c r="H38" s="67"/>
      <c r="I38" s="67"/>
      <c r="J38" s="67"/>
      <c r="K38" s="67"/>
      <c r="L38" s="67"/>
      <c r="M38" s="67"/>
      <c r="N38" s="67"/>
      <c r="O38" s="67"/>
      <c r="P38" s="67"/>
      <c r="Q38" s="67"/>
      <c r="R38" s="67"/>
      <c r="S38" s="67"/>
      <c r="T38" s="67"/>
      <c r="U38" s="67"/>
      <c r="V38" s="67"/>
      <c r="W38" s="67"/>
      <c r="X38" s="67"/>
      <c r="Y38" s="67"/>
      <c r="Z38" s="67"/>
    </row>
    <row r="39">
      <c r="A39" s="67"/>
      <c r="B39" s="67"/>
      <c r="C39" s="67"/>
      <c r="D39" s="67"/>
      <c r="E39" s="67"/>
      <c r="F39" s="67"/>
      <c r="G39" s="67"/>
      <c r="H39" s="67"/>
      <c r="I39" s="67"/>
      <c r="J39" s="67"/>
      <c r="K39" s="67"/>
      <c r="L39" s="67"/>
      <c r="M39" s="67"/>
      <c r="N39" s="67"/>
      <c r="O39" s="67"/>
      <c r="P39" s="67"/>
      <c r="Q39" s="67"/>
      <c r="R39" s="67"/>
      <c r="S39" s="67"/>
      <c r="T39" s="67"/>
      <c r="U39" s="67"/>
      <c r="V39" s="67"/>
      <c r="W39" s="67"/>
      <c r="X39" s="67"/>
      <c r="Y39" s="67"/>
      <c r="Z39" s="67"/>
    </row>
    <row r="40">
      <c r="A40" s="67"/>
      <c r="B40" s="67"/>
      <c r="C40" s="67"/>
      <c r="D40" s="67"/>
      <c r="E40" s="67"/>
      <c r="F40" s="67"/>
      <c r="G40" s="67"/>
      <c r="H40" s="67"/>
      <c r="I40" s="67"/>
      <c r="J40" s="67"/>
      <c r="K40" s="67"/>
      <c r="L40" s="67"/>
      <c r="M40" s="67"/>
      <c r="N40" s="67"/>
      <c r="O40" s="67"/>
      <c r="P40" s="67"/>
      <c r="Q40" s="67"/>
      <c r="R40" s="67"/>
      <c r="S40" s="67"/>
      <c r="T40" s="67"/>
      <c r="U40" s="67"/>
      <c r="V40" s="67"/>
      <c r="W40" s="67"/>
      <c r="X40" s="67"/>
      <c r="Y40" s="67"/>
      <c r="Z40" s="67"/>
    </row>
    <row r="41">
      <c r="A41" s="67"/>
      <c r="B41" s="67"/>
      <c r="C41" s="67"/>
      <c r="D41" s="67"/>
      <c r="E41" s="67"/>
      <c r="F41" s="67"/>
      <c r="G41" s="67"/>
      <c r="H41" s="67"/>
      <c r="I41" s="67"/>
      <c r="J41" s="67"/>
      <c r="K41" s="67"/>
      <c r="L41" s="67"/>
      <c r="M41" s="67"/>
      <c r="N41" s="67"/>
      <c r="O41" s="67"/>
      <c r="P41" s="67"/>
      <c r="Q41" s="67"/>
      <c r="R41" s="67"/>
      <c r="S41" s="67"/>
      <c r="T41" s="67"/>
      <c r="U41" s="67"/>
      <c r="V41" s="67"/>
      <c r="W41" s="67"/>
      <c r="X41" s="67"/>
      <c r="Y41" s="67"/>
      <c r="Z41" s="67"/>
    </row>
    <row r="42">
      <c r="A42" s="67"/>
      <c r="B42" s="67"/>
      <c r="C42" s="67"/>
      <c r="D42" s="67"/>
      <c r="E42" s="67"/>
      <c r="F42" s="67"/>
      <c r="G42" s="67"/>
      <c r="H42" s="67"/>
      <c r="I42" s="67"/>
      <c r="J42" s="67"/>
      <c r="K42" s="67"/>
      <c r="L42" s="67"/>
      <c r="M42" s="67"/>
      <c r="N42" s="67"/>
      <c r="O42" s="67"/>
      <c r="P42" s="67"/>
      <c r="Q42" s="67"/>
      <c r="R42" s="67"/>
      <c r="S42" s="67"/>
      <c r="T42" s="67"/>
      <c r="U42" s="67"/>
      <c r="V42" s="67"/>
      <c r="W42" s="67"/>
      <c r="X42" s="67"/>
      <c r="Y42" s="67"/>
      <c r="Z42" s="67"/>
    </row>
    <row r="43">
      <c r="A43" s="67"/>
      <c r="B43" s="67"/>
      <c r="C43" s="67"/>
      <c r="D43" s="67"/>
      <c r="E43" s="67"/>
      <c r="F43" s="67"/>
      <c r="G43" s="67"/>
      <c r="H43" s="67"/>
      <c r="I43" s="67"/>
      <c r="J43" s="67"/>
      <c r="K43" s="67"/>
      <c r="L43" s="67"/>
      <c r="M43" s="67"/>
      <c r="N43" s="67"/>
      <c r="O43" s="67"/>
      <c r="P43" s="67"/>
      <c r="Q43" s="67"/>
      <c r="R43" s="67"/>
      <c r="S43" s="67"/>
      <c r="T43" s="67"/>
      <c r="U43" s="67"/>
      <c r="V43" s="67"/>
      <c r="W43" s="67"/>
      <c r="X43" s="67"/>
      <c r="Y43" s="67"/>
      <c r="Z43" s="67"/>
    </row>
    <row r="44">
      <c r="A44" s="67"/>
      <c r="B44" s="67"/>
      <c r="C44" s="67"/>
      <c r="D44" s="67"/>
      <c r="E44" s="67"/>
      <c r="F44" s="67"/>
      <c r="G44" s="67"/>
      <c r="H44" s="67"/>
      <c r="I44" s="67"/>
      <c r="J44" s="67"/>
      <c r="K44" s="67"/>
      <c r="L44" s="67"/>
      <c r="M44" s="67"/>
      <c r="N44" s="67"/>
      <c r="O44" s="67"/>
      <c r="P44" s="67"/>
      <c r="Q44" s="67"/>
      <c r="R44" s="67"/>
      <c r="S44" s="67"/>
      <c r="T44" s="67"/>
      <c r="U44" s="67"/>
      <c r="V44" s="67"/>
      <c r="W44" s="67"/>
      <c r="X44" s="67"/>
      <c r="Y44" s="67"/>
      <c r="Z44" s="67"/>
    </row>
    <row r="45">
      <c r="A45" s="67"/>
      <c r="B45" s="67"/>
      <c r="C45" s="67"/>
      <c r="D45" s="67"/>
      <c r="E45" s="67"/>
      <c r="F45" s="67"/>
      <c r="G45" s="67"/>
      <c r="H45" s="67"/>
      <c r="I45" s="67"/>
      <c r="J45" s="67"/>
      <c r="K45" s="67"/>
      <c r="L45" s="67"/>
      <c r="M45" s="67"/>
      <c r="N45" s="67"/>
      <c r="O45" s="67"/>
      <c r="P45" s="67"/>
      <c r="Q45" s="67"/>
      <c r="R45" s="67"/>
      <c r="S45" s="67"/>
      <c r="T45" s="67"/>
      <c r="U45" s="67"/>
      <c r="V45" s="67"/>
      <c r="W45" s="67"/>
      <c r="X45" s="67"/>
      <c r="Y45" s="67"/>
      <c r="Z45" s="67"/>
    </row>
    <row r="46">
      <c r="A46" s="67"/>
      <c r="B46" s="67"/>
      <c r="C46" s="67"/>
      <c r="D46" s="67"/>
      <c r="E46" s="67"/>
      <c r="F46" s="67"/>
      <c r="G46" s="67"/>
      <c r="H46" s="67"/>
      <c r="I46" s="67"/>
      <c r="J46" s="67"/>
      <c r="K46" s="67"/>
      <c r="L46" s="67"/>
      <c r="M46" s="67"/>
      <c r="N46" s="67"/>
      <c r="O46" s="67"/>
      <c r="P46" s="67"/>
      <c r="Q46" s="67"/>
      <c r="R46" s="67"/>
      <c r="S46" s="67"/>
      <c r="T46" s="67"/>
      <c r="U46" s="67"/>
      <c r="V46" s="67"/>
      <c r="W46" s="67"/>
      <c r="X46" s="67"/>
      <c r="Y46" s="67"/>
      <c r="Z46" s="67"/>
    </row>
    <row r="47">
      <c r="A47" s="67"/>
      <c r="B47" s="67"/>
      <c r="C47" s="67"/>
      <c r="D47" s="67"/>
      <c r="E47" s="67"/>
      <c r="F47" s="67"/>
      <c r="G47" s="67"/>
      <c r="H47" s="67"/>
      <c r="I47" s="67"/>
      <c r="J47" s="67"/>
      <c r="K47" s="67"/>
      <c r="L47" s="67"/>
      <c r="M47" s="67"/>
      <c r="N47" s="67"/>
      <c r="O47" s="67"/>
      <c r="P47" s="67"/>
      <c r="Q47" s="67"/>
      <c r="R47" s="67"/>
      <c r="S47" s="67"/>
      <c r="T47" s="67"/>
      <c r="U47" s="67"/>
      <c r="V47" s="67"/>
      <c r="W47" s="67"/>
      <c r="X47" s="67"/>
      <c r="Y47" s="67"/>
      <c r="Z47" s="67"/>
    </row>
    <row r="48">
      <c r="A48" s="67"/>
      <c r="B48" s="67"/>
      <c r="C48" s="67"/>
      <c r="D48" s="67"/>
      <c r="E48" s="67"/>
      <c r="F48" s="67"/>
      <c r="G48" s="67"/>
      <c r="H48" s="67"/>
      <c r="I48" s="67"/>
      <c r="J48" s="67"/>
      <c r="K48" s="67"/>
      <c r="L48" s="67"/>
      <c r="M48" s="67"/>
      <c r="N48" s="67"/>
      <c r="O48" s="67"/>
      <c r="P48" s="67"/>
      <c r="Q48" s="67"/>
      <c r="R48" s="67"/>
      <c r="S48" s="67"/>
      <c r="T48" s="67"/>
      <c r="U48" s="67"/>
      <c r="V48" s="67"/>
      <c r="W48" s="67"/>
      <c r="X48" s="67"/>
      <c r="Y48" s="67"/>
      <c r="Z48" s="67"/>
    </row>
    <row r="49">
      <c r="A49" s="67"/>
      <c r="B49" s="67"/>
      <c r="C49" s="67"/>
      <c r="D49" s="67"/>
      <c r="E49" s="67"/>
      <c r="F49" s="67"/>
      <c r="G49" s="67"/>
      <c r="H49" s="67"/>
      <c r="I49" s="67"/>
      <c r="J49" s="67"/>
      <c r="K49" s="67"/>
      <c r="L49" s="67"/>
      <c r="M49" s="67"/>
      <c r="N49" s="67"/>
      <c r="O49" s="67"/>
      <c r="P49" s="67"/>
      <c r="Q49" s="67"/>
      <c r="R49" s="67"/>
      <c r="S49" s="67"/>
      <c r="T49" s="67"/>
      <c r="U49" s="67"/>
      <c r="V49" s="67"/>
      <c r="W49" s="67"/>
      <c r="X49" s="67"/>
      <c r="Y49" s="67"/>
      <c r="Z49" s="67"/>
    </row>
    <row r="50">
      <c r="A50" s="67"/>
      <c r="B50" s="67"/>
      <c r="C50" s="67"/>
      <c r="D50" s="67"/>
      <c r="E50" s="67"/>
      <c r="F50" s="67"/>
      <c r="G50" s="67"/>
      <c r="H50" s="67"/>
      <c r="I50" s="67"/>
      <c r="J50" s="67"/>
      <c r="K50" s="67"/>
      <c r="L50" s="67"/>
      <c r="M50" s="67"/>
      <c r="N50" s="67"/>
      <c r="O50" s="67"/>
      <c r="P50" s="67"/>
      <c r="Q50" s="67"/>
      <c r="R50" s="67"/>
      <c r="S50" s="67"/>
      <c r="T50" s="67"/>
      <c r="U50" s="67"/>
      <c r="V50" s="67"/>
      <c r="W50" s="67"/>
      <c r="X50" s="67"/>
      <c r="Y50" s="67"/>
      <c r="Z50" s="67"/>
    </row>
    <row r="51">
      <c r="A51" s="67"/>
      <c r="B51" s="67"/>
      <c r="C51" s="67"/>
      <c r="D51" s="67"/>
      <c r="E51" s="67"/>
      <c r="F51" s="67"/>
      <c r="G51" s="67"/>
      <c r="H51" s="67"/>
      <c r="I51" s="67"/>
      <c r="J51" s="67"/>
      <c r="K51" s="67"/>
      <c r="L51" s="67"/>
      <c r="M51" s="67"/>
      <c r="N51" s="67"/>
      <c r="O51" s="67"/>
      <c r="P51" s="67"/>
      <c r="Q51" s="67"/>
      <c r="R51" s="67"/>
      <c r="S51" s="67"/>
      <c r="T51" s="67"/>
      <c r="U51" s="67"/>
      <c r="V51" s="67"/>
      <c r="W51" s="67"/>
      <c r="X51" s="67"/>
      <c r="Y51" s="67"/>
      <c r="Z51" s="67"/>
    </row>
    <row r="52">
      <c r="A52" s="67"/>
      <c r="B52" s="67"/>
      <c r="C52" s="67"/>
      <c r="D52" s="67"/>
      <c r="E52" s="67"/>
      <c r="F52" s="67"/>
      <c r="G52" s="67"/>
      <c r="H52" s="67"/>
      <c r="I52" s="67"/>
      <c r="J52" s="67"/>
      <c r="K52" s="67"/>
      <c r="L52" s="67"/>
      <c r="M52" s="67"/>
      <c r="N52" s="67"/>
      <c r="O52" s="67"/>
      <c r="P52" s="67"/>
      <c r="Q52" s="67"/>
      <c r="R52" s="67"/>
      <c r="S52" s="67"/>
      <c r="T52" s="67"/>
      <c r="U52" s="67"/>
      <c r="V52" s="67"/>
      <c r="W52" s="67"/>
      <c r="X52" s="67"/>
      <c r="Y52" s="67"/>
      <c r="Z52" s="67"/>
    </row>
    <row r="53">
      <c r="A53" s="67"/>
      <c r="B53" s="67"/>
      <c r="C53" s="67"/>
      <c r="D53" s="67"/>
      <c r="E53" s="67"/>
      <c r="F53" s="67"/>
      <c r="G53" s="67"/>
      <c r="H53" s="67"/>
      <c r="I53" s="67"/>
      <c r="J53" s="67"/>
      <c r="K53" s="67"/>
      <c r="L53" s="67"/>
      <c r="M53" s="67"/>
      <c r="N53" s="67"/>
      <c r="O53" s="67"/>
      <c r="P53" s="67"/>
      <c r="Q53" s="67"/>
      <c r="R53" s="67"/>
      <c r="S53" s="67"/>
      <c r="T53" s="67"/>
      <c r="U53" s="67"/>
      <c r="V53" s="67"/>
      <c r="W53" s="67"/>
      <c r="X53" s="67"/>
      <c r="Y53" s="67"/>
      <c r="Z53" s="67"/>
    </row>
    <row r="54">
      <c r="A54" s="67"/>
      <c r="B54" s="67"/>
      <c r="C54" s="67"/>
      <c r="D54" s="67"/>
      <c r="E54" s="67"/>
      <c r="F54" s="67"/>
      <c r="G54" s="67"/>
      <c r="H54" s="67"/>
      <c r="I54" s="67"/>
      <c r="J54" s="67"/>
      <c r="K54" s="67"/>
      <c r="L54" s="67"/>
      <c r="M54" s="67"/>
      <c r="N54" s="67"/>
      <c r="O54" s="67"/>
      <c r="P54" s="67"/>
      <c r="Q54" s="67"/>
      <c r="R54" s="67"/>
      <c r="S54" s="67"/>
      <c r="T54" s="67"/>
      <c r="U54" s="67"/>
      <c r="V54" s="67"/>
      <c r="W54" s="67"/>
      <c r="X54" s="67"/>
      <c r="Y54" s="67"/>
      <c r="Z54" s="67"/>
    </row>
    <row r="55">
      <c r="A55" s="67"/>
      <c r="B55" s="67"/>
      <c r="C55" s="67"/>
      <c r="D55" s="67"/>
      <c r="E55" s="67"/>
      <c r="F55" s="67"/>
      <c r="G55" s="67"/>
      <c r="H55" s="67"/>
      <c r="I55" s="67"/>
      <c r="J55" s="67"/>
      <c r="K55" s="67"/>
      <c r="L55" s="67"/>
      <c r="M55" s="67"/>
      <c r="N55" s="67"/>
      <c r="O55" s="67"/>
      <c r="P55" s="67"/>
      <c r="Q55" s="67"/>
      <c r="R55" s="67"/>
      <c r="S55" s="67"/>
      <c r="T55" s="67"/>
      <c r="U55" s="67"/>
      <c r="V55" s="67"/>
      <c r="W55" s="67"/>
      <c r="X55" s="67"/>
      <c r="Y55" s="67"/>
      <c r="Z55" s="67"/>
    </row>
    <row r="56">
      <c r="A56" s="67"/>
      <c r="B56" s="67"/>
      <c r="C56" s="67"/>
      <c r="D56" s="67"/>
      <c r="E56" s="67"/>
      <c r="F56" s="67"/>
      <c r="G56" s="67"/>
      <c r="H56" s="67"/>
      <c r="I56" s="67"/>
      <c r="J56" s="67"/>
      <c r="K56" s="67"/>
      <c r="L56" s="67"/>
      <c r="M56" s="67"/>
      <c r="N56" s="67"/>
      <c r="O56" s="67"/>
      <c r="P56" s="67"/>
      <c r="Q56" s="67"/>
      <c r="R56" s="67"/>
      <c r="S56" s="67"/>
      <c r="T56" s="67"/>
      <c r="U56" s="67"/>
      <c r="V56" s="67"/>
      <c r="W56" s="67"/>
      <c r="X56" s="67"/>
      <c r="Y56" s="67"/>
      <c r="Z56" s="67"/>
    </row>
    <row r="57">
      <c r="A57" s="67"/>
      <c r="B57" s="67"/>
      <c r="C57" s="67"/>
      <c r="D57" s="67"/>
      <c r="E57" s="67"/>
      <c r="F57" s="67"/>
      <c r="G57" s="67"/>
      <c r="H57" s="67"/>
      <c r="I57" s="67"/>
      <c r="J57" s="67"/>
      <c r="K57" s="67"/>
      <c r="L57" s="67"/>
      <c r="M57" s="67"/>
      <c r="N57" s="67"/>
      <c r="O57" s="67"/>
      <c r="P57" s="67"/>
      <c r="Q57" s="67"/>
      <c r="R57" s="67"/>
      <c r="S57" s="67"/>
      <c r="T57" s="67"/>
      <c r="U57" s="67"/>
      <c r="V57" s="67"/>
      <c r="W57" s="67"/>
      <c r="X57" s="67"/>
      <c r="Y57" s="67"/>
      <c r="Z57" s="67"/>
    </row>
    <row r="58">
      <c r="A58" s="67"/>
      <c r="B58" s="67"/>
      <c r="C58" s="67"/>
      <c r="D58" s="67"/>
      <c r="E58" s="67"/>
      <c r="F58" s="67"/>
      <c r="G58" s="67"/>
      <c r="H58" s="67"/>
      <c r="I58" s="67"/>
      <c r="J58" s="67"/>
      <c r="K58" s="67"/>
      <c r="L58" s="67"/>
      <c r="M58" s="67"/>
      <c r="N58" s="67"/>
      <c r="O58" s="67"/>
      <c r="P58" s="67"/>
      <c r="Q58" s="67"/>
      <c r="R58" s="67"/>
      <c r="S58" s="67"/>
      <c r="T58" s="67"/>
      <c r="U58" s="67"/>
      <c r="V58" s="67"/>
      <c r="W58" s="67"/>
      <c r="X58" s="67"/>
      <c r="Y58" s="67"/>
      <c r="Z58" s="67"/>
    </row>
    <row r="59">
      <c r="A59" s="67"/>
      <c r="B59" s="67"/>
      <c r="C59" s="67"/>
      <c r="D59" s="67"/>
      <c r="E59" s="67"/>
      <c r="F59" s="67"/>
      <c r="G59" s="67"/>
      <c r="H59" s="67"/>
      <c r="I59" s="67"/>
      <c r="J59" s="67"/>
      <c r="K59" s="67"/>
      <c r="L59" s="67"/>
      <c r="M59" s="67"/>
      <c r="N59" s="67"/>
      <c r="O59" s="67"/>
      <c r="P59" s="67"/>
      <c r="Q59" s="67"/>
      <c r="R59" s="67"/>
      <c r="S59" s="67"/>
      <c r="T59" s="67"/>
      <c r="U59" s="67"/>
      <c r="V59" s="67"/>
      <c r="W59" s="67"/>
      <c r="X59" s="67"/>
      <c r="Y59" s="67"/>
      <c r="Z59" s="67"/>
    </row>
    <row r="60">
      <c r="A60" s="67"/>
      <c r="B60" s="67"/>
      <c r="C60" s="67"/>
      <c r="D60" s="67"/>
      <c r="E60" s="67"/>
      <c r="F60" s="67"/>
      <c r="G60" s="67"/>
      <c r="H60" s="67"/>
      <c r="I60" s="67"/>
      <c r="J60" s="67"/>
      <c r="K60" s="67"/>
      <c r="L60" s="67"/>
      <c r="M60" s="67"/>
      <c r="N60" s="67"/>
      <c r="O60" s="67"/>
      <c r="P60" s="67"/>
      <c r="Q60" s="67"/>
      <c r="R60" s="67"/>
      <c r="S60" s="67"/>
      <c r="T60" s="67"/>
      <c r="U60" s="67"/>
      <c r="V60" s="67"/>
      <c r="W60" s="67"/>
      <c r="X60" s="67"/>
      <c r="Y60" s="67"/>
      <c r="Z60" s="67"/>
    </row>
    <row r="61">
      <c r="A61" s="67"/>
      <c r="B61" s="67"/>
      <c r="C61" s="67"/>
      <c r="D61" s="67"/>
      <c r="E61" s="67"/>
      <c r="F61" s="67"/>
      <c r="G61" s="67"/>
      <c r="H61" s="67"/>
      <c r="I61" s="67"/>
      <c r="J61" s="67"/>
      <c r="K61" s="67"/>
      <c r="L61" s="67"/>
      <c r="M61" s="67"/>
      <c r="N61" s="67"/>
      <c r="O61" s="67"/>
      <c r="P61" s="67"/>
      <c r="Q61" s="67"/>
      <c r="R61" s="67"/>
      <c r="S61" s="67"/>
      <c r="T61" s="67"/>
      <c r="U61" s="67"/>
      <c r="V61" s="67"/>
      <c r="W61" s="67"/>
      <c r="X61" s="67"/>
      <c r="Y61" s="67"/>
      <c r="Z61" s="67"/>
    </row>
    <row r="62">
      <c r="A62" s="67"/>
      <c r="B62" s="67"/>
      <c r="C62" s="67"/>
      <c r="D62" s="67"/>
      <c r="E62" s="67"/>
      <c r="F62" s="67"/>
      <c r="G62" s="67"/>
      <c r="H62" s="67"/>
      <c r="I62" s="67"/>
      <c r="J62" s="67"/>
      <c r="K62" s="67"/>
      <c r="L62" s="67"/>
      <c r="M62" s="67"/>
      <c r="N62" s="67"/>
      <c r="O62" s="67"/>
      <c r="P62" s="67"/>
      <c r="Q62" s="67"/>
      <c r="R62" s="67"/>
      <c r="S62" s="67"/>
      <c r="T62" s="67"/>
      <c r="U62" s="67"/>
      <c r="V62" s="67"/>
      <c r="W62" s="67"/>
      <c r="X62" s="67"/>
      <c r="Y62" s="67"/>
      <c r="Z62" s="67"/>
    </row>
    <row r="63">
      <c r="A63" s="67"/>
      <c r="B63" s="67"/>
      <c r="C63" s="67"/>
      <c r="D63" s="67"/>
      <c r="E63" s="67"/>
      <c r="F63" s="67"/>
      <c r="G63" s="67"/>
      <c r="H63" s="67"/>
      <c r="I63" s="67"/>
      <c r="J63" s="67"/>
      <c r="K63" s="67"/>
      <c r="L63" s="67"/>
      <c r="M63" s="67"/>
      <c r="N63" s="67"/>
      <c r="O63" s="67"/>
      <c r="P63" s="67"/>
      <c r="Q63" s="67"/>
      <c r="R63" s="67"/>
      <c r="S63" s="67"/>
      <c r="T63" s="67"/>
      <c r="U63" s="67"/>
      <c r="V63" s="67"/>
      <c r="W63" s="67"/>
      <c r="X63" s="67"/>
      <c r="Y63" s="67"/>
      <c r="Z63" s="67"/>
    </row>
    <row r="64">
      <c r="A64" s="67"/>
      <c r="B64" s="67"/>
      <c r="C64" s="67"/>
      <c r="D64" s="67"/>
      <c r="E64" s="67"/>
      <c r="F64" s="67"/>
      <c r="G64" s="67"/>
      <c r="H64" s="67"/>
      <c r="I64" s="67"/>
      <c r="J64" s="67"/>
      <c r="K64" s="67"/>
      <c r="L64" s="67"/>
      <c r="M64" s="67"/>
      <c r="N64" s="67"/>
      <c r="O64" s="67"/>
      <c r="P64" s="67"/>
      <c r="Q64" s="67"/>
      <c r="R64" s="67"/>
      <c r="S64" s="67"/>
      <c r="T64" s="67"/>
      <c r="U64" s="67"/>
      <c r="V64" s="67"/>
      <c r="W64" s="67"/>
      <c r="X64" s="67"/>
      <c r="Y64" s="67"/>
      <c r="Z64" s="67"/>
    </row>
    <row r="65">
      <c r="A65" s="67"/>
      <c r="B65" s="67"/>
      <c r="C65" s="67"/>
      <c r="D65" s="67"/>
      <c r="E65" s="67"/>
      <c r="F65" s="67"/>
      <c r="G65" s="67"/>
      <c r="H65" s="67"/>
      <c r="I65" s="67"/>
      <c r="J65" s="67"/>
      <c r="K65" s="67"/>
      <c r="L65" s="67"/>
      <c r="M65" s="67"/>
      <c r="N65" s="67"/>
      <c r="O65" s="67"/>
      <c r="P65" s="67"/>
      <c r="Q65" s="67"/>
      <c r="R65" s="67"/>
      <c r="S65" s="67"/>
      <c r="T65" s="67"/>
      <c r="U65" s="67"/>
      <c r="V65" s="67"/>
      <c r="W65" s="67"/>
      <c r="X65" s="67"/>
      <c r="Y65" s="67"/>
      <c r="Z65" s="67"/>
    </row>
    <row r="66">
      <c r="A66" s="67"/>
      <c r="B66" s="67"/>
      <c r="C66" s="67"/>
      <c r="D66" s="67"/>
      <c r="E66" s="67"/>
      <c r="F66" s="67"/>
      <c r="G66" s="67"/>
      <c r="H66" s="67"/>
      <c r="I66" s="67"/>
      <c r="J66" s="67"/>
      <c r="K66" s="67"/>
      <c r="L66" s="67"/>
      <c r="M66" s="67"/>
      <c r="N66" s="67"/>
      <c r="O66" s="67"/>
      <c r="P66" s="67"/>
      <c r="Q66" s="67"/>
      <c r="R66" s="67"/>
      <c r="S66" s="67"/>
      <c r="T66" s="67"/>
      <c r="U66" s="67"/>
      <c r="V66" s="67"/>
      <c r="W66" s="67"/>
      <c r="X66" s="67"/>
      <c r="Y66" s="67"/>
      <c r="Z66" s="67"/>
    </row>
    <row r="67">
      <c r="A67" s="67"/>
      <c r="B67" s="67"/>
      <c r="C67" s="67"/>
      <c r="D67" s="67"/>
      <c r="E67" s="67"/>
      <c r="F67" s="67"/>
      <c r="G67" s="67"/>
      <c r="H67" s="67"/>
      <c r="I67" s="67"/>
      <c r="J67" s="67"/>
      <c r="K67" s="67"/>
      <c r="L67" s="67"/>
      <c r="M67" s="67"/>
      <c r="N67" s="67"/>
      <c r="O67" s="67"/>
      <c r="P67" s="67"/>
      <c r="Q67" s="67"/>
      <c r="R67" s="67"/>
      <c r="S67" s="67"/>
      <c r="T67" s="67"/>
      <c r="U67" s="67"/>
      <c r="V67" s="67"/>
      <c r="W67" s="67"/>
      <c r="X67" s="67"/>
      <c r="Y67" s="67"/>
      <c r="Z67" s="67"/>
    </row>
    <row r="68">
      <c r="A68" s="67"/>
      <c r="B68" s="67"/>
      <c r="C68" s="67"/>
      <c r="D68" s="67"/>
      <c r="E68" s="67"/>
      <c r="F68" s="67"/>
      <c r="G68" s="67"/>
      <c r="H68" s="67"/>
      <c r="I68" s="67"/>
      <c r="J68" s="67"/>
      <c r="K68" s="67"/>
      <c r="L68" s="67"/>
      <c r="M68" s="67"/>
      <c r="N68" s="67"/>
      <c r="O68" s="67"/>
      <c r="P68" s="67"/>
      <c r="Q68" s="67"/>
      <c r="R68" s="67"/>
      <c r="S68" s="67"/>
      <c r="T68" s="67"/>
      <c r="U68" s="67"/>
      <c r="V68" s="67"/>
      <c r="W68" s="67"/>
      <c r="X68" s="67"/>
      <c r="Y68" s="67"/>
      <c r="Z68" s="67"/>
    </row>
    <row r="69">
      <c r="A69" s="67"/>
      <c r="B69" s="67"/>
      <c r="C69" s="67"/>
      <c r="D69" s="67"/>
      <c r="E69" s="67"/>
      <c r="F69" s="67"/>
      <c r="G69" s="67"/>
      <c r="H69" s="67"/>
      <c r="I69" s="67"/>
      <c r="J69" s="67"/>
      <c r="K69" s="67"/>
      <c r="L69" s="67"/>
      <c r="M69" s="67"/>
      <c r="N69" s="67"/>
      <c r="O69" s="67"/>
      <c r="P69" s="67"/>
      <c r="Q69" s="67"/>
      <c r="R69" s="67"/>
      <c r="S69" s="67"/>
      <c r="T69" s="67"/>
      <c r="U69" s="67"/>
      <c r="V69" s="67"/>
      <c r="W69" s="67"/>
      <c r="X69" s="67"/>
      <c r="Y69" s="67"/>
      <c r="Z69" s="67"/>
    </row>
    <row r="70">
      <c r="A70" s="67"/>
      <c r="B70" s="67"/>
      <c r="C70" s="67"/>
      <c r="D70" s="67"/>
      <c r="E70" s="67"/>
      <c r="F70" s="67"/>
      <c r="G70" s="67"/>
      <c r="H70" s="67"/>
      <c r="I70" s="67"/>
      <c r="J70" s="67"/>
      <c r="K70" s="67"/>
      <c r="L70" s="67"/>
      <c r="M70" s="67"/>
      <c r="N70" s="67"/>
      <c r="O70" s="67"/>
      <c r="P70" s="67"/>
      <c r="Q70" s="67"/>
      <c r="R70" s="67"/>
      <c r="S70" s="67"/>
      <c r="T70" s="67"/>
      <c r="U70" s="67"/>
      <c r="V70" s="67"/>
      <c r="W70" s="67"/>
      <c r="X70" s="67"/>
      <c r="Y70" s="67"/>
      <c r="Z70" s="67"/>
    </row>
    <row r="71">
      <c r="A71" s="67"/>
      <c r="B71" s="67"/>
      <c r="C71" s="67"/>
      <c r="D71" s="67"/>
      <c r="E71" s="67"/>
      <c r="F71" s="67"/>
      <c r="G71" s="67"/>
      <c r="H71" s="67"/>
      <c r="I71" s="67"/>
      <c r="J71" s="67"/>
      <c r="K71" s="67"/>
      <c r="L71" s="67"/>
      <c r="M71" s="67"/>
      <c r="N71" s="67"/>
      <c r="O71" s="67"/>
      <c r="P71" s="67"/>
      <c r="Q71" s="67"/>
      <c r="R71" s="67"/>
      <c r="S71" s="67"/>
      <c r="T71" s="67"/>
      <c r="U71" s="67"/>
      <c r="V71" s="67"/>
      <c r="W71" s="67"/>
      <c r="X71" s="67"/>
      <c r="Y71" s="67"/>
      <c r="Z71" s="67"/>
    </row>
    <row r="72">
      <c r="A72" s="67"/>
      <c r="B72" s="67"/>
      <c r="C72" s="67"/>
      <c r="D72" s="67"/>
      <c r="E72" s="67"/>
      <c r="F72" s="67"/>
      <c r="G72" s="67"/>
      <c r="H72" s="67"/>
      <c r="I72" s="67"/>
      <c r="J72" s="67"/>
      <c r="K72" s="67"/>
      <c r="L72" s="67"/>
      <c r="M72" s="67"/>
      <c r="N72" s="67"/>
      <c r="O72" s="67"/>
      <c r="P72" s="67"/>
      <c r="Q72" s="67"/>
      <c r="R72" s="67"/>
      <c r="S72" s="67"/>
      <c r="T72" s="67"/>
      <c r="U72" s="67"/>
      <c r="V72" s="67"/>
      <c r="W72" s="67"/>
      <c r="X72" s="67"/>
      <c r="Y72" s="67"/>
      <c r="Z72" s="67"/>
    </row>
    <row r="73">
      <c r="A73" s="67"/>
      <c r="B73" s="67"/>
      <c r="C73" s="67"/>
      <c r="D73" s="67"/>
      <c r="E73" s="67"/>
      <c r="F73" s="67"/>
      <c r="G73" s="67"/>
      <c r="H73" s="67"/>
      <c r="I73" s="67"/>
      <c r="J73" s="67"/>
      <c r="K73" s="67"/>
      <c r="L73" s="67"/>
      <c r="M73" s="67"/>
      <c r="N73" s="67"/>
      <c r="O73" s="67"/>
      <c r="P73" s="67"/>
      <c r="Q73" s="67"/>
      <c r="R73" s="67"/>
      <c r="S73" s="67"/>
      <c r="T73" s="67"/>
      <c r="U73" s="67"/>
      <c r="V73" s="67"/>
      <c r="W73" s="67"/>
      <c r="X73" s="67"/>
      <c r="Y73" s="67"/>
      <c r="Z73" s="67"/>
    </row>
    <row r="74">
      <c r="A74" s="67"/>
      <c r="B74" s="67"/>
      <c r="C74" s="67"/>
      <c r="D74" s="67"/>
      <c r="E74" s="67"/>
      <c r="F74" s="67"/>
      <c r="G74" s="67"/>
      <c r="H74" s="67"/>
      <c r="I74" s="67"/>
      <c r="J74" s="67"/>
      <c r="K74" s="67"/>
      <c r="L74" s="67"/>
      <c r="M74" s="67"/>
      <c r="N74" s="67"/>
      <c r="O74" s="67"/>
      <c r="P74" s="67"/>
      <c r="Q74" s="67"/>
      <c r="R74" s="67"/>
      <c r="S74" s="67"/>
      <c r="T74" s="67"/>
      <c r="U74" s="67"/>
      <c r="V74" s="67"/>
      <c r="W74" s="67"/>
      <c r="X74" s="67"/>
      <c r="Y74" s="67"/>
      <c r="Z74" s="67"/>
    </row>
    <row r="75">
      <c r="A75" s="67"/>
      <c r="B75" s="67"/>
      <c r="C75" s="67"/>
      <c r="D75" s="67"/>
      <c r="E75" s="67"/>
      <c r="F75" s="67"/>
      <c r="G75" s="67"/>
      <c r="H75" s="67"/>
      <c r="I75" s="67"/>
      <c r="J75" s="67"/>
      <c r="K75" s="67"/>
      <c r="L75" s="67"/>
      <c r="M75" s="67"/>
      <c r="N75" s="67"/>
      <c r="O75" s="67"/>
      <c r="P75" s="67"/>
      <c r="Q75" s="67"/>
      <c r="R75" s="67"/>
      <c r="S75" s="67"/>
      <c r="T75" s="67"/>
      <c r="U75" s="67"/>
      <c r="V75" s="67"/>
      <c r="W75" s="67"/>
      <c r="X75" s="67"/>
      <c r="Y75" s="67"/>
      <c r="Z75" s="67"/>
    </row>
    <row r="76">
      <c r="A76" s="67"/>
      <c r="B76" s="67"/>
      <c r="C76" s="67"/>
      <c r="D76" s="67"/>
      <c r="E76" s="67"/>
      <c r="F76" s="67"/>
      <c r="G76" s="67"/>
      <c r="H76" s="67"/>
      <c r="I76" s="67"/>
      <c r="J76" s="67"/>
      <c r="K76" s="67"/>
      <c r="L76" s="67"/>
      <c r="M76" s="67"/>
      <c r="N76" s="67"/>
      <c r="O76" s="67"/>
      <c r="P76" s="67"/>
      <c r="Q76" s="67"/>
      <c r="R76" s="67"/>
      <c r="S76" s="67"/>
      <c r="T76" s="67"/>
      <c r="U76" s="67"/>
      <c r="V76" s="67"/>
      <c r="W76" s="67"/>
      <c r="X76" s="67"/>
      <c r="Y76" s="67"/>
      <c r="Z76" s="67"/>
    </row>
    <row r="77">
      <c r="A77" s="67"/>
      <c r="B77" s="67"/>
      <c r="C77" s="67"/>
      <c r="D77" s="67"/>
      <c r="E77" s="67"/>
      <c r="F77" s="67"/>
      <c r="G77" s="67"/>
      <c r="H77" s="67"/>
      <c r="I77" s="67"/>
      <c r="J77" s="67"/>
      <c r="K77" s="67"/>
      <c r="L77" s="67"/>
      <c r="M77" s="67"/>
      <c r="N77" s="67"/>
      <c r="O77" s="67"/>
      <c r="P77" s="67"/>
      <c r="Q77" s="67"/>
      <c r="R77" s="67"/>
      <c r="S77" s="67"/>
      <c r="T77" s="67"/>
      <c r="U77" s="67"/>
      <c r="V77" s="67"/>
      <c r="W77" s="67"/>
      <c r="X77" s="67"/>
      <c r="Y77" s="67"/>
      <c r="Z77" s="67"/>
    </row>
    <row r="78">
      <c r="A78" s="67"/>
      <c r="B78" s="67"/>
      <c r="C78" s="67"/>
      <c r="D78" s="67"/>
      <c r="E78" s="67"/>
      <c r="F78" s="67"/>
      <c r="G78" s="67"/>
      <c r="H78" s="67"/>
      <c r="I78" s="67"/>
      <c r="J78" s="67"/>
      <c r="K78" s="67"/>
      <c r="L78" s="67"/>
      <c r="M78" s="67"/>
      <c r="N78" s="67"/>
      <c r="O78" s="67"/>
      <c r="P78" s="67"/>
      <c r="Q78" s="67"/>
      <c r="R78" s="67"/>
      <c r="S78" s="67"/>
      <c r="T78" s="67"/>
      <c r="U78" s="67"/>
      <c r="V78" s="67"/>
      <c r="W78" s="67"/>
      <c r="X78" s="67"/>
      <c r="Y78" s="67"/>
      <c r="Z78" s="67"/>
    </row>
    <row r="79">
      <c r="A79" s="67"/>
      <c r="B79" s="67"/>
      <c r="C79" s="67"/>
      <c r="D79" s="67"/>
      <c r="E79" s="67"/>
      <c r="F79" s="67"/>
      <c r="G79" s="67"/>
      <c r="H79" s="67"/>
      <c r="I79" s="67"/>
      <c r="J79" s="67"/>
      <c r="K79" s="67"/>
      <c r="L79" s="67"/>
      <c r="M79" s="67"/>
      <c r="N79" s="67"/>
      <c r="O79" s="67"/>
      <c r="P79" s="67"/>
      <c r="Q79" s="67"/>
      <c r="R79" s="67"/>
      <c r="S79" s="67"/>
      <c r="T79" s="67"/>
      <c r="U79" s="67"/>
      <c r="V79" s="67"/>
      <c r="W79" s="67"/>
      <c r="X79" s="67"/>
      <c r="Y79" s="67"/>
      <c r="Z79" s="67"/>
    </row>
    <row r="80">
      <c r="A80" s="67"/>
      <c r="B80" s="67"/>
      <c r="C80" s="67"/>
      <c r="D80" s="67"/>
      <c r="E80" s="67"/>
      <c r="F80" s="67"/>
      <c r="G80" s="67"/>
      <c r="H80" s="67"/>
      <c r="I80" s="67"/>
      <c r="J80" s="67"/>
      <c r="K80" s="67"/>
      <c r="L80" s="67"/>
      <c r="M80" s="67"/>
      <c r="N80" s="67"/>
      <c r="O80" s="67"/>
      <c r="P80" s="67"/>
      <c r="Q80" s="67"/>
      <c r="R80" s="67"/>
      <c r="S80" s="67"/>
      <c r="T80" s="67"/>
      <c r="U80" s="67"/>
      <c r="V80" s="67"/>
      <c r="W80" s="67"/>
      <c r="X80" s="67"/>
      <c r="Y80" s="67"/>
      <c r="Z80" s="67"/>
    </row>
    <row r="81">
      <c r="A81" s="67"/>
      <c r="B81" s="67"/>
      <c r="C81" s="67"/>
      <c r="D81" s="67"/>
      <c r="E81" s="67"/>
      <c r="F81" s="67"/>
      <c r="G81" s="67"/>
      <c r="H81" s="67"/>
      <c r="I81" s="67"/>
      <c r="J81" s="67"/>
      <c r="K81" s="67"/>
      <c r="L81" s="67"/>
      <c r="M81" s="67"/>
      <c r="N81" s="67"/>
      <c r="O81" s="67"/>
      <c r="P81" s="67"/>
      <c r="Q81" s="67"/>
      <c r="R81" s="67"/>
      <c r="S81" s="67"/>
      <c r="T81" s="67"/>
      <c r="U81" s="67"/>
      <c r="V81" s="67"/>
      <c r="W81" s="67"/>
      <c r="X81" s="67"/>
      <c r="Y81" s="67"/>
      <c r="Z81" s="67"/>
    </row>
    <row r="82">
      <c r="A82" s="67"/>
      <c r="B82" s="67"/>
      <c r="C82" s="67"/>
      <c r="D82" s="67"/>
      <c r="E82" s="67"/>
      <c r="F82" s="67"/>
      <c r="G82" s="67"/>
      <c r="H82" s="67"/>
      <c r="I82" s="67"/>
      <c r="J82" s="67"/>
      <c r="K82" s="67"/>
      <c r="L82" s="67"/>
      <c r="M82" s="67"/>
      <c r="N82" s="67"/>
      <c r="O82" s="67"/>
      <c r="P82" s="67"/>
      <c r="Q82" s="67"/>
      <c r="R82" s="67"/>
      <c r="S82" s="67"/>
      <c r="T82" s="67"/>
      <c r="U82" s="67"/>
      <c r="V82" s="67"/>
      <c r="W82" s="67"/>
      <c r="X82" s="67"/>
      <c r="Y82" s="67"/>
      <c r="Z82" s="67"/>
    </row>
    <row r="83">
      <c r="A83" s="67"/>
      <c r="B83" s="67"/>
      <c r="C83" s="67"/>
      <c r="D83" s="67"/>
      <c r="E83" s="67"/>
      <c r="F83" s="67"/>
      <c r="G83" s="67"/>
      <c r="H83" s="67"/>
      <c r="I83" s="67"/>
      <c r="J83" s="67"/>
      <c r="K83" s="67"/>
      <c r="L83" s="67"/>
      <c r="M83" s="67"/>
      <c r="N83" s="67"/>
      <c r="O83" s="67"/>
      <c r="P83" s="67"/>
      <c r="Q83" s="67"/>
      <c r="R83" s="67"/>
      <c r="S83" s="67"/>
      <c r="T83" s="67"/>
      <c r="U83" s="67"/>
      <c r="V83" s="67"/>
      <c r="W83" s="67"/>
      <c r="X83" s="67"/>
      <c r="Y83" s="67"/>
      <c r="Z83" s="67"/>
    </row>
    <row r="84">
      <c r="A84" s="67"/>
      <c r="B84" s="67"/>
      <c r="C84" s="67"/>
      <c r="D84" s="67"/>
      <c r="E84" s="67"/>
      <c r="F84" s="67"/>
      <c r="G84" s="67"/>
      <c r="H84" s="67"/>
      <c r="I84" s="67"/>
      <c r="J84" s="67"/>
      <c r="K84" s="67"/>
      <c r="L84" s="67"/>
      <c r="M84" s="67"/>
      <c r="N84" s="67"/>
      <c r="O84" s="67"/>
      <c r="P84" s="67"/>
      <c r="Q84" s="67"/>
      <c r="R84" s="67"/>
      <c r="S84" s="67"/>
      <c r="T84" s="67"/>
      <c r="U84" s="67"/>
      <c r="V84" s="67"/>
      <c r="W84" s="67"/>
      <c r="X84" s="67"/>
      <c r="Y84" s="67"/>
      <c r="Z84" s="67"/>
    </row>
    <row r="85">
      <c r="A85" s="67"/>
      <c r="B85" s="67"/>
      <c r="C85" s="67"/>
      <c r="D85" s="67"/>
      <c r="E85" s="67"/>
      <c r="F85" s="67"/>
      <c r="G85" s="67"/>
      <c r="H85" s="67"/>
      <c r="I85" s="67"/>
      <c r="J85" s="67"/>
      <c r="K85" s="67"/>
      <c r="L85" s="67"/>
      <c r="M85" s="67"/>
      <c r="N85" s="67"/>
      <c r="O85" s="67"/>
      <c r="P85" s="67"/>
      <c r="Q85" s="67"/>
      <c r="R85" s="67"/>
      <c r="S85" s="67"/>
      <c r="T85" s="67"/>
      <c r="U85" s="67"/>
      <c r="V85" s="67"/>
      <c r="W85" s="67"/>
      <c r="X85" s="67"/>
      <c r="Y85" s="67"/>
      <c r="Z85" s="67"/>
    </row>
    <row r="86">
      <c r="A86" s="67"/>
      <c r="B86" s="67"/>
      <c r="C86" s="67"/>
      <c r="D86" s="67"/>
      <c r="E86" s="67"/>
      <c r="F86" s="67"/>
      <c r="G86" s="67"/>
      <c r="H86" s="67"/>
      <c r="I86" s="67"/>
      <c r="J86" s="67"/>
      <c r="K86" s="67"/>
      <c r="L86" s="67"/>
      <c r="M86" s="67"/>
      <c r="N86" s="67"/>
      <c r="O86" s="67"/>
      <c r="P86" s="67"/>
      <c r="Q86" s="67"/>
      <c r="R86" s="67"/>
      <c r="S86" s="67"/>
      <c r="T86" s="67"/>
      <c r="U86" s="67"/>
      <c r="V86" s="67"/>
      <c r="W86" s="67"/>
      <c r="X86" s="67"/>
      <c r="Y86" s="67"/>
      <c r="Z86" s="67"/>
    </row>
    <row r="87">
      <c r="A87" s="67"/>
      <c r="B87" s="67"/>
      <c r="C87" s="67"/>
      <c r="D87" s="67"/>
      <c r="E87" s="67"/>
      <c r="F87" s="67"/>
      <c r="G87" s="67"/>
      <c r="H87" s="67"/>
      <c r="I87" s="67"/>
      <c r="J87" s="67"/>
      <c r="K87" s="67"/>
      <c r="L87" s="67"/>
      <c r="M87" s="67"/>
      <c r="N87" s="67"/>
      <c r="O87" s="67"/>
      <c r="P87" s="67"/>
      <c r="Q87" s="67"/>
      <c r="R87" s="67"/>
      <c r="S87" s="67"/>
      <c r="T87" s="67"/>
      <c r="U87" s="67"/>
      <c r="V87" s="67"/>
      <c r="W87" s="67"/>
      <c r="X87" s="67"/>
      <c r="Y87" s="67"/>
      <c r="Z87" s="67"/>
    </row>
    <row r="88">
      <c r="A88" s="67"/>
      <c r="B88" s="67"/>
      <c r="C88" s="67"/>
      <c r="D88" s="67"/>
      <c r="E88" s="67"/>
      <c r="F88" s="67"/>
      <c r="G88" s="67"/>
      <c r="H88" s="67"/>
      <c r="I88" s="67"/>
      <c r="J88" s="67"/>
      <c r="K88" s="67"/>
      <c r="L88" s="67"/>
      <c r="M88" s="67"/>
      <c r="N88" s="67"/>
      <c r="O88" s="67"/>
      <c r="P88" s="67"/>
      <c r="Q88" s="67"/>
      <c r="R88" s="67"/>
      <c r="S88" s="67"/>
      <c r="T88" s="67"/>
      <c r="U88" s="67"/>
      <c r="V88" s="67"/>
      <c r="W88" s="67"/>
      <c r="X88" s="67"/>
      <c r="Y88" s="67"/>
      <c r="Z88" s="67"/>
    </row>
    <row r="89">
      <c r="A89" s="67"/>
      <c r="B89" s="67"/>
      <c r="C89" s="67"/>
      <c r="D89" s="67"/>
      <c r="E89" s="67"/>
      <c r="F89" s="67"/>
      <c r="G89" s="67"/>
      <c r="H89" s="67"/>
      <c r="I89" s="67"/>
      <c r="J89" s="67"/>
      <c r="K89" s="67"/>
      <c r="L89" s="67"/>
      <c r="M89" s="67"/>
      <c r="N89" s="67"/>
      <c r="O89" s="67"/>
      <c r="P89" s="67"/>
      <c r="Q89" s="67"/>
      <c r="R89" s="67"/>
      <c r="S89" s="67"/>
      <c r="T89" s="67"/>
      <c r="U89" s="67"/>
      <c r="V89" s="67"/>
      <c r="W89" s="67"/>
      <c r="X89" s="67"/>
      <c r="Y89" s="67"/>
      <c r="Z89" s="67"/>
    </row>
    <row r="90">
      <c r="A90" s="67"/>
      <c r="B90" s="67"/>
      <c r="C90" s="67"/>
      <c r="D90" s="67"/>
      <c r="E90" s="67"/>
      <c r="F90" s="67"/>
      <c r="G90" s="67"/>
      <c r="H90" s="67"/>
      <c r="I90" s="67"/>
      <c r="J90" s="67"/>
      <c r="K90" s="67"/>
      <c r="L90" s="67"/>
      <c r="M90" s="67"/>
      <c r="N90" s="67"/>
      <c r="O90" s="67"/>
      <c r="P90" s="67"/>
      <c r="Q90" s="67"/>
      <c r="R90" s="67"/>
      <c r="S90" s="67"/>
      <c r="T90" s="67"/>
      <c r="U90" s="67"/>
      <c r="V90" s="67"/>
      <c r="W90" s="67"/>
      <c r="X90" s="67"/>
      <c r="Y90" s="67"/>
      <c r="Z90" s="67"/>
    </row>
    <row r="91">
      <c r="A91" s="67"/>
      <c r="B91" s="67"/>
      <c r="C91" s="67"/>
      <c r="D91" s="67"/>
      <c r="E91" s="67"/>
      <c r="F91" s="67"/>
      <c r="G91" s="67"/>
      <c r="H91" s="67"/>
      <c r="I91" s="67"/>
      <c r="J91" s="67"/>
      <c r="K91" s="67"/>
      <c r="L91" s="67"/>
      <c r="M91" s="67"/>
      <c r="N91" s="67"/>
      <c r="O91" s="67"/>
      <c r="P91" s="67"/>
      <c r="Q91" s="67"/>
      <c r="R91" s="67"/>
      <c r="S91" s="67"/>
      <c r="T91" s="67"/>
      <c r="U91" s="67"/>
      <c r="V91" s="67"/>
      <c r="W91" s="67"/>
      <c r="X91" s="67"/>
      <c r="Y91" s="67"/>
      <c r="Z91" s="67"/>
    </row>
    <row r="92">
      <c r="A92" s="67"/>
      <c r="B92" s="67"/>
      <c r="C92" s="67"/>
      <c r="D92" s="67"/>
      <c r="E92" s="67"/>
      <c r="F92" s="67"/>
      <c r="G92" s="67"/>
      <c r="H92" s="67"/>
      <c r="I92" s="67"/>
      <c r="J92" s="67"/>
      <c r="K92" s="67"/>
      <c r="L92" s="67"/>
      <c r="M92" s="67"/>
      <c r="N92" s="67"/>
      <c r="O92" s="67"/>
      <c r="P92" s="67"/>
      <c r="Q92" s="67"/>
      <c r="R92" s="67"/>
      <c r="S92" s="67"/>
      <c r="T92" s="67"/>
      <c r="U92" s="67"/>
      <c r="V92" s="67"/>
      <c r="W92" s="67"/>
      <c r="X92" s="67"/>
      <c r="Y92" s="67"/>
      <c r="Z92" s="67"/>
    </row>
    <row r="93">
      <c r="A93" s="67"/>
      <c r="B93" s="67"/>
      <c r="C93" s="67"/>
      <c r="D93" s="67"/>
      <c r="E93" s="67"/>
      <c r="F93" s="67"/>
      <c r="G93" s="67"/>
      <c r="H93" s="67"/>
      <c r="I93" s="67"/>
      <c r="J93" s="67"/>
      <c r="K93" s="67"/>
      <c r="L93" s="67"/>
      <c r="M93" s="67"/>
      <c r="N93" s="67"/>
      <c r="O93" s="67"/>
      <c r="P93" s="67"/>
      <c r="Q93" s="67"/>
      <c r="R93" s="67"/>
      <c r="S93" s="67"/>
      <c r="T93" s="67"/>
      <c r="U93" s="67"/>
      <c r="V93" s="67"/>
      <c r="W93" s="67"/>
      <c r="X93" s="67"/>
      <c r="Y93" s="67"/>
      <c r="Z93" s="67"/>
    </row>
    <row r="94">
      <c r="A94" s="67"/>
      <c r="B94" s="67"/>
      <c r="C94" s="67"/>
      <c r="D94" s="67"/>
      <c r="E94" s="67"/>
      <c r="F94" s="67"/>
      <c r="G94" s="67"/>
      <c r="H94" s="67"/>
      <c r="I94" s="67"/>
      <c r="J94" s="67"/>
      <c r="K94" s="67"/>
      <c r="L94" s="67"/>
      <c r="M94" s="67"/>
      <c r="N94" s="67"/>
      <c r="O94" s="67"/>
      <c r="P94" s="67"/>
      <c r="Q94" s="67"/>
      <c r="R94" s="67"/>
      <c r="S94" s="67"/>
      <c r="T94" s="67"/>
      <c r="U94" s="67"/>
      <c r="V94" s="67"/>
      <c r="W94" s="67"/>
      <c r="X94" s="67"/>
      <c r="Y94" s="67"/>
      <c r="Z94" s="67"/>
    </row>
    <row r="95">
      <c r="A95" s="67"/>
      <c r="B95" s="67"/>
      <c r="C95" s="67"/>
      <c r="D95" s="67"/>
      <c r="E95" s="67"/>
      <c r="F95" s="67"/>
      <c r="G95" s="67"/>
      <c r="H95" s="67"/>
      <c r="I95" s="67"/>
      <c r="J95" s="67"/>
      <c r="K95" s="67"/>
      <c r="L95" s="67"/>
      <c r="M95" s="67"/>
      <c r="N95" s="67"/>
      <c r="O95" s="67"/>
      <c r="P95" s="67"/>
      <c r="Q95" s="67"/>
      <c r="R95" s="67"/>
      <c r="S95" s="67"/>
      <c r="T95" s="67"/>
      <c r="U95" s="67"/>
      <c r="V95" s="67"/>
      <c r="W95" s="67"/>
      <c r="X95" s="67"/>
      <c r="Y95" s="67"/>
      <c r="Z95" s="67"/>
    </row>
    <row r="96">
      <c r="A96" s="67"/>
      <c r="B96" s="67"/>
      <c r="C96" s="67"/>
      <c r="D96" s="67"/>
      <c r="E96" s="67"/>
      <c r="F96" s="67"/>
      <c r="G96" s="67"/>
      <c r="H96" s="67"/>
      <c r="I96" s="67"/>
      <c r="J96" s="67"/>
      <c r="K96" s="67"/>
      <c r="L96" s="67"/>
      <c r="M96" s="67"/>
      <c r="N96" s="67"/>
      <c r="O96" s="67"/>
      <c r="P96" s="67"/>
      <c r="Q96" s="67"/>
      <c r="R96" s="67"/>
      <c r="S96" s="67"/>
      <c r="T96" s="67"/>
      <c r="U96" s="67"/>
      <c r="V96" s="67"/>
      <c r="W96" s="67"/>
      <c r="X96" s="67"/>
      <c r="Y96" s="67"/>
      <c r="Z96" s="67"/>
    </row>
    <row r="97">
      <c r="A97" s="67"/>
      <c r="B97" s="67"/>
      <c r="C97" s="67"/>
      <c r="D97" s="67"/>
      <c r="E97" s="67"/>
      <c r="F97" s="67"/>
      <c r="G97" s="67"/>
      <c r="H97" s="67"/>
      <c r="I97" s="67"/>
      <c r="J97" s="67"/>
      <c r="K97" s="67"/>
      <c r="L97" s="67"/>
      <c r="M97" s="67"/>
      <c r="N97" s="67"/>
      <c r="O97" s="67"/>
      <c r="P97" s="67"/>
      <c r="Q97" s="67"/>
      <c r="R97" s="67"/>
      <c r="S97" s="67"/>
      <c r="T97" s="67"/>
      <c r="U97" s="67"/>
      <c r="V97" s="67"/>
      <c r="W97" s="67"/>
      <c r="X97" s="67"/>
      <c r="Y97" s="67"/>
      <c r="Z97" s="67"/>
    </row>
    <row r="98">
      <c r="A98" s="67"/>
      <c r="B98" s="67"/>
      <c r="C98" s="67"/>
      <c r="D98" s="67"/>
      <c r="E98" s="67"/>
      <c r="F98" s="67"/>
      <c r="G98" s="67"/>
      <c r="H98" s="67"/>
      <c r="I98" s="67"/>
      <c r="J98" s="67"/>
      <c r="K98" s="67"/>
      <c r="L98" s="67"/>
      <c r="M98" s="67"/>
      <c r="N98" s="67"/>
      <c r="O98" s="67"/>
      <c r="P98" s="67"/>
      <c r="Q98" s="67"/>
      <c r="R98" s="67"/>
      <c r="S98" s="67"/>
      <c r="T98" s="67"/>
      <c r="U98" s="67"/>
      <c r="V98" s="67"/>
      <c r="W98" s="67"/>
      <c r="X98" s="67"/>
      <c r="Y98" s="67"/>
      <c r="Z98" s="67"/>
    </row>
    <row r="99">
      <c r="A99" s="67"/>
      <c r="B99" s="67"/>
      <c r="C99" s="67"/>
      <c r="D99" s="67"/>
      <c r="E99" s="67"/>
      <c r="F99" s="67"/>
      <c r="G99" s="67"/>
      <c r="H99" s="67"/>
      <c r="I99" s="67"/>
      <c r="J99" s="67"/>
      <c r="K99" s="67"/>
      <c r="L99" s="67"/>
      <c r="M99" s="67"/>
      <c r="N99" s="67"/>
      <c r="O99" s="67"/>
      <c r="P99" s="67"/>
      <c r="Q99" s="67"/>
      <c r="R99" s="67"/>
      <c r="S99" s="67"/>
      <c r="T99" s="67"/>
      <c r="U99" s="67"/>
      <c r="V99" s="67"/>
      <c r="W99" s="67"/>
      <c r="X99" s="67"/>
      <c r="Y99" s="67"/>
      <c r="Z99" s="67"/>
    </row>
    <row r="100">
      <c r="A100" s="67"/>
      <c r="B100" s="67"/>
      <c r="C100" s="67"/>
      <c r="D100" s="67"/>
      <c r="E100" s="67"/>
      <c r="F100" s="67"/>
      <c r="G100" s="67"/>
      <c r="H100" s="67"/>
      <c r="I100" s="67"/>
      <c r="J100" s="67"/>
      <c r="K100" s="67"/>
      <c r="L100" s="67"/>
      <c r="M100" s="67"/>
      <c r="N100" s="67"/>
      <c r="O100" s="67"/>
      <c r="P100" s="67"/>
      <c r="Q100" s="67"/>
      <c r="R100" s="67"/>
      <c r="S100" s="67"/>
      <c r="T100" s="67"/>
      <c r="U100" s="67"/>
      <c r="V100" s="67"/>
      <c r="W100" s="67"/>
      <c r="X100" s="67"/>
      <c r="Y100" s="67"/>
      <c r="Z100" s="67"/>
    </row>
    <row r="101">
      <c r="A101" s="67"/>
      <c r="B101" s="67"/>
      <c r="C101" s="67"/>
      <c r="D101" s="67"/>
      <c r="E101" s="67"/>
      <c r="F101" s="67"/>
      <c r="G101" s="67"/>
      <c r="H101" s="67"/>
      <c r="I101" s="67"/>
      <c r="J101" s="67"/>
      <c r="K101" s="67"/>
      <c r="L101" s="67"/>
      <c r="M101" s="67"/>
      <c r="N101" s="67"/>
      <c r="O101" s="67"/>
      <c r="P101" s="67"/>
      <c r="Q101" s="67"/>
      <c r="R101" s="67"/>
      <c r="S101" s="67"/>
      <c r="T101" s="67"/>
      <c r="U101" s="67"/>
      <c r="V101" s="67"/>
      <c r="W101" s="67"/>
      <c r="X101" s="67"/>
      <c r="Y101" s="67"/>
      <c r="Z101" s="67"/>
    </row>
    <row r="102">
      <c r="A102" s="67"/>
      <c r="B102" s="67"/>
      <c r="C102" s="67"/>
      <c r="D102" s="67"/>
      <c r="E102" s="67"/>
      <c r="F102" s="67"/>
      <c r="G102" s="67"/>
      <c r="H102" s="67"/>
      <c r="I102" s="67"/>
      <c r="J102" s="67"/>
      <c r="K102" s="67"/>
      <c r="L102" s="67"/>
      <c r="M102" s="67"/>
      <c r="N102" s="67"/>
      <c r="O102" s="67"/>
      <c r="P102" s="67"/>
      <c r="Q102" s="67"/>
      <c r="R102" s="67"/>
      <c r="S102" s="67"/>
      <c r="T102" s="67"/>
      <c r="U102" s="67"/>
      <c r="V102" s="67"/>
      <c r="W102" s="67"/>
      <c r="X102" s="67"/>
      <c r="Y102" s="67"/>
      <c r="Z102" s="67"/>
    </row>
    <row r="103">
      <c r="A103" s="67"/>
      <c r="B103" s="67"/>
      <c r="C103" s="67"/>
      <c r="D103" s="67"/>
      <c r="E103" s="67"/>
      <c r="F103" s="67"/>
      <c r="G103" s="67"/>
      <c r="H103" s="67"/>
      <c r="I103" s="67"/>
      <c r="J103" s="67"/>
      <c r="K103" s="67"/>
      <c r="L103" s="67"/>
      <c r="M103" s="67"/>
      <c r="N103" s="67"/>
      <c r="O103" s="67"/>
      <c r="P103" s="67"/>
      <c r="Q103" s="67"/>
      <c r="R103" s="67"/>
      <c r="S103" s="67"/>
      <c r="T103" s="67"/>
      <c r="U103" s="67"/>
      <c r="V103" s="67"/>
      <c r="W103" s="67"/>
      <c r="X103" s="67"/>
      <c r="Y103" s="67"/>
      <c r="Z103" s="67"/>
    </row>
    <row r="104">
      <c r="A104" s="67"/>
      <c r="B104" s="67"/>
      <c r="C104" s="67"/>
      <c r="D104" s="67"/>
      <c r="E104" s="67"/>
      <c r="F104" s="67"/>
      <c r="G104" s="67"/>
      <c r="H104" s="67"/>
      <c r="I104" s="67"/>
      <c r="J104" s="67"/>
      <c r="K104" s="67"/>
      <c r="L104" s="67"/>
      <c r="M104" s="67"/>
      <c r="N104" s="67"/>
      <c r="O104" s="67"/>
      <c r="P104" s="67"/>
      <c r="Q104" s="67"/>
      <c r="R104" s="67"/>
      <c r="S104" s="67"/>
      <c r="T104" s="67"/>
      <c r="U104" s="67"/>
      <c r="V104" s="67"/>
      <c r="W104" s="67"/>
      <c r="X104" s="67"/>
      <c r="Y104" s="67"/>
      <c r="Z104" s="67"/>
    </row>
    <row r="105">
      <c r="A105" s="67"/>
      <c r="B105" s="67"/>
      <c r="C105" s="67"/>
      <c r="D105" s="67"/>
      <c r="E105" s="67"/>
      <c r="F105" s="67"/>
      <c r="G105" s="67"/>
      <c r="H105" s="67"/>
      <c r="I105" s="67"/>
      <c r="J105" s="67"/>
      <c r="K105" s="67"/>
      <c r="L105" s="67"/>
      <c r="M105" s="67"/>
      <c r="N105" s="67"/>
      <c r="O105" s="67"/>
      <c r="P105" s="67"/>
      <c r="Q105" s="67"/>
      <c r="R105" s="67"/>
      <c r="S105" s="67"/>
      <c r="T105" s="67"/>
      <c r="U105" s="67"/>
      <c r="V105" s="67"/>
      <c r="W105" s="67"/>
      <c r="X105" s="67"/>
      <c r="Y105" s="67"/>
      <c r="Z105" s="67"/>
    </row>
    <row r="106">
      <c r="A106" s="67"/>
      <c r="B106" s="67"/>
      <c r="C106" s="67"/>
      <c r="D106" s="67"/>
      <c r="E106" s="67"/>
      <c r="F106" s="67"/>
      <c r="G106" s="67"/>
      <c r="H106" s="67"/>
      <c r="I106" s="67"/>
      <c r="J106" s="67"/>
      <c r="K106" s="67"/>
      <c r="L106" s="67"/>
      <c r="M106" s="67"/>
      <c r="N106" s="67"/>
      <c r="O106" s="67"/>
      <c r="P106" s="67"/>
      <c r="Q106" s="67"/>
      <c r="R106" s="67"/>
      <c r="S106" s="67"/>
      <c r="T106" s="67"/>
      <c r="U106" s="67"/>
      <c r="V106" s="67"/>
      <c r="W106" s="67"/>
      <c r="X106" s="67"/>
      <c r="Y106" s="67"/>
      <c r="Z106" s="67"/>
    </row>
    <row r="107">
      <c r="A107" s="67"/>
      <c r="B107" s="67"/>
      <c r="C107" s="67"/>
      <c r="D107" s="67"/>
      <c r="E107" s="67"/>
      <c r="F107" s="67"/>
      <c r="G107" s="67"/>
      <c r="H107" s="67"/>
      <c r="I107" s="67"/>
      <c r="J107" s="67"/>
      <c r="K107" s="67"/>
      <c r="L107" s="67"/>
      <c r="M107" s="67"/>
      <c r="N107" s="67"/>
      <c r="O107" s="67"/>
      <c r="P107" s="67"/>
      <c r="Q107" s="67"/>
      <c r="R107" s="67"/>
      <c r="S107" s="67"/>
      <c r="T107" s="67"/>
      <c r="U107" s="67"/>
      <c r="V107" s="67"/>
      <c r="W107" s="67"/>
      <c r="X107" s="67"/>
      <c r="Y107" s="67"/>
      <c r="Z107" s="67"/>
    </row>
    <row r="108">
      <c r="A108" s="67"/>
      <c r="B108" s="67"/>
      <c r="C108" s="67"/>
      <c r="D108" s="67"/>
      <c r="E108" s="67"/>
      <c r="F108" s="67"/>
      <c r="G108" s="67"/>
      <c r="H108" s="67"/>
      <c r="I108" s="67"/>
      <c r="J108" s="67"/>
      <c r="K108" s="67"/>
      <c r="L108" s="67"/>
      <c r="M108" s="67"/>
      <c r="N108" s="67"/>
      <c r="O108" s="67"/>
      <c r="P108" s="67"/>
      <c r="Q108" s="67"/>
      <c r="R108" s="67"/>
      <c r="S108" s="67"/>
      <c r="T108" s="67"/>
      <c r="U108" s="67"/>
      <c r="V108" s="67"/>
      <c r="W108" s="67"/>
      <c r="X108" s="67"/>
      <c r="Y108" s="67"/>
      <c r="Z108" s="67"/>
    </row>
    <row r="109">
      <c r="A109" s="67"/>
      <c r="B109" s="67"/>
      <c r="C109" s="67"/>
      <c r="D109" s="67"/>
      <c r="E109" s="67"/>
      <c r="F109" s="67"/>
      <c r="G109" s="67"/>
      <c r="H109" s="67"/>
      <c r="I109" s="67"/>
      <c r="J109" s="67"/>
      <c r="K109" s="67"/>
      <c r="L109" s="67"/>
      <c r="M109" s="67"/>
      <c r="N109" s="67"/>
      <c r="O109" s="67"/>
      <c r="P109" s="67"/>
      <c r="Q109" s="67"/>
      <c r="R109" s="67"/>
      <c r="S109" s="67"/>
      <c r="T109" s="67"/>
      <c r="U109" s="67"/>
      <c r="V109" s="67"/>
      <c r="W109" s="67"/>
      <c r="X109" s="67"/>
      <c r="Y109" s="67"/>
      <c r="Z109" s="67"/>
    </row>
    <row r="110">
      <c r="A110" s="67"/>
      <c r="B110" s="67"/>
      <c r="C110" s="67"/>
      <c r="D110" s="67"/>
      <c r="E110" s="67"/>
      <c r="F110" s="67"/>
      <c r="G110" s="67"/>
      <c r="H110" s="67"/>
      <c r="I110" s="67"/>
      <c r="J110" s="67"/>
      <c r="K110" s="67"/>
      <c r="L110" s="67"/>
      <c r="M110" s="67"/>
      <c r="N110" s="67"/>
      <c r="O110" s="67"/>
      <c r="P110" s="67"/>
      <c r="Q110" s="67"/>
      <c r="R110" s="67"/>
      <c r="S110" s="67"/>
      <c r="T110" s="67"/>
      <c r="U110" s="67"/>
      <c r="V110" s="67"/>
      <c r="W110" s="67"/>
      <c r="X110" s="67"/>
      <c r="Y110" s="67"/>
      <c r="Z110" s="67"/>
    </row>
    <row r="111">
      <c r="A111" s="67"/>
      <c r="B111" s="67"/>
      <c r="C111" s="67"/>
      <c r="D111" s="67"/>
      <c r="E111" s="67"/>
      <c r="F111" s="67"/>
      <c r="G111" s="67"/>
      <c r="H111" s="67"/>
      <c r="I111" s="67"/>
      <c r="J111" s="67"/>
      <c r="K111" s="67"/>
      <c r="L111" s="67"/>
      <c r="M111" s="67"/>
      <c r="N111" s="67"/>
      <c r="O111" s="67"/>
      <c r="P111" s="67"/>
      <c r="Q111" s="67"/>
      <c r="R111" s="67"/>
      <c r="S111" s="67"/>
      <c r="T111" s="67"/>
      <c r="U111" s="67"/>
      <c r="V111" s="67"/>
      <c r="W111" s="67"/>
      <c r="X111" s="67"/>
      <c r="Y111" s="67"/>
      <c r="Z111" s="67"/>
    </row>
    <row r="112">
      <c r="A112" s="67"/>
      <c r="B112" s="67"/>
      <c r="C112" s="67"/>
      <c r="D112" s="67"/>
      <c r="E112" s="67"/>
      <c r="F112" s="67"/>
      <c r="G112" s="67"/>
      <c r="H112" s="67"/>
      <c r="I112" s="67"/>
      <c r="J112" s="67"/>
      <c r="K112" s="67"/>
      <c r="L112" s="67"/>
      <c r="M112" s="67"/>
      <c r="N112" s="67"/>
      <c r="O112" s="67"/>
      <c r="P112" s="67"/>
      <c r="Q112" s="67"/>
      <c r="R112" s="67"/>
      <c r="S112" s="67"/>
      <c r="T112" s="67"/>
      <c r="U112" s="67"/>
      <c r="V112" s="67"/>
      <c r="W112" s="67"/>
      <c r="X112" s="67"/>
      <c r="Y112" s="67"/>
      <c r="Z112" s="67"/>
    </row>
    <row r="113">
      <c r="A113" s="67"/>
      <c r="B113" s="67"/>
      <c r="C113" s="67"/>
      <c r="D113" s="67"/>
      <c r="E113" s="67"/>
      <c r="F113" s="67"/>
      <c r="G113" s="67"/>
      <c r="H113" s="67"/>
      <c r="I113" s="67"/>
      <c r="J113" s="67"/>
      <c r="K113" s="67"/>
      <c r="L113" s="67"/>
      <c r="M113" s="67"/>
      <c r="N113" s="67"/>
      <c r="O113" s="67"/>
      <c r="P113" s="67"/>
      <c r="Q113" s="67"/>
      <c r="R113" s="67"/>
      <c r="S113" s="67"/>
      <c r="T113" s="67"/>
      <c r="U113" s="67"/>
      <c r="V113" s="67"/>
      <c r="W113" s="67"/>
      <c r="X113" s="67"/>
      <c r="Y113" s="67"/>
      <c r="Z113" s="67"/>
    </row>
    <row r="114">
      <c r="A114" s="67"/>
      <c r="B114" s="67"/>
      <c r="C114" s="67"/>
      <c r="D114" s="67"/>
      <c r="E114" s="67"/>
      <c r="F114" s="67"/>
      <c r="G114" s="67"/>
      <c r="H114" s="67"/>
      <c r="I114" s="67"/>
      <c r="J114" s="67"/>
      <c r="K114" s="67"/>
      <c r="L114" s="67"/>
      <c r="M114" s="67"/>
      <c r="N114" s="67"/>
      <c r="O114" s="67"/>
      <c r="P114" s="67"/>
      <c r="Q114" s="67"/>
      <c r="R114" s="67"/>
      <c r="S114" s="67"/>
      <c r="T114" s="67"/>
      <c r="U114" s="67"/>
      <c r="V114" s="67"/>
      <c r="W114" s="67"/>
      <c r="X114" s="67"/>
      <c r="Y114" s="67"/>
      <c r="Z114" s="67"/>
    </row>
    <row r="115">
      <c r="A115" s="67"/>
      <c r="B115" s="67"/>
      <c r="C115" s="67"/>
      <c r="D115" s="67"/>
      <c r="E115" s="67"/>
      <c r="F115" s="67"/>
      <c r="G115" s="67"/>
      <c r="H115" s="67"/>
      <c r="I115" s="67"/>
      <c r="J115" s="67"/>
      <c r="K115" s="67"/>
      <c r="L115" s="67"/>
      <c r="M115" s="67"/>
      <c r="N115" s="67"/>
      <c r="O115" s="67"/>
      <c r="P115" s="67"/>
      <c r="Q115" s="67"/>
      <c r="R115" s="67"/>
      <c r="S115" s="67"/>
      <c r="T115" s="67"/>
      <c r="U115" s="67"/>
      <c r="V115" s="67"/>
      <c r="W115" s="67"/>
      <c r="X115" s="67"/>
      <c r="Y115" s="67"/>
      <c r="Z115" s="67"/>
    </row>
    <row r="116">
      <c r="A116" s="67"/>
      <c r="B116" s="67"/>
      <c r="C116" s="67"/>
      <c r="D116" s="67"/>
      <c r="E116" s="67"/>
      <c r="F116" s="67"/>
      <c r="G116" s="67"/>
      <c r="H116" s="67"/>
      <c r="I116" s="67"/>
      <c r="J116" s="67"/>
      <c r="K116" s="67"/>
      <c r="L116" s="67"/>
      <c r="M116" s="67"/>
      <c r="N116" s="67"/>
      <c r="O116" s="67"/>
      <c r="P116" s="67"/>
      <c r="Q116" s="67"/>
      <c r="R116" s="67"/>
      <c r="S116" s="67"/>
      <c r="T116" s="67"/>
      <c r="U116" s="67"/>
      <c r="V116" s="67"/>
      <c r="W116" s="67"/>
      <c r="X116" s="67"/>
      <c r="Y116" s="67"/>
      <c r="Z116" s="67"/>
    </row>
    <row r="117">
      <c r="A117" s="67"/>
      <c r="B117" s="67"/>
      <c r="C117" s="67"/>
      <c r="D117" s="67"/>
      <c r="E117" s="67"/>
      <c r="F117" s="67"/>
      <c r="G117" s="67"/>
      <c r="H117" s="67"/>
      <c r="I117" s="67"/>
      <c r="J117" s="67"/>
      <c r="K117" s="67"/>
      <c r="L117" s="67"/>
      <c r="M117" s="67"/>
      <c r="N117" s="67"/>
      <c r="O117" s="67"/>
      <c r="P117" s="67"/>
      <c r="Q117" s="67"/>
      <c r="R117" s="67"/>
      <c r="S117" s="67"/>
      <c r="T117" s="67"/>
      <c r="U117" s="67"/>
      <c r="V117" s="67"/>
      <c r="W117" s="67"/>
      <c r="X117" s="67"/>
      <c r="Y117" s="67"/>
      <c r="Z117" s="67"/>
    </row>
    <row r="118">
      <c r="A118" s="67"/>
      <c r="B118" s="67"/>
      <c r="C118" s="67"/>
      <c r="D118" s="67"/>
      <c r="E118" s="67"/>
      <c r="F118" s="67"/>
      <c r="G118" s="67"/>
      <c r="H118" s="67"/>
      <c r="I118" s="67"/>
      <c r="J118" s="67"/>
      <c r="K118" s="67"/>
      <c r="L118" s="67"/>
      <c r="M118" s="67"/>
      <c r="N118" s="67"/>
      <c r="O118" s="67"/>
      <c r="P118" s="67"/>
      <c r="Q118" s="67"/>
      <c r="R118" s="67"/>
      <c r="S118" s="67"/>
      <c r="T118" s="67"/>
      <c r="U118" s="67"/>
      <c r="V118" s="67"/>
      <c r="W118" s="67"/>
      <c r="X118" s="67"/>
      <c r="Y118" s="67"/>
      <c r="Z118" s="67"/>
    </row>
    <row r="119">
      <c r="A119" s="67"/>
      <c r="B119" s="67"/>
      <c r="C119" s="67"/>
      <c r="D119" s="67"/>
      <c r="E119" s="67"/>
      <c r="F119" s="67"/>
      <c r="G119" s="67"/>
      <c r="H119" s="67"/>
      <c r="I119" s="67"/>
      <c r="J119" s="67"/>
      <c r="K119" s="67"/>
      <c r="L119" s="67"/>
      <c r="M119" s="67"/>
      <c r="N119" s="67"/>
      <c r="O119" s="67"/>
      <c r="P119" s="67"/>
      <c r="Q119" s="67"/>
      <c r="R119" s="67"/>
      <c r="S119" s="67"/>
      <c r="T119" s="67"/>
      <c r="U119" s="67"/>
      <c r="V119" s="67"/>
      <c r="W119" s="67"/>
      <c r="X119" s="67"/>
      <c r="Y119" s="67"/>
      <c r="Z119" s="67"/>
    </row>
    <row r="120">
      <c r="A120" s="67"/>
      <c r="B120" s="67"/>
      <c r="C120" s="67"/>
      <c r="D120" s="67"/>
      <c r="E120" s="67"/>
      <c r="F120" s="67"/>
      <c r="G120" s="67"/>
      <c r="H120" s="67"/>
      <c r="I120" s="67"/>
      <c r="J120" s="67"/>
      <c r="K120" s="67"/>
      <c r="L120" s="67"/>
      <c r="M120" s="67"/>
      <c r="N120" s="67"/>
      <c r="O120" s="67"/>
      <c r="P120" s="67"/>
      <c r="Q120" s="67"/>
      <c r="R120" s="67"/>
      <c r="S120" s="67"/>
      <c r="T120" s="67"/>
      <c r="U120" s="67"/>
      <c r="V120" s="67"/>
      <c r="W120" s="67"/>
      <c r="X120" s="67"/>
      <c r="Y120" s="67"/>
      <c r="Z120" s="67"/>
    </row>
    <row r="121">
      <c r="A121" s="67"/>
      <c r="B121" s="67"/>
      <c r="C121" s="67"/>
      <c r="D121" s="67"/>
      <c r="E121" s="67"/>
      <c r="F121" s="67"/>
      <c r="G121" s="67"/>
      <c r="H121" s="67"/>
      <c r="I121" s="67"/>
      <c r="J121" s="67"/>
      <c r="K121" s="67"/>
      <c r="L121" s="67"/>
      <c r="M121" s="67"/>
      <c r="N121" s="67"/>
      <c r="O121" s="67"/>
      <c r="P121" s="67"/>
      <c r="Q121" s="67"/>
      <c r="R121" s="67"/>
      <c r="S121" s="67"/>
      <c r="T121" s="67"/>
      <c r="U121" s="67"/>
      <c r="V121" s="67"/>
      <c r="W121" s="67"/>
      <c r="X121" s="67"/>
      <c r="Y121" s="67"/>
      <c r="Z121" s="67"/>
    </row>
    <row r="122">
      <c r="A122" s="67"/>
      <c r="B122" s="67"/>
      <c r="C122" s="67"/>
      <c r="D122" s="67"/>
      <c r="E122" s="67"/>
      <c r="F122" s="67"/>
      <c r="G122" s="67"/>
      <c r="H122" s="67"/>
      <c r="I122" s="67"/>
      <c r="J122" s="67"/>
      <c r="K122" s="67"/>
      <c r="L122" s="67"/>
      <c r="M122" s="67"/>
      <c r="N122" s="67"/>
      <c r="O122" s="67"/>
      <c r="P122" s="67"/>
      <c r="Q122" s="67"/>
      <c r="R122" s="67"/>
      <c r="S122" s="67"/>
      <c r="T122" s="67"/>
      <c r="U122" s="67"/>
      <c r="V122" s="67"/>
      <c r="W122" s="67"/>
      <c r="X122" s="67"/>
      <c r="Y122" s="67"/>
      <c r="Z122" s="67"/>
    </row>
    <row r="123">
      <c r="A123" s="67"/>
      <c r="B123" s="67"/>
      <c r="C123" s="67"/>
      <c r="D123" s="67"/>
      <c r="E123" s="67"/>
      <c r="F123" s="67"/>
      <c r="G123" s="67"/>
      <c r="H123" s="67"/>
      <c r="I123" s="67"/>
      <c r="J123" s="67"/>
      <c r="K123" s="67"/>
      <c r="L123" s="67"/>
      <c r="M123" s="67"/>
      <c r="N123" s="67"/>
      <c r="O123" s="67"/>
      <c r="P123" s="67"/>
      <c r="Q123" s="67"/>
      <c r="R123" s="67"/>
      <c r="S123" s="67"/>
      <c r="T123" s="67"/>
      <c r="U123" s="67"/>
      <c r="V123" s="67"/>
      <c r="W123" s="67"/>
      <c r="X123" s="67"/>
      <c r="Y123" s="67"/>
      <c r="Z123" s="67"/>
    </row>
    <row r="124">
      <c r="A124" s="67"/>
      <c r="B124" s="67"/>
      <c r="C124" s="67"/>
      <c r="D124" s="67"/>
      <c r="E124" s="67"/>
      <c r="F124" s="67"/>
      <c r="G124" s="67"/>
      <c r="H124" s="67"/>
      <c r="I124" s="67"/>
      <c r="J124" s="67"/>
      <c r="K124" s="67"/>
      <c r="L124" s="67"/>
      <c r="M124" s="67"/>
      <c r="N124" s="67"/>
      <c r="O124" s="67"/>
      <c r="P124" s="67"/>
      <c r="Q124" s="67"/>
      <c r="R124" s="67"/>
      <c r="S124" s="67"/>
      <c r="T124" s="67"/>
      <c r="U124" s="67"/>
      <c r="V124" s="67"/>
      <c r="W124" s="67"/>
      <c r="X124" s="67"/>
      <c r="Y124" s="67"/>
      <c r="Z124" s="67"/>
    </row>
    <row r="125">
      <c r="A125" s="67"/>
      <c r="B125" s="67"/>
      <c r="C125" s="67"/>
      <c r="D125" s="67"/>
      <c r="E125" s="67"/>
      <c r="F125" s="67"/>
      <c r="G125" s="67"/>
      <c r="H125" s="67"/>
      <c r="I125" s="67"/>
      <c r="J125" s="67"/>
      <c r="K125" s="67"/>
      <c r="L125" s="67"/>
      <c r="M125" s="67"/>
      <c r="N125" s="67"/>
      <c r="O125" s="67"/>
      <c r="P125" s="67"/>
      <c r="Q125" s="67"/>
      <c r="R125" s="67"/>
      <c r="S125" s="67"/>
      <c r="T125" s="67"/>
      <c r="U125" s="67"/>
      <c r="V125" s="67"/>
      <c r="W125" s="67"/>
      <c r="X125" s="67"/>
      <c r="Y125" s="67"/>
      <c r="Z125" s="67"/>
    </row>
    <row r="126">
      <c r="A126" s="67"/>
      <c r="B126" s="67"/>
      <c r="C126" s="67"/>
      <c r="D126" s="67"/>
      <c r="E126" s="67"/>
      <c r="F126" s="67"/>
      <c r="G126" s="67"/>
      <c r="H126" s="67"/>
      <c r="I126" s="67"/>
      <c r="J126" s="67"/>
      <c r="K126" s="67"/>
      <c r="L126" s="67"/>
      <c r="M126" s="67"/>
      <c r="N126" s="67"/>
      <c r="O126" s="67"/>
      <c r="P126" s="67"/>
      <c r="Q126" s="67"/>
      <c r="R126" s="67"/>
      <c r="S126" s="67"/>
      <c r="T126" s="67"/>
      <c r="U126" s="67"/>
      <c r="V126" s="67"/>
      <c r="W126" s="67"/>
      <c r="X126" s="67"/>
      <c r="Y126" s="67"/>
      <c r="Z126" s="67"/>
    </row>
    <row r="127">
      <c r="A127" s="67"/>
      <c r="B127" s="67"/>
      <c r="C127" s="67"/>
      <c r="D127" s="67"/>
      <c r="E127" s="67"/>
      <c r="F127" s="67"/>
      <c r="G127" s="67"/>
      <c r="H127" s="67"/>
      <c r="I127" s="67"/>
      <c r="J127" s="67"/>
      <c r="K127" s="67"/>
      <c r="L127" s="67"/>
      <c r="M127" s="67"/>
      <c r="N127" s="67"/>
      <c r="O127" s="67"/>
      <c r="P127" s="67"/>
      <c r="Q127" s="67"/>
      <c r="R127" s="67"/>
      <c r="S127" s="67"/>
      <c r="T127" s="67"/>
      <c r="U127" s="67"/>
      <c r="V127" s="67"/>
      <c r="W127" s="67"/>
      <c r="X127" s="67"/>
      <c r="Y127" s="67"/>
      <c r="Z127" s="67"/>
    </row>
    <row r="128">
      <c r="A128" s="67"/>
      <c r="B128" s="67"/>
      <c r="C128" s="67"/>
      <c r="D128" s="67"/>
      <c r="E128" s="67"/>
      <c r="F128" s="67"/>
      <c r="G128" s="67"/>
      <c r="H128" s="67"/>
      <c r="I128" s="67"/>
      <c r="J128" s="67"/>
      <c r="K128" s="67"/>
      <c r="L128" s="67"/>
      <c r="M128" s="67"/>
      <c r="N128" s="67"/>
      <c r="O128" s="67"/>
      <c r="P128" s="67"/>
      <c r="Q128" s="67"/>
      <c r="R128" s="67"/>
      <c r="S128" s="67"/>
      <c r="T128" s="67"/>
      <c r="U128" s="67"/>
      <c r="V128" s="67"/>
      <c r="W128" s="67"/>
      <c r="X128" s="67"/>
      <c r="Y128" s="67"/>
      <c r="Z128" s="67"/>
    </row>
    <row r="129">
      <c r="A129" s="67"/>
      <c r="B129" s="67"/>
      <c r="C129" s="67"/>
      <c r="D129" s="67"/>
      <c r="E129" s="67"/>
      <c r="F129" s="67"/>
      <c r="G129" s="67"/>
      <c r="H129" s="67"/>
      <c r="I129" s="67"/>
      <c r="J129" s="67"/>
      <c r="K129" s="67"/>
      <c r="L129" s="67"/>
      <c r="M129" s="67"/>
      <c r="N129" s="67"/>
      <c r="O129" s="67"/>
      <c r="P129" s="67"/>
      <c r="Q129" s="67"/>
      <c r="R129" s="67"/>
      <c r="S129" s="67"/>
      <c r="T129" s="67"/>
      <c r="U129" s="67"/>
      <c r="V129" s="67"/>
      <c r="W129" s="67"/>
      <c r="X129" s="67"/>
      <c r="Y129" s="67"/>
      <c r="Z129" s="67"/>
    </row>
    <row r="130">
      <c r="A130" s="67"/>
      <c r="B130" s="67"/>
      <c r="C130" s="67"/>
      <c r="D130" s="67"/>
      <c r="E130" s="67"/>
      <c r="F130" s="67"/>
      <c r="G130" s="67"/>
      <c r="H130" s="67"/>
      <c r="I130" s="67"/>
      <c r="J130" s="67"/>
      <c r="K130" s="67"/>
      <c r="L130" s="67"/>
      <c r="M130" s="67"/>
      <c r="N130" s="67"/>
      <c r="O130" s="67"/>
      <c r="P130" s="67"/>
      <c r="Q130" s="67"/>
      <c r="R130" s="67"/>
      <c r="S130" s="67"/>
      <c r="T130" s="67"/>
      <c r="U130" s="67"/>
      <c r="V130" s="67"/>
      <c r="W130" s="67"/>
      <c r="X130" s="67"/>
      <c r="Y130" s="67"/>
      <c r="Z130" s="67"/>
    </row>
    <row r="131">
      <c r="A131" s="67"/>
      <c r="B131" s="67"/>
      <c r="C131" s="67"/>
      <c r="D131" s="67"/>
      <c r="E131" s="67"/>
      <c r="F131" s="67"/>
      <c r="G131" s="67"/>
      <c r="H131" s="67"/>
      <c r="I131" s="67"/>
      <c r="J131" s="67"/>
      <c r="K131" s="67"/>
      <c r="L131" s="67"/>
      <c r="M131" s="67"/>
      <c r="N131" s="67"/>
      <c r="O131" s="67"/>
      <c r="P131" s="67"/>
      <c r="Q131" s="67"/>
      <c r="R131" s="67"/>
      <c r="S131" s="67"/>
      <c r="T131" s="67"/>
      <c r="U131" s="67"/>
      <c r="V131" s="67"/>
      <c r="W131" s="67"/>
      <c r="X131" s="67"/>
      <c r="Y131" s="67"/>
      <c r="Z131" s="67"/>
    </row>
    <row r="132">
      <c r="A132" s="67"/>
      <c r="B132" s="67"/>
      <c r="C132" s="67"/>
      <c r="D132" s="67"/>
      <c r="E132" s="67"/>
      <c r="F132" s="67"/>
      <c r="G132" s="67"/>
      <c r="H132" s="67"/>
      <c r="I132" s="67"/>
      <c r="J132" s="67"/>
      <c r="K132" s="67"/>
      <c r="L132" s="67"/>
      <c r="M132" s="67"/>
      <c r="N132" s="67"/>
      <c r="O132" s="67"/>
      <c r="P132" s="67"/>
      <c r="Q132" s="67"/>
      <c r="R132" s="67"/>
      <c r="S132" s="67"/>
      <c r="T132" s="67"/>
      <c r="U132" s="67"/>
      <c r="V132" s="67"/>
      <c r="W132" s="67"/>
      <c r="X132" s="67"/>
      <c r="Y132" s="67"/>
      <c r="Z132" s="67"/>
    </row>
    <row r="133">
      <c r="A133" s="67"/>
      <c r="B133" s="67"/>
      <c r="C133" s="67"/>
      <c r="D133" s="67"/>
      <c r="E133" s="67"/>
      <c r="F133" s="67"/>
      <c r="G133" s="67"/>
      <c r="H133" s="67"/>
      <c r="I133" s="67"/>
      <c r="J133" s="67"/>
      <c r="K133" s="67"/>
      <c r="L133" s="67"/>
      <c r="M133" s="67"/>
      <c r="N133" s="67"/>
      <c r="O133" s="67"/>
      <c r="P133" s="67"/>
      <c r="Q133" s="67"/>
      <c r="R133" s="67"/>
      <c r="S133" s="67"/>
      <c r="T133" s="67"/>
      <c r="U133" s="67"/>
      <c r="V133" s="67"/>
      <c r="W133" s="67"/>
      <c r="X133" s="67"/>
      <c r="Y133" s="67"/>
      <c r="Z133" s="67"/>
    </row>
    <row r="134">
      <c r="A134" s="67"/>
      <c r="B134" s="67"/>
      <c r="C134" s="67"/>
      <c r="D134" s="67"/>
      <c r="E134" s="67"/>
      <c r="F134" s="67"/>
      <c r="G134" s="67"/>
      <c r="H134" s="67"/>
      <c r="I134" s="67"/>
      <c r="J134" s="67"/>
      <c r="K134" s="67"/>
      <c r="L134" s="67"/>
      <c r="M134" s="67"/>
      <c r="N134" s="67"/>
      <c r="O134" s="67"/>
      <c r="P134" s="67"/>
      <c r="Q134" s="67"/>
      <c r="R134" s="67"/>
      <c r="S134" s="67"/>
      <c r="T134" s="67"/>
      <c r="U134" s="67"/>
      <c r="V134" s="67"/>
      <c r="W134" s="67"/>
      <c r="X134" s="67"/>
      <c r="Y134" s="67"/>
      <c r="Z134" s="67"/>
    </row>
    <row r="135">
      <c r="A135" s="67"/>
      <c r="B135" s="67"/>
      <c r="C135" s="67"/>
      <c r="D135" s="67"/>
      <c r="E135" s="67"/>
      <c r="F135" s="67"/>
      <c r="G135" s="67"/>
      <c r="H135" s="67"/>
      <c r="I135" s="67"/>
      <c r="J135" s="67"/>
      <c r="K135" s="67"/>
      <c r="L135" s="67"/>
      <c r="M135" s="67"/>
      <c r="N135" s="67"/>
      <c r="O135" s="67"/>
      <c r="P135" s="67"/>
      <c r="Q135" s="67"/>
      <c r="R135" s="67"/>
      <c r="S135" s="67"/>
      <c r="T135" s="67"/>
      <c r="U135" s="67"/>
      <c r="V135" s="67"/>
      <c r="W135" s="67"/>
      <c r="X135" s="67"/>
      <c r="Y135" s="67"/>
      <c r="Z135" s="67"/>
    </row>
    <row r="136">
      <c r="A136" s="67"/>
      <c r="B136" s="67"/>
      <c r="C136" s="67"/>
      <c r="D136" s="67"/>
      <c r="E136" s="67"/>
      <c r="F136" s="67"/>
      <c r="G136" s="67"/>
      <c r="H136" s="67"/>
      <c r="I136" s="67"/>
      <c r="J136" s="67"/>
      <c r="K136" s="67"/>
      <c r="L136" s="67"/>
      <c r="M136" s="67"/>
      <c r="N136" s="67"/>
      <c r="O136" s="67"/>
      <c r="P136" s="67"/>
      <c r="Q136" s="67"/>
      <c r="R136" s="67"/>
      <c r="S136" s="67"/>
      <c r="T136" s="67"/>
      <c r="U136" s="67"/>
      <c r="V136" s="67"/>
      <c r="W136" s="67"/>
      <c r="X136" s="67"/>
      <c r="Y136" s="67"/>
      <c r="Z136" s="67"/>
    </row>
    <row r="137">
      <c r="A137" s="67"/>
      <c r="B137" s="67"/>
      <c r="C137" s="67"/>
      <c r="D137" s="67"/>
      <c r="E137" s="67"/>
      <c r="F137" s="67"/>
      <c r="G137" s="67"/>
      <c r="H137" s="67"/>
      <c r="I137" s="67"/>
      <c r="J137" s="67"/>
      <c r="K137" s="67"/>
      <c r="L137" s="67"/>
      <c r="M137" s="67"/>
      <c r="N137" s="67"/>
      <c r="O137" s="67"/>
      <c r="P137" s="67"/>
      <c r="Q137" s="67"/>
      <c r="R137" s="67"/>
      <c r="S137" s="67"/>
      <c r="T137" s="67"/>
      <c r="U137" s="67"/>
      <c r="V137" s="67"/>
      <c r="W137" s="67"/>
      <c r="X137" s="67"/>
      <c r="Y137" s="67"/>
      <c r="Z137" s="67"/>
    </row>
    <row r="138">
      <c r="A138" s="67"/>
      <c r="B138" s="67"/>
      <c r="C138" s="67"/>
      <c r="D138" s="67"/>
      <c r="E138" s="67"/>
      <c r="F138" s="67"/>
      <c r="G138" s="67"/>
      <c r="H138" s="67"/>
      <c r="I138" s="67"/>
      <c r="J138" s="67"/>
      <c r="K138" s="67"/>
      <c r="L138" s="67"/>
      <c r="M138" s="67"/>
      <c r="N138" s="67"/>
      <c r="O138" s="67"/>
      <c r="P138" s="67"/>
      <c r="Q138" s="67"/>
      <c r="R138" s="67"/>
      <c r="S138" s="67"/>
      <c r="T138" s="67"/>
      <c r="U138" s="67"/>
      <c r="V138" s="67"/>
      <c r="W138" s="67"/>
      <c r="X138" s="67"/>
      <c r="Y138" s="67"/>
      <c r="Z138" s="67"/>
    </row>
    <row r="139">
      <c r="A139" s="67"/>
      <c r="B139" s="67"/>
      <c r="C139" s="67"/>
      <c r="D139" s="67"/>
      <c r="E139" s="67"/>
      <c r="F139" s="67"/>
      <c r="G139" s="67"/>
      <c r="H139" s="67"/>
      <c r="I139" s="67"/>
      <c r="J139" s="67"/>
      <c r="K139" s="67"/>
      <c r="L139" s="67"/>
      <c r="M139" s="67"/>
      <c r="N139" s="67"/>
      <c r="O139" s="67"/>
      <c r="P139" s="67"/>
      <c r="Q139" s="67"/>
      <c r="R139" s="67"/>
      <c r="S139" s="67"/>
      <c r="T139" s="67"/>
      <c r="U139" s="67"/>
      <c r="V139" s="67"/>
      <c r="W139" s="67"/>
      <c r="X139" s="67"/>
      <c r="Y139" s="67"/>
      <c r="Z139" s="67"/>
    </row>
    <row r="140">
      <c r="A140" s="67"/>
      <c r="B140" s="67"/>
      <c r="C140" s="67"/>
      <c r="D140" s="67"/>
      <c r="E140" s="67"/>
      <c r="F140" s="67"/>
      <c r="G140" s="67"/>
      <c r="H140" s="67"/>
      <c r="I140" s="67"/>
      <c r="J140" s="67"/>
      <c r="K140" s="67"/>
      <c r="L140" s="67"/>
      <c r="M140" s="67"/>
      <c r="N140" s="67"/>
      <c r="O140" s="67"/>
      <c r="P140" s="67"/>
      <c r="Q140" s="67"/>
      <c r="R140" s="67"/>
      <c r="S140" s="67"/>
      <c r="T140" s="67"/>
      <c r="U140" s="67"/>
      <c r="V140" s="67"/>
      <c r="W140" s="67"/>
      <c r="X140" s="67"/>
      <c r="Y140" s="67"/>
      <c r="Z140" s="67"/>
    </row>
    <row r="141">
      <c r="A141" s="67"/>
      <c r="B141" s="67"/>
      <c r="C141" s="67"/>
      <c r="D141" s="67"/>
      <c r="E141" s="67"/>
      <c r="F141" s="67"/>
      <c r="G141" s="67"/>
      <c r="H141" s="67"/>
      <c r="I141" s="67"/>
      <c r="J141" s="67"/>
      <c r="K141" s="67"/>
      <c r="L141" s="67"/>
      <c r="M141" s="67"/>
      <c r="N141" s="67"/>
      <c r="O141" s="67"/>
      <c r="P141" s="67"/>
      <c r="Q141" s="67"/>
      <c r="R141" s="67"/>
      <c r="S141" s="67"/>
      <c r="T141" s="67"/>
      <c r="U141" s="67"/>
      <c r="V141" s="67"/>
      <c r="W141" s="67"/>
      <c r="X141" s="67"/>
      <c r="Y141" s="67"/>
      <c r="Z141" s="67"/>
    </row>
    <row r="142">
      <c r="A142" s="67"/>
      <c r="B142" s="67"/>
      <c r="C142" s="67"/>
      <c r="D142" s="67"/>
      <c r="E142" s="67"/>
      <c r="F142" s="67"/>
      <c r="G142" s="67"/>
      <c r="H142" s="67"/>
      <c r="I142" s="67"/>
      <c r="J142" s="67"/>
      <c r="K142" s="67"/>
      <c r="L142" s="67"/>
      <c r="M142" s="67"/>
      <c r="N142" s="67"/>
      <c r="O142" s="67"/>
      <c r="P142" s="67"/>
      <c r="Q142" s="67"/>
      <c r="R142" s="67"/>
      <c r="S142" s="67"/>
      <c r="T142" s="67"/>
      <c r="U142" s="67"/>
      <c r="V142" s="67"/>
      <c r="W142" s="67"/>
      <c r="X142" s="67"/>
      <c r="Y142" s="67"/>
      <c r="Z142" s="67"/>
    </row>
    <row r="143">
      <c r="A143" s="67"/>
      <c r="B143" s="67"/>
      <c r="C143" s="67"/>
      <c r="D143" s="67"/>
      <c r="E143" s="67"/>
      <c r="F143" s="67"/>
      <c r="G143" s="67"/>
      <c r="H143" s="67"/>
      <c r="I143" s="67"/>
      <c r="J143" s="67"/>
      <c r="K143" s="67"/>
      <c r="L143" s="67"/>
      <c r="M143" s="67"/>
      <c r="N143" s="67"/>
      <c r="O143" s="67"/>
      <c r="P143" s="67"/>
      <c r="Q143" s="67"/>
      <c r="R143" s="67"/>
      <c r="S143" s="67"/>
      <c r="T143" s="67"/>
      <c r="U143" s="67"/>
      <c r="V143" s="67"/>
      <c r="W143" s="67"/>
      <c r="X143" s="67"/>
      <c r="Y143" s="67"/>
      <c r="Z143" s="67"/>
    </row>
    <row r="144">
      <c r="A144" s="67"/>
      <c r="B144" s="67"/>
      <c r="C144" s="67"/>
      <c r="D144" s="67"/>
      <c r="E144" s="67"/>
      <c r="F144" s="67"/>
      <c r="G144" s="67"/>
      <c r="H144" s="67"/>
      <c r="I144" s="67"/>
      <c r="J144" s="67"/>
      <c r="K144" s="67"/>
      <c r="L144" s="67"/>
      <c r="M144" s="67"/>
      <c r="N144" s="67"/>
      <c r="O144" s="67"/>
      <c r="P144" s="67"/>
      <c r="Q144" s="67"/>
      <c r="R144" s="67"/>
      <c r="S144" s="67"/>
      <c r="T144" s="67"/>
      <c r="U144" s="67"/>
      <c r="V144" s="67"/>
      <c r="W144" s="67"/>
      <c r="X144" s="67"/>
      <c r="Y144" s="67"/>
      <c r="Z144" s="67"/>
    </row>
    <row r="145">
      <c r="A145" s="67"/>
      <c r="B145" s="67"/>
      <c r="C145" s="67"/>
      <c r="D145" s="67"/>
      <c r="E145" s="67"/>
      <c r="F145" s="67"/>
      <c r="G145" s="67"/>
      <c r="H145" s="67"/>
      <c r="I145" s="67"/>
      <c r="J145" s="67"/>
      <c r="K145" s="67"/>
      <c r="L145" s="67"/>
      <c r="M145" s="67"/>
      <c r="N145" s="67"/>
      <c r="O145" s="67"/>
      <c r="P145" s="67"/>
      <c r="Q145" s="67"/>
      <c r="R145" s="67"/>
      <c r="S145" s="67"/>
      <c r="T145" s="67"/>
      <c r="U145" s="67"/>
      <c r="V145" s="67"/>
      <c r="W145" s="67"/>
      <c r="X145" s="67"/>
      <c r="Y145" s="67"/>
      <c r="Z145" s="67"/>
    </row>
    <row r="146">
      <c r="A146" s="67"/>
      <c r="B146" s="67"/>
      <c r="C146" s="67"/>
      <c r="D146" s="67"/>
      <c r="E146" s="67"/>
      <c r="F146" s="67"/>
      <c r="G146" s="67"/>
      <c r="H146" s="67"/>
      <c r="I146" s="67"/>
      <c r="J146" s="67"/>
      <c r="K146" s="67"/>
      <c r="L146" s="67"/>
      <c r="M146" s="67"/>
      <c r="N146" s="67"/>
      <c r="O146" s="67"/>
      <c r="P146" s="67"/>
      <c r="Q146" s="67"/>
      <c r="R146" s="67"/>
      <c r="S146" s="67"/>
      <c r="T146" s="67"/>
      <c r="U146" s="67"/>
      <c r="V146" s="67"/>
      <c r="W146" s="67"/>
      <c r="X146" s="67"/>
      <c r="Y146" s="67"/>
      <c r="Z146" s="67"/>
    </row>
    <row r="147">
      <c r="A147" s="67"/>
      <c r="B147" s="67"/>
      <c r="C147" s="67"/>
      <c r="D147" s="67"/>
      <c r="E147" s="67"/>
      <c r="F147" s="67"/>
      <c r="G147" s="67"/>
      <c r="H147" s="67"/>
      <c r="I147" s="67"/>
      <c r="J147" s="67"/>
      <c r="K147" s="67"/>
      <c r="L147" s="67"/>
      <c r="M147" s="67"/>
      <c r="N147" s="67"/>
      <c r="O147" s="67"/>
      <c r="P147" s="67"/>
      <c r="Q147" s="67"/>
      <c r="R147" s="67"/>
      <c r="S147" s="67"/>
      <c r="T147" s="67"/>
      <c r="U147" s="67"/>
      <c r="V147" s="67"/>
      <c r="W147" s="67"/>
      <c r="X147" s="67"/>
      <c r="Y147" s="67"/>
      <c r="Z147" s="67"/>
    </row>
    <row r="148">
      <c r="A148" s="67"/>
      <c r="B148" s="67"/>
      <c r="C148" s="67"/>
      <c r="D148" s="67"/>
      <c r="E148" s="67"/>
      <c r="F148" s="67"/>
      <c r="G148" s="67"/>
      <c r="H148" s="67"/>
      <c r="I148" s="67"/>
      <c r="J148" s="67"/>
      <c r="K148" s="67"/>
      <c r="L148" s="67"/>
      <c r="M148" s="67"/>
      <c r="N148" s="67"/>
      <c r="O148" s="67"/>
      <c r="P148" s="67"/>
      <c r="Q148" s="67"/>
      <c r="R148" s="67"/>
      <c r="S148" s="67"/>
      <c r="T148" s="67"/>
      <c r="U148" s="67"/>
      <c r="V148" s="67"/>
      <c r="W148" s="67"/>
      <c r="X148" s="67"/>
      <c r="Y148" s="67"/>
      <c r="Z148" s="67"/>
    </row>
    <row r="149">
      <c r="A149" s="67"/>
      <c r="B149" s="67"/>
      <c r="C149" s="67"/>
      <c r="D149" s="67"/>
      <c r="E149" s="67"/>
      <c r="F149" s="67"/>
      <c r="G149" s="67"/>
      <c r="H149" s="67"/>
      <c r="I149" s="67"/>
      <c r="J149" s="67"/>
      <c r="K149" s="67"/>
      <c r="L149" s="67"/>
      <c r="M149" s="67"/>
      <c r="N149" s="67"/>
      <c r="O149" s="67"/>
      <c r="P149" s="67"/>
      <c r="Q149" s="67"/>
      <c r="R149" s="67"/>
      <c r="S149" s="67"/>
      <c r="T149" s="67"/>
      <c r="U149" s="67"/>
      <c r="V149" s="67"/>
      <c r="W149" s="67"/>
      <c r="X149" s="67"/>
      <c r="Y149" s="67"/>
      <c r="Z149" s="67"/>
    </row>
    <row r="150">
      <c r="A150" s="67"/>
      <c r="B150" s="67"/>
      <c r="C150" s="67"/>
      <c r="D150" s="67"/>
      <c r="E150" s="67"/>
      <c r="F150" s="67"/>
      <c r="G150" s="67"/>
      <c r="H150" s="67"/>
      <c r="I150" s="67"/>
      <c r="J150" s="67"/>
      <c r="K150" s="67"/>
      <c r="L150" s="67"/>
      <c r="M150" s="67"/>
      <c r="N150" s="67"/>
      <c r="O150" s="67"/>
      <c r="P150" s="67"/>
      <c r="Q150" s="67"/>
      <c r="R150" s="67"/>
      <c r="S150" s="67"/>
      <c r="T150" s="67"/>
      <c r="U150" s="67"/>
      <c r="V150" s="67"/>
      <c r="W150" s="67"/>
      <c r="X150" s="67"/>
      <c r="Y150" s="67"/>
      <c r="Z150" s="67"/>
    </row>
    <row r="151">
      <c r="A151" s="67"/>
      <c r="B151" s="67"/>
      <c r="C151" s="67"/>
      <c r="D151" s="67"/>
      <c r="E151" s="67"/>
      <c r="F151" s="67"/>
      <c r="G151" s="67"/>
      <c r="H151" s="67"/>
      <c r="I151" s="67"/>
      <c r="J151" s="67"/>
      <c r="K151" s="67"/>
      <c r="L151" s="67"/>
      <c r="M151" s="67"/>
      <c r="N151" s="67"/>
      <c r="O151" s="67"/>
      <c r="P151" s="67"/>
      <c r="Q151" s="67"/>
      <c r="R151" s="67"/>
      <c r="S151" s="67"/>
      <c r="T151" s="67"/>
      <c r="U151" s="67"/>
      <c r="V151" s="67"/>
      <c r="W151" s="67"/>
      <c r="X151" s="67"/>
      <c r="Y151" s="67"/>
      <c r="Z151" s="67"/>
    </row>
    <row r="152">
      <c r="A152" s="67"/>
      <c r="B152" s="67"/>
      <c r="C152" s="67"/>
      <c r="D152" s="67"/>
      <c r="E152" s="67"/>
      <c r="F152" s="67"/>
      <c r="G152" s="67"/>
      <c r="H152" s="67"/>
      <c r="I152" s="67"/>
      <c r="J152" s="67"/>
      <c r="K152" s="67"/>
      <c r="L152" s="67"/>
      <c r="M152" s="67"/>
      <c r="N152" s="67"/>
      <c r="O152" s="67"/>
      <c r="P152" s="67"/>
      <c r="Q152" s="67"/>
      <c r="R152" s="67"/>
      <c r="S152" s="67"/>
      <c r="T152" s="67"/>
      <c r="U152" s="67"/>
      <c r="V152" s="67"/>
      <c r="W152" s="67"/>
      <c r="X152" s="67"/>
      <c r="Y152" s="67"/>
      <c r="Z152" s="67"/>
    </row>
    <row r="153">
      <c r="A153" s="67"/>
      <c r="B153" s="67"/>
      <c r="C153" s="67"/>
      <c r="D153" s="67"/>
      <c r="E153" s="67"/>
      <c r="F153" s="67"/>
      <c r="G153" s="67"/>
      <c r="H153" s="67"/>
      <c r="I153" s="67"/>
      <c r="J153" s="67"/>
      <c r="K153" s="67"/>
      <c r="L153" s="67"/>
      <c r="M153" s="67"/>
      <c r="N153" s="67"/>
      <c r="O153" s="67"/>
      <c r="P153" s="67"/>
      <c r="Q153" s="67"/>
      <c r="R153" s="67"/>
      <c r="S153" s="67"/>
      <c r="T153" s="67"/>
      <c r="U153" s="67"/>
      <c r="V153" s="67"/>
      <c r="W153" s="67"/>
      <c r="X153" s="67"/>
      <c r="Y153" s="67"/>
      <c r="Z153" s="67"/>
    </row>
    <row r="154">
      <c r="A154" s="67"/>
      <c r="B154" s="67"/>
      <c r="C154" s="67"/>
      <c r="D154" s="67"/>
      <c r="E154" s="67"/>
      <c r="F154" s="67"/>
      <c r="G154" s="67"/>
      <c r="H154" s="67"/>
      <c r="I154" s="67"/>
      <c r="J154" s="67"/>
      <c r="K154" s="67"/>
      <c r="L154" s="67"/>
      <c r="M154" s="67"/>
      <c r="N154" s="67"/>
      <c r="O154" s="67"/>
      <c r="P154" s="67"/>
      <c r="Q154" s="67"/>
      <c r="R154" s="67"/>
      <c r="S154" s="67"/>
      <c r="T154" s="67"/>
      <c r="U154" s="67"/>
      <c r="V154" s="67"/>
      <c r="W154" s="67"/>
      <c r="X154" s="67"/>
      <c r="Y154" s="67"/>
      <c r="Z154" s="67"/>
    </row>
    <row r="155">
      <c r="A155" s="67"/>
      <c r="B155" s="67"/>
      <c r="C155" s="67"/>
      <c r="D155" s="67"/>
      <c r="E155" s="67"/>
      <c r="F155" s="67"/>
      <c r="G155" s="67"/>
      <c r="H155" s="67"/>
      <c r="I155" s="67"/>
      <c r="J155" s="67"/>
      <c r="K155" s="67"/>
      <c r="L155" s="67"/>
      <c r="M155" s="67"/>
      <c r="N155" s="67"/>
      <c r="O155" s="67"/>
      <c r="P155" s="67"/>
      <c r="Q155" s="67"/>
      <c r="R155" s="67"/>
      <c r="S155" s="67"/>
      <c r="T155" s="67"/>
      <c r="U155" s="67"/>
      <c r="V155" s="67"/>
      <c r="W155" s="67"/>
      <c r="X155" s="67"/>
      <c r="Y155" s="67"/>
      <c r="Z155" s="67"/>
    </row>
    <row r="156">
      <c r="A156" s="67"/>
      <c r="B156" s="67"/>
      <c r="C156" s="67"/>
      <c r="D156" s="67"/>
      <c r="E156" s="67"/>
      <c r="F156" s="67"/>
      <c r="G156" s="67"/>
      <c r="H156" s="67"/>
      <c r="I156" s="67"/>
      <c r="J156" s="67"/>
      <c r="K156" s="67"/>
      <c r="L156" s="67"/>
      <c r="M156" s="67"/>
      <c r="N156" s="67"/>
      <c r="O156" s="67"/>
      <c r="P156" s="67"/>
      <c r="Q156" s="67"/>
      <c r="R156" s="67"/>
      <c r="S156" s="67"/>
      <c r="T156" s="67"/>
      <c r="U156" s="67"/>
      <c r="V156" s="67"/>
      <c r="W156" s="67"/>
      <c r="X156" s="67"/>
      <c r="Y156" s="67"/>
      <c r="Z156" s="67"/>
    </row>
    <row r="157">
      <c r="A157" s="67"/>
      <c r="B157" s="67"/>
      <c r="C157" s="67"/>
      <c r="D157" s="67"/>
      <c r="E157" s="67"/>
      <c r="F157" s="67"/>
      <c r="G157" s="67"/>
      <c r="H157" s="67"/>
      <c r="I157" s="67"/>
      <c r="J157" s="67"/>
      <c r="K157" s="67"/>
      <c r="L157" s="67"/>
      <c r="M157" s="67"/>
      <c r="N157" s="67"/>
      <c r="O157" s="67"/>
      <c r="P157" s="67"/>
      <c r="Q157" s="67"/>
      <c r="R157" s="67"/>
      <c r="S157" s="67"/>
      <c r="T157" s="67"/>
      <c r="U157" s="67"/>
      <c r="V157" s="67"/>
      <c r="W157" s="67"/>
      <c r="X157" s="67"/>
      <c r="Y157" s="67"/>
      <c r="Z157" s="67"/>
    </row>
    <row r="158">
      <c r="A158" s="67"/>
      <c r="B158" s="67"/>
      <c r="C158" s="67"/>
      <c r="D158" s="67"/>
      <c r="E158" s="67"/>
      <c r="F158" s="67"/>
      <c r="G158" s="67"/>
      <c r="H158" s="67"/>
      <c r="I158" s="67"/>
      <c r="J158" s="67"/>
      <c r="K158" s="67"/>
      <c r="L158" s="67"/>
      <c r="M158" s="67"/>
      <c r="N158" s="67"/>
      <c r="O158" s="67"/>
      <c r="P158" s="67"/>
      <c r="Q158" s="67"/>
      <c r="R158" s="67"/>
      <c r="S158" s="67"/>
      <c r="T158" s="67"/>
      <c r="U158" s="67"/>
      <c r="V158" s="67"/>
      <c r="W158" s="67"/>
      <c r="X158" s="67"/>
      <c r="Y158" s="67"/>
      <c r="Z158" s="67"/>
    </row>
    <row r="159">
      <c r="A159" s="67"/>
      <c r="B159" s="67"/>
      <c r="C159" s="67"/>
      <c r="D159" s="67"/>
      <c r="E159" s="67"/>
      <c r="F159" s="67"/>
      <c r="G159" s="67"/>
      <c r="H159" s="67"/>
      <c r="I159" s="67"/>
      <c r="J159" s="67"/>
      <c r="K159" s="67"/>
      <c r="L159" s="67"/>
      <c r="M159" s="67"/>
      <c r="N159" s="67"/>
      <c r="O159" s="67"/>
      <c r="P159" s="67"/>
      <c r="Q159" s="67"/>
      <c r="R159" s="67"/>
      <c r="S159" s="67"/>
      <c r="T159" s="67"/>
      <c r="U159" s="67"/>
      <c r="V159" s="67"/>
      <c r="W159" s="67"/>
      <c r="X159" s="67"/>
      <c r="Y159" s="67"/>
      <c r="Z159" s="67"/>
    </row>
    <row r="160">
      <c r="A160" s="67"/>
      <c r="B160" s="67"/>
      <c r="C160" s="67"/>
      <c r="D160" s="67"/>
      <c r="E160" s="67"/>
      <c r="F160" s="67"/>
      <c r="G160" s="67"/>
      <c r="H160" s="67"/>
      <c r="I160" s="67"/>
      <c r="J160" s="67"/>
      <c r="K160" s="67"/>
      <c r="L160" s="67"/>
      <c r="M160" s="67"/>
      <c r="N160" s="67"/>
      <c r="O160" s="67"/>
      <c r="P160" s="67"/>
      <c r="Q160" s="67"/>
      <c r="R160" s="67"/>
      <c r="S160" s="67"/>
      <c r="T160" s="67"/>
      <c r="U160" s="67"/>
      <c r="V160" s="67"/>
      <c r="W160" s="67"/>
      <c r="X160" s="67"/>
      <c r="Y160" s="67"/>
      <c r="Z160" s="67"/>
    </row>
    <row r="161">
      <c r="A161" s="67"/>
      <c r="B161" s="67"/>
      <c r="C161" s="67"/>
      <c r="D161" s="67"/>
      <c r="E161" s="67"/>
      <c r="F161" s="67"/>
      <c r="G161" s="67"/>
      <c r="H161" s="67"/>
      <c r="I161" s="67"/>
      <c r="J161" s="67"/>
      <c r="K161" s="67"/>
      <c r="L161" s="67"/>
      <c r="M161" s="67"/>
      <c r="N161" s="67"/>
      <c r="O161" s="67"/>
      <c r="P161" s="67"/>
      <c r="Q161" s="67"/>
      <c r="R161" s="67"/>
      <c r="S161" s="67"/>
      <c r="T161" s="67"/>
      <c r="U161" s="67"/>
      <c r="V161" s="67"/>
      <c r="W161" s="67"/>
      <c r="X161" s="67"/>
      <c r="Y161" s="67"/>
      <c r="Z161" s="67"/>
    </row>
    <row r="162">
      <c r="A162" s="67"/>
      <c r="B162" s="67"/>
      <c r="C162" s="67"/>
      <c r="D162" s="67"/>
      <c r="E162" s="67"/>
      <c r="F162" s="67"/>
      <c r="G162" s="67"/>
      <c r="H162" s="67"/>
      <c r="I162" s="67"/>
      <c r="J162" s="67"/>
      <c r="K162" s="67"/>
      <c r="L162" s="67"/>
      <c r="M162" s="67"/>
      <c r="N162" s="67"/>
      <c r="O162" s="67"/>
      <c r="P162" s="67"/>
      <c r="Q162" s="67"/>
      <c r="R162" s="67"/>
      <c r="S162" s="67"/>
      <c r="T162" s="67"/>
      <c r="U162" s="67"/>
      <c r="V162" s="67"/>
      <c r="W162" s="67"/>
      <c r="X162" s="67"/>
      <c r="Y162" s="67"/>
      <c r="Z162" s="67"/>
    </row>
    <row r="163">
      <c r="A163" s="67"/>
      <c r="B163" s="67"/>
      <c r="C163" s="67"/>
      <c r="D163" s="67"/>
      <c r="E163" s="67"/>
      <c r="F163" s="67"/>
      <c r="G163" s="67"/>
      <c r="H163" s="67"/>
      <c r="I163" s="67"/>
      <c r="J163" s="67"/>
      <c r="K163" s="67"/>
      <c r="L163" s="67"/>
      <c r="M163" s="67"/>
      <c r="N163" s="67"/>
      <c r="O163" s="67"/>
      <c r="P163" s="67"/>
      <c r="Q163" s="67"/>
      <c r="R163" s="67"/>
      <c r="S163" s="67"/>
      <c r="T163" s="67"/>
      <c r="U163" s="67"/>
      <c r="V163" s="67"/>
      <c r="W163" s="67"/>
      <c r="X163" s="67"/>
      <c r="Y163" s="67"/>
      <c r="Z163" s="67"/>
    </row>
    <row r="164">
      <c r="A164" s="67"/>
      <c r="B164" s="67"/>
      <c r="C164" s="67"/>
      <c r="D164" s="67"/>
      <c r="E164" s="67"/>
      <c r="F164" s="67"/>
      <c r="G164" s="67"/>
      <c r="H164" s="67"/>
      <c r="I164" s="67"/>
      <c r="J164" s="67"/>
      <c r="K164" s="67"/>
      <c r="L164" s="67"/>
      <c r="M164" s="67"/>
      <c r="N164" s="67"/>
      <c r="O164" s="67"/>
      <c r="P164" s="67"/>
      <c r="Q164" s="67"/>
      <c r="R164" s="67"/>
      <c r="S164" s="67"/>
      <c r="T164" s="67"/>
      <c r="U164" s="67"/>
      <c r="V164" s="67"/>
      <c r="W164" s="67"/>
      <c r="X164" s="67"/>
      <c r="Y164" s="67"/>
      <c r="Z164" s="67"/>
    </row>
    <row r="165">
      <c r="A165" s="67"/>
      <c r="B165" s="67"/>
      <c r="C165" s="67"/>
      <c r="D165" s="67"/>
      <c r="E165" s="67"/>
      <c r="F165" s="67"/>
      <c r="G165" s="67"/>
      <c r="H165" s="67"/>
      <c r="I165" s="67"/>
      <c r="J165" s="67"/>
      <c r="K165" s="67"/>
      <c r="L165" s="67"/>
      <c r="M165" s="67"/>
      <c r="N165" s="67"/>
      <c r="O165" s="67"/>
      <c r="P165" s="67"/>
      <c r="Q165" s="67"/>
      <c r="R165" s="67"/>
      <c r="S165" s="67"/>
      <c r="T165" s="67"/>
      <c r="U165" s="67"/>
      <c r="V165" s="67"/>
      <c r="W165" s="67"/>
      <c r="X165" s="67"/>
      <c r="Y165" s="67"/>
      <c r="Z165" s="67"/>
    </row>
    <row r="166">
      <c r="A166" s="67"/>
      <c r="B166" s="67"/>
      <c r="C166" s="67"/>
      <c r="D166" s="67"/>
      <c r="E166" s="67"/>
      <c r="F166" s="67"/>
      <c r="G166" s="67"/>
      <c r="H166" s="67"/>
      <c r="I166" s="67"/>
      <c r="J166" s="67"/>
      <c r="K166" s="67"/>
      <c r="L166" s="67"/>
      <c r="M166" s="67"/>
      <c r="N166" s="67"/>
      <c r="O166" s="67"/>
      <c r="P166" s="67"/>
      <c r="Q166" s="67"/>
      <c r="R166" s="67"/>
      <c r="S166" s="67"/>
      <c r="T166" s="67"/>
      <c r="U166" s="67"/>
      <c r="V166" s="67"/>
      <c r="W166" s="67"/>
      <c r="X166" s="67"/>
      <c r="Y166" s="67"/>
      <c r="Z166" s="67"/>
    </row>
    <row r="167">
      <c r="A167" s="67"/>
      <c r="B167" s="67"/>
      <c r="C167" s="67"/>
      <c r="D167" s="67"/>
      <c r="E167" s="67"/>
      <c r="F167" s="67"/>
      <c r="G167" s="67"/>
      <c r="H167" s="67"/>
      <c r="I167" s="67"/>
      <c r="J167" s="67"/>
      <c r="K167" s="67"/>
      <c r="L167" s="67"/>
      <c r="M167" s="67"/>
      <c r="N167" s="67"/>
      <c r="O167" s="67"/>
      <c r="P167" s="67"/>
      <c r="Q167" s="67"/>
      <c r="R167" s="67"/>
      <c r="S167" s="67"/>
      <c r="T167" s="67"/>
      <c r="U167" s="67"/>
      <c r="V167" s="67"/>
      <c r="W167" s="67"/>
      <c r="X167" s="67"/>
      <c r="Y167" s="67"/>
      <c r="Z167" s="67"/>
    </row>
    <row r="168">
      <c r="A168" s="67"/>
      <c r="B168" s="67"/>
      <c r="C168" s="67"/>
      <c r="D168" s="67"/>
      <c r="E168" s="67"/>
      <c r="F168" s="67"/>
      <c r="G168" s="67"/>
      <c r="H168" s="67"/>
      <c r="I168" s="67"/>
      <c r="J168" s="67"/>
      <c r="K168" s="67"/>
      <c r="L168" s="67"/>
      <c r="M168" s="67"/>
      <c r="N168" s="67"/>
      <c r="O168" s="67"/>
      <c r="P168" s="67"/>
      <c r="Q168" s="67"/>
      <c r="R168" s="67"/>
      <c r="S168" s="67"/>
      <c r="T168" s="67"/>
      <c r="U168" s="67"/>
      <c r="V168" s="67"/>
      <c r="W168" s="67"/>
      <c r="X168" s="67"/>
      <c r="Y168" s="67"/>
      <c r="Z168" s="67"/>
    </row>
    <row r="169">
      <c r="A169" s="67"/>
      <c r="B169" s="67"/>
      <c r="C169" s="67"/>
      <c r="D169" s="67"/>
      <c r="E169" s="67"/>
      <c r="F169" s="67"/>
      <c r="G169" s="67"/>
      <c r="H169" s="67"/>
      <c r="I169" s="67"/>
      <c r="J169" s="67"/>
      <c r="K169" s="67"/>
      <c r="L169" s="67"/>
      <c r="M169" s="67"/>
      <c r="N169" s="67"/>
      <c r="O169" s="67"/>
      <c r="P169" s="67"/>
      <c r="Q169" s="67"/>
      <c r="R169" s="67"/>
      <c r="S169" s="67"/>
      <c r="T169" s="67"/>
      <c r="U169" s="67"/>
      <c r="V169" s="67"/>
      <c r="W169" s="67"/>
      <c r="X169" s="67"/>
      <c r="Y169" s="67"/>
      <c r="Z169" s="67"/>
    </row>
    <row r="170">
      <c r="A170" s="67"/>
      <c r="B170" s="67"/>
      <c r="C170" s="67"/>
      <c r="D170" s="67"/>
      <c r="E170" s="67"/>
      <c r="F170" s="67"/>
      <c r="G170" s="67"/>
      <c r="H170" s="67"/>
      <c r="I170" s="67"/>
      <c r="J170" s="67"/>
      <c r="K170" s="67"/>
      <c r="L170" s="67"/>
      <c r="M170" s="67"/>
      <c r="N170" s="67"/>
      <c r="O170" s="67"/>
      <c r="P170" s="67"/>
      <c r="Q170" s="67"/>
      <c r="R170" s="67"/>
      <c r="S170" s="67"/>
      <c r="T170" s="67"/>
      <c r="U170" s="67"/>
      <c r="V170" s="67"/>
      <c r="W170" s="67"/>
      <c r="X170" s="67"/>
      <c r="Y170" s="67"/>
      <c r="Z170" s="67"/>
    </row>
    <row r="171">
      <c r="A171" s="67"/>
      <c r="B171" s="67"/>
      <c r="C171" s="67"/>
      <c r="D171" s="67"/>
      <c r="E171" s="67"/>
      <c r="F171" s="67"/>
      <c r="G171" s="67"/>
      <c r="H171" s="67"/>
      <c r="I171" s="67"/>
      <c r="J171" s="67"/>
      <c r="K171" s="67"/>
      <c r="L171" s="67"/>
      <c r="M171" s="67"/>
      <c r="N171" s="67"/>
      <c r="O171" s="67"/>
      <c r="P171" s="67"/>
      <c r="Q171" s="67"/>
      <c r="R171" s="67"/>
      <c r="S171" s="67"/>
      <c r="T171" s="67"/>
      <c r="U171" s="67"/>
      <c r="V171" s="67"/>
      <c r="W171" s="67"/>
      <c r="X171" s="67"/>
      <c r="Y171" s="67"/>
      <c r="Z171" s="67"/>
    </row>
    <row r="172">
      <c r="A172" s="67"/>
      <c r="B172" s="67"/>
      <c r="C172" s="67"/>
      <c r="D172" s="67"/>
      <c r="E172" s="67"/>
      <c r="F172" s="67"/>
      <c r="G172" s="67"/>
      <c r="H172" s="67"/>
      <c r="I172" s="67"/>
      <c r="J172" s="67"/>
      <c r="K172" s="67"/>
      <c r="L172" s="67"/>
      <c r="M172" s="67"/>
      <c r="N172" s="67"/>
      <c r="O172" s="67"/>
      <c r="P172" s="67"/>
      <c r="Q172" s="67"/>
      <c r="R172" s="67"/>
      <c r="S172" s="67"/>
      <c r="T172" s="67"/>
      <c r="U172" s="67"/>
      <c r="V172" s="67"/>
      <c r="W172" s="67"/>
      <c r="X172" s="67"/>
      <c r="Y172" s="67"/>
      <c r="Z172" s="67"/>
    </row>
    <row r="173">
      <c r="A173" s="67"/>
      <c r="B173" s="67"/>
      <c r="C173" s="67"/>
      <c r="D173" s="67"/>
      <c r="E173" s="67"/>
      <c r="F173" s="67"/>
      <c r="G173" s="67"/>
      <c r="H173" s="67"/>
      <c r="I173" s="67"/>
      <c r="J173" s="67"/>
      <c r="K173" s="67"/>
      <c r="L173" s="67"/>
      <c r="M173" s="67"/>
      <c r="N173" s="67"/>
      <c r="O173" s="67"/>
      <c r="P173" s="67"/>
      <c r="Q173" s="67"/>
      <c r="R173" s="67"/>
      <c r="S173" s="67"/>
      <c r="T173" s="67"/>
      <c r="U173" s="67"/>
      <c r="V173" s="67"/>
      <c r="W173" s="67"/>
      <c r="X173" s="67"/>
      <c r="Y173" s="67"/>
      <c r="Z173" s="67"/>
    </row>
    <row r="174">
      <c r="A174" s="67"/>
      <c r="B174" s="67"/>
      <c r="C174" s="67"/>
      <c r="D174" s="67"/>
      <c r="E174" s="67"/>
      <c r="F174" s="67"/>
      <c r="G174" s="67"/>
      <c r="H174" s="67"/>
      <c r="I174" s="67"/>
      <c r="J174" s="67"/>
      <c r="K174" s="67"/>
      <c r="L174" s="67"/>
      <c r="M174" s="67"/>
      <c r="N174" s="67"/>
      <c r="O174" s="67"/>
      <c r="P174" s="67"/>
      <c r="Q174" s="67"/>
      <c r="R174" s="67"/>
      <c r="S174" s="67"/>
      <c r="T174" s="67"/>
      <c r="U174" s="67"/>
      <c r="V174" s="67"/>
      <c r="W174" s="67"/>
      <c r="X174" s="67"/>
      <c r="Y174" s="67"/>
      <c r="Z174" s="67"/>
    </row>
    <row r="175">
      <c r="A175" s="67"/>
      <c r="B175" s="67"/>
      <c r="C175" s="67"/>
      <c r="D175" s="67"/>
      <c r="E175" s="67"/>
      <c r="F175" s="67"/>
      <c r="G175" s="67"/>
      <c r="H175" s="67"/>
      <c r="I175" s="67"/>
      <c r="J175" s="67"/>
      <c r="K175" s="67"/>
      <c r="L175" s="67"/>
      <c r="M175" s="67"/>
      <c r="N175" s="67"/>
      <c r="O175" s="67"/>
      <c r="P175" s="67"/>
      <c r="Q175" s="67"/>
      <c r="R175" s="67"/>
      <c r="S175" s="67"/>
      <c r="T175" s="67"/>
      <c r="U175" s="67"/>
      <c r="V175" s="67"/>
      <c r="W175" s="67"/>
      <c r="X175" s="67"/>
      <c r="Y175" s="67"/>
      <c r="Z175" s="67"/>
    </row>
    <row r="176">
      <c r="A176" s="67"/>
      <c r="B176" s="67"/>
      <c r="C176" s="67"/>
      <c r="D176" s="67"/>
      <c r="E176" s="67"/>
      <c r="F176" s="67"/>
      <c r="G176" s="67"/>
      <c r="H176" s="67"/>
      <c r="I176" s="67"/>
      <c r="J176" s="67"/>
      <c r="K176" s="67"/>
      <c r="L176" s="67"/>
      <c r="M176" s="67"/>
      <c r="N176" s="67"/>
      <c r="O176" s="67"/>
      <c r="P176" s="67"/>
      <c r="Q176" s="67"/>
      <c r="R176" s="67"/>
      <c r="S176" s="67"/>
      <c r="T176" s="67"/>
      <c r="U176" s="67"/>
      <c r="V176" s="67"/>
      <c r="W176" s="67"/>
      <c r="X176" s="67"/>
      <c r="Y176" s="67"/>
      <c r="Z176" s="67"/>
    </row>
    <row r="177">
      <c r="A177" s="67"/>
      <c r="B177" s="67"/>
      <c r="C177" s="67"/>
      <c r="D177" s="67"/>
      <c r="E177" s="67"/>
      <c r="F177" s="67"/>
      <c r="G177" s="67"/>
      <c r="H177" s="67"/>
      <c r="I177" s="67"/>
      <c r="J177" s="67"/>
      <c r="K177" s="67"/>
      <c r="L177" s="67"/>
      <c r="M177" s="67"/>
      <c r="N177" s="67"/>
      <c r="O177" s="67"/>
      <c r="P177" s="67"/>
      <c r="Q177" s="67"/>
      <c r="R177" s="67"/>
      <c r="S177" s="67"/>
      <c r="T177" s="67"/>
      <c r="U177" s="67"/>
      <c r="V177" s="67"/>
      <c r="W177" s="67"/>
      <c r="X177" s="67"/>
      <c r="Y177" s="67"/>
      <c r="Z177" s="67"/>
    </row>
    <row r="178">
      <c r="A178" s="67"/>
      <c r="B178" s="67"/>
      <c r="C178" s="67"/>
      <c r="D178" s="67"/>
      <c r="E178" s="67"/>
      <c r="F178" s="67"/>
      <c r="G178" s="67"/>
      <c r="H178" s="67"/>
      <c r="I178" s="67"/>
      <c r="J178" s="67"/>
      <c r="K178" s="67"/>
      <c r="L178" s="67"/>
      <c r="M178" s="67"/>
      <c r="N178" s="67"/>
      <c r="O178" s="67"/>
      <c r="P178" s="67"/>
      <c r="Q178" s="67"/>
      <c r="R178" s="67"/>
      <c r="S178" s="67"/>
      <c r="T178" s="67"/>
      <c r="U178" s="67"/>
      <c r="V178" s="67"/>
      <c r="W178" s="67"/>
      <c r="X178" s="67"/>
      <c r="Y178" s="67"/>
      <c r="Z178" s="67"/>
    </row>
    <row r="179">
      <c r="A179" s="67"/>
      <c r="B179" s="67"/>
      <c r="C179" s="67"/>
      <c r="D179" s="67"/>
      <c r="E179" s="67"/>
      <c r="F179" s="67"/>
      <c r="G179" s="67"/>
      <c r="H179" s="67"/>
      <c r="I179" s="67"/>
      <c r="J179" s="67"/>
      <c r="K179" s="67"/>
      <c r="L179" s="67"/>
      <c r="M179" s="67"/>
      <c r="N179" s="67"/>
      <c r="O179" s="67"/>
      <c r="P179" s="67"/>
      <c r="Q179" s="67"/>
      <c r="R179" s="67"/>
      <c r="S179" s="67"/>
      <c r="T179" s="67"/>
      <c r="U179" s="67"/>
      <c r="V179" s="67"/>
      <c r="W179" s="67"/>
      <c r="X179" s="67"/>
      <c r="Y179" s="67"/>
      <c r="Z179" s="67"/>
    </row>
    <row r="180">
      <c r="A180" s="67"/>
      <c r="B180" s="67"/>
      <c r="C180" s="67"/>
      <c r="D180" s="67"/>
      <c r="E180" s="67"/>
      <c r="F180" s="67"/>
      <c r="G180" s="67"/>
      <c r="H180" s="67"/>
      <c r="I180" s="67"/>
      <c r="J180" s="67"/>
      <c r="K180" s="67"/>
      <c r="L180" s="67"/>
      <c r="M180" s="67"/>
      <c r="N180" s="67"/>
      <c r="O180" s="67"/>
      <c r="P180" s="67"/>
      <c r="Q180" s="67"/>
      <c r="R180" s="67"/>
      <c r="S180" s="67"/>
      <c r="T180" s="67"/>
      <c r="U180" s="67"/>
      <c r="V180" s="67"/>
      <c r="W180" s="67"/>
      <c r="X180" s="67"/>
      <c r="Y180" s="67"/>
      <c r="Z180" s="67"/>
    </row>
    <row r="181">
      <c r="A181" s="67"/>
      <c r="B181" s="67"/>
      <c r="C181" s="67"/>
      <c r="D181" s="67"/>
      <c r="E181" s="67"/>
      <c r="F181" s="67"/>
      <c r="G181" s="67"/>
      <c r="H181" s="67"/>
      <c r="I181" s="67"/>
      <c r="J181" s="67"/>
      <c r="K181" s="67"/>
      <c r="L181" s="67"/>
      <c r="M181" s="67"/>
      <c r="N181" s="67"/>
      <c r="O181" s="67"/>
      <c r="P181" s="67"/>
      <c r="Q181" s="67"/>
      <c r="R181" s="67"/>
      <c r="S181" s="67"/>
      <c r="T181" s="67"/>
      <c r="U181" s="67"/>
      <c r="V181" s="67"/>
      <c r="W181" s="67"/>
      <c r="X181" s="67"/>
      <c r="Y181" s="67"/>
      <c r="Z181" s="67"/>
    </row>
    <row r="182">
      <c r="A182" s="67"/>
      <c r="B182" s="67"/>
      <c r="C182" s="67"/>
      <c r="D182" s="67"/>
      <c r="E182" s="67"/>
      <c r="F182" s="67"/>
      <c r="G182" s="67"/>
      <c r="H182" s="67"/>
      <c r="I182" s="67"/>
      <c r="J182" s="67"/>
      <c r="K182" s="67"/>
      <c r="L182" s="67"/>
      <c r="M182" s="67"/>
      <c r="N182" s="67"/>
      <c r="O182" s="67"/>
      <c r="P182" s="67"/>
      <c r="Q182" s="67"/>
      <c r="R182" s="67"/>
      <c r="S182" s="67"/>
      <c r="T182" s="67"/>
      <c r="U182" s="67"/>
      <c r="V182" s="67"/>
      <c r="W182" s="67"/>
      <c r="X182" s="67"/>
      <c r="Y182" s="67"/>
      <c r="Z182" s="67"/>
    </row>
    <row r="183">
      <c r="A183" s="67"/>
      <c r="B183" s="67"/>
      <c r="C183" s="67"/>
      <c r="D183" s="67"/>
      <c r="E183" s="67"/>
      <c r="F183" s="67"/>
      <c r="G183" s="67"/>
      <c r="H183" s="67"/>
      <c r="I183" s="67"/>
      <c r="J183" s="67"/>
      <c r="K183" s="67"/>
      <c r="L183" s="67"/>
      <c r="M183" s="67"/>
      <c r="N183" s="67"/>
      <c r="O183" s="67"/>
      <c r="P183" s="67"/>
      <c r="Q183" s="67"/>
      <c r="R183" s="67"/>
      <c r="S183" s="67"/>
      <c r="T183" s="67"/>
      <c r="U183" s="67"/>
      <c r="V183" s="67"/>
      <c r="W183" s="67"/>
      <c r="X183" s="67"/>
      <c r="Y183" s="67"/>
      <c r="Z183" s="67"/>
    </row>
    <row r="184">
      <c r="A184" s="67"/>
      <c r="B184" s="67"/>
      <c r="C184" s="67"/>
      <c r="D184" s="67"/>
      <c r="E184" s="67"/>
      <c r="F184" s="67"/>
      <c r="G184" s="67"/>
      <c r="H184" s="67"/>
      <c r="I184" s="67"/>
      <c r="J184" s="67"/>
      <c r="K184" s="67"/>
      <c r="L184" s="67"/>
      <c r="M184" s="67"/>
      <c r="N184" s="67"/>
      <c r="O184" s="67"/>
      <c r="P184" s="67"/>
      <c r="Q184" s="67"/>
      <c r="R184" s="67"/>
      <c r="S184" s="67"/>
      <c r="T184" s="67"/>
      <c r="U184" s="67"/>
      <c r="V184" s="67"/>
      <c r="W184" s="67"/>
      <c r="X184" s="67"/>
      <c r="Y184" s="67"/>
      <c r="Z184" s="67"/>
    </row>
    <row r="185">
      <c r="A185" s="67"/>
      <c r="B185" s="67"/>
      <c r="C185" s="67"/>
      <c r="D185" s="67"/>
      <c r="E185" s="67"/>
      <c r="F185" s="67"/>
      <c r="G185" s="67"/>
      <c r="H185" s="67"/>
      <c r="I185" s="67"/>
      <c r="J185" s="67"/>
      <c r="K185" s="67"/>
      <c r="L185" s="67"/>
      <c r="M185" s="67"/>
      <c r="N185" s="67"/>
      <c r="O185" s="67"/>
      <c r="P185" s="67"/>
      <c r="Q185" s="67"/>
      <c r="R185" s="67"/>
      <c r="S185" s="67"/>
      <c r="T185" s="67"/>
      <c r="U185" s="67"/>
      <c r="V185" s="67"/>
      <c r="W185" s="67"/>
      <c r="X185" s="67"/>
      <c r="Y185" s="67"/>
      <c r="Z185" s="67"/>
    </row>
    <row r="186">
      <c r="A186" s="67"/>
      <c r="B186" s="67"/>
      <c r="C186" s="67"/>
      <c r="D186" s="67"/>
      <c r="E186" s="67"/>
      <c r="F186" s="67"/>
      <c r="G186" s="67"/>
      <c r="H186" s="67"/>
      <c r="I186" s="67"/>
      <c r="J186" s="67"/>
      <c r="K186" s="67"/>
      <c r="L186" s="67"/>
      <c r="M186" s="67"/>
      <c r="N186" s="67"/>
      <c r="O186" s="67"/>
      <c r="P186" s="67"/>
      <c r="Q186" s="67"/>
      <c r="R186" s="67"/>
      <c r="S186" s="67"/>
      <c r="T186" s="67"/>
      <c r="U186" s="67"/>
      <c r="V186" s="67"/>
      <c r="W186" s="67"/>
      <c r="X186" s="67"/>
      <c r="Y186" s="67"/>
      <c r="Z186" s="67"/>
    </row>
    <row r="187">
      <c r="A187" s="67"/>
      <c r="B187" s="67"/>
      <c r="C187" s="67"/>
      <c r="D187" s="67"/>
      <c r="E187" s="67"/>
      <c r="F187" s="67"/>
      <c r="G187" s="67"/>
      <c r="H187" s="67"/>
      <c r="I187" s="67"/>
      <c r="J187" s="67"/>
      <c r="K187" s="67"/>
      <c r="L187" s="67"/>
      <c r="M187" s="67"/>
      <c r="N187" s="67"/>
      <c r="O187" s="67"/>
      <c r="P187" s="67"/>
      <c r="Q187" s="67"/>
      <c r="R187" s="67"/>
      <c r="S187" s="67"/>
      <c r="T187" s="67"/>
      <c r="U187" s="67"/>
      <c r="V187" s="67"/>
      <c r="W187" s="67"/>
      <c r="X187" s="67"/>
      <c r="Y187" s="67"/>
      <c r="Z187" s="67"/>
    </row>
    <row r="188">
      <c r="A188" s="67"/>
      <c r="B188" s="67"/>
      <c r="C188" s="67"/>
      <c r="D188" s="67"/>
      <c r="E188" s="67"/>
      <c r="F188" s="67"/>
      <c r="G188" s="67"/>
      <c r="H188" s="67"/>
      <c r="I188" s="67"/>
      <c r="J188" s="67"/>
      <c r="K188" s="67"/>
      <c r="L188" s="67"/>
      <c r="M188" s="67"/>
      <c r="N188" s="67"/>
      <c r="O188" s="67"/>
      <c r="P188" s="67"/>
      <c r="Q188" s="67"/>
      <c r="R188" s="67"/>
      <c r="S188" s="67"/>
      <c r="T188" s="67"/>
      <c r="U188" s="67"/>
      <c r="V188" s="67"/>
      <c r="W188" s="67"/>
      <c r="X188" s="67"/>
      <c r="Y188" s="67"/>
      <c r="Z188" s="67"/>
    </row>
    <row r="189">
      <c r="A189" s="67"/>
      <c r="B189" s="67"/>
      <c r="C189" s="67"/>
      <c r="D189" s="67"/>
      <c r="E189" s="67"/>
      <c r="F189" s="67"/>
      <c r="G189" s="67"/>
      <c r="H189" s="67"/>
      <c r="I189" s="67"/>
      <c r="J189" s="67"/>
      <c r="K189" s="67"/>
      <c r="L189" s="67"/>
      <c r="M189" s="67"/>
      <c r="N189" s="67"/>
      <c r="O189" s="67"/>
      <c r="P189" s="67"/>
      <c r="Q189" s="67"/>
      <c r="R189" s="67"/>
      <c r="S189" s="67"/>
      <c r="T189" s="67"/>
      <c r="U189" s="67"/>
      <c r="V189" s="67"/>
      <c r="W189" s="67"/>
      <c r="X189" s="67"/>
      <c r="Y189" s="67"/>
      <c r="Z189" s="67"/>
    </row>
    <row r="190">
      <c r="A190" s="67"/>
      <c r="B190" s="67"/>
      <c r="C190" s="67"/>
      <c r="D190" s="67"/>
      <c r="E190" s="67"/>
      <c r="F190" s="67"/>
      <c r="G190" s="67"/>
      <c r="H190" s="67"/>
      <c r="I190" s="67"/>
      <c r="J190" s="67"/>
      <c r="K190" s="67"/>
      <c r="L190" s="67"/>
      <c r="M190" s="67"/>
      <c r="N190" s="67"/>
      <c r="O190" s="67"/>
      <c r="P190" s="67"/>
      <c r="Q190" s="67"/>
      <c r="R190" s="67"/>
      <c r="S190" s="67"/>
      <c r="T190" s="67"/>
      <c r="U190" s="67"/>
      <c r="V190" s="67"/>
      <c r="W190" s="67"/>
      <c r="X190" s="67"/>
      <c r="Y190" s="67"/>
      <c r="Z190" s="67"/>
    </row>
    <row r="191">
      <c r="A191" s="67"/>
      <c r="B191" s="67"/>
      <c r="C191" s="67"/>
      <c r="D191" s="67"/>
      <c r="E191" s="67"/>
      <c r="F191" s="67"/>
      <c r="G191" s="67"/>
      <c r="H191" s="67"/>
      <c r="I191" s="67"/>
      <c r="J191" s="67"/>
      <c r="K191" s="67"/>
      <c r="L191" s="67"/>
      <c r="M191" s="67"/>
      <c r="N191" s="67"/>
      <c r="O191" s="67"/>
      <c r="P191" s="67"/>
      <c r="Q191" s="67"/>
      <c r="R191" s="67"/>
      <c r="S191" s="67"/>
      <c r="T191" s="67"/>
      <c r="U191" s="67"/>
      <c r="V191" s="67"/>
      <c r="W191" s="67"/>
      <c r="X191" s="67"/>
      <c r="Y191" s="67"/>
      <c r="Z191" s="67"/>
    </row>
    <row r="192">
      <c r="A192" s="67"/>
      <c r="B192" s="67"/>
      <c r="C192" s="67"/>
      <c r="D192" s="67"/>
      <c r="E192" s="67"/>
      <c r="F192" s="67"/>
      <c r="G192" s="67"/>
      <c r="H192" s="67"/>
      <c r="I192" s="67"/>
      <c r="J192" s="67"/>
      <c r="K192" s="67"/>
      <c r="L192" s="67"/>
      <c r="M192" s="67"/>
      <c r="N192" s="67"/>
      <c r="O192" s="67"/>
      <c r="P192" s="67"/>
      <c r="Q192" s="67"/>
      <c r="R192" s="67"/>
      <c r="S192" s="67"/>
      <c r="T192" s="67"/>
      <c r="U192" s="67"/>
      <c r="V192" s="67"/>
      <c r="W192" s="67"/>
      <c r="X192" s="67"/>
      <c r="Y192" s="67"/>
      <c r="Z192" s="67"/>
    </row>
    <row r="193">
      <c r="A193" s="67"/>
      <c r="B193" s="67"/>
      <c r="C193" s="67"/>
      <c r="D193" s="67"/>
      <c r="E193" s="67"/>
      <c r="F193" s="67"/>
      <c r="G193" s="67"/>
      <c r="H193" s="67"/>
      <c r="I193" s="67"/>
      <c r="J193" s="67"/>
      <c r="K193" s="67"/>
      <c r="L193" s="67"/>
      <c r="M193" s="67"/>
      <c r="N193" s="67"/>
      <c r="O193" s="67"/>
      <c r="P193" s="67"/>
      <c r="Q193" s="67"/>
      <c r="R193" s="67"/>
      <c r="S193" s="67"/>
      <c r="T193" s="67"/>
      <c r="U193" s="67"/>
      <c r="V193" s="67"/>
      <c r="W193" s="67"/>
      <c r="X193" s="67"/>
      <c r="Y193" s="67"/>
      <c r="Z193" s="67"/>
    </row>
    <row r="194">
      <c r="A194" s="67"/>
      <c r="B194" s="67"/>
      <c r="C194" s="67"/>
      <c r="D194" s="67"/>
      <c r="E194" s="67"/>
      <c r="F194" s="67"/>
      <c r="G194" s="67"/>
      <c r="H194" s="67"/>
      <c r="I194" s="67"/>
      <c r="J194" s="67"/>
      <c r="K194" s="67"/>
      <c r="L194" s="67"/>
      <c r="M194" s="67"/>
      <c r="N194" s="67"/>
      <c r="O194" s="67"/>
      <c r="P194" s="67"/>
      <c r="Q194" s="67"/>
      <c r="R194" s="67"/>
      <c r="S194" s="67"/>
      <c r="T194" s="67"/>
      <c r="U194" s="67"/>
      <c r="V194" s="67"/>
      <c r="W194" s="67"/>
      <c r="X194" s="67"/>
      <c r="Y194" s="67"/>
      <c r="Z194" s="67"/>
    </row>
    <row r="195">
      <c r="A195" s="67"/>
      <c r="B195" s="67"/>
      <c r="C195" s="67"/>
      <c r="D195" s="67"/>
      <c r="E195" s="67"/>
      <c r="F195" s="67"/>
      <c r="G195" s="67"/>
      <c r="H195" s="67"/>
      <c r="I195" s="67"/>
      <c r="J195" s="67"/>
      <c r="K195" s="67"/>
      <c r="L195" s="67"/>
      <c r="M195" s="67"/>
      <c r="N195" s="67"/>
      <c r="O195" s="67"/>
      <c r="P195" s="67"/>
      <c r="Q195" s="67"/>
      <c r="R195" s="67"/>
      <c r="S195" s="67"/>
      <c r="T195" s="67"/>
      <c r="U195" s="67"/>
      <c r="V195" s="67"/>
      <c r="W195" s="67"/>
      <c r="X195" s="67"/>
      <c r="Y195" s="67"/>
      <c r="Z195" s="67"/>
    </row>
    <row r="196">
      <c r="A196" s="67"/>
      <c r="B196" s="67"/>
      <c r="C196" s="67"/>
      <c r="D196" s="67"/>
      <c r="E196" s="67"/>
      <c r="F196" s="67"/>
      <c r="G196" s="67"/>
      <c r="H196" s="67"/>
      <c r="I196" s="67"/>
      <c r="J196" s="67"/>
      <c r="K196" s="67"/>
      <c r="L196" s="67"/>
      <c r="M196" s="67"/>
      <c r="N196" s="67"/>
      <c r="O196" s="67"/>
      <c r="P196" s="67"/>
      <c r="Q196" s="67"/>
      <c r="R196" s="67"/>
      <c r="S196" s="67"/>
      <c r="T196" s="67"/>
      <c r="U196" s="67"/>
      <c r="V196" s="67"/>
      <c r="W196" s="67"/>
      <c r="X196" s="67"/>
      <c r="Y196" s="67"/>
      <c r="Z196" s="67"/>
    </row>
    <row r="197">
      <c r="A197" s="67"/>
      <c r="B197" s="67"/>
      <c r="C197" s="67"/>
      <c r="D197" s="67"/>
      <c r="E197" s="67"/>
      <c r="F197" s="67"/>
      <c r="G197" s="67"/>
      <c r="H197" s="67"/>
      <c r="I197" s="67"/>
      <c r="J197" s="67"/>
      <c r="K197" s="67"/>
      <c r="L197" s="67"/>
      <c r="M197" s="67"/>
      <c r="N197" s="67"/>
      <c r="O197" s="67"/>
      <c r="P197" s="67"/>
      <c r="Q197" s="67"/>
      <c r="R197" s="67"/>
      <c r="S197" s="67"/>
      <c r="T197" s="67"/>
      <c r="U197" s="67"/>
      <c r="V197" s="67"/>
      <c r="W197" s="67"/>
      <c r="X197" s="67"/>
      <c r="Y197" s="67"/>
      <c r="Z197" s="67"/>
    </row>
    <row r="198">
      <c r="A198" s="67"/>
      <c r="B198" s="67"/>
      <c r="C198" s="67"/>
      <c r="D198" s="67"/>
      <c r="E198" s="67"/>
      <c r="F198" s="67"/>
      <c r="G198" s="67"/>
      <c r="H198" s="67"/>
      <c r="I198" s="67"/>
      <c r="J198" s="67"/>
      <c r="K198" s="67"/>
      <c r="L198" s="67"/>
      <c r="M198" s="67"/>
      <c r="N198" s="67"/>
      <c r="O198" s="67"/>
      <c r="P198" s="67"/>
      <c r="Q198" s="67"/>
      <c r="R198" s="67"/>
      <c r="S198" s="67"/>
      <c r="T198" s="67"/>
      <c r="U198" s="67"/>
      <c r="V198" s="67"/>
      <c r="W198" s="67"/>
      <c r="X198" s="67"/>
      <c r="Y198" s="67"/>
      <c r="Z198" s="67"/>
    </row>
    <row r="199">
      <c r="A199" s="67"/>
      <c r="B199" s="67"/>
      <c r="C199" s="67"/>
      <c r="D199" s="67"/>
      <c r="E199" s="67"/>
      <c r="F199" s="67"/>
      <c r="G199" s="67"/>
      <c r="H199" s="67"/>
      <c r="I199" s="67"/>
      <c r="J199" s="67"/>
      <c r="K199" s="67"/>
      <c r="L199" s="67"/>
      <c r="M199" s="67"/>
      <c r="N199" s="67"/>
      <c r="O199" s="67"/>
      <c r="P199" s="67"/>
      <c r="Q199" s="67"/>
      <c r="R199" s="67"/>
      <c r="S199" s="67"/>
      <c r="T199" s="67"/>
      <c r="U199" s="67"/>
      <c r="V199" s="67"/>
      <c r="W199" s="67"/>
      <c r="X199" s="67"/>
      <c r="Y199" s="67"/>
      <c r="Z199" s="67"/>
    </row>
    <row r="200">
      <c r="A200" s="67"/>
      <c r="B200" s="67"/>
      <c r="C200" s="67"/>
      <c r="D200" s="67"/>
      <c r="E200" s="67"/>
      <c r="F200" s="67"/>
      <c r="G200" s="67"/>
      <c r="H200" s="67"/>
      <c r="I200" s="67"/>
      <c r="J200" s="67"/>
      <c r="K200" s="67"/>
      <c r="L200" s="67"/>
      <c r="M200" s="67"/>
      <c r="N200" s="67"/>
      <c r="O200" s="67"/>
      <c r="P200" s="67"/>
      <c r="Q200" s="67"/>
      <c r="R200" s="67"/>
      <c r="S200" s="67"/>
      <c r="T200" s="67"/>
      <c r="U200" s="67"/>
      <c r="V200" s="67"/>
      <c r="W200" s="67"/>
      <c r="X200" s="67"/>
      <c r="Y200" s="67"/>
      <c r="Z200" s="67"/>
    </row>
    <row r="201">
      <c r="A201" s="67"/>
      <c r="B201" s="67"/>
      <c r="C201" s="67"/>
      <c r="D201" s="67"/>
      <c r="E201" s="67"/>
      <c r="F201" s="67"/>
      <c r="G201" s="67"/>
      <c r="H201" s="67"/>
      <c r="I201" s="67"/>
      <c r="J201" s="67"/>
      <c r="K201" s="67"/>
      <c r="L201" s="67"/>
      <c r="M201" s="67"/>
      <c r="N201" s="67"/>
      <c r="O201" s="67"/>
      <c r="P201" s="67"/>
      <c r="Q201" s="67"/>
      <c r="R201" s="67"/>
      <c r="S201" s="67"/>
      <c r="T201" s="67"/>
      <c r="U201" s="67"/>
      <c r="V201" s="67"/>
      <c r="W201" s="67"/>
      <c r="X201" s="67"/>
      <c r="Y201" s="67"/>
      <c r="Z201" s="67"/>
    </row>
    <row r="202">
      <c r="A202" s="67"/>
      <c r="B202" s="67"/>
      <c r="C202" s="67"/>
      <c r="D202" s="67"/>
      <c r="E202" s="67"/>
      <c r="F202" s="67"/>
      <c r="G202" s="67"/>
      <c r="H202" s="67"/>
      <c r="I202" s="67"/>
      <c r="J202" s="67"/>
      <c r="K202" s="67"/>
      <c r="L202" s="67"/>
      <c r="M202" s="67"/>
      <c r="N202" s="67"/>
      <c r="O202" s="67"/>
      <c r="P202" s="67"/>
      <c r="Q202" s="67"/>
      <c r="R202" s="67"/>
      <c r="S202" s="67"/>
      <c r="T202" s="67"/>
      <c r="U202" s="67"/>
      <c r="V202" s="67"/>
      <c r="W202" s="67"/>
      <c r="X202" s="67"/>
      <c r="Y202" s="67"/>
      <c r="Z202" s="67"/>
    </row>
    <row r="203">
      <c r="A203" s="67"/>
      <c r="B203" s="67"/>
      <c r="C203" s="67"/>
      <c r="D203" s="67"/>
      <c r="E203" s="67"/>
      <c r="F203" s="67"/>
      <c r="G203" s="67"/>
      <c r="H203" s="67"/>
      <c r="I203" s="67"/>
      <c r="J203" s="67"/>
      <c r="K203" s="67"/>
      <c r="L203" s="67"/>
      <c r="M203" s="67"/>
      <c r="N203" s="67"/>
      <c r="O203" s="67"/>
      <c r="P203" s="67"/>
      <c r="Q203" s="67"/>
      <c r="R203" s="67"/>
      <c r="S203" s="67"/>
      <c r="T203" s="67"/>
      <c r="U203" s="67"/>
      <c r="V203" s="67"/>
      <c r="W203" s="67"/>
      <c r="X203" s="67"/>
      <c r="Y203" s="67"/>
      <c r="Z203" s="67"/>
    </row>
    <row r="204">
      <c r="A204" s="67"/>
      <c r="B204" s="67"/>
      <c r="C204" s="67"/>
      <c r="D204" s="67"/>
      <c r="E204" s="67"/>
      <c r="F204" s="67"/>
      <c r="G204" s="67"/>
      <c r="H204" s="67"/>
      <c r="I204" s="67"/>
      <c r="J204" s="67"/>
      <c r="K204" s="67"/>
      <c r="L204" s="67"/>
      <c r="M204" s="67"/>
      <c r="N204" s="67"/>
      <c r="O204" s="67"/>
      <c r="P204" s="67"/>
      <c r="Q204" s="67"/>
      <c r="R204" s="67"/>
      <c r="S204" s="67"/>
      <c r="T204" s="67"/>
      <c r="U204" s="67"/>
      <c r="V204" s="67"/>
      <c r="W204" s="67"/>
      <c r="X204" s="67"/>
      <c r="Y204" s="67"/>
      <c r="Z204" s="67"/>
    </row>
    <row r="205">
      <c r="A205" s="67"/>
      <c r="B205" s="67"/>
      <c r="C205" s="67"/>
      <c r="D205" s="67"/>
      <c r="E205" s="67"/>
      <c r="F205" s="67"/>
      <c r="G205" s="67"/>
      <c r="H205" s="67"/>
      <c r="I205" s="67"/>
      <c r="J205" s="67"/>
      <c r="K205" s="67"/>
      <c r="L205" s="67"/>
      <c r="M205" s="67"/>
      <c r="N205" s="67"/>
      <c r="O205" s="67"/>
      <c r="P205" s="67"/>
      <c r="Q205" s="67"/>
      <c r="R205" s="67"/>
      <c r="S205" s="67"/>
      <c r="T205" s="67"/>
      <c r="U205" s="67"/>
      <c r="V205" s="67"/>
      <c r="W205" s="67"/>
      <c r="X205" s="67"/>
      <c r="Y205" s="67"/>
      <c r="Z205" s="67"/>
    </row>
    <row r="206">
      <c r="A206" s="67"/>
      <c r="B206" s="67"/>
      <c r="C206" s="67"/>
      <c r="D206" s="67"/>
      <c r="E206" s="67"/>
      <c r="F206" s="67"/>
      <c r="G206" s="67"/>
      <c r="H206" s="67"/>
      <c r="I206" s="67"/>
      <c r="J206" s="67"/>
      <c r="K206" s="67"/>
      <c r="L206" s="67"/>
      <c r="M206" s="67"/>
      <c r="N206" s="67"/>
      <c r="O206" s="67"/>
      <c r="P206" s="67"/>
      <c r="Q206" s="67"/>
      <c r="R206" s="67"/>
      <c r="S206" s="67"/>
      <c r="T206" s="67"/>
      <c r="U206" s="67"/>
      <c r="V206" s="67"/>
      <c r="W206" s="67"/>
      <c r="X206" s="67"/>
      <c r="Y206" s="67"/>
      <c r="Z206" s="67"/>
    </row>
    <row r="207">
      <c r="A207" s="67"/>
      <c r="B207" s="67"/>
      <c r="C207" s="67"/>
      <c r="D207" s="67"/>
      <c r="E207" s="67"/>
      <c r="F207" s="67"/>
      <c r="G207" s="67"/>
      <c r="H207" s="67"/>
      <c r="I207" s="67"/>
      <c r="J207" s="67"/>
      <c r="K207" s="67"/>
      <c r="L207" s="67"/>
      <c r="M207" s="67"/>
      <c r="N207" s="67"/>
      <c r="O207" s="67"/>
      <c r="P207" s="67"/>
      <c r="Q207" s="67"/>
      <c r="R207" s="67"/>
      <c r="S207" s="67"/>
      <c r="T207" s="67"/>
      <c r="U207" s="67"/>
      <c r="V207" s="67"/>
      <c r="W207" s="67"/>
      <c r="X207" s="67"/>
      <c r="Y207" s="67"/>
      <c r="Z207" s="67"/>
    </row>
    <row r="208">
      <c r="A208" s="67"/>
      <c r="B208" s="67"/>
      <c r="C208" s="67"/>
      <c r="D208" s="67"/>
      <c r="E208" s="67"/>
      <c r="F208" s="67"/>
      <c r="G208" s="67"/>
      <c r="H208" s="67"/>
      <c r="I208" s="67"/>
      <c r="J208" s="67"/>
      <c r="K208" s="67"/>
      <c r="L208" s="67"/>
      <c r="M208" s="67"/>
      <c r="N208" s="67"/>
      <c r="O208" s="67"/>
      <c r="P208" s="67"/>
      <c r="Q208" s="67"/>
      <c r="R208" s="67"/>
      <c r="S208" s="67"/>
      <c r="T208" s="67"/>
      <c r="U208" s="67"/>
      <c r="V208" s="67"/>
      <c r="W208" s="67"/>
      <c r="X208" s="67"/>
      <c r="Y208" s="67"/>
      <c r="Z208" s="67"/>
    </row>
    <row r="209">
      <c r="A209" s="67"/>
      <c r="B209" s="67"/>
      <c r="C209" s="67"/>
      <c r="D209" s="67"/>
      <c r="E209" s="67"/>
      <c r="F209" s="67"/>
      <c r="G209" s="67"/>
      <c r="H209" s="67"/>
      <c r="I209" s="67"/>
      <c r="J209" s="67"/>
      <c r="K209" s="67"/>
      <c r="L209" s="67"/>
      <c r="M209" s="67"/>
      <c r="N209" s="67"/>
      <c r="O209" s="67"/>
      <c r="P209" s="67"/>
      <c r="Q209" s="67"/>
      <c r="R209" s="67"/>
      <c r="S209" s="67"/>
      <c r="T209" s="67"/>
      <c r="U209" s="67"/>
      <c r="V209" s="67"/>
      <c r="W209" s="67"/>
      <c r="X209" s="67"/>
      <c r="Y209" s="67"/>
      <c r="Z209" s="67"/>
    </row>
    <row r="210">
      <c r="A210" s="67"/>
      <c r="B210" s="67"/>
      <c r="C210" s="67"/>
      <c r="D210" s="67"/>
      <c r="E210" s="67"/>
      <c r="F210" s="67"/>
      <c r="G210" s="67"/>
      <c r="H210" s="67"/>
      <c r="I210" s="67"/>
      <c r="J210" s="67"/>
      <c r="K210" s="67"/>
      <c r="L210" s="67"/>
      <c r="M210" s="67"/>
      <c r="N210" s="67"/>
      <c r="O210" s="67"/>
      <c r="P210" s="67"/>
      <c r="Q210" s="67"/>
      <c r="R210" s="67"/>
      <c r="S210" s="67"/>
      <c r="T210" s="67"/>
      <c r="U210" s="67"/>
      <c r="V210" s="67"/>
      <c r="W210" s="67"/>
      <c r="X210" s="67"/>
      <c r="Y210" s="67"/>
      <c r="Z210" s="67"/>
    </row>
    <row r="211">
      <c r="A211" s="67"/>
      <c r="B211" s="67"/>
      <c r="C211" s="67"/>
      <c r="D211" s="67"/>
      <c r="E211" s="67"/>
      <c r="F211" s="67"/>
      <c r="G211" s="67"/>
      <c r="H211" s="67"/>
      <c r="I211" s="67"/>
      <c r="J211" s="67"/>
      <c r="K211" s="67"/>
      <c r="L211" s="67"/>
      <c r="M211" s="67"/>
      <c r="N211" s="67"/>
      <c r="O211" s="67"/>
      <c r="P211" s="67"/>
      <c r="Q211" s="67"/>
      <c r="R211" s="67"/>
      <c r="S211" s="67"/>
      <c r="T211" s="67"/>
      <c r="U211" s="67"/>
      <c r="V211" s="67"/>
      <c r="W211" s="67"/>
      <c r="X211" s="67"/>
      <c r="Y211" s="67"/>
      <c r="Z211" s="67"/>
    </row>
    <row r="212">
      <c r="A212" s="67"/>
      <c r="B212" s="67"/>
      <c r="C212" s="67"/>
      <c r="D212" s="67"/>
      <c r="E212" s="67"/>
      <c r="F212" s="67"/>
      <c r="G212" s="67"/>
      <c r="H212" s="67"/>
      <c r="I212" s="67"/>
      <c r="J212" s="67"/>
      <c r="K212" s="67"/>
      <c r="L212" s="67"/>
      <c r="M212" s="67"/>
      <c r="N212" s="67"/>
      <c r="O212" s="67"/>
      <c r="P212" s="67"/>
      <c r="Q212" s="67"/>
      <c r="R212" s="67"/>
      <c r="S212" s="67"/>
      <c r="T212" s="67"/>
      <c r="U212" s="67"/>
      <c r="V212" s="67"/>
      <c r="W212" s="67"/>
      <c r="X212" s="67"/>
      <c r="Y212" s="67"/>
      <c r="Z212" s="67"/>
    </row>
    <row r="213">
      <c r="A213" s="67"/>
      <c r="B213" s="67"/>
      <c r="C213" s="67"/>
      <c r="D213" s="67"/>
      <c r="E213" s="67"/>
      <c r="F213" s="67"/>
      <c r="G213" s="67"/>
      <c r="H213" s="67"/>
      <c r="I213" s="67"/>
      <c r="J213" s="67"/>
      <c r="K213" s="67"/>
      <c r="L213" s="67"/>
      <c r="M213" s="67"/>
      <c r="N213" s="67"/>
      <c r="O213" s="67"/>
      <c r="P213" s="67"/>
      <c r="Q213" s="67"/>
      <c r="R213" s="67"/>
      <c r="S213" s="67"/>
      <c r="T213" s="67"/>
      <c r="U213" s="67"/>
      <c r="V213" s="67"/>
      <c r="W213" s="67"/>
      <c r="X213" s="67"/>
      <c r="Y213" s="67"/>
      <c r="Z213" s="67"/>
    </row>
    <row r="214">
      <c r="A214" s="67"/>
      <c r="B214" s="67"/>
      <c r="C214" s="67"/>
      <c r="D214" s="67"/>
      <c r="E214" s="67"/>
      <c r="F214" s="67"/>
      <c r="G214" s="67"/>
      <c r="H214" s="67"/>
      <c r="I214" s="67"/>
      <c r="J214" s="67"/>
      <c r="K214" s="67"/>
      <c r="L214" s="67"/>
      <c r="M214" s="67"/>
      <c r="N214" s="67"/>
      <c r="O214" s="67"/>
      <c r="P214" s="67"/>
      <c r="Q214" s="67"/>
      <c r="R214" s="67"/>
      <c r="S214" s="67"/>
      <c r="T214" s="67"/>
      <c r="U214" s="67"/>
      <c r="V214" s="67"/>
      <c r="W214" s="67"/>
      <c r="X214" s="67"/>
      <c r="Y214" s="67"/>
      <c r="Z214" s="67"/>
    </row>
    <row r="215">
      <c r="A215" s="67"/>
      <c r="B215" s="67"/>
      <c r="C215" s="67"/>
      <c r="D215" s="67"/>
      <c r="E215" s="67"/>
      <c r="F215" s="67"/>
      <c r="G215" s="67"/>
      <c r="H215" s="67"/>
      <c r="I215" s="67"/>
      <c r="J215" s="67"/>
      <c r="K215" s="67"/>
      <c r="L215" s="67"/>
      <c r="M215" s="67"/>
      <c r="N215" s="67"/>
      <c r="O215" s="67"/>
      <c r="P215" s="67"/>
      <c r="Q215" s="67"/>
      <c r="R215" s="67"/>
      <c r="S215" s="67"/>
      <c r="T215" s="67"/>
      <c r="U215" s="67"/>
      <c r="V215" s="67"/>
      <c r="W215" s="67"/>
      <c r="X215" s="67"/>
      <c r="Y215" s="67"/>
      <c r="Z215" s="67"/>
    </row>
    <row r="216">
      <c r="A216" s="67"/>
      <c r="B216" s="67"/>
      <c r="C216" s="67"/>
      <c r="D216" s="67"/>
      <c r="E216" s="67"/>
      <c r="F216" s="67"/>
      <c r="G216" s="67"/>
      <c r="H216" s="67"/>
      <c r="I216" s="67"/>
      <c r="J216" s="67"/>
      <c r="K216" s="67"/>
      <c r="L216" s="67"/>
      <c r="M216" s="67"/>
      <c r="N216" s="67"/>
      <c r="O216" s="67"/>
      <c r="P216" s="67"/>
      <c r="Q216" s="67"/>
      <c r="R216" s="67"/>
      <c r="S216" s="67"/>
      <c r="T216" s="67"/>
      <c r="U216" s="67"/>
      <c r="V216" s="67"/>
      <c r="W216" s="67"/>
      <c r="X216" s="67"/>
      <c r="Y216" s="67"/>
      <c r="Z216" s="67"/>
    </row>
    <row r="217">
      <c r="A217" s="67"/>
      <c r="B217" s="67"/>
      <c r="C217" s="67"/>
      <c r="D217" s="67"/>
      <c r="E217" s="67"/>
      <c r="F217" s="67"/>
      <c r="G217" s="67"/>
      <c r="H217" s="67"/>
      <c r="I217" s="67"/>
      <c r="J217" s="67"/>
      <c r="K217" s="67"/>
      <c r="L217" s="67"/>
      <c r="M217" s="67"/>
      <c r="N217" s="67"/>
      <c r="O217" s="67"/>
      <c r="P217" s="67"/>
      <c r="Q217" s="67"/>
      <c r="R217" s="67"/>
      <c r="S217" s="67"/>
      <c r="T217" s="67"/>
      <c r="U217" s="67"/>
      <c r="V217" s="67"/>
      <c r="W217" s="67"/>
      <c r="X217" s="67"/>
      <c r="Y217" s="67"/>
      <c r="Z217" s="67"/>
    </row>
    <row r="218">
      <c r="A218" s="67"/>
      <c r="B218" s="67"/>
      <c r="C218" s="67"/>
      <c r="D218" s="67"/>
      <c r="E218" s="67"/>
      <c r="F218" s="67"/>
      <c r="G218" s="67"/>
      <c r="H218" s="67"/>
      <c r="I218" s="67"/>
      <c r="J218" s="67"/>
      <c r="K218" s="67"/>
      <c r="L218" s="67"/>
      <c r="M218" s="67"/>
      <c r="N218" s="67"/>
      <c r="O218" s="67"/>
      <c r="P218" s="67"/>
      <c r="Q218" s="67"/>
      <c r="R218" s="67"/>
      <c r="S218" s="67"/>
      <c r="T218" s="67"/>
      <c r="U218" s="67"/>
      <c r="V218" s="67"/>
      <c r="W218" s="67"/>
      <c r="X218" s="67"/>
      <c r="Y218" s="67"/>
      <c r="Z218" s="67"/>
    </row>
    <row r="219">
      <c r="A219" s="67"/>
      <c r="B219" s="67"/>
      <c r="C219" s="67"/>
      <c r="D219" s="67"/>
      <c r="E219" s="67"/>
      <c r="F219" s="67"/>
      <c r="G219" s="67"/>
      <c r="H219" s="67"/>
      <c r="I219" s="67"/>
      <c r="J219" s="67"/>
      <c r="K219" s="67"/>
      <c r="L219" s="67"/>
      <c r="M219" s="67"/>
      <c r="N219" s="67"/>
      <c r="O219" s="67"/>
      <c r="P219" s="67"/>
      <c r="Q219" s="67"/>
      <c r="R219" s="67"/>
      <c r="S219" s="67"/>
      <c r="T219" s="67"/>
      <c r="U219" s="67"/>
      <c r="V219" s="67"/>
      <c r="W219" s="67"/>
      <c r="X219" s="67"/>
      <c r="Y219" s="67"/>
      <c r="Z219" s="67"/>
    </row>
    <row r="220">
      <c r="A220" s="67"/>
      <c r="B220" s="67"/>
      <c r="C220" s="67"/>
      <c r="D220" s="67"/>
      <c r="E220" s="67"/>
      <c r="F220" s="67"/>
      <c r="G220" s="67"/>
      <c r="H220" s="67"/>
      <c r="I220" s="67"/>
      <c r="J220" s="67"/>
      <c r="K220" s="67"/>
      <c r="L220" s="67"/>
      <c r="M220" s="67"/>
      <c r="N220" s="67"/>
      <c r="O220" s="67"/>
      <c r="P220" s="67"/>
      <c r="Q220" s="67"/>
      <c r="R220" s="67"/>
      <c r="S220" s="67"/>
      <c r="T220" s="67"/>
      <c r="U220" s="67"/>
      <c r="V220" s="67"/>
      <c r="W220" s="67"/>
      <c r="X220" s="67"/>
      <c r="Y220" s="67"/>
      <c r="Z220" s="67"/>
    </row>
    <row r="221">
      <c r="A221" s="67"/>
      <c r="B221" s="67"/>
      <c r="C221" s="67"/>
      <c r="D221" s="67"/>
      <c r="E221" s="67"/>
      <c r="F221" s="67"/>
      <c r="G221" s="67"/>
      <c r="H221" s="67"/>
      <c r="I221" s="67"/>
      <c r="J221" s="67"/>
      <c r="K221" s="67"/>
      <c r="L221" s="67"/>
      <c r="M221" s="67"/>
      <c r="N221" s="67"/>
      <c r="O221" s="67"/>
      <c r="P221" s="67"/>
      <c r="Q221" s="67"/>
      <c r="R221" s="67"/>
      <c r="S221" s="67"/>
      <c r="T221" s="67"/>
      <c r="U221" s="67"/>
      <c r="V221" s="67"/>
      <c r="W221" s="67"/>
      <c r="X221" s="67"/>
      <c r="Y221" s="67"/>
      <c r="Z221" s="67"/>
    </row>
    <row r="222">
      <c r="A222" s="67"/>
      <c r="B222" s="67"/>
      <c r="C222" s="67"/>
      <c r="D222" s="67"/>
      <c r="E222" s="67"/>
      <c r="F222" s="67"/>
      <c r="G222" s="67"/>
      <c r="H222" s="67"/>
      <c r="I222" s="67"/>
      <c r="J222" s="67"/>
      <c r="K222" s="67"/>
      <c r="L222" s="67"/>
      <c r="M222" s="67"/>
      <c r="N222" s="67"/>
      <c r="O222" s="67"/>
      <c r="P222" s="67"/>
      <c r="Q222" s="67"/>
      <c r="R222" s="67"/>
      <c r="S222" s="67"/>
      <c r="T222" s="67"/>
      <c r="U222" s="67"/>
      <c r="V222" s="67"/>
      <c r="W222" s="67"/>
      <c r="X222" s="67"/>
      <c r="Y222" s="67"/>
      <c r="Z222" s="67"/>
    </row>
    <row r="223">
      <c r="A223" s="67"/>
      <c r="B223" s="67"/>
      <c r="C223" s="67"/>
      <c r="D223" s="67"/>
      <c r="E223" s="67"/>
      <c r="F223" s="67"/>
      <c r="G223" s="67"/>
      <c r="H223" s="67"/>
      <c r="I223" s="67"/>
      <c r="J223" s="67"/>
      <c r="K223" s="67"/>
      <c r="L223" s="67"/>
      <c r="M223" s="67"/>
      <c r="N223" s="67"/>
      <c r="O223" s="67"/>
      <c r="P223" s="67"/>
      <c r="Q223" s="67"/>
      <c r="R223" s="67"/>
      <c r="S223" s="67"/>
      <c r="T223" s="67"/>
      <c r="U223" s="67"/>
      <c r="V223" s="67"/>
      <c r="W223" s="67"/>
      <c r="X223" s="67"/>
      <c r="Y223" s="67"/>
      <c r="Z223" s="67"/>
    </row>
    <row r="224">
      <c r="A224" s="67"/>
      <c r="B224" s="67"/>
      <c r="C224" s="67"/>
      <c r="D224" s="67"/>
      <c r="E224" s="67"/>
      <c r="F224" s="67"/>
      <c r="G224" s="67"/>
      <c r="H224" s="67"/>
      <c r="I224" s="67"/>
      <c r="J224" s="67"/>
      <c r="K224" s="67"/>
      <c r="L224" s="67"/>
      <c r="M224" s="67"/>
      <c r="N224" s="67"/>
      <c r="O224" s="67"/>
      <c r="P224" s="67"/>
      <c r="Q224" s="67"/>
      <c r="R224" s="67"/>
      <c r="S224" s="67"/>
      <c r="T224" s="67"/>
      <c r="U224" s="67"/>
      <c r="V224" s="67"/>
      <c r="W224" s="67"/>
      <c r="X224" s="67"/>
      <c r="Y224" s="67"/>
      <c r="Z224" s="67"/>
    </row>
    <row r="225">
      <c r="A225" s="67"/>
      <c r="B225" s="67"/>
      <c r="C225" s="67"/>
      <c r="D225" s="67"/>
      <c r="E225" s="67"/>
      <c r="F225" s="67"/>
      <c r="G225" s="67"/>
      <c r="H225" s="67"/>
      <c r="I225" s="67"/>
      <c r="J225" s="67"/>
      <c r="K225" s="67"/>
      <c r="L225" s="67"/>
      <c r="M225" s="67"/>
      <c r="N225" s="67"/>
      <c r="O225" s="67"/>
      <c r="P225" s="67"/>
      <c r="Q225" s="67"/>
      <c r="R225" s="67"/>
      <c r="S225" s="67"/>
      <c r="T225" s="67"/>
      <c r="U225" s="67"/>
      <c r="V225" s="67"/>
      <c r="W225" s="67"/>
      <c r="X225" s="67"/>
      <c r="Y225" s="67"/>
      <c r="Z225" s="67"/>
    </row>
    <row r="226">
      <c r="A226" s="67"/>
      <c r="B226" s="67"/>
      <c r="C226" s="67"/>
      <c r="D226" s="67"/>
      <c r="E226" s="67"/>
      <c r="F226" s="67"/>
      <c r="G226" s="67"/>
      <c r="H226" s="67"/>
      <c r="I226" s="67"/>
      <c r="J226" s="67"/>
      <c r="K226" s="67"/>
      <c r="L226" s="67"/>
      <c r="M226" s="67"/>
      <c r="N226" s="67"/>
      <c r="O226" s="67"/>
      <c r="P226" s="67"/>
      <c r="Q226" s="67"/>
      <c r="R226" s="67"/>
      <c r="S226" s="67"/>
      <c r="T226" s="67"/>
      <c r="U226" s="67"/>
      <c r="V226" s="67"/>
      <c r="W226" s="67"/>
      <c r="X226" s="67"/>
      <c r="Y226" s="67"/>
      <c r="Z226" s="67"/>
    </row>
    <row r="227">
      <c r="A227" s="67"/>
      <c r="B227" s="67"/>
      <c r="C227" s="67"/>
      <c r="D227" s="67"/>
      <c r="E227" s="67"/>
      <c r="F227" s="67"/>
      <c r="G227" s="67"/>
      <c r="H227" s="67"/>
      <c r="I227" s="67"/>
      <c r="J227" s="67"/>
      <c r="K227" s="67"/>
      <c r="L227" s="67"/>
      <c r="M227" s="67"/>
      <c r="N227" s="67"/>
      <c r="O227" s="67"/>
      <c r="P227" s="67"/>
      <c r="Q227" s="67"/>
      <c r="R227" s="67"/>
      <c r="S227" s="67"/>
      <c r="T227" s="67"/>
      <c r="U227" s="67"/>
      <c r="V227" s="67"/>
      <c r="W227" s="67"/>
      <c r="X227" s="67"/>
      <c r="Y227" s="67"/>
      <c r="Z227" s="67"/>
    </row>
    <row r="228">
      <c r="A228" s="67"/>
      <c r="B228" s="67"/>
      <c r="C228" s="67"/>
      <c r="D228" s="67"/>
      <c r="E228" s="67"/>
      <c r="F228" s="67"/>
      <c r="G228" s="67"/>
      <c r="H228" s="67"/>
      <c r="I228" s="67"/>
      <c r="J228" s="67"/>
      <c r="K228" s="67"/>
      <c r="L228" s="67"/>
      <c r="M228" s="67"/>
      <c r="N228" s="67"/>
      <c r="O228" s="67"/>
      <c r="P228" s="67"/>
      <c r="Q228" s="67"/>
      <c r="R228" s="67"/>
      <c r="S228" s="67"/>
      <c r="T228" s="67"/>
      <c r="U228" s="67"/>
      <c r="V228" s="67"/>
      <c r="W228" s="67"/>
      <c r="X228" s="67"/>
      <c r="Y228" s="67"/>
      <c r="Z228" s="67"/>
    </row>
    <row r="229">
      <c r="A229" s="67"/>
      <c r="B229" s="67"/>
      <c r="C229" s="67"/>
      <c r="D229" s="67"/>
      <c r="E229" s="67"/>
      <c r="F229" s="67"/>
      <c r="G229" s="67"/>
      <c r="H229" s="67"/>
      <c r="I229" s="67"/>
      <c r="J229" s="67"/>
      <c r="K229" s="67"/>
      <c r="L229" s="67"/>
      <c r="M229" s="67"/>
      <c r="N229" s="67"/>
      <c r="O229" s="67"/>
      <c r="P229" s="67"/>
      <c r="Q229" s="67"/>
      <c r="R229" s="67"/>
      <c r="S229" s="67"/>
      <c r="T229" s="67"/>
      <c r="U229" s="67"/>
      <c r="V229" s="67"/>
      <c r="W229" s="67"/>
      <c r="X229" s="67"/>
      <c r="Y229" s="67"/>
      <c r="Z229" s="67"/>
    </row>
    <row r="230">
      <c r="A230" s="67"/>
      <c r="B230" s="67"/>
      <c r="C230" s="67"/>
      <c r="D230" s="67"/>
      <c r="E230" s="67"/>
      <c r="F230" s="67"/>
      <c r="G230" s="67"/>
      <c r="H230" s="67"/>
      <c r="I230" s="67"/>
      <c r="J230" s="67"/>
      <c r="K230" s="67"/>
      <c r="L230" s="67"/>
      <c r="M230" s="67"/>
      <c r="N230" s="67"/>
      <c r="O230" s="67"/>
      <c r="P230" s="67"/>
      <c r="Q230" s="67"/>
      <c r="R230" s="67"/>
      <c r="S230" s="67"/>
      <c r="T230" s="67"/>
      <c r="U230" s="67"/>
      <c r="V230" s="67"/>
      <c r="W230" s="67"/>
      <c r="X230" s="67"/>
      <c r="Y230" s="67"/>
      <c r="Z230" s="67"/>
    </row>
    <row r="231">
      <c r="A231" s="67"/>
      <c r="B231" s="67"/>
      <c r="C231" s="67"/>
      <c r="D231" s="67"/>
      <c r="E231" s="67"/>
      <c r="F231" s="67"/>
      <c r="G231" s="67"/>
      <c r="H231" s="67"/>
      <c r="I231" s="67"/>
      <c r="J231" s="67"/>
      <c r="K231" s="67"/>
      <c r="L231" s="67"/>
      <c r="M231" s="67"/>
      <c r="N231" s="67"/>
      <c r="O231" s="67"/>
      <c r="P231" s="67"/>
      <c r="Q231" s="67"/>
      <c r="R231" s="67"/>
      <c r="S231" s="67"/>
      <c r="T231" s="67"/>
      <c r="U231" s="67"/>
      <c r="V231" s="67"/>
      <c r="W231" s="67"/>
      <c r="X231" s="67"/>
      <c r="Y231" s="67"/>
      <c r="Z231" s="67"/>
    </row>
    <row r="232">
      <c r="A232" s="67"/>
      <c r="B232" s="67"/>
      <c r="C232" s="67"/>
      <c r="D232" s="67"/>
      <c r="E232" s="67"/>
      <c r="F232" s="67"/>
      <c r="G232" s="67"/>
      <c r="H232" s="67"/>
      <c r="I232" s="67"/>
      <c r="J232" s="67"/>
      <c r="K232" s="67"/>
      <c r="L232" s="67"/>
      <c r="M232" s="67"/>
      <c r="N232" s="67"/>
      <c r="O232" s="67"/>
      <c r="P232" s="67"/>
      <c r="Q232" s="67"/>
      <c r="R232" s="67"/>
      <c r="S232" s="67"/>
      <c r="T232" s="67"/>
      <c r="U232" s="67"/>
      <c r="V232" s="67"/>
      <c r="W232" s="67"/>
      <c r="X232" s="67"/>
      <c r="Y232" s="67"/>
      <c r="Z232" s="67"/>
    </row>
    <row r="233">
      <c r="A233" s="67"/>
      <c r="B233" s="67"/>
      <c r="C233" s="67"/>
      <c r="D233" s="67"/>
      <c r="E233" s="67"/>
      <c r="F233" s="67"/>
      <c r="G233" s="67"/>
      <c r="H233" s="67"/>
      <c r="I233" s="67"/>
      <c r="J233" s="67"/>
      <c r="K233" s="67"/>
      <c r="L233" s="67"/>
      <c r="M233" s="67"/>
      <c r="N233" s="67"/>
      <c r="O233" s="67"/>
      <c r="P233" s="67"/>
      <c r="Q233" s="67"/>
      <c r="R233" s="67"/>
      <c r="S233" s="67"/>
      <c r="T233" s="67"/>
      <c r="U233" s="67"/>
      <c r="V233" s="67"/>
      <c r="W233" s="67"/>
      <c r="X233" s="67"/>
      <c r="Y233" s="67"/>
      <c r="Z233" s="67"/>
    </row>
    <row r="234">
      <c r="A234" s="67"/>
      <c r="B234" s="67"/>
      <c r="C234" s="67"/>
      <c r="D234" s="67"/>
      <c r="E234" s="67"/>
      <c r="F234" s="67"/>
      <c r="G234" s="67"/>
      <c r="H234" s="67"/>
      <c r="I234" s="67"/>
      <c r="J234" s="67"/>
      <c r="K234" s="67"/>
      <c r="L234" s="67"/>
      <c r="M234" s="67"/>
      <c r="N234" s="67"/>
      <c r="O234" s="67"/>
      <c r="P234" s="67"/>
      <c r="Q234" s="67"/>
      <c r="R234" s="67"/>
      <c r="S234" s="67"/>
      <c r="T234" s="67"/>
      <c r="U234" s="67"/>
      <c r="V234" s="67"/>
      <c r="W234" s="67"/>
      <c r="X234" s="67"/>
      <c r="Y234" s="67"/>
      <c r="Z234" s="67"/>
    </row>
    <row r="235">
      <c r="A235" s="67"/>
      <c r="B235" s="67"/>
      <c r="C235" s="67"/>
      <c r="D235" s="67"/>
      <c r="E235" s="67"/>
      <c r="F235" s="67"/>
      <c r="G235" s="67"/>
      <c r="H235" s="67"/>
      <c r="I235" s="67"/>
      <c r="J235" s="67"/>
      <c r="K235" s="67"/>
      <c r="L235" s="67"/>
      <c r="M235" s="67"/>
      <c r="N235" s="67"/>
      <c r="O235" s="67"/>
      <c r="P235" s="67"/>
      <c r="Q235" s="67"/>
      <c r="R235" s="67"/>
      <c r="S235" s="67"/>
      <c r="T235" s="67"/>
      <c r="U235" s="67"/>
      <c r="V235" s="67"/>
      <c r="W235" s="67"/>
      <c r="X235" s="67"/>
      <c r="Y235" s="67"/>
      <c r="Z235" s="67"/>
    </row>
    <row r="236">
      <c r="A236" s="67"/>
      <c r="B236" s="67"/>
      <c r="C236" s="67"/>
      <c r="D236" s="67"/>
      <c r="E236" s="67"/>
      <c r="F236" s="67"/>
      <c r="G236" s="67"/>
      <c r="H236" s="67"/>
      <c r="I236" s="67"/>
      <c r="J236" s="67"/>
      <c r="K236" s="67"/>
      <c r="L236" s="67"/>
      <c r="M236" s="67"/>
      <c r="N236" s="67"/>
      <c r="O236" s="67"/>
      <c r="P236" s="67"/>
      <c r="Q236" s="67"/>
      <c r="R236" s="67"/>
      <c r="S236" s="67"/>
      <c r="T236" s="67"/>
      <c r="U236" s="67"/>
      <c r="V236" s="67"/>
      <c r="W236" s="67"/>
      <c r="X236" s="67"/>
      <c r="Y236" s="67"/>
      <c r="Z236" s="67"/>
    </row>
    <row r="237">
      <c r="A237" s="67"/>
      <c r="B237" s="67"/>
      <c r="C237" s="67"/>
      <c r="D237" s="67"/>
      <c r="E237" s="67"/>
      <c r="F237" s="67"/>
      <c r="G237" s="67"/>
      <c r="H237" s="67"/>
      <c r="I237" s="67"/>
      <c r="J237" s="67"/>
      <c r="K237" s="67"/>
      <c r="L237" s="67"/>
      <c r="M237" s="67"/>
      <c r="N237" s="67"/>
      <c r="O237" s="67"/>
      <c r="P237" s="67"/>
      <c r="Q237" s="67"/>
      <c r="R237" s="67"/>
      <c r="S237" s="67"/>
      <c r="T237" s="67"/>
      <c r="U237" s="67"/>
      <c r="V237" s="67"/>
      <c r="W237" s="67"/>
      <c r="X237" s="67"/>
      <c r="Y237" s="67"/>
      <c r="Z237" s="67"/>
    </row>
    <row r="238">
      <c r="A238" s="67"/>
      <c r="B238" s="67"/>
      <c r="C238" s="67"/>
      <c r="D238" s="67"/>
      <c r="E238" s="67"/>
      <c r="F238" s="67"/>
      <c r="G238" s="67"/>
      <c r="H238" s="67"/>
      <c r="I238" s="67"/>
      <c r="J238" s="67"/>
      <c r="K238" s="67"/>
      <c r="L238" s="67"/>
      <c r="M238" s="67"/>
      <c r="N238" s="67"/>
      <c r="O238" s="67"/>
      <c r="P238" s="67"/>
      <c r="Q238" s="67"/>
      <c r="R238" s="67"/>
      <c r="S238" s="67"/>
      <c r="T238" s="67"/>
      <c r="U238" s="67"/>
      <c r="V238" s="67"/>
      <c r="W238" s="67"/>
      <c r="X238" s="67"/>
      <c r="Y238" s="67"/>
      <c r="Z238" s="67"/>
    </row>
    <row r="239">
      <c r="A239" s="67"/>
      <c r="B239" s="67"/>
      <c r="C239" s="67"/>
      <c r="D239" s="67"/>
      <c r="E239" s="67"/>
      <c r="F239" s="67"/>
      <c r="G239" s="67"/>
      <c r="H239" s="67"/>
      <c r="I239" s="67"/>
      <c r="J239" s="67"/>
      <c r="K239" s="67"/>
      <c r="L239" s="67"/>
      <c r="M239" s="67"/>
      <c r="N239" s="67"/>
      <c r="O239" s="67"/>
      <c r="P239" s="67"/>
      <c r="Q239" s="67"/>
      <c r="R239" s="67"/>
      <c r="S239" s="67"/>
      <c r="T239" s="67"/>
      <c r="U239" s="67"/>
      <c r="V239" s="67"/>
      <c r="W239" s="67"/>
      <c r="X239" s="67"/>
      <c r="Y239" s="67"/>
      <c r="Z239" s="67"/>
    </row>
    <row r="240">
      <c r="A240" s="67"/>
      <c r="B240" s="67"/>
      <c r="C240" s="67"/>
      <c r="D240" s="67"/>
      <c r="E240" s="67"/>
      <c r="F240" s="67"/>
      <c r="G240" s="67"/>
      <c r="H240" s="67"/>
      <c r="I240" s="67"/>
      <c r="J240" s="67"/>
      <c r="K240" s="67"/>
      <c r="L240" s="67"/>
      <c r="M240" s="67"/>
      <c r="N240" s="67"/>
      <c r="O240" s="67"/>
      <c r="P240" s="67"/>
      <c r="Q240" s="67"/>
      <c r="R240" s="67"/>
      <c r="S240" s="67"/>
      <c r="T240" s="67"/>
      <c r="U240" s="67"/>
      <c r="V240" s="67"/>
      <c r="W240" s="67"/>
      <c r="X240" s="67"/>
      <c r="Y240" s="67"/>
      <c r="Z240" s="67"/>
    </row>
    <row r="241">
      <c r="A241" s="67"/>
      <c r="B241" s="67"/>
      <c r="C241" s="67"/>
      <c r="D241" s="67"/>
      <c r="E241" s="67"/>
      <c r="F241" s="67"/>
      <c r="G241" s="67"/>
      <c r="H241" s="67"/>
      <c r="I241" s="67"/>
      <c r="J241" s="67"/>
      <c r="K241" s="67"/>
      <c r="L241" s="67"/>
      <c r="M241" s="67"/>
      <c r="N241" s="67"/>
      <c r="O241" s="67"/>
      <c r="P241" s="67"/>
      <c r="Q241" s="67"/>
      <c r="R241" s="67"/>
      <c r="S241" s="67"/>
      <c r="T241" s="67"/>
      <c r="U241" s="67"/>
      <c r="V241" s="67"/>
      <c r="W241" s="67"/>
      <c r="X241" s="67"/>
      <c r="Y241" s="67"/>
      <c r="Z241" s="67"/>
    </row>
    <row r="242">
      <c r="A242" s="67"/>
      <c r="B242" s="67"/>
      <c r="C242" s="67"/>
      <c r="D242" s="67"/>
      <c r="E242" s="67"/>
      <c r="F242" s="67"/>
      <c r="G242" s="67"/>
      <c r="H242" s="67"/>
      <c r="I242" s="67"/>
      <c r="J242" s="67"/>
      <c r="K242" s="67"/>
      <c r="L242" s="67"/>
      <c r="M242" s="67"/>
      <c r="N242" s="67"/>
      <c r="O242" s="67"/>
      <c r="P242" s="67"/>
      <c r="Q242" s="67"/>
      <c r="R242" s="67"/>
      <c r="S242" s="67"/>
      <c r="T242" s="67"/>
      <c r="U242" s="67"/>
      <c r="V242" s="67"/>
      <c r="W242" s="67"/>
      <c r="X242" s="67"/>
      <c r="Y242" s="67"/>
      <c r="Z242" s="67"/>
    </row>
    <row r="243">
      <c r="A243" s="67"/>
      <c r="B243" s="67"/>
      <c r="C243" s="67"/>
      <c r="D243" s="67"/>
      <c r="E243" s="67"/>
      <c r="F243" s="67"/>
      <c r="G243" s="67"/>
      <c r="H243" s="67"/>
      <c r="I243" s="67"/>
      <c r="J243" s="67"/>
      <c r="K243" s="67"/>
      <c r="L243" s="67"/>
      <c r="M243" s="67"/>
      <c r="N243" s="67"/>
      <c r="O243" s="67"/>
      <c r="P243" s="67"/>
      <c r="Q243" s="67"/>
      <c r="R243" s="67"/>
      <c r="S243" s="67"/>
      <c r="T243" s="67"/>
      <c r="U243" s="67"/>
      <c r="V243" s="67"/>
      <c r="W243" s="67"/>
      <c r="X243" s="67"/>
      <c r="Y243" s="67"/>
      <c r="Z243" s="67"/>
    </row>
    <row r="244">
      <c r="A244" s="67"/>
      <c r="B244" s="67"/>
      <c r="C244" s="67"/>
      <c r="D244" s="67"/>
      <c r="E244" s="67"/>
      <c r="F244" s="67"/>
      <c r="G244" s="67"/>
      <c r="H244" s="67"/>
      <c r="I244" s="67"/>
      <c r="J244" s="67"/>
      <c r="K244" s="67"/>
      <c r="L244" s="67"/>
      <c r="M244" s="67"/>
      <c r="N244" s="67"/>
      <c r="O244" s="67"/>
      <c r="P244" s="67"/>
      <c r="Q244" s="67"/>
      <c r="R244" s="67"/>
      <c r="S244" s="67"/>
      <c r="T244" s="67"/>
      <c r="U244" s="67"/>
      <c r="V244" s="67"/>
      <c r="W244" s="67"/>
      <c r="X244" s="67"/>
      <c r="Y244" s="67"/>
      <c r="Z244" s="67"/>
    </row>
    <row r="245">
      <c r="A245" s="67"/>
      <c r="B245" s="67"/>
      <c r="C245" s="67"/>
      <c r="D245" s="67"/>
      <c r="E245" s="67"/>
      <c r="F245" s="67"/>
      <c r="G245" s="67"/>
      <c r="H245" s="67"/>
      <c r="I245" s="67"/>
      <c r="J245" s="67"/>
      <c r="K245" s="67"/>
      <c r="L245" s="67"/>
      <c r="M245" s="67"/>
      <c r="N245" s="67"/>
      <c r="O245" s="67"/>
      <c r="P245" s="67"/>
      <c r="Q245" s="67"/>
      <c r="R245" s="67"/>
      <c r="S245" s="67"/>
      <c r="T245" s="67"/>
      <c r="U245" s="67"/>
      <c r="V245" s="67"/>
      <c r="W245" s="67"/>
      <c r="X245" s="67"/>
      <c r="Y245" s="67"/>
      <c r="Z245" s="67"/>
    </row>
    <row r="246">
      <c r="A246" s="67"/>
      <c r="B246" s="67"/>
      <c r="C246" s="67"/>
      <c r="D246" s="67"/>
      <c r="E246" s="67"/>
      <c r="F246" s="67"/>
      <c r="G246" s="67"/>
      <c r="H246" s="67"/>
      <c r="I246" s="67"/>
      <c r="J246" s="67"/>
      <c r="K246" s="67"/>
      <c r="L246" s="67"/>
      <c r="M246" s="67"/>
      <c r="N246" s="67"/>
      <c r="O246" s="67"/>
      <c r="P246" s="67"/>
      <c r="Q246" s="67"/>
      <c r="R246" s="67"/>
      <c r="S246" s="67"/>
      <c r="T246" s="67"/>
      <c r="U246" s="67"/>
      <c r="V246" s="67"/>
      <c r="W246" s="67"/>
      <c r="X246" s="67"/>
      <c r="Y246" s="67"/>
      <c r="Z246" s="67"/>
    </row>
    <row r="247">
      <c r="A247" s="67"/>
      <c r="B247" s="67"/>
      <c r="C247" s="67"/>
      <c r="D247" s="67"/>
      <c r="E247" s="67"/>
      <c r="F247" s="67"/>
      <c r="G247" s="67"/>
      <c r="H247" s="67"/>
      <c r="I247" s="67"/>
      <c r="J247" s="67"/>
      <c r="K247" s="67"/>
      <c r="L247" s="67"/>
      <c r="M247" s="67"/>
      <c r="N247" s="67"/>
      <c r="O247" s="67"/>
      <c r="P247" s="67"/>
      <c r="Q247" s="67"/>
      <c r="R247" s="67"/>
      <c r="S247" s="67"/>
      <c r="T247" s="67"/>
      <c r="U247" s="67"/>
      <c r="V247" s="67"/>
      <c r="W247" s="67"/>
      <c r="X247" s="67"/>
      <c r="Y247" s="67"/>
      <c r="Z247" s="67"/>
    </row>
    <row r="248">
      <c r="A248" s="67"/>
      <c r="B248" s="67"/>
      <c r="C248" s="67"/>
      <c r="D248" s="67"/>
      <c r="E248" s="67"/>
      <c r="F248" s="67"/>
      <c r="G248" s="67"/>
      <c r="H248" s="67"/>
      <c r="I248" s="67"/>
      <c r="J248" s="67"/>
      <c r="K248" s="67"/>
      <c r="L248" s="67"/>
      <c r="M248" s="67"/>
      <c r="N248" s="67"/>
      <c r="O248" s="67"/>
      <c r="P248" s="67"/>
      <c r="Q248" s="67"/>
      <c r="R248" s="67"/>
      <c r="S248" s="67"/>
      <c r="T248" s="67"/>
      <c r="U248" s="67"/>
      <c r="V248" s="67"/>
      <c r="W248" s="67"/>
      <c r="X248" s="67"/>
      <c r="Y248" s="67"/>
      <c r="Z248" s="67"/>
    </row>
    <row r="249">
      <c r="A249" s="67"/>
      <c r="B249" s="67"/>
      <c r="C249" s="67"/>
      <c r="D249" s="67"/>
      <c r="E249" s="67"/>
      <c r="F249" s="67"/>
      <c r="G249" s="67"/>
      <c r="H249" s="67"/>
      <c r="I249" s="67"/>
      <c r="J249" s="67"/>
      <c r="K249" s="67"/>
      <c r="L249" s="67"/>
      <c r="M249" s="67"/>
      <c r="N249" s="67"/>
      <c r="O249" s="67"/>
      <c r="P249" s="67"/>
      <c r="Q249" s="67"/>
      <c r="R249" s="67"/>
      <c r="S249" s="67"/>
      <c r="T249" s="67"/>
      <c r="U249" s="67"/>
      <c r="V249" s="67"/>
      <c r="W249" s="67"/>
      <c r="X249" s="67"/>
      <c r="Y249" s="67"/>
      <c r="Z249" s="67"/>
    </row>
    <row r="250">
      <c r="A250" s="67"/>
      <c r="B250" s="67"/>
      <c r="C250" s="67"/>
      <c r="D250" s="67"/>
      <c r="E250" s="67"/>
      <c r="F250" s="67"/>
      <c r="G250" s="67"/>
      <c r="H250" s="67"/>
      <c r="I250" s="67"/>
      <c r="J250" s="67"/>
      <c r="K250" s="67"/>
      <c r="L250" s="67"/>
      <c r="M250" s="67"/>
      <c r="N250" s="67"/>
      <c r="O250" s="67"/>
      <c r="P250" s="67"/>
      <c r="Q250" s="67"/>
      <c r="R250" s="67"/>
      <c r="S250" s="67"/>
      <c r="T250" s="67"/>
      <c r="U250" s="67"/>
      <c r="V250" s="67"/>
      <c r="W250" s="67"/>
      <c r="X250" s="67"/>
      <c r="Y250" s="67"/>
      <c r="Z250" s="67"/>
    </row>
    <row r="251">
      <c r="A251" s="67"/>
      <c r="B251" s="67"/>
      <c r="C251" s="67"/>
      <c r="D251" s="67"/>
      <c r="E251" s="67"/>
      <c r="F251" s="67"/>
      <c r="G251" s="67"/>
      <c r="H251" s="67"/>
      <c r="I251" s="67"/>
      <c r="J251" s="67"/>
      <c r="K251" s="67"/>
      <c r="L251" s="67"/>
      <c r="M251" s="67"/>
      <c r="N251" s="67"/>
      <c r="O251" s="67"/>
      <c r="P251" s="67"/>
      <c r="Q251" s="67"/>
      <c r="R251" s="67"/>
      <c r="S251" s="67"/>
      <c r="T251" s="67"/>
      <c r="U251" s="67"/>
      <c r="V251" s="67"/>
      <c r="W251" s="67"/>
      <c r="X251" s="67"/>
      <c r="Y251" s="67"/>
      <c r="Z251" s="67"/>
    </row>
    <row r="252">
      <c r="A252" s="67"/>
      <c r="B252" s="67"/>
      <c r="C252" s="67"/>
      <c r="D252" s="67"/>
      <c r="E252" s="67"/>
      <c r="F252" s="67"/>
      <c r="G252" s="67"/>
      <c r="H252" s="67"/>
      <c r="I252" s="67"/>
      <c r="J252" s="67"/>
      <c r="K252" s="67"/>
      <c r="L252" s="67"/>
      <c r="M252" s="67"/>
      <c r="N252" s="67"/>
      <c r="O252" s="67"/>
      <c r="P252" s="67"/>
      <c r="Q252" s="67"/>
      <c r="R252" s="67"/>
      <c r="S252" s="67"/>
      <c r="T252" s="67"/>
      <c r="U252" s="67"/>
      <c r="V252" s="67"/>
      <c r="W252" s="67"/>
      <c r="X252" s="67"/>
      <c r="Y252" s="67"/>
      <c r="Z252" s="67"/>
    </row>
    <row r="253">
      <c r="A253" s="67"/>
      <c r="B253" s="67"/>
      <c r="C253" s="67"/>
      <c r="D253" s="67"/>
      <c r="E253" s="67"/>
      <c r="F253" s="67"/>
      <c r="G253" s="67"/>
      <c r="H253" s="67"/>
      <c r="I253" s="67"/>
      <c r="J253" s="67"/>
      <c r="K253" s="67"/>
      <c r="L253" s="67"/>
      <c r="M253" s="67"/>
      <c r="N253" s="67"/>
      <c r="O253" s="67"/>
      <c r="P253" s="67"/>
      <c r="Q253" s="67"/>
      <c r="R253" s="67"/>
      <c r="S253" s="67"/>
      <c r="T253" s="67"/>
      <c r="U253" s="67"/>
      <c r="V253" s="67"/>
      <c r="W253" s="67"/>
      <c r="X253" s="67"/>
      <c r="Y253" s="67"/>
      <c r="Z253" s="67"/>
    </row>
    <row r="254">
      <c r="A254" s="67"/>
      <c r="B254" s="67"/>
      <c r="C254" s="67"/>
      <c r="D254" s="67"/>
      <c r="E254" s="67"/>
      <c r="F254" s="67"/>
      <c r="G254" s="67"/>
      <c r="H254" s="67"/>
      <c r="I254" s="67"/>
      <c r="J254" s="67"/>
      <c r="K254" s="67"/>
      <c r="L254" s="67"/>
      <c r="M254" s="67"/>
      <c r="N254" s="67"/>
      <c r="O254" s="67"/>
      <c r="P254" s="67"/>
      <c r="Q254" s="67"/>
      <c r="R254" s="67"/>
      <c r="S254" s="67"/>
      <c r="T254" s="67"/>
      <c r="U254" s="67"/>
      <c r="V254" s="67"/>
      <c r="W254" s="67"/>
      <c r="X254" s="67"/>
      <c r="Y254" s="67"/>
      <c r="Z254" s="67"/>
    </row>
    <row r="255">
      <c r="A255" s="67"/>
      <c r="B255" s="67"/>
      <c r="C255" s="67"/>
      <c r="D255" s="67"/>
      <c r="E255" s="67"/>
      <c r="F255" s="67"/>
      <c r="G255" s="67"/>
      <c r="H255" s="67"/>
      <c r="I255" s="67"/>
      <c r="J255" s="67"/>
      <c r="K255" s="67"/>
      <c r="L255" s="67"/>
      <c r="M255" s="67"/>
      <c r="N255" s="67"/>
      <c r="O255" s="67"/>
      <c r="P255" s="67"/>
      <c r="Q255" s="67"/>
      <c r="R255" s="67"/>
      <c r="S255" s="67"/>
      <c r="T255" s="67"/>
      <c r="U255" s="67"/>
      <c r="V255" s="67"/>
      <c r="W255" s="67"/>
      <c r="X255" s="67"/>
      <c r="Y255" s="67"/>
      <c r="Z255" s="67"/>
    </row>
    <row r="256">
      <c r="A256" s="67"/>
      <c r="B256" s="67"/>
      <c r="C256" s="67"/>
      <c r="D256" s="67"/>
      <c r="E256" s="67"/>
      <c r="F256" s="67"/>
      <c r="G256" s="67"/>
      <c r="H256" s="67"/>
      <c r="I256" s="67"/>
      <c r="J256" s="67"/>
      <c r="K256" s="67"/>
      <c r="L256" s="67"/>
      <c r="M256" s="67"/>
      <c r="N256" s="67"/>
      <c r="O256" s="67"/>
      <c r="P256" s="67"/>
      <c r="Q256" s="67"/>
      <c r="R256" s="67"/>
      <c r="S256" s="67"/>
      <c r="T256" s="67"/>
      <c r="U256" s="67"/>
      <c r="V256" s="67"/>
      <c r="W256" s="67"/>
      <c r="X256" s="67"/>
      <c r="Y256" s="67"/>
      <c r="Z256" s="67"/>
    </row>
    <row r="257">
      <c r="A257" s="67"/>
      <c r="B257" s="67"/>
      <c r="C257" s="67"/>
      <c r="D257" s="67"/>
      <c r="E257" s="67"/>
      <c r="F257" s="67"/>
      <c r="G257" s="67"/>
      <c r="H257" s="67"/>
      <c r="I257" s="67"/>
      <c r="J257" s="67"/>
      <c r="K257" s="67"/>
      <c r="L257" s="67"/>
      <c r="M257" s="67"/>
      <c r="N257" s="67"/>
      <c r="O257" s="67"/>
      <c r="P257" s="67"/>
      <c r="Q257" s="67"/>
      <c r="R257" s="67"/>
      <c r="S257" s="67"/>
      <c r="T257" s="67"/>
      <c r="U257" s="67"/>
      <c r="V257" s="67"/>
      <c r="W257" s="67"/>
      <c r="X257" s="67"/>
      <c r="Y257" s="67"/>
      <c r="Z257" s="67"/>
    </row>
    <row r="258">
      <c r="A258" s="67"/>
      <c r="B258" s="67"/>
      <c r="C258" s="67"/>
      <c r="D258" s="67"/>
      <c r="E258" s="67"/>
      <c r="F258" s="67"/>
      <c r="G258" s="67"/>
      <c r="H258" s="67"/>
      <c r="I258" s="67"/>
      <c r="J258" s="67"/>
      <c r="K258" s="67"/>
      <c r="L258" s="67"/>
      <c r="M258" s="67"/>
      <c r="N258" s="67"/>
      <c r="O258" s="67"/>
      <c r="P258" s="67"/>
      <c r="Q258" s="67"/>
      <c r="R258" s="67"/>
      <c r="S258" s="67"/>
      <c r="T258" s="67"/>
      <c r="U258" s="67"/>
      <c r="V258" s="67"/>
      <c r="W258" s="67"/>
      <c r="X258" s="67"/>
      <c r="Y258" s="67"/>
      <c r="Z258" s="67"/>
    </row>
    <row r="259">
      <c r="A259" s="67"/>
      <c r="B259" s="67"/>
      <c r="C259" s="67"/>
      <c r="D259" s="67"/>
      <c r="E259" s="67"/>
      <c r="F259" s="67"/>
      <c r="G259" s="67"/>
      <c r="H259" s="67"/>
      <c r="I259" s="67"/>
      <c r="J259" s="67"/>
      <c r="K259" s="67"/>
      <c r="L259" s="67"/>
      <c r="M259" s="67"/>
      <c r="N259" s="67"/>
      <c r="O259" s="67"/>
      <c r="P259" s="67"/>
      <c r="Q259" s="67"/>
      <c r="R259" s="67"/>
      <c r="S259" s="67"/>
      <c r="T259" s="67"/>
      <c r="U259" s="67"/>
      <c r="V259" s="67"/>
      <c r="W259" s="67"/>
      <c r="X259" s="67"/>
      <c r="Y259" s="67"/>
      <c r="Z259" s="67"/>
    </row>
    <row r="260">
      <c r="A260" s="67"/>
      <c r="B260" s="67"/>
      <c r="C260" s="67"/>
      <c r="D260" s="67"/>
      <c r="E260" s="67"/>
      <c r="F260" s="67"/>
      <c r="G260" s="67"/>
      <c r="H260" s="67"/>
      <c r="I260" s="67"/>
      <c r="J260" s="67"/>
      <c r="K260" s="67"/>
      <c r="L260" s="67"/>
      <c r="M260" s="67"/>
      <c r="N260" s="67"/>
      <c r="O260" s="67"/>
      <c r="P260" s="67"/>
      <c r="Q260" s="67"/>
      <c r="R260" s="67"/>
      <c r="S260" s="67"/>
      <c r="T260" s="67"/>
      <c r="U260" s="67"/>
      <c r="V260" s="67"/>
      <c r="W260" s="67"/>
      <c r="X260" s="67"/>
      <c r="Y260" s="67"/>
      <c r="Z260" s="67"/>
    </row>
    <row r="261">
      <c r="A261" s="67"/>
      <c r="B261" s="67"/>
      <c r="C261" s="67"/>
      <c r="D261" s="67"/>
      <c r="E261" s="67"/>
      <c r="F261" s="67"/>
      <c r="G261" s="67"/>
      <c r="H261" s="67"/>
      <c r="I261" s="67"/>
      <c r="J261" s="67"/>
      <c r="K261" s="67"/>
      <c r="L261" s="67"/>
      <c r="M261" s="67"/>
      <c r="N261" s="67"/>
      <c r="O261" s="67"/>
      <c r="P261" s="67"/>
      <c r="Q261" s="67"/>
      <c r="R261" s="67"/>
      <c r="S261" s="67"/>
      <c r="T261" s="67"/>
      <c r="U261" s="67"/>
      <c r="V261" s="67"/>
      <c r="W261" s="67"/>
      <c r="X261" s="67"/>
      <c r="Y261" s="67"/>
      <c r="Z261" s="67"/>
    </row>
    <row r="262">
      <c r="A262" s="67"/>
      <c r="B262" s="67"/>
      <c r="C262" s="67"/>
      <c r="D262" s="67"/>
      <c r="E262" s="67"/>
      <c r="F262" s="67"/>
      <c r="G262" s="67"/>
      <c r="H262" s="67"/>
      <c r="I262" s="67"/>
      <c r="J262" s="67"/>
      <c r="K262" s="67"/>
      <c r="L262" s="67"/>
      <c r="M262" s="67"/>
      <c r="N262" s="67"/>
      <c r="O262" s="67"/>
      <c r="P262" s="67"/>
      <c r="Q262" s="67"/>
      <c r="R262" s="67"/>
      <c r="S262" s="67"/>
      <c r="T262" s="67"/>
      <c r="U262" s="67"/>
      <c r="V262" s="67"/>
      <c r="W262" s="67"/>
      <c r="X262" s="67"/>
      <c r="Y262" s="67"/>
      <c r="Z262" s="67"/>
    </row>
    <row r="263">
      <c r="A263" s="67"/>
      <c r="B263" s="67"/>
      <c r="C263" s="67"/>
      <c r="D263" s="67"/>
      <c r="E263" s="67"/>
      <c r="F263" s="67"/>
      <c r="G263" s="67"/>
      <c r="H263" s="67"/>
      <c r="I263" s="67"/>
      <c r="J263" s="67"/>
      <c r="K263" s="67"/>
      <c r="L263" s="67"/>
      <c r="M263" s="67"/>
      <c r="N263" s="67"/>
      <c r="O263" s="67"/>
      <c r="P263" s="67"/>
      <c r="Q263" s="67"/>
      <c r="R263" s="67"/>
      <c r="S263" s="67"/>
      <c r="T263" s="67"/>
      <c r="U263" s="67"/>
      <c r="V263" s="67"/>
      <c r="W263" s="67"/>
      <c r="X263" s="67"/>
      <c r="Y263" s="67"/>
      <c r="Z263" s="67"/>
    </row>
    <row r="264">
      <c r="A264" s="67"/>
      <c r="B264" s="67"/>
      <c r="C264" s="67"/>
      <c r="D264" s="67"/>
      <c r="E264" s="67"/>
      <c r="F264" s="67"/>
      <c r="G264" s="67"/>
      <c r="H264" s="67"/>
      <c r="I264" s="67"/>
      <c r="J264" s="67"/>
      <c r="K264" s="67"/>
      <c r="L264" s="67"/>
      <c r="M264" s="67"/>
      <c r="N264" s="67"/>
      <c r="O264" s="67"/>
      <c r="P264" s="67"/>
      <c r="Q264" s="67"/>
      <c r="R264" s="67"/>
      <c r="S264" s="67"/>
      <c r="T264" s="67"/>
      <c r="U264" s="67"/>
      <c r="V264" s="67"/>
      <c r="W264" s="67"/>
      <c r="X264" s="67"/>
      <c r="Y264" s="67"/>
      <c r="Z264" s="67"/>
    </row>
    <row r="265">
      <c r="A265" s="67"/>
      <c r="B265" s="67"/>
      <c r="C265" s="67"/>
      <c r="D265" s="67"/>
      <c r="E265" s="67"/>
      <c r="F265" s="67"/>
      <c r="G265" s="67"/>
      <c r="H265" s="67"/>
      <c r="I265" s="67"/>
      <c r="J265" s="67"/>
      <c r="K265" s="67"/>
      <c r="L265" s="67"/>
      <c r="M265" s="67"/>
      <c r="N265" s="67"/>
      <c r="O265" s="67"/>
      <c r="P265" s="67"/>
      <c r="Q265" s="67"/>
      <c r="R265" s="67"/>
      <c r="S265" s="67"/>
      <c r="T265" s="67"/>
      <c r="U265" s="67"/>
      <c r="V265" s="67"/>
      <c r="W265" s="67"/>
      <c r="X265" s="67"/>
      <c r="Y265" s="67"/>
      <c r="Z265" s="67"/>
    </row>
    <row r="266">
      <c r="A266" s="67"/>
      <c r="B266" s="67"/>
      <c r="C266" s="67"/>
      <c r="D266" s="67"/>
      <c r="E266" s="67"/>
      <c r="F266" s="67"/>
      <c r="G266" s="67"/>
      <c r="H266" s="67"/>
      <c r="I266" s="67"/>
      <c r="J266" s="67"/>
      <c r="K266" s="67"/>
      <c r="L266" s="67"/>
      <c r="M266" s="67"/>
      <c r="N266" s="67"/>
      <c r="O266" s="67"/>
      <c r="P266" s="67"/>
      <c r="Q266" s="67"/>
      <c r="R266" s="67"/>
      <c r="S266" s="67"/>
      <c r="T266" s="67"/>
      <c r="U266" s="67"/>
      <c r="V266" s="67"/>
      <c r="W266" s="67"/>
      <c r="X266" s="67"/>
      <c r="Y266" s="67"/>
      <c r="Z266" s="67"/>
    </row>
    <row r="267">
      <c r="A267" s="67"/>
      <c r="B267" s="67"/>
      <c r="C267" s="67"/>
      <c r="D267" s="67"/>
      <c r="E267" s="67"/>
      <c r="F267" s="67"/>
      <c r="G267" s="67"/>
      <c r="H267" s="67"/>
      <c r="I267" s="67"/>
      <c r="J267" s="67"/>
      <c r="K267" s="67"/>
      <c r="L267" s="67"/>
      <c r="M267" s="67"/>
      <c r="N267" s="67"/>
      <c r="O267" s="67"/>
      <c r="P267" s="67"/>
      <c r="Q267" s="67"/>
      <c r="R267" s="67"/>
      <c r="S267" s="67"/>
      <c r="T267" s="67"/>
      <c r="U267" s="67"/>
      <c r="V267" s="67"/>
      <c r="W267" s="67"/>
      <c r="X267" s="67"/>
      <c r="Y267" s="67"/>
      <c r="Z267" s="67"/>
    </row>
    <row r="268">
      <c r="A268" s="67"/>
      <c r="B268" s="67"/>
      <c r="C268" s="67"/>
      <c r="D268" s="67"/>
      <c r="E268" s="67"/>
      <c r="F268" s="67"/>
      <c r="G268" s="67"/>
      <c r="H268" s="67"/>
      <c r="I268" s="67"/>
      <c r="J268" s="67"/>
      <c r="K268" s="67"/>
      <c r="L268" s="67"/>
      <c r="M268" s="67"/>
      <c r="N268" s="67"/>
      <c r="O268" s="67"/>
      <c r="P268" s="67"/>
      <c r="Q268" s="67"/>
      <c r="R268" s="67"/>
      <c r="S268" s="67"/>
      <c r="T268" s="67"/>
      <c r="U268" s="67"/>
      <c r="V268" s="67"/>
      <c r="W268" s="67"/>
      <c r="X268" s="67"/>
      <c r="Y268" s="67"/>
      <c r="Z268" s="67"/>
    </row>
    <row r="269">
      <c r="A269" s="67"/>
      <c r="B269" s="67"/>
      <c r="C269" s="67"/>
      <c r="D269" s="67"/>
      <c r="E269" s="67"/>
      <c r="F269" s="67"/>
      <c r="G269" s="67"/>
      <c r="H269" s="67"/>
      <c r="I269" s="67"/>
      <c r="J269" s="67"/>
      <c r="K269" s="67"/>
      <c r="L269" s="67"/>
      <c r="M269" s="67"/>
      <c r="N269" s="67"/>
      <c r="O269" s="67"/>
      <c r="P269" s="67"/>
      <c r="Q269" s="67"/>
      <c r="R269" s="67"/>
      <c r="S269" s="67"/>
      <c r="T269" s="67"/>
      <c r="U269" s="67"/>
      <c r="V269" s="67"/>
      <c r="W269" s="67"/>
      <c r="X269" s="67"/>
      <c r="Y269" s="67"/>
      <c r="Z269" s="67"/>
    </row>
    <row r="270">
      <c r="A270" s="67"/>
      <c r="B270" s="67"/>
      <c r="C270" s="67"/>
      <c r="D270" s="67"/>
      <c r="E270" s="67"/>
      <c r="F270" s="67"/>
      <c r="G270" s="67"/>
      <c r="H270" s="67"/>
      <c r="I270" s="67"/>
      <c r="J270" s="67"/>
      <c r="K270" s="67"/>
      <c r="L270" s="67"/>
      <c r="M270" s="67"/>
      <c r="N270" s="67"/>
      <c r="O270" s="67"/>
      <c r="P270" s="67"/>
      <c r="Q270" s="67"/>
      <c r="R270" s="67"/>
      <c r="S270" s="67"/>
      <c r="T270" s="67"/>
      <c r="U270" s="67"/>
      <c r="V270" s="67"/>
      <c r="W270" s="67"/>
      <c r="X270" s="67"/>
      <c r="Y270" s="67"/>
      <c r="Z270" s="67"/>
    </row>
    <row r="271">
      <c r="A271" s="67"/>
      <c r="B271" s="67"/>
      <c r="C271" s="67"/>
      <c r="D271" s="67"/>
      <c r="E271" s="67"/>
      <c r="F271" s="67"/>
      <c r="G271" s="67"/>
      <c r="H271" s="67"/>
      <c r="I271" s="67"/>
      <c r="J271" s="67"/>
      <c r="K271" s="67"/>
      <c r="L271" s="67"/>
      <c r="M271" s="67"/>
      <c r="N271" s="67"/>
      <c r="O271" s="67"/>
      <c r="P271" s="67"/>
      <c r="Q271" s="67"/>
      <c r="R271" s="67"/>
      <c r="S271" s="67"/>
      <c r="T271" s="67"/>
      <c r="U271" s="67"/>
      <c r="V271" s="67"/>
      <c r="W271" s="67"/>
      <c r="X271" s="67"/>
      <c r="Y271" s="67"/>
      <c r="Z271" s="67"/>
    </row>
    <row r="272">
      <c r="A272" s="67"/>
      <c r="B272" s="67"/>
      <c r="C272" s="67"/>
      <c r="D272" s="67"/>
      <c r="E272" s="67"/>
      <c r="F272" s="67"/>
      <c r="G272" s="67"/>
      <c r="H272" s="67"/>
      <c r="I272" s="67"/>
      <c r="J272" s="67"/>
      <c r="K272" s="67"/>
      <c r="L272" s="67"/>
      <c r="M272" s="67"/>
      <c r="N272" s="67"/>
      <c r="O272" s="67"/>
      <c r="P272" s="67"/>
      <c r="Q272" s="67"/>
      <c r="R272" s="67"/>
      <c r="S272" s="67"/>
      <c r="T272" s="67"/>
      <c r="U272" s="67"/>
      <c r="V272" s="67"/>
      <c r="W272" s="67"/>
      <c r="X272" s="67"/>
      <c r="Y272" s="67"/>
      <c r="Z272" s="67"/>
    </row>
    <row r="273">
      <c r="A273" s="67"/>
      <c r="B273" s="67"/>
      <c r="C273" s="67"/>
      <c r="D273" s="67"/>
      <c r="E273" s="67"/>
      <c r="F273" s="67"/>
      <c r="G273" s="67"/>
      <c r="H273" s="67"/>
      <c r="I273" s="67"/>
      <c r="J273" s="67"/>
      <c r="K273" s="67"/>
      <c r="L273" s="67"/>
      <c r="M273" s="67"/>
      <c r="N273" s="67"/>
      <c r="O273" s="67"/>
      <c r="P273" s="67"/>
      <c r="Q273" s="67"/>
      <c r="R273" s="67"/>
      <c r="S273" s="67"/>
      <c r="T273" s="67"/>
      <c r="U273" s="67"/>
      <c r="V273" s="67"/>
      <c r="W273" s="67"/>
      <c r="X273" s="67"/>
      <c r="Y273" s="67"/>
      <c r="Z273" s="67"/>
    </row>
    <row r="274">
      <c r="A274" s="67"/>
      <c r="B274" s="67"/>
      <c r="C274" s="67"/>
      <c r="D274" s="67"/>
      <c r="E274" s="67"/>
      <c r="F274" s="67"/>
      <c r="G274" s="67"/>
      <c r="H274" s="67"/>
      <c r="I274" s="67"/>
      <c r="J274" s="67"/>
      <c r="K274" s="67"/>
      <c r="L274" s="67"/>
      <c r="M274" s="67"/>
      <c r="N274" s="67"/>
      <c r="O274" s="67"/>
      <c r="P274" s="67"/>
      <c r="Q274" s="67"/>
      <c r="R274" s="67"/>
      <c r="S274" s="67"/>
      <c r="T274" s="67"/>
      <c r="U274" s="67"/>
      <c r="V274" s="67"/>
      <c r="W274" s="67"/>
      <c r="X274" s="67"/>
      <c r="Y274" s="67"/>
      <c r="Z274" s="67"/>
    </row>
    <row r="275">
      <c r="A275" s="67"/>
      <c r="B275" s="67"/>
      <c r="C275" s="67"/>
      <c r="D275" s="67"/>
      <c r="E275" s="67"/>
      <c r="F275" s="67"/>
      <c r="G275" s="67"/>
      <c r="H275" s="67"/>
      <c r="I275" s="67"/>
      <c r="J275" s="67"/>
      <c r="K275" s="67"/>
      <c r="L275" s="67"/>
      <c r="M275" s="67"/>
      <c r="N275" s="67"/>
      <c r="O275" s="67"/>
      <c r="P275" s="67"/>
      <c r="Q275" s="67"/>
      <c r="R275" s="67"/>
      <c r="S275" s="67"/>
      <c r="T275" s="67"/>
      <c r="U275" s="67"/>
      <c r="V275" s="67"/>
      <c r="W275" s="67"/>
      <c r="X275" s="67"/>
      <c r="Y275" s="67"/>
      <c r="Z275" s="67"/>
    </row>
    <row r="276">
      <c r="A276" s="67"/>
      <c r="B276" s="67"/>
      <c r="C276" s="67"/>
      <c r="D276" s="67"/>
      <c r="E276" s="67"/>
      <c r="F276" s="67"/>
      <c r="G276" s="67"/>
      <c r="H276" s="67"/>
      <c r="I276" s="67"/>
      <c r="J276" s="67"/>
      <c r="K276" s="67"/>
      <c r="L276" s="67"/>
      <c r="M276" s="67"/>
      <c r="N276" s="67"/>
      <c r="O276" s="67"/>
      <c r="P276" s="67"/>
      <c r="Q276" s="67"/>
      <c r="R276" s="67"/>
      <c r="S276" s="67"/>
      <c r="T276" s="67"/>
      <c r="U276" s="67"/>
      <c r="V276" s="67"/>
      <c r="W276" s="67"/>
      <c r="X276" s="67"/>
      <c r="Y276" s="67"/>
      <c r="Z276" s="67"/>
    </row>
    <row r="277">
      <c r="A277" s="67"/>
      <c r="B277" s="67"/>
      <c r="C277" s="67"/>
      <c r="D277" s="67"/>
      <c r="E277" s="67"/>
      <c r="F277" s="67"/>
      <c r="G277" s="67"/>
      <c r="H277" s="67"/>
      <c r="I277" s="67"/>
      <c r="J277" s="67"/>
      <c r="K277" s="67"/>
      <c r="L277" s="67"/>
      <c r="M277" s="67"/>
      <c r="N277" s="67"/>
      <c r="O277" s="67"/>
      <c r="P277" s="67"/>
      <c r="Q277" s="67"/>
      <c r="R277" s="67"/>
      <c r="S277" s="67"/>
      <c r="T277" s="67"/>
      <c r="U277" s="67"/>
      <c r="V277" s="67"/>
      <c r="W277" s="67"/>
      <c r="X277" s="67"/>
      <c r="Y277" s="67"/>
      <c r="Z277" s="67"/>
    </row>
    <row r="278">
      <c r="A278" s="67"/>
      <c r="B278" s="67"/>
      <c r="C278" s="67"/>
      <c r="D278" s="67"/>
      <c r="E278" s="67"/>
      <c r="F278" s="67"/>
      <c r="G278" s="67"/>
      <c r="H278" s="67"/>
      <c r="I278" s="67"/>
      <c r="J278" s="67"/>
      <c r="K278" s="67"/>
      <c r="L278" s="67"/>
      <c r="M278" s="67"/>
      <c r="N278" s="67"/>
      <c r="O278" s="67"/>
      <c r="P278" s="67"/>
      <c r="Q278" s="67"/>
      <c r="R278" s="67"/>
      <c r="S278" s="67"/>
      <c r="T278" s="67"/>
      <c r="U278" s="67"/>
      <c r="V278" s="67"/>
      <c r="W278" s="67"/>
      <c r="X278" s="67"/>
      <c r="Y278" s="67"/>
      <c r="Z278" s="67"/>
    </row>
    <row r="279">
      <c r="A279" s="67"/>
      <c r="B279" s="67"/>
      <c r="C279" s="67"/>
      <c r="D279" s="67"/>
      <c r="E279" s="67"/>
      <c r="F279" s="67"/>
      <c r="G279" s="67"/>
      <c r="H279" s="67"/>
      <c r="I279" s="67"/>
      <c r="J279" s="67"/>
      <c r="K279" s="67"/>
      <c r="L279" s="67"/>
      <c r="M279" s="67"/>
      <c r="N279" s="67"/>
      <c r="O279" s="67"/>
      <c r="P279" s="67"/>
      <c r="Q279" s="67"/>
      <c r="R279" s="67"/>
      <c r="S279" s="67"/>
      <c r="T279" s="67"/>
      <c r="U279" s="67"/>
      <c r="V279" s="67"/>
      <c r="W279" s="67"/>
      <c r="X279" s="67"/>
      <c r="Y279" s="67"/>
      <c r="Z279" s="67"/>
    </row>
    <row r="280">
      <c r="A280" s="67"/>
      <c r="B280" s="67"/>
      <c r="C280" s="67"/>
      <c r="D280" s="67"/>
      <c r="E280" s="67"/>
      <c r="F280" s="67"/>
      <c r="G280" s="67"/>
      <c r="H280" s="67"/>
      <c r="I280" s="67"/>
      <c r="J280" s="67"/>
      <c r="K280" s="67"/>
      <c r="L280" s="67"/>
      <c r="M280" s="67"/>
      <c r="N280" s="67"/>
      <c r="O280" s="67"/>
      <c r="P280" s="67"/>
      <c r="Q280" s="67"/>
      <c r="R280" s="67"/>
      <c r="S280" s="67"/>
      <c r="T280" s="67"/>
      <c r="U280" s="67"/>
      <c r="V280" s="67"/>
      <c r="W280" s="67"/>
      <c r="X280" s="67"/>
      <c r="Y280" s="67"/>
      <c r="Z280" s="67"/>
    </row>
    <row r="281">
      <c r="A281" s="67"/>
      <c r="B281" s="67"/>
      <c r="C281" s="67"/>
      <c r="D281" s="67"/>
      <c r="E281" s="67"/>
      <c r="F281" s="67"/>
      <c r="G281" s="67"/>
      <c r="H281" s="67"/>
      <c r="I281" s="67"/>
      <c r="J281" s="67"/>
      <c r="K281" s="67"/>
      <c r="L281" s="67"/>
      <c r="M281" s="67"/>
      <c r="N281" s="67"/>
      <c r="O281" s="67"/>
      <c r="P281" s="67"/>
      <c r="Q281" s="67"/>
      <c r="R281" s="67"/>
      <c r="S281" s="67"/>
      <c r="T281" s="67"/>
      <c r="U281" s="67"/>
      <c r="V281" s="67"/>
      <c r="W281" s="67"/>
      <c r="X281" s="67"/>
      <c r="Y281" s="67"/>
      <c r="Z281" s="67"/>
    </row>
    <row r="282">
      <c r="A282" s="67"/>
      <c r="B282" s="67"/>
      <c r="C282" s="67"/>
      <c r="D282" s="67"/>
      <c r="E282" s="67"/>
      <c r="F282" s="67"/>
      <c r="G282" s="67"/>
      <c r="H282" s="67"/>
      <c r="I282" s="67"/>
      <c r="J282" s="67"/>
      <c r="K282" s="67"/>
      <c r="L282" s="67"/>
      <c r="M282" s="67"/>
      <c r="N282" s="67"/>
      <c r="O282" s="67"/>
      <c r="P282" s="67"/>
      <c r="Q282" s="67"/>
      <c r="R282" s="67"/>
      <c r="S282" s="67"/>
      <c r="T282" s="67"/>
      <c r="U282" s="67"/>
      <c r="V282" s="67"/>
      <c r="W282" s="67"/>
      <c r="X282" s="67"/>
      <c r="Y282" s="67"/>
      <c r="Z282" s="67"/>
    </row>
    <row r="283">
      <c r="A283" s="67"/>
      <c r="B283" s="67"/>
      <c r="C283" s="67"/>
      <c r="D283" s="67"/>
      <c r="E283" s="67"/>
      <c r="F283" s="67"/>
      <c r="G283" s="67"/>
      <c r="H283" s="67"/>
      <c r="I283" s="67"/>
      <c r="J283" s="67"/>
      <c r="K283" s="67"/>
      <c r="L283" s="67"/>
      <c r="M283" s="67"/>
      <c r="N283" s="67"/>
      <c r="O283" s="67"/>
      <c r="P283" s="67"/>
      <c r="Q283" s="67"/>
      <c r="R283" s="67"/>
      <c r="S283" s="67"/>
      <c r="T283" s="67"/>
      <c r="U283" s="67"/>
      <c r="V283" s="67"/>
      <c r="W283" s="67"/>
      <c r="X283" s="67"/>
      <c r="Y283" s="67"/>
      <c r="Z283" s="67"/>
    </row>
    <row r="284">
      <c r="A284" s="67"/>
      <c r="B284" s="67"/>
      <c r="C284" s="67"/>
      <c r="D284" s="67"/>
      <c r="E284" s="67"/>
      <c r="F284" s="67"/>
      <c r="G284" s="67"/>
      <c r="H284" s="67"/>
      <c r="I284" s="67"/>
      <c r="J284" s="67"/>
      <c r="K284" s="67"/>
      <c r="L284" s="67"/>
      <c r="M284" s="67"/>
      <c r="N284" s="67"/>
      <c r="O284" s="67"/>
      <c r="P284" s="67"/>
      <c r="Q284" s="67"/>
      <c r="R284" s="67"/>
      <c r="S284" s="67"/>
      <c r="T284" s="67"/>
      <c r="U284" s="67"/>
      <c r="V284" s="67"/>
      <c r="W284" s="67"/>
      <c r="X284" s="67"/>
      <c r="Y284" s="67"/>
      <c r="Z284" s="67"/>
    </row>
    <row r="285">
      <c r="A285" s="67"/>
      <c r="B285" s="67"/>
      <c r="C285" s="67"/>
      <c r="D285" s="67"/>
      <c r="E285" s="67"/>
      <c r="F285" s="67"/>
      <c r="G285" s="67"/>
      <c r="H285" s="67"/>
      <c r="I285" s="67"/>
      <c r="J285" s="67"/>
      <c r="K285" s="67"/>
      <c r="L285" s="67"/>
      <c r="M285" s="67"/>
      <c r="N285" s="67"/>
      <c r="O285" s="67"/>
      <c r="P285" s="67"/>
      <c r="Q285" s="67"/>
      <c r="R285" s="67"/>
      <c r="S285" s="67"/>
      <c r="T285" s="67"/>
      <c r="U285" s="67"/>
      <c r="V285" s="67"/>
      <c r="W285" s="67"/>
      <c r="X285" s="67"/>
      <c r="Y285" s="67"/>
      <c r="Z285" s="67"/>
    </row>
    <row r="286">
      <c r="A286" s="67"/>
      <c r="B286" s="67"/>
      <c r="C286" s="67"/>
      <c r="D286" s="67"/>
      <c r="E286" s="67"/>
      <c r="F286" s="67"/>
      <c r="G286" s="67"/>
      <c r="H286" s="67"/>
      <c r="I286" s="67"/>
      <c r="J286" s="67"/>
      <c r="K286" s="67"/>
      <c r="L286" s="67"/>
      <c r="M286" s="67"/>
      <c r="N286" s="67"/>
      <c r="O286" s="67"/>
      <c r="P286" s="67"/>
      <c r="Q286" s="67"/>
      <c r="R286" s="67"/>
      <c r="S286" s="67"/>
      <c r="T286" s="67"/>
      <c r="U286" s="67"/>
      <c r="V286" s="67"/>
      <c r="W286" s="67"/>
      <c r="X286" s="67"/>
      <c r="Y286" s="67"/>
      <c r="Z286" s="67"/>
    </row>
    <row r="287">
      <c r="A287" s="67"/>
      <c r="B287" s="67"/>
      <c r="C287" s="67"/>
      <c r="D287" s="67"/>
      <c r="E287" s="67"/>
      <c r="F287" s="67"/>
      <c r="G287" s="67"/>
      <c r="H287" s="67"/>
      <c r="I287" s="67"/>
      <c r="J287" s="67"/>
      <c r="K287" s="67"/>
      <c r="L287" s="67"/>
      <c r="M287" s="67"/>
      <c r="N287" s="67"/>
      <c r="O287" s="67"/>
      <c r="P287" s="67"/>
      <c r="Q287" s="67"/>
      <c r="R287" s="67"/>
      <c r="S287" s="67"/>
      <c r="T287" s="67"/>
      <c r="U287" s="67"/>
      <c r="V287" s="67"/>
      <c r="W287" s="67"/>
      <c r="X287" s="67"/>
      <c r="Y287" s="67"/>
      <c r="Z287" s="67"/>
    </row>
    <row r="288">
      <c r="A288" s="67"/>
      <c r="B288" s="67"/>
      <c r="C288" s="67"/>
      <c r="D288" s="67"/>
      <c r="E288" s="67"/>
      <c r="F288" s="67"/>
      <c r="G288" s="67"/>
      <c r="H288" s="67"/>
      <c r="I288" s="67"/>
      <c r="J288" s="67"/>
      <c r="K288" s="67"/>
      <c r="L288" s="67"/>
      <c r="M288" s="67"/>
      <c r="N288" s="67"/>
      <c r="O288" s="67"/>
      <c r="P288" s="67"/>
      <c r="Q288" s="67"/>
      <c r="R288" s="67"/>
      <c r="S288" s="67"/>
      <c r="T288" s="67"/>
      <c r="U288" s="67"/>
      <c r="V288" s="67"/>
      <c r="W288" s="67"/>
      <c r="X288" s="67"/>
      <c r="Y288" s="67"/>
      <c r="Z288" s="67"/>
    </row>
    <row r="289">
      <c r="A289" s="67"/>
      <c r="B289" s="67"/>
      <c r="C289" s="67"/>
      <c r="D289" s="67"/>
      <c r="E289" s="67"/>
      <c r="F289" s="67"/>
      <c r="G289" s="67"/>
      <c r="H289" s="67"/>
      <c r="I289" s="67"/>
      <c r="J289" s="67"/>
      <c r="K289" s="67"/>
      <c r="L289" s="67"/>
      <c r="M289" s="67"/>
      <c r="N289" s="67"/>
      <c r="O289" s="67"/>
      <c r="P289" s="67"/>
      <c r="Q289" s="67"/>
      <c r="R289" s="67"/>
      <c r="S289" s="67"/>
      <c r="T289" s="67"/>
      <c r="U289" s="67"/>
      <c r="V289" s="67"/>
      <c r="W289" s="67"/>
      <c r="X289" s="67"/>
      <c r="Y289" s="67"/>
      <c r="Z289" s="67"/>
    </row>
    <row r="290">
      <c r="A290" s="67"/>
      <c r="B290" s="67"/>
      <c r="C290" s="67"/>
      <c r="D290" s="67"/>
      <c r="E290" s="67"/>
      <c r="F290" s="67"/>
      <c r="G290" s="67"/>
      <c r="H290" s="67"/>
      <c r="I290" s="67"/>
      <c r="J290" s="67"/>
      <c r="K290" s="67"/>
      <c r="L290" s="67"/>
      <c r="M290" s="67"/>
      <c r="N290" s="67"/>
      <c r="O290" s="67"/>
      <c r="P290" s="67"/>
      <c r="Q290" s="67"/>
      <c r="R290" s="67"/>
      <c r="S290" s="67"/>
      <c r="T290" s="67"/>
      <c r="U290" s="67"/>
      <c r="V290" s="67"/>
      <c r="W290" s="67"/>
      <c r="X290" s="67"/>
      <c r="Y290" s="67"/>
      <c r="Z290" s="67"/>
    </row>
    <row r="291">
      <c r="A291" s="67"/>
      <c r="B291" s="67"/>
      <c r="C291" s="67"/>
      <c r="D291" s="67"/>
      <c r="E291" s="67"/>
      <c r="F291" s="67"/>
      <c r="G291" s="67"/>
      <c r="H291" s="67"/>
      <c r="I291" s="67"/>
      <c r="J291" s="67"/>
      <c r="K291" s="67"/>
      <c r="L291" s="67"/>
      <c r="M291" s="67"/>
      <c r="N291" s="67"/>
      <c r="O291" s="67"/>
      <c r="P291" s="67"/>
      <c r="Q291" s="67"/>
      <c r="R291" s="67"/>
      <c r="S291" s="67"/>
      <c r="T291" s="67"/>
      <c r="U291" s="67"/>
      <c r="V291" s="67"/>
      <c r="W291" s="67"/>
      <c r="X291" s="67"/>
      <c r="Y291" s="67"/>
      <c r="Z291" s="67"/>
    </row>
    <row r="292">
      <c r="A292" s="67"/>
      <c r="B292" s="67"/>
      <c r="C292" s="67"/>
      <c r="D292" s="67"/>
      <c r="E292" s="67"/>
      <c r="F292" s="67"/>
      <c r="G292" s="67"/>
      <c r="H292" s="67"/>
      <c r="I292" s="67"/>
      <c r="J292" s="67"/>
      <c r="K292" s="67"/>
      <c r="L292" s="67"/>
      <c r="M292" s="67"/>
      <c r="N292" s="67"/>
      <c r="O292" s="67"/>
      <c r="P292" s="67"/>
      <c r="Q292" s="67"/>
      <c r="R292" s="67"/>
      <c r="S292" s="67"/>
      <c r="T292" s="67"/>
      <c r="U292" s="67"/>
      <c r="V292" s="67"/>
      <c r="W292" s="67"/>
      <c r="X292" s="67"/>
      <c r="Y292" s="67"/>
      <c r="Z292" s="67"/>
    </row>
    <row r="293">
      <c r="A293" s="67"/>
      <c r="B293" s="67"/>
      <c r="C293" s="67"/>
      <c r="D293" s="67"/>
      <c r="E293" s="67"/>
      <c r="F293" s="67"/>
      <c r="G293" s="67"/>
      <c r="H293" s="67"/>
      <c r="I293" s="67"/>
      <c r="J293" s="67"/>
      <c r="K293" s="67"/>
      <c r="L293" s="67"/>
      <c r="M293" s="67"/>
      <c r="N293" s="67"/>
      <c r="O293" s="67"/>
      <c r="P293" s="67"/>
      <c r="Q293" s="67"/>
      <c r="R293" s="67"/>
      <c r="S293" s="67"/>
      <c r="T293" s="67"/>
      <c r="U293" s="67"/>
      <c r="V293" s="67"/>
      <c r="W293" s="67"/>
      <c r="X293" s="67"/>
      <c r="Y293" s="67"/>
      <c r="Z293" s="67"/>
    </row>
    <row r="294">
      <c r="A294" s="67"/>
      <c r="B294" s="67"/>
      <c r="C294" s="67"/>
      <c r="D294" s="67"/>
      <c r="E294" s="67"/>
      <c r="F294" s="67"/>
      <c r="G294" s="67"/>
      <c r="H294" s="67"/>
      <c r="I294" s="67"/>
      <c r="J294" s="67"/>
      <c r="K294" s="67"/>
      <c r="L294" s="67"/>
      <c r="M294" s="67"/>
      <c r="N294" s="67"/>
      <c r="O294" s="67"/>
      <c r="P294" s="67"/>
      <c r="Q294" s="67"/>
      <c r="R294" s="67"/>
      <c r="S294" s="67"/>
      <c r="T294" s="67"/>
      <c r="U294" s="67"/>
      <c r="V294" s="67"/>
      <c r="W294" s="67"/>
      <c r="X294" s="67"/>
      <c r="Y294" s="67"/>
      <c r="Z294" s="67"/>
    </row>
    <row r="295">
      <c r="A295" s="67"/>
      <c r="B295" s="67"/>
      <c r="C295" s="67"/>
      <c r="D295" s="67"/>
      <c r="E295" s="67"/>
      <c r="F295" s="67"/>
      <c r="G295" s="67"/>
      <c r="H295" s="67"/>
      <c r="I295" s="67"/>
      <c r="J295" s="67"/>
      <c r="K295" s="67"/>
      <c r="L295" s="67"/>
      <c r="M295" s="67"/>
      <c r="N295" s="67"/>
      <c r="O295" s="67"/>
      <c r="P295" s="67"/>
      <c r="Q295" s="67"/>
      <c r="R295" s="67"/>
      <c r="S295" s="67"/>
      <c r="T295" s="67"/>
      <c r="U295" s="67"/>
      <c r="V295" s="67"/>
      <c r="W295" s="67"/>
      <c r="X295" s="67"/>
      <c r="Y295" s="67"/>
      <c r="Z295" s="67"/>
    </row>
    <row r="296">
      <c r="A296" s="67"/>
      <c r="B296" s="67"/>
      <c r="C296" s="67"/>
      <c r="D296" s="67"/>
      <c r="E296" s="67"/>
      <c r="F296" s="67"/>
      <c r="G296" s="67"/>
      <c r="H296" s="67"/>
      <c r="I296" s="67"/>
      <c r="J296" s="67"/>
      <c r="K296" s="67"/>
      <c r="L296" s="67"/>
      <c r="M296" s="67"/>
      <c r="N296" s="67"/>
      <c r="O296" s="67"/>
      <c r="P296" s="67"/>
      <c r="Q296" s="67"/>
      <c r="R296" s="67"/>
      <c r="S296" s="67"/>
      <c r="T296" s="67"/>
      <c r="U296" s="67"/>
      <c r="V296" s="67"/>
      <c r="W296" s="67"/>
      <c r="X296" s="67"/>
      <c r="Y296" s="67"/>
      <c r="Z296" s="67"/>
    </row>
    <row r="297">
      <c r="A297" s="67"/>
      <c r="B297" s="67"/>
      <c r="C297" s="67"/>
      <c r="D297" s="67"/>
      <c r="E297" s="67"/>
      <c r="F297" s="67"/>
      <c r="G297" s="67"/>
      <c r="H297" s="67"/>
      <c r="I297" s="67"/>
      <c r="J297" s="67"/>
      <c r="K297" s="67"/>
      <c r="L297" s="67"/>
      <c r="M297" s="67"/>
      <c r="N297" s="67"/>
      <c r="O297" s="67"/>
      <c r="P297" s="67"/>
      <c r="Q297" s="67"/>
      <c r="R297" s="67"/>
      <c r="S297" s="67"/>
      <c r="T297" s="67"/>
      <c r="U297" s="67"/>
      <c r="V297" s="67"/>
      <c r="W297" s="67"/>
      <c r="X297" s="67"/>
      <c r="Y297" s="67"/>
      <c r="Z297" s="67"/>
    </row>
    <row r="298">
      <c r="A298" s="67"/>
      <c r="B298" s="67"/>
      <c r="C298" s="67"/>
      <c r="D298" s="67"/>
      <c r="E298" s="67"/>
      <c r="F298" s="67"/>
      <c r="G298" s="67"/>
      <c r="H298" s="67"/>
      <c r="I298" s="67"/>
      <c r="J298" s="67"/>
      <c r="K298" s="67"/>
      <c r="L298" s="67"/>
      <c r="M298" s="67"/>
      <c r="N298" s="67"/>
      <c r="O298" s="67"/>
      <c r="P298" s="67"/>
      <c r="Q298" s="67"/>
      <c r="R298" s="67"/>
      <c r="S298" s="67"/>
      <c r="T298" s="67"/>
      <c r="U298" s="67"/>
      <c r="V298" s="67"/>
      <c r="W298" s="67"/>
      <c r="X298" s="67"/>
      <c r="Y298" s="67"/>
      <c r="Z298" s="67"/>
    </row>
    <row r="299">
      <c r="A299" s="67"/>
      <c r="B299" s="67"/>
      <c r="C299" s="67"/>
      <c r="D299" s="67"/>
      <c r="E299" s="67"/>
      <c r="F299" s="67"/>
      <c r="G299" s="67"/>
      <c r="H299" s="67"/>
      <c r="I299" s="67"/>
      <c r="J299" s="67"/>
      <c r="K299" s="67"/>
      <c r="L299" s="67"/>
      <c r="M299" s="67"/>
      <c r="N299" s="67"/>
      <c r="O299" s="67"/>
      <c r="P299" s="67"/>
      <c r="Q299" s="67"/>
      <c r="R299" s="67"/>
      <c r="S299" s="67"/>
      <c r="T299" s="67"/>
      <c r="U299" s="67"/>
      <c r="V299" s="67"/>
      <c r="W299" s="67"/>
      <c r="X299" s="67"/>
      <c r="Y299" s="67"/>
      <c r="Z299" s="67"/>
    </row>
    <row r="300">
      <c r="A300" s="67"/>
      <c r="B300" s="67"/>
      <c r="C300" s="67"/>
      <c r="D300" s="67"/>
      <c r="E300" s="67"/>
      <c r="F300" s="67"/>
      <c r="G300" s="67"/>
      <c r="H300" s="67"/>
      <c r="I300" s="67"/>
      <c r="J300" s="67"/>
      <c r="K300" s="67"/>
      <c r="L300" s="67"/>
      <c r="M300" s="67"/>
      <c r="N300" s="67"/>
      <c r="O300" s="67"/>
      <c r="P300" s="67"/>
      <c r="Q300" s="67"/>
      <c r="R300" s="67"/>
      <c r="S300" s="67"/>
      <c r="T300" s="67"/>
      <c r="U300" s="67"/>
      <c r="V300" s="67"/>
      <c r="W300" s="67"/>
      <c r="X300" s="67"/>
      <c r="Y300" s="67"/>
      <c r="Z300" s="67"/>
    </row>
    <row r="301">
      <c r="A301" s="67"/>
      <c r="B301" s="67"/>
      <c r="C301" s="67"/>
      <c r="D301" s="67"/>
      <c r="E301" s="67"/>
      <c r="F301" s="67"/>
      <c r="G301" s="67"/>
      <c r="H301" s="67"/>
      <c r="I301" s="67"/>
      <c r="J301" s="67"/>
      <c r="K301" s="67"/>
      <c r="L301" s="67"/>
      <c r="M301" s="67"/>
      <c r="N301" s="67"/>
      <c r="O301" s="67"/>
      <c r="P301" s="67"/>
      <c r="Q301" s="67"/>
      <c r="R301" s="67"/>
      <c r="S301" s="67"/>
      <c r="T301" s="67"/>
      <c r="U301" s="67"/>
      <c r="V301" s="67"/>
      <c r="W301" s="67"/>
      <c r="X301" s="67"/>
      <c r="Y301" s="67"/>
      <c r="Z301" s="67"/>
    </row>
    <row r="302">
      <c r="A302" s="67"/>
      <c r="B302" s="67"/>
      <c r="C302" s="67"/>
      <c r="D302" s="67"/>
      <c r="E302" s="67"/>
      <c r="F302" s="67"/>
      <c r="G302" s="67"/>
      <c r="H302" s="67"/>
      <c r="I302" s="67"/>
      <c r="J302" s="67"/>
      <c r="K302" s="67"/>
      <c r="L302" s="67"/>
      <c r="M302" s="67"/>
      <c r="N302" s="67"/>
      <c r="O302" s="67"/>
      <c r="P302" s="67"/>
      <c r="Q302" s="67"/>
      <c r="R302" s="67"/>
      <c r="S302" s="67"/>
      <c r="T302" s="67"/>
      <c r="U302" s="67"/>
      <c r="V302" s="67"/>
      <c r="W302" s="67"/>
      <c r="X302" s="67"/>
      <c r="Y302" s="67"/>
      <c r="Z302" s="67"/>
    </row>
    <row r="303">
      <c r="A303" s="67"/>
      <c r="B303" s="67"/>
      <c r="C303" s="67"/>
      <c r="D303" s="67"/>
      <c r="E303" s="67"/>
      <c r="F303" s="67"/>
      <c r="G303" s="67"/>
      <c r="H303" s="67"/>
      <c r="I303" s="67"/>
      <c r="J303" s="67"/>
      <c r="K303" s="67"/>
      <c r="L303" s="67"/>
      <c r="M303" s="67"/>
      <c r="N303" s="67"/>
      <c r="O303" s="67"/>
      <c r="P303" s="67"/>
      <c r="Q303" s="67"/>
      <c r="R303" s="67"/>
      <c r="S303" s="67"/>
      <c r="T303" s="67"/>
      <c r="U303" s="67"/>
      <c r="V303" s="67"/>
      <c r="W303" s="67"/>
      <c r="X303" s="67"/>
      <c r="Y303" s="67"/>
      <c r="Z303" s="67"/>
    </row>
    <row r="304">
      <c r="A304" s="67"/>
      <c r="B304" s="67"/>
      <c r="C304" s="67"/>
      <c r="D304" s="67"/>
      <c r="E304" s="67"/>
      <c r="F304" s="67"/>
      <c r="G304" s="67"/>
      <c r="H304" s="67"/>
      <c r="I304" s="67"/>
      <c r="J304" s="67"/>
      <c r="K304" s="67"/>
      <c r="L304" s="67"/>
      <c r="M304" s="67"/>
      <c r="N304" s="67"/>
      <c r="O304" s="67"/>
      <c r="P304" s="67"/>
      <c r="Q304" s="67"/>
      <c r="R304" s="67"/>
      <c r="S304" s="67"/>
      <c r="T304" s="67"/>
      <c r="U304" s="67"/>
      <c r="V304" s="67"/>
      <c r="W304" s="67"/>
      <c r="X304" s="67"/>
      <c r="Y304" s="67"/>
      <c r="Z304" s="67"/>
    </row>
    <row r="305">
      <c r="A305" s="67"/>
      <c r="B305" s="67"/>
      <c r="C305" s="67"/>
      <c r="D305" s="67"/>
      <c r="E305" s="67"/>
      <c r="F305" s="67"/>
      <c r="G305" s="67"/>
      <c r="H305" s="67"/>
      <c r="I305" s="67"/>
      <c r="J305" s="67"/>
      <c r="K305" s="67"/>
      <c r="L305" s="67"/>
      <c r="M305" s="67"/>
      <c r="N305" s="67"/>
      <c r="O305" s="67"/>
      <c r="P305" s="67"/>
      <c r="Q305" s="67"/>
      <c r="R305" s="67"/>
      <c r="S305" s="67"/>
      <c r="T305" s="67"/>
      <c r="U305" s="67"/>
      <c r="V305" s="67"/>
      <c r="W305" s="67"/>
      <c r="X305" s="67"/>
      <c r="Y305" s="67"/>
      <c r="Z305" s="67"/>
    </row>
    <row r="306">
      <c r="A306" s="67"/>
      <c r="B306" s="67"/>
      <c r="C306" s="67"/>
      <c r="D306" s="67"/>
      <c r="E306" s="67"/>
      <c r="F306" s="67"/>
      <c r="G306" s="67"/>
      <c r="H306" s="67"/>
      <c r="I306" s="67"/>
      <c r="J306" s="67"/>
      <c r="K306" s="67"/>
      <c r="L306" s="67"/>
      <c r="M306" s="67"/>
      <c r="N306" s="67"/>
      <c r="O306" s="67"/>
      <c r="P306" s="67"/>
      <c r="Q306" s="67"/>
      <c r="R306" s="67"/>
      <c r="S306" s="67"/>
      <c r="T306" s="67"/>
      <c r="U306" s="67"/>
      <c r="V306" s="67"/>
      <c r="W306" s="67"/>
      <c r="X306" s="67"/>
      <c r="Y306" s="67"/>
      <c r="Z306" s="67"/>
    </row>
    <row r="307">
      <c r="A307" s="67"/>
      <c r="B307" s="67"/>
      <c r="C307" s="67"/>
      <c r="D307" s="67"/>
      <c r="E307" s="67"/>
      <c r="F307" s="67"/>
      <c r="G307" s="67"/>
      <c r="H307" s="67"/>
      <c r="I307" s="67"/>
      <c r="J307" s="67"/>
      <c r="K307" s="67"/>
      <c r="L307" s="67"/>
      <c r="M307" s="67"/>
      <c r="N307" s="67"/>
      <c r="O307" s="67"/>
      <c r="P307" s="67"/>
      <c r="Q307" s="67"/>
      <c r="R307" s="67"/>
      <c r="S307" s="67"/>
      <c r="T307" s="67"/>
      <c r="U307" s="67"/>
      <c r="V307" s="67"/>
      <c r="W307" s="67"/>
      <c r="X307" s="67"/>
      <c r="Y307" s="67"/>
      <c r="Z307" s="67"/>
    </row>
    <row r="308">
      <c r="A308" s="67"/>
      <c r="B308" s="67"/>
      <c r="C308" s="67"/>
      <c r="D308" s="67"/>
      <c r="E308" s="67"/>
      <c r="F308" s="67"/>
      <c r="G308" s="67"/>
      <c r="H308" s="67"/>
      <c r="I308" s="67"/>
      <c r="J308" s="67"/>
      <c r="K308" s="67"/>
      <c r="L308" s="67"/>
      <c r="M308" s="67"/>
      <c r="N308" s="67"/>
      <c r="O308" s="67"/>
      <c r="P308" s="67"/>
      <c r="Q308" s="67"/>
      <c r="R308" s="67"/>
      <c r="S308" s="67"/>
      <c r="T308" s="67"/>
      <c r="U308" s="67"/>
      <c r="V308" s="67"/>
      <c r="W308" s="67"/>
      <c r="X308" s="67"/>
      <c r="Y308" s="67"/>
      <c r="Z308" s="67"/>
    </row>
    <row r="309">
      <c r="A309" s="67"/>
      <c r="B309" s="67"/>
      <c r="C309" s="67"/>
      <c r="D309" s="67"/>
      <c r="E309" s="67"/>
      <c r="F309" s="67"/>
      <c r="G309" s="67"/>
      <c r="H309" s="67"/>
      <c r="I309" s="67"/>
      <c r="J309" s="67"/>
      <c r="K309" s="67"/>
      <c r="L309" s="67"/>
      <c r="M309" s="67"/>
      <c r="N309" s="67"/>
      <c r="O309" s="67"/>
      <c r="P309" s="67"/>
      <c r="Q309" s="67"/>
      <c r="R309" s="67"/>
      <c r="S309" s="67"/>
      <c r="T309" s="67"/>
      <c r="U309" s="67"/>
      <c r="V309" s="67"/>
      <c r="W309" s="67"/>
      <c r="X309" s="67"/>
      <c r="Y309" s="67"/>
      <c r="Z309" s="67"/>
    </row>
    <row r="310">
      <c r="A310" s="67"/>
      <c r="B310" s="67"/>
      <c r="C310" s="67"/>
      <c r="D310" s="67"/>
      <c r="E310" s="67"/>
      <c r="F310" s="67"/>
      <c r="G310" s="67"/>
      <c r="H310" s="67"/>
      <c r="I310" s="67"/>
      <c r="J310" s="67"/>
      <c r="K310" s="67"/>
      <c r="L310" s="67"/>
      <c r="M310" s="67"/>
      <c r="N310" s="67"/>
      <c r="O310" s="67"/>
      <c r="P310" s="67"/>
      <c r="Q310" s="67"/>
      <c r="R310" s="67"/>
      <c r="S310" s="67"/>
      <c r="T310" s="67"/>
      <c r="U310" s="67"/>
      <c r="V310" s="67"/>
      <c r="W310" s="67"/>
      <c r="X310" s="67"/>
      <c r="Y310" s="67"/>
      <c r="Z310" s="67"/>
    </row>
    <row r="311">
      <c r="A311" s="67"/>
      <c r="B311" s="67"/>
      <c r="C311" s="67"/>
      <c r="D311" s="67"/>
      <c r="E311" s="67"/>
      <c r="F311" s="67"/>
      <c r="G311" s="67"/>
      <c r="H311" s="67"/>
      <c r="I311" s="67"/>
      <c r="J311" s="67"/>
      <c r="K311" s="67"/>
      <c r="L311" s="67"/>
      <c r="M311" s="67"/>
      <c r="N311" s="67"/>
      <c r="O311" s="67"/>
      <c r="P311" s="67"/>
      <c r="Q311" s="67"/>
      <c r="R311" s="67"/>
      <c r="S311" s="67"/>
      <c r="T311" s="67"/>
      <c r="U311" s="67"/>
      <c r="V311" s="67"/>
      <c r="W311" s="67"/>
      <c r="X311" s="67"/>
      <c r="Y311" s="67"/>
      <c r="Z311" s="67"/>
    </row>
    <row r="312">
      <c r="A312" s="67"/>
      <c r="B312" s="67"/>
      <c r="C312" s="67"/>
      <c r="D312" s="67"/>
      <c r="E312" s="67"/>
      <c r="F312" s="67"/>
      <c r="G312" s="67"/>
      <c r="H312" s="67"/>
      <c r="I312" s="67"/>
      <c r="J312" s="67"/>
      <c r="K312" s="67"/>
      <c r="L312" s="67"/>
      <c r="M312" s="67"/>
      <c r="N312" s="67"/>
      <c r="O312" s="67"/>
      <c r="P312" s="67"/>
      <c r="Q312" s="67"/>
      <c r="R312" s="67"/>
      <c r="S312" s="67"/>
      <c r="T312" s="67"/>
      <c r="U312" s="67"/>
      <c r="V312" s="67"/>
      <c r="W312" s="67"/>
      <c r="X312" s="67"/>
      <c r="Y312" s="67"/>
      <c r="Z312" s="67"/>
    </row>
    <row r="313">
      <c r="A313" s="67"/>
      <c r="B313" s="67"/>
      <c r="C313" s="67"/>
      <c r="D313" s="67"/>
      <c r="E313" s="67"/>
      <c r="F313" s="67"/>
      <c r="G313" s="67"/>
      <c r="H313" s="67"/>
      <c r="I313" s="67"/>
      <c r="J313" s="67"/>
      <c r="K313" s="67"/>
      <c r="L313" s="67"/>
      <c r="M313" s="67"/>
      <c r="N313" s="67"/>
      <c r="O313" s="67"/>
      <c r="P313" s="67"/>
      <c r="Q313" s="67"/>
      <c r="R313" s="67"/>
      <c r="S313" s="67"/>
      <c r="T313" s="67"/>
      <c r="U313" s="67"/>
      <c r="V313" s="67"/>
      <c r="W313" s="67"/>
      <c r="X313" s="67"/>
      <c r="Y313" s="67"/>
      <c r="Z313" s="67"/>
    </row>
    <row r="314">
      <c r="A314" s="67"/>
      <c r="B314" s="67"/>
      <c r="C314" s="67"/>
      <c r="D314" s="67"/>
      <c r="E314" s="67"/>
      <c r="F314" s="67"/>
      <c r="G314" s="67"/>
      <c r="H314" s="67"/>
      <c r="I314" s="67"/>
      <c r="J314" s="67"/>
      <c r="K314" s="67"/>
      <c r="L314" s="67"/>
      <c r="M314" s="67"/>
      <c r="N314" s="67"/>
      <c r="O314" s="67"/>
      <c r="P314" s="67"/>
      <c r="Q314" s="67"/>
      <c r="R314" s="67"/>
      <c r="S314" s="67"/>
      <c r="T314" s="67"/>
      <c r="U314" s="67"/>
      <c r="V314" s="67"/>
      <c r="W314" s="67"/>
      <c r="X314" s="67"/>
      <c r="Y314" s="67"/>
      <c r="Z314" s="67"/>
    </row>
    <row r="315">
      <c r="A315" s="67"/>
      <c r="B315" s="67"/>
      <c r="C315" s="67"/>
      <c r="D315" s="67"/>
      <c r="E315" s="67"/>
      <c r="F315" s="67"/>
      <c r="G315" s="67"/>
      <c r="H315" s="67"/>
      <c r="I315" s="67"/>
      <c r="J315" s="67"/>
      <c r="K315" s="67"/>
      <c r="L315" s="67"/>
      <c r="M315" s="67"/>
      <c r="N315" s="67"/>
      <c r="O315" s="67"/>
      <c r="P315" s="67"/>
      <c r="Q315" s="67"/>
      <c r="R315" s="67"/>
      <c r="S315" s="67"/>
      <c r="T315" s="67"/>
      <c r="U315" s="67"/>
      <c r="V315" s="67"/>
      <c r="W315" s="67"/>
      <c r="X315" s="67"/>
      <c r="Y315" s="67"/>
      <c r="Z315" s="67"/>
    </row>
    <row r="316">
      <c r="A316" s="67"/>
      <c r="B316" s="67"/>
      <c r="C316" s="67"/>
      <c r="D316" s="67"/>
      <c r="E316" s="67"/>
      <c r="F316" s="67"/>
      <c r="G316" s="67"/>
      <c r="H316" s="67"/>
      <c r="I316" s="67"/>
      <c r="J316" s="67"/>
      <c r="K316" s="67"/>
      <c r="L316" s="67"/>
      <c r="M316" s="67"/>
      <c r="N316" s="67"/>
      <c r="O316" s="67"/>
      <c r="P316" s="67"/>
      <c r="Q316" s="67"/>
      <c r="R316" s="67"/>
      <c r="S316" s="67"/>
      <c r="T316" s="67"/>
      <c r="U316" s="67"/>
      <c r="V316" s="67"/>
      <c r="W316" s="67"/>
      <c r="X316" s="67"/>
      <c r="Y316" s="67"/>
      <c r="Z316" s="67"/>
    </row>
    <row r="317">
      <c r="A317" s="67"/>
      <c r="B317" s="67"/>
      <c r="C317" s="67"/>
      <c r="D317" s="67"/>
      <c r="E317" s="67"/>
      <c r="F317" s="67"/>
      <c r="G317" s="67"/>
      <c r="H317" s="67"/>
      <c r="I317" s="67"/>
      <c r="J317" s="67"/>
      <c r="K317" s="67"/>
      <c r="L317" s="67"/>
      <c r="M317" s="67"/>
      <c r="N317" s="67"/>
      <c r="O317" s="67"/>
      <c r="P317" s="67"/>
      <c r="Q317" s="67"/>
      <c r="R317" s="67"/>
      <c r="S317" s="67"/>
      <c r="T317" s="67"/>
      <c r="U317" s="67"/>
      <c r="V317" s="67"/>
      <c r="W317" s="67"/>
      <c r="X317" s="67"/>
      <c r="Y317" s="67"/>
      <c r="Z317" s="67"/>
    </row>
    <row r="318">
      <c r="A318" s="67"/>
      <c r="B318" s="67"/>
      <c r="C318" s="67"/>
      <c r="D318" s="67"/>
      <c r="E318" s="67"/>
      <c r="F318" s="67"/>
      <c r="G318" s="67"/>
      <c r="H318" s="67"/>
      <c r="I318" s="67"/>
      <c r="J318" s="67"/>
      <c r="K318" s="67"/>
      <c r="L318" s="67"/>
      <c r="M318" s="67"/>
      <c r="N318" s="67"/>
      <c r="O318" s="67"/>
      <c r="P318" s="67"/>
      <c r="Q318" s="67"/>
      <c r="R318" s="67"/>
      <c r="S318" s="67"/>
      <c r="T318" s="67"/>
      <c r="U318" s="67"/>
      <c r="V318" s="67"/>
      <c r="W318" s="67"/>
      <c r="X318" s="67"/>
      <c r="Y318" s="67"/>
      <c r="Z318" s="67"/>
    </row>
    <row r="319">
      <c r="A319" s="67"/>
      <c r="B319" s="67"/>
      <c r="C319" s="67"/>
      <c r="D319" s="67"/>
      <c r="E319" s="67"/>
      <c r="F319" s="67"/>
      <c r="G319" s="67"/>
      <c r="H319" s="67"/>
      <c r="I319" s="67"/>
      <c r="J319" s="67"/>
      <c r="K319" s="67"/>
      <c r="L319" s="67"/>
      <c r="M319" s="67"/>
      <c r="N319" s="67"/>
      <c r="O319" s="67"/>
      <c r="P319" s="67"/>
      <c r="Q319" s="67"/>
      <c r="R319" s="67"/>
      <c r="S319" s="67"/>
      <c r="T319" s="67"/>
      <c r="U319" s="67"/>
      <c r="V319" s="67"/>
      <c r="W319" s="67"/>
      <c r="X319" s="67"/>
      <c r="Y319" s="67"/>
      <c r="Z319" s="67"/>
    </row>
    <row r="320">
      <c r="A320" s="67"/>
      <c r="B320" s="67"/>
      <c r="C320" s="67"/>
      <c r="D320" s="67"/>
      <c r="E320" s="67"/>
      <c r="F320" s="67"/>
      <c r="G320" s="67"/>
      <c r="H320" s="67"/>
      <c r="I320" s="67"/>
      <c r="J320" s="67"/>
      <c r="K320" s="67"/>
      <c r="L320" s="67"/>
      <c r="M320" s="67"/>
      <c r="N320" s="67"/>
      <c r="O320" s="67"/>
      <c r="P320" s="67"/>
      <c r="Q320" s="67"/>
      <c r="R320" s="67"/>
      <c r="S320" s="67"/>
      <c r="T320" s="67"/>
      <c r="U320" s="67"/>
      <c r="V320" s="67"/>
      <c r="W320" s="67"/>
      <c r="X320" s="67"/>
      <c r="Y320" s="67"/>
      <c r="Z320" s="67"/>
    </row>
    <row r="321">
      <c r="A321" s="67"/>
      <c r="B321" s="67"/>
      <c r="C321" s="67"/>
      <c r="D321" s="67"/>
      <c r="E321" s="67"/>
      <c r="F321" s="67"/>
      <c r="G321" s="67"/>
      <c r="H321" s="67"/>
      <c r="I321" s="67"/>
      <c r="J321" s="67"/>
      <c r="K321" s="67"/>
      <c r="L321" s="67"/>
      <c r="M321" s="67"/>
      <c r="N321" s="67"/>
      <c r="O321" s="67"/>
      <c r="P321" s="67"/>
      <c r="Q321" s="67"/>
      <c r="R321" s="67"/>
      <c r="S321" s="67"/>
      <c r="T321" s="67"/>
      <c r="U321" s="67"/>
      <c r="V321" s="67"/>
      <c r="W321" s="67"/>
      <c r="X321" s="67"/>
      <c r="Y321" s="67"/>
      <c r="Z321" s="67"/>
    </row>
    <row r="322">
      <c r="A322" s="67"/>
      <c r="B322" s="67"/>
      <c r="C322" s="67"/>
      <c r="D322" s="67"/>
      <c r="E322" s="67"/>
      <c r="F322" s="67"/>
      <c r="G322" s="67"/>
      <c r="H322" s="67"/>
      <c r="I322" s="67"/>
      <c r="J322" s="67"/>
      <c r="K322" s="67"/>
      <c r="L322" s="67"/>
      <c r="M322" s="67"/>
      <c r="N322" s="67"/>
      <c r="O322" s="67"/>
      <c r="P322" s="67"/>
      <c r="Q322" s="67"/>
      <c r="R322" s="67"/>
      <c r="S322" s="67"/>
      <c r="T322" s="67"/>
      <c r="U322" s="67"/>
      <c r="V322" s="67"/>
      <c r="W322" s="67"/>
      <c r="X322" s="67"/>
      <c r="Y322" s="67"/>
      <c r="Z322" s="67"/>
    </row>
    <row r="323">
      <c r="A323" s="67"/>
      <c r="B323" s="67"/>
      <c r="C323" s="67"/>
      <c r="D323" s="67"/>
      <c r="E323" s="67"/>
      <c r="F323" s="67"/>
      <c r="G323" s="67"/>
      <c r="H323" s="67"/>
      <c r="I323" s="67"/>
      <c r="J323" s="67"/>
      <c r="K323" s="67"/>
      <c r="L323" s="67"/>
      <c r="M323" s="67"/>
      <c r="N323" s="67"/>
      <c r="O323" s="67"/>
      <c r="P323" s="67"/>
      <c r="Q323" s="67"/>
      <c r="R323" s="67"/>
      <c r="S323" s="67"/>
      <c r="T323" s="67"/>
      <c r="U323" s="67"/>
      <c r="V323" s="67"/>
      <c r="W323" s="67"/>
      <c r="X323" s="67"/>
      <c r="Y323" s="67"/>
      <c r="Z323" s="67"/>
    </row>
    <row r="324">
      <c r="A324" s="67"/>
      <c r="B324" s="67"/>
      <c r="C324" s="67"/>
      <c r="D324" s="67"/>
      <c r="E324" s="67"/>
      <c r="F324" s="67"/>
      <c r="G324" s="67"/>
      <c r="H324" s="67"/>
      <c r="I324" s="67"/>
      <c r="J324" s="67"/>
      <c r="K324" s="67"/>
      <c r="L324" s="67"/>
      <c r="M324" s="67"/>
      <c r="N324" s="67"/>
      <c r="O324" s="67"/>
      <c r="P324" s="67"/>
      <c r="Q324" s="67"/>
      <c r="R324" s="67"/>
      <c r="S324" s="67"/>
      <c r="T324" s="67"/>
      <c r="U324" s="67"/>
      <c r="V324" s="67"/>
      <c r="W324" s="67"/>
      <c r="X324" s="67"/>
      <c r="Y324" s="67"/>
      <c r="Z324" s="67"/>
    </row>
    <row r="325">
      <c r="A325" s="67"/>
      <c r="B325" s="67"/>
      <c r="C325" s="67"/>
      <c r="D325" s="67"/>
      <c r="E325" s="67"/>
      <c r="F325" s="67"/>
      <c r="G325" s="67"/>
      <c r="H325" s="67"/>
      <c r="I325" s="67"/>
      <c r="J325" s="67"/>
      <c r="K325" s="67"/>
      <c r="L325" s="67"/>
      <c r="M325" s="67"/>
      <c r="N325" s="67"/>
      <c r="O325" s="67"/>
      <c r="P325" s="67"/>
      <c r="Q325" s="67"/>
      <c r="R325" s="67"/>
      <c r="S325" s="67"/>
      <c r="T325" s="67"/>
      <c r="U325" s="67"/>
      <c r="V325" s="67"/>
      <c r="W325" s="67"/>
      <c r="X325" s="67"/>
      <c r="Y325" s="67"/>
      <c r="Z325" s="67"/>
    </row>
    <row r="326">
      <c r="A326" s="67"/>
      <c r="B326" s="67"/>
      <c r="C326" s="67"/>
      <c r="D326" s="67"/>
      <c r="E326" s="67"/>
      <c r="F326" s="67"/>
      <c r="G326" s="67"/>
      <c r="H326" s="67"/>
      <c r="I326" s="67"/>
      <c r="J326" s="67"/>
      <c r="K326" s="67"/>
      <c r="L326" s="67"/>
      <c r="M326" s="67"/>
      <c r="N326" s="67"/>
      <c r="O326" s="67"/>
      <c r="P326" s="67"/>
      <c r="Q326" s="67"/>
      <c r="R326" s="67"/>
      <c r="S326" s="67"/>
      <c r="T326" s="67"/>
      <c r="U326" s="67"/>
      <c r="V326" s="67"/>
      <c r="W326" s="67"/>
      <c r="X326" s="67"/>
      <c r="Y326" s="67"/>
      <c r="Z326" s="67"/>
    </row>
    <row r="327">
      <c r="A327" s="67"/>
      <c r="B327" s="67"/>
      <c r="C327" s="67"/>
      <c r="D327" s="67"/>
      <c r="E327" s="67"/>
      <c r="F327" s="67"/>
      <c r="G327" s="67"/>
      <c r="H327" s="67"/>
      <c r="I327" s="67"/>
      <c r="J327" s="67"/>
      <c r="K327" s="67"/>
      <c r="L327" s="67"/>
      <c r="M327" s="67"/>
      <c r="N327" s="67"/>
      <c r="O327" s="67"/>
      <c r="P327" s="67"/>
      <c r="Q327" s="67"/>
      <c r="R327" s="67"/>
      <c r="S327" s="67"/>
      <c r="T327" s="67"/>
      <c r="U327" s="67"/>
      <c r="V327" s="67"/>
      <c r="W327" s="67"/>
      <c r="X327" s="67"/>
      <c r="Y327" s="67"/>
      <c r="Z327" s="67"/>
    </row>
    <row r="328">
      <c r="A328" s="67"/>
      <c r="B328" s="67"/>
      <c r="C328" s="67"/>
      <c r="D328" s="67"/>
      <c r="E328" s="67"/>
      <c r="F328" s="67"/>
      <c r="G328" s="67"/>
      <c r="H328" s="67"/>
      <c r="I328" s="67"/>
      <c r="J328" s="67"/>
      <c r="K328" s="67"/>
      <c r="L328" s="67"/>
      <c r="M328" s="67"/>
      <c r="N328" s="67"/>
      <c r="O328" s="67"/>
      <c r="P328" s="67"/>
      <c r="Q328" s="67"/>
      <c r="R328" s="67"/>
      <c r="S328" s="67"/>
      <c r="T328" s="67"/>
      <c r="U328" s="67"/>
      <c r="V328" s="67"/>
      <c r="W328" s="67"/>
      <c r="X328" s="67"/>
      <c r="Y328" s="67"/>
      <c r="Z328" s="67"/>
    </row>
    <row r="329">
      <c r="A329" s="67"/>
      <c r="B329" s="67"/>
      <c r="C329" s="67"/>
      <c r="D329" s="67"/>
      <c r="E329" s="67"/>
      <c r="F329" s="67"/>
      <c r="G329" s="67"/>
      <c r="H329" s="67"/>
      <c r="I329" s="67"/>
      <c r="J329" s="67"/>
      <c r="K329" s="67"/>
      <c r="L329" s="67"/>
      <c r="M329" s="67"/>
      <c r="N329" s="67"/>
      <c r="O329" s="67"/>
      <c r="P329" s="67"/>
      <c r="Q329" s="67"/>
      <c r="R329" s="67"/>
      <c r="S329" s="67"/>
      <c r="T329" s="67"/>
      <c r="U329" s="67"/>
      <c r="V329" s="67"/>
      <c r="W329" s="67"/>
      <c r="X329" s="67"/>
      <c r="Y329" s="67"/>
      <c r="Z329" s="67"/>
    </row>
    <row r="330">
      <c r="A330" s="67"/>
      <c r="B330" s="67"/>
      <c r="C330" s="67"/>
      <c r="D330" s="67"/>
      <c r="E330" s="67"/>
      <c r="F330" s="67"/>
      <c r="G330" s="67"/>
      <c r="H330" s="67"/>
      <c r="I330" s="67"/>
      <c r="J330" s="67"/>
      <c r="K330" s="67"/>
      <c r="L330" s="67"/>
      <c r="M330" s="67"/>
      <c r="N330" s="67"/>
      <c r="O330" s="67"/>
      <c r="P330" s="67"/>
      <c r="Q330" s="67"/>
      <c r="R330" s="67"/>
      <c r="S330" s="67"/>
      <c r="T330" s="67"/>
      <c r="U330" s="67"/>
      <c r="V330" s="67"/>
      <c r="W330" s="67"/>
      <c r="X330" s="67"/>
      <c r="Y330" s="67"/>
      <c r="Z330" s="67"/>
    </row>
    <row r="331">
      <c r="A331" s="67"/>
      <c r="B331" s="67"/>
      <c r="C331" s="67"/>
      <c r="D331" s="67"/>
      <c r="E331" s="67"/>
      <c r="F331" s="67"/>
      <c r="G331" s="67"/>
      <c r="H331" s="67"/>
      <c r="I331" s="67"/>
      <c r="J331" s="67"/>
      <c r="K331" s="67"/>
      <c r="L331" s="67"/>
      <c r="M331" s="67"/>
      <c r="N331" s="67"/>
      <c r="O331" s="67"/>
      <c r="P331" s="67"/>
      <c r="Q331" s="67"/>
      <c r="R331" s="67"/>
      <c r="S331" s="67"/>
      <c r="T331" s="67"/>
      <c r="U331" s="67"/>
      <c r="V331" s="67"/>
      <c r="W331" s="67"/>
      <c r="X331" s="67"/>
      <c r="Y331" s="67"/>
      <c r="Z331" s="67"/>
    </row>
    <row r="332">
      <c r="A332" s="67"/>
      <c r="B332" s="67"/>
      <c r="C332" s="67"/>
      <c r="D332" s="67"/>
      <c r="E332" s="67"/>
      <c r="F332" s="67"/>
      <c r="G332" s="67"/>
      <c r="H332" s="67"/>
      <c r="I332" s="67"/>
      <c r="J332" s="67"/>
      <c r="K332" s="67"/>
      <c r="L332" s="67"/>
      <c r="M332" s="67"/>
      <c r="N332" s="67"/>
      <c r="O332" s="67"/>
      <c r="P332" s="67"/>
      <c r="Q332" s="67"/>
      <c r="R332" s="67"/>
      <c r="S332" s="67"/>
      <c r="T332" s="67"/>
      <c r="U332" s="67"/>
      <c r="V332" s="67"/>
      <c r="W332" s="67"/>
      <c r="X332" s="67"/>
      <c r="Y332" s="67"/>
      <c r="Z332" s="67"/>
    </row>
    <row r="333">
      <c r="A333" s="67"/>
      <c r="B333" s="67"/>
      <c r="C333" s="67"/>
      <c r="D333" s="67"/>
      <c r="E333" s="67"/>
      <c r="F333" s="67"/>
      <c r="G333" s="67"/>
      <c r="H333" s="67"/>
      <c r="I333" s="67"/>
      <c r="J333" s="67"/>
      <c r="K333" s="67"/>
      <c r="L333" s="67"/>
      <c r="M333" s="67"/>
      <c r="N333" s="67"/>
      <c r="O333" s="67"/>
      <c r="P333" s="67"/>
      <c r="Q333" s="67"/>
      <c r="R333" s="67"/>
      <c r="S333" s="67"/>
      <c r="T333" s="67"/>
      <c r="U333" s="67"/>
      <c r="V333" s="67"/>
      <c r="W333" s="67"/>
      <c r="X333" s="67"/>
      <c r="Y333" s="67"/>
      <c r="Z333" s="67"/>
    </row>
    <row r="334">
      <c r="A334" s="67"/>
      <c r="B334" s="67"/>
      <c r="C334" s="67"/>
      <c r="D334" s="67"/>
      <c r="E334" s="67"/>
      <c r="F334" s="67"/>
      <c r="G334" s="67"/>
      <c r="H334" s="67"/>
      <c r="I334" s="67"/>
      <c r="J334" s="67"/>
      <c r="K334" s="67"/>
      <c r="L334" s="67"/>
      <c r="M334" s="67"/>
      <c r="N334" s="67"/>
      <c r="O334" s="67"/>
      <c r="P334" s="67"/>
      <c r="Q334" s="67"/>
      <c r="R334" s="67"/>
      <c r="S334" s="67"/>
      <c r="T334" s="67"/>
      <c r="U334" s="67"/>
      <c r="V334" s="67"/>
      <c r="W334" s="67"/>
      <c r="X334" s="67"/>
      <c r="Y334" s="67"/>
      <c r="Z334" s="67"/>
    </row>
    <row r="335">
      <c r="A335" s="67"/>
      <c r="B335" s="67"/>
      <c r="C335" s="67"/>
      <c r="D335" s="67"/>
      <c r="E335" s="67"/>
      <c r="F335" s="67"/>
      <c r="G335" s="67"/>
      <c r="H335" s="67"/>
      <c r="I335" s="67"/>
      <c r="J335" s="67"/>
      <c r="K335" s="67"/>
      <c r="L335" s="67"/>
      <c r="M335" s="67"/>
      <c r="N335" s="67"/>
      <c r="O335" s="67"/>
      <c r="P335" s="67"/>
      <c r="Q335" s="67"/>
      <c r="R335" s="67"/>
      <c r="S335" s="67"/>
      <c r="T335" s="67"/>
      <c r="U335" s="67"/>
      <c r="V335" s="67"/>
      <c r="W335" s="67"/>
      <c r="X335" s="67"/>
      <c r="Y335" s="67"/>
      <c r="Z335" s="67"/>
    </row>
    <row r="336">
      <c r="A336" s="67"/>
      <c r="B336" s="67"/>
      <c r="C336" s="67"/>
      <c r="D336" s="67"/>
      <c r="E336" s="67"/>
      <c r="F336" s="67"/>
      <c r="G336" s="67"/>
      <c r="H336" s="67"/>
      <c r="I336" s="67"/>
      <c r="J336" s="67"/>
      <c r="K336" s="67"/>
      <c r="L336" s="67"/>
      <c r="M336" s="67"/>
      <c r="N336" s="67"/>
      <c r="O336" s="67"/>
      <c r="P336" s="67"/>
      <c r="Q336" s="67"/>
      <c r="R336" s="67"/>
      <c r="S336" s="67"/>
      <c r="T336" s="67"/>
      <c r="U336" s="67"/>
      <c r="V336" s="67"/>
      <c r="W336" s="67"/>
      <c r="X336" s="67"/>
      <c r="Y336" s="67"/>
      <c r="Z336" s="67"/>
    </row>
    <row r="337">
      <c r="A337" s="67"/>
      <c r="B337" s="67"/>
      <c r="C337" s="67"/>
      <c r="D337" s="67"/>
      <c r="E337" s="67"/>
      <c r="F337" s="67"/>
      <c r="G337" s="67"/>
      <c r="H337" s="67"/>
      <c r="I337" s="67"/>
      <c r="J337" s="67"/>
      <c r="K337" s="67"/>
      <c r="L337" s="67"/>
      <c r="M337" s="67"/>
      <c r="N337" s="67"/>
      <c r="O337" s="67"/>
      <c r="P337" s="67"/>
      <c r="Q337" s="67"/>
      <c r="R337" s="67"/>
      <c r="S337" s="67"/>
      <c r="T337" s="67"/>
      <c r="U337" s="67"/>
      <c r="V337" s="67"/>
      <c r="W337" s="67"/>
      <c r="X337" s="67"/>
      <c r="Y337" s="67"/>
      <c r="Z337" s="67"/>
    </row>
    <row r="338">
      <c r="A338" s="67"/>
      <c r="B338" s="67"/>
      <c r="C338" s="67"/>
      <c r="D338" s="67"/>
      <c r="E338" s="67"/>
      <c r="F338" s="67"/>
      <c r="G338" s="67"/>
      <c r="H338" s="67"/>
      <c r="I338" s="67"/>
      <c r="J338" s="67"/>
      <c r="K338" s="67"/>
      <c r="L338" s="67"/>
      <c r="M338" s="67"/>
      <c r="N338" s="67"/>
      <c r="O338" s="67"/>
      <c r="P338" s="67"/>
      <c r="Q338" s="67"/>
      <c r="R338" s="67"/>
      <c r="S338" s="67"/>
      <c r="T338" s="67"/>
      <c r="U338" s="67"/>
      <c r="V338" s="67"/>
      <c r="W338" s="67"/>
      <c r="X338" s="67"/>
      <c r="Y338" s="67"/>
      <c r="Z338" s="67"/>
    </row>
    <row r="339">
      <c r="A339" s="67"/>
      <c r="B339" s="67"/>
      <c r="C339" s="67"/>
      <c r="D339" s="67"/>
      <c r="E339" s="67"/>
      <c r="F339" s="67"/>
      <c r="G339" s="67"/>
      <c r="H339" s="67"/>
      <c r="I339" s="67"/>
      <c r="J339" s="67"/>
      <c r="K339" s="67"/>
      <c r="L339" s="67"/>
      <c r="M339" s="67"/>
      <c r="N339" s="67"/>
      <c r="O339" s="67"/>
      <c r="P339" s="67"/>
      <c r="Q339" s="67"/>
      <c r="R339" s="67"/>
      <c r="S339" s="67"/>
      <c r="T339" s="67"/>
      <c r="U339" s="67"/>
      <c r="V339" s="67"/>
      <c r="W339" s="67"/>
      <c r="X339" s="67"/>
      <c r="Y339" s="67"/>
      <c r="Z339" s="67"/>
    </row>
    <row r="340">
      <c r="A340" s="67"/>
      <c r="B340" s="67"/>
      <c r="C340" s="67"/>
      <c r="D340" s="67"/>
      <c r="E340" s="67"/>
      <c r="F340" s="67"/>
      <c r="G340" s="67"/>
      <c r="H340" s="67"/>
      <c r="I340" s="67"/>
      <c r="J340" s="67"/>
      <c r="K340" s="67"/>
      <c r="L340" s="67"/>
      <c r="M340" s="67"/>
      <c r="N340" s="67"/>
      <c r="O340" s="67"/>
      <c r="P340" s="67"/>
      <c r="Q340" s="67"/>
      <c r="R340" s="67"/>
      <c r="S340" s="67"/>
      <c r="T340" s="67"/>
      <c r="U340" s="67"/>
      <c r="V340" s="67"/>
      <c r="W340" s="67"/>
      <c r="X340" s="67"/>
      <c r="Y340" s="67"/>
      <c r="Z340" s="67"/>
    </row>
    <row r="341">
      <c r="A341" s="67"/>
      <c r="B341" s="67"/>
      <c r="C341" s="67"/>
      <c r="D341" s="67"/>
      <c r="E341" s="67"/>
      <c r="F341" s="67"/>
      <c r="G341" s="67"/>
      <c r="H341" s="67"/>
      <c r="I341" s="67"/>
      <c r="J341" s="67"/>
      <c r="K341" s="67"/>
      <c r="L341" s="67"/>
      <c r="M341" s="67"/>
      <c r="N341" s="67"/>
      <c r="O341" s="67"/>
      <c r="P341" s="67"/>
      <c r="Q341" s="67"/>
      <c r="R341" s="67"/>
      <c r="S341" s="67"/>
      <c r="T341" s="67"/>
      <c r="U341" s="67"/>
      <c r="V341" s="67"/>
      <c r="W341" s="67"/>
      <c r="X341" s="67"/>
      <c r="Y341" s="67"/>
      <c r="Z341" s="67"/>
    </row>
    <row r="342">
      <c r="A342" s="67"/>
      <c r="B342" s="67"/>
      <c r="C342" s="67"/>
      <c r="D342" s="67"/>
      <c r="E342" s="67"/>
      <c r="F342" s="67"/>
      <c r="G342" s="67"/>
      <c r="H342" s="67"/>
      <c r="I342" s="67"/>
      <c r="J342" s="67"/>
      <c r="K342" s="67"/>
      <c r="L342" s="67"/>
      <c r="M342" s="67"/>
      <c r="N342" s="67"/>
      <c r="O342" s="67"/>
      <c r="P342" s="67"/>
      <c r="Q342" s="67"/>
      <c r="R342" s="67"/>
      <c r="S342" s="67"/>
      <c r="T342" s="67"/>
      <c r="U342" s="67"/>
      <c r="V342" s="67"/>
      <c r="W342" s="67"/>
      <c r="X342" s="67"/>
      <c r="Y342" s="67"/>
      <c r="Z342" s="67"/>
    </row>
    <row r="343">
      <c r="A343" s="67"/>
      <c r="B343" s="67"/>
      <c r="C343" s="67"/>
      <c r="D343" s="67"/>
      <c r="E343" s="67"/>
      <c r="F343" s="67"/>
      <c r="G343" s="67"/>
      <c r="H343" s="67"/>
      <c r="I343" s="67"/>
      <c r="J343" s="67"/>
      <c r="K343" s="67"/>
      <c r="L343" s="67"/>
      <c r="M343" s="67"/>
      <c r="N343" s="67"/>
      <c r="O343" s="67"/>
      <c r="P343" s="67"/>
      <c r="Q343" s="67"/>
      <c r="R343" s="67"/>
      <c r="S343" s="67"/>
      <c r="T343" s="67"/>
      <c r="U343" s="67"/>
      <c r="V343" s="67"/>
      <c r="W343" s="67"/>
      <c r="X343" s="67"/>
      <c r="Y343" s="67"/>
      <c r="Z343" s="67"/>
    </row>
    <row r="344">
      <c r="A344" s="67"/>
      <c r="B344" s="67"/>
      <c r="C344" s="67"/>
      <c r="D344" s="67"/>
      <c r="E344" s="67"/>
      <c r="F344" s="67"/>
      <c r="G344" s="67"/>
      <c r="H344" s="67"/>
      <c r="I344" s="67"/>
      <c r="J344" s="67"/>
      <c r="K344" s="67"/>
      <c r="L344" s="67"/>
      <c r="M344" s="67"/>
      <c r="N344" s="67"/>
      <c r="O344" s="67"/>
      <c r="P344" s="67"/>
      <c r="Q344" s="67"/>
      <c r="R344" s="67"/>
      <c r="S344" s="67"/>
      <c r="T344" s="67"/>
      <c r="U344" s="67"/>
      <c r="V344" s="67"/>
      <c r="W344" s="67"/>
      <c r="X344" s="67"/>
      <c r="Y344" s="67"/>
      <c r="Z344" s="67"/>
    </row>
    <row r="345">
      <c r="A345" s="67"/>
      <c r="B345" s="67"/>
      <c r="C345" s="67"/>
      <c r="D345" s="67"/>
      <c r="E345" s="67"/>
      <c r="F345" s="67"/>
      <c r="G345" s="67"/>
      <c r="H345" s="67"/>
      <c r="I345" s="67"/>
      <c r="J345" s="67"/>
      <c r="K345" s="67"/>
      <c r="L345" s="67"/>
      <c r="M345" s="67"/>
      <c r="N345" s="67"/>
      <c r="O345" s="67"/>
      <c r="P345" s="67"/>
      <c r="Q345" s="67"/>
      <c r="R345" s="67"/>
      <c r="S345" s="67"/>
      <c r="T345" s="67"/>
      <c r="U345" s="67"/>
      <c r="V345" s="67"/>
      <c r="W345" s="67"/>
      <c r="X345" s="67"/>
      <c r="Y345" s="67"/>
      <c r="Z345" s="67"/>
    </row>
    <row r="346">
      <c r="A346" s="67"/>
      <c r="B346" s="67"/>
      <c r="C346" s="67"/>
      <c r="D346" s="67"/>
      <c r="E346" s="67"/>
      <c r="F346" s="67"/>
      <c r="G346" s="67"/>
      <c r="H346" s="67"/>
      <c r="I346" s="67"/>
      <c r="J346" s="67"/>
      <c r="K346" s="67"/>
      <c r="L346" s="67"/>
      <c r="M346" s="67"/>
      <c r="N346" s="67"/>
      <c r="O346" s="67"/>
      <c r="P346" s="67"/>
      <c r="Q346" s="67"/>
      <c r="R346" s="67"/>
      <c r="S346" s="67"/>
      <c r="T346" s="67"/>
      <c r="U346" s="67"/>
      <c r="V346" s="67"/>
      <c r="W346" s="67"/>
      <c r="X346" s="67"/>
      <c r="Y346" s="67"/>
      <c r="Z346" s="67"/>
    </row>
    <row r="347">
      <c r="A347" s="67"/>
      <c r="B347" s="67"/>
      <c r="C347" s="67"/>
      <c r="D347" s="67"/>
      <c r="E347" s="67"/>
      <c r="F347" s="67"/>
      <c r="G347" s="67"/>
      <c r="H347" s="67"/>
      <c r="I347" s="67"/>
      <c r="J347" s="67"/>
      <c r="K347" s="67"/>
      <c r="L347" s="67"/>
      <c r="M347" s="67"/>
      <c r="N347" s="67"/>
      <c r="O347" s="67"/>
      <c r="P347" s="67"/>
      <c r="Q347" s="67"/>
      <c r="R347" s="67"/>
      <c r="S347" s="67"/>
      <c r="T347" s="67"/>
      <c r="U347" s="67"/>
      <c r="V347" s="67"/>
      <c r="W347" s="67"/>
      <c r="X347" s="67"/>
      <c r="Y347" s="67"/>
      <c r="Z347" s="67"/>
    </row>
    <row r="348">
      <c r="A348" s="67"/>
      <c r="B348" s="67"/>
      <c r="C348" s="67"/>
      <c r="D348" s="67"/>
      <c r="E348" s="67"/>
      <c r="F348" s="67"/>
      <c r="G348" s="67"/>
      <c r="H348" s="67"/>
      <c r="I348" s="67"/>
      <c r="J348" s="67"/>
      <c r="K348" s="67"/>
      <c r="L348" s="67"/>
      <c r="M348" s="67"/>
      <c r="N348" s="67"/>
      <c r="O348" s="67"/>
      <c r="P348" s="67"/>
      <c r="Q348" s="67"/>
      <c r="R348" s="67"/>
      <c r="S348" s="67"/>
      <c r="T348" s="67"/>
      <c r="U348" s="67"/>
      <c r="V348" s="67"/>
      <c r="W348" s="67"/>
      <c r="X348" s="67"/>
      <c r="Y348" s="67"/>
      <c r="Z348" s="67"/>
    </row>
    <row r="349">
      <c r="A349" s="67"/>
      <c r="B349" s="67"/>
      <c r="C349" s="67"/>
      <c r="D349" s="67"/>
      <c r="E349" s="67"/>
      <c r="F349" s="67"/>
      <c r="G349" s="67"/>
      <c r="H349" s="67"/>
      <c r="I349" s="67"/>
      <c r="J349" s="67"/>
      <c r="K349" s="67"/>
      <c r="L349" s="67"/>
      <c r="M349" s="67"/>
      <c r="N349" s="67"/>
      <c r="O349" s="67"/>
      <c r="P349" s="67"/>
      <c r="Q349" s="67"/>
      <c r="R349" s="67"/>
      <c r="S349" s="67"/>
      <c r="T349" s="67"/>
      <c r="U349" s="67"/>
      <c r="V349" s="67"/>
      <c r="W349" s="67"/>
      <c r="X349" s="67"/>
      <c r="Y349" s="67"/>
      <c r="Z349" s="67"/>
    </row>
    <row r="350">
      <c r="A350" s="67"/>
      <c r="B350" s="67"/>
      <c r="C350" s="67"/>
      <c r="D350" s="67"/>
      <c r="E350" s="67"/>
      <c r="F350" s="67"/>
      <c r="G350" s="67"/>
      <c r="H350" s="67"/>
      <c r="I350" s="67"/>
      <c r="J350" s="67"/>
      <c r="K350" s="67"/>
      <c r="L350" s="67"/>
      <c r="M350" s="67"/>
      <c r="N350" s="67"/>
      <c r="O350" s="67"/>
      <c r="P350" s="67"/>
      <c r="Q350" s="67"/>
      <c r="R350" s="67"/>
      <c r="S350" s="67"/>
      <c r="T350" s="67"/>
      <c r="U350" s="67"/>
      <c r="V350" s="67"/>
      <c r="W350" s="67"/>
      <c r="X350" s="67"/>
      <c r="Y350" s="67"/>
      <c r="Z350" s="67"/>
    </row>
    <row r="351">
      <c r="A351" s="67"/>
      <c r="B351" s="67"/>
      <c r="C351" s="67"/>
      <c r="D351" s="67"/>
      <c r="E351" s="67"/>
      <c r="F351" s="67"/>
      <c r="G351" s="67"/>
      <c r="H351" s="67"/>
      <c r="I351" s="67"/>
      <c r="J351" s="67"/>
      <c r="K351" s="67"/>
      <c r="L351" s="67"/>
      <c r="M351" s="67"/>
      <c r="N351" s="67"/>
      <c r="O351" s="67"/>
      <c r="P351" s="67"/>
      <c r="Q351" s="67"/>
      <c r="R351" s="67"/>
      <c r="S351" s="67"/>
      <c r="T351" s="67"/>
      <c r="U351" s="67"/>
      <c r="V351" s="67"/>
      <c r="W351" s="67"/>
      <c r="X351" s="67"/>
      <c r="Y351" s="67"/>
      <c r="Z351" s="67"/>
    </row>
    <row r="352">
      <c r="A352" s="67"/>
      <c r="B352" s="67"/>
      <c r="C352" s="67"/>
      <c r="D352" s="67"/>
      <c r="E352" s="67"/>
      <c r="F352" s="67"/>
      <c r="G352" s="67"/>
      <c r="H352" s="67"/>
      <c r="I352" s="67"/>
      <c r="J352" s="67"/>
      <c r="K352" s="67"/>
      <c r="L352" s="67"/>
      <c r="M352" s="67"/>
      <c r="N352" s="67"/>
      <c r="O352" s="67"/>
      <c r="P352" s="67"/>
      <c r="Q352" s="67"/>
      <c r="R352" s="67"/>
      <c r="S352" s="67"/>
      <c r="T352" s="67"/>
      <c r="U352" s="67"/>
      <c r="V352" s="67"/>
      <c r="W352" s="67"/>
      <c r="X352" s="67"/>
      <c r="Y352" s="67"/>
      <c r="Z352" s="67"/>
    </row>
    <row r="353">
      <c r="A353" s="67"/>
      <c r="B353" s="67"/>
      <c r="C353" s="67"/>
      <c r="D353" s="67"/>
      <c r="E353" s="67"/>
      <c r="F353" s="67"/>
      <c r="G353" s="67"/>
      <c r="H353" s="67"/>
      <c r="I353" s="67"/>
      <c r="J353" s="67"/>
      <c r="K353" s="67"/>
      <c r="L353" s="67"/>
      <c r="M353" s="67"/>
      <c r="N353" s="67"/>
      <c r="O353" s="67"/>
      <c r="P353" s="67"/>
      <c r="Q353" s="67"/>
      <c r="R353" s="67"/>
      <c r="S353" s="67"/>
      <c r="T353" s="67"/>
      <c r="U353" s="67"/>
      <c r="V353" s="67"/>
      <c r="W353" s="67"/>
      <c r="X353" s="67"/>
      <c r="Y353" s="67"/>
      <c r="Z353" s="67"/>
    </row>
    <row r="354">
      <c r="A354" s="67"/>
      <c r="B354" s="67"/>
      <c r="C354" s="67"/>
      <c r="D354" s="67"/>
      <c r="E354" s="67"/>
      <c r="F354" s="67"/>
      <c r="G354" s="67"/>
      <c r="H354" s="67"/>
      <c r="I354" s="67"/>
      <c r="J354" s="67"/>
      <c r="K354" s="67"/>
      <c r="L354" s="67"/>
      <c r="M354" s="67"/>
      <c r="N354" s="67"/>
      <c r="O354" s="67"/>
      <c r="P354" s="67"/>
      <c r="Q354" s="67"/>
      <c r="R354" s="67"/>
      <c r="S354" s="67"/>
      <c r="T354" s="67"/>
      <c r="U354" s="67"/>
      <c r="V354" s="67"/>
      <c r="W354" s="67"/>
      <c r="X354" s="67"/>
      <c r="Y354" s="67"/>
      <c r="Z354" s="67"/>
    </row>
    <row r="355">
      <c r="A355" s="67"/>
      <c r="B355" s="67"/>
      <c r="C355" s="67"/>
      <c r="D355" s="67"/>
      <c r="E355" s="67"/>
      <c r="F355" s="67"/>
      <c r="G355" s="67"/>
      <c r="H355" s="67"/>
      <c r="I355" s="67"/>
      <c r="J355" s="67"/>
      <c r="K355" s="67"/>
      <c r="L355" s="67"/>
      <c r="M355" s="67"/>
      <c r="N355" s="67"/>
      <c r="O355" s="67"/>
      <c r="P355" s="67"/>
      <c r="Q355" s="67"/>
      <c r="R355" s="67"/>
      <c r="S355" s="67"/>
      <c r="T355" s="67"/>
      <c r="U355" s="67"/>
      <c r="V355" s="67"/>
      <c r="W355" s="67"/>
      <c r="X355" s="67"/>
      <c r="Y355" s="67"/>
      <c r="Z355" s="67"/>
    </row>
    <row r="356">
      <c r="A356" s="67"/>
      <c r="B356" s="67"/>
      <c r="C356" s="67"/>
      <c r="D356" s="67"/>
      <c r="E356" s="67"/>
      <c r="F356" s="67"/>
      <c r="G356" s="67"/>
      <c r="H356" s="67"/>
      <c r="I356" s="67"/>
      <c r="J356" s="67"/>
      <c r="K356" s="67"/>
      <c r="L356" s="67"/>
      <c r="M356" s="67"/>
      <c r="N356" s="67"/>
      <c r="O356" s="67"/>
      <c r="P356" s="67"/>
      <c r="Q356" s="67"/>
      <c r="R356" s="67"/>
      <c r="S356" s="67"/>
      <c r="T356" s="67"/>
      <c r="U356" s="67"/>
      <c r="V356" s="67"/>
      <c r="W356" s="67"/>
      <c r="X356" s="67"/>
      <c r="Y356" s="67"/>
      <c r="Z356" s="67"/>
    </row>
    <row r="357">
      <c r="A357" s="67"/>
      <c r="B357" s="67"/>
      <c r="C357" s="67"/>
      <c r="D357" s="67"/>
      <c r="E357" s="67"/>
      <c r="F357" s="67"/>
      <c r="G357" s="67"/>
      <c r="H357" s="67"/>
      <c r="I357" s="67"/>
      <c r="J357" s="67"/>
      <c r="K357" s="67"/>
      <c r="L357" s="67"/>
      <c r="M357" s="67"/>
      <c r="N357" s="67"/>
      <c r="O357" s="67"/>
      <c r="P357" s="67"/>
      <c r="Q357" s="67"/>
      <c r="R357" s="67"/>
      <c r="S357" s="67"/>
      <c r="T357" s="67"/>
      <c r="U357" s="67"/>
      <c r="V357" s="67"/>
      <c r="W357" s="67"/>
      <c r="X357" s="67"/>
      <c r="Y357" s="67"/>
      <c r="Z357" s="67"/>
    </row>
    <row r="358">
      <c r="A358" s="67"/>
      <c r="B358" s="67"/>
      <c r="C358" s="67"/>
      <c r="D358" s="67"/>
      <c r="E358" s="67"/>
      <c r="F358" s="67"/>
      <c r="G358" s="67"/>
      <c r="H358" s="67"/>
      <c r="I358" s="67"/>
      <c r="J358" s="67"/>
      <c r="K358" s="67"/>
      <c r="L358" s="67"/>
      <c r="M358" s="67"/>
      <c r="N358" s="67"/>
      <c r="O358" s="67"/>
      <c r="P358" s="67"/>
      <c r="Q358" s="67"/>
      <c r="R358" s="67"/>
      <c r="S358" s="67"/>
      <c r="T358" s="67"/>
      <c r="U358" s="67"/>
      <c r="V358" s="67"/>
      <c r="W358" s="67"/>
      <c r="X358" s="67"/>
      <c r="Y358" s="67"/>
      <c r="Z358" s="67"/>
    </row>
    <row r="359">
      <c r="A359" s="67"/>
      <c r="B359" s="67"/>
      <c r="C359" s="67"/>
      <c r="D359" s="67"/>
      <c r="E359" s="67"/>
      <c r="F359" s="67"/>
      <c r="G359" s="67"/>
      <c r="H359" s="67"/>
      <c r="I359" s="67"/>
      <c r="J359" s="67"/>
      <c r="K359" s="67"/>
      <c r="L359" s="67"/>
      <c r="M359" s="67"/>
      <c r="N359" s="67"/>
      <c r="O359" s="67"/>
      <c r="P359" s="67"/>
      <c r="Q359" s="67"/>
      <c r="R359" s="67"/>
      <c r="S359" s="67"/>
      <c r="T359" s="67"/>
      <c r="U359" s="67"/>
      <c r="V359" s="67"/>
      <c r="W359" s="67"/>
      <c r="X359" s="67"/>
      <c r="Y359" s="67"/>
      <c r="Z359" s="67"/>
    </row>
    <row r="360">
      <c r="A360" s="67"/>
      <c r="B360" s="67"/>
      <c r="C360" s="67"/>
      <c r="D360" s="67"/>
      <c r="E360" s="67"/>
      <c r="F360" s="67"/>
      <c r="G360" s="67"/>
      <c r="H360" s="67"/>
      <c r="I360" s="67"/>
      <c r="J360" s="67"/>
      <c r="K360" s="67"/>
      <c r="L360" s="67"/>
      <c r="M360" s="67"/>
      <c r="N360" s="67"/>
      <c r="O360" s="67"/>
      <c r="P360" s="67"/>
      <c r="Q360" s="67"/>
      <c r="R360" s="67"/>
      <c r="S360" s="67"/>
      <c r="T360" s="67"/>
      <c r="U360" s="67"/>
      <c r="V360" s="67"/>
      <c r="W360" s="67"/>
      <c r="X360" s="67"/>
      <c r="Y360" s="67"/>
      <c r="Z360" s="67"/>
    </row>
    <row r="361">
      <c r="A361" s="67"/>
      <c r="B361" s="67"/>
      <c r="C361" s="67"/>
      <c r="D361" s="67"/>
      <c r="E361" s="67"/>
      <c r="F361" s="67"/>
      <c r="G361" s="67"/>
      <c r="H361" s="67"/>
      <c r="I361" s="67"/>
      <c r="J361" s="67"/>
      <c r="K361" s="67"/>
      <c r="L361" s="67"/>
      <c r="M361" s="67"/>
      <c r="N361" s="67"/>
      <c r="O361" s="67"/>
      <c r="P361" s="67"/>
      <c r="Q361" s="67"/>
      <c r="R361" s="67"/>
      <c r="S361" s="67"/>
      <c r="T361" s="67"/>
      <c r="U361" s="67"/>
      <c r="V361" s="67"/>
      <c r="W361" s="67"/>
      <c r="X361" s="67"/>
      <c r="Y361" s="67"/>
      <c r="Z361" s="67"/>
    </row>
    <row r="362">
      <c r="A362" s="67"/>
      <c r="B362" s="67"/>
      <c r="C362" s="67"/>
      <c r="D362" s="67"/>
      <c r="E362" s="67"/>
      <c r="F362" s="67"/>
      <c r="G362" s="67"/>
      <c r="H362" s="67"/>
      <c r="I362" s="67"/>
      <c r="J362" s="67"/>
      <c r="K362" s="67"/>
      <c r="L362" s="67"/>
      <c r="M362" s="67"/>
      <c r="N362" s="67"/>
      <c r="O362" s="67"/>
      <c r="P362" s="67"/>
      <c r="Q362" s="67"/>
      <c r="R362" s="67"/>
      <c r="S362" s="67"/>
      <c r="T362" s="67"/>
      <c r="U362" s="67"/>
      <c r="V362" s="67"/>
      <c r="W362" s="67"/>
      <c r="X362" s="67"/>
      <c r="Y362" s="67"/>
      <c r="Z362" s="67"/>
    </row>
    <row r="363">
      <c r="A363" s="67"/>
      <c r="B363" s="67"/>
      <c r="C363" s="67"/>
      <c r="D363" s="67"/>
      <c r="E363" s="67"/>
      <c r="F363" s="67"/>
      <c r="G363" s="67"/>
      <c r="H363" s="67"/>
      <c r="I363" s="67"/>
      <c r="J363" s="67"/>
      <c r="K363" s="67"/>
      <c r="L363" s="67"/>
      <c r="M363" s="67"/>
      <c r="N363" s="67"/>
      <c r="O363" s="67"/>
      <c r="P363" s="67"/>
      <c r="Q363" s="67"/>
      <c r="R363" s="67"/>
      <c r="S363" s="67"/>
      <c r="T363" s="67"/>
      <c r="U363" s="67"/>
      <c r="V363" s="67"/>
      <c r="W363" s="67"/>
      <c r="X363" s="67"/>
      <c r="Y363" s="67"/>
      <c r="Z363" s="67"/>
    </row>
    <row r="364">
      <c r="A364" s="67"/>
      <c r="B364" s="67"/>
      <c r="C364" s="67"/>
      <c r="D364" s="67"/>
      <c r="E364" s="67"/>
      <c r="F364" s="67"/>
      <c r="G364" s="67"/>
      <c r="H364" s="67"/>
      <c r="I364" s="67"/>
      <c r="J364" s="67"/>
      <c r="K364" s="67"/>
      <c r="L364" s="67"/>
      <c r="M364" s="67"/>
      <c r="N364" s="67"/>
      <c r="O364" s="67"/>
      <c r="P364" s="67"/>
      <c r="Q364" s="67"/>
      <c r="R364" s="67"/>
      <c r="S364" s="67"/>
      <c r="T364" s="67"/>
      <c r="U364" s="67"/>
      <c r="V364" s="67"/>
      <c r="W364" s="67"/>
      <c r="X364" s="67"/>
      <c r="Y364" s="67"/>
      <c r="Z364" s="67"/>
    </row>
    <row r="365">
      <c r="A365" s="67"/>
      <c r="B365" s="67"/>
      <c r="C365" s="67"/>
      <c r="D365" s="67"/>
      <c r="E365" s="67"/>
      <c r="F365" s="67"/>
      <c r="G365" s="67"/>
      <c r="H365" s="67"/>
      <c r="I365" s="67"/>
      <c r="J365" s="67"/>
      <c r="K365" s="67"/>
      <c r="L365" s="67"/>
      <c r="M365" s="67"/>
      <c r="N365" s="67"/>
      <c r="O365" s="67"/>
      <c r="P365" s="67"/>
      <c r="Q365" s="67"/>
      <c r="R365" s="67"/>
      <c r="S365" s="67"/>
      <c r="T365" s="67"/>
      <c r="U365" s="67"/>
      <c r="V365" s="67"/>
      <c r="W365" s="67"/>
      <c r="X365" s="67"/>
      <c r="Y365" s="67"/>
      <c r="Z365" s="67"/>
    </row>
    <row r="366">
      <c r="A366" s="67"/>
      <c r="B366" s="67"/>
      <c r="C366" s="67"/>
      <c r="D366" s="67"/>
      <c r="E366" s="67"/>
      <c r="F366" s="67"/>
      <c r="G366" s="67"/>
      <c r="H366" s="67"/>
      <c r="I366" s="67"/>
      <c r="J366" s="67"/>
      <c r="K366" s="67"/>
      <c r="L366" s="67"/>
      <c r="M366" s="67"/>
      <c r="N366" s="67"/>
      <c r="O366" s="67"/>
      <c r="P366" s="67"/>
      <c r="Q366" s="67"/>
      <c r="R366" s="67"/>
      <c r="S366" s="67"/>
      <c r="T366" s="67"/>
      <c r="U366" s="67"/>
      <c r="V366" s="67"/>
      <c r="W366" s="67"/>
      <c r="X366" s="67"/>
      <c r="Y366" s="67"/>
      <c r="Z366" s="67"/>
    </row>
    <row r="367">
      <c r="A367" s="67"/>
      <c r="B367" s="67"/>
      <c r="C367" s="67"/>
      <c r="D367" s="67"/>
      <c r="E367" s="67"/>
      <c r="F367" s="67"/>
      <c r="G367" s="67"/>
      <c r="H367" s="67"/>
      <c r="I367" s="67"/>
      <c r="J367" s="67"/>
      <c r="K367" s="67"/>
      <c r="L367" s="67"/>
      <c r="M367" s="67"/>
      <c r="N367" s="67"/>
      <c r="O367" s="67"/>
      <c r="P367" s="67"/>
      <c r="Q367" s="67"/>
      <c r="R367" s="67"/>
      <c r="S367" s="67"/>
      <c r="T367" s="67"/>
      <c r="U367" s="67"/>
      <c r="V367" s="67"/>
      <c r="W367" s="67"/>
      <c r="X367" s="67"/>
      <c r="Y367" s="67"/>
      <c r="Z367" s="67"/>
    </row>
    <row r="368">
      <c r="A368" s="67"/>
      <c r="B368" s="67"/>
      <c r="C368" s="67"/>
      <c r="D368" s="67"/>
      <c r="E368" s="67"/>
      <c r="F368" s="67"/>
      <c r="G368" s="67"/>
      <c r="H368" s="67"/>
      <c r="I368" s="67"/>
      <c r="J368" s="67"/>
      <c r="K368" s="67"/>
      <c r="L368" s="67"/>
      <c r="M368" s="67"/>
      <c r="N368" s="67"/>
      <c r="O368" s="67"/>
      <c r="P368" s="67"/>
      <c r="Q368" s="67"/>
      <c r="R368" s="67"/>
      <c r="S368" s="67"/>
      <c r="T368" s="67"/>
      <c r="U368" s="67"/>
      <c r="V368" s="67"/>
      <c r="W368" s="67"/>
      <c r="X368" s="67"/>
      <c r="Y368" s="67"/>
      <c r="Z368" s="67"/>
    </row>
    <row r="369">
      <c r="A369" s="67"/>
      <c r="B369" s="67"/>
      <c r="C369" s="67"/>
      <c r="D369" s="67"/>
      <c r="E369" s="67"/>
      <c r="F369" s="67"/>
      <c r="G369" s="67"/>
      <c r="H369" s="67"/>
      <c r="I369" s="67"/>
      <c r="J369" s="67"/>
      <c r="K369" s="67"/>
      <c r="L369" s="67"/>
      <c r="M369" s="67"/>
      <c r="N369" s="67"/>
      <c r="O369" s="67"/>
      <c r="P369" s="67"/>
      <c r="Q369" s="67"/>
      <c r="R369" s="67"/>
      <c r="S369" s="67"/>
      <c r="T369" s="67"/>
      <c r="U369" s="67"/>
      <c r="V369" s="67"/>
      <c r="W369" s="67"/>
      <c r="X369" s="67"/>
      <c r="Y369" s="67"/>
      <c r="Z369" s="67"/>
    </row>
    <row r="370">
      <c r="A370" s="67"/>
      <c r="B370" s="67"/>
      <c r="C370" s="67"/>
      <c r="D370" s="67"/>
      <c r="E370" s="67"/>
      <c r="F370" s="67"/>
      <c r="G370" s="67"/>
      <c r="H370" s="67"/>
      <c r="I370" s="67"/>
      <c r="J370" s="67"/>
      <c r="K370" s="67"/>
      <c r="L370" s="67"/>
      <c r="M370" s="67"/>
      <c r="N370" s="67"/>
      <c r="O370" s="67"/>
      <c r="P370" s="67"/>
      <c r="Q370" s="67"/>
      <c r="R370" s="67"/>
      <c r="S370" s="67"/>
      <c r="T370" s="67"/>
      <c r="U370" s="67"/>
      <c r="V370" s="67"/>
      <c r="W370" s="67"/>
      <c r="X370" s="67"/>
      <c r="Y370" s="67"/>
      <c r="Z370" s="67"/>
    </row>
    <row r="371">
      <c r="A371" s="67"/>
      <c r="B371" s="67"/>
      <c r="C371" s="67"/>
      <c r="D371" s="67"/>
      <c r="E371" s="67"/>
      <c r="F371" s="67"/>
      <c r="G371" s="67"/>
      <c r="H371" s="67"/>
      <c r="I371" s="67"/>
      <c r="J371" s="67"/>
      <c r="K371" s="67"/>
      <c r="L371" s="67"/>
      <c r="M371" s="67"/>
      <c r="N371" s="67"/>
      <c r="O371" s="67"/>
      <c r="P371" s="67"/>
      <c r="Q371" s="67"/>
      <c r="R371" s="67"/>
      <c r="S371" s="67"/>
      <c r="T371" s="67"/>
      <c r="U371" s="67"/>
      <c r="V371" s="67"/>
      <c r="W371" s="67"/>
      <c r="X371" s="67"/>
      <c r="Y371" s="67"/>
      <c r="Z371" s="67"/>
    </row>
    <row r="372">
      <c r="A372" s="67"/>
      <c r="B372" s="67"/>
      <c r="C372" s="67"/>
      <c r="D372" s="67"/>
      <c r="E372" s="67"/>
      <c r="F372" s="67"/>
      <c r="G372" s="67"/>
      <c r="H372" s="67"/>
      <c r="I372" s="67"/>
      <c r="J372" s="67"/>
      <c r="K372" s="67"/>
      <c r="L372" s="67"/>
      <c r="M372" s="67"/>
      <c r="N372" s="67"/>
      <c r="O372" s="67"/>
      <c r="P372" s="67"/>
      <c r="Q372" s="67"/>
      <c r="R372" s="67"/>
      <c r="S372" s="67"/>
      <c r="T372" s="67"/>
      <c r="U372" s="67"/>
      <c r="V372" s="67"/>
      <c r="W372" s="67"/>
      <c r="X372" s="67"/>
      <c r="Y372" s="67"/>
      <c r="Z372" s="67"/>
    </row>
    <row r="373">
      <c r="A373" s="67"/>
      <c r="B373" s="67"/>
      <c r="C373" s="67"/>
      <c r="D373" s="67"/>
      <c r="E373" s="67"/>
      <c r="F373" s="67"/>
      <c r="G373" s="67"/>
      <c r="H373" s="67"/>
      <c r="I373" s="67"/>
      <c r="J373" s="67"/>
      <c r="K373" s="67"/>
      <c r="L373" s="67"/>
      <c r="M373" s="67"/>
      <c r="N373" s="67"/>
      <c r="O373" s="67"/>
      <c r="P373" s="67"/>
      <c r="Q373" s="67"/>
      <c r="R373" s="67"/>
      <c r="S373" s="67"/>
      <c r="T373" s="67"/>
      <c r="U373" s="67"/>
      <c r="V373" s="67"/>
      <c r="W373" s="67"/>
      <c r="X373" s="67"/>
      <c r="Y373" s="67"/>
      <c r="Z373" s="67"/>
    </row>
    <row r="374">
      <c r="A374" s="67"/>
      <c r="B374" s="67"/>
      <c r="C374" s="67"/>
      <c r="D374" s="67"/>
      <c r="E374" s="67"/>
      <c r="F374" s="67"/>
      <c r="G374" s="67"/>
      <c r="H374" s="67"/>
      <c r="I374" s="67"/>
      <c r="J374" s="67"/>
      <c r="K374" s="67"/>
      <c r="L374" s="67"/>
      <c r="M374" s="67"/>
      <c r="N374" s="67"/>
      <c r="O374" s="67"/>
      <c r="P374" s="67"/>
      <c r="Q374" s="67"/>
      <c r="R374" s="67"/>
      <c r="S374" s="67"/>
      <c r="T374" s="67"/>
      <c r="U374" s="67"/>
      <c r="V374" s="67"/>
      <c r="W374" s="67"/>
      <c r="X374" s="67"/>
      <c r="Y374" s="67"/>
      <c r="Z374" s="67"/>
    </row>
    <row r="375">
      <c r="A375" s="67"/>
      <c r="B375" s="67"/>
      <c r="C375" s="67"/>
      <c r="D375" s="67"/>
      <c r="E375" s="67"/>
      <c r="F375" s="67"/>
      <c r="G375" s="67"/>
      <c r="H375" s="67"/>
      <c r="I375" s="67"/>
      <c r="J375" s="67"/>
      <c r="K375" s="67"/>
      <c r="L375" s="67"/>
      <c r="M375" s="67"/>
      <c r="N375" s="67"/>
      <c r="O375" s="67"/>
      <c r="P375" s="67"/>
      <c r="Q375" s="67"/>
      <c r="R375" s="67"/>
      <c r="S375" s="67"/>
      <c r="T375" s="67"/>
      <c r="U375" s="67"/>
      <c r="V375" s="67"/>
      <c r="W375" s="67"/>
      <c r="X375" s="67"/>
      <c r="Y375" s="67"/>
      <c r="Z375" s="67"/>
    </row>
    <row r="376">
      <c r="A376" s="67"/>
      <c r="B376" s="67"/>
      <c r="C376" s="67"/>
      <c r="D376" s="67"/>
      <c r="E376" s="67"/>
      <c r="F376" s="67"/>
      <c r="G376" s="67"/>
      <c r="H376" s="67"/>
      <c r="I376" s="67"/>
      <c r="J376" s="67"/>
      <c r="K376" s="67"/>
      <c r="L376" s="67"/>
      <c r="M376" s="67"/>
      <c r="N376" s="67"/>
      <c r="O376" s="67"/>
      <c r="P376" s="67"/>
      <c r="Q376" s="67"/>
      <c r="R376" s="67"/>
      <c r="S376" s="67"/>
      <c r="T376" s="67"/>
      <c r="U376" s="67"/>
      <c r="V376" s="67"/>
      <c r="W376" s="67"/>
      <c r="X376" s="67"/>
      <c r="Y376" s="67"/>
      <c r="Z376" s="67"/>
    </row>
    <row r="377">
      <c r="A377" s="67"/>
      <c r="B377" s="67"/>
      <c r="C377" s="67"/>
      <c r="D377" s="67"/>
      <c r="E377" s="67"/>
      <c r="F377" s="67"/>
      <c r="G377" s="67"/>
      <c r="H377" s="67"/>
      <c r="I377" s="67"/>
      <c r="J377" s="67"/>
      <c r="K377" s="67"/>
      <c r="L377" s="67"/>
      <c r="M377" s="67"/>
      <c r="N377" s="67"/>
      <c r="O377" s="67"/>
      <c r="P377" s="67"/>
      <c r="Q377" s="67"/>
      <c r="R377" s="67"/>
      <c r="S377" s="67"/>
      <c r="T377" s="67"/>
      <c r="U377" s="67"/>
      <c r="V377" s="67"/>
      <c r="W377" s="67"/>
      <c r="X377" s="67"/>
      <c r="Y377" s="67"/>
      <c r="Z377" s="67"/>
    </row>
    <row r="378">
      <c r="A378" s="67"/>
      <c r="B378" s="67"/>
      <c r="C378" s="67"/>
      <c r="D378" s="67"/>
      <c r="E378" s="67"/>
      <c r="F378" s="67"/>
      <c r="G378" s="67"/>
      <c r="H378" s="67"/>
      <c r="I378" s="67"/>
      <c r="J378" s="67"/>
      <c r="K378" s="67"/>
      <c r="L378" s="67"/>
      <c r="M378" s="67"/>
      <c r="N378" s="67"/>
      <c r="O378" s="67"/>
      <c r="P378" s="67"/>
      <c r="Q378" s="67"/>
      <c r="R378" s="67"/>
      <c r="S378" s="67"/>
      <c r="T378" s="67"/>
      <c r="U378" s="67"/>
      <c r="V378" s="67"/>
      <c r="W378" s="67"/>
      <c r="X378" s="67"/>
      <c r="Y378" s="67"/>
      <c r="Z378" s="67"/>
    </row>
    <row r="379">
      <c r="A379" s="67"/>
      <c r="B379" s="67"/>
      <c r="C379" s="67"/>
      <c r="D379" s="67"/>
      <c r="E379" s="67"/>
      <c r="F379" s="67"/>
      <c r="G379" s="67"/>
      <c r="H379" s="67"/>
      <c r="I379" s="67"/>
      <c r="J379" s="67"/>
      <c r="K379" s="67"/>
      <c r="L379" s="67"/>
      <c r="M379" s="67"/>
      <c r="N379" s="67"/>
      <c r="O379" s="67"/>
      <c r="P379" s="67"/>
      <c r="Q379" s="67"/>
      <c r="R379" s="67"/>
      <c r="S379" s="67"/>
      <c r="T379" s="67"/>
      <c r="U379" s="67"/>
      <c r="V379" s="67"/>
      <c r="W379" s="67"/>
      <c r="X379" s="67"/>
      <c r="Y379" s="67"/>
      <c r="Z379" s="67"/>
    </row>
    <row r="380">
      <c r="A380" s="67"/>
      <c r="B380" s="67"/>
      <c r="C380" s="67"/>
      <c r="D380" s="67"/>
      <c r="E380" s="67"/>
      <c r="F380" s="67"/>
      <c r="G380" s="67"/>
      <c r="H380" s="67"/>
      <c r="I380" s="67"/>
      <c r="J380" s="67"/>
      <c r="K380" s="67"/>
      <c r="L380" s="67"/>
      <c r="M380" s="67"/>
      <c r="N380" s="67"/>
      <c r="O380" s="67"/>
      <c r="P380" s="67"/>
      <c r="Q380" s="67"/>
      <c r="R380" s="67"/>
      <c r="S380" s="67"/>
      <c r="T380" s="67"/>
      <c r="U380" s="67"/>
      <c r="V380" s="67"/>
      <c r="W380" s="67"/>
      <c r="X380" s="67"/>
      <c r="Y380" s="67"/>
      <c r="Z380" s="67"/>
    </row>
    <row r="381">
      <c r="A381" s="67"/>
      <c r="B381" s="67"/>
      <c r="C381" s="67"/>
      <c r="D381" s="67"/>
      <c r="E381" s="67"/>
      <c r="F381" s="67"/>
      <c r="G381" s="67"/>
      <c r="H381" s="67"/>
      <c r="I381" s="67"/>
      <c r="J381" s="67"/>
      <c r="K381" s="67"/>
      <c r="L381" s="67"/>
      <c r="M381" s="67"/>
      <c r="N381" s="67"/>
      <c r="O381" s="67"/>
      <c r="P381" s="67"/>
      <c r="Q381" s="67"/>
      <c r="R381" s="67"/>
      <c r="S381" s="67"/>
      <c r="T381" s="67"/>
      <c r="U381" s="67"/>
      <c r="V381" s="67"/>
      <c r="W381" s="67"/>
      <c r="X381" s="67"/>
      <c r="Y381" s="67"/>
      <c r="Z381" s="67"/>
    </row>
    <row r="382">
      <c r="A382" s="67"/>
      <c r="B382" s="67"/>
      <c r="C382" s="67"/>
      <c r="D382" s="67"/>
      <c r="E382" s="67"/>
      <c r="F382" s="67"/>
      <c r="G382" s="67"/>
      <c r="H382" s="67"/>
      <c r="I382" s="67"/>
      <c r="J382" s="67"/>
      <c r="K382" s="67"/>
      <c r="L382" s="67"/>
      <c r="M382" s="67"/>
      <c r="N382" s="67"/>
      <c r="O382" s="67"/>
      <c r="P382" s="67"/>
      <c r="Q382" s="67"/>
      <c r="R382" s="67"/>
      <c r="S382" s="67"/>
      <c r="T382" s="67"/>
      <c r="U382" s="67"/>
      <c r="V382" s="67"/>
      <c r="W382" s="67"/>
      <c r="X382" s="67"/>
      <c r="Y382" s="67"/>
      <c r="Z382" s="67"/>
    </row>
    <row r="383">
      <c r="A383" s="67"/>
      <c r="B383" s="67"/>
      <c r="C383" s="67"/>
      <c r="D383" s="67"/>
      <c r="E383" s="67"/>
      <c r="F383" s="67"/>
      <c r="G383" s="67"/>
      <c r="H383" s="67"/>
      <c r="I383" s="67"/>
      <c r="J383" s="67"/>
      <c r="K383" s="67"/>
      <c r="L383" s="67"/>
      <c r="M383" s="67"/>
      <c r="N383" s="67"/>
      <c r="O383" s="67"/>
      <c r="P383" s="67"/>
      <c r="Q383" s="67"/>
      <c r="R383" s="67"/>
      <c r="S383" s="67"/>
      <c r="T383" s="67"/>
      <c r="U383" s="67"/>
      <c r="V383" s="67"/>
      <c r="W383" s="67"/>
      <c r="X383" s="67"/>
      <c r="Y383" s="67"/>
      <c r="Z383" s="67"/>
    </row>
    <row r="384">
      <c r="A384" s="67"/>
      <c r="B384" s="67"/>
      <c r="C384" s="67"/>
      <c r="D384" s="67"/>
      <c r="E384" s="67"/>
      <c r="F384" s="67"/>
      <c r="G384" s="67"/>
      <c r="H384" s="67"/>
      <c r="I384" s="67"/>
      <c r="J384" s="67"/>
      <c r="K384" s="67"/>
      <c r="L384" s="67"/>
      <c r="M384" s="67"/>
      <c r="N384" s="67"/>
      <c r="O384" s="67"/>
      <c r="P384" s="67"/>
      <c r="Q384" s="67"/>
      <c r="R384" s="67"/>
      <c r="S384" s="67"/>
      <c r="T384" s="67"/>
      <c r="U384" s="67"/>
      <c r="V384" s="67"/>
      <c r="W384" s="67"/>
      <c r="X384" s="67"/>
      <c r="Y384" s="67"/>
      <c r="Z384" s="67"/>
    </row>
    <row r="385">
      <c r="A385" s="67"/>
      <c r="B385" s="67"/>
      <c r="C385" s="67"/>
      <c r="D385" s="67"/>
      <c r="E385" s="67"/>
      <c r="F385" s="67"/>
      <c r="G385" s="67"/>
      <c r="H385" s="67"/>
      <c r="I385" s="67"/>
      <c r="J385" s="67"/>
      <c r="K385" s="67"/>
      <c r="L385" s="67"/>
      <c r="M385" s="67"/>
      <c r="N385" s="67"/>
      <c r="O385" s="67"/>
      <c r="P385" s="67"/>
      <c r="Q385" s="67"/>
      <c r="R385" s="67"/>
      <c r="S385" s="67"/>
      <c r="T385" s="67"/>
      <c r="U385" s="67"/>
      <c r="V385" s="67"/>
      <c r="W385" s="67"/>
      <c r="X385" s="67"/>
      <c r="Y385" s="67"/>
      <c r="Z385" s="67"/>
    </row>
    <row r="386">
      <c r="A386" s="67"/>
      <c r="B386" s="67"/>
      <c r="C386" s="67"/>
      <c r="D386" s="67"/>
      <c r="E386" s="67"/>
      <c r="F386" s="67"/>
      <c r="G386" s="67"/>
      <c r="H386" s="67"/>
      <c r="I386" s="67"/>
      <c r="J386" s="67"/>
      <c r="K386" s="67"/>
      <c r="L386" s="67"/>
      <c r="M386" s="67"/>
      <c r="N386" s="67"/>
      <c r="O386" s="67"/>
      <c r="P386" s="67"/>
      <c r="Q386" s="67"/>
      <c r="R386" s="67"/>
      <c r="S386" s="67"/>
      <c r="T386" s="67"/>
      <c r="U386" s="67"/>
      <c r="V386" s="67"/>
      <c r="W386" s="67"/>
      <c r="X386" s="67"/>
      <c r="Y386" s="67"/>
      <c r="Z386" s="67"/>
    </row>
    <row r="387">
      <c r="A387" s="67"/>
      <c r="B387" s="67"/>
      <c r="C387" s="67"/>
      <c r="D387" s="67"/>
      <c r="E387" s="67"/>
      <c r="F387" s="67"/>
      <c r="G387" s="67"/>
      <c r="H387" s="67"/>
      <c r="I387" s="67"/>
      <c r="J387" s="67"/>
      <c r="K387" s="67"/>
      <c r="L387" s="67"/>
      <c r="M387" s="67"/>
      <c r="N387" s="67"/>
      <c r="O387" s="67"/>
      <c r="P387" s="67"/>
      <c r="Q387" s="67"/>
      <c r="R387" s="67"/>
      <c r="S387" s="67"/>
      <c r="T387" s="67"/>
      <c r="U387" s="67"/>
      <c r="V387" s="67"/>
      <c r="W387" s="67"/>
      <c r="X387" s="67"/>
      <c r="Y387" s="67"/>
      <c r="Z387" s="67"/>
    </row>
    <row r="388">
      <c r="A388" s="67"/>
      <c r="B388" s="67"/>
      <c r="C388" s="67"/>
      <c r="D388" s="67"/>
      <c r="E388" s="67"/>
      <c r="F388" s="67"/>
      <c r="G388" s="67"/>
      <c r="H388" s="67"/>
      <c r="I388" s="67"/>
      <c r="J388" s="67"/>
      <c r="K388" s="67"/>
      <c r="L388" s="67"/>
      <c r="M388" s="67"/>
      <c r="N388" s="67"/>
      <c r="O388" s="67"/>
      <c r="P388" s="67"/>
      <c r="Q388" s="67"/>
      <c r="R388" s="67"/>
      <c r="S388" s="67"/>
      <c r="T388" s="67"/>
      <c r="U388" s="67"/>
      <c r="V388" s="67"/>
      <c r="W388" s="67"/>
      <c r="X388" s="67"/>
      <c r="Y388" s="67"/>
      <c r="Z388" s="67"/>
    </row>
    <row r="389">
      <c r="A389" s="67"/>
      <c r="B389" s="67"/>
      <c r="C389" s="67"/>
      <c r="D389" s="67"/>
      <c r="E389" s="67"/>
      <c r="F389" s="67"/>
      <c r="G389" s="67"/>
      <c r="H389" s="67"/>
      <c r="I389" s="67"/>
      <c r="J389" s="67"/>
      <c r="K389" s="67"/>
      <c r="L389" s="67"/>
      <c r="M389" s="67"/>
      <c r="N389" s="67"/>
      <c r="O389" s="67"/>
      <c r="P389" s="67"/>
      <c r="Q389" s="67"/>
      <c r="R389" s="67"/>
      <c r="S389" s="67"/>
      <c r="T389" s="67"/>
      <c r="U389" s="67"/>
      <c r="V389" s="67"/>
      <c r="W389" s="67"/>
      <c r="X389" s="67"/>
      <c r="Y389" s="67"/>
      <c r="Z389" s="67"/>
    </row>
    <row r="390">
      <c r="A390" s="67"/>
      <c r="B390" s="67"/>
      <c r="C390" s="67"/>
      <c r="D390" s="67"/>
      <c r="E390" s="67"/>
      <c r="F390" s="67"/>
      <c r="G390" s="67"/>
      <c r="H390" s="67"/>
      <c r="I390" s="67"/>
      <c r="J390" s="67"/>
      <c r="K390" s="67"/>
      <c r="L390" s="67"/>
      <c r="M390" s="67"/>
      <c r="N390" s="67"/>
      <c r="O390" s="67"/>
      <c r="P390" s="67"/>
      <c r="Q390" s="67"/>
      <c r="R390" s="67"/>
      <c r="S390" s="67"/>
      <c r="T390" s="67"/>
      <c r="U390" s="67"/>
      <c r="V390" s="67"/>
      <c r="W390" s="67"/>
      <c r="X390" s="67"/>
      <c r="Y390" s="67"/>
      <c r="Z390" s="67"/>
    </row>
    <row r="391">
      <c r="A391" s="67"/>
      <c r="B391" s="67"/>
      <c r="C391" s="67"/>
      <c r="D391" s="67"/>
      <c r="E391" s="67"/>
      <c r="F391" s="67"/>
      <c r="G391" s="67"/>
      <c r="H391" s="67"/>
      <c r="I391" s="67"/>
      <c r="J391" s="67"/>
      <c r="K391" s="67"/>
      <c r="L391" s="67"/>
      <c r="M391" s="67"/>
      <c r="N391" s="67"/>
      <c r="O391" s="67"/>
      <c r="P391" s="67"/>
      <c r="Q391" s="67"/>
      <c r="R391" s="67"/>
      <c r="S391" s="67"/>
      <c r="T391" s="67"/>
      <c r="U391" s="67"/>
      <c r="V391" s="67"/>
      <c r="W391" s="67"/>
      <c r="X391" s="67"/>
      <c r="Y391" s="67"/>
      <c r="Z391" s="67"/>
    </row>
    <row r="392">
      <c r="A392" s="67"/>
      <c r="B392" s="67"/>
      <c r="C392" s="67"/>
      <c r="D392" s="67"/>
      <c r="E392" s="67"/>
      <c r="F392" s="67"/>
      <c r="G392" s="67"/>
      <c r="H392" s="67"/>
      <c r="I392" s="67"/>
      <c r="J392" s="67"/>
      <c r="K392" s="67"/>
      <c r="L392" s="67"/>
      <c r="M392" s="67"/>
      <c r="N392" s="67"/>
      <c r="O392" s="67"/>
      <c r="P392" s="67"/>
      <c r="Q392" s="67"/>
      <c r="R392" s="67"/>
      <c r="S392" s="67"/>
      <c r="T392" s="67"/>
      <c r="U392" s="67"/>
      <c r="V392" s="67"/>
      <c r="W392" s="67"/>
      <c r="X392" s="67"/>
      <c r="Y392" s="67"/>
      <c r="Z392" s="67"/>
    </row>
    <row r="393">
      <c r="A393" s="67"/>
      <c r="B393" s="67"/>
      <c r="C393" s="67"/>
      <c r="D393" s="67"/>
      <c r="E393" s="67"/>
      <c r="F393" s="67"/>
      <c r="G393" s="67"/>
      <c r="H393" s="67"/>
      <c r="I393" s="67"/>
      <c r="J393" s="67"/>
      <c r="K393" s="67"/>
      <c r="L393" s="67"/>
      <c r="M393" s="67"/>
      <c r="N393" s="67"/>
      <c r="O393" s="67"/>
      <c r="P393" s="67"/>
      <c r="Q393" s="67"/>
      <c r="R393" s="67"/>
      <c r="S393" s="67"/>
      <c r="T393" s="67"/>
      <c r="U393" s="67"/>
      <c r="V393" s="67"/>
      <c r="W393" s="67"/>
      <c r="X393" s="67"/>
      <c r="Y393" s="67"/>
      <c r="Z393" s="67"/>
    </row>
    <row r="394">
      <c r="A394" s="67"/>
      <c r="B394" s="67"/>
      <c r="C394" s="67"/>
      <c r="D394" s="67"/>
      <c r="E394" s="67"/>
      <c r="F394" s="67"/>
      <c r="G394" s="67"/>
      <c r="H394" s="67"/>
      <c r="I394" s="67"/>
      <c r="J394" s="67"/>
      <c r="K394" s="67"/>
      <c r="L394" s="67"/>
      <c r="M394" s="67"/>
      <c r="N394" s="67"/>
      <c r="O394" s="67"/>
      <c r="P394" s="67"/>
      <c r="Q394" s="67"/>
      <c r="R394" s="67"/>
      <c r="S394" s="67"/>
      <c r="T394" s="67"/>
      <c r="U394" s="67"/>
      <c r="V394" s="67"/>
      <c r="W394" s="67"/>
      <c r="X394" s="67"/>
      <c r="Y394" s="67"/>
      <c r="Z394" s="67"/>
    </row>
    <row r="395">
      <c r="A395" s="67"/>
      <c r="B395" s="67"/>
      <c r="C395" s="67"/>
      <c r="D395" s="67"/>
      <c r="E395" s="67"/>
      <c r="F395" s="67"/>
      <c r="G395" s="67"/>
      <c r="H395" s="67"/>
      <c r="I395" s="67"/>
      <c r="J395" s="67"/>
      <c r="K395" s="67"/>
      <c r="L395" s="67"/>
      <c r="M395" s="67"/>
      <c r="N395" s="67"/>
      <c r="O395" s="67"/>
      <c r="P395" s="67"/>
      <c r="Q395" s="67"/>
      <c r="R395" s="67"/>
      <c r="S395" s="67"/>
      <c r="T395" s="67"/>
      <c r="U395" s="67"/>
      <c r="V395" s="67"/>
      <c r="W395" s="67"/>
      <c r="X395" s="67"/>
      <c r="Y395" s="67"/>
      <c r="Z395" s="67"/>
    </row>
    <row r="396">
      <c r="A396" s="67"/>
      <c r="B396" s="67"/>
      <c r="C396" s="67"/>
      <c r="D396" s="67"/>
      <c r="E396" s="67"/>
      <c r="F396" s="67"/>
      <c r="G396" s="67"/>
      <c r="H396" s="67"/>
      <c r="I396" s="67"/>
      <c r="J396" s="67"/>
      <c r="K396" s="67"/>
      <c r="L396" s="67"/>
      <c r="M396" s="67"/>
      <c r="N396" s="67"/>
      <c r="O396" s="67"/>
      <c r="P396" s="67"/>
      <c r="Q396" s="67"/>
      <c r="R396" s="67"/>
      <c r="S396" s="67"/>
      <c r="T396" s="67"/>
      <c r="U396" s="67"/>
      <c r="V396" s="67"/>
      <c r="W396" s="67"/>
      <c r="X396" s="67"/>
      <c r="Y396" s="67"/>
      <c r="Z396" s="67"/>
    </row>
    <row r="397">
      <c r="A397" s="67"/>
      <c r="B397" s="67"/>
      <c r="C397" s="67"/>
      <c r="D397" s="67"/>
      <c r="E397" s="67"/>
      <c r="F397" s="67"/>
      <c r="G397" s="67"/>
      <c r="H397" s="67"/>
      <c r="I397" s="67"/>
      <c r="J397" s="67"/>
      <c r="K397" s="67"/>
      <c r="L397" s="67"/>
      <c r="M397" s="67"/>
      <c r="N397" s="67"/>
      <c r="O397" s="67"/>
      <c r="P397" s="67"/>
      <c r="Q397" s="67"/>
      <c r="R397" s="67"/>
      <c r="S397" s="67"/>
      <c r="T397" s="67"/>
      <c r="U397" s="67"/>
      <c r="V397" s="67"/>
      <c r="W397" s="67"/>
      <c r="X397" s="67"/>
      <c r="Y397" s="67"/>
      <c r="Z397" s="67"/>
    </row>
    <row r="398">
      <c r="A398" s="67"/>
      <c r="B398" s="67"/>
      <c r="C398" s="67"/>
      <c r="D398" s="67"/>
      <c r="E398" s="67"/>
      <c r="F398" s="67"/>
      <c r="G398" s="67"/>
      <c r="H398" s="67"/>
      <c r="I398" s="67"/>
      <c r="J398" s="67"/>
      <c r="K398" s="67"/>
      <c r="L398" s="67"/>
      <c r="M398" s="67"/>
      <c r="N398" s="67"/>
      <c r="O398" s="67"/>
      <c r="P398" s="67"/>
      <c r="Q398" s="67"/>
      <c r="R398" s="67"/>
      <c r="S398" s="67"/>
      <c r="T398" s="67"/>
      <c r="U398" s="67"/>
      <c r="V398" s="67"/>
      <c r="W398" s="67"/>
      <c r="X398" s="67"/>
      <c r="Y398" s="67"/>
      <c r="Z398" s="67"/>
    </row>
    <row r="399">
      <c r="A399" s="67"/>
      <c r="B399" s="67"/>
      <c r="C399" s="67"/>
      <c r="D399" s="67"/>
      <c r="E399" s="67"/>
      <c r="F399" s="67"/>
      <c r="G399" s="67"/>
      <c r="H399" s="67"/>
      <c r="I399" s="67"/>
      <c r="J399" s="67"/>
      <c r="K399" s="67"/>
      <c r="L399" s="67"/>
      <c r="M399" s="67"/>
      <c r="N399" s="67"/>
      <c r="O399" s="67"/>
      <c r="P399" s="67"/>
      <c r="Q399" s="67"/>
      <c r="R399" s="67"/>
      <c r="S399" s="67"/>
      <c r="T399" s="67"/>
      <c r="U399" s="67"/>
      <c r="V399" s="67"/>
      <c r="W399" s="67"/>
      <c r="X399" s="67"/>
      <c r="Y399" s="67"/>
      <c r="Z399" s="67"/>
    </row>
    <row r="400">
      <c r="A400" s="67"/>
      <c r="B400" s="67"/>
      <c r="C400" s="67"/>
      <c r="D400" s="67"/>
      <c r="E400" s="67"/>
      <c r="F400" s="67"/>
      <c r="G400" s="67"/>
      <c r="H400" s="67"/>
      <c r="I400" s="67"/>
      <c r="J400" s="67"/>
      <c r="K400" s="67"/>
      <c r="L400" s="67"/>
      <c r="M400" s="67"/>
      <c r="N400" s="67"/>
      <c r="O400" s="67"/>
      <c r="P400" s="67"/>
      <c r="Q400" s="67"/>
      <c r="R400" s="67"/>
      <c r="S400" s="67"/>
      <c r="T400" s="67"/>
      <c r="U400" s="67"/>
      <c r="V400" s="67"/>
      <c r="W400" s="67"/>
      <c r="X400" s="67"/>
      <c r="Y400" s="67"/>
      <c r="Z400" s="67"/>
    </row>
    <row r="401">
      <c r="A401" s="67"/>
      <c r="B401" s="67"/>
      <c r="C401" s="67"/>
      <c r="D401" s="67"/>
      <c r="E401" s="67"/>
      <c r="F401" s="67"/>
      <c r="G401" s="67"/>
      <c r="H401" s="67"/>
      <c r="I401" s="67"/>
      <c r="J401" s="67"/>
      <c r="K401" s="67"/>
      <c r="L401" s="67"/>
      <c r="M401" s="67"/>
      <c r="N401" s="67"/>
      <c r="O401" s="67"/>
      <c r="P401" s="67"/>
      <c r="Q401" s="67"/>
      <c r="R401" s="67"/>
      <c r="S401" s="67"/>
      <c r="T401" s="67"/>
      <c r="U401" s="67"/>
      <c r="V401" s="67"/>
      <c r="W401" s="67"/>
      <c r="X401" s="67"/>
      <c r="Y401" s="67"/>
      <c r="Z401" s="67"/>
    </row>
    <row r="402">
      <c r="A402" s="67"/>
      <c r="B402" s="67"/>
      <c r="C402" s="67"/>
      <c r="D402" s="67"/>
      <c r="E402" s="67"/>
      <c r="F402" s="67"/>
      <c r="G402" s="67"/>
      <c r="H402" s="67"/>
      <c r="I402" s="67"/>
      <c r="J402" s="67"/>
      <c r="K402" s="67"/>
      <c r="L402" s="67"/>
      <c r="M402" s="67"/>
      <c r="N402" s="67"/>
      <c r="O402" s="67"/>
      <c r="P402" s="67"/>
      <c r="Q402" s="67"/>
      <c r="R402" s="67"/>
      <c r="S402" s="67"/>
      <c r="T402" s="67"/>
      <c r="U402" s="67"/>
      <c r="V402" s="67"/>
      <c r="W402" s="67"/>
      <c r="X402" s="67"/>
      <c r="Y402" s="67"/>
      <c r="Z402" s="67"/>
    </row>
    <row r="403">
      <c r="A403" s="67"/>
      <c r="B403" s="67"/>
      <c r="C403" s="67"/>
      <c r="D403" s="67"/>
      <c r="E403" s="67"/>
      <c r="F403" s="67"/>
      <c r="G403" s="67"/>
      <c r="H403" s="67"/>
      <c r="I403" s="67"/>
      <c r="J403" s="67"/>
      <c r="K403" s="67"/>
      <c r="L403" s="67"/>
      <c r="M403" s="67"/>
      <c r="N403" s="67"/>
      <c r="O403" s="67"/>
      <c r="P403" s="67"/>
      <c r="Q403" s="67"/>
      <c r="R403" s="67"/>
      <c r="S403" s="67"/>
      <c r="T403" s="67"/>
      <c r="U403" s="67"/>
      <c r="V403" s="67"/>
      <c r="W403" s="67"/>
      <c r="X403" s="67"/>
      <c r="Y403" s="67"/>
      <c r="Z403" s="67"/>
    </row>
    <row r="404">
      <c r="A404" s="67"/>
      <c r="B404" s="67"/>
      <c r="C404" s="67"/>
      <c r="D404" s="67"/>
      <c r="E404" s="67"/>
      <c r="F404" s="67"/>
      <c r="G404" s="67"/>
      <c r="H404" s="67"/>
      <c r="I404" s="67"/>
      <c r="J404" s="67"/>
      <c r="K404" s="67"/>
      <c r="L404" s="67"/>
      <c r="M404" s="67"/>
      <c r="N404" s="67"/>
      <c r="O404" s="67"/>
      <c r="P404" s="67"/>
      <c r="Q404" s="67"/>
      <c r="R404" s="67"/>
      <c r="S404" s="67"/>
      <c r="T404" s="67"/>
      <c r="U404" s="67"/>
      <c r="V404" s="67"/>
      <c r="W404" s="67"/>
      <c r="X404" s="67"/>
      <c r="Y404" s="67"/>
      <c r="Z404" s="67"/>
    </row>
    <row r="405">
      <c r="A405" s="67"/>
      <c r="B405" s="67"/>
      <c r="C405" s="67"/>
      <c r="D405" s="67"/>
      <c r="E405" s="67"/>
      <c r="F405" s="67"/>
      <c r="G405" s="67"/>
      <c r="H405" s="67"/>
      <c r="I405" s="67"/>
      <c r="J405" s="67"/>
      <c r="K405" s="67"/>
      <c r="L405" s="67"/>
      <c r="M405" s="67"/>
      <c r="N405" s="67"/>
      <c r="O405" s="67"/>
      <c r="P405" s="67"/>
      <c r="Q405" s="67"/>
      <c r="R405" s="67"/>
      <c r="S405" s="67"/>
      <c r="T405" s="67"/>
      <c r="U405" s="67"/>
      <c r="V405" s="67"/>
      <c r="W405" s="67"/>
      <c r="X405" s="67"/>
      <c r="Y405" s="67"/>
      <c r="Z405" s="67"/>
    </row>
    <row r="406">
      <c r="A406" s="67"/>
      <c r="B406" s="67"/>
      <c r="C406" s="67"/>
      <c r="D406" s="67"/>
      <c r="E406" s="67"/>
      <c r="F406" s="67"/>
      <c r="G406" s="67"/>
      <c r="H406" s="67"/>
      <c r="I406" s="67"/>
      <c r="J406" s="67"/>
      <c r="K406" s="67"/>
      <c r="L406" s="67"/>
      <c r="M406" s="67"/>
      <c r="N406" s="67"/>
      <c r="O406" s="67"/>
      <c r="P406" s="67"/>
      <c r="Q406" s="67"/>
      <c r="R406" s="67"/>
      <c r="S406" s="67"/>
      <c r="T406" s="67"/>
      <c r="U406" s="67"/>
      <c r="V406" s="67"/>
      <c r="W406" s="67"/>
      <c r="X406" s="67"/>
      <c r="Y406" s="67"/>
      <c r="Z406" s="67"/>
    </row>
    <row r="407">
      <c r="A407" s="67"/>
      <c r="B407" s="67"/>
      <c r="C407" s="67"/>
      <c r="D407" s="67"/>
      <c r="E407" s="67"/>
      <c r="F407" s="67"/>
      <c r="G407" s="67"/>
      <c r="H407" s="67"/>
      <c r="I407" s="67"/>
      <c r="J407" s="67"/>
      <c r="K407" s="67"/>
      <c r="L407" s="67"/>
      <c r="M407" s="67"/>
      <c r="N407" s="67"/>
      <c r="O407" s="67"/>
      <c r="P407" s="67"/>
      <c r="Q407" s="67"/>
      <c r="R407" s="67"/>
      <c r="S407" s="67"/>
      <c r="T407" s="67"/>
      <c r="U407" s="67"/>
      <c r="V407" s="67"/>
      <c r="W407" s="67"/>
      <c r="X407" s="67"/>
      <c r="Y407" s="67"/>
      <c r="Z407" s="67"/>
    </row>
    <row r="408">
      <c r="A408" s="67"/>
      <c r="B408" s="67"/>
      <c r="C408" s="67"/>
      <c r="D408" s="67"/>
      <c r="E408" s="67"/>
      <c r="F408" s="67"/>
      <c r="G408" s="67"/>
      <c r="H408" s="67"/>
      <c r="I408" s="67"/>
      <c r="J408" s="67"/>
      <c r="K408" s="67"/>
      <c r="L408" s="67"/>
      <c r="M408" s="67"/>
      <c r="N408" s="67"/>
      <c r="O408" s="67"/>
      <c r="P408" s="67"/>
      <c r="Q408" s="67"/>
      <c r="R408" s="67"/>
      <c r="S408" s="67"/>
      <c r="T408" s="67"/>
      <c r="U408" s="67"/>
      <c r="V408" s="67"/>
      <c r="W408" s="67"/>
      <c r="X408" s="67"/>
      <c r="Y408" s="67"/>
      <c r="Z408" s="67"/>
    </row>
    <row r="409">
      <c r="A409" s="67"/>
      <c r="B409" s="67"/>
      <c r="C409" s="67"/>
      <c r="D409" s="67"/>
      <c r="E409" s="67"/>
      <c r="F409" s="67"/>
      <c r="G409" s="67"/>
      <c r="H409" s="67"/>
      <c r="I409" s="67"/>
      <c r="J409" s="67"/>
      <c r="K409" s="67"/>
      <c r="L409" s="67"/>
      <c r="M409" s="67"/>
      <c r="N409" s="67"/>
      <c r="O409" s="67"/>
      <c r="P409" s="67"/>
      <c r="Q409" s="67"/>
      <c r="R409" s="67"/>
      <c r="S409" s="67"/>
      <c r="T409" s="67"/>
      <c r="U409" s="67"/>
      <c r="V409" s="67"/>
      <c r="W409" s="67"/>
      <c r="X409" s="67"/>
      <c r="Y409" s="67"/>
      <c r="Z409" s="67"/>
    </row>
    <row r="410">
      <c r="A410" s="67"/>
      <c r="B410" s="67"/>
      <c r="C410" s="67"/>
      <c r="D410" s="67"/>
      <c r="E410" s="67"/>
      <c r="F410" s="67"/>
      <c r="G410" s="67"/>
      <c r="H410" s="67"/>
      <c r="I410" s="67"/>
      <c r="J410" s="67"/>
      <c r="K410" s="67"/>
      <c r="L410" s="67"/>
      <c r="M410" s="67"/>
      <c r="N410" s="67"/>
      <c r="O410" s="67"/>
      <c r="P410" s="67"/>
      <c r="Q410" s="67"/>
      <c r="R410" s="67"/>
      <c r="S410" s="67"/>
      <c r="T410" s="67"/>
      <c r="U410" s="67"/>
      <c r="V410" s="67"/>
      <c r="W410" s="67"/>
      <c r="X410" s="67"/>
      <c r="Y410" s="67"/>
      <c r="Z410" s="67"/>
    </row>
    <row r="411">
      <c r="A411" s="67"/>
      <c r="B411" s="67"/>
      <c r="C411" s="67"/>
      <c r="D411" s="67"/>
      <c r="E411" s="67"/>
      <c r="F411" s="67"/>
      <c r="G411" s="67"/>
      <c r="H411" s="67"/>
      <c r="I411" s="67"/>
      <c r="J411" s="67"/>
      <c r="K411" s="67"/>
      <c r="L411" s="67"/>
      <c r="M411" s="67"/>
      <c r="N411" s="67"/>
      <c r="O411" s="67"/>
      <c r="P411" s="67"/>
      <c r="Q411" s="67"/>
      <c r="R411" s="67"/>
      <c r="S411" s="67"/>
      <c r="T411" s="67"/>
      <c r="U411" s="67"/>
      <c r="V411" s="67"/>
      <c r="W411" s="67"/>
      <c r="X411" s="67"/>
      <c r="Y411" s="67"/>
      <c r="Z411" s="67"/>
    </row>
    <row r="412">
      <c r="A412" s="67"/>
      <c r="B412" s="67"/>
      <c r="C412" s="67"/>
      <c r="D412" s="67"/>
      <c r="E412" s="67"/>
      <c r="F412" s="67"/>
      <c r="G412" s="67"/>
      <c r="H412" s="67"/>
      <c r="I412" s="67"/>
      <c r="J412" s="67"/>
      <c r="K412" s="67"/>
      <c r="L412" s="67"/>
      <c r="M412" s="67"/>
      <c r="N412" s="67"/>
      <c r="O412" s="67"/>
      <c r="P412" s="67"/>
      <c r="Q412" s="67"/>
      <c r="R412" s="67"/>
      <c r="S412" s="67"/>
      <c r="T412" s="67"/>
      <c r="U412" s="67"/>
      <c r="V412" s="67"/>
      <c r="W412" s="67"/>
      <c r="X412" s="67"/>
      <c r="Y412" s="67"/>
      <c r="Z412" s="67"/>
    </row>
    <row r="413">
      <c r="A413" s="67"/>
      <c r="B413" s="67"/>
      <c r="C413" s="67"/>
      <c r="D413" s="67"/>
      <c r="E413" s="67"/>
      <c r="F413" s="67"/>
      <c r="G413" s="67"/>
      <c r="H413" s="67"/>
      <c r="I413" s="67"/>
      <c r="J413" s="67"/>
      <c r="K413" s="67"/>
      <c r="L413" s="67"/>
      <c r="M413" s="67"/>
      <c r="N413" s="67"/>
      <c r="O413" s="67"/>
      <c r="P413" s="67"/>
      <c r="Q413" s="67"/>
      <c r="R413" s="67"/>
      <c r="S413" s="67"/>
      <c r="T413" s="67"/>
      <c r="U413" s="67"/>
      <c r="V413" s="67"/>
      <c r="W413" s="67"/>
      <c r="X413" s="67"/>
      <c r="Y413" s="67"/>
      <c r="Z413" s="67"/>
    </row>
    <row r="414">
      <c r="A414" s="67"/>
      <c r="B414" s="67"/>
      <c r="C414" s="67"/>
      <c r="D414" s="67"/>
      <c r="E414" s="67"/>
      <c r="F414" s="67"/>
      <c r="G414" s="67"/>
      <c r="H414" s="67"/>
      <c r="I414" s="67"/>
      <c r="J414" s="67"/>
      <c r="K414" s="67"/>
      <c r="L414" s="67"/>
      <c r="M414" s="67"/>
      <c r="N414" s="67"/>
      <c r="O414" s="67"/>
      <c r="P414" s="67"/>
      <c r="Q414" s="67"/>
      <c r="R414" s="67"/>
      <c r="S414" s="67"/>
      <c r="T414" s="67"/>
      <c r="U414" s="67"/>
      <c r="V414" s="67"/>
      <c r="W414" s="67"/>
      <c r="X414" s="67"/>
      <c r="Y414" s="67"/>
      <c r="Z414" s="67"/>
    </row>
    <row r="415">
      <c r="A415" s="67"/>
      <c r="B415" s="67"/>
      <c r="C415" s="67"/>
      <c r="D415" s="67"/>
      <c r="E415" s="67"/>
      <c r="F415" s="67"/>
      <c r="G415" s="67"/>
      <c r="H415" s="67"/>
      <c r="I415" s="67"/>
      <c r="J415" s="67"/>
      <c r="K415" s="67"/>
      <c r="L415" s="67"/>
      <c r="M415" s="67"/>
      <c r="N415" s="67"/>
      <c r="O415" s="67"/>
      <c r="P415" s="67"/>
      <c r="Q415" s="67"/>
      <c r="R415" s="67"/>
      <c r="S415" s="67"/>
      <c r="T415" s="67"/>
      <c r="U415" s="67"/>
      <c r="V415" s="67"/>
      <c r="W415" s="67"/>
      <c r="X415" s="67"/>
      <c r="Y415" s="67"/>
      <c r="Z415" s="67"/>
    </row>
    <row r="416">
      <c r="A416" s="67"/>
      <c r="B416" s="67"/>
      <c r="C416" s="67"/>
      <c r="D416" s="67"/>
      <c r="E416" s="67"/>
      <c r="F416" s="67"/>
      <c r="G416" s="67"/>
      <c r="H416" s="67"/>
      <c r="I416" s="67"/>
      <c r="J416" s="67"/>
      <c r="K416" s="67"/>
      <c r="L416" s="67"/>
      <c r="M416" s="67"/>
      <c r="N416" s="67"/>
      <c r="O416" s="67"/>
      <c r="P416" s="67"/>
      <c r="Q416" s="67"/>
      <c r="R416" s="67"/>
      <c r="S416" s="67"/>
      <c r="T416" s="67"/>
      <c r="U416" s="67"/>
      <c r="V416" s="67"/>
      <c r="W416" s="67"/>
      <c r="X416" s="67"/>
      <c r="Y416" s="67"/>
      <c r="Z416" s="67"/>
    </row>
    <row r="417">
      <c r="A417" s="67"/>
      <c r="B417" s="67"/>
      <c r="C417" s="67"/>
      <c r="D417" s="67"/>
      <c r="E417" s="67"/>
      <c r="F417" s="67"/>
      <c r="G417" s="67"/>
      <c r="H417" s="67"/>
      <c r="I417" s="67"/>
      <c r="J417" s="67"/>
      <c r="K417" s="67"/>
      <c r="L417" s="67"/>
      <c r="M417" s="67"/>
      <c r="N417" s="67"/>
      <c r="O417" s="67"/>
      <c r="P417" s="67"/>
      <c r="Q417" s="67"/>
      <c r="R417" s="67"/>
      <c r="S417" s="67"/>
      <c r="T417" s="67"/>
      <c r="U417" s="67"/>
      <c r="V417" s="67"/>
      <c r="W417" s="67"/>
      <c r="X417" s="67"/>
      <c r="Y417" s="67"/>
      <c r="Z417" s="67"/>
    </row>
    <row r="418">
      <c r="A418" s="67"/>
      <c r="B418" s="67"/>
      <c r="C418" s="67"/>
      <c r="D418" s="67"/>
      <c r="E418" s="67"/>
      <c r="F418" s="67"/>
      <c r="G418" s="67"/>
      <c r="H418" s="67"/>
      <c r="I418" s="67"/>
      <c r="J418" s="67"/>
      <c r="K418" s="67"/>
      <c r="L418" s="67"/>
      <c r="M418" s="67"/>
      <c r="N418" s="67"/>
      <c r="O418" s="67"/>
      <c r="P418" s="67"/>
      <c r="Q418" s="67"/>
      <c r="R418" s="67"/>
      <c r="S418" s="67"/>
      <c r="T418" s="67"/>
      <c r="U418" s="67"/>
      <c r="V418" s="67"/>
      <c r="W418" s="67"/>
      <c r="X418" s="67"/>
      <c r="Y418" s="67"/>
      <c r="Z418" s="67"/>
    </row>
    <row r="419">
      <c r="A419" s="67"/>
      <c r="B419" s="67"/>
      <c r="C419" s="67"/>
      <c r="D419" s="67"/>
      <c r="E419" s="67"/>
      <c r="F419" s="67"/>
      <c r="G419" s="67"/>
      <c r="H419" s="67"/>
      <c r="I419" s="67"/>
      <c r="J419" s="67"/>
      <c r="K419" s="67"/>
      <c r="L419" s="67"/>
      <c r="M419" s="67"/>
      <c r="N419" s="67"/>
      <c r="O419" s="67"/>
      <c r="P419" s="67"/>
      <c r="Q419" s="67"/>
      <c r="R419" s="67"/>
      <c r="S419" s="67"/>
      <c r="T419" s="67"/>
      <c r="U419" s="67"/>
      <c r="V419" s="67"/>
      <c r="W419" s="67"/>
      <c r="X419" s="67"/>
      <c r="Y419" s="67"/>
      <c r="Z419" s="67"/>
    </row>
    <row r="420">
      <c r="A420" s="67"/>
      <c r="B420" s="67"/>
      <c r="C420" s="67"/>
      <c r="D420" s="67"/>
      <c r="E420" s="67"/>
      <c r="F420" s="67"/>
      <c r="G420" s="67"/>
      <c r="H420" s="67"/>
      <c r="I420" s="67"/>
      <c r="J420" s="67"/>
      <c r="K420" s="67"/>
      <c r="L420" s="67"/>
      <c r="M420" s="67"/>
      <c r="N420" s="67"/>
      <c r="O420" s="67"/>
      <c r="P420" s="67"/>
      <c r="Q420" s="67"/>
      <c r="R420" s="67"/>
      <c r="S420" s="67"/>
      <c r="T420" s="67"/>
      <c r="U420" s="67"/>
      <c r="V420" s="67"/>
      <c r="W420" s="67"/>
      <c r="X420" s="67"/>
      <c r="Y420" s="67"/>
      <c r="Z420" s="67"/>
    </row>
    <row r="421">
      <c r="A421" s="67"/>
      <c r="B421" s="67"/>
      <c r="C421" s="67"/>
      <c r="D421" s="67"/>
      <c r="E421" s="67"/>
      <c r="F421" s="67"/>
      <c r="G421" s="67"/>
      <c r="H421" s="67"/>
      <c r="I421" s="67"/>
      <c r="J421" s="67"/>
      <c r="K421" s="67"/>
      <c r="L421" s="67"/>
      <c r="M421" s="67"/>
      <c r="N421" s="67"/>
      <c r="O421" s="67"/>
      <c r="P421" s="67"/>
      <c r="Q421" s="67"/>
      <c r="R421" s="67"/>
      <c r="S421" s="67"/>
      <c r="T421" s="67"/>
      <c r="U421" s="67"/>
      <c r="V421" s="67"/>
      <c r="W421" s="67"/>
      <c r="X421" s="67"/>
      <c r="Y421" s="67"/>
      <c r="Z421" s="67"/>
    </row>
    <row r="422">
      <c r="A422" s="67"/>
      <c r="B422" s="67"/>
      <c r="C422" s="67"/>
      <c r="D422" s="67"/>
      <c r="E422" s="67"/>
      <c r="F422" s="67"/>
      <c r="G422" s="67"/>
      <c r="H422" s="67"/>
      <c r="I422" s="67"/>
      <c r="J422" s="67"/>
      <c r="K422" s="67"/>
      <c r="L422" s="67"/>
      <c r="M422" s="67"/>
      <c r="N422" s="67"/>
      <c r="O422" s="67"/>
      <c r="P422" s="67"/>
      <c r="Q422" s="67"/>
      <c r="R422" s="67"/>
      <c r="S422" s="67"/>
      <c r="T422" s="67"/>
      <c r="U422" s="67"/>
      <c r="V422" s="67"/>
      <c r="W422" s="67"/>
      <c r="X422" s="67"/>
      <c r="Y422" s="67"/>
      <c r="Z422" s="67"/>
    </row>
    <row r="423">
      <c r="A423" s="67"/>
      <c r="B423" s="67"/>
      <c r="C423" s="67"/>
      <c r="D423" s="67"/>
      <c r="E423" s="67"/>
      <c r="F423" s="67"/>
      <c r="G423" s="67"/>
      <c r="H423" s="67"/>
      <c r="I423" s="67"/>
      <c r="J423" s="67"/>
      <c r="K423" s="67"/>
      <c r="L423" s="67"/>
      <c r="M423" s="67"/>
      <c r="N423" s="67"/>
      <c r="O423" s="67"/>
      <c r="P423" s="67"/>
      <c r="Q423" s="67"/>
      <c r="R423" s="67"/>
      <c r="S423" s="67"/>
      <c r="T423" s="67"/>
      <c r="U423" s="67"/>
      <c r="V423" s="67"/>
      <c r="W423" s="67"/>
      <c r="X423" s="67"/>
      <c r="Y423" s="67"/>
      <c r="Z423" s="67"/>
    </row>
    <row r="424">
      <c r="A424" s="67"/>
      <c r="B424" s="67"/>
      <c r="C424" s="67"/>
      <c r="D424" s="67"/>
      <c r="E424" s="67"/>
      <c r="F424" s="67"/>
      <c r="G424" s="67"/>
      <c r="H424" s="67"/>
      <c r="I424" s="67"/>
      <c r="J424" s="67"/>
      <c r="K424" s="67"/>
      <c r="L424" s="67"/>
      <c r="M424" s="67"/>
      <c r="N424" s="67"/>
      <c r="O424" s="67"/>
      <c r="P424" s="67"/>
      <c r="Q424" s="67"/>
      <c r="R424" s="67"/>
      <c r="S424" s="67"/>
      <c r="T424" s="67"/>
      <c r="U424" s="67"/>
      <c r="V424" s="67"/>
      <c r="W424" s="67"/>
      <c r="X424" s="67"/>
      <c r="Y424" s="67"/>
      <c r="Z424" s="67"/>
    </row>
    <row r="425">
      <c r="A425" s="67"/>
      <c r="B425" s="67"/>
      <c r="C425" s="67"/>
      <c r="D425" s="67"/>
      <c r="E425" s="67"/>
      <c r="F425" s="67"/>
      <c r="G425" s="67"/>
      <c r="H425" s="67"/>
      <c r="I425" s="67"/>
      <c r="J425" s="67"/>
      <c r="K425" s="67"/>
      <c r="L425" s="67"/>
      <c r="M425" s="67"/>
      <c r="N425" s="67"/>
      <c r="O425" s="67"/>
      <c r="P425" s="67"/>
      <c r="Q425" s="67"/>
      <c r="R425" s="67"/>
      <c r="S425" s="67"/>
      <c r="T425" s="67"/>
      <c r="U425" s="67"/>
      <c r="V425" s="67"/>
      <c r="W425" s="67"/>
      <c r="X425" s="67"/>
      <c r="Y425" s="67"/>
      <c r="Z425" s="67"/>
    </row>
    <row r="426">
      <c r="A426" s="67"/>
      <c r="B426" s="67"/>
      <c r="C426" s="67"/>
      <c r="D426" s="67"/>
      <c r="E426" s="67"/>
      <c r="F426" s="67"/>
      <c r="G426" s="67"/>
      <c r="H426" s="67"/>
      <c r="I426" s="67"/>
      <c r="J426" s="67"/>
      <c r="K426" s="67"/>
      <c r="L426" s="67"/>
      <c r="M426" s="67"/>
      <c r="N426" s="67"/>
      <c r="O426" s="67"/>
      <c r="P426" s="67"/>
      <c r="Q426" s="67"/>
      <c r="R426" s="67"/>
      <c r="S426" s="67"/>
      <c r="T426" s="67"/>
      <c r="U426" s="67"/>
      <c r="V426" s="67"/>
      <c r="W426" s="67"/>
      <c r="X426" s="67"/>
      <c r="Y426" s="67"/>
      <c r="Z426" s="67"/>
    </row>
    <row r="427">
      <c r="A427" s="67"/>
      <c r="B427" s="67"/>
      <c r="C427" s="67"/>
      <c r="D427" s="67"/>
      <c r="E427" s="67"/>
      <c r="F427" s="67"/>
      <c r="G427" s="67"/>
      <c r="H427" s="67"/>
      <c r="I427" s="67"/>
      <c r="J427" s="67"/>
      <c r="K427" s="67"/>
      <c r="L427" s="67"/>
      <c r="M427" s="67"/>
      <c r="N427" s="67"/>
      <c r="O427" s="67"/>
      <c r="P427" s="67"/>
      <c r="Q427" s="67"/>
      <c r="R427" s="67"/>
      <c r="S427" s="67"/>
      <c r="T427" s="67"/>
      <c r="U427" s="67"/>
      <c r="V427" s="67"/>
      <c r="W427" s="67"/>
      <c r="X427" s="67"/>
      <c r="Y427" s="67"/>
      <c r="Z427" s="67"/>
    </row>
    <row r="428">
      <c r="A428" s="67"/>
      <c r="B428" s="67"/>
      <c r="C428" s="67"/>
      <c r="D428" s="67"/>
      <c r="E428" s="67"/>
      <c r="F428" s="67"/>
      <c r="G428" s="67"/>
      <c r="H428" s="67"/>
      <c r="I428" s="67"/>
      <c r="J428" s="67"/>
      <c r="K428" s="67"/>
      <c r="L428" s="67"/>
      <c r="M428" s="67"/>
      <c r="N428" s="67"/>
      <c r="O428" s="67"/>
      <c r="P428" s="67"/>
      <c r="Q428" s="67"/>
      <c r="R428" s="67"/>
      <c r="S428" s="67"/>
      <c r="T428" s="67"/>
      <c r="U428" s="67"/>
      <c r="V428" s="67"/>
      <c r="W428" s="67"/>
      <c r="X428" s="67"/>
      <c r="Y428" s="67"/>
      <c r="Z428" s="67"/>
    </row>
    <row r="429">
      <c r="A429" s="67"/>
      <c r="B429" s="67"/>
      <c r="C429" s="67"/>
      <c r="D429" s="67"/>
      <c r="E429" s="67"/>
      <c r="F429" s="67"/>
      <c r="G429" s="67"/>
      <c r="H429" s="67"/>
      <c r="I429" s="67"/>
      <c r="J429" s="67"/>
      <c r="K429" s="67"/>
      <c r="L429" s="67"/>
      <c r="M429" s="67"/>
      <c r="N429" s="67"/>
      <c r="O429" s="67"/>
      <c r="P429" s="67"/>
      <c r="Q429" s="67"/>
      <c r="R429" s="67"/>
      <c r="S429" s="67"/>
      <c r="T429" s="67"/>
      <c r="U429" s="67"/>
      <c r="V429" s="67"/>
      <c r="W429" s="67"/>
      <c r="X429" s="67"/>
      <c r="Y429" s="67"/>
      <c r="Z429" s="67"/>
    </row>
    <row r="430">
      <c r="A430" s="67"/>
      <c r="B430" s="67"/>
      <c r="C430" s="67"/>
      <c r="D430" s="67"/>
      <c r="E430" s="67"/>
      <c r="F430" s="67"/>
      <c r="G430" s="67"/>
      <c r="H430" s="67"/>
      <c r="I430" s="67"/>
      <c r="J430" s="67"/>
      <c r="K430" s="67"/>
      <c r="L430" s="67"/>
      <c r="M430" s="67"/>
      <c r="N430" s="67"/>
      <c r="O430" s="67"/>
      <c r="P430" s="67"/>
      <c r="Q430" s="67"/>
      <c r="R430" s="67"/>
      <c r="S430" s="67"/>
      <c r="T430" s="67"/>
      <c r="U430" s="67"/>
      <c r="V430" s="67"/>
      <c r="W430" s="67"/>
      <c r="X430" s="67"/>
      <c r="Y430" s="67"/>
      <c r="Z430" s="67"/>
    </row>
    <row r="431">
      <c r="A431" s="67"/>
      <c r="B431" s="67"/>
      <c r="C431" s="67"/>
      <c r="D431" s="67"/>
      <c r="E431" s="67"/>
      <c r="F431" s="67"/>
      <c r="G431" s="67"/>
      <c r="H431" s="67"/>
      <c r="I431" s="67"/>
      <c r="J431" s="67"/>
      <c r="K431" s="67"/>
      <c r="L431" s="67"/>
      <c r="M431" s="67"/>
      <c r="N431" s="67"/>
      <c r="O431" s="67"/>
      <c r="P431" s="67"/>
      <c r="Q431" s="67"/>
      <c r="R431" s="67"/>
      <c r="S431" s="67"/>
      <c r="T431" s="67"/>
      <c r="U431" s="67"/>
      <c r="V431" s="67"/>
      <c r="W431" s="67"/>
      <c r="X431" s="67"/>
      <c r="Y431" s="67"/>
      <c r="Z431" s="67"/>
    </row>
    <row r="432">
      <c r="A432" s="67"/>
      <c r="B432" s="67"/>
      <c r="C432" s="67"/>
      <c r="D432" s="67"/>
      <c r="E432" s="67"/>
      <c r="F432" s="67"/>
      <c r="G432" s="67"/>
      <c r="H432" s="67"/>
      <c r="I432" s="67"/>
      <c r="J432" s="67"/>
      <c r="K432" s="67"/>
      <c r="L432" s="67"/>
      <c r="M432" s="67"/>
      <c r="N432" s="67"/>
      <c r="O432" s="67"/>
      <c r="P432" s="67"/>
      <c r="Q432" s="67"/>
      <c r="R432" s="67"/>
      <c r="S432" s="67"/>
      <c r="T432" s="67"/>
      <c r="U432" s="67"/>
      <c r="V432" s="67"/>
      <c r="W432" s="67"/>
      <c r="X432" s="67"/>
      <c r="Y432" s="67"/>
      <c r="Z432" s="67"/>
    </row>
    <row r="433">
      <c r="A433" s="67"/>
      <c r="B433" s="67"/>
      <c r="C433" s="67"/>
      <c r="D433" s="67"/>
      <c r="E433" s="67"/>
      <c r="F433" s="67"/>
      <c r="G433" s="67"/>
      <c r="H433" s="67"/>
      <c r="I433" s="67"/>
      <c r="J433" s="67"/>
      <c r="K433" s="67"/>
      <c r="L433" s="67"/>
      <c r="M433" s="67"/>
      <c r="N433" s="67"/>
      <c r="O433" s="67"/>
      <c r="P433" s="67"/>
      <c r="Q433" s="67"/>
      <c r="R433" s="67"/>
      <c r="S433" s="67"/>
      <c r="T433" s="67"/>
      <c r="U433" s="67"/>
      <c r="V433" s="67"/>
      <c r="W433" s="67"/>
      <c r="X433" s="67"/>
      <c r="Y433" s="67"/>
      <c r="Z433" s="67"/>
    </row>
    <row r="434">
      <c r="A434" s="67"/>
      <c r="B434" s="67"/>
      <c r="C434" s="67"/>
      <c r="D434" s="67"/>
      <c r="E434" s="67"/>
      <c r="F434" s="67"/>
      <c r="G434" s="67"/>
      <c r="H434" s="67"/>
      <c r="I434" s="67"/>
      <c r="J434" s="67"/>
      <c r="K434" s="67"/>
      <c r="L434" s="67"/>
      <c r="M434" s="67"/>
      <c r="N434" s="67"/>
      <c r="O434" s="67"/>
      <c r="P434" s="67"/>
      <c r="Q434" s="67"/>
      <c r="R434" s="67"/>
      <c r="S434" s="67"/>
      <c r="T434" s="67"/>
      <c r="U434" s="67"/>
      <c r="V434" s="67"/>
      <c r="W434" s="67"/>
      <c r="X434" s="67"/>
      <c r="Y434" s="67"/>
      <c r="Z434" s="67"/>
    </row>
    <row r="435">
      <c r="A435" s="67"/>
      <c r="B435" s="67"/>
      <c r="C435" s="67"/>
      <c r="D435" s="67"/>
      <c r="E435" s="67"/>
      <c r="F435" s="67"/>
      <c r="G435" s="67"/>
      <c r="H435" s="67"/>
      <c r="I435" s="67"/>
      <c r="J435" s="67"/>
      <c r="K435" s="67"/>
      <c r="L435" s="67"/>
      <c r="M435" s="67"/>
      <c r="N435" s="67"/>
      <c r="O435" s="67"/>
      <c r="P435" s="67"/>
      <c r="Q435" s="67"/>
      <c r="R435" s="67"/>
      <c r="S435" s="67"/>
      <c r="T435" s="67"/>
      <c r="U435" s="67"/>
      <c r="V435" s="67"/>
      <c r="W435" s="67"/>
      <c r="X435" s="67"/>
      <c r="Y435" s="67"/>
      <c r="Z435" s="67"/>
    </row>
    <row r="436">
      <c r="A436" s="67"/>
      <c r="B436" s="67"/>
      <c r="C436" s="67"/>
      <c r="D436" s="67"/>
      <c r="E436" s="67"/>
      <c r="F436" s="67"/>
      <c r="G436" s="67"/>
      <c r="H436" s="67"/>
      <c r="I436" s="67"/>
      <c r="J436" s="67"/>
      <c r="K436" s="67"/>
      <c r="L436" s="67"/>
      <c r="M436" s="67"/>
      <c r="N436" s="67"/>
      <c r="O436" s="67"/>
      <c r="P436" s="67"/>
      <c r="Q436" s="67"/>
      <c r="R436" s="67"/>
      <c r="S436" s="67"/>
      <c r="T436" s="67"/>
      <c r="U436" s="67"/>
      <c r="V436" s="67"/>
      <c r="W436" s="67"/>
      <c r="X436" s="67"/>
      <c r="Y436" s="67"/>
      <c r="Z436" s="67"/>
    </row>
    <row r="437">
      <c r="A437" s="67"/>
      <c r="B437" s="67"/>
      <c r="C437" s="67"/>
      <c r="D437" s="67"/>
      <c r="E437" s="67"/>
      <c r="F437" s="67"/>
      <c r="G437" s="67"/>
      <c r="H437" s="67"/>
      <c r="I437" s="67"/>
      <c r="J437" s="67"/>
      <c r="K437" s="67"/>
      <c r="L437" s="67"/>
      <c r="M437" s="67"/>
      <c r="N437" s="67"/>
      <c r="O437" s="67"/>
      <c r="P437" s="67"/>
      <c r="Q437" s="67"/>
      <c r="R437" s="67"/>
      <c r="S437" s="67"/>
      <c r="T437" s="67"/>
      <c r="U437" s="67"/>
      <c r="V437" s="67"/>
      <c r="W437" s="67"/>
      <c r="X437" s="67"/>
      <c r="Y437" s="67"/>
      <c r="Z437" s="67"/>
    </row>
    <row r="438">
      <c r="A438" s="67"/>
      <c r="B438" s="67"/>
      <c r="C438" s="67"/>
      <c r="D438" s="67"/>
      <c r="E438" s="67"/>
      <c r="F438" s="67"/>
      <c r="G438" s="67"/>
      <c r="H438" s="67"/>
      <c r="I438" s="67"/>
      <c r="J438" s="67"/>
      <c r="K438" s="67"/>
      <c r="L438" s="67"/>
      <c r="M438" s="67"/>
      <c r="N438" s="67"/>
      <c r="O438" s="67"/>
      <c r="P438" s="67"/>
      <c r="Q438" s="67"/>
      <c r="R438" s="67"/>
      <c r="S438" s="67"/>
      <c r="T438" s="67"/>
      <c r="U438" s="67"/>
      <c r="V438" s="67"/>
      <c r="W438" s="67"/>
      <c r="X438" s="67"/>
      <c r="Y438" s="67"/>
      <c r="Z438" s="67"/>
    </row>
    <row r="439">
      <c r="A439" s="67"/>
      <c r="B439" s="67"/>
      <c r="C439" s="67"/>
      <c r="D439" s="67"/>
      <c r="E439" s="67"/>
      <c r="F439" s="67"/>
      <c r="G439" s="67"/>
      <c r="H439" s="67"/>
      <c r="I439" s="67"/>
      <c r="J439" s="67"/>
      <c r="K439" s="67"/>
      <c r="L439" s="67"/>
      <c r="M439" s="67"/>
      <c r="N439" s="67"/>
      <c r="O439" s="67"/>
      <c r="P439" s="67"/>
      <c r="Q439" s="67"/>
      <c r="R439" s="67"/>
      <c r="S439" s="67"/>
      <c r="T439" s="67"/>
      <c r="U439" s="67"/>
      <c r="V439" s="67"/>
      <c r="W439" s="67"/>
      <c r="X439" s="67"/>
      <c r="Y439" s="67"/>
      <c r="Z439" s="67"/>
    </row>
    <row r="440">
      <c r="A440" s="67"/>
      <c r="B440" s="67"/>
      <c r="C440" s="67"/>
      <c r="D440" s="67"/>
      <c r="E440" s="67"/>
      <c r="F440" s="67"/>
      <c r="G440" s="67"/>
      <c r="H440" s="67"/>
      <c r="I440" s="67"/>
      <c r="J440" s="67"/>
      <c r="K440" s="67"/>
      <c r="L440" s="67"/>
      <c r="M440" s="67"/>
      <c r="N440" s="67"/>
      <c r="O440" s="67"/>
      <c r="P440" s="67"/>
      <c r="Q440" s="67"/>
      <c r="R440" s="67"/>
      <c r="S440" s="67"/>
      <c r="T440" s="67"/>
      <c r="U440" s="67"/>
      <c r="V440" s="67"/>
      <c r="W440" s="67"/>
      <c r="X440" s="67"/>
      <c r="Y440" s="67"/>
      <c r="Z440" s="67"/>
    </row>
    <row r="441">
      <c r="A441" s="67"/>
      <c r="B441" s="67"/>
      <c r="C441" s="67"/>
      <c r="D441" s="67"/>
      <c r="E441" s="67"/>
      <c r="F441" s="67"/>
      <c r="G441" s="67"/>
      <c r="H441" s="67"/>
      <c r="I441" s="67"/>
      <c r="J441" s="67"/>
      <c r="K441" s="67"/>
      <c r="L441" s="67"/>
      <c r="M441" s="67"/>
      <c r="N441" s="67"/>
      <c r="O441" s="67"/>
      <c r="P441" s="67"/>
      <c r="Q441" s="67"/>
      <c r="R441" s="67"/>
      <c r="S441" s="67"/>
      <c r="T441" s="67"/>
      <c r="U441" s="67"/>
      <c r="V441" s="67"/>
      <c r="W441" s="67"/>
      <c r="X441" s="67"/>
      <c r="Y441" s="67"/>
      <c r="Z441" s="67"/>
    </row>
    <row r="442">
      <c r="A442" s="67"/>
      <c r="B442" s="67"/>
      <c r="C442" s="67"/>
      <c r="D442" s="67"/>
      <c r="E442" s="67"/>
      <c r="F442" s="67"/>
      <c r="G442" s="67"/>
      <c r="H442" s="67"/>
      <c r="I442" s="67"/>
      <c r="J442" s="67"/>
      <c r="K442" s="67"/>
      <c r="L442" s="67"/>
      <c r="M442" s="67"/>
      <c r="N442" s="67"/>
      <c r="O442" s="67"/>
      <c r="P442" s="67"/>
      <c r="Q442" s="67"/>
      <c r="R442" s="67"/>
      <c r="S442" s="67"/>
      <c r="T442" s="67"/>
      <c r="U442" s="67"/>
      <c r="V442" s="67"/>
      <c r="W442" s="67"/>
      <c r="X442" s="67"/>
      <c r="Y442" s="67"/>
      <c r="Z442" s="67"/>
    </row>
    <row r="443">
      <c r="A443" s="67"/>
      <c r="B443" s="67"/>
      <c r="C443" s="67"/>
      <c r="D443" s="67"/>
      <c r="E443" s="67"/>
      <c r="F443" s="67"/>
      <c r="G443" s="67"/>
      <c r="H443" s="67"/>
      <c r="I443" s="67"/>
      <c r="J443" s="67"/>
      <c r="K443" s="67"/>
      <c r="L443" s="67"/>
      <c r="M443" s="67"/>
      <c r="N443" s="67"/>
      <c r="O443" s="67"/>
      <c r="P443" s="67"/>
      <c r="Q443" s="67"/>
      <c r="R443" s="67"/>
      <c r="S443" s="67"/>
      <c r="T443" s="67"/>
      <c r="U443" s="67"/>
      <c r="V443" s="67"/>
      <c r="W443" s="67"/>
      <c r="X443" s="67"/>
      <c r="Y443" s="67"/>
      <c r="Z443" s="67"/>
    </row>
    <row r="444">
      <c r="A444" s="67"/>
      <c r="B444" s="67"/>
      <c r="C444" s="67"/>
      <c r="D444" s="67"/>
      <c r="E444" s="67"/>
      <c r="F444" s="67"/>
      <c r="G444" s="67"/>
      <c r="H444" s="67"/>
      <c r="I444" s="67"/>
      <c r="J444" s="67"/>
      <c r="K444" s="67"/>
      <c r="L444" s="67"/>
      <c r="M444" s="67"/>
      <c r="N444" s="67"/>
      <c r="O444" s="67"/>
      <c r="P444" s="67"/>
      <c r="Q444" s="67"/>
      <c r="R444" s="67"/>
      <c r="S444" s="67"/>
      <c r="T444" s="67"/>
      <c r="U444" s="67"/>
      <c r="V444" s="67"/>
      <c r="W444" s="67"/>
      <c r="X444" s="67"/>
      <c r="Y444" s="67"/>
      <c r="Z444" s="67"/>
    </row>
    <row r="445">
      <c r="A445" s="67"/>
      <c r="B445" s="67"/>
      <c r="C445" s="67"/>
      <c r="D445" s="67"/>
      <c r="E445" s="67"/>
      <c r="F445" s="67"/>
      <c r="G445" s="67"/>
      <c r="H445" s="67"/>
      <c r="I445" s="67"/>
      <c r="J445" s="67"/>
      <c r="K445" s="67"/>
      <c r="L445" s="67"/>
      <c r="M445" s="67"/>
      <c r="N445" s="67"/>
      <c r="O445" s="67"/>
      <c r="P445" s="67"/>
      <c r="Q445" s="67"/>
      <c r="R445" s="67"/>
      <c r="S445" s="67"/>
      <c r="T445" s="67"/>
      <c r="U445" s="67"/>
      <c r="V445" s="67"/>
      <c r="W445" s="67"/>
      <c r="X445" s="67"/>
      <c r="Y445" s="67"/>
      <c r="Z445" s="67"/>
    </row>
    <row r="446">
      <c r="A446" s="67"/>
      <c r="B446" s="67"/>
      <c r="C446" s="67"/>
      <c r="D446" s="67"/>
      <c r="E446" s="67"/>
      <c r="F446" s="67"/>
      <c r="G446" s="67"/>
      <c r="H446" s="67"/>
      <c r="I446" s="67"/>
      <c r="J446" s="67"/>
      <c r="K446" s="67"/>
      <c r="L446" s="67"/>
      <c r="M446" s="67"/>
      <c r="N446" s="67"/>
      <c r="O446" s="67"/>
      <c r="P446" s="67"/>
      <c r="Q446" s="67"/>
      <c r="R446" s="67"/>
      <c r="S446" s="67"/>
      <c r="T446" s="67"/>
      <c r="U446" s="67"/>
      <c r="V446" s="67"/>
      <c r="W446" s="67"/>
      <c r="X446" s="67"/>
      <c r="Y446" s="67"/>
      <c r="Z446" s="67"/>
    </row>
    <row r="447">
      <c r="A447" s="67"/>
      <c r="B447" s="67"/>
      <c r="C447" s="67"/>
      <c r="D447" s="67"/>
      <c r="E447" s="67"/>
      <c r="F447" s="67"/>
      <c r="G447" s="67"/>
      <c r="H447" s="67"/>
      <c r="I447" s="67"/>
      <c r="J447" s="67"/>
      <c r="K447" s="67"/>
      <c r="L447" s="67"/>
      <c r="M447" s="67"/>
      <c r="N447" s="67"/>
      <c r="O447" s="67"/>
      <c r="P447" s="67"/>
      <c r="Q447" s="67"/>
      <c r="R447" s="67"/>
      <c r="S447" s="67"/>
      <c r="T447" s="67"/>
      <c r="U447" s="67"/>
      <c r="V447" s="67"/>
      <c r="W447" s="67"/>
      <c r="X447" s="67"/>
      <c r="Y447" s="67"/>
      <c r="Z447" s="67"/>
    </row>
    <row r="448">
      <c r="A448" s="67"/>
      <c r="B448" s="67"/>
      <c r="C448" s="67"/>
      <c r="D448" s="67"/>
      <c r="E448" s="67"/>
      <c r="F448" s="67"/>
      <c r="G448" s="67"/>
      <c r="H448" s="67"/>
      <c r="I448" s="67"/>
      <c r="J448" s="67"/>
      <c r="K448" s="67"/>
      <c r="L448" s="67"/>
      <c r="M448" s="67"/>
      <c r="N448" s="67"/>
      <c r="O448" s="67"/>
      <c r="P448" s="67"/>
      <c r="Q448" s="67"/>
      <c r="R448" s="67"/>
      <c r="S448" s="67"/>
      <c r="T448" s="67"/>
      <c r="U448" s="67"/>
      <c r="V448" s="67"/>
      <c r="W448" s="67"/>
      <c r="X448" s="67"/>
      <c r="Y448" s="67"/>
      <c r="Z448" s="67"/>
    </row>
    <row r="449">
      <c r="A449" s="67"/>
      <c r="B449" s="67"/>
      <c r="C449" s="67"/>
      <c r="D449" s="67"/>
      <c r="E449" s="67"/>
      <c r="F449" s="67"/>
      <c r="G449" s="67"/>
      <c r="H449" s="67"/>
      <c r="I449" s="67"/>
      <c r="J449" s="67"/>
      <c r="K449" s="67"/>
      <c r="L449" s="67"/>
      <c r="M449" s="67"/>
      <c r="N449" s="67"/>
      <c r="O449" s="67"/>
      <c r="P449" s="67"/>
      <c r="Q449" s="67"/>
      <c r="R449" s="67"/>
      <c r="S449" s="67"/>
      <c r="T449" s="67"/>
      <c r="U449" s="67"/>
      <c r="V449" s="67"/>
      <c r="W449" s="67"/>
      <c r="X449" s="67"/>
      <c r="Y449" s="67"/>
      <c r="Z449" s="67"/>
    </row>
    <row r="450">
      <c r="A450" s="67"/>
      <c r="B450" s="67"/>
      <c r="C450" s="67"/>
      <c r="D450" s="67"/>
      <c r="E450" s="67"/>
      <c r="F450" s="67"/>
      <c r="G450" s="67"/>
      <c r="H450" s="67"/>
      <c r="I450" s="67"/>
      <c r="J450" s="67"/>
      <c r="K450" s="67"/>
      <c r="L450" s="67"/>
      <c r="M450" s="67"/>
      <c r="N450" s="67"/>
      <c r="O450" s="67"/>
      <c r="P450" s="67"/>
      <c r="Q450" s="67"/>
      <c r="R450" s="67"/>
      <c r="S450" s="67"/>
      <c r="T450" s="67"/>
      <c r="U450" s="67"/>
      <c r="V450" s="67"/>
      <c r="W450" s="67"/>
      <c r="X450" s="67"/>
      <c r="Y450" s="67"/>
      <c r="Z450" s="67"/>
    </row>
    <row r="451">
      <c r="A451" s="67"/>
      <c r="B451" s="67"/>
      <c r="C451" s="67"/>
      <c r="D451" s="67"/>
      <c r="E451" s="67"/>
      <c r="F451" s="67"/>
      <c r="G451" s="67"/>
      <c r="H451" s="67"/>
      <c r="I451" s="67"/>
      <c r="J451" s="67"/>
      <c r="K451" s="67"/>
      <c r="L451" s="67"/>
      <c r="M451" s="67"/>
      <c r="N451" s="67"/>
      <c r="O451" s="67"/>
      <c r="P451" s="67"/>
      <c r="Q451" s="67"/>
      <c r="R451" s="67"/>
      <c r="S451" s="67"/>
      <c r="T451" s="67"/>
      <c r="U451" s="67"/>
      <c r="V451" s="67"/>
      <c r="W451" s="67"/>
      <c r="X451" s="67"/>
      <c r="Y451" s="67"/>
      <c r="Z451" s="67"/>
    </row>
    <row r="452">
      <c r="A452" s="67"/>
      <c r="B452" s="67"/>
      <c r="C452" s="67"/>
      <c r="D452" s="67"/>
      <c r="E452" s="67"/>
      <c r="F452" s="67"/>
      <c r="G452" s="67"/>
      <c r="H452" s="67"/>
      <c r="I452" s="67"/>
      <c r="J452" s="67"/>
      <c r="K452" s="67"/>
      <c r="L452" s="67"/>
      <c r="M452" s="67"/>
      <c r="N452" s="67"/>
      <c r="O452" s="67"/>
      <c r="P452" s="67"/>
      <c r="Q452" s="67"/>
      <c r="R452" s="67"/>
      <c r="S452" s="67"/>
      <c r="T452" s="67"/>
      <c r="U452" s="67"/>
      <c r="V452" s="67"/>
      <c r="W452" s="67"/>
      <c r="X452" s="67"/>
      <c r="Y452" s="67"/>
      <c r="Z452" s="67"/>
    </row>
    <row r="453">
      <c r="A453" s="67"/>
      <c r="B453" s="67"/>
      <c r="C453" s="67"/>
      <c r="D453" s="67"/>
      <c r="E453" s="67"/>
      <c r="F453" s="67"/>
      <c r="G453" s="67"/>
      <c r="H453" s="67"/>
      <c r="I453" s="67"/>
      <c r="J453" s="67"/>
      <c r="K453" s="67"/>
      <c r="L453" s="67"/>
      <c r="M453" s="67"/>
      <c r="N453" s="67"/>
      <c r="O453" s="67"/>
      <c r="P453" s="67"/>
      <c r="Q453" s="67"/>
      <c r="R453" s="67"/>
      <c r="S453" s="67"/>
      <c r="T453" s="67"/>
      <c r="U453" s="67"/>
      <c r="V453" s="67"/>
      <c r="W453" s="67"/>
      <c r="X453" s="67"/>
      <c r="Y453" s="67"/>
      <c r="Z453" s="67"/>
    </row>
    <row r="454">
      <c r="A454" s="67"/>
      <c r="B454" s="67"/>
      <c r="C454" s="67"/>
      <c r="D454" s="67"/>
      <c r="E454" s="67"/>
      <c r="F454" s="67"/>
      <c r="G454" s="67"/>
      <c r="H454" s="67"/>
      <c r="I454" s="67"/>
      <c r="J454" s="67"/>
      <c r="K454" s="67"/>
      <c r="L454" s="67"/>
      <c r="M454" s="67"/>
      <c r="N454" s="67"/>
      <c r="O454" s="67"/>
      <c r="P454" s="67"/>
      <c r="Q454" s="67"/>
      <c r="R454" s="67"/>
      <c r="S454" s="67"/>
      <c r="T454" s="67"/>
      <c r="U454" s="67"/>
      <c r="V454" s="67"/>
      <c r="W454" s="67"/>
      <c r="X454" s="67"/>
      <c r="Y454" s="67"/>
      <c r="Z454" s="67"/>
    </row>
    <row r="455">
      <c r="A455" s="67"/>
      <c r="B455" s="67"/>
      <c r="C455" s="67"/>
      <c r="D455" s="67"/>
      <c r="E455" s="67"/>
      <c r="F455" s="67"/>
      <c r="G455" s="67"/>
      <c r="H455" s="67"/>
      <c r="I455" s="67"/>
      <c r="J455" s="67"/>
      <c r="K455" s="67"/>
      <c r="L455" s="67"/>
      <c r="M455" s="67"/>
      <c r="N455" s="67"/>
      <c r="O455" s="67"/>
      <c r="P455" s="67"/>
      <c r="Q455" s="67"/>
      <c r="R455" s="67"/>
      <c r="S455" s="67"/>
      <c r="T455" s="67"/>
      <c r="U455" s="67"/>
      <c r="V455" s="67"/>
      <c r="W455" s="67"/>
      <c r="X455" s="67"/>
      <c r="Y455" s="67"/>
      <c r="Z455" s="67"/>
    </row>
    <row r="456">
      <c r="A456" s="67"/>
      <c r="B456" s="67"/>
      <c r="C456" s="67"/>
      <c r="D456" s="67"/>
      <c r="E456" s="67"/>
      <c r="F456" s="67"/>
      <c r="G456" s="67"/>
      <c r="H456" s="67"/>
      <c r="I456" s="67"/>
      <c r="J456" s="67"/>
      <c r="K456" s="67"/>
      <c r="L456" s="67"/>
      <c r="M456" s="67"/>
      <c r="N456" s="67"/>
      <c r="O456" s="67"/>
      <c r="P456" s="67"/>
      <c r="Q456" s="67"/>
      <c r="R456" s="67"/>
      <c r="S456" s="67"/>
      <c r="T456" s="67"/>
      <c r="U456" s="67"/>
      <c r="V456" s="67"/>
      <c r="W456" s="67"/>
      <c r="X456" s="67"/>
      <c r="Y456" s="67"/>
      <c r="Z456" s="67"/>
    </row>
    <row r="457">
      <c r="A457" s="67"/>
      <c r="B457" s="67"/>
      <c r="C457" s="67"/>
      <c r="D457" s="67"/>
      <c r="E457" s="67"/>
      <c r="F457" s="67"/>
      <c r="G457" s="67"/>
      <c r="H457" s="67"/>
      <c r="I457" s="67"/>
      <c r="J457" s="67"/>
      <c r="K457" s="67"/>
      <c r="L457" s="67"/>
      <c r="M457" s="67"/>
      <c r="N457" s="67"/>
      <c r="O457" s="67"/>
      <c r="P457" s="67"/>
      <c r="Q457" s="67"/>
      <c r="R457" s="67"/>
      <c r="S457" s="67"/>
      <c r="T457" s="67"/>
      <c r="U457" s="67"/>
      <c r="V457" s="67"/>
      <c r="W457" s="67"/>
      <c r="X457" s="67"/>
      <c r="Y457" s="67"/>
      <c r="Z457" s="67"/>
    </row>
    <row r="458">
      <c r="A458" s="67"/>
      <c r="B458" s="67"/>
      <c r="C458" s="67"/>
      <c r="D458" s="67"/>
      <c r="E458" s="67"/>
      <c r="F458" s="67"/>
      <c r="G458" s="67"/>
      <c r="H458" s="67"/>
      <c r="I458" s="67"/>
      <c r="J458" s="67"/>
      <c r="K458" s="67"/>
      <c r="L458" s="67"/>
      <c r="M458" s="67"/>
      <c r="N458" s="67"/>
      <c r="O458" s="67"/>
      <c r="P458" s="67"/>
      <c r="Q458" s="67"/>
      <c r="R458" s="67"/>
      <c r="S458" s="67"/>
      <c r="T458" s="67"/>
      <c r="U458" s="67"/>
      <c r="V458" s="67"/>
      <c r="W458" s="67"/>
      <c r="X458" s="67"/>
      <c r="Y458" s="67"/>
      <c r="Z458" s="67"/>
    </row>
    <row r="459">
      <c r="A459" s="67"/>
      <c r="B459" s="67"/>
      <c r="C459" s="67"/>
      <c r="D459" s="67"/>
      <c r="E459" s="67"/>
      <c r="F459" s="67"/>
      <c r="G459" s="67"/>
      <c r="H459" s="67"/>
      <c r="I459" s="67"/>
      <c r="J459" s="67"/>
      <c r="K459" s="67"/>
      <c r="L459" s="67"/>
      <c r="M459" s="67"/>
      <c r="N459" s="67"/>
      <c r="O459" s="67"/>
      <c r="P459" s="67"/>
      <c r="Q459" s="67"/>
      <c r="R459" s="67"/>
      <c r="S459" s="67"/>
      <c r="T459" s="67"/>
      <c r="U459" s="67"/>
      <c r="V459" s="67"/>
      <c r="W459" s="67"/>
      <c r="X459" s="67"/>
      <c r="Y459" s="67"/>
      <c r="Z459" s="67"/>
    </row>
    <row r="460">
      <c r="A460" s="67"/>
      <c r="B460" s="67"/>
      <c r="C460" s="67"/>
      <c r="D460" s="67"/>
      <c r="E460" s="67"/>
      <c r="F460" s="67"/>
      <c r="G460" s="67"/>
      <c r="H460" s="67"/>
      <c r="I460" s="67"/>
      <c r="J460" s="67"/>
      <c r="K460" s="67"/>
      <c r="L460" s="67"/>
      <c r="M460" s="67"/>
      <c r="N460" s="67"/>
      <c r="O460" s="67"/>
      <c r="P460" s="67"/>
      <c r="Q460" s="67"/>
      <c r="R460" s="67"/>
      <c r="S460" s="67"/>
      <c r="T460" s="67"/>
      <c r="U460" s="67"/>
      <c r="V460" s="67"/>
      <c r="W460" s="67"/>
      <c r="X460" s="67"/>
      <c r="Y460" s="67"/>
      <c r="Z460" s="67"/>
    </row>
    <row r="461">
      <c r="A461" s="67"/>
      <c r="B461" s="67"/>
      <c r="C461" s="67"/>
      <c r="D461" s="67"/>
      <c r="E461" s="67"/>
      <c r="F461" s="67"/>
      <c r="G461" s="67"/>
      <c r="H461" s="67"/>
      <c r="I461" s="67"/>
      <c r="J461" s="67"/>
      <c r="K461" s="67"/>
      <c r="L461" s="67"/>
      <c r="M461" s="67"/>
      <c r="N461" s="67"/>
      <c r="O461" s="67"/>
      <c r="P461" s="67"/>
      <c r="Q461" s="67"/>
      <c r="R461" s="67"/>
      <c r="S461" s="67"/>
      <c r="T461" s="67"/>
      <c r="U461" s="67"/>
      <c r="V461" s="67"/>
      <c r="W461" s="67"/>
      <c r="X461" s="67"/>
      <c r="Y461" s="67"/>
      <c r="Z461" s="67"/>
    </row>
    <row r="462">
      <c r="A462" s="67"/>
      <c r="B462" s="67"/>
      <c r="C462" s="67"/>
      <c r="D462" s="67"/>
      <c r="E462" s="67"/>
      <c r="F462" s="67"/>
      <c r="G462" s="67"/>
      <c r="H462" s="67"/>
      <c r="I462" s="67"/>
      <c r="J462" s="67"/>
      <c r="K462" s="67"/>
      <c r="L462" s="67"/>
      <c r="M462" s="67"/>
      <c r="N462" s="67"/>
      <c r="O462" s="67"/>
      <c r="P462" s="67"/>
      <c r="Q462" s="67"/>
      <c r="R462" s="67"/>
      <c r="S462" s="67"/>
      <c r="T462" s="67"/>
      <c r="U462" s="67"/>
      <c r="V462" s="67"/>
      <c r="W462" s="67"/>
      <c r="X462" s="67"/>
      <c r="Y462" s="67"/>
      <c r="Z462" s="67"/>
    </row>
    <row r="463">
      <c r="A463" s="67"/>
      <c r="B463" s="67"/>
      <c r="C463" s="67"/>
      <c r="D463" s="67"/>
      <c r="E463" s="67"/>
      <c r="F463" s="67"/>
      <c r="G463" s="67"/>
      <c r="H463" s="67"/>
      <c r="I463" s="67"/>
      <c r="J463" s="67"/>
      <c r="K463" s="67"/>
      <c r="L463" s="67"/>
      <c r="M463" s="67"/>
      <c r="N463" s="67"/>
      <c r="O463" s="67"/>
      <c r="P463" s="67"/>
      <c r="Q463" s="67"/>
      <c r="R463" s="67"/>
      <c r="S463" s="67"/>
      <c r="T463" s="67"/>
      <c r="U463" s="67"/>
      <c r="V463" s="67"/>
      <c r="W463" s="67"/>
      <c r="X463" s="67"/>
      <c r="Y463" s="67"/>
      <c r="Z463" s="67"/>
    </row>
    <row r="464">
      <c r="A464" s="67"/>
      <c r="B464" s="67"/>
      <c r="C464" s="67"/>
      <c r="D464" s="67"/>
      <c r="E464" s="67"/>
      <c r="F464" s="67"/>
      <c r="G464" s="67"/>
      <c r="H464" s="67"/>
      <c r="I464" s="67"/>
      <c r="J464" s="67"/>
      <c r="K464" s="67"/>
      <c r="L464" s="67"/>
      <c r="M464" s="67"/>
      <c r="N464" s="67"/>
      <c r="O464" s="67"/>
      <c r="P464" s="67"/>
      <c r="Q464" s="67"/>
      <c r="R464" s="67"/>
      <c r="S464" s="67"/>
      <c r="T464" s="67"/>
      <c r="U464" s="67"/>
      <c r="V464" s="67"/>
      <c r="W464" s="67"/>
      <c r="X464" s="67"/>
      <c r="Y464" s="67"/>
      <c r="Z464" s="67"/>
    </row>
    <row r="465">
      <c r="A465" s="67"/>
      <c r="B465" s="67"/>
      <c r="C465" s="67"/>
      <c r="D465" s="67"/>
      <c r="E465" s="67"/>
      <c r="F465" s="67"/>
      <c r="G465" s="67"/>
      <c r="H465" s="67"/>
      <c r="I465" s="67"/>
      <c r="J465" s="67"/>
      <c r="K465" s="67"/>
      <c r="L465" s="67"/>
      <c r="M465" s="67"/>
      <c r="N465" s="67"/>
      <c r="O465" s="67"/>
      <c r="P465" s="67"/>
      <c r="Q465" s="67"/>
      <c r="R465" s="67"/>
      <c r="S465" s="67"/>
      <c r="T465" s="67"/>
      <c r="U465" s="67"/>
      <c r="V465" s="67"/>
      <c r="W465" s="67"/>
      <c r="X465" s="67"/>
      <c r="Y465" s="67"/>
      <c r="Z465" s="67"/>
    </row>
    <row r="466">
      <c r="A466" s="67"/>
      <c r="B466" s="67"/>
      <c r="C466" s="67"/>
      <c r="D466" s="67"/>
      <c r="E466" s="67"/>
      <c r="F466" s="67"/>
      <c r="G466" s="67"/>
      <c r="H466" s="67"/>
      <c r="I466" s="67"/>
      <c r="J466" s="67"/>
      <c r="K466" s="67"/>
      <c r="L466" s="67"/>
      <c r="M466" s="67"/>
      <c r="N466" s="67"/>
      <c r="O466" s="67"/>
      <c r="P466" s="67"/>
      <c r="Q466" s="67"/>
      <c r="R466" s="67"/>
      <c r="S466" s="67"/>
      <c r="T466" s="67"/>
      <c r="U466" s="67"/>
      <c r="V466" s="67"/>
      <c r="W466" s="67"/>
      <c r="X466" s="67"/>
      <c r="Y466" s="67"/>
      <c r="Z466" s="67"/>
    </row>
    <row r="467">
      <c r="A467" s="67"/>
      <c r="B467" s="67"/>
      <c r="C467" s="67"/>
      <c r="D467" s="67"/>
      <c r="E467" s="67"/>
      <c r="F467" s="67"/>
      <c r="G467" s="67"/>
      <c r="H467" s="67"/>
      <c r="I467" s="67"/>
      <c r="J467" s="67"/>
      <c r="K467" s="67"/>
      <c r="L467" s="67"/>
      <c r="M467" s="67"/>
      <c r="N467" s="67"/>
      <c r="O467" s="67"/>
      <c r="P467" s="67"/>
      <c r="Q467" s="67"/>
      <c r="R467" s="67"/>
      <c r="S467" s="67"/>
      <c r="T467" s="67"/>
      <c r="U467" s="67"/>
      <c r="V467" s="67"/>
      <c r="W467" s="67"/>
      <c r="X467" s="67"/>
      <c r="Y467" s="67"/>
      <c r="Z467" s="67"/>
    </row>
    <row r="468">
      <c r="A468" s="67"/>
      <c r="B468" s="67"/>
      <c r="C468" s="67"/>
      <c r="D468" s="67"/>
      <c r="E468" s="67"/>
      <c r="F468" s="67"/>
      <c r="G468" s="67"/>
      <c r="H468" s="67"/>
      <c r="I468" s="67"/>
      <c r="J468" s="67"/>
      <c r="K468" s="67"/>
      <c r="L468" s="67"/>
      <c r="M468" s="67"/>
      <c r="N468" s="67"/>
      <c r="O468" s="67"/>
      <c r="P468" s="67"/>
      <c r="Q468" s="67"/>
      <c r="R468" s="67"/>
      <c r="S468" s="67"/>
      <c r="T468" s="67"/>
      <c r="U468" s="67"/>
      <c r="V468" s="67"/>
      <c r="W468" s="67"/>
      <c r="X468" s="67"/>
      <c r="Y468" s="67"/>
      <c r="Z468" s="67"/>
    </row>
    <row r="469">
      <c r="A469" s="67"/>
      <c r="B469" s="67"/>
      <c r="C469" s="67"/>
      <c r="D469" s="67"/>
      <c r="E469" s="67"/>
      <c r="F469" s="67"/>
      <c r="G469" s="67"/>
      <c r="H469" s="67"/>
      <c r="I469" s="67"/>
      <c r="J469" s="67"/>
      <c r="K469" s="67"/>
      <c r="L469" s="67"/>
      <c r="M469" s="67"/>
      <c r="N469" s="67"/>
      <c r="O469" s="67"/>
      <c r="P469" s="67"/>
      <c r="Q469" s="67"/>
      <c r="R469" s="67"/>
      <c r="S469" s="67"/>
      <c r="T469" s="67"/>
      <c r="U469" s="67"/>
      <c r="V469" s="67"/>
      <c r="W469" s="67"/>
      <c r="X469" s="67"/>
      <c r="Y469" s="67"/>
      <c r="Z469" s="67"/>
    </row>
    <row r="470">
      <c r="A470" s="67"/>
      <c r="B470" s="67"/>
      <c r="C470" s="67"/>
      <c r="D470" s="67"/>
      <c r="E470" s="67"/>
      <c r="F470" s="67"/>
      <c r="G470" s="67"/>
      <c r="H470" s="67"/>
      <c r="I470" s="67"/>
      <c r="J470" s="67"/>
      <c r="K470" s="67"/>
      <c r="L470" s="67"/>
      <c r="M470" s="67"/>
      <c r="N470" s="67"/>
      <c r="O470" s="67"/>
      <c r="P470" s="67"/>
      <c r="Q470" s="67"/>
      <c r="R470" s="67"/>
      <c r="S470" s="67"/>
      <c r="T470" s="67"/>
      <c r="U470" s="67"/>
      <c r="V470" s="67"/>
      <c r="W470" s="67"/>
      <c r="X470" s="67"/>
      <c r="Y470" s="67"/>
      <c r="Z470" s="67"/>
    </row>
    <row r="471">
      <c r="A471" s="67"/>
      <c r="B471" s="67"/>
      <c r="C471" s="67"/>
      <c r="D471" s="67"/>
      <c r="E471" s="67"/>
      <c r="F471" s="67"/>
      <c r="G471" s="67"/>
      <c r="H471" s="67"/>
      <c r="I471" s="67"/>
      <c r="J471" s="67"/>
      <c r="K471" s="67"/>
      <c r="L471" s="67"/>
      <c r="M471" s="67"/>
      <c r="N471" s="67"/>
      <c r="O471" s="67"/>
      <c r="P471" s="67"/>
      <c r="Q471" s="67"/>
      <c r="R471" s="67"/>
      <c r="S471" s="67"/>
      <c r="T471" s="67"/>
      <c r="U471" s="67"/>
      <c r="V471" s="67"/>
      <c r="W471" s="67"/>
      <c r="X471" s="67"/>
      <c r="Y471" s="67"/>
      <c r="Z471" s="67"/>
    </row>
    <row r="472">
      <c r="A472" s="67"/>
      <c r="B472" s="67"/>
      <c r="C472" s="67"/>
      <c r="D472" s="67"/>
      <c r="E472" s="67"/>
      <c r="F472" s="67"/>
      <c r="G472" s="67"/>
      <c r="H472" s="67"/>
      <c r="I472" s="67"/>
      <c r="J472" s="67"/>
      <c r="K472" s="67"/>
      <c r="L472" s="67"/>
      <c r="M472" s="67"/>
      <c r="N472" s="67"/>
      <c r="O472" s="67"/>
      <c r="P472" s="67"/>
      <c r="Q472" s="67"/>
      <c r="R472" s="67"/>
      <c r="S472" s="67"/>
      <c r="T472" s="67"/>
      <c r="U472" s="67"/>
      <c r="V472" s="67"/>
      <c r="W472" s="67"/>
      <c r="X472" s="67"/>
      <c r="Y472" s="67"/>
      <c r="Z472" s="67"/>
    </row>
    <row r="473">
      <c r="A473" s="67"/>
      <c r="B473" s="67"/>
      <c r="C473" s="67"/>
      <c r="D473" s="67"/>
      <c r="E473" s="67"/>
      <c r="F473" s="67"/>
      <c r="G473" s="67"/>
      <c r="H473" s="67"/>
      <c r="I473" s="67"/>
      <c r="J473" s="67"/>
      <c r="K473" s="67"/>
      <c r="L473" s="67"/>
      <c r="M473" s="67"/>
      <c r="N473" s="67"/>
      <c r="O473" s="67"/>
      <c r="P473" s="67"/>
      <c r="Q473" s="67"/>
      <c r="R473" s="67"/>
      <c r="S473" s="67"/>
      <c r="T473" s="67"/>
      <c r="U473" s="67"/>
      <c r="V473" s="67"/>
      <c r="W473" s="67"/>
      <c r="X473" s="67"/>
      <c r="Y473" s="67"/>
      <c r="Z473" s="67"/>
    </row>
    <row r="474">
      <c r="A474" s="67"/>
      <c r="B474" s="67"/>
      <c r="C474" s="67"/>
      <c r="D474" s="67"/>
      <c r="E474" s="67"/>
      <c r="F474" s="67"/>
      <c r="G474" s="67"/>
      <c r="H474" s="67"/>
      <c r="I474" s="67"/>
      <c r="J474" s="67"/>
      <c r="K474" s="67"/>
      <c r="L474" s="67"/>
      <c r="M474" s="67"/>
      <c r="N474" s="67"/>
      <c r="O474" s="67"/>
      <c r="P474" s="67"/>
      <c r="Q474" s="67"/>
      <c r="R474" s="67"/>
      <c r="S474" s="67"/>
      <c r="T474" s="67"/>
      <c r="U474" s="67"/>
      <c r="V474" s="67"/>
      <c r="W474" s="67"/>
      <c r="X474" s="67"/>
      <c r="Y474" s="67"/>
      <c r="Z474" s="67"/>
    </row>
    <row r="475">
      <c r="A475" s="67"/>
      <c r="B475" s="67"/>
      <c r="C475" s="67"/>
      <c r="D475" s="67"/>
      <c r="E475" s="67"/>
      <c r="F475" s="67"/>
      <c r="G475" s="67"/>
      <c r="H475" s="67"/>
      <c r="I475" s="67"/>
      <c r="J475" s="67"/>
      <c r="K475" s="67"/>
      <c r="L475" s="67"/>
      <c r="M475" s="67"/>
      <c r="N475" s="67"/>
      <c r="O475" s="67"/>
      <c r="P475" s="67"/>
      <c r="Q475" s="67"/>
      <c r="R475" s="67"/>
      <c r="S475" s="67"/>
      <c r="T475" s="67"/>
      <c r="U475" s="67"/>
      <c r="V475" s="67"/>
      <c r="W475" s="67"/>
      <c r="X475" s="67"/>
      <c r="Y475" s="67"/>
      <c r="Z475" s="67"/>
    </row>
    <row r="476">
      <c r="A476" s="67"/>
      <c r="B476" s="67"/>
      <c r="C476" s="67"/>
      <c r="D476" s="67"/>
      <c r="E476" s="67"/>
      <c r="F476" s="67"/>
      <c r="G476" s="67"/>
      <c r="H476" s="67"/>
      <c r="I476" s="67"/>
      <c r="J476" s="67"/>
      <c r="K476" s="67"/>
      <c r="L476" s="67"/>
      <c r="M476" s="67"/>
      <c r="N476" s="67"/>
      <c r="O476" s="67"/>
      <c r="P476" s="67"/>
      <c r="Q476" s="67"/>
      <c r="R476" s="67"/>
      <c r="S476" s="67"/>
      <c r="T476" s="67"/>
      <c r="U476" s="67"/>
      <c r="V476" s="67"/>
      <c r="W476" s="67"/>
      <c r="X476" s="67"/>
      <c r="Y476" s="67"/>
      <c r="Z476" s="67"/>
    </row>
    <row r="477">
      <c r="A477" s="67"/>
      <c r="B477" s="67"/>
      <c r="C477" s="67"/>
      <c r="D477" s="67"/>
      <c r="E477" s="67"/>
      <c r="F477" s="67"/>
      <c r="G477" s="67"/>
      <c r="H477" s="67"/>
      <c r="I477" s="67"/>
      <c r="J477" s="67"/>
      <c r="K477" s="67"/>
      <c r="L477" s="67"/>
      <c r="M477" s="67"/>
      <c r="N477" s="67"/>
      <c r="O477" s="67"/>
      <c r="P477" s="67"/>
      <c r="Q477" s="67"/>
      <c r="R477" s="67"/>
      <c r="S477" s="67"/>
      <c r="T477" s="67"/>
      <c r="U477" s="67"/>
      <c r="V477" s="67"/>
      <c r="W477" s="67"/>
      <c r="X477" s="67"/>
      <c r="Y477" s="67"/>
      <c r="Z477" s="67"/>
    </row>
    <row r="478">
      <c r="A478" s="67"/>
      <c r="B478" s="67"/>
      <c r="C478" s="67"/>
      <c r="D478" s="67"/>
      <c r="E478" s="67"/>
      <c r="F478" s="67"/>
      <c r="G478" s="67"/>
      <c r="H478" s="67"/>
      <c r="I478" s="67"/>
      <c r="J478" s="67"/>
      <c r="K478" s="67"/>
      <c r="L478" s="67"/>
      <c r="M478" s="67"/>
      <c r="N478" s="67"/>
      <c r="O478" s="67"/>
      <c r="P478" s="67"/>
      <c r="Q478" s="67"/>
      <c r="R478" s="67"/>
      <c r="S478" s="67"/>
      <c r="T478" s="67"/>
      <c r="U478" s="67"/>
      <c r="V478" s="67"/>
      <c r="W478" s="67"/>
      <c r="X478" s="67"/>
      <c r="Y478" s="67"/>
      <c r="Z478" s="67"/>
    </row>
    <row r="479">
      <c r="A479" s="67"/>
      <c r="B479" s="67"/>
      <c r="C479" s="67"/>
      <c r="D479" s="67"/>
      <c r="E479" s="67"/>
      <c r="F479" s="67"/>
      <c r="G479" s="67"/>
      <c r="H479" s="67"/>
      <c r="I479" s="67"/>
      <c r="J479" s="67"/>
      <c r="K479" s="67"/>
      <c r="L479" s="67"/>
      <c r="M479" s="67"/>
      <c r="N479" s="67"/>
      <c r="O479" s="67"/>
      <c r="P479" s="67"/>
      <c r="Q479" s="67"/>
      <c r="R479" s="67"/>
      <c r="S479" s="67"/>
      <c r="T479" s="67"/>
      <c r="U479" s="67"/>
      <c r="V479" s="67"/>
      <c r="W479" s="67"/>
      <c r="X479" s="67"/>
      <c r="Y479" s="67"/>
      <c r="Z479" s="67"/>
    </row>
    <row r="480">
      <c r="A480" s="67"/>
      <c r="B480" s="67"/>
      <c r="C480" s="67"/>
      <c r="D480" s="67"/>
      <c r="E480" s="67"/>
      <c r="F480" s="67"/>
      <c r="G480" s="67"/>
      <c r="H480" s="67"/>
      <c r="I480" s="67"/>
      <c r="J480" s="67"/>
      <c r="K480" s="67"/>
      <c r="L480" s="67"/>
      <c r="M480" s="67"/>
      <c r="N480" s="67"/>
      <c r="O480" s="67"/>
      <c r="P480" s="67"/>
      <c r="Q480" s="67"/>
      <c r="R480" s="67"/>
      <c r="S480" s="67"/>
      <c r="T480" s="67"/>
      <c r="U480" s="67"/>
      <c r="V480" s="67"/>
      <c r="W480" s="67"/>
      <c r="X480" s="67"/>
      <c r="Y480" s="67"/>
      <c r="Z480" s="67"/>
    </row>
    <row r="481">
      <c r="A481" s="67"/>
      <c r="B481" s="67"/>
      <c r="C481" s="67"/>
      <c r="D481" s="67"/>
      <c r="E481" s="67"/>
      <c r="F481" s="67"/>
      <c r="G481" s="67"/>
      <c r="H481" s="67"/>
      <c r="I481" s="67"/>
      <c r="J481" s="67"/>
      <c r="K481" s="67"/>
      <c r="L481" s="67"/>
      <c r="M481" s="67"/>
      <c r="N481" s="67"/>
      <c r="O481" s="67"/>
      <c r="P481" s="67"/>
      <c r="Q481" s="67"/>
      <c r="R481" s="67"/>
      <c r="S481" s="67"/>
      <c r="T481" s="67"/>
      <c r="U481" s="67"/>
      <c r="V481" s="67"/>
      <c r="W481" s="67"/>
      <c r="X481" s="67"/>
      <c r="Y481" s="67"/>
      <c r="Z481" s="67"/>
    </row>
    <row r="482">
      <c r="A482" s="67"/>
      <c r="B482" s="67"/>
      <c r="C482" s="67"/>
      <c r="D482" s="67"/>
      <c r="E482" s="67"/>
      <c r="F482" s="67"/>
      <c r="G482" s="67"/>
      <c r="H482" s="67"/>
      <c r="I482" s="67"/>
      <c r="J482" s="67"/>
      <c r="K482" s="67"/>
      <c r="L482" s="67"/>
      <c r="M482" s="67"/>
      <c r="N482" s="67"/>
      <c r="O482" s="67"/>
      <c r="P482" s="67"/>
      <c r="Q482" s="67"/>
      <c r="R482" s="67"/>
      <c r="S482" s="67"/>
      <c r="T482" s="67"/>
      <c r="U482" s="67"/>
      <c r="V482" s="67"/>
      <c r="W482" s="67"/>
      <c r="X482" s="67"/>
      <c r="Y482" s="67"/>
      <c r="Z482" s="67"/>
    </row>
    <row r="483">
      <c r="A483" s="67"/>
      <c r="B483" s="67"/>
      <c r="C483" s="67"/>
      <c r="D483" s="67"/>
      <c r="E483" s="67"/>
      <c r="F483" s="67"/>
      <c r="G483" s="67"/>
      <c r="H483" s="67"/>
      <c r="I483" s="67"/>
      <c r="J483" s="67"/>
      <c r="K483" s="67"/>
      <c r="L483" s="67"/>
      <c r="M483" s="67"/>
      <c r="N483" s="67"/>
      <c r="O483" s="67"/>
      <c r="P483" s="67"/>
      <c r="Q483" s="67"/>
      <c r="R483" s="67"/>
      <c r="S483" s="67"/>
      <c r="T483" s="67"/>
      <c r="U483" s="67"/>
      <c r="V483" s="67"/>
      <c r="W483" s="67"/>
      <c r="X483" s="67"/>
      <c r="Y483" s="67"/>
      <c r="Z483" s="67"/>
    </row>
    <row r="484">
      <c r="A484" s="67"/>
      <c r="B484" s="67"/>
      <c r="C484" s="67"/>
      <c r="D484" s="67"/>
      <c r="E484" s="67"/>
      <c r="F484" s="67"/>
      <c r="G484" s="67"/>
      <c r="H484" s="67"/>
      <c r="I484" s="67"/>
      <c r="J484" s="67"/>
      <c r="K484" s="67"/>
      <c r="L484" s="67"/>
      <c r="M484" s="67"/>
      <c r="N484" s="67"/>
      <c r="O484" s="67"/>
      <c r="P484" s="67"/>
      <c r="Q484" s="67"/>
      <c r="R484" s="67"/>
      <c r="S484" s="67"/>
      <c r="T484" s="67"/>
      <c r="U484" s="67"/>
      <c r="V484" s="67"/>
      <c r="W484" s="67"/>
      <c r="X484" s="67"/>
      <c r="Y484" s="67"/>
      <c r="Z484" s="67"/>
    </row>
    <row r="485">
      <c r="A485" s="67"/>
      <c r="B485" s="67"/>
      <c r="C485" s="67"/>
      <c r="D485" s="67"/>
      <c r="E485" s="67"/>
      <c r="F485" s="67"/>
      <c r="G485" s="67"/>
      <c r="H485" s="67"/>
      <c r="I485" s="67"/>
      <c r="J485" s="67"/>
      <c r="K485" s="67"/>
      <c r="L485" s="67"/>
      <c r="M485" s="67"/>
      <c r="N485" s="67"/>
      <c r="O485" s="67"/>
      <c r="P485" s="67"/>
      <c r="Q485" s="67"/>
      <c r="R485" s="67"/>
      <c r="S485" s="67"/>
      <c r="T485" s="67"/>
      <c r="U485" s="67"/>
      <c r="V485" s="67"/>
      <c r="W485" s="67"/>
      <c r="X485" s="67"/>
      <c r="Y485" s="67"/>
      <c r="Z485" s="67"/>
    </row>
    <row r="486">
      <c r="A486" s="67"/>
      <c r="B486" s="67"/>
      <c r="C486" s="67"/>
      <c r="D486" s="67"/>
      <c r="E486" s="67"/>
      <c r="F486" s="67"/>
      <c r="G486" s="67"/>
      <c r="H486" s="67"/>
      <c r="I486" s="67"/>
      <c r="J486" s="67"/>
      <c r="K486" s="67"/>
      <c r="L486" s="67"/>
      <c r="M486" s="67"/>
      <c r="N486" s="67"/>
      <c r="O486" s="67"/>
      <c r="P486" s="67"/>
      <c r="Q486" s="67"/>
      <c r="R486" s="67"/>
      <c r="S486" s="67"/>
      <c r="T486" s="67"/>
      <c r="U486" s="67"/>
      <c r="V486" s="67"/>
      <c r="W486" s="67"/>
      <c r="X486" s="67"/>
      <c r="Y486" s="67"/>
      <c r="Z486" s="67"/>
    </row>
    <row r="487">
      <c r="A487" s="67"/>
      <c r="B487" s="67"/>
      <c r="C487" s="67"/>
      <c r="D487" s="67"/>
      <c r="E487" s="67"/>
      <c r="F487" s="67"/>
      <c r="G487" s="67"/>
      <c r="H487" s="67"/>
      <c r="I487" s="67"/>
      <c r="J487" s="67"/>
      <c r="K487" s="67"/>
      <c r="L487" s="67"/>
      <c r="M487" s="67"/>
      <c r="N487" s="67"/>
      <c r="O487" s="67"/>
      <c r="P487" s="67"/>
      <c r="Q487" s="67"/>
      <c r="R487" s="67"/>
      <c r="S487" s="67"/>
      <c r="T487" s="67"/>
      <c r="U487" s="67"/>
      <c r="V487" s="67"/>
      <c r="W487" s="67"/>
      <c r="X487" s="67"/>
      <c r="Y487" s="67"/>
      <c r="Z487" s="67"/>
    </row>
    <row r="488">
      <c r="A488" s="67"/>
      <c r="B488" s="67"/>
      <c r="C488" s="67"/>
      <c r="D488" s="67"/>
      <c r="E488" s="67"/>
      <c r="F488" s="67"/>
      <c r="G488" s="67"/>
      <c r="H488" s="67"/>
      <c r="I488" s="67"/>
      <c r="J488" s="67"/>
      <c r="K488" s="67"/>
      <c r="L488" s="67"/>
      <c r="M488" s="67"/>
      <c r="N488" s="67"/>
      <c r="O488" s="67"/>
      <c r="P488" s="67"/>
      <c r="Q488" s="67"/>
      <c r="R488" s="67"/>
      <c r="S488" s="67"/>
      <c r="T488" s="67"/>
      <c r="U488" s="67"/>
      <c r="V488" s="67"/>
      <c r="W488" s="67"/>
      <c r="X488" s="67"/>
      <c r="Y488" s="67"/>
      <c r="Z488" s="67"/>
    </row>
    <row r="489">
      <c r="A489" s="67"/>
      <c r="B489" s="67"/>
      <c r="C489" s="67"/>
      <c r="D489" s="67"/>
      <c r="E489" s="67"/>
      <c r="F489" s="67"/>
      <c r="G489" s="67"/>
      <c r="H489" s="67"/>
      <c r="I489" s="67"/>
      <c r="J489" s="67"/>
      <c r="K489" s="67"/>
      <c r="L489" s="67"/>
      <c r="M489" s="67"/>
      <c r="N489" s="67"/>
      <c r="O489" s="67"/>
      <c r="P489" s="67"/>
      <c r="Q489" s="67"/>
      <c r="R489" s="67"/>
      <c r="S489" s="67"/>
      <c r="T489" s="67"/>
      <c r="U489" s="67"/>
      <c r="V489" s="67"/>
      <c r="W489" s="67"/>
      <c r="X489" s="67"/>
      <c r="Y489" s="67"/>
      <c r="Z489" s="67"/>
    </row>
    <row r="490">
      <c r="A490" s="67"/>
      <c r="B490" s="67"/>
      <c r="C490" s="67"/>
      <c r="D490" s="67"/>
      <c r="E490" s="67"/>
      <c r="F490" s="67"/>
      <c r="G490" s="67"/>
      <c r="H490" s="67"/>
      <c r="I490" s="67"/>
      <c r="J490" s="67"/>
      <c r="K490" s="67"/>
      <c r="L490" s="67"/>
      <c r="M490" s="67"/>
      <c r="N490" s="67"/>
      <c r="O490" s="67"/>
      <c r="P490" s="67"/>
      <c r="Q490" s="67"/>
      <c r="R490" s="67"/>
      <c r="S490" s="67"/>
      <c r="T490" s="67"/>
      <c r="U490" s="67"/>
      <c r="V490" s="67"/>
      <c r="W490" s="67"/>
      <c r="X490" s="67"/>
      <c r="Y490" s="67"/>
      <c r="Z490" s="67"/>
    </row>
    <row r="491">
      <c r="A491" s="67"/>
      <c r="B491" s="67"/>
      <c r="C491" s="67"/>
      <c r="D491" s="67"/>
      <c r="E491" s="67"/>
      <c r="F491" s="67"/>
      <c r="G491" s="67"/>
      <c r="H491" s="67"/>
      <c r="I491" s="67"/>
      <c r="J491" s="67"/>
      <c r="K491" s="67"/>
      <c r="L491" s="67"/>
      <c r="M491" s="67"/>
      <c r="N491" s="67"/>
      <c r="O491" s="67"/>
      <c r="P491" s="67"/>
      <c r="Q491" s="67"/>
      <c r="R491" s="67"/>
      <c r="S491" s="67"/>
      <c r="T491" s="67"/>
      <c r="U491" s="67"/>
      <c r="V491" s="67"/>
      <c r="W491" s="67"/>
      <c r="X491" s="67"/>
      <c r="Y491" s="67"/>
      <c r="Z491" s="67"/>
    </row>
    <row r="492">
      <c r="A492" s="67"/>
      <c r="B492" s="67"/>
      <c r="C492" s="67"/>
      <c r="D492" s="67"/>
      <c r="E492" s="67"/>
      <c r="F492" s="67"/>
      <c r="G492" s="67"/>
      <c r="H492" s="67"/>
      <c r="I492" s="67"/>
      <c r="J492" s="67"/>
      <c r="K492" s="67"/>
      <c r="L492" s="67"/>
      <c r="M492" s="67"/>
      <c r="N492" s="67"/>
      <c r="O492" s="67"/>
      <c r="P492" s="67"/>
      <c r="Q492" s="67"/>
      <c r="R492" s="67"/>
      <c r="S492" s="67"/>
      <c r="T492" s="67"/>
      <c r="U492" s="67"/>
      <c r="V492" s="67"/>
      <c r="W492" s="67"/>
      <c r="X492" s="67"/>
      <c r="Y492" s="67"/>
      <c r="Z492" s="67"/>
    </row>
    <row r="493">
      <c r="A493" s="67"/>
      <c r="B493" s="67"/>
      <c r="C493" s="67"/>
      <c r="D493" s="67"/>
      <c r="E493" s="67"/>
      <c r="F493" s="67"/>
      <c r="G493" s="67"/>
      <c r="H493" s="67"/>
      <c r="I493" s="67"/>
      <c r="J493" s="67"/>
      <c r="K493" s="67"/>
      <c r="L493" s="67"/>
      <c r="M493" s="67"/>
      <c r="N493" s="67"/>
      <c r="O493" s="67"/>
      <c r="P493" s="67"/>
      <c r="Q493" s="67"/>
      <c r="R493" s="67"/>
      <c r="S493" s="67"/>
      <c r="T493" s="67"/>
      <c r="U493" s="67"/>
      <c r="V493" s="67"/>
      <c r="W493" s="67"/>
      <c r="X493" s="67"/>
      <c r="Y493" s="67"/>
      <c r="Z493" s="67"/>
    </row>
    <row r="494">
      <c r="A494" s="67"/>
      <c r="B494" s="67"/>
      <c r="C494" s="67"/>
      <c r="D494" s="67"/>
      <c r="E494" s="67"/>
      <c r="F494" s="67"/>
      <c r="G494" s="67"/>
      <c r="H494" s="67"/>
      <c r="I494" s="67"/>
      <c r="J494" s="67"/>
      <c r="K494" s="67"/>
      <c r="L494" s="67"/>
      <c r="M494" s="67"/>
      <c r="N494" s="67"/>
      <c r="O494" s="67"/>
      <c r="P494" s="67"/>
      <c r="Q494" s="67"/>
      <c r="R494" s="67"/>
      <c r="S494" s="67"/>
      <c r="T494" s="67"/>
      <c r="U494" s="67"/>
      <c r="V494" s="67"/>
      <c r="W494" s="67"/>
      <c r="X494" s="67"/>
      <c r="Y494" s="67"/>
      <c r="Z494" s="67"/>
    </row>
    <row r="495">
      <c r="A495" s="67"/>
      <c r="B495" s="67"/>
      <c r="C495" s="67"/>
      <c r="D495" s="67"/>
      <c r="E495" s="67"/>
      <c r="F495" s="67"/>
      <c r="G495" s="67"/>
      <c r="H495" s="67"/>
      <c r="I495" s="67"/>
      <c r="J495" s="67"/>
      <c r="K495" s="67"/>
      <c r="L495" s="67"/>
      <c r="M495" s="67"/>
      <c r="N495" s="67"/>
      <c r="O495" s="67"/>
      <c r="P495" s="67"/>
      <c r="Q495" s="67"/>
      <c r="R495" s="67"/>
      <c r="S495" s="67"/>
      <c r="T495" s="67"/>
      <c r="U495" s="67"/>
      <c r="V495" s="67"/>
      <c r="W495" s="67"/>
      <c r="X495" s="67"/>
      <c r="Y495" s="67"/>
      <c r="Z495" s="67"/>
    </row>
    <row r="496">
      <c r="A496" s="67"/>
      <c r="B496" s="67"/>
      <c r="C496" s="67"/>
      <c r="D496" s="67"/>
      <c r="E496" s="67"/>
      <c r="F496" s="67"/>
      <c r="G496" s="67"/>
      <c r="H496" s="67"/>
      <c r="I496" s="67"/>
      <c r="J496" s="67"/>
      <c r="K496" s="67"/>
      <c r="L496" s="67"/>
      <c r="M496" s="67"/>
      <c r="N496" s="67"/>
      <c r="O496" s="67"/>
      <c r="P496" s="67"/>
      <c r="Q496" s="67"/>
      <c r="R496" s="67"/>
      <c r="S496" s="67"/>
      <c r="T496" s="67"/>
      <c r="U496" s="67"/>
      <c r="V496" s="67"/>
      <c r="W496" s="67"/>
      <c r="X496" s="67"/>
      <c r="Y496" s="67"/>
      <c r="Z496" s="67"/>
    </row>
    <row r="497">
      <c r="A497" s="67"/>
      <c r="B497" s="67"/>
      <c r="C497" s="67"/>
      <c r="D497" s="67"/>
      <c r="E497" s="67"/>
      <c r="F497" s="67"/>
      <c r="G497" s="67"/>
      <c r="H497" s="67"/>
      <c r="I497" s="67"/>
      <c r="J497" s="67"/>
      <c r="K497" s="67"/>
      <c r="L497" s="67"/>
      <c r="M497" s="67"/>
      <c r="N497" s="67"/>
      <c r="O497" s="67"/>
      <c r="P497" s="67"/>
      <c r="Q497" s="67"/>
      <c r="R497" s="67"/>
      <c r="S497" s="67"/>
      <c r="T497" s="67"/>
      <c r="U497" s="67"/>
      <c r="V497" s="67"/>
      <c r="W497" s="67"/>
      <c r="X497" s="67"/>
      <c r="Y497" s="67"/>
      <c r="Z497" s="67"/>
    </row>
    <row r="498">
      <c r="A498" s="67"/>
      <c r="B498" s="67"/>
      <c r="C498" s="67"/>
      <c r="D498" s="67"/>
      <c r="E498" s="67"/>
      <c r="F498" s="67"/>
      <c r="G498" s="67"/>
      <c r="H498" s="67"/>
      <c r="I498" s="67"/>
      <c r="J498" s="67"/>
      <c r="K498" s="67"/>
      <c r="L498" s="67"/>
      <c r="M498" s="67"/>
      <c r="N498" s="67"/>
      <c r="O498" s="67"/>
      <c r="P498" s="67"/>
      <c r="Q498" s="67"/>
      <c r="R498" s="67"/>
      <c r="S498" s="67"/>
      <c r="T498" s="67"/>
      <c r="U498" s="67"/>
      <c r="V498" s="67"/>
      <c r="W498" s="67"/>
      <c r="X498" s="67"/>
      <c r="Y498" s="67"/>
      <c r="Z498" s="67"/>
    </row>
    <row r="499">
      <c r="A499" s="67"/>
      <c r="B499" s="67"/>
      <c r="C499" s="67"/>
      <c r="D499" s="67"/>
      <c r="E499" s="67"/>
      <c r="F499" s="67"/>
      <c r="G499" s="67"/>
      <c r="H499" s="67"/>
      <c r="I499" s="67"/>
      <c r="J499" s="67"/>
      <c r="K499" s="67"/>
      <c r="L499" s="67"/>
      <c r="M499" s="67"/>
      <c r="N499" s="67"/>
      <c r="O499" s="67"/>
      <c r="P499" s="67"/>
      <c r="Q499" s="67"/>
      <c r="R499" s="67"/>
      <c r="S499" s="67"/>
      <c r="T499" s="67"/>
      <c r="U499" s="67"/>
      <c r="V499" s="67"/>
      <c r="W499" s="67"/>
      <c r="X499" s="67"/>
      <c r="Y499" s="67"/>
      <c r="Z499" s="67"/>
    </row>
    <row r="500">
      <c r="A500" s="67"/>
      <c r="B500" s="67"/>
      <c r="C500" s="67"/>
      <c r="D500" s="67"/>
      <c r="E500" s="67"/>
      <c r="F500" s="67"/>
      <c r="G500" s="67"/>
      <c r="H500" s="67"/>
      <c r="I500" s="67"/>
      <c r="J500" s="67"/>
      <c r="K500" s="67"/>
      <c r="L500" s="67"/>
      <c r="M500" s="67"/>
      <c r="N500" s="67"/>
      <c r="O500" s="67"/>
      <c r="P500" s="67"/>
      <c r="Q500" s="67"/>
      <c r="R500" s="67"/>
      <c r="S500" s="67"/>
      <c r="T500" s="67"/>
      <c r="U500" s="67"/>
      <c r="V500" s="67"/>
      <c r="W500" s="67"/>
      <c r="X500" s="67"/>
      <c r="Y500" s="67"/>
      <c r="Z500" s="67"/>
    </row>
    <row r="501">
      <c r="A501" s="67"/>
      <c r="B501" s="67"/>
      <c r="C501" s="67"/>
      <c r="D501" s="67"/>
      <c r="E501" s="67"/>
      <c r="F501" s="67"/>
      <c r="G501" s="67"/>
      <c r="H501" s="67"/>
      <c r="I501" s="67"/>
      <c r="J501" s="67"/>
      <c r="K501" s="67"/>
      <c r="L501" s="67"/>
      <c r="M501" s="67"/>
      <c r="N501" s="67"/>
      <c r="O501" s="67"/>
      <c r="P501" s="67"/>
      <c r="Q501" s="67"/>
      <c r="R501" s="67"/>
      <c r="S501" s="67"/>
      <c r="T501" s="67"/>
      <c r="U501" s="67"/>
      <c r="V501" s="67"/>
      <c r="W501" s="67"/>
      <c r="X501" s="67"/>
      <c r="Y501" s="67"/>
      <c r="Z501" s="67"/>
    </row>
    <row r="502">
      <c r="A502" s="67"/>
      <c r="B502" s="67"/>
      <c r="C502" s="67"/>
      <c r="D502" s="67"/>
      <c r="E502" s="67"/>
      <c r="F502" s="67"/>
      <c r="G502" s="67"/>
      <c r="H502" s="67"/>
      <c r="I502" s="67"/>
      <c r="J502" s="67"/>
      <c r="K502" s="67"/>
      <c r="L502" s="67"/>
      <c r="M502" s="67"/>
      <c r="N502" s="67"/>
      <c r="O502" s="67"/>
      <c r="P502" s="67"/>
      <c r="Q502" s="67"/>
      <c r="R502" s="67"/>
      <c r="S502" s="67"/>
      <c r="T502" s="67"/>
      <c r="U502" s="67"/>
      <c r="V502" s="67"/>
      <c r="W502" s="67"/>
      <c r="X502" s="67"/>
      <c r="Y502" s="67"/>
      <c r="Z502" s="67"/>
    </row>
    <row r="503">
      <c r="A503" s="67"/>
      <c r="B503" s="67"/>
      <c r="C503" s="67"/>
      <c r="D503" s="67"/>
      <c r="E503" s="67"/>
      <c r="F503" s="67"/>
      <c r="G503" s="67"/>
      <c r="H503" s="67"/>
      <c r="I503" s="67"/>
      <c r="J503" s="67"/>
      <c r="K503" s="67"/>
      <c r="L503" s="67"/>
      <c r="M503" s="67"/>
      <c r="N503" s="67"/>
      <c r="O503" s="67"/>
      <c r="P503" s="67"/>
      <c r="Q503" s="67"/>
      <c r="R503" s="67"/>
      <c r="S503" s="67"/>
      <c r="T503" s="67"/>
      <c r="U503" s="67"/>
      <c r="V503" s="67"/>
      <c r="W503" s="67"/>
      <c r="X503" s="67"/>
      <c r="Y503" s="67"/>
      <c r="Z503" s="67"/>
    </row>
    <row r="504">
      <c r="A504" s="67"/>
      <c r="B504" s="67"/>
      <c r="C504" s="67"/>
      <c r="D504" s="67"/>
      <c r="E504" s="67"/>
      <c r="F504" s="67"/>
      <c r="G504" s="67"/>
      <c r="H504" s="67"/>
      <c r="I504" s="67"/>
      <c r="J504" s="67"/>
      <c r="K504" s="67"/>
      <c r="L504" s="67"/>
      <c r="M504" s="67"/>
      <c r="N504" s="67"/>
      <c r="O504" s="67"/>
      <c r="P504" s="67"/>
      <c r="Q504" s="67"/>
      <c r="R504" s="67"/>
      <c r="S504" s="67"/>
      <c r="T504" s="67"/>
      <c r="U504" s="67"/>
      <c r="V504" s="67"/>
      <c r="W504" s="67"/>
      <c r="X504" s="67"/>
      <c r="Y504" s="67"/>
      <c r="Z504" s="67"/>
    </row>
    <row r="505">
      <c r="A505" s="67"/>
      <c r="B505" s="67"/>
      <c r="C505" s="67"/>
      <c r="D505" s="67"/>
      <c r="E505" s="67"/>
      <c r="F505" s="67"/>
      <c r="G505" s="67"/>
      <c r="H505" s="67"/>
      <c r="I505" s="67"/>
      <c r="J505" s="67"/>
      <c r="K505" s="67"/>
      <c r="L505" s="67"/>
      <c r="M505" s="67"/>
      <c r="N505" s="67"/>
      <c r="O505" s="67"/>
      <c r="P505" s="67"/>
      <c r="Q505" s="67"/>
      <c r="R505" s="67"/>
      <c r="S505" s="67"/>
      <c r="T505" s="67"/>
      <c r="U505" s="67"/>
      <c r="V505" s="67"/>
      <c r="W505" s="67"/>
      <c r="X505" s="67"/>
      <c r="Y505" s="67"/>
      <c r="Z505" s="67"/>
    </row>
    <row r="506">
      <c r="A506" s="67"/>
      <c r="B506" s="67"/>
      <c r="C506" s="67"/>
      <c r="D506" s="67"/>
      <c r="E506" s="67"/>
      <c r="F506" s="67"/>
      <c r="G506" s="67"/>
      <c r="H506" s="67"/>
      <c r="I506" s="67"/>
      <c r="J506" s="67"/>
      <c r="K506" s="67"/>
      <c r="L506" s="67"/>
      <c r="M506" s="67"/>
      <c r="N506" s="67"/>
      <c r="O506" s="67"/>
      <c r="P506" s="67"/>
      <c r="Q506" s="67"/>
      <c r="R506" s="67"/>
      <c r="S506" s="67"/>
      <c r="T506" s="67"/>
      <c r="U506" s="67"/>
      <c r="V506" s="67"/>
      <c r="W506" s="67"/>
      <c r="X506" s="67"/>
      <c r="Y506" s="67"/>
      <c r="Z506" s="67"/>
    </row>
    <row r="507">
      <c r="A507" s="67"/>
      <c r="B507" s="67"/>
      <c r="C507" s="67"/>
      <c r="D507" s="67"/>
      <c r="E507" s="67"/>
      <c r="F507" s="67"/>
      <c r="G507" s="67"/>
      <c r="H507" s="67"/>
      <c r="I507" s="67"/>
      <c r="J507" s="67"/>
      <c r="K507" s="67"/>
      <c r="L507" s="67"/>
      <c r="M507" s="67"/>
      <c r="N507" s="67"/>
      <c r="O507" s="67"/>
      <c r="P507" s="67"/>
      <c r="Q507" s="67"/>
      <c r="R507" s="67"/>
      <c r="S507" s="67"/>
      <c r="T507" s="67"/>
      <c r="U507" s="67"/>
      <c r="V507" s="67"/>
      <c r="W507" s="67"/>
      <c r="X507" s="67"/>
      <c r="Y507" s="67"/>
      <c r="Z507" s="67"/>
    </row>
    <row r="508">
      <c r="A508" s="67"/>
      <c r="B508" s="67"/>
      <c r="C508" s="67"/>
      <c r="D508" s="67"/>
      <c r="E508" s="67"/>
      <c r="F508" s="67"/>
      <c r="G508" s="67"/>
      <c r="H508" s="67"/>
      <c r="I508" s="67"/>
      <c r="J508" s="67"/>
      <c r="K508" s="67"/>
      <c r="L508" s="67"/>
      <c r="M508" s="67"/>
      <c r="N508" s="67"/>
      <c r="O508" s="67"/>
      <c r="P508" s="67"/>
      <c r="Q508" s="67"/>
      <c r="R508" s="67"/>
      <c r="S508" s="67"/>
      <c r="T508" s="67"/>
      <c r="U508" s="67"/>
      <c r="V508" s="67"/>
      <c r="W508" s="67"/>
      <c r="X508" s="67"/>
      <c r="Y508" s="67"/>
      <c r="Z508" s="67"/>
    </row>
    <row r="509">
      <c r="A509" s="67"/>
      <c r="B509" s="67"/>
      <c r="C509" s="67"/>
      <c r="D509" s="67"/>
      <c r="E509" s="67"/>
      <c r="F509" s="67"/>
      <c r="G509" s="67"/>
      <c r="H509" s="67"/>
      <c r="I509" s="67"/>
      <c r="J509" s="67"/>
      <c r="K509" s="67"/>
      <c r="L509" s="67"/>
      <c r="M509" s="67"/>
      <c r="N509" s="67"/>
      <c r="O509" s="67"/>
      <c r="P509" s="67"/>
      <c r="Q509" s="67"/>
      <c r="R509" s="67"/>
      <c r="S509" s="67"/>
      <c r="T509" s="67"/>
      <c r="U509" s="67"/>
      <c r="V509" s="67"/>
      <c r="W509" s="67"/>
      <c r="X509" s="67"/>
      <c r="Y509" s="67"/>
      <c r="Z509" s="67"/>
    </row>
    <row r="510">
      <c r="A510" s="67"/>
      <c r="B510" s="67"/>
      <c r="C510" s="67"/>
      <c r="D510" s="67"/>
      <c r="E510" s="67"/>
      <c r="F510" s="67"/>
      <c r="G510" s="67"/>
      <c r="H510" s="67"/>
      <c r="I510" s="67"/>
      <c r="J510" s="67"/>
      <c r="K510" s="67"/>
      <c r="L510" s="67"/>
      <c r="M510" s="67"/>
      <c r="N510" s="67"/>
      <c r="O510" s="67"/>
      <c r="P510" s="67"/>
      <c r="Q510" s="67"/>
      <c r="R510" s="67"/>
      <c r="S510" s="67"/>
      <c r="T510" s="67"/>
      <c r="U510" s="67"/>
      <c r="V510" s="67"/>
      <c r="W510" s="67"/>
      <c r="X510" s="67"/>
      <c r="Y510" s="67"/>
      <c r="Z510" s="67"/>
    </row>
    <row r="511">
      <c r="A511" s="67"/>
      <c r="B511" s="67"/>
      <c r="C511" s="67"/>
      <c r="D511" s="67"/>
      <c r="E511" s="67"/>
      <c r="F511" s="67"/>
      <c r="G511" s="67"/>
      <c r="H511" s="67"/>
      <c r="I511" s="67"/>
      <c r="J511" s="67"/>
      <c r="K511" s="67"/>
      <c r="L511" s="67"/>
      <c r="M511" s="67"/>
      <c r="N511" s="67"/>
      <c r="O511" s="67"/>
      <c r="P511" s="67"/>
      <c r="Q511" s="67"/>
      <c r="R511" s="67"/>
      <c r="S511" s="67"/>
      <c r="T511" s="67"/>
      <c r="U511" s="67"/>
      <c r="V511" s="67"/>
      <c r="W511" s="67"/>
      <c r="X511" s="67"/>
      <c r="Y511" s="67"/>
      <c r="Z511" s="67"/>
    </row>
    <row r="512">
      <c r="A512" s="67"/>
      <c r="B512" s="67"/>
      <c r="C512" s="67"/>
      <c r="D512" s="67"/>
      <c r="E512" s="67"/>
      <c r="F512" s="67"/>
      <c r="G512" s="67"/>
      <c r="H512" s="67"/>
      <c r="I512" s="67"/>
      <c r="J512" s="67"/>
      <c r="K512" s="67"/>
      <c r="L512" s="67"/>
      <c r="M512" s="67"/>
      <c r="N512" s="67"/>
      <c r="O512" s="67"/>
      <c r="P512" s="67"/>
      <c r="Q512" s="67"/>
      <c r="R512" s="67"/>
      <c r="S512" s="67"/>
      <c r="T512" s="67"/>
      <c r="U512" s="67"/>
      <c r="V512" s="67"/>
      <c r="W512" s="67"/>
      <c r="X512" s="67"/>
      <c r="Y512" s="67"/>
      <c r="Z512" s="67"/>
    </row>
    <row r="513">
      <c r="A513" s="67"/>
      <c r="B513" s="67"/>
      <c r="C513" s="67"/>
      <c r="D513" s="67"/>
      <c r="E513" s="67"/>
      <c r="F513" s="67"/>
      <c r="G513" s="67"/>
      <c r="H513" s="67"/>
      <c r="I513" s="67"/>
      <c r="J513" s="67"/>
      <c r="K513" s="67"/>
      <c r="L513" s="67"/>
      <c r="M513" s="67"/>
      <c r="N513" s="67"/>
      <c r="O513" s="67"/>
      <c r="P513" s="67"/>
      <c r="Q513" s="67"/>
      <c r="R513" s="67"/>
      <c r="S513" s="67"/>
      <c r="T513" s="67"/>
      <c r="U513" s="67"/>
      <c r="V513" s="67"/>
      <c r="W513" s="67"/>
      <c r="X513" s="67"/>
      <c r="Y513" s="67"/>
      <c r="Z513" s="67"/>
    </row>
    <row r="514">
      <c r="A514" s="67"/>
      <c r="B514" s="67"/>
      <c r="C514" s="67"/>
      <c r="D514" s="67"/>
      <c r="E514" s="67"/>
      <c r="F514" s="67"/>
      <c r="G514" s="67"/>
      <c r="H514" s="67"/>
      <c r="I514" s="67"/>
      <c r="J514" s="67"/>
      <c r="K514" s="67"/>
      <c r="L514" s="67"/>
      <c r="M514" s="67"/>
      <c r="N514" s="67"/>
      <c r="O514" s="67"/>
      <c r="P514" s="67"/>
      <c r="Q514" s="67"/>
      <c r="R514" s="67"/>
      <c r="S514" s="67"/>
      <c r="T514" s="67"/>
      <c r="U514" s="67"/>
      <c r="V514" s="67"/>
      <c r="W514" s="67"/>
      <c r="X514" s="67"/>
      <c r="Y514" s="67"/>
      <c r="Z514" s="67"/>
    </row>
    <row r="515">
      <c r="A515" s="67"/>
      <c r="B515" s="67"/>
      <c r="C515" s="67"/>
      <c r="D515" s="67"/>
      <c r="E515" s="67"/>
      <c r="F515" s="67"/>
      <c r="G515" s="67"/>
      <c r="H515" s="67"/>
      <c r="I515" s="67"/>
      <c r="J515" s="67"/>
      <c r="K515" s="67"/>
      <c r="L515" s="67"/>
      <c r="M515" s="67"/>
      <c r="N515" s="67"/>
      <c r="O515" s="67"/>
      <c r="P515" s="67"/>
      <c r="Q515" s="67"/>
      <c r="R515" s="67"/>
      <c r="S515" s="67"/>
      <c r="T515" s="67"/>
      <c r="U515" s="67"/>
      <c r="V515" s="67"/>
      <c r="W515" s="67"/>
      <c r="X515" s="67"/>
      <c r="Y515" s="67"/>
      <c r="Z515" s="67"/>
    </row>
    <row r="516">
      <c r="A516" s="67"/>
      <c r="B516" s="67"/>
      <c r="C516" s="67"/>
      <c r="D516" s="67"/>
      <c r="E516" s="67"/>
      <c r="F516" s="67"/>
      <c r="G516" s="67"/>
      <c r="H516" s="67"/>
      <c r="I516" s="67"/>
      <c r="J516" s="67"/>
      <c r="K516" s="67"/>
      <c r="L516" s="67"/>
      <c r="M516" s="67"/>
      <c r="N516" s="67"/>
      <c r="O516" s="67"/>
      <c r="P516" s="67"/>
      <c r="Q516" s="67"/>
      <c r="R516" s="67"/>
      <c r="S516" s="67"/>
      <c r="T516" s="67"/>
      <c r="U516" s="67"/>
      <c r="V516" s="67"/>
      <c r="W516" s="67"/>
      <c r="X516" s="67"/>
      <c r="Y516" s="67"/>
      <c r="Z516" s="67"/>
    </row>
    <row r="517">
      <c r="A517" s="67"/>
      <c r="B517" s="67"/>
      <c r="C517" s="67"/>
      <c r="D517" s="67"/>
      <c r="E517" s="67"/>
      <c r="F517" s="67"/>
      <c r="G517" s="67"/>
      <c r="H517" s="67"/>
      <c r="I517" s="67"/>
      <c r="J517" s="67"/>
      <c r="K517" s="67"/>
      <c r="L517" s="67"/>
      <c r="M517" s="67"/>
      <c r="N517" s="67"/>
      <c r="O517" s="67"/>
      <c r="P517" s="67"/>
      <c r="Q517" s="67"/>
      <c r="R517" s="67"/>
      <c r="S517" s="67"/>
      <c r="T517" s="67"/>
      <c r="U517" s="67"/>
      <c r="V517" s="67"/>
      <c r="W517" s="67"/>
      <c r="X517" s="67"/>
      <c r="Y517" s="67"/>
      <c r="Z517" s="67"/>
    </row>
    <row r="518">
      <c r="A518" s="67"/>
      <c r="B518" s="67"/>
      <c r="C518" s="67"/>
      <c r="D518" s="67"/>
      <c r="E518" s="67"/>
      <c r="F518" s="67"/>
      <c r="G518" s="67"/>
      <c r="H518" s="67"/>
      <c r="I518" s="67"/>
      <c r="J518" s="67"/>
      <c r="K518" s="67"/>
      <c r="L518" s="67"/>
      <c r="M518" s="67"/>
      <c r="N518" s="67"/>
      <c r="O518" s="67"/>
      <c r="P518" s="67"/>
      <c r="Q518" s="67"/>
      <c r="R518" s="67"/>
      <c r="S518" s="67"/>
      <c r="T518" s="67"/>
      <c r="U518" s="67"/>
      <c r="V518" s="67"/>
      <c r="W518" s="67"/>
      <c r="X518" s="67"/>
      <c r="Y518" s="67"/>
      <c r="Z518" s="67"/>
    </row>
    <row r="519">
      <c r="A519" s="67"/>
      <c r="B519" s="67"/>
      <c r="C519" s="67"/>
      <c r="D519" s="67"/>
      <c r="E519" s="67"/>
      <c r="F519" s="67"/>
      <c r="G519" s="67"/>
      <c r="H519" s="67"/>
      <c r="I519" s="67"/>
      <c r="J519" s="67"/>
      <c r="K519" s="67"/>
      <c r="L519" s="67"/>
      <c r="M519" s="67"/>
      <c r="N519" s="67"/>
      <c r="O519" s="67"/>
      <c r="P519" s="67"/>
      <c r="Q519" s="67"/>
      <c r="R519" s="67"/>
      <c r="S519" s="67"/>
      <c r="T519" s="67"/>
      <c r="U519" s="67"/>
      <c r="V519" s="67"/>
      <c r="W519" s="67"/>
      <c r="X519" s="67"/>
      <c r="Y519" s="67"/>
      <c r="Z519" s="67"/>
    </row>
    <row r="520">
      <c r="A520" s="67"/>
      <c r="B520" s="67"/>
      <c r="C520" s="67"/>
      <c r="D520" s="67"/>
      <c r="E520" s="67"/>
      <c r="F520" s="67"/>
      <c r="G520" s="67"/>
      <c r="H520" s="67"/>
      <c r="I520" s="67"/>
      <c r="J520" s="67"/>
      <c r="K520" s="67"/>
      <c r="L520" s="67"/>
      <c r="M520" s="67"/>
      <c r="N520" s="67"/>
      <c r="O520" s="67"/>
      <c r="P520" s="67"/>
      <c r="Q520" s="67"/>
      <c r="R520" s="67"/>
      <c r="S520" s="67"/>
      <c r="T520" s="67"/>
      <c r="U520" s="67"/>
      <c r="V520" s="67"/>
      <c r="W520" s="67"/>
      <c r="X520" s="67"/>
      <c r="Y520" s="67"/>
      <c r="Z520" s="67"/>
    </row>
    <row r="521">
      <c r="A521" s="67"/>
      <c r="B521" s="67"/>
      <c r="C521" s="67"/>
      <c r="D521" s="67"/>
      <c r="E521" s="67"/>
      <c r="F521" s="67"/>
      <c r="G521" s="67"/>
      <c r="H521" s="67"/>
      <c r="I521" s="67"/>
      <c r="J521" s="67"/>
      <c r="K521" s="67"/>
      <c r="L521" s="67"/>
      <c r="M521" s="67"/>
      <c r="N521" s="67"/>
      <c r="O521" s="67"/>
      <c r="P521" s="67"/>
      <c r="Q521" s="67"/>
      <c r="R521" s="67"/>
      <c r="S521" s="67"/>
      <c r="T521" s="67"/>
      <c r="U521" s="67"/>
      <c r="V521" s="67"/>
      <c r="W521" s="67"/>
      <c r="X521" s="67"/>
      <c r="Y521" s="67"/>
      <c r="Z521" s="67"/>
    </row>
    <row r="522">
      <c r="A522" s="67"/>
      <c r="B522" s="67"/>
      <c r="C522" s="67"/>
      <c r="D522" s="67"/>
      <c r="E522" s="67"/>
      <c r="F522" s="67"/>
      <c r="G522" s="67"/>
      <c r="H522" s="67"/>
      <c r="I522" s="67"/>
      <c r="J522" s="67"/>
      <c r="K522" s="67"/>
      <c r="L522" s="67"/>
      <c r="M522" s="67"/>
      <c r="N522" s="67"/>
      <c r="O522" s="67"/>
      <c r="P522" s="67"/>
      <c r="Q522" s="67"/>
      <c r="R522" s="67"/>
      <c r="S522" s="67"/>
      <c r="T522" s="67"/>
      <c r="U522" s="67"/>
      <c r="V522" s="67"/>
      <c r="W522" s="67"/>
      <c r="X522" s="67"/>
      <c r="Y522" s="67"/>
      <c r="Z522" s="67"/>
    </row>
    <row r="523">
      <c r="A523" s="67"/>
      <c r="B523" s="67"/>
      <c r="C523" s="67"/>
      <c r="D523" s="67"/>
      <c r="E523" s="67"/>
      <c r="F523" s="67"/>
      <c r="G523" s="67"/>
      <c r="H523" s="67"/>
      <c r="I523" s="67"/>
      <c r="J523" s="67"/>
      <c r="K523" s="67"/>
      <c r="L523" s="67"/>
      <c r="M523" s="67"/>
      <c r="N523" s="67"/>
      <c r="O523" s="67"/>
      <c r="P523" s="67"/>
      <c r="Q523" s="67"/>
      <c r="R523" s="67"/>
      <c r="S523" s="67"/>
      <c r="T523" s="67"/>
      <c r="U523" s="67"/>
      <c r="V523" s="67"/>
      <c r="W523" s="67"/>
      <c r="X523" s="67"/>
      <c r="Y523" s="67"/>
      <c r="Z523" s="67"/>
    </row>
    <row r="524">
      <c r="A524" s="67"/>
      <c r="B524" s="67"/>
      <c r="C524" s="67"/>
      <c r="D524" s="67"/>
      <c r="E524" s="67"/>
      <c r="F524" s="67"/>
      <c r="G524" s="67"/>
      <c r="H524" s="67"/>
      <c r="I524" s="67"/>
      <c r="J524" s="67"/>
      <c r="K524" s="67"/>
      <c r="L524" s="67"/>
      <c r="M524" s="67"/>
      <c r="N524" s="67"/>
      <c r="O524" s="67"/>
      <c r="P524" s="67"/>
      <c r="Q524" s="67"/>
      <c r="R524" s="67"/>
      <c r="S524" s="67"/>
      <c r="T524" s="67"/>
      <c r="U524" s="67"/>
      <c r="V524" s="67"/>
      <c r="W524" s="67"/>
      <c r="X524" s="67"/>
      <c r="Y524" s="67"/>
      <c r="Z524" s="67"/>
    </row>
    <row r="525">
      <c r="A525" s="67"/>
      <c r="B525" s="67"/>
      <c r="C525" s="67"/>
      <c r="D525" s="67"/>
      <c r="E525" s="67"/>
      <c r="F525" s="67"/>
      <c r="G525" s="67"/>
      <c r="H525" s="67"/>
      <c r="I525" s="67"/>
      <c r="J525" s="67"/>
      <c r="K525" s="67"/>
      <c r="L525" s="67"/>
      <c r="M525" s="67"/>
      <c r="N525" s="67"/>
      <c r="O525" s="67"/>
      <c r="P525" s="67"/>
      <c r="Q525" s="67"/>
      <c r="R525" s="67"/>
      <c r="S525" s="67"/>
      <c r="T525" s="67"/>
      <c r="U525" s="67"/>
      <c r="V525" s="67"/>
      <c r="W525" s="67"/>
      <c r="X525" s="67"/>
      <c r="Y525" s="67"/>
      <c r="Z525" s="67"/>
    </row>
    <row r="526">
      <c r="A526" s="67"/>
      <c r="B526" s="67"/>
      <c r="C526" s="67"/>
      <c r="D526" s="67"/>
      <c r="E526" s="67"/>
      <c r="F526" s="67"/>
      <c r="G526" s="67"/>
      <c r="H526" s="67"/>
      <c r="I526" s="67"/>
      <c r="J526" s="67"/>
      <c r="K526" s="67"/>
      <c r="L526" s="67"/>
      <c r="M526" s="67"/>
      <c r="N526" s="67"/>
      <c r="O526" s="67"/>
      <c r="P526" s="67"/>
      <c r="Q526" s="67"/>
      <c r="R526" s="67"/>
      <c r="S526" s="67"/>
      <c r="T526" s="67"/>
      <c r="U526" s="67"/>
      <c r="V526" s="67"/>
      <c r="W526" s="67"/>
      <c r="X526" s="67"/>
      <c r="Y526" s="67"/>
      <c r="Z526" s="67"/>
    </row>
    <row r="527">
      <c r="A527" s="67"/>
      <c r="B527" s="67"/>
      <c r="C527" s="67"/>
      <c r="D527" s="67"/>
      <c r="E527" s="67"/>
      <c r="F527" s="67"/>
      <c r="G527" s="67"/>
      <c r="H527" s="67"/>
      <c r="I527" s="67"/>
      <c r="J527" s="67"/>
      <c r="K527" s="67"/>
      <c r="L527" s="67"/>
      <c r="M527" s="67"/>
      <c r="N527" s="67"/>
      <c r="O527" s="67"/>
      <c r="P527" s="67"/>
      <c r="Q527" s="67"/>
      <c r="R527" s="67"/>
      <c r="S527" s="67"/>
      <c r="T527" s="67"/>
      <c r="U527" s="67"/>
      <c r="V527" s="67"/>
      <c r="W527" s="67"/>
      <c r="X527" s="67"/>
      <c r="Y527" s="67"/>
      <c r="Z527" s="67"/>
    </row>
    <row r="528">
      <c r="A528" s="67"/>
      <c r="B528" s="67"/>
      <c r="C528" s="67"/>
      <c r="D528" s="67"/>
      <c r="E528" s="67"/>
      <c r="F528" s="67"/>
      <c r="G528" s="67"/>
      <c r="H528" s="67"/>
      <c r="I528" s="67"/>
      <c r="J528" s="67"/>
      <c r="K528" s="67"/>
      <c r="L528" s="67"/>
      <c r="M528" s="67"/>
      <c r="N528" s="67"/>
      <c r="O528" s="67"/>
      <c r="P528" s="67"/>
      <c r="Q528" s="67"/>
      <c r="R528" s="67"/>
      <c r="S528" s="67"/>
      <c r="T528" s="67"/>
      <c r="U528" s="67"/>
      <c r="V528" s="67"/>
      <c r="W528" s="67"/>
      <c r="X528" s="67"/>
      <c r="Y528" s="67"/>
      <c r="Z528" s="67"/>
    </row>
    <row r="529">
      <c r="A529" s="67"/>
      <c r="B529" s="67"/>
      <c r="C529" s="67"/>
      <c r="D529" s="67"/>
      <c r="E529" s="67"/>
      <c r="F529" s="67"/>
      <c r="G529" s="67"/>
      <c r="H529" s="67"/>
      <c r="I529" s="67"/>
      <c r="J529" s="67"/>
      <c r="K529" s="67"/>
      <c r="L529" s="67"/>
      <c r="M529" s="67"/>
      <c r="N529" s="67"/>
      <c r="O529" s="67"/>
      <c r="P529" s="67"/>
      <c r="Q529" s="67"/>
      <c r="R529" s="67"/>
      <c r="S529" s="67"/>
      <c r="T529" s="67"/>
      <c r="U529" s="67"/>
      <c r="V529" s="67"/>
      <c r="W529" s="67"/>
      <c r="X529" s="67"/>
      <c r="Y529" s="67"/>
      <c r="Z529" s="67"/>
    </row>
    <row r="530">
      <c r="A530" s="67"/>
      <c r="B530" s="67"/>
      <c r="C530" s="67"/>
      <c r="D530" s="67"/>
      <c r="E530" s="67"/>
      <c r="F530" s="67"/>
      <c r="G530" s="67"/>
      <c r="H530" s="67"/>
      <c r="I530" s="67"/>
      <c r="J530" s="67"/>
      <c r="K530" s="67"/>
      <c r="L530" s="67"/>
      <c r="M530" s="67"/>
      <c r="N530" s="67"/>
      <c r="O530" s="67"/>
      <c r="P530" s="67"/>
      <c r="Q530" s="67"/>
      <c r="R530" s="67"/>
      <c r="S530" s="67"/>
      <c r="T530" s="67"/>
      <c r="U530" s="67"/>
      <c r="V530" s="67"/>
      <c r="W530" s="67"/>
      <c r="X530" s="67"/>
      <c r="Y530" s="67"/>
      <c r="Z530" s="67"/>
    </row>
    <row r="531">
      <c r="A531" s="67"/>
      <c r="B531" s="67"/>
      <c r="C531" s="67"/>
      <c r="D531" s="67"/>
      <c r="E531" s="67"/>
      <c r="F531" s="67"/>
      <c r="G531" s="67"/>
      <c r="H531" s="67"/>
      <c r="I531" s="67"/>
      <c r="J531" s="67"/>
      <c r="K531" s="67"/>
      <c r="L531" s="67"/>
      <c r="M531" s="67"/>
      <c r="N531" s="67"/>
      <c r="O531" s="67"/>
      <c r="P531" s="67"/>
      <c r="Q531" s="67"/>
      <c r="R531" s="67"/>
      <c r="S531" s="67"/>
      <c r="T531" s="67"/>
      <c r="U531" s="67"/>
      <c r="V531" s="67"/>
      <c r="W531" s="67"/>
      <c r="X531" s="67"/>
      <c r="Y531" s="67"/>
      <c r="Z531" s="67"/>
    </row>
    <row r="532">
      <c r="A532" s="67"/>
      <c r="B532" s="67"/>
      <c r="C532" s="67"/>
      <c r="D532" s="67"/>
      <c r="E532" s="67"/>
      <c r="F532" s="67"/>
      <c r="G532" s="67"/>
      <c r="H532" s="67"/>
      <c r="I532" s="67"/>
      <c r="J532" s="67"/>
      <c r="K532" s="67"/>
      <c r="L532" s="67"/>
      <c r="M532" s="67"/>
      <c r="N532" s="67"/>
      <c r="O532" s="67"/>
      <c r="P532" s="67"/>
      <c r="Q532" s="67"/>
      <c r="R532" s="67"/>
      <c r="S532" s="67"/>
      <c r="T532" s="67"/>
      <c r="U532" s="67"/>
      <c r="V532" s="67"/>
      <c r="W532" s="67"/>
      <c r="X532" s="67"/>
      <c r="Y532" s="67"/>
      <c r="Z532" s="67"/>
    </row>
    <row r="533">
      <c r="A533" s="67"/>
      <c r="B533" s="67"/>
      <c r="C533" s="67"/>
      <c r="D533" s="67"/>
      <c r="E533" s="67"/>
      <c r="F533" s="67"/>
      <c r="G533" s="67"/>
      <c r="H533" s="67"/>
      <c r="I533" s="67"/>
      <c r="J533" s="67"/>
      <c r="K533" s="67"/>
      <c r="L533" s="67"/>
      <c r="M533" s="67"/>
      <c r="N533" s="67"/>
      <c r="O533" s="67"/>
      <c r="P533" s="67"/>
      <c r="Q533" s="67"/>
      <c r="R533" s="67"/>
      <c r="S533" s="67"/>
      <c r="T533" s="67"/>
      <c r="U533" s="67"/>
      <c r="V533" s="67"/>
      <c r="W533" s="67"/>
      <c r="X533" s="67"/>
      <c r="Y533" s="67"/>
      <c r="Z533" s="67"/>
    </row>
    <row r="534">
      <c r="A534" s="67"/>
      <c r="B534" s="67"/>
      <c r="C534" s="67"/>
      <c r="D534" s="67"/>
      <c r="E534" s="67"/>
      <c r="F534" s="67"/>
      <c r="G534" s="67"/>
      <c r="H534" s="67"/>
      <c r="I534" s="67"/>
      <c r="J534" s="67"/>
      <c r="K534" s="67"/>
      <c r="L534" s="67"/>
      <c r="M534" s="67"/>
      <c r="N534" s="67"/>
      <c r="O534" s="67"/>
      <c r="P534" s="67"/>
      <c r="Q534" s="67"/>
      <c r="R534" s="67"/>
      <c r="S534" s="67"/>
      <c r="T534" s="67"/>
      <c r="U534" s="67"/>
      <c r="V534" s="67"/>
      <c r="W534" s="67"/>
      <c r="X534" s="67"/>
      <c r="Y534" s="67"/>
      <c r="Z534" s="67"/>
    </row>
    <row r="535">
      <c r="A535" s="67"/>
      <c r="B535" s="67"/>
      <c r="C535" s="67"/>
      <c r="D535" s="67"/>
      <c r="E535" s="67"/>
      <c r="F535" s="67"/>
      <c r="G535" s="67"/>
      <c r="H535" s="67"/>
      <c r="I535" s="67"/>
      <c r="J535" s="67"/>
      <c r="K535" s="67"/>
      <c r="L535" s="67"/>
      <c r="M535" s="67"/>
      <c r="N535" s="67"/>
      <c r="O535" s="67"/>
      <c r="P535" s="67"/>
      <c r="Q535" s="67"/>
      <c r="R535" s="67"/>
      <c r="S535" s="67"/>
      <c r="T535" s="67"/>
      <c r="U535" s="67"/>
      <c r="V535" s="67"/>
      <c r="W535" s="67"/>
      <c r="X535" s="67"/>
      <c r="Y535" s="67"/>
      <c r="Z535" s="67"/>
    </row>
    <row r="536">
      <c r="A536" s="67"/>
      <c r="B536" s="67"/>
      <c r="C536" s="67"/>
      <c r="D536" s="67"/>
      <c r="E536" s="67"/>
      <c r="F536" s="67"/>
      <c r="G536" s="67"/>
      <c r="H536" s="67"/>
      <c r="I536" s="67"/>
      <c r="J536" s="67"/>
      <c r="K536" s="67"/>
      <c r="L536" s="67"/>
      <c r="M536" s="67"/>
      <c r="N536" s="67"/>
      <c r="O536" s="67"/>
      <c r="P536" s="67"/>
      <c r="Q536" s="67"/>
      <c r="R536" s="67"/>
      <c r="S536" s="67"/>
      <c r="T536" s="67"/>
      <c r="U536" s="67"/>
      <c r="V536" s="67"/>
      <c r="W536" s="67"/>
      <c r="X536" s="67"/>
      <c r="Y536" s="67"/>
      <c r="Z536" s="67"/>
    </row>
    <row r="537">
      <c r="A537" s="67"/>
      <c r="B537" s="67"/>
      <c r="C537" s="67"/>
      <c r="D537" s="67"/>
      <c r="E537" s="67"/>
      <c r="F537" s="67"/>
      <c r="G537" s="67"/>
      <c r="H537" s="67"/>
      <c r="I537" s="67"/>
      <c r="J537" s="67"/>
      <c r="K537" s="67"/>
      <c r="L537" s="67"/>
      <c r="M537" s="67"/>
      <c r="N537" s="67"/>
      <c r="O537" s="67"/>
      <c r="P537" s="67"/>
      <c r="Q537" s="67"/>
      <c r="R537" s="67"/>
      <c r="S537" s="67"/>
      <c r="T537" s="67"/>
      <c r="U537" s="67"/>
      <c r="V537" s="67"/>
      <c r="W537" s="67"/>
      <c r="X537" s="67"/>
      <c r="Y537" s="67"/>
      <c r="Z537" s="67"/>
    </row>
    <row r="538">
      <c r="A538" s="67"/>
      <c r="B538" s="67"/>
      <c r="C538" s="67"/>
      <c r="D538" s="67"/>
      <c r="E538" s="67"/>
      <c r="F538" s="67"/>
      <c r="G538" s="67"/>
      <c r="H538" s="67"/>
      <c r="I538" s="67"/>
      <c r="J538" s="67"/>
      <c r="K538" s="67"/>
      <c r="L538" s="67"/>
      <c r="M538" s="67"/>
      <c r="N538" s="67"/>
      <c r="O538" s="67"/>
      <c r="P538" s="67"/>
      <c r="Q538" s="67"/>
      <c r="R538" s="67"/>
      <c r="S538" s="67"/>
      <c r="T538" s="67"/>
      <c r="U538" s="67"/>
      <c r="V538" s="67"/>
      <c r="W538" s="67"/>
      <c r="X538" s="67"/>
      <c r="Y538" s="67"/>
      <c r="Z538" s="67"/>
    </row>
    <row r="539">
      <c r="A539" s="67"/>
      <c r="B539" s="67"/>
      <c r="C539" s="67"/>
      <c r="D539" s="67"/>
      <c r="E539" s="67"/>
      <c r="F539" s="67"/>
      <c r="G539" s="67"/>
      <c r="H539" s="67"/>
      <c r="I539" s="67"/>
      <c r="J539" s="67"/>
      <c r="K539" s="67"/>
      <c r="L539" s="67"/>
      <c r="M539" s="67"/>
      <c r="N539" s="67"/>
      <c r="O539" s="67"/>
      <c r="P539" s="67"/>
      <c r="Q539" s="67"/>
      <c r="R539" s="67"/>
      <c r="S539" s="67"/>
      <c r="T539" s="67"/>
      <c r="U539" s="67"/>
      <c r="V539" s="67"/>
      <c r="W539" s="67"/>
      <c r="X539" s="67"/>
      <c r="Y539" s="67"/>
      <c r="Z539" s="67"/>
    </row>
    <row r="540">
      <c r="A540" s="67"/>
      <c r="B540" s="67"/>
      <c r="C540" s="67"/>
      <c r="D540" s="67"/>
      <c r="E540" s="67"/>
      <c r="F540" s="67"/>
      <c r="G540" s="67"/>
      <c r="H540" s="67"/>
      <c r="I540" s="67"/>
      <c r="J540" s="67"/>
      <c r="K540" s="67"/>
      <c r="L540" s="67"/>
      <c r="M540" s="67"/>
      <c r="N540" s="67"/>
      <c r="O540" s="67"/>
      <c r="P540" s="67"/>
      <c r="Q540" s="67"/>
      <c r="R540" s="67"/>
      <c r="S540" s="67"/>
      <c r="T540" s="67"/>
      <c r="U540" s="67"/>
      <c r="V540" s="67"/>
      <c r="W540" s="67"/>
      <c r="X540" s="67"/>
      <c r="Y540" s="67"/>
      <c r="Z540" s="67"/>
    </row>
    <row r="541">
      <c r="A541" s="67"/>
      <c r="B541" s="67"/>
      <c r="C541" s="67"/>
      <c r="D541" s="67"/>
      <c r="E541" s="67"/>
      <c r="F541" s="67"/>
      <c r="G541" s="67"/>
      <c r="H541" s="67"/>
      <c r="I541" s="67"/>
      <c r="J541" s="67"/>
      <c r="K541" s="67"/>
      <c r="L541" s="67"/>
      <c r="M541" s="67"/>
      <c r="N541" s="67"/>
      <c r="O541" s="67"/>
      <c r="P541" s="67"/>
      <c r="Q541" s="67"/>
      <c r="R541" s="67"/>
      <c r="S541" s="67"/>
      <c r="T541" s="67"/>
      <c r="U541" s="67"/>
      <c r="V541" s="67"/>
      <c r="W541" s="67"/>
      <c r="X541" s="67"/>
      <c r="Y541" s="67"/>
      <c r="Z541" s="67"/>
    </row>
    <row r="542">
      <c r="A542" s="67"/>
      <c r="B542" s="67"/>
      <c r="C542" s="67"/>
      <c r="D542" s="67"/>
      <c r="E542" s="67"/>
      <c r="F542" s="67"/>
      <c r="G542" s="67"/>
      <c r="H542" s="67"/>
      <c r="I542" s="67"/>
      <c r="J542" s="67"/>
      <c r="K542" s="67"/>
      <c r="L542" s="67"/>
      <c r="M542" s="67"/>
      <c r="N542" s="67"/>
      <c r="O542" s="67"/>
      <c r="P542" s="67"/>
      <c r="Q542" s="67"/>
      <c r="R542" s="67"/>
      <c r="S542" s="67"/>
      <c r="T542" s="67"/>
      <c r="U542" s="67"/>
      <c r="V542" s="67"/>
      <c r="W542" s="67"/>
      <c r="X542" s="67"/>
      <c r="Y542" s="67"/>
      <c r="Z542" s="67"/>
    </row>
    <row r="543">
      <c r="A543" s="67"/>
      <c r="B543" s="67"/>
      <c r="C543" s="67"/>
      <c r="D543" s="67"/>
      <c r="E543" s="67"/>
      <c r="F543" s="67"/>
      <c r="G543" s="67"/>
      <c r="H543" s="67"/>
      <c r="I543" s="67"/>
      <c r="J543" s="67"/>
      <c r="K543" s="67"/>
      <c r="L543" s="67"/>
      <c r="M543" s="67"/>
      <c r="N543" s="67"/>
      <c r="O543" s="67"/>
      <c r="P543" s="67"/>
      <c r="Q543" s="67"/>
      <c r="R543" s="67"/>
      <c r="S543" s="67"/>
      <c r="T543" s="67"/>
      <c r="U543" s="67"/>
      <c r="V543" s="67"/>
      <c r="W543" s="67"/>
      <c r="X543" s="67"/>
      <c r="Y543" s="67"/>
      <c r="Z543" s="67"/>
    </row>
    <row r="544">
      <c r="A544" s="67"/>
      <c r="B544" s="67"/>
      <c r="C544" s="67"/>
      <c r="D544" s="67"/>
      <c r="E544" s="67"/>
      <c r="F544" s="67"/>
      <c r="G544" s="67"/>
      <c r="H544" s="67"/>
      <c r="I544" s="67"/>
      <c r="J544" s="67"/>
      <c r="K544" s="67"/>
      <c r="L544" s="67"/>
      <c r="M544" s="67"/>
      <c r="N544" s="67"/>
      <c r="O544" s="67"/>
      <c r="P544" s="67"/>
      <c r="Q544" s="67"/>
      <c r="R544" s="67"/>
      <c r="S544" s="67"/>
      <c r="T544" s="67"/>
      <c r="U544" s="67"/>
      <c r="V544" s="67"/>
      <c r="W544" s="67"/>
      <c r="X544" s="67"/>
      <c r="Y544" s="67"/>
      <c r="Z544" s="67"/>
    </row>
    <row r="545">
      <c r="A545" s="67"/>
      <c r="B545" s="67"/>
      <c r="C545" s="67"/>
      <c r="D545" s="67"/>
      <c r="E545" s="67"/>
      <c r="F545" s="67"/>
      <c r="G545" s="67"/>
      <c r="H545" s="67"/>
      <c r="I545" s="67"/>
      <c r="J545" s="67"/>
      <c r="K545" s="67"/>
      <c r="L545" s="67"/>
      <c r="M545" s="67"/>
      <c r="N545" s="67"/>
      <c r="O545" s="67"/>
      <c r="P545" s="67"/>
      <c r="Q545" s="67"/>
      <c r="R545" s="67"/>
      <c r="S545" s="67"/>
      <c r="T545" s="67"/>
      <c r="U545" s="67"/>
      <c r="V545" s="67"/>
      <c r="W545" s="67"/>
      <c r="X545" s="67"/>
      <c r="Y545" s="67"/>
      <c r="Z545" s="67"/>
    </row>
    <row r="546">
      <c r="A546" s="67"/>
      <c r="B546" s="67"/>
      <c r="C546" s="67"/>
      <c r="D546" s="67"/>
      <c r="E546" s="67"/>
      <c r="F546" s="67"/>
      <c r="G546" s="67"/>
      <c r="H546" s="67"/>
      <c r="I546" s="67"/>
      <c r="J546" s="67"/>
      <c r="K546" s="67"/>
      <c r="L546" s="67"/>
      <c r="M546" s="67"/>
      <c r="N546" s="67"/>
      <c r="O546" s="67"/>
      <c r="P546" s="67"/>
      <c r="Q546" s="67"/>
      <c r="R546" s="67"/>
      <c r="S546" s="67"/>
      <c r="T546" s="67"/>
      <c r="U546" s="67"/>
      <c r="V546" s="67"/>
      <c r="W546" s="67"/>
      <c r="X546" s="67"/>
      <c r="Y546" s="67"/>
      <c r="Z546" s="67"/>
    </row>
    <row r="547">
      <c r="A547" s="67"/>
      <c r="B547" s="67"/>
      <c r="C547" s="67"/>
      <c r="D547" s="67"/>
      <c r="E547" s="67"/>
      <c r="F547" s="67"/>
      <c r="G547" s="67"/>
      <c r="H547" s="67"/>
      <c r="I547" s="67"/>
      <c r="J547" s="67"/>
      <c r="K547" s="67"/>
      <c r="L547" s="67"/>
      <c r="M547" s="67"/>
      <c r="N547" s="67"/>
      <c r="O547" s="67"/>
      <c r="P547" s="67"/>
      <c r="Q547" s="67"/>
      <c r="R547" s="67"/>
      <c r="S547" s="67"/>
      <c r="T547" s="67"/>
      <c r="U547" s="67"/>
      <c r="V547" s="67"/>
      <c r="W547" s="67"/>
      <c r="X547" s="67"/>
      <c r="Y547" s="67"/>
      <c r="Z547" s="67"/>
    </row>
    <row r="548">
      <c r="A548" s="67"/>
      <c r="B548" s="67"/>
      <c r="C548" s="67"/>
      <c r="D548" s="67"/>
      <c r="E548" s="67"/>
      <c r="F548" s="67"/>
      <c r="G548" s="67"/>
      <c r="H548" s="67"/>
      <c r="I548" s="67"/>
      <c r="J548" s="67"/>
      <c r="K548" s="67"/>
      <c r="L548" s="67"/>
      <c r="M548" s="67"/>
      <c r="N548" s="67"/>
      <c r="O548" s="67"/>
      <c r="P548" s="67"/>
      <c r="Q548" s="67"/>
      <c r="R548" s="67"/>
      <c r="S548" s="67"/>
      <c r="T548" s="67"/>
      <c r="U548" s="67"/>
      <c r="V548" s="67"/>
      <c r="W548" s="67"/>
      <c r="X548" s="67"/>
      <c r="Y548" s="67"/>
      <c r="Z548" s="67"/>
    </row>
    <row r="549">
      <c r="A549" s="67"/>
      <c r="B549" s="67"/>
      <c r="C549" s="67"/>
      <c r="D549" s="67"/>
      <c r="E549" s="67"/>
      <c r="F549" s="67"/>
      <c r="G549" s="67"/>
      <c r="H549" s="67"/>
      <c r="I549" s="67"/>
      <c r="J549" s="67"/>
      <c r="K549" s="67"/>
      <c r="L549" s="67"/>
      <c r="M549" s="67"/>
      <c r="N549" s="67"/>
      <c r="O549" s="67"/>
      <c r="P549" s="67"/>
      <c r="Q549" s="67"/>
      <c r="R549" s="67"/>
      <c r="S549" s="67"/>
      <c r="T549" s="67"/>
      <c r="U549" s="67"/>
      <c r="V549" s="67"/>
      <c r="W549" s="67"/>
      <c r="X549" s="67"/>
      <c r="Y549" s="67"/>
      <c r="Z549" s="67"/>
    </row>
    <row r="550">
      <c r="A550" s="67"/>
      <c r="B550" s="67"/>
      <c r="C550" s="67"/>
      <c r="D550" s="67"/>
      <c r="E550" s="67"/>
      <c r="F550" s="67"/>
      <c r="G550" s="67"/>
      <c r="H550" s="67"/>
      <c r="I550" s="67"/>
      <c r="J550" s="67"/>
      <c r="K550" s="67"/>
      <c r="L550" s="67"/>
      <c r="M550" s="67"/>
      <c r="N550" s="67"/>
      <c r="O550" s="67"/>
      <c r="P550" s="67"/>
      <c r="Q550" s="67"/>
      <c r="R550" s="67"/>
      <c r="S550" s="67"/>
      <c r="T550" s="67"/>
      <c r="U550" s="67"/>
      <c r="V550" s="67"/>
      <c r="W550" s="67"/>
      <c r="X550" s="67"/>
      <c r="Y550" s="67"/>
      <c r="Z550" s="67"/>
    </row>
    <row r="551">
      <c r="A551" s="67"/>
      <c r="B551" s="67"/>
      <c r="C551" s="67"/>
      <c r="D551" s="67"/>
      <c r="E551" s="67"/>
      <c r="F551" s="67"/>
      <c r="G551" s="67"/>
      <c r="H551" s="67"/>
      <c r="I551" s="67"/>
      <c r="J551" s="67"/>
      <c r="K551" s="67"/>
      <c r="L551" s="67"/>
      <c r="M551" s="67"/>
      <c r="N551" s="67"/>
      <c r="O551" s="67"/>
      <c r="P551" s="67"/>
      <c r="Q551" s="67"/>
      <c r="R551" s="67"/>
      <c r="S551" s="67"/>
      <c r="T551" s="67"/>
      <c r="U551" s="67"/>
      <c r="V551" s="67"/>
      <c r="W551" s="67"/>
      <c r="X551" s="67"/>
      <c r="Y551" s="67"/>
      <c r="Z551" s="67"/>
    </row>
    <row r="552">
      <c r="A552" s="67"/>
      <c r="B552" s="67"/>
      <c r="C552" s="67"/>
      <c r="D552" s="67"/>
      <c r="E552" s="67"/>
      <c r="F552" s="67"/>
      <c r="G552" s="67"/>
      <c r="H552" s="67"/>
      <c r="I552" s="67"/>
      <c r="J552" s="67"/>
      <c r="K552" s="67"/>
      <c r="L552" s="67"/>
      <c r="M552" s="67"/>
      <c r="N552" s="67"/>
      <c r="O552" s="67"/>
      <c r="P552" s="67"/>
      <c r="Q552" s="67"/>
      <c r="R552" s="67"/>
      <c r="S552" s="67"/>
      <c r="T552" s="67"/>
      <c r="U552" s="67"/>
      <c r="V552" s="67"/>
      <c r="W552" s="67"/>
      <c r="X552" s="67"/>
      <c r="Y552" s="67"/>
      <c r="Z552" s="67"/>
    </row>
    <row r="553">
      <c r="A553" s="67"/>
      <c r="B553" s="67"/>
      <c r="C553" s="67"/>
      <c r="D553" s="67"/>
      <c r="E553" s="67"/>
      <c r="F553" s="67"/>
      <c r="G553" s="67"/>
      <c r="H553" s="67"/>
      <c r="I553" s="67"/>
      <c r="J553" s="67"/>
      <c r="K553" s="67"/>
      <c r="L553" s="67"/>
      <c r="M553" s="67"/>
      <c r="N553" s="67"/>
      <c r="O553" s="67"/>
      <c r="P553" s="67"/>
      <c r="Q553" s="67"/>
      <c r="R553" s="67"/>
      <c r="S553" s="67"/>
      <c r="T553" s="67"/>
      <c r="U553" s="67"/>
      <c r="V553" s="67"/>
      <c r="W553" s="67"/>
      <c r="X553" s="67"/>
      <c r="Y553" s="67"/>
      <c r="Z553" s="67"/>
    </row>
    <row r="554">
      <c r="A554" s="67"/>
      <c r="B554" s="67"/>
      <c r="C554" s="67"/>
      <c r="D554" s="67"/>
      <c r="E554" s="67"/>
      <c r="F554" s="67"/>
      <c r="G554" s="67"/>
      <c r="H554" s="67"/>
      <c r="I554" s="67"/>
      <c r="J554" s="67"/>
      <c r="K554" s="67"/>
      <c r="L554" s="67"/>
      <c r="M554" s="67"/>
      <c r="N554" s="67"/>
      <c r="O554" s="67"/>
      <c r="P554" s="67"/>
      <c r="Q554" s="67"/>
      <c r="R554" s="67"/>
      <c r="S554" s="67"/>
      <c r="T554" s="67"/>
      <c r="U554" s="67"/>
      <c r="V554" s="67"/>
      <c r="W554" s="67"/>
      <c r="X554" s="67"/>
      <c r="Y554" s="67"/>
      <c r="Z554" s="67"/>
    </row>
    <row r="555">
      <c r="A555" s="67"/>
      <c r="B555" s="67"/>
      <c r="C555" s="67"/>
      <c r="D555" s="67"/>
      <c r="E555" s="67"/>
      <c r="F555" s="67"/>
      <c r="G555" s="67"/>
      <c r="H555" s="67"/>
      <c r="I555" s="67"/>
      <c r="J555" s="67"/>
      <c r="K555" s="67"/>
      <c r="L555" s="67"/>
      <c r="M555" s="67"/>
      <c r="N555" s="67"/>
      <c r="O555" s="67"/>
      <c r="P555" s="67"/>
      <c r="Q555" s="67"/>
      <c r="R555" s="67"/>
      <c r="S555" s="67"/>
      <c r="T555" s="67"/>
      <c r="U555" s="67"/>
      <c r="V555" s="67"/>
      <c r="W555" s="67"/>
      <c r="X555" s="67"/>
      <c r="Y555" s="67"/>
      <c r="Z555" s="67"/>
    </row>
    <row r="556">
      <c r="A556" s="67"/>
      <c r="B556" s="67"/>
      <c r="C556" s="67"/>
      <c r="D556" s="67"/>
      <c r="E556" s="67"/>
      <c r="F556" s="67"/>
      <c r="G556" s="67"/>
      <c r="H556" s="67"/>
      <c r="I556" s="67"/>
      <c r="J556" s="67"/>
      <c r="K556" s="67"/>
      <c r="L556" s="67"/>
      <c r="M556" s="67"/>
      <c r="N556" s="67"/>
      <c r="O556" s="67"/>
      <c r="P556" s="67"/>
      <c r="Q556" s="67"/>
      <c r="R556" s="67"/>
      <c r="S556" s="67"/>
      <c r="T556" s="67"/>
      <c r="U556" s="67"/>
      <c r="V556" s="67"/>
      <c r="W556" s="67"/>
      <c r="X556" s="67"/>
      <c r="Y556" s="67"/>
      <c r="Z556" s="67"/>
    </row>
    <row r="557">
      <c r="A557" s="67"/>
      <c r="B557" s="67"/>
      <c r="C557" s="67"/>
      <c r="D557" s="67"/>
      <c r="E557" s="67"/>
      <c r="F557" s="67"/>
      <c r="G557" s="67"/>
      <c r="H557" s="67"/>
      <c r="I557" s="67"/>
      <c r="J557" s="67"/>
      <c r="K557" s="67"/>
      <c r="L557" s="67"/>
      <c r="M557" s="67"/>
      <c r="N557" s="67"/>
      <c r="O557" s="67"/>
      <c r="P557" s="67"/>
      <c r="Q557" s="67"/>
      <c r="R557" s="67"/>
      <c r="S557" s="67"/>
      <c r="T557" s="67"/>
      <c r="U557" s="67"/>
      <c r="V557" s="67"/>
      <c r="W557" s="67"/>
      <c r="X557" s="67"/>
      <c r="Y557" s="67"/>
      <c r="Z557" s="67"/>
    </row>
    <row r="558">
      <c r="A558" s="67"/>
      <c r="B558" s="67"/>
      <c r="C558" s="67"/>
      <c r="D558" s="67"/>
      <c r="E558" s="67"/>
      <c r="F558" s="67"/>
      <c r="G558" s="67"/>
      <c r="H558" s="67"/>
      <c r="I558" s="67"/>
      <c r="J558" s="67"/>
      <c r="K558" s="67"/>
      <c r="L558" s="67"/>
      <c r="M558" s="67"/>
      <c r="N558" s="67"/>
      <c r="O558" s="67"/>
      <c r="P558" s="67"/>
      <c r="Q558" s="67"/>
      <c r="R558" s="67"/>
      <c r="S558" s="67"/>
      <c r="T558" s="67"/>
      <c r="U558" s="67"/>
      <c r="V558" s="67"/>
      <c r="W558" s="67"/>
      <c r="X558" s="67"/>
      <c r="Y558" s="67"/>
      <c r="Z558" s="67"/>
    </row>
    <row r="559">
      <c r="A559" s="67"/>
      <c r="B559" s="67"/>
      <c r="C559" s="67"/>
      <c r="D559" s="67"/>
      <c r="E559" s="67"/>
      <c r="F559" s="67"/>
      <c r="G559" s="67"/>
      <c r="H559" s="67"/>
      <c r="I559" s="67"/>
      <c r="J559" s="67"/>
      <c r="K559" s="67"/>
      <c r="L559" s="67"/>
      <c r="M559" s="67"/>
      <c r="N559" s="67"/>
      <c r="O559" s="67"/>
      <c r="P559" s="67"/>
      <c r="Q559" s="67"/>
      <c r="R559" s="67"/>
      <c r="S559" s="67"/>
      <c r="T559" s="67"/>
      <c r="U559" s="67"/>
      <c r="V559" s="67"/>
      <c r="W559" s="67"/>
      <c r="X559" s="67"/>
      <c r="Y559" s="67"/>
      <c r="Z559" s="67"/>
    </row>
    <row r="560">
      <c r="A560" s="67"/>
      <c r="B560" s="67"/>
      <c r="C560" s="67"/>
      <c r="D560" s="67"/>
      <c r="E560" s="67"/>
      <c r="F560" s="67"/>
      <c r="G560" s="67"/>
      <c r="H560" s="67"/>
      <c r="I560" s="67"/>
      <c r="J560" s="67"/>
      <c r="K560" s="67"/>
      <c r="L560" s="67"/>
      <c r="M560" s="67"/>
      <c r="N560" s="67"/>
      <c r="O560" s="67"/>
      <c r="P560" s="67"/>
      <c r="Q560" s="67"/>
      <c r="R560" s="67"/>
      <c r="S560" s="67"/>
      <c r="T560" s="67"/>
      <c r="U560" s="67"/>
      <c r="V560" s="67"/>
      <c r="W560" s="67"/>
      <c r="X560" s="67"/>
      <c r="Y560" s="67"/>
      <c r="Z560" s="67"/>
    </row>
    <row r="561">
      <c r="A561" s="67"/>
      <c r="B561" s="67"/>
      <c r="C561" s="67"/>
      <c r="D561" s="67"/>
      <c r="E561" s="67"/>
      <c r="F561" s="67"/>
      <c r="G561" s="67"/>
      <c r="H561" s="67"/>
      <c r="I561" s="67"/>
      <c r="J561" s="67"/>
      <c r="K561" s="67"/>
      <c r="L561" s="67"/>
      <c r="M561" s="67"/>
      <c r="N561" s="67"/>
      <c r="O561" s="67"/>
      <c r="P561" s="67"/>
      <c r="Q561" s="67"/>
      <c r="R561" s="67"/>
      <c r="S561" s="67"/>
      <c r="T561" s="67"/>
      <c r="U561" s="67"/>
      <c r="V561" s="67"/>
      <c r="W561" s="67"/>
      <c r="X561" s="67"/>
      <c r="Y561" s="67"/>
      <c r="Z561" s="67"/>
    </row>
    <row r="562">
      <c r="A562" s="67"/>
      <c r="B562" s="67"/>
      <c r="C562" s="67"/>
      <c r="D562" s="67"/>
      <c r="E562" s="67"/>
      <c r="F562" s="67"/>
      <c r="G562" s="67"/>
      <c r="H562" s="67"/>
      <c r="I562" s="67"/>
      <c r="J562" s="67"/>
      <c r="K562" s="67"/>
      <c r="L562" s="67"/>
      <c r="M562" s="67"/>
      <c r="N562" s="67"/>
      <c r="O562" s="67"/>
      <c r="P562" s="67"/>
      <c r="Q562" s="67"/>
      <c r="R562" s="67"/>
      <c r="S562" s="67"/>
      <c r="T562" s="67"/>
      <c r="U562" s="67"/>
      <c r="V562" s="67"/>
      <c r="W562" s="67"/>
      <c r="X562" s="67"/>
      <c r="Y562" s="67"/>
      <c r="Z562" s="67"/>
    </row>
    <row r="563">
      <c r="A563" s="67"/>
      <c r="B563" s="67"/>
      <c r="C563" s="67"/>
      <c r="D563" s="67"/>
      <c r="E563" s="67"/>
      <c r="F563" s="67"/>
      <c r="G563" s="67"/>
      <c r="H563" s="67"/>
      <c r="I563" s="67"/>
      <c r="J563" s="67"/>
      <c r="K563" s="67"/>
      <c r="L563" s="67"/>
      <c r="M563" s="67"/>
      <c r="N563" s="67"/>
      <c r="O563" s="67"/>
      <c r="P563" s="67"/>
      <c r="Q563" s="67"/>
      <c r="R563" s="67"/>
      <c r="S563" s="67"/>
      <c r="T563" s="67"/>
      <c r="U563" s="67"/>
      <c r="V563" s="67"/>
      <c r="W563" s="67"/>
      <c r="X563" s="67"/>
      <c r="Y563" s="67"/>
      <c r="Z563" s="67"/>
    </row>
    <row r="564">
      <c r="A564" s="67"/>
      <c r="B564" s="67"/>
      <c r="C564" s="67"/>
      <c r="D564" s="67"/>
      <c r="E564" s="67"/>
      <c r="F564" s="67"/>
      <c r="G564" s="67"/>
      <c r="H564" s="67"/>
      <c r="I564" s="67"/>
      <c r="J564" s="67"/>
      <c r="K564" s="67"/>
      <c r="L564" s="67"/>
      <c r="M564" s="67"/>
      <c r="N564" s="67"/>
      <c r="O564" s="67"/>
      <c r="P564" s="67"/>
      <c r="Q564" s="67"/>
      <c r="R564" s="67"/>
      <c r="S564" s="67"/>
      <c r="T564" s="67"/>
      <c r="U564" s="67"/>
      <c r="V564" s="67"/>
      <c r="W564" s="67"/>
      <c r="X564" s="67"/>
      <c r="Y564" s="67"/>
      <c r="Z564" s="67"/>
    </row>
    <row r="565">
      <c r="A565" s="67"/>
      <c r="B565" s="67"/>
      <c r="C565" s="67"/>
      <c r="D565" s="67"/>
      <c r="E565" s="67"/>
      <c r="F565" s="67"/>
      <c r="G565" s="67"/>
      <c r="H565" s="67"/>
      <c r="I565" s="67"/>
      <c r="J565" s="67"/>
      <c r="K565" s="67"/>
      <c r="L565" s="67"/>
      <c r="M565" s="67"/>
      <c r="N565" s="67"/>
      <c r="O565" s="67"/>
      <c r="P565" s="67"/>
      <c r="Q565" s="67"/>
      <c r="R565" s="67"/>
      <c r="S565" s="67"/>
      <c r="T565" s="67"/>
      <c r="U565" s="67"/>
      <c r="V565" s="67"/>
      <c r="W565" s="67"/>
      <c r="X565" s="67"/>
      <c r="Y565" s="67"/>
      <c r="Z565" s="67"/>
    </row>
    <row r="566">
      <c r="A566" s="67"/>
      <c r="B566" s="67"/>
      <c r="C566" s="67"/>
      <c r="D566" s="67"/>
      <c r="E566" s="67"/>
      <c r="F566" s="67"/>
      <c r="G566" s="67"/>
      <c r="H566" s="67"/>
      <c r="I566" s="67"/>
      <c r="J566" s="67"/>
      <c r="K566" s="67"/>
      <c r="L566" s="67"/>
      <c r="M566" s="67"/>
      <c r="N566" s="67"/>
      <c r="O566" s="67"/>
      <c r="P566" s="67"/>
      <c r="Q566" s="67"/>
      <c r="R566" s="67"/>
      <c r="S566" s="67"/>
      <c r="T566" s="67"/>
      <c r="U566" s="67"/>
      <c r="V566" s="67"/>
      <c r="W566" s="67"/>
      <c r="X566" s="67"/>
      <c r="Y566" s="67"/>
      <c r="Z566" s="67"/>
    </row>
    <row r="567">
      <c r="A567" s="67"/>
      <c r="B567" s="67"/>
      <c r="C567" s="67"/>
      <c r="D567" s="67"/>
      <c r="E567" s="67"/>
      <c r="F567" s="67"/>
      <c r="G567" s="67"/>
      <c r="H567" s="67"/>
      <c r="I567" s="67"/>
      <c r="J567" s="67"/>
      <c r="K567" s="67"/>
      <c r="L567" s="67"/>
      <c r="M567" s="67"/>
      <c r="N567" s="67"/>
      <c r="O567" s="67"/>
      <c r="P567" s="67"/>
      <c r="Q567" s="67"/>
      <c r="R567" s="67"/>
      <c r="S567" s="67"/>
      <c r="T567" s="67"/>
      <c r="U567" s="67"/>
      <c r="V567" s="67"/>
      <c r="W567" s="67"/>
      <c r="X567" s="67"/>
      <c r="Y567" s="67"/>
      <c r="Z567" s="67"/>
    </row>
    <row r="568">
      <c r="A568" s="67"/>
      <c r="B568" s="67"/>
      <c r="C568" s="67"/>
      <c r="D568" s="67"/>
      <c r="E568" s="67"/>
      <c r="F568" s="67"/>
      <c r="G568" s="67"/>
      <c r="H568" s="67"/>
      <c r="I568" s="67"/>
      <c r="J568" s="67"/>
      <c r="K568" s="67"/>
      <c r="L568" s="67"/>
      <c r="M568" s="67"/>
      <c r="N568" s="67"/>
      <c r="O568" s="67"/>
      <c r="P568" s="67"/>
      <c r="Q568" s="67"/>
      <c r="R568" s="67"/>
      <c r="S568" s="67"/>
      <c r="T568" s="67"/>
      <c r="U568" s="67"/>
      <c r="V568" s="67"/>
      <c r="W568" s="67"/>
      <c r="X568" s="67"/>
      <c r="Y568" s="67"/>
      <c r="Z568" s="67"/>
    </row>
    <row r="569">
      <c r="A569" s="67"/>
      <c r="B569" s="67"/>
      <c r="C569" s="67"/>
      <c r="D569" s="67"/>
      <c r="E569" s="67"/>
      <c r="F569" s="67"/>
      <c r="G569" s="67"/>
      <c r="H569" s="67"/>
      <c r="I569" s="67"/>
      <c r="J569" s="67"/>
      <c r="K569" s="67"/>
      <c r="L569" s="67"/>
      <c r="M569" s="67"/>
      <c r="N569" s="67"/>
      <c r="O569" s="67"/>
      <c r="P569" s="67"/>
      <c r="Q569" s="67"/>
      <c r="R569" s="67"/>
      <c r="S569" s="67"/>
      <c r="T569" s="67"/>
      <c r="U569" s="67"/>
      <c r="V569" s="67"/>
      <c r="W569" s="67"/>
      <c r="X569" s="67"/>
      <c r="Y569" s="67"/>
      <c r="Z569" s="67"/>
    </row>
    <row r="570">
      <c r="A570" s="67"/>
      <c r="B570" s="67"/>
      <c r="C570" s="67"/>
      <c r="D570" s="67"/>
      <c r="E570" s="67"/>
      <c r="F570" s="67"/>
      <c r="G570" s="67"/>
      <c r="H570" s="67"/>
      <c r="I570" s="67"/>
      <c r="J570" s="67"/>
      <c r="K570" s="67"/>
      <c r="L570" s="67"/>
      <c r="M570" s="67"/>
      <c r="N570" s="67"/>
      <c r="O570" s="67"/>
      <c r="P570" s="67"/>
      <c r="Q570" s="67"/>
      <c r="R570" s="67"/>
      <c r="S570" s="67"/>
      <c r="T570" s="67"/>
      <c r="U570" s="67"/>
      <c r="V570" s="67"/>
      <c r="W570" s="67"/>
      <c r="X570" s="67"/>
      <c r="Y570" s="67"/>
      <c r="Z570" s="67"/>
    </row>
    <row r="571">
      <c r="A571" s="67"/>
      <c r="B571" s="67"/>
      <c r="C571" s="67"/>
      <c r="D571" s="67"/>
      <c r="E571" s="67"/>
      <c r="F571" s="67"/>
      <c r="G571" s="67"/>
      <c r="H571" s="67"/>
      <c r="I571" s="67"/>
      <c r="J571" s="67"/>
      <c r="K571" s="67"/>
      <c r="L571" s="67"/>
      <c r="M571" s="67"/>
      <c r="N571" s="67"/>
      <c r="O571" s="67"/>
      <c r="P571" s="67"/>
      <c r="Q571" s="67"/>
      <c r="R571" s="67"/>
      <c r="S571" s="67"/>
      <c r="T571" s="67"/>
      <c r="U571" s="67"/>
      <c r="V571" s="67"/>
      <c r="W571" s="67"/>
      <c r="X571" s="67"/>
      <c r="Y571" s="67"/>
      <c r="Z571" s="67"/>
    </row>
    <row r="572">
      <c r="A572" s="67"/>
      <c r="B572" s="67"/>
      <c r="C572" s="67"/>
      <c r="D572" s="67"/>
      <c r="E572" s="67"/>
      <c r="F572" s="67"/>
      <c r="G572" s="67"/>
      <c r="H572" s="67"/>
      <c r="I572" s="67"/>
      <c r="J572" s="67"/>
      <c r="K572" s="67"/>
      <c r="L572" s="67"/>
      <c r="M572" s="67"/>
      <c r="N572" s="67"/>
      <c r="O572" s="67"/>
      <c r="P572" s="67"/>
      <c r="Q572" s="67"/>
      <c r="R572" s="67"/>
      <c r="S572" s="67"/>
      <c r="T572" s="67"/>
      <c r="U572" s="67"/>
      <c r="V572" s="67"/>
      <c r="W572" s="67"/>
      <c r="X572" s="67"/>
      <c r="Y572" s="67"/>
      <c r="Z572" s="67"/>
    </row>
    <row r="573">
      <c r="A573" s="67"/>
      <c r="B573" s="67"/>
      <c r="C573" s="67"/>
      <c r="D573" s="67"/>
      <c r="E573" s="67"/>
      <c r="F573" s="67"/>
      <c r="G573" s="67"/>
      <c r="H573" s="67"/>
      <c r="I573" s="67"/>
      <c r="J573" s="67"/>
      <c r="K573" s="67"/>
      <c r="L573" s="67"/>
      <c r="M573" s="67"/>
      <c r="N573" s="67"/>
      <c r="O573" s="67"/>
      <c r="P573" s="67"/>
      <c r="Q573" s="67"/>
      <c r="R573" s="67"/>
      <c r="S573" s="67"/>
      <c r="T573" s="67"/>
      <c r="U573" s="67"/>
      <c r="V573" s="67"/>
      <c r="W573" s="67"/>
      <c r="X573" s="67"/>
      <c r="Y573" s="67"/>
      <c r="Z573" s="67"/>
    </row>
    <row r="574">
      <c r="A574" s="67"/>
      <c r="B574" s="67"/>
      <c r="C574" s="67"/>
      <c r="D574" s="67"/>
      <c r="E574" s="67"/>
      <c r="F574" s="67"/>
      <c r="G574" s="67"/>
      <c r="H574" s="67"/>
      <c r="I574" s="67"/>
      <c r="J574" s="67"/>
      <c r="K574" s="67"/>
      <c r="L574" s="67"/>
      <c r="M574" s="67"/>
      <c r="N574" s="67"/>
      <c r="O574" s="67"/>
      <c r="P574" s="67"/>
      <c r="Q574" s="67"/>
      <c r="R574" s="67"/>
      <c r="S574" s="67"/>
      <c r="T574" s="67"/>
      <c r="U574" s="67"/>
      <c r="V574" s="67"/>
      <c r="W574" s="67"/>
      <c r="X574" s="67"/>
      <c r="Y574" s="67"/>
      <c r="Z574" s="67"/>
    </row>
    <row r="575">
      <c r="A575" s="67"/>
      <c r="B575" s="67"/>
      <c r="C575" s="67"/>
      <c r="D575" s="67"/>
      <c r="E575" s="67"/>
      <c r="F575" s="67"/>
      <c r="G575" s="67"/>
      <c r="H575" s="67"/>
      <c r="I575" s="67"/>
      <c r="J575" s="67"/>
      <c r="K575" s="67"/>
      <c r="L575" s="67"/>
      <c r="M575" s="67"/>
      <c r="N575" s="67"/>
      <c r="O575" s="67"/>
      <c r="P575" s="67"/>
      <c r="Q575" s="67"/>
      <c r="R575" s="67"/>
      <c r="S575" s="67"/>
      <c r="T575" s="67"/>
      <c r="U575" s="67"/>
      <c r="V575" s="67"/>
      <c r="W575" s="67"/>
      <c r="X575" s="67"/>
      <c r="Y575" s="67"/>
      <c r="Z575" s="67"/>
    </row>
    <row r="576">
      <c r="A576" s="67"/>
      <c r="B576" s="67"/>
      <c r="C576" s="67"/>
      <c r="D576" s="67"/>
      <c r="E576" s="67"/>
      <c r="F576" s="67"/>
      <c r="G576" s="67"/>
      <c r="H576" s="67"/>
      <c r="I576" s="67"/>
      <c r="J576" s="67"/>
      <c r="K576" s="67"/>
      <c r="L576" s="67"/>
      <c r="M576" s="67"/>
      <c r="N576" s="67"/>
      <c r="O576" s="67"/>
      <c r="P576" s="67"/>
      <c r="Q576" s="67"/>
      <c r="R576" s="67"/>
      <c r="S576" s="67"/>
      <c r="T576" s="67"/>
      <c r="U576" s="67"/>
      <c r="V576" s="67"/>
      <c r="W576" s="67"/>
      <c r="X576" s="67"/>
      <c r="Y576" s="67"/>
      <c r="Z576" s="67"/>
    </row>
    <row r="577">
      <c r="A577" s="67"/>
      <c r="B577" s="67"/>
      <c r="C577" s="67"/>
      <c r="D577" s="67"/>
      <c r="E577" s="67"/>
      <c r="F577" s="67"/>
      <c r="G577" s="67"/>
      <c r="H577" s="67"/>
      <c r="I577" s="67"/>
      <c r="J577" s="67"/>
      <c r="K577" s="67"/>
      <c r="L577" s="67"/>
      <c r="M577" s="67"/>
      <c r="N577" s="67"/>
      <c r="O577" s="67"/>
      <c r="P577" s="67"/>
      <c r="Q577" s="67"/>
      <c r="R577" s="67"/>
      <c r="S577" s="67"/>
      <c r="T577" s="67"/>
      <c r="U577" s="67"/>
      <c r="V577" s="67"/>
      <c r="W577" s="67"/>
      <c r="X577" s="67"/>
      <c r="Y577" s="67"/>
      <c r="Z577" s="67"/>
    </row>
    <row r="578">
      <c r="A578" s="67"/>
      <c r="B578" s="67"/>
      <c r="C578" s="67"/>
      <c r="D578" s="67"/>
      <c r="E578" s="67"/>
      <c r="F578" s="67"/>
      <c r="G578" s="67"/>
      <c r="H578" s="67"/>
      <c r="I578" s="67"/>
      <c r="J578" s="67"/>
      <c r="K578" s="67"/>
      <c r="L578" s="67"/>
      <c r="M578" s="67"/>
      <c r="N578" s="67"/>
      <c r="O578" s="67"/>
      <c r="P578" s="67"/>
      <c r="Q578" s="67"/>
      <c r="R578" s="67"/>
      <c r="S578" s="67"/>
      <c r="T578" s="67"/>
      <c r="U578" s="67"/>
      <c r="V578" s="67"/>
      <c r="W578" s="67"/>
      <c r="X578" s="67"/>
      <c r="Y578" s="67"/>
      <c r="Z578" s="67"/>
    </row>
    <row r="579">
      <c r="A579" s="67"/>
      <c r="B579" s="67"/>
      <c r="C579" s="67"/>
      <c r="D579" s="67"/>
      <c r="E579" s="67"/>
      <c r="F579" s="67"/>
      <c r="G579" s="67"/>
      <c r="H579" s="67"/>
      <c r="I579" s="67"/>
      <c r="J579" s="67"/>
      <c r="K579" s="67"/>
      <c r="L579" s="67"/>
      <c r="M579" s="67"/>
      <c r="N579" s="67"/>
      <c r="O579" s="67"/>
      <c r="P579" s="67"/>
      <c r="Q579" s="67"/>
      <c r="R579" s="67"/>
      <c r="S579" s="67"/>
      <c r="T579" s="67"/>
      <c r="U579" s="67"/>
      <c r="V579" s="67"/>
      <c r="W579" s="67"/>
      <c r="X579" s="67"/>
      <c r="Y579" s="67"/>
      <c r="Z579" s="67"/>
    </row>
    <row r="580">
      <c r="A580" s="67"/>
      <c r="B580" s="67"/>
      <c r="C580" s="67"/>
      <c r="D580" s="67"/>
      <c r="E580" s="67"/>
      <c r="F580" s="67"/>
      <c r="G580" s="67"/>
      <c r="H580" s="67"/>
      <c r="I580" s="67"/>
      <c r="J580" s="67"/>
      <c r="K580" s="67"/>
      <c r="L580" s="67"/>
      <c r="M580" s="67"/>
      <c r="N580" s="67"/>
      <c r="O580" s="67"/>
      <c r="P580" s="67"/>
      <c r="Q580" s="67"/>
      <c r="R580" s="67"/>
      <c r="S580" s="67"/>
      <c r="T580" s="67"/>
      <c r="U580" s="67"/>
      <c r="V580" s="67"/>
      <c r="W580" s="67"/>
      <c r="X580" s="67"/>
      <c r="Y580" s="67"/>
      <c r="Z580" s="67"/>
    </row>
    <row r="581">
      <c r="A581" s="67"/>
      <c r="B581" s="67"/>
      <c r="C581" s="67"/>
      <c r="D581" s="67"/>
      <c r="E581" s="67"/>
      <c r="F581" s="67"/>
      <c r="G581" s="67"/>
      <c r="H581" s="67"/>
      <c r="I581" s="67"/>
      <c r="J581" s="67"/>
      <c r="K581" s="67"/>
      <c r="L581" s="67"/>
      <c r="M581" s="67"/>
      <c r="N581" s="67"/>
      <c r="O581" s="67"/>
      <c r="P581" s="67"/>
      <c r="Q581" s="67"/>
      <c r="R581" s="67"/>
      <c r="S581" s="67"/>
      <c r="T581" s="67"/>
      <c r="U581" s="67"/>
      <c r="V581" s="67"/>
      <c r="W581" s="67"/>
      <c r="X581" s="67"/>
      <c r="Y581" s="67"/>
      <c r="Z581" s="67"/>
    </row>
    <row r="582">
      <c r="A582" s="67"/>
      <c r="B582" s="67"/>
      <c r="C582" s="67"/>
      <c r="D582" s="67"/>
      <c r="E582" s="67"/>
      <c r="F582" s="67"/>
      <c r="G582" s="67"/>
      <c r="H582" s="67"/>
      <c r="I582" s="67"/>
      <c r="J582" s="67"/>
      <c r="K582" s="67"/>
      <c r="L582" s="67"/>
      <c r="M582" s="67"/>
      <c r="N582" s="67"/>
      <c r="O582" s="67"/>
      <c r="P582" s="67"/>
      <c r="Q582" s="67"/>
      <c r="R582" s="67"/>
      <c r="S582" s="67"/>
      <c r="T582" s="67"/>
      <c r="U582" s="67"/>
      <c r="V582" s="67"/>
      <c r="W582" s="67"/>
      <c r="X582" s="67"/>
      <c r="Y582" s="67"/>
      <c r="Z582" s="67"/>
    </row>
    <row r="583">
      <c r="A583" s="67"/>
      <c r="B583" s="67"/>
      <c r="C583" s="67"/>
      <c r="D583" s="67"/>
      <c r="E583" s="67"/>
      <c r="F583" s="67"/>
      <c r="G583" s="67"/>
      <c r="H583" s="67"/>
      <c r="I583" s="67"/>
      <c r="J583" s="67"/>
      <c r="K583" s="67"/>
      <c r="L583" s="67"/>
      <c r="M583" s="67"/>
      <c r="N583" s="67"/>
      <c r="O583" s="67"/>
      <c r="P583" s="67"/>
      <c r="Q583" s="67"/>
      <c r="R583" s="67"/>
      <c r="S583" s="67"/>
      <c r="T583" s="67"/>
      <c r="U583" s="67"/>
      <c r="V583" s="67"/>
      <c r="W583" s="67"/>
      <c r="X583" s="67"/>
      <c r="Y583" s="67"/>
      <c r="Z583" s="67"/>
    </row>
    <row r="584">
      <c r="A584" s="67"/>
      <c r="B584" s="67"/>
      <c r="C584" s="67"/>
      <c r="D584" s="67"/>
      <c r="E584" s="67"/>
      <c r="F584" s="67"/>
      <c r="G584" s="67"/>
      <c r="H584" s="67"/>
      <c r="I584" s="67"/>
      <c r="J584" s="67"/>
      <c r="K584" s="67"/>
      <c r="L584" s="67"/>
      <c r="M584" s="67"/>
      <c r="N584" s="67"/>
      <c r="O584" s="67"/>
      <c r="P584" s="67"/>
      <c r="Q584" s="67"/>
      <c r="R584" s="67"/>
      <c r="S584" s="67"/>
      <c r="T584" s="67"/>
      <c r="U584" s="67"/>
      <c r="V584" s="67"/>
      <c r="W584" s="67"/>
      <c r="X584" s="67"/>
      <c r="Y584" s="67"/>
      <c r="Z584" s="67"/>
    </row>
    <row r="585">
      <c r="A585" s="67"/>
      <c r="B585" s="67"/>
      <c r="C585" s="67"/>
      <c r="D585" s="67"/>
      <c r="E585" s="67"/>
      <c r="F585" s="67"/>
      <c r="G585" s="67"/>
      <c r="H585" s="67"/>
      <c r="I585" s="67"/>
      <c r="J585" s="67"/>
      <c r="K585" s="67"/>
      <c r="L585" s="67"/>
      <c r="M585" s="67"/>
      <c r="N585" s="67"/>
      <c r="O585" s="67"/>
      <c r="P585" s="67"/>
      <c r="Q585" s="67"/>
      <c r="R585" s="67"/>
      <c r="S585" s="67"/>
      <c r="T585" s="67"/>
      <c r="U585" s="67"/>
      <c r="V585" s="67"/>
      <c r="W585" s="67"/>
      <c r="X585" s="67"/>
      <c r="Y585" s="67"/>
      <c r="Z585" s="67"/>
    </row>
    <row r="586">
      <c r="A586" s="67"/>
      <c r="B586" s="67"/>
      <c r="C586" s="67"/>
      <c r="D586" s="67"/>
      <c r="E586" s="67"/>
      <c r="F586" s="67"/>
      <c r="G586" s="67"/>
      <c r="H586" s="67"/>
      <c r="I586" s="67"/>
      <c r="J586" s="67"/>
      <c r="K586" s="67"/>
      <c r="L586" s="67"/>
      <c r="M586" s="67"/>
      <c r="N586" s="67"/>
      <c r="O586" s="67"/>
      <c r="P586" s="67"/>
      <c r="Q586" s="67"/>
      <c r="R586" s="67"/>
      <c r="S586" s="67"/>
      <c r="T586" s="67"/>
      <c r="U586" s="67"/>
      <c r="V586" s="67"/>
      <c r="W586" s="67"/>
      <c r="X586" s="67"/>
      <c r="Y586" s="67"/>
      <c r="Z586" s="67"/>
    </row>
    <row r="587">
      <c r="A587" s="67"/>
      <c r="B587" s="67"/>
      <c r="C587" s="67"/>
      <c r="D587" s="67"/>
      <c r="E587" s="67"/>
      <c r="F587" s="67"/>
      <c r="G587" s="67"/>
      <c r="H587" s="67"/>
      <c r="I587" s="67"/>
      <c r="J587" s="67"/>
      <c r="K587" s="67"/>
      <c r="L587" s="67"/>
      <c r="M587" s="67"/>
      <c r="N587" s="67"/>
      <c r="O587" s="67"/>
      <c r="P587" s="67"/>
      <c r="Q587" s="67"/>
      <c r="R587" s="67"/>
      <c r="S587" s="67"/>
      <c r="T587" s="67"/>
      <c r="U587" s="67"/>
      <c r="V587" s="67"/>
      <c r="W587" s="67"/>
      <c r="X587" s="67"/>
      <c r="Y587" s="67"/>
      <c r="Z587" s="67"/>
    </row>
    <row r="588">
      <c r="A588" s="67"/>
      <c r="B588" s="67"/>
      <c r="C588" s="67"/>
      <c r="D588" s="67"/>
      <c r="E588" s="67"/>
      <c r="F588" s="67"/>
      <c r="G588" s="67"/>
      <c r="H588" s="67"/>
      <c r="I588" s="67"/>
      <c r="J588" s="67"/>
      <c r="K588" s="67"/>
      <c r="L588" s="67"/>
      <c r="M588" s="67"/>
      <c r="N588" s="67"/>
      <c r="O588" s="67"/>
      <c r="P588" s="67"/>
      <c r="Q588" s="67"/>
      <c r="R588" s="67"/>
      <c r="S588" s="67"/>
      <c r="T588" s="67"/>
      <c r="U588" s="67"/>
      <c r="V588" s="67"/>
      <c r="W588" s="67"/>
      <c r="X588" s="67"/>
      <c r="Y588" s="67"/>
      <c r="Z588" s="67"/>
    </row>
    <row r="589">
      <c r="A589" s="67"/>
      <c r="B589" s="67"/>
      <c r="C589" s="67"/>
      <c r="D589" s="67"/>
      <c r="E589" s="67"/>
      <c r="F589" s="67"/>
      <c r="G589" s="67"/>
      <c r="H589" s="67"/>
      <c r="I589" s="67"/>
      <c r="J589" s="67"/>
      <c r="K589" s="67"/>
      <c r="L589" s="67"/>
      <c r="M589" s="67"/>
      <c r="N589" s="67"/>
      <c r="O589" s="67"/>
      <c r="P589" s="67"/>
      <c r="Q589" s="67"/>
      <c r="R589" s="67"/>
      <c r="S589" s="67"/>
      <c r="T589" s="67"/>
      <c r="U589" s="67"/>
      <c r="V589" s="67"/>
      <c r="W589" s="67"/>
      <c r="X589" s="67"/>
      <c r="Y589" s="67"/>
      <c r="Z589" s="67"/>
    </row>
    <row r="590">
      <c r="A590" s="67"/>
      <c r="B590" s="67"/>
      <c r="C590" s="67"/>
      <c r="D590" s="67"/>
      <c r="E590" s="67"/>
      <c r="F590" s="67"/>
      <c r="G590" s="67"/>
      <c r="H590" s="67"/>
      <c r="I590" s="67"/>
      <c r="J590" s="67"/>
      <c r="K590" s="67"/>
      <c r="L590" s="67"/>
      <c r="M590" s="67"/>
      <c r="N590" s="67"/>
      <c r="O590" s="67"/>
      <c r="P590" s="67"/>
      <c r="Q590" s="67"/>
      <c r="R590" s="67"/>
      <c r="S590" s="67"/>
      <c r="T590" s="67"/>
      <c r="U590" s="67"/>
      <c r="V590" s="67"/>
      <c r="W590" s="67"/>
      <c r="X590" s="67"/>
      <c r="Y590" s="67"/>
      <c r="Z590" s="67"/>
    </row>
    <row r="591">
      <c r="A591" s="67"/>
      <c r="B591" s="67"/>
      <c r="C591" s="67"/>
      <c r="D591" s="67"/>
      <c r="E591" s="67"/>
      <c r="F591" s="67"/>
      <c r="G591" s="67"/>
      <c r="H591" s="67"/>
      <c r="I591" s="67"/>
      <c r="J591" s="67"/>
      <c r="K591" s="67"/>
      <c r="L591" s="67"/>
      <c r="M591" s="67"/>
      <c r="N591" s="67"/>
      <c r="O591" s="67"/>
      <c r="P591" s="67"/>
      <c r="Q591" s="67"/>
      <c r="R591" s="67"/>
      <c r="S591" s="67"/>
      <c r="T591" s="67"/>
      <c r="U591" s="67"/>
      <c r="V591" s="67"/>
      <c r="W591" s="67"/>
      <c r="X591" s="67"/>
      <c r="Y591" s="67"/>
      <c r="Z591" s="67"/>
    </row>
    <row r="592">
      <c r="A592" s="67"/>
      <c r="B592" s="67"/>
      <c r="C592" s="67"/>
      <c r="D592" s="67"/>
      <c r="E592" s="67"/>
      <c r="F592" s="67"/>
      <c r="G592" s="67"/>
      <c r="H592" s="67"/>
      <c r="I592" s="67"/>
      <c r="J592" s="67"/>
      <c r="K592" s="67"/>
      <c r="L592" s="67"/>
      <c r="M592" s="67"/>
      <c r="N592" s="67"/>
      <c r="O592" s="67"/>
      <c r="P592" s="67"/>
      <c r="Q592" s="67"/>
      <c r="R592" s="67"/>
      <c r="S592" s="67"/>
      <c r="T592" s="67"/>
      <c r="U592" s="67"/>
      <c r="V592" s="67"/>
      <c r="W592" s="67"/>
      <c r="X592" s="67"/>
      <c r="Y592" s="67"/>
      <c r="Z592" s="67"/>
    </row>
    <row r="593">
      <c r="A593" s="67"/>
      <c r="B593" s="67"/>
      <c r="C593" s="67"/>
      <c r="D593" s="67"/>
      <c r="E593" s="67"/>
      <c r="F593" s="67"/>
      <c r="G593" s="67"/>
      <c r="H593" s="67"/>
      <c r="I593" s="67"/>
      <c r="J593" s="67"/>
      <c r="K593" s="67"/>
      <c r="L593" s="67"/>
      <c r="M593" s="67"/>
      <c r="N593" s="67"/>
      <c r="O593" s="67"/>
      <c r="P593" s="67"/>
      <c r="Q593" s="67"/>
      <c r="R593" s="67"/>
      <c r="S593" s="67"/>
      <c r="T593" s="67"/>
      <c r="U593" s="67"/>
      <c r="V593" s="67"/>
      <c r="W593" s="67"/>
      <c r="X593" s="67"/>
      <c r="Y593" s="67"/>
      <c r="Z593" s="67"/>
    </row>
    <row r="594">
      <c r="A594" s="67"/>
      <c r="B594" s="67"/>
      <c r="C594" s="67"/>
      <c r="D594" s="67"/>
      <c r="E594" s="67"/>
      <c r="F594" s="67"/>
      <c r="G594" s="67"/>
      <c r="H594" s="67"/>
      <c r="I594" s="67"/>
      <c r="J594" s="67"/>
      <c r="K594" s="67"/>
      <c r="L594" s="67"/>
      <c r="M594" s="67"/>
      <c r="N594" s="67"/>
      <c r="O594" s="67"/>
      <c r="P594" s="67"/>
      <c r="Q594" s="67"/>
      <c r="R594" s="67"/>
      <c r="S594" s="67"/>
      <c r="T594" s="67"/>
      <c r="U594" s="67"/>
      <c r="V594" s="67"/>
      <c r="W594" s="67"/>
      <c r="X594" s="67"/>
      <c r="Y594" s="67"/>
      <c r="Z594" s="67"/>
    </row>
    <row r="595">
      <c r="A595" s="67"/>
      <c r="B595" s="67"/>
      <c r="C595" s="67"/>
      <c r="D595" s="67"/>
      <c r="E595" s="67"/>
      <c r="F595" s="67"/>
      <c r="G595" s="67"/>
      <c r="H595" s="67"/>
      <c r="I595" s="67"/>
      <c r="J595" s="67"/>
      <c r="K595" s="67"/>
      <c r="L595" s="67"/>
      <c r="M595" s="67"/>
      <c r="N595" s="67"/>
      <c r="O595" s="67"/>
      <c r="P595" s="67"/>
      <c r="Q595" s="67"/>
      <c r="R595" s="67"/>
      <c r="S595" s="67"/>
      <c r="T595" s="67"/>
      <c r="U595" s="67"/>
      <c r="V595" s="67"/>
      <c r="W595" s="67"/>
      <c r="X595" s="67"/>
      <c r="Y595" s="67"/>
      <c r="Z595" s="67"/>
    </row>
    <row r="596">
      <c r="A596" s="67"/>
      <c r="B596" s="67"/>
      <c r="C596" s="67"/>
      <c r="D596" s="67"/>
      <c r="E596" s="67"/>
      <c r="F596" s="67"/>
      <c r="G596" s="67"/>
      <c r="H596" s="67"/>
      <c r="I596" s="67"/>
      <c r="J596" s="67"/>
      <c r="K596" s="67"/>
      <c r="L596" s="67"/>
      <c r="M596" s="67"/>
      <c r="N596" s="67"/>
      <c r="O596" s="67"/>
      <c r="P596" s="67"/>
      <c r="Q596" s="67"/>
      <c r="R596" s="67"/>
      <c r="S596" s="67"/>
      <c r="T596" s="67"/>
      <c r="U596" s="67"/>
      <c r="V596" s="67"/>
      <c r="W596" s="67"/>
      <c r="X596" s="67"/>
      <c r="Y596" s="67"/>
      <c r="Z596" s="67"/>
    </row>
    <row r="597">
      <c r="A597" s="67"/>
      <c r="B597" s="67"/>
      <c r="C597" s="67"/>
      <c r="D597" s="67"/>
      <c r="E597" s="67"/>
      <c r="F597" s="67"/>
      <c r="G597" s="67"/>
      <c r="H597" s="67"/>
      <c r="I597" s="67"/>
      <c r="J597" s="67"/>
      <c r="K597" s="67"/>
      <c r="L597" s="67"/>
      <c r="M597" s="67"/>
      <c r="N597" s="67"/>
      <c r="O597" s="67"/>
      <c r="P597" s="67"/>
      <c r="Q597" s="67"/>
      <c r="R597" s="67"/>
      <c r="S597" s="67"/>
      <c r="T597" s="67"/>
      <c r="U597" s="67"/>
      <c r="V597" s="67"/>
      <c r="W597" s="67"/>
      <c r="X597" s="67"/>
      <c r="Y597" s="67"/>
      <c r="Z597" s="67"/>
    </row>
    <row r="598">
      <c r="A598" s="67"/>
      <c r="B598" s="67"/>
      <c r="C598" s="67"/>
      <c r="D598" s="67"/>
      <c r="E598" s="67"/>
      <c r="F598" s="67"/>
      <c r="G598" s="67"/>
      <c r="H598" s="67"/>
      <c r="I598" s="67"/>
      <c r="J598" s="67"/>
      <c r="K598" s="67"/>
      <c r="L598" s="67"/>
      <c r="M598" s="67"/>
      <c r="N598" s="67"/>
      <c r="O598" s="67"/>
      <c r="P598" s="67"/>
      <c r="Q598" s="67"/>
      <c r="R598" s="67"/>
      <c r="S598" s="67"/>
      <c r="T598" s="67"/>
      <c r="U598" s="67"/>
      <c r="V598" s="67"/>
      <c r="W598" s="67"/>
      <c r="X598" s="67"/>
      <c r="Y598" s="67"/>
      <c r="Z598" s="67"/>
    </row>
    <row r="599">
      <c r="A599" s="67"/>
      <c r="B599" s="67"/>
      <c r="C599" s="67"/>
      <c r="D599" s="67"/>
      <c r="E599" s="67"/>
      <c r="F599" s="67"/>
      <c r="G599" s="67"/>
      <c r="H599" s="67"/>
      <c r="I599" s="67"/>
      <c r="J599" s="67"/>
      <c r="K599" s="67"/>
      <c r="L599" s="67"/>
      <c r="M599" s="67"/>
      <c r="N599" s="67"/>
      <c r="O599" s="67"/>
      <c r="P599" s="67"/>
      <c r="Q599" s="67"/>
      <c r="R599" s="67"/>
      <c r="S599" s="67"/>
      <c r="T599" s="67"/>
      <c r="U599" s="67"/>
      <c r="V599" s="67"/>
      <c r="W599" s="67"/>
      <c r="X599" s="67"/>
      <c r="Y599" s="67"/>
      <c r="Z599" s="67"/>
    </row>
    <row r="600">
      <c r="A600" s="67"/>
      <c r="B600" s="67"/>
      <c r="C600" s="67"/>
      <c r="D600" s="67"/>
      <c r="E600" s="67"/>
      <c r="F600" s="67"/>
      <c r="G600" s="67"/>
      <c r="H600" s="67"/>
      <c r="I600" s="67"/>
      <c r="J600" s="67"/>
      <c r="K600" s="67"/>
      <c r="L600" s="67"/>
      <c r="M600" s="67"/>
      <c r="N600" s="67"/>
      <c r="O600" s="67"/>
      <c r="P600" s="67"/>
      <c r="Q600" s="67"/>
      <c r="R600" s="67"/>
      <c r="S600" s="67"/>
      <c r="T600" s="67"/>
      <c r="U600" s="67"/>
      <c r="V600" s="67"/>
      <c r="W600" s="67"/>
      <c r="X600" s="67"/>
      <c r="Y600" s="67"/>
      <c r="Z600" s="67"/>
    </row>
    <row r="601">
      <c r="A601" s="67"/>
      <c r="B601" s="67"/>
      <c r="C601" s="67"/>
      <c r="D601" s="67"/>
      <c r="E601" s="67"/>
      <c r="F601" s="67"/>
      <c r="G601" s="67"/>
      <c r="H601" s="67"/>
      <c r="I601" s="67"/>
      <c r="J601" s="67"/>
      <c r="K601" s="67"/>
      <c r="L601" s="67"/>
      <c r="M601" s="67"/>
      <c r="N601" s="67"/>
      <c r="O601" s="67"/>
      <c r="P601" s="67"/>
      <c r="Q601" s="67"/>
      <c r="R601" s="67"/>
      <c r="S601" s="67"/>
      <c r="T601" s="67"/>
      <c r="U601" s="67"/>
      <c r="V601" s="67"/>
      <c r="W601" s="67"/>
      <c r="X601" s="67"/>
      <c r="Y601" s="67"/>
      <c r="Z601" s="67"/>
    </row>
    <row r="602">
      <c r="A602" s="67"/>
      <c r="B602" s="67"/>
      <c r="C602" s="67"/>
      <c r="D602" s="67"/>
      <c r="E602" s="67"/>
      <c r="F602" s="67"/>
      <c r="G602" s="67"/>
      <c r="H602" s="67"/>
      <c r="I602" s="67"/>
      <c r="J602" s="67"/>
      <c r="K602" s="67"/>
      <c r="L602" s="67"/>
      <c r="M602" s="67"/>
      <c r="N602" s="67"/>
      <c r="O602" s="67"/>
      <c r="P602" s="67"/>
      <c r="Q602" s="67"/>
      <c r="R602" s="67"/>
      <c r="S602" s="67"/>
      <c r="T602" s="67"/>
      <c r="U602" s="67"/>
      <c r="V602" s="67"/>
      <c r="W602" s="67"/>
      <c r="X602" s="67"/>
      <c r="Y602" s="67"/>
      <c r="Z602" s="67"/>
    </row>
    <row r="603">
      <c r="A603" s="67"/>
      <c r="B603" s="67"/>
      <c r="C603" s="67"/>
      <c r="D603" s="67"/>
      <c r="E603" s="67"/>
      <c r="F603" s="67"/>
      <c r="G603" s="67"/>
      <c r="H603" s="67"/>
      <c r="I603" s="67"/>
      <c r="J603" s="67"/>
      <c r="K603" s="67"/>
      <c r="L603" s="67"/>
      <c r="M603" s="67"/>
      <c r="N603" s="67"/>
      <c r="O603" s="67"/>
      <c r="P603" s="67"/>
      <c r="Q603" s="67"/>
      <c r="R603" s="67"/>
      <c r="S603" s="67"/>
      <c r="T603" s="67"/>
      <c r="U603" s="67"/>
      <c r="V603" s="67"/>
      <c r="W603" s="67"/>
      <c r="X603" s="67"/>
      <c r="Y603" s="67"/>
      <c r="Z603" s="67"/>
    </row>
    <row r="604">
      <c r="A604" s="67"/>
      <c r="B604" s="67"/>
      <c r="C604" s="67"/>
      <c r="D604" s="67"/>
      <c r="E604" s="67"/>
      <c r="F604" s="67"/>
      <c r="G604" s="67"/>
      <c r="H604" s="67"/>
      <c r="I604" s="67"/>
      <c r="J604" s="67"/>
      <c r="K604" s="67"/>
      <c r="L604" s="67"/>
      <c r="M604" s="67"/>
      <c r="N604" s="67"/>
      <c r="O604" s="67"/>
      <c r="P604" s="67"/>
      <c r="Q604" s="67"/>
      <c r="R604" s="67"/>
      <c r="S604" s="67"/>
      <c r="T604" s="67"/>
      <c r="U604" s="67"/>
      <c r="V604" s="67"/>
      <c r="W604" s="67"/>
      <c r="X604" s="67"/>
      <c r="Y604" s="67"/>
      <c r="Z604" s="67"/>
    </row>
    <row r="605">
      <c r="A605" s="67"/>
      <c r="B605" s="67"/>
      <c r="C605" s="67"/>
      <c r="D605" s="67"/>
      <c r="E605" s="67"/>
      <c r="F605" s="67"/>
      <c r="G605" s="67"/>
      <c r="H605" s="67"/>
      <c r="I605" s="67"/>
      <c r="J605" s="67"/>
      <c r="K605" s="67"/>
      <c r="L605" s="67"/>
      <c r="M605" s="67"/>
      <c r="N605" s="67"/>
      <c r="O605" s="67"/>
      <c r="P605" s="67"/>
      <c r="Q605" s="67"/>
      <c r="R605" s="67"/>
      <c r="S605" s="67"/>
      <c r="T605" s="67"/>
      <c r="U605" s="67"/>
      <c r="V605" s="67"/>
      <c r="W605" s="67"/>
      <c r="X605" s="67"/>
      <c r="Y605" s="67"/>
      <c r="Z605" s="67"/>
    </row>
    <row r="606">
      <c r="A606" s="67"/>
      <c r="B606" s="67"/>
      <c r="C606" s="67"/>
      <c r="D606" s="67"/>
      <c r="E606" s="67"/>
      <c r="F606" s="67"/>
      <c r="G606" s="67"/>
      <c r="H606" s="67"/>
      <c r="I606" s="67"/>
      <c r="J606" s="67"/>
      <c r="K606" s="67"/>
      <c r="L606" s="67"/>
      <c r="M606" s="67"/>
      <c r="N606" s="67"/>
      <c r="O606" s="67"/>
      <c r="P606" s="67"/>
      <c r="Q606" s="67"/>
      <c r="R606" s="67"/>
      <c r="S606" s="67"/>
      <c r="T606" s="67"/>
      <c r="U606" s="67"/>
      <c r="V606" s="67"/>
      <c r="W606" s="67"/>
      <c r="X606" s="67"/>
      <c r="Y606" s="67"/>
      <c r="Z606" s="67"/>
    </row>
    <row r="607">
      <c r="A607" s="67"/>
      <c r="B607" s="67"/>
      <c r="C607" s="67"/>
      <c r="D607" s="67"/>
      <c r="E607" s="67"/>
      <c r="F607" s="67"/>
      <c r="G607" s="67"/>
      <c r="H607" s="67"/>
      <c r="I607" s="67"/>
      <c r="J607" s="67"/>
      <c r="K607" s="67"/>
      <c r="L607" s="67"/>
      <c r="M607" s="67"/>
      <c r="N607" s="67"/>
      <c r="O607" s="67"/>
      <c r="P607" s="67"/>
      <c r="Q607" s="67"/>
      <c r="R607" s="67"/>
      <c r="S607" s="67"/>
      <c r="T607" s="67"/>
      <c r="U607" s="67"/>
      <c r="V607" s="67"/>
      <c r="W607" s="67"/>
      <c r="X607" s="67"/>
      <c r="Y607" s="67"/>
      <c r="Z607" s="67"/>
    </row>
    <row r="608">
      <c r="A608" s="67"/>
      <c r="B608" s="67"/>
      <c r="C608" s="67"/>
      <c r="D608" s="67"/>
      <c r="E608" s="67"/>
      <c r="F608" s="67"/>
      <c r="G608" s="67"/>
      <c r="H608" s="67"/>
      <c r="I608" s="67"/>
      <c r="J608" s="67"/>
      <c r="K608" s="67"/>
      <c r="L608" s="67"/>
      <c r="M608" s="67"/>
      <c r="N608" s="67"/>
      <c r="O608" s="67"/>
      <c r="P608" s="67"/>
      <c r="Q608" s="67"/>
      <c r="R608" s="67"/>
      <c r="S608" s="67"/>
      <c r="T608" s="67"/>
      <c r="U608" s="67"/>
      <c r="V608" s="67"/>
      <c r="W608" s="67"/>
      <c r="X608" s="67"/>
      <c r="Y608" s="67"/>
      <c r="Z608" s="67"/>
    </row>
    <row r="609">
      <c r="A609" s="67"/>
      <c r="B609" s="67"/>
      <c r="C609" s="67"/>
      <c r="D609" s="67"/>
      <c r="E609" s="67"/>
      <c r="F609" s="67"/>
      <c r="G609" s="67"/>
      <c r="H609" s="67"/>
      <c r="I609" s="67"/>
      <c r="J609" s="67"/>
      <c r="K609" s="67"/>
      <c r="L609" s="67"/>
      <c r="M609" s="67"/>
      <c r="N609" s="67"/>
      <c r="O609" s="67"/>
      <c r="P609" s="67"/>
      <c r="Q609" s="67"/>
      <c r="R609" s="67"/>
      <c r="S609" s="67"/>
      <c r="T609" s="67"/>
      <c r="U609" s="67"/>
      <c r="V609" s="67"/>
      <c r="W609" s="67"/>
      <c r="X609" s="67"/>
      <c r="Y609" s="67"/>
      <c r="Z609" s="67"/>
    </row>
    <row r="610">
      <c r="A610" s="67"/>
      <c r="B610" s="67"/>
      <c r="C610" s="67"/>
      <c r="D610" s="67"/>
      <c r="E610" s="67"/>
      <c r="F610" s="67"/>
      <c r="G610" s="67"/>
      <c r="H610" s="67"/>
      <c r="I610" s="67"/>
      <c r="J610" s="67"/>
      <c r="K610" s="67"/>
      <c r="L610" s="67"/>
      <c r="M610" s="67"/>
      <c r="N610" s="67"/>
      <c r="O610" s="67"/>
      <c r="P610" s="67"/>
      <c r="Q610" s="67"/>
      <c r="R610" s="67"/>
      <c r="S610" s="67"/>
      <c r="T610" s="67"/>
      <c r="U610" s="67"/>
      <c r="V610" s="67"/>
      <c r="W610" s="67"/>
      <c r="X610" s="67"/>
      <c r="Y610" s="67"/>
      <c r="Z610" s="67"/>
    </row>
    <row r="611">
      <c r="A611" s="67"/>
      <c r="B611" s="67"/>
      <c r="C611" s="67"/>
      <c r="D611" s="67"/>
      <c r="E611" s="67"/>
      <c r="F611" s="67"/>
      <c r="G611" s="67"/>
      <c r="H611" s="67"/>
      <c r="I611" s="67"/>
      <c r="J611" s="67"/>
      <c r="K611" s="67"/>
      <c r="L611" s="67"/>
      <c r="M611" s="67"/>
      <c r="N611" s="67"/>
      <c r="O611" s="67"/>
      <c r="P611" s="67"/>
      <c r="Q611" s="67"/>
      <c r="R611" s="67"/>
      <c r="S611" s="67"/>
      <c r="T611" s="67"/>
      <c r="U611" s="67"/>
      <c r="V611" s="67"/>
      <c r="W611" s="67"/>
      <c r="X611" s="67"/>
      <c r="Y611" s="67"/>
      <c r="Z611" s="67"/>
    </row>
    <row r="612">
      <c r="A612" s="67"/>
      <c r="B612" s="67"/>
      <c r="C612" s="67"/>
      <c r="D612" s="67"/>
      <c r="E612" s="67"/>
      <c r="F612" s="67"/>
      <c r="G612" s="67"/>
      <c r="H612" s="67"/>
      <c r="I612" s="67"/>
      <c r="J612" s="67"/>
      <c r="K612" s="67"/>
      <c r="L612" s="67"/>
      <c r="M612" s="67"/>
      <c r="N612" s="67"/>
      <c r="O612" s="67"/>
      <c r="P612" s="67"/>
      <c r="Q612" s="67"/>
      <c r="R612" s="67"/>
      <c r="S612" s="67"/>
      <c r="T612" s="67"/>
      <c r="U612" s="67"/>
      <c r="V612" s="67"/>
      <c r="W612" s="67"/>
      <c r="X612" s="67"/>
      <c r="Y612" s="67"/>
      <c r="Z612" s="67"/>
    </row>
    <row r="613">
      <c r="A613" s="67"/>
      <c r="B613" s="67"/>
      <c r="C613" s="67"/>
      <c r="D613" s="67"/>
      <c r="E613" s="67"/>
      <c r="F613" s="67"/>
      <c r="G613" s="67"/>
      <c r="H613" s="67"/>
      <c r="I613" s="67"/>
      <c r="J613" s="67"/>
      <c r="K613" s="67"/>
      <c r="L613" s="67"/>
      <c r="M613" s="67"/>
      <c r="N613" s="67"/>
      <c r="O613" s="67"/>
      <c r="P613" s="67"/>
      <c r="Q613" s="67"/>
      <c r="R613" s="67"/>
      <c r="S613" s="67"/>
      <c r="T613" s="67"/>
      <c r="U613" s="67"/>
      <c r="V613" s="67"/>
      <c r="W613" s="67"/>
      <c r="X613" s="67"/>
      <c r="Y613" s="67"/>
      <c r="Z613" s="67"/>
    </row>
    <row r="614">
      <c r="A614" s="67"/>
      <c r="B614" s="67"/>
      <c r="C614" s="67"/>
      <c r="D614" s="67"/>
      <c r="E614" s="67"/>
      <c r="F614" s="67"/>
      <c r="G614" s="67"/>
      <c r="H614" s="67"/>
      <c r="I614" s="67"/>
      <c r="J614" s="67"/>
      <c r="K614" s="67"/>
      <c r="L614" s="67"/>
      <c r="M614" s="67"/>
      <c r="N614" s="67"/>
      <c r="O614" s="67"/>
      <c r="P614" s="67"/>
      <c r="Q614" s="67"/>
      <c r="R614" s="67"/>
      <c r="S614" s="67"/>
      <c r="T614" s="67"/>
      <c r="U614" s="67"/>
      <c r="V614" s="67"/>
      <c r="W614" s="67"/>
      <c r="X614" s="67"/>
      <c r="Y614" s="67"/>
      <c r="Z614" s="67"/>
    </row>
    <row r="615">
      <c r="A615" s="67"/>
      <c r="B615" s="67"/>
      <c r="C615" s="67"/>
      <c r="D615" s="67"/>
      <c r="E615" s="67"/>
      <c r="F615" s="67"/>
      <c r="G615" s="67"/>
      <c r="H615" s="67"/>
      <c r="I615" s="67"/>
      <c r="J615" s="67"/>
      <c r="K615" s="67"/>
      <c r="L615" s="67"/>
      <c r="M615" s="67"/>
      <c r="N615" s="67"/>
      <c r="O615" s="67"/>
      <c r="P615" s="67"/>
      <c r="Q615" s="67"/>
      <c r="R615" s="67"/>
      <c r="S615" s="67"/>
      <c r="T615" s="67"/>
      <c r="U615" s="67"/>
      <c r="V615" s="67"/>
      <c r="W615" s="67"/>
      <c r="X615" s="67"/>
      <c r="Y615" s="67"/>
      <c r="Z615" s="67"/>
    </row>
    <row r="616">
      <c r="A616" s="67"/>
      <c r="B616" s="67"/>
      <c r="C616" s="67"/>
      <c r="D616" s="67"/>
      <c r="E616" s="67"/>
      <c r="F616" s="67"/>
      <c r="G616" s="67"/>
      <c r="H616" s="67"/>
      <c r="I616" s="67"/>
      <c r="J616" s="67"/>
      <c r="K616" s="67"/>
      <c r="L616" s="67"/>
      <c r="M616" s="67"/>
      <c r="N616" s="67"/>
      <c r="O616" s="67"/>
      <c r="P616" s="67"/>
      <c r="Q616" s="67"/>
      <c r="R616" s="67"/>
      <c r="S616" s="67"/>
      <c r="T616" s="67"/>
      <c r="U616" s="67"/>
      <c r="V616" s="67"/>
      <c r="W616" s="67"/>
      <c r="X616" s="67"/>
      <c r="Y616" s="67"/>
      <c r="Z616" s="67"/>
    </row>
    <row r="617">
      <c r="A617" s="67"/>
      <c r="B617" s="67"/>
      <c r="C617" s="67"/>
      <c r="D617" s="67"/>
      <c r="E617" s="67"/>
      <c r="F617" s="67"/>
      <c r="G617" s="67"/>
      <c r="H617" s="67"/>
      <c r="I617" s="67"/>
      <c r="J617" s="67"/>
      <c r="K617" s="67"/>
      <c r="L617" s="67"/>
      <c r="M617" s="67"/>
      <c r="N617" s="67"/>
      <c r="O617" s="67"/>
      <c r="P617" s="67"/>
      <c r="Q617" s="67"/>
      <c r="R617" s="67"/>
      <c r="S617" s="67"/>
      <c r="T617" s="67"/>
      <c r="U617" s="67"/>
      <c r="V617" s="67"/>
      <c r="W617" s="67"/>
      <c r="X617" s="67"/>
      <c r="Y617" s="67"/>
      <c r="Z617" s="67"/>
    </row>
    <row r="618">
      <c r="A618" s="67"/>
      <c r="B618" s="67"/>
      <c r="C618" s="67"/>
      <c r="D618" s="67"/>
      <c r="E618" s="67"/>
      <c r="F618" s="67"/>
      <c r="G618" s="67"/>
      <c r="H618" s="67"/>
      <c r="I618" s="67"/>
      <c r="J618" s="67"/>
      <c r="K618" s="67"/>
      <c r="L618" s="67"/>
      <c r="M618" s="67"/>
      <c r="N618" s="67"/>
      <c r="O618" s="67"/>
      <c r="P618" s="67"/>
      <c r="Q618" s="67"/>
      <c r="R618" s="67"/>
      <c r="S618" s="67"/>
      <c r="T618" s="67"/>
      <c r="U618" s="67"/>
      <c r="V618" s="67"/>
      <c r="W618" s="67"/>
      <c r="X618" s="67"/>
      <c r="Y618" s="67"/>
      <c r="Z618" s="67"/>
    </row>
    <row r="619">
      <c r="A619" s="67"/>
      <c r="B619" s="67"/>
      <c r="C619" s="67"/>
      <c r="D619" s="67"/>
      <c r="E619" s="67"/>
      <c r="F619" s="67"/>
      <c r="G619" s="67"/>
      <c r="H619" s="67"/>
      <c r="I619" s="67"/>
      <c r="J619" s="67"/>
      <c r="K619" s="67"/>
      <c r="L619" s="67"/>
      <c r="M619" s="67"/>
      <c r="N619" s="67"/>
      <c r="O619" s="67"/>
      <c r="P619" s="67"/>
      <c r="Q619" s="67"/>
      <c r="R619" s="67"/>
      <c r="S619" s="67"/>
      <c r="T619" s="67"/>
      <c r="U619" s="67"/>
      <c r="V619" s="67"/>
      <c r="W619" s="67"/>
      <c r="X619" s="67"/>
      <c r="Y619" s="67"/>
      <c r="Z619" s="67"/>
    </row>
    <row r="620">
      <c r="A620" s="67"/>
      <c r="B620" s="67"/>
      <c r="C620" s="67"/>
      <c r="D620" s="67"/>
      <c r="E620" s="67"/>
      <c r="F620" s="67"/>
      <c r="G620" s="67"/>
      <c r="H620" s="67"/>
      <c r="I620" s="67"/>
      <c r="J620" s="67"/>
      <c r="K620" s="67"/>
      <c r="L620" s="67"/>
      <c r="M620" s="67"/>
      <c r="N620" s="67"/>
      <c r="O620" s="67"/>
      <c r="P620" s="67"/>
      <c r="Q620" s="67"/>
      <c r="R620" s="67"/>
      <c r="S620" s="67"/>
      <c r="T620" s="67"/>
      <c r="U620" s="67"/>
      <c r="V620" s="67"/>
      <c r="W620" s="67"/>
      <c r="X620" s="67"/>
      <c r="Y620" s="67"/>
      <c r="Z620" s="67"/>
    </row>
    <row r="621">
      <c r="A621" s="67"/>
      <c r="B621" s="67"/>
      <c r="C621" s="67"/>
      <c r="D621" s="67"/>
      <c r="E621" s="67"/>
      <c r="F621" s="67"/>
      <c r="G621" s="67"/>
      <c r="H621" s="67"/>
      <c r="I621" s="67"/>
      <c r="J621" s="67"/>
      <c r="K621" s="67"/>
      <c r="L621" s="67"/>
      <c r="M621" s="67"/>
      <c r="N621" s="67"/>
      <c r="O621" s="67"/>
      <c r="P621" s="67"/>
      <c r="Q621" s="67"/>
      <c r="R621" s="67"/>
      <c r="S621" s="67"/>
      <c r="T621" s="67"/>
      <c r="U621" s="67"/>
      <c r="V621" s="67"/>
      <c r="W621" s="67"/>
      <c r="X621" s="67"/>
      <c r="Y621" s="67"/>
      <c r="Z621" s="67"/>
    </row>
    <row r="622">
      <c r="A622" s="67"/>
      <c r="B622" s="67"/>
      <c r="C622" s="67"/>
      <c r="D622" s="67"/>
      <c r="E622" s="67"/>
      <c r="F622" s="67"/>
      <c r="G622" s="67"/>
      <c r="H622" s="67"/>
      <c r="I622" s="67"/>
      <c r="J622" s="67"/>
      <c r="K622" s="67"/>
      <c r="L622" s="67"/>
      <c r="M622" s="67"/>
      <c r="N622" s="67"/>
      <c r="O622" s="67"/>
      <c r="P622" s="67"/>
      <c r="Q622" s="67"/>
      <c r="R622" s="67"/>
      <c r="S622" s="67"/>
      <c r="T622" s="67"/>
      <c r="U622" s="67"/>
      <c r="V622" s="67"/>
      <c r="W622" s="67"/>
      <c r="X622" s="67"/>
      <c r="Y622" s="67"/>
      <c r="Z622" s="67"/>
    </row>
    <row r="623">
      <c r="A623" s="67"/>
      <c r="B623" s="67"/>
      <c r="C623" s="67"/>
      <c r="D623" s="67"/>
      <c r="E623" s="67"/>
      <c r="F623" s="67"/>
      <c r="G623" s="67"/>
      <c r="H623" s="67"/>
      <c r="I623" s="67"/>
      <c r="J623" s="67"/>
      <c r="K623" s="67"/>
      <c r="L623" s="67"/>
      <c r="M623" s="67"/>
      <c r="N623" s="67"/>
      <c r="O623" s="67"/>
      <c r="P623" s="67"/>
      <c r="Q623" s="67"/>
      <c r="R623" s="67"/>
      <c r="S623" s="67"/>
      <c r="T623" s="67"/>
      <c r="U623" s="67"/>
      <c r="V623" s="67"/>
      <c r="W623" s="67"/>
      <c r="X623" s="67"/>
      <c r="Y623" s="67"/>
      <c r="Z623" s="67"/>
    </row>
    <row r="624">
      <c r="A624" s="67"/>
      <c r="B624" s="67"/>
      <c r="C624" s="67"/>
      <c r="D624" s="67"/>
      <c r="E624" s="67"/>
      <c r="F624" s="67"/>
      <c r="G624" s="67"/>
      <c r="H624" s="67"/>
      <c r="I624" s="67"/>
      <c r="J624" s="67"/>
      <c r="K624" s="67"/>
      <c r="L624" s="67"/>
      <c r="M624" s="67"/>
      <c r="N624" s="67"/>
      <c r="O624" s="67"/>
      <c r="P624" s="67"/>
      <c r="Q624" s="67"/>
      <c r="R624" s="67"/>
      <c r="S624" s="67"/>
      <c r="T624" s="67"/>
      <c r="U624" s="67"/>
      <c r="V624" s="67"/>
      <c r="W624" s="67"/>
      <c r="X624" s="67"/>
      <c r="Y624" s="67"/>
      <c r="Z624" s="67"/>
    </row>
    <row r="625">
      <c r="A625" s="67"/>
      <c r="B625" s="67"/>
      <c r="C625" s="67"/>
      <c r="D625" s="67"/>
      <c r="E625" s="67"/>
      <c r="F625" s="67"/>
      <c r="G625" s="67"/>
      <c r="H625" s="67"/>
      <c r="I625" s="67"/>
      <c r="J625" s="67"/>
      <c r="K625" s="67"/>
      <c r="L625" s="67"/>
      <c r="M625" s="67"/>
      <c r="N625" s="67"/>
      <c r="O625" s="67"/>
      <c r="P625" s="67"/>
      <c r="Q625" s="67"/>
      <c r="R625" s="67"/>
      <c r="S625" s="67"/>
      <c r="T625" s="67"/>
      <c r="U625" s="67"/>
      <c r="V625" s="67"/>
      <c r="W625" s="67"/>
      <c r="X625" s="67"/>
      <c r="Y625" s="67"/>
      <c r="Z625" s="67"/>
    </row>
    <row r="626">
      <c r="A626" s="67"/>
      <c r="B626" s="67"/>
      <c r="C626" s="67"/>
      <c r="D626" s="67"/>
      <c r="E626" s="67"/>
      <c r="F626" s="67"/>
      <c r="G626" s="67"/>
      <c r="H626" s="67"/>
      <c r="I626" s="67"/>
      <c r="J626" s="67"/>
      <c r="K626" s="67"/>
      <c r="L626" s="67"/>
      <c r="M626" s="67"/>
      <c r="N626" s="67"/>
      <c r="O626" s="67"/>
      <c r="P626" s="67"/>
      <c r="Q626" s="67"/>
      <c r="R626" s="67"/>
      <c r="S626" s="67"/>
      <c r="T626" s="67"/>
      <c r="U626" s="67"/>
      <c r="V626" s="67"/>
      <c r="W626" s="67"/>
      <c r="X626" s="67"/>
      <c r="Y626" s="67"/>
      <c r="Z626" s="67"/>
    </row>
    <row r="627">
      <c r="A627" s="67"/>
      <c r="B627" s="67"/>
      <c r="C627" s="67"/>
      <c r="D627" s="67"/>
      <c r="E627" s="67"/>
      <c r="F627" s="67"/>
      <c r="G627" s="67"/>
      <c r="H627" s="67"/>
      <c r="I627" s="67"/>
      <c r="J627" s="67"/>
      <c r="K627" s="67"/>
      <c r="L627" s="67"/>
      <c r="M627" s="67"/>
      <c r="N627" s="67"/>
      <c r="O627" s="67"/>
      <c r="P627" s="67"/>
      <c r="Q627" s="67"/>
      <c r="R627" s="67"/>
      <c r="S627" s="67"/>
      <c r="T627" s="67"/>
      <c r="U627" s="67"/>
      <c r="V627" s="67"/>
      <c r="W627" s="67"/>
      <c r="X627" s="67"/>
      <c r="Y627" s="67"/>
      <c r="Z627" s="67"/>
    </row>
    <row r="628">
      <c r="A628" s="67"/>
      <c r="B628" s="67"/>
      <c r="C628" s="67"/>
      <c r="D628" s="67"/>
      <c r="E628" s="67"/>
      <c r="F628" s="67"/>
      <c r="G628" s="67"/>
      <c r="H628" s="67"/>
      <c r="I628" s="67"/>
      <c r="J628" s="67"/>
      <c r="K628" s="67"/>
      <c r="L628" s="67"/>
      <c r="M628" s="67"/>
      <c r="N628" s="67"/>
      <c r="O628" s="67"/>
      <c r="P628" s="67"/>
      <c r="Q628" s="67"/>
      <c r="R628" s="67"/>
      <c r="S628" s="67"/>
      <c r="T628" s="67"/>
      <c r="U628" s="67"/>
      <c r="V628" s="67"/>
      <c r="W628" s="67"/>
      <c r="X628" s="67"/>
      <c r="Y628" s="67"/>
      <c r="Z628" s="67"/>
    </row>
    <row r="629">
      <c r="A629" s="67"/>
      <c r="B629" s="67"/>
      <c r="C629" s="67"/>
      <c r="D629" s="67"/>
      <c r="E629" s="67"/>
      <c r="F629" s="67"/>
      <c r="G629" s="67"/>
      <c r="H629" s="67"/>
      <c r="I629" s="67"/>
      <c r="J629" s="67"/>
      <c r="K629" s="67"/>
      <c r="L629" s="67"/>
      <c r="M629" s="67"/>
      <c r="N629" s="67"/>
      <c r="O629" s="67"/>
      <c r="P629" s="67"/>
      <c r="Q629" s="67"/>
      <c r="R629" s="67"/>
      <c r="S629" s="67"/>
      <c r="T629" s="67"/>
      <c r="U629" s="67"/>
      <c r="V629" s="67"/>
      <c r="W629" s="67"/>
      <c r="X629" s="67"/>
      <c r="Y629" s="67"/>
      <c r="Z629" s="67"/>
    </row>
    <row r="630">
      <c r="A630" s="67"/>
      <c r="B630" s="67"/>
      <c r="C630" s="67"/>
      <c r="D630" s="67"/>
      <c r="E630" s="67"/>
      <c r="F630" s="67"/>
      <c r="G630" s="67"/>
      <c r="H630" s="67"/>
      <c r="I630" s="67"/>
      <c r="J630" s="67"/>
      <c r="K630" s="67"/>
      <c r="L630" s="67"/>
      <c r="M630" s="67"/>
      <c r="N630" s="67"/>
      <c r="O630" s="67"/>
      <c r="P630" s="67"/>
      <c r="Q630" s="67"/>
      <c r="R630" s="67"/>
      <c r="S630" s="67"/>
      <c r="T630" s="67"/>
      <c r="U630" s="67"/>
      <c r="V630" s="67"/>
      <c r="W630" s="67"/>
      <c r="X630" s="67"/>
      <c r="Y630" s="67"/>
      <c r="Z630" s="67"/>
    </row>
    <row r="631">
      <c r="A631" s="67"/>
      <c r="B631" s="67"/>
      <c r="C631" s="67"/>
      <c r="D631" s="67"/>
      <c r="E631" s="67"/>
      <c r="F631" s="67"/>
      <c r="G631" s="67"/>
      <c r="H631" s="67"/>
      <c r="I631" s="67"/>
      <c r="J631" s="67"/>
      <c r="K631" s="67"/>
      <c r="L631" s="67"/>
      <c r="M631" s="67"/>
      <c r="N631" s="67"/>
      <c r="O631" s="67"/>
      <c r="P631" s="67"/>
      <c r="Q631" s="67"/>
      <c r="R631" s="67"/>
      <c r="S631" s="67"/>
      <c r="T631" s="67"/>
      <c r="U631" s="67"/>
      <c r="V631" s="67"/>
      <c r="W631" s="67"/>
      <c r="X631" s="67"/>
      <c r="Y631" s="67"/>
      <c r="Z631" s="67"/>
    </row>
    <row r="632">
      <c r="A632" s="67"/>
      <c r="B632" s="67"/>
      <c r="C632" s="67"/>
      <c r="D632" s="67"/>
      <c r="E632" s="67"/>
      <c r="F632" s="67"/>
      <c r="G632" s="67"/>
      <c r="H632" s="67"/>
      <c r="I632" s="67"/>
      <c r="J632" s="67"/>
      <c r="K632" s="67"/>
      <c r="L632" s="67"/>
      <c r="M632" s="67"/>
      <c r="N632" s="67"/>
      <c r="O632" s="67"/>
      <c r="P632" s="67"/>
      <c r="Q632" s="67"/>
      <c r="R632" s="67"/>
      <c r="S632" s="67"/>
      <c r="T632" s="67"/>
      <c r="U632" s="67"/>
      <c r="V632" s="67"/>
      <c r="W632" s="67"/>
      <c r="X632" s="67"/>
      <c r="Y632" s="67"/>
      <c r="Z632" s="67"/>
    </row>
    <row r="633">
      <c r="A633" s="67"/>
      <c r="B633" s="67"/>
      <c r="C633" s="67"/>
      <c r="D633" s="67"/>
      <c r="E633" s="67"/>
      <c r="F633" s="67"/>
      <c r="G633" s="67"/>
      <c r="H633" s="67"/>
      <c r="I633" s="67"/>
      <c r="J633" s="67"/>
      <c r="K633" s="67"/>
      <c r="L633" s="67"/>
      <c r="M633" s="67"/>
      <c r="N633" s="67"/>
      <c r="O633" s="67"/>
      <c r="P633" s="67"/>
      <c r="Q633" s="67"/>
      <c r="R633" s="67"/>
      <c r="S633" s="67"/>
      <c r="T633" s="67"/>
      <c r="U633" s="67"/>
      <c r="V633" s="67"/>
      <c r="W633" s="67"/>
      <c r="X633" s="67"/>
      <c r="Y633" s="67"/>
      <c r="Z633" s="67"/>
    </row>
    <row r="634">
      <c r="A634" s="67"/>
      <c r="B634" s="67"/>
      <c r="C634" s="67"/>
      <c r="D634" s="67"/>
      <c r="E634" s="67"/>
      <c r="F634" s="67"/>
      <c r="G634" s="67"/>
      <c r="H634" s="67"/>
      <c r="I634" s="67"/>
      <c r="J634" s="67"/>
      <c r="K634" s="67"/>
      <c r="L634" s="67"/>
      <c r="M634" s="67"/>
      <c r="N634" s="67"/>
      <c r="O634" s="67"/>
      <c r="P634" s="67"/>
      <c r="Q634" s="67"/>
      <c r="R634" s="67"/>
      <c r="S634" s="67"/>
      <c r="T634" s="67"/>
      <c r="U634" s="67"/>
      <c r="V634" s="67"/>
      <c r="W634" s="67"/>
      <c r="X634" s="67"/>
      <c r="Y634" s="67"/>
      <c r="Z634" s="67"/>
    </row>
    <row r="635">
      <c r="A635" s="67"/>
      <c r="B635" s="67"/>
      <c r="C635" s="67"/>
      <c r="D635" s="67"/>
      <c r="E635" s="67"/>
      <c r="F635" s="67"/>
      <c r="G635" s="67"/>
      <c r="H635" s="67"/>
      <c r="I635" s="67"/>
      <c r="J635" s="67"/>
      <c r="K635" s="67"/>
      <c r="L635" s="67"/>
      <c r="M635" s="67"/>
      <c r="N635" s="67"/>
      <c r="O635" s="67"/>
      <c r="P635" s="67"/>
      <c r="Q635" s="67"/>
      <c r="R635" s="67"/>
      <c r="S635" s="67"/>
      <c r="T635" s="67"/>
      <c r="U635" s="67"/>
      <c r="V635" s="67"/>
      <c r="W635" s="67"/>
      <c r="X635" s="67"/>
      <c r="Y635" s="67"/>
      <c r="Z635" s="67"/>
    </row>
    <row r="636">
      <c r="A636" s="67"/>
      <c r="B636" s="67"/>
      <c r="C636" s="67"/>
      <c r="D636" s="67"/>
      <c r="E636" s="67"/>
      <c r="F636" s="67"/>
      <c r="G636" s="67"/>
      <c r="H636" s="67"/>
      <c r="I636" s="67"/>
      <c r="J636" s="67"/>
      <c r="K636" s="67"/>
      <c r="L636" s="67"/>
      <c r="M636" s="67"/>
      <c r="N636" s="67"/>
      <c r="O636" s="67"/>
      <c r="P636" s="67"/>
      <c r="Q636" s="67"/>
      <c r="R636" s="67"/>
      <c r="S636" s="67"/>
      <c r="T636" s="67"/>
      <c r="U636" s="67"/>
      <c r="V636" s="67"/>
      <c r="W636" s="67"/>
      <c r="X636" s="67"/>
      <c r="Y636" s="67"/>
      <c r="Z636" s="67"/>
    </row>
    <row r="637">
      <c r="A637" s="67"/>
      <c r="B637" s="67"/>
      <c r="C637" s="67"/>
      <c r="D637" s="67"/>
      <c r="E637" s="67"/>
      <c r="F637" s="67"/>
      <c r="G637" s="67"/>
      <c r="H637" s="67"/>
      <c r="I637" s="67"/>
      <c r="J637" s="67"/>
      <c r="K637" s="67"/>
      <c r="L637" s="67"/>
      <c r="M637" s="67"/>
      <c r="N637" s="67"/>
      <c r="O637" s="67"/>
      <c r="P637" s="67"/>
      <c r="Q637" s="67"/>
      <c r="R637" s="67"/>
      <c r="S637" s="67"/>
      <c r="T637" s="67"/>
      <c r="U637" s="67"/>
      <c r="V637" s="67"/>
      <c r="W637" s="67"/>
      <c r="X637" s="67"/>
      <c r="Y637" s="67"/>
      <c r="Z637" s="67"/>
    </row>
    <row r="638">
      <c r="A638" s="67"/>
      <c r="B638" s="67"/>
      <c r="C638" s="67"/>
      <c r="D638" s="67"/>
      <c r="E638" s="67"/>
      <c r="F638" s="67"/>
      <c r="G638" s="67"/>
      <c r="H638" s="67"/>
      <c r="I638" s="67"/>
      <c r="J638" s="67"/>
      <c r="K638" s="67"/>
      <c r="L638" s="67"/>
      <c r="M638" s="67"/>
      <c r="N638" s="67"/>
      <c r="O638" s="67"/>
      <c r="P638" s="67"/>
      <c r="Q638" s="67"/>
      <c r="R638" s="67"/>
      <c r="S638" s="67"/>
      <c r="T638" s="67"/>
      <c r="U638" s="67"/>
      <c r="V638" s="67"/>
      <c r="W638" s="67"/>
      <c r="X638" s="67"/>
      <c r="Y638" s="67"/>
      <c r="Z638" s="67"/>
    </row>
    <row r="639">
      <c r="A639" s="67"/>
      <c r="B639" s="67"/>
      <c r="C639" s="67"/>
      <c r="D639" s="67"/>
      <c r="E639" s="67"/>
      <c r="F639" s="67"/>
      <c r="G639" s="67"/>
      <c r="H639" s="67"/>
      <c r="I639" s="67"/>
      <c r="J639" s="67"/>
      <c r="K639" s="67"/>
      <c r="L639" s="67"/>
      <c r="M639" s="67"/>
      <c r="N639" s="67"/>
      <c r="O639" s="67"/>
      <c r="P639" s="67"/>
      <c r="Q639" s="67"/>
      <c r="R639" s="67"/>
      <c r="S639" s="67"/>
      <c r="T639" s="67"/>
      <c r="U639" s="67"/>
      <c r="V639" s="67"/>
      <c r="W639" s="67"/>
      <c r="X639" s="67"/>
      <c r="Y639" s="67"/>
      <c r="Z639" s="67"/>
    </row>
    <row r="640">
      <c r="A640" s="67"/>
      <c r="B640" s="67"/>
      <c r="C640" s="67"/>
      <c r="D640" s="67"/>
      <c r="E640" s="67"/>
      <c r="F640" s="67"/>
      <c r="G640" s="67"/>
      <c r="H640" s="67"/>
      <c r="I640" s="67"/>
      <c r="J640" s="67"/>
      <c r="K640" s="67"/>
      <c r="L640" s="67"/>
      <c r="M640" s="67"/>
      <c r="N640" s="67"/>
      <c r="O640" s="67"/>
      <c r="P640" s="67"/>
      <c r="Q640" s="67"/>
      <c r="R640" s="67"/>
      <c r="S640" s="67"/>
      <c r="T640" s="67"/>
      <c r="U640" s="67"/>
      <c r="V640" s="67"/>
      <c r="W640" s="67"/>
      <c r="X640" s="67"/>
      <c r="Y640" s="67"/>
      <c r="Z640" s="67"/>
    </row>
    <row r="641">
      <c r="A641" s="67"/>
      <c r="B641" s="67"/>
      <c r="C641" s="67"/>
      <c r="D641" s="67"/>
      <c r="E641" s="67"/>
      <c r="F641" s="67"/>
      <c r="G641" s="67"/>
      <c r="H641" s="67"/>
      <c r="I641" s="67"/>
      <c r="J641" s="67"/>
      <c r="K641" s="67"/>
      <c r="L641" s="67"/>
      <c r="M641" s="67"/>
      <c r="N641" s="67"/>
      <c r="O641" s="67"/>
      <c r="P641" s="67"/>
      <c r="Q641" s="67"/>
      <c r="R641" s="67"/>
      <c r="S641" s="67"/>
      <c r="T641" s="67"/>
      <c r="U641" s="67"/>
      <c r="V641" s="67"/>
      <c r="W641" s="67"/>
      <c r="X641" s="67"/>
      <c r="Y641" s="67"/>
      <c r="Z641" s="67"/>
    </row>
    <row r="642">
      <c r="A642" s="67"/>
      <c r="B642" s="67"/>
      <c r="C642" s="67"/>
      <c r="D642" s="67"/>
      <c r="E642" s="67"/>
      <c r="F642" s="67"/>
      <c r="G642" s="67"/>
      <c r="H642" s="67"/>
      <c r="I642" s="67"/>
      <c r="J642" s="67"/>
      <c r="K642" s="67"/>
      <c r="L642" s="67"/>
      <c r="M642" s="67"/>
      <c r="N642" s="67"/>
      <c r="O642" s="67"/>
      <c r="P642" s="67"/>
      <c r="Q642" s="67"/>
      <c r="R642" s="67"/>
      <c r="S642" s="67"/>
      <c r="T642" s="67"/>
      <c r="U642" s="67"/>
      <c r="V642" s="67"/>
      <c r="W642" s="67"/>
      <c r="X642" s="67"/>
      <c r="Y642" s="67"/>
      <c r="Z642" s="67"/>
    </row>
    <row r="643">
      <c r="A643" s="67"/>
      <c r="B643" s="67"/>
      <c r="C643" s="67"/>
      <c r="D643" s="67"/>
      <c r="E643" s="67"/>
      <c r="F643" s="67"/>
      <c r="G643" s="67"/>
      <c r="H643" s="67"/>
      <c r="I643" s="67"/>
      <c r="J643" s="67"/>
      <c r="K643" s="67"/>
      <c r="L643" s="67"/>
      <c r="M643" s="67"/>
      <c r="N643" s="67"/>
      <c r="O643" s="67"/>
      <c r="P643" s="67"/>
      <c r="Q643" s="67"/>
      <c r="R643" s="67"/>
      <c r="S643" s="67"/>
      <c r="T643" s="67"/>
      <c r="U643" s="67"/>
      <c r="V643" s="67"/>
      <c r="W643" s="67"/>
      <c r="X643" s="67"/>
      <c r="Y643" s="67"/>
      <c r="Z643" s="67"/>
    </row>
    <row r="644">
      <c r="A644" s="67"/>
      <c r="B644" s="67"/>
      <c r="C644" s="67"/>
      <c r="D644" s="67"/>
      <c r="E644" s="67"/>
      <c r="F644" s="67"/>
      <c r="G644" s="67"/>
      <c r="H644" s="67"/>
      <c r="I644" s="67"/>
      <c r="J644" s="67"/>
      <c r="K644" s="67"/>
      <c r="L644" s="67"/>
      <c r="M644" s="67"/>
      <c r="N644" s="67"/>
      <c r="O644" s="67"/>
      <c r="P644" s="67"/>
      <c r="Q644" s="67"/>
      <c r="R644" s="67"/>
      <c r="S644" s="67"/>
      <c r="T644" s="67"/>
      <c r="U644" s="67"/>
      <c r="V644" s="67"/>
      <c r="W644" s="67"/>
      <c r="X644" s="67"/>
      <c r="Y644" s="67"/>
      <c r="Z644" s="67"/>
    </row>
    <row r="645">
      <c r="A645" s="67"/>
      <c r="B645" s="67"/>
      <c r="C645" s="67"/>
      <c r="D645" s="67"/>
      <c r="E645" s="67"/>
      <c r="F645" s="67"/>
      <c r="G645" s="67"/>
      <c r="H645" s="67"/>
      <c r="I645" s="67"/>
      <c r="J645" s="67"/>
      <c r="K645" s="67"/>
      <c r="L645" s="67"/>
      <c r="M645" s="67"/>
      <c r="N645" s="67"/>
      <c r="O645" s="67"/>
      <c r="P645" s="67"/>
      <c r="Q645" s="67"/>
      <c r="R645" s="67"/>
      <c r="S645" s="67"/>
      <c r="T645" s="67"/>
      <c r="U645" s="67"/>
      <c r="V645" s="67"/>
      <c r="W645" s="67"/>
      <c r="X645" s="67"/>
      <c r="Y645" s="67"/>
      <c r="Z645" s="67"/>
    </row>
    <row r="646">
      <c r="A646" s="67"/>
      <c r="B646" s="67"/>
      <c r="C646" s="67"/>
      <c r="D646" s="67"/>
      <c r="E646" s="67"/>
      <c r="F646" s="67"/>
      <c r="G646" s="67"/>
      <c r="H646" s="67"/>
      <c r="I646" s="67"/>
      <c r="J646" s="67"/>
      <c r="K646" s="67"/>
      <c r="L646" s="67"/>
      <c r="M646" s="67"/>
      <c r="N646" s="67"/>
      <c r="O646" s="67"/>
      <c r="P646" s="67"/>
      <c r="Q646" s="67"/>
      <c r="R646" s="67"/>
      <c r="S646" s="67"/>
      <c r="T646" s="67"/>
      <c r="U646" s="67"/>
      <c r="V646" s="67"/>
      <c r="W646" s="67"/>
      <c r="X646" s="67"/>
      <c r="Y646" s="67"/>
      <c r="Z646" s="67"/>
    </row>
    <row r="647">
      <c r="A647" s="67"/>
      <c r="B647" s="67"/>
      <c r="C647" s="67"/>
      <c r="D647" s="67"/>
      <c r="E647" s="67"/>
      <c r="F647" s="67"/>
      <c r="G647" s="67"/>
      <c r="H647" s="67"/>
      <c r="I647" s="67"/>
      <c r="J647" s="67"/>
      <c r="K647" s="67"/>
      <c r="L647" s="67"/>
      <c r="M647" s="67"/>
      <c r="N647" s="67"/>
      <c r="O647" s="67"/>
      <c r="P647" s="67"/>
      <c r="Q647" s="67"/>
      <c r="R647" s="67"/>
      <c r="S647" s="67"/>
      <c r="T647" s="67"/>
      <c r="U647" s="67"/>
      <c r="V647" s="67"/>
      <c r="W647" s="67"/>
      <c r="X647" s="67"/>
      <c r="Y647" s="67"/>
      <c r="Z647" s="67"/>
    </row>
    <row r="648">
      <c r="A648" s="67"/>
      <c r="B648" s="67"/>
      <c r="C648" s="67"/>
      <c r="D648" s="67"/>
      <c r="E648" s="67"/>
      <c r="F648" s="67"/>
      <c r="G648" s="67"/>
      <c r="H648" s="67"/>
      <c r="I648" s="67"/>
      <c r="J648" s="67"/>
      <c r="K648" s="67"/>
      <c r="L648" s="67"/>
      <c r="M648" s="67"/>
      <c r="N648" s="67"/>
      <c r="O648" s="67"/>
      <c r="P648" s="67"/>
      <c r="Q648" s="67"/>
      <c r="R648" s="67"/>
      <c r="S648" s="67"/>
      <c r="T648" s="67"/>
      <c r="U648" s="67"/>
      <c r="V648" s="67"/>
      <c r="W648" s="67"/>
      <c r="X648" s="67"/>
      <c r="Y648" s="67"/>
      <c r="Z648" s="67"/>
    </row>
    <row r="649">
      <c r="A649" s="67"/>
      <c r="B649" s="67"/>
      <c r="C649" s="67"/>
      <c r="D649" s="67"/>
      <c r="E649" s="67"/>
      <c r="F649" s="67"/>
      <c r="G649" s="67"/>
      <c r="H649" s="67"/>
      <c r="I649" s="67"/>
      <c r="J649" s="67"/>
      <c r="K649" s="67"/>
      <c r="L649" s="67"/>
      <c r="M649" s="67"/>
      <c r="N649" s="67"/>
      <c r="O649" s="67"/>
      <c r="P649" s="67"/>
      <c r="Q649" s="67"/>
      <c r="R649" s="67"/>
      <c r="S649" s="67"/>
      <c r="T649" s="67"/>
      <c r="U649" s="67"/>
      <c r="V649" s="67"/>
      <c r="W649" s="67"/>
      <c r="X649" s="67"/>
      <c r="Y649" s="67"/>
      <c r="Z649" s="67"/>
    </row>
    <row r="650">
      <c r="A650" s="67"/>
      <c r="B650" s="67"/>
      <c r="C650" s="67"/>
      <c r="D650" s="67"/>
      <c r="E650" s="67"/>
      <c r="F650" s="67"/>
      <c r="G650" s="67"/>
      <c r="H650" s="67"/>
      <c r="I650" s="67"/>
      <c r="J650" s="67"/>
      <c r="K650" s="67"/>
      <c r="L650" s="67"/>
      <c r="M650" s="67"/>
      <c r="N650" s="67"/>
      <c r="O650" s="67"/>
      <c r="P650" s="67"/>
      <c r="Q650" s="67"/>
      <c r="R650" s="67"/>
      <c r="S650" s="67"/>
      <c r="T650" s="67"/>
      <c r="U650" s="67"/>
      <c r="V650" s="67"/>
      <c r="W650" s="67"/>
      <c r="X650" s="67"/>
      <c r="Y650" s="67"/>
      <c r="Z650" s="67"/>
    </row>
    <row r="651">
      <c r="A651" s="67"/>
      <c r="B651" s="67"/>
      <c r="C651" s="67"/>
      <c r="D651" s="67"/>
      <c r="E651" s="67"/>
      <c r="F651" s="67"/>
      <c r="G651" s="67"/>
      <c r="H651" s="67"/>
      <c r="I651" s="67"/>
      <c r="J651" s="67"/>
      <c r="K651" s="67"/>
      <c r="L651" s="67"/>
      <c r="M651" s="67"/>
      <c r="N651" s="67"/>
      <c r="O651" s="67"/>
      <c r="P651" s="67"/>
      <c r="Q651" s="67"/>
      <c r="R651" s="67"/>
      <c r="S651" s="67"/>
      <c r="T651" s="67"/>
      <c r="U651" s="67"/>
      <c r="V651" s="67"/>
      <c r="W651" s="67"/>
      <c r="X651" s="67"/>
      <c r="Y651" s="67"/>
      <c r="Z651" s="67"/>
    </row>
    <row r="652">
      <c r="A652" s="67"/>
      <c r="B652" s="67"/>
      <c r="C652" s="67"/>
      <c r="D652" s="67"/>
      <c r="E652" s="67"/>
      <c r="F652" s="67"/>
      <c r="G652" s="67"/>
      <c r="H652" s="67"/>
      <c r="I652" s="67"/>
      <c r="J652" s="67"/>
      <c r="K652" s="67"/>
      <c r="L652" s="67"/>
      <c r="M652" s="67"/>
      <c r="N652" s="67"/>
      <c r="O652" s="67"/>
      <c r="P652" s="67"/>
      <c r="Q652" s="67"/>
      <c r="R652" s="67"/>
      <c r="S652" s="67"/>
      <c r="T652" s="67"/>
      <c r="U652" s="67"/>
      <c r="V652" s="67"/>
      <c r="W652" s="67"/>
      <c r="X652" s="67"/>
      <c r="Y652" s="67"/>
      <c r="Z652" s="67"/>
    </row>
    <row r="653">
      <c r="A653" s="67"/>
      <c r="B653" s="67"/>
      <c r="C653" s="67"/>
      <c r="D653" s="67"/>
      <c r="E653" s="67"/>
      <c r="F653" s="67"/>
      <c r="G653" s="67"/>
      <c r="H653" s="67"/>
      <c r="I653" s="67"/>
      <c r="J653" s="67"/>
      <c r="K653" s="67"/>
      <c r="L653" s="67"/>
      <c r="M653" s="67"/>
      <c r="N653" s="67"/>
      <c r="O653" s="67"/>
      <c r="P653" s="67"/>
      <c r="Q653" s="67"/>
      <c r="R653" s="67"/>
      <c r="S653" s="67"/>
      <c r="T653" s="67"/>
      <c r="U653" s="67"/>
      <c r="V653" s="67"/>
      <c r="W653" s="67"/>
      <c r="X653" s="67"/>
      <c r="Y653" s="67"/>
      <c r="Z653" s="67"/>
    </row>
    <row r="654">
      <c r="A654" s="67"/>
      <c r="B654" s="67"/>
      <c r="C654" s="67"/>
      <c r="D654" s="67"/>
      <c r="E654" s="67"/>
      <c r="F654" s="67"/>
      <c r="G654" s="67"/>
      <c r="H654" s="67"/>
      <c r="I654" s="67"/>
      <c r="J654" s="67"/>
      <c r="K654" s="67"/>
      <c r="L654" s="67"/>
      <c r="M654" s="67"/>
      <c r="N654" s="67"/>
      <c r="O654" s="67"/>
      <c r="P654" s="67"/>
      <c r="Q654" s="67"/>
      <c r="R654" s="67"/>
      <c r="S654" s="67"/>
      <c r="T654" s="67"/>
      <c r="U654" s="67"/>
      <c r="V654" s="67"/>
      <c r="W654" s="67"/>
      <c r="X654" s="67"/>
      <c r="Y654" s="67"/>
      <c r="Z654" s="67"/>
    </row>
    <row r="655">
      <c r="A655" s="67"/>
      <c r="B655" s="67"/>
      <c r="C655" s="67"/>
      <c r="D655" s="67"/>
      <c r="E655" s="67"/>
      <c r="F655" s="67"/>
      <c r="G655" s="67"/>
      <c r="H655" s="67"/>
      <c r="I655" s="67"/>
      <c r="J655" s="67"/>
      <c r="K655" s="67"/>
      <c r="L655" s="67"/>
      <c r="M655" s="67"/>
      <c r="N655" s="67"/>
      <c r="O655" s="67"/>
      <c r="P655" s="67"/>
      <c r="Q655" s="67"/>
      <c r="R655" s="67"/>
      <c r="S655" s="67"/>
      <c r="T655" s="67"/>
      <c r="U655" s="67"/>
      <c r="V655" s="67"/>
      <c r="W655" s="67"/>
      <c r="X655" s="67"/>
      <c r="Y655" s="67"/>
      <c r="Z655" s="67"/>
    </row>
    <row r="656">
      <c r="A656" s="67"/>
      <c r="B656" s="67"/>
      <c r="C656" s="67"/>
      <c r="D656" s="67"/>
      <c r="E656" s="67"/>
      <c r="F656" s="67"/>
      <c r="G656" s="67"/>
      <c r="H656" s="67"/>
      <c r="I656" s="67"/>
      <c r="J656" s="67"/>
      <c r="K656" s="67"/>
      <c r="L656" s="67"/>
      <c r="M656" s="67"/>
      <c r="N656" s="67"/>
      <c r="O656" s="67"/>
      <c r="P656" s="67"/>
      <c r="Q656" s="67"/>
      <c r="R656" s="67"/>
      <c r="S656" s="67"/>
      <c r="T656" s="67"/>
      <c r="U656" s="67"/>
      <c r="V656" s="67"/>
      <c r="W656" s="67"/>
      <c r="X656" s="67"/>
      <c r="Y656" s="67"/>
      <c r="Z656" s="67"/>
    </row>
    <row r="657">
      <c r="A657" s="67"/>
      <c r="B657" s="67"/>
      <c r="C657" s="67"/>
      <c r="D657" s="67"/>
      <c r="E657" s="67"/>
      <c r="F657" s="67"/>
      <c r="G657" s="67"/>
      <c r="H657" s="67"/>
      <c r="I657" s="67"/>
      <c r="J657" s="67"/>
      <c r="K657" s="67"/>
      <c r="L657" s="67"/>
      <c r="M657" s="67"/>
      <c r="N657" s="67"/>
      <c r="O657" s="67"/>
      <c r="P657" s="67"/>
      <c r="Q657" s="67"/>
      <c r="R657" s="67"/>
      <c r="S657" s="67"/>
      <c r="T657" s="67"/>
      <c r="U657" s="67"/>
      <c r="V657" s="67"/>
      <c r="W657" s="67"/>
      <c r="X657" s="67"/>
      <c r="Y657" s="67"/>
      <c r="Z657" s="67"/>
    </row>
    <row r="658">
      <c r="A658" s="67"/>
      <c r="B658" s="67"/>
      <c r="C658" s="67"/>
      <c r="D658" s="67"/>
      <c r="E658" s="67"/>
      <c r="F658" s="67"/>
      <c r="G658" s="67"/>
      <c r="H658" s="67"/>
      <c r="I658" s="67"/>
      <c r="J658" s="67"/>
      <c r="K658" s="67"/>
      <c r="L658" s="67"/>
      <c r="M658" s="67"/>
      <c r="N658" s="67"/>
      <c r="O658" s="67"/>
      <c r="P658" s="67"/>
      <c r="Q658" s="67"/>
      <c r="R658" s="67"/>
      <c r="S658" s="67"/>
      <c r="T658" s="67"/>
      <c r="U658" s="67"/>
      <c r="V658" s="67"/>
      <c r="W658" s="67"/>
      <c r="X658" s="67"/>
      <c r="Y658" s="67"/>
      <c r="Z658" s="67"/>
    </row>
    <row r="659">
      <c r="A659" s="67"/>
      <c r="B659" s="67"/>
      <c r="C659" s="67"/>
      <c r="D659" s="67"/>
      <c r="E659" s="67"/>
      <c r="F659" s="67"/>
      <c r="G659" s="67"/>
      <c r="H659" s="67"/>
      <c r="I659" s="67"/>
      <c r="J659" s="67"/>
      <c r="K659" s="67"/>
      <c r="L659" s="67"/>
      <c r="M659" s="67"/>
      <c r="N659" s="67"/>
      <c r="O659" s="67"/>
      <c r="P659" s="67"/>
      <c r="Q659" s="67"/>
      <c r="R659" s="67"/>
      <c r="S659" s="67"/>
      <c r="T659" s="67"/>
      <c r="U659" s="67"/>
      <c r="V659" s="67"/>
      <c r="W659" s="67"/>
      <c r="X659" s="67"/>
      <c r="Y659" s="67"/>
      <c r="Z659" s="67"/>
    </row>
    <row r="660">
      <c r="A660" s="67"/>
      <c r="B660" s="67"/>
      <c r="C660" s="67"/>
      <c r="D660" s="67"/>
      <c r="E660" s="67"/>
      <c r="F660" s="67"/>
      <c r="G660" s="67"/>
      <c r="H660" s="67"/>
      <c r="I660" s="67"/>
      <c r="J660" s="67"/>
      <c r="K660" s="67"/>
      <c r="L660" s="67"/>
      <c r="M660" s="67"/>
      <c r="N660" s="67"/>
      <c r="O660" s="67"/>
      <c r="P660" s="67"/>
      <c r="Q660" s="67"/>
      <c r="R660" s="67"/>
      <c r="S660" s="67"/>
      <c r="T660" s="67"/>
      <c r="U660" s="67"/>
      <c r="V660" s="67"/>
      <c r="W660" s="67"/>
      <c r="X660" s="67"/>
      <c r="Y660" s="67"/>
      <c r="Z660" s="67"/>
    </row>
    <row r="661">
      <c r="A661" s="67"/>
      <c r="B661" s="67"/>
      <c r="C661" s="67"/>
      <c r="D661" s="67"/>
      <c r="E661" s="67"/>
      <c r="F661" s="67"/>
      <c r="G661" s="67"/>
      <c r="H661" s="67"/>
      <c r="I661" s="67"/>
      <c r="J661" s="67"/>
      <c r="K661" s="67"/>
      <c r="L661" s="67"/>
      <c r="M661" s="67"/>
      <c r="N661" s="67"/>
      <c r="O661" s="67"/>
      <c r="P661" s="67"/>
      <c r="Q661" s="67"/>
      <c r="R661" s="67"/>
      <c r="S661" s="67"/>
      <c r="T661" s="67"/>
      <c r="U661" s="67"/>
      <c r="V661" s="67"/>
      <c r="W661" s="67"/>
      <c r="X661" s="67"/>
      <c r="Y661" s="67"/>
      <c r="Z661" s="67"/>
    </row>
    <row r="662">
      <c r="A662" s="67"/>
      <c r="B662" s="67"/>
      <c r="C662" s="67"/>
      <c r="D662" s="67"/>
      <c r="E662" s="67"/>
      <c r="F662" s="67"/>
      <c r="G662" s="67"/>
      <c r="H662" s="67"/>
      <c r="I662" s="67"/>
      <c r="J662" s="67"/>
      <c r="K662" s="67"/>
      <c r="L662" s="67"/>
      <c r="M662" s="67"/>
      <c r="N662" s="67"/>
      <c r="O662" s="67"/>
      <c r="P662" s="67"/>
      <c r="Q662" s="67"/>
      <c r="R662" s="67"/>
      <c r="S662" s="67"/>
      <c r="T662" s="67"/>
      <c r="U662" s="67"/>
      <c r="V662" s="67"/>
      <c r="W662" s="67"/>
      <c r="X662" s="67"/>
      <c r="Y662" s="67"/>
      <c r="Z662" s="67"/>
    </row>
    <row r="663">
      <c r="A663" s="67"/>
      <c r="B663" s="67"/>
      <c r="C663" s="67"/>
      <c r="D663" s="67"/>
      <c r="E663" s="67"/>
      <c r="F663" s="67"/>
      <c r="G663" s="67"/>
      <c r="H663" s="67"/>
      <c r="I663" s="67"/>
      <c r="J663" s="67"/>
      <c r="K663" s="67"/>
      <c r="L663" s="67"/>
      <c r="M663" s="67"/>
      <c r="N663" s="67"/>
      <c r="O663" s="67"/>
      <c r="P663" s="67"/>
      <c r="Q663" s="67"/>
      <c r="R663" s="67"/>
      <c r="S663" s="67"/>
      <c r="T663" s="67"/>
      <c r="U663" s="67"/>
      <c r="V663" s="67"/>
      <c r="W663" s="67"/>
      <c r="X663" s="67"/>
      <c r="Y663" s="67"/>
      <c r="Z663" s="67"/>
    </row>
    <row r="664">
      <c r="A664" s="67"/>
      <c r="B664" s="67"/>
      <c r="C664" s="67"/>
      <c r="D664" s="67"/>
      <c r="E664" s="67"/>
      <c r="F664" s="67"/>
      <c r="G664" s="67"/>
      <c r="H664" s="67"/>
      <c r="I664" s="67"/>
      <c r="J664" s="67"/>
      <c r="K664" s="67"/>
      <c r="L664" s="67"/>
      <c r="M664" s="67"/>
      <c r="N664" s="67"/>
      <c r="O664" s="67"/>
      <c r="P664" s="67"/>
      <c r="Q664" s="67"/>
      <c r="R664" s="67"/>
      <c r="S664" s="67"/>
      <c r="T664" s="67"/>
      <c r="U664" s="67"/>
      <c r="V664" s="67"/>
      <c r="W664" s="67"/>
      <c r="X664" s="67"/>
      <c r="Y664" s="67"/>
      <c r="Z664" s="67"/>
    </row>
    <row r="665">
      <c r="A665" s="67"/>
      <c r="B665" s="67"/>
      <c r="C665" s="67"/>
      <c r="D665" s="67"/>
      <c r="E665" s="67"/>
      <c r="F665" s="67"/>
      <c r="G665" s="67"/>
      <c r="H665" s="67"/>
      <c r="I665" s="67"/>
      <c r="J665" s="67"/>
      <c r="K665" s="67"/>
      <c r="L665" s="67"/>
      <c r="M665" s="67"/>
      <c r="N665" s="67"/>
      <c r="O665" s="67"/>
      <c r="P665" s="67"/>
      <c r="Q665" s="67"/>
      <c r="R665" s="67"/>
      <c r="S665" s="67"/>
      <c r="T665" s="67"/>
      <c r="U665" s="67"/>
      <c r="V665" s="67"/>
      <c r="W665" s="67"/>
      <c r="X665" s="67"/>
      <c r="Y665" s="67"/>
      <c r="Z665" s="67"/>
    </row>
    <row r="666">
      <c r="A666" s="67"/>
      <c r="B666" s="67"/>
      <c r="C666" s="67"/>
      <c r="D666" s="67"/>
      <c r="E666" s="67"/>
      <c r="F666" s="67"/>
      <c r="G666" s="67"/>
      <c r="H666" s="67"/>
      <c r="I666" s="67"/>
      <c r="J666" s="67"/>
      <c r="K666" s="67"/>
      <c r="L666" s="67"/>
      <c r="M666" s="67"/>
      <c r="N666" s="67"/>
      <c r="O666" s="67"/>
      <c r="P666" s="67"/>
      <c r="Q666" s="67"/>
      <c r="R666" s="67"/>
      <c r="S666" s="67"/>
      <c r="T666" s="67"/>
      <c r="U666" s="67"/>
      <c r="V666" s="67"/>
      <c r="W666" s="67"/>
      <c r="X666" s="67"/>
      <c r="Y666" s="67"/>
      <c r="Z666" s="67"/>
    </row>
    <row r="667">
      <c r="A667" s="67"/>
      <c r="B667" s="67"/>
      <c r="C667" s="67"/>
      <c r="D667" s="67"/>
      <c r="E667" s="67"/>
      <c r="F667" s="67"/>
      <c r="G667" s="67"/>
      <c r="H667" s="67"/>
      <c r="I667" s="67"/>
      <c r="J667" s="67"/>
      <c r="K667" s="67"/>
      <c r="L667" s="67"/>
      <c r="M667" s="67"/>
      <c r="N667" s="67"/>
      <c r="O667" s="67"/>
      <c r="P667" s="67"/>
      <c r="Q667" s="67"/>
      <c r="R667" s="67"/>
      <c r="S667" s="67"/>
      <c r="T667" s="67"/>
      <c r="U667" s="67"/>
      <c r="V667" s="67"/>
      <c r="W667" s="67"/>
      <c r="X667" s="67"/>
      <c r="Y667" s="67"/>
      <c r="Z667" s="67"/>
    </row>
    <row r="668">
      <c r="A668" s="67"/>
      <c r="B668" s="67"/>
      <c r="C668" s="67"/>
      <c r="D668" s="67"/>
      <c r="E668" s="67"/>
      <c r="F668" s="67"/>
      <c r="G668" s="67"/>
      <c r="H668" s="67"/>
      <c r="I668" s="67"/>
      <c r="J668" s="67"/>
      <c r="K668" s="67"/>
      <c r="L668" s="67"/>
      <c r="M668" s="67"/>
      <c r="N668" s="67"/>
      <c r="O668" s="67"/>
      <c r="P668" s="67"/>
      <c r="Q668" s="67"/>
      <c r="R668" s="67"/>
      <c r="S668" s="67"/>
      <c r="T668" s="67"/>
      <c r="U668" s="67"/>
      <c r="V668" s="67"/>
      <c r="W668" s="67"/>
      <c r="X668" s="67"/>
      <c r="Y668" s="67"/>
      <c r="Z668" s="67"/>
    </row>
    <row r="669">
      <c r="A669" s="67"/>
      <c r="B669" s="67"/>
      <c r="C669" s="67"/>
      <c r="D669" s="67"/>
      <c r="E669" s="67"/>
      <c r="F669" s="67"/>
      <c r="G669" s="67"/>
      <c r="H669" s="67"/>
      <c r="I669" s="67"/>
      <c r="J669" s="67"/>
      <c r="K669" s="67"/>
      <c r="L669" s="67"/>
      <c r="M669" s="67"/>
      <c r="N669" s="67"/>
      <c r="O669" s="67"/>
      <c r="P669" s="67"/>
      <c r="Q669" s="67"/>
      <c r="R669" s="67"/>
      <c r="S669" s="67"/>
      <c r="T669" s="67"/>
      <c r="U669" s="67"/>
      <c r="V669" s="67"/>
      <c r="W669" s="67"/>
      <c r="X669" s="67"/>
      <c r="Y669" s="67"/>
      <c r="Z669" s="67"/>
    </row>
    <row r="670">
      <c r="A670" s="67"/>
      <c r="B670" s="67"/>
      <c r="C670" s="67"/>
      <c r="D670" s="67"/>
      <c r="E670" s="67"/>
      <c r="F670" s="67"/>
      <c r="G670" s="67"/>
      <c r="H670" s="67"/>
      <c r="I670" s="67"/>
      <c r="J670" s="67"/>
      <c r="K670" s="67"/>
      <c r="L670" s="67"/>
      <c r="M670" s="67"/>
      <c r="N670" s="67"/>
      <c r="O670" s="67"/>
      <c r="P670" s="67"/>
      <c r="Q670" s="67"/>
      <c r="R670" s="67"/>
      <c r="S670" s="67"/>
      <c r="T670" s="67"/>
      <c r="U670" s="67"/>
      <c r="V670" s="67"/>
      <c r="W670" s="67"/>
      <c r="X670" s="67"/>
      <c r="Y670" s="67"/>
      <c r="Z670" s="67"/>
    </row>
    <row r="671">
      <c r="A671" s="67"/>
      <c r="B671" s="67"/>
      <c r="C671" s="67"/>
      <c r="D671" s="67"/>
      <c r="E671" s="67"/>
      <c r="F671" s="67"/>
      <c r="G671" s="67"/>
      <c r="H671" s="67"/>
      <c r="I671" s="67"/>
      <c r="J671" s="67"/>
      <c r="K671" s="67"/>
      <c r="L671" s="67"/>
      <c r="M671" s="67"/>
      <c r="N671" s="67"/>
      <c r="O671" s="67"/>
      <c r="P671" s="67"/>
      <c r="Q671" s="67"/>
      <c r="R671" s="67"/>
      <c r="S671" s="67"/>
      <c r="T671" s="67"/>
      <c r="U671" s="67"/>
      <c r="V671" s="67"/>
      <c r="W671" s="67"/>
      <c r="X671" s="67"/>
      <c r="Y671" s="67"/>
      <c r="Z671" s="67"/>
    </row>
    <row r="672">
      <c r="A672" s="67"/>
      <c r="B672" s="67"/>
      <c r="C672" s="67"/>
      <c r="D672" s="67"/>
      <c r="E672" s="67"/>
      <c r="F672" s="67"/>
      <c r="G672" s="67"/>
      <c r="H672" s="67"/>
      <c r="I672" s="67"/>
      <c r="J672" s="67"/>
      <c r="K672" s="67"/>
      <c r="L672" s="67"/>
      <c r="M672" s="67"/>
      <c r="N672" s="67"/>
      <c r="O672" s="67"/>
      <c r="P672" s="67"/>
      <c r="Q672" s="67"/>
      <c r="R672" s="67"/>
      <c r="S672" s="67"/>
      <c r="T672" s="67"/>
      <c r="U672" s="67"/>
      <c r="V672" s="67"/>
      <c r="W672" s="67"/>
      <c r="X672" s="67"/>
      <c r="Y672" s="67"/>
      <c r="Z672" s="67"/>
    </row>
    <row r="673">
      <c r="A673" s="67"/>
      <c r="B673" s="67"/>
      <c r="C673" s="67"/>
      <c r="D673" s="67"/>
      <c r="E673" s="67"/>
      <c r="F673" s="67"/>
      <c r="G673" s="67"/>
      <c r="H673" s="67"/>
      <c r="I673" s="67"/>
      <c r="J673" s="67"/>
      <c r="K673" s="67"/>
      <c r="L673" s="67"/>
      <c r="M673" s="67"/>
      <c r="N673" s="67"/>
      <c r="O673" s="67"/>
      <c r="P673" s="67"/>
      <c r="Q673" s="67"/>
      <c r="R673" s="67"/>
      <c r="S673" s="67"/>
      <c r="T673" s="67"/>
      <c r="U673" s="67"/>
      <c r="V673" s="67"/>
      <c r="W673" s="67"/>
      <c r="X673" s="67"/>
      <c r="Y673" s="67"/>
      <c r="Z673" s="67"/>
    </row>
    <row r="674">
      <c r="A674" s="67"/>
      <c r="B674" s="67"/>
      <c r="C674" s="67"/>
      <c r="D674" s="67"/>
      <c r="E674" s="67"/>
      <c r="F674" s="67"/>
      <c r="G674" s="67"/>
      <c r="H674" s="67"/>
      <c r="I674" s="67"/>
      <c r="J674" s="67"/>
      <c r="K674" s="67"/>
      <c r="L674" s="67"/>
      <c r="M674" s="67"/>
      <c r="N674" s="67"/>
      <c r="O674" s="67"/>
      <c r="P674" s="67"/>
      <c r="Q674" s="67"/>
      <c r="R674" s="67"/>
      <c r="S674" s="67"/>
      <c r="T674" s="67"/>
      <c r="U674" s="67"/>
      <c r="V674" s="67"/>
      <c r="W674" s="67"/>
      <c r="X674" s="67"/>
      <c r="Y674" s="67"/>
      <c r="Z674" s="67"/>
    </row>
    <row r="675">
      <c r="A675" s="67"/>
      <c r="B675" s="67"/>
      <c r="C675" s="67"/>
      <c r="D675" s="67"/>
      <c r="E675" s="67"/>
      <c r="F675" s="67"/>
      <c r="G675" s="67"/>
      <c r="H675" s="67"/>
      <c r="I675" s="67"/>
      <c r="J675" s="67"/>
      <c r="K675" s="67"/>
      <c r="L675" s="67"/>
      <c r="M675" s="67"/>
      <c r="N675" s="67"/>
      <c r="O675" s="67"/>
      <c r="P675" s="67"/>
      <c r="Q675" s="67"/>
      <c r="R675" s="67"/>
      <c r="S675" s="67"/>
      <c r="T675" s="67"/>
      <c r="U675" s="67"/>
      <c r="V675" s="67"/>
      <c r="W675" s="67"/>
      <c r="X675" s="67"/>
      <c r="Y675" s="67"/>
      <c r="Z675" s="67"/>
    </row>
    <row r="676">
      <c r="A676" s="67"/>
      <c r="B676" s="67"/>
      <c r="C676" s="67"/>
      <c r="D676" s="67"/>
      <c r="E676" s="67"/>
      <c r="F676" s="67"/>
      <c r="G676" s="67"/>
      <c r="H676" s="67"/>
      <c r="I676" s="67"/>
      <c r="J676" s="67"/>
      <c r="K676" s="67"/>
      <c r="L676" s="67"/>
      <c r="M676" s="67"/>
      <c r="N676" s="67"/>
      <c r="O676" s="67"/>
      <c r="P676" s="67"/>
      <c r="Q676" s="67"/>
      <c r="R676" s="67"/>
      <c r="S676" s="67"/>
      <c r="T676" s="67"/>
      <c r="U676" s="67"/>
      <c r="V676" s="67"/>
      <c r="W676" s="67"/>
      <c r="X676" s="67"/>
      <c r="Y676" s="67"/>
      <c r="Z676" s="67"/>
    </row>
    <row r="677">
      <c r="A677" s="67"/>
      <c r="B677" s="67"/>
      <c r="C677" s="67"/>
      <c r="D677" s="67"/>
      <c r="E677" s="67"/>
      <c r="F677" s="67"/>
      <c r="G677" s="67"/>
      <c r="H677" s="67"/>
      <c r="I677" s="67"/>
      <c r="J677" s="67"/>
      <c r="K677" s="67"/>
      <c r="L677" s="67"/>
      <c r="M677" s="67"/>
      <c r="N677" s="67"/>
      <c r="O677" s="67"/>
      <c r="P677" s="67"/>
      <c r="Q677" s="67"/>
      <c r="R677" s="67"/>
      <c r="S677" s="67"/>
      <c r="T677" s="67"/>
      <c r="U677" s="67"/>
      <c r="V677" s="67"/>
      <c r="W677" s="67"/>
      <c r="X677" s="67"/>
      <c r="Y677" s="67"/>
      <c r="Z677" s="67"/>
    </row>
    <row r="678">
      <c r="A678" s="67"/>
      <c r="B678" s="67"/>
      <c r="C678" s="67"/>
      <c r="D678" s="67"/>
      <c r="E678" s="67"/>
      <c r="F678" s="67"/>
      <c r="G678" s="67"/>
      <c r="H678" s="67"/>
      <c r="I678" s="67"/>
      <c r="J678" s="67"/>
      <c r="K678" s="67"/>
      <c r="L678" s="67"/>
      <c r="M678" s="67"/>
      <c r="N678" s="67"/>
      <c r="O678" s="67"/>
      <c r="P678" s="67"/>
      <c r="Q678" s="67"/>
      <c r="R678" s="67"/>
      <c r="S678" s="67"/>
      <c r="T678" s="67"/>
      <c r="U678" s="67"/>
      <c r="V678" s="67"/>
      <c r="W678" s="67"/>
      <c r="X678" s="67"/>
      <c r="Y678" s="67"/>
      <c r="Z678" s="67"/>
    </row>
    <row r="679">
      <c r="A679" s="67"/>
      <c r="B679" s="67"/>
      <c r="C679" s="67"/>
      <c r="D679" s="67"/>
      <c r="E679" s="67"/>
      <c r="F679" s="67"/>
      <c r="G679" s="67"/>
      <c r="H679" s="67"/>
      <c r="I679" s="67"/>
      <c r="J679" s="67"/>
      <c r="K679" s="67"/>
      <c r="L679" s="67"/>
      <c r="M679" s="67"/>
      <c r="N679" s="67"/>
      <c r="O679" s="67"/>
      <c r="P679" s="67"/>
      <c r="Q679" s="67"/>
      <c r="R679" s="67"/>
      <c r="S679" s="67"/>
      <c r="T679" s="67"/>
      <c r="U679" s="67"/>
      <c r="V679" s="67"/>
      <c r="W679" s="67"/>
      <c r="X679" s="67"/>
      <c r="Y679" s="67"/>
      <c r="Z679" s="67"/>
    </row>
    <row r="680">
      <c r="A680" s="67"/>
      <c r="B680" s="67"/>
      <c r="C680" s="67"/>
      <c r="D680" s="67"/>
      <c r="E680" s="67"/>
      <c r="F680" s="67"/>
      <c r="G680" s="67"/>
      <c r="H680" s="67"/>
      <c r="I680" s="67"/>
      <c r="J680" s="67"/>
      <c r="K680" s="67"/>
      <c r="L680" s="67"/>
      <c r="M680" s="67"/>
      <c r="N680" s="67"/>
      <c r="O680" s="67"/>
      <c r="P680" s="67"/>
      <c r="Q680" s="67"/>
      <c r="R680" s="67"/>
      <c r="S680" s="67"/>
      <c r="T680" s="67"/>
      <c r="U680" s="67"/>
      <c r="V680" s="67"/>
      <c r="W680" s="67"/>
      <c r="X680" s="67"/>
      <c r="Y680" s="67"/>
      <c r="Z680" s="67"/>
    </row>
    <row r="681">
      <c r="A681" s="67"/>
      <c r="B681" s="67"/>
      <c r="C681" s="67"/>
      <c r="D681" s="67"/>
      <c r="E681" s="67"/>
      <c r="F681" s="67"/>
      <c r="G681" s="67"/>
      <c r="H681" s="67"/>
      <c r="I681" s="67"/>
      <c r="J681" s="67"/>
      <c r="K681" s="67"/>
      <c r="L681" s="67"/>
      <c r="M681" s="67"/>
      <c r="N681" s="67"/>
      <c r="O681" s="67"/>
      <c r="P681" s="67"/>
      <c r="Q681" s="67"/>
      <c r="R681" s="67"/>
      <c r="S681" s="67"/>
      <c r="T681" s="67"/>
      <c r="U681" s="67"/>
      <c r="V681" s="67"/>
      <c r="W681" s="67"/>
      <c r="X681" s="67"/>
      <c r="Y681" s="67"/>
      <c r="Z681" s="67"/>
    </row>
    <row r="682">
      <c r="A682" s="67"/>
      <c r="B682" s="67"/>
      <c r="C682" s="67"/>
      <c r="D682" s="67"/>
      <c r="E682" s="67"/>
      <c r="F682" s="67"/>
      <c r="G682" s="67"/>
      <c r="H682" s="67"/>
      <c r="I682" s="67"/>
      <c r="J682" s="67"/>
      <c r="K682" s="67"/>
      <c r="L682" s="67"/>
      <c r="M682" s="67"/>
      <c r="N682" s="67"/>
      <c r="O682" s="67"/>
      <c r="P682" s="67"/>
      <c r="Q682" s="67"/>
      <c r="R682" s="67"/>
      <c r="S682" s="67"/>
      <c r="T682" s="67"/>
      <c r="U682" s="67"/>
      <c r="V682" s="67"/>
      <c r="W682" s="67"/>
      <c r="X682" s="67"/>
      <c r="Y682" s="67"/>
      <c r="Z682" s="67"/>
    </row>
    <row r="683">
      <c r="A683" s="67"/>
      <c r="B683" s="67"/>
      <c r="C683" s="67"/>
      <c r="D683" s="67"/>
      <c r="E683" s="67"/>
      <c r="F683" s="67"/>
      <c r="G683" s="67"/>
      <c r="H683" s="67"/>
      <c r="I683" s="67"/>
      <c r="J683" s="67"/>
      <c r="K683" s="67"/>
      <c r="L683" s="67"/>
      <c r="M683" s="67"/>
      <c r="N683" s="67"/>
      <c r="O683" s="67"/>
      <c r="P683" s="67"/>
      <c r="Q683" s="67"/>
      <c r="R683" s="67"/>
      <c r="S683" s="67"/>
      <c r="T683" s="67"/>
      <c r="U683" s="67"/>
      <c r="V683" s="67"/>
      <c r="W683" s="67"/>
      <c r="X683" s="67"/>
      <c r="Y683" s="67"/>
      <c r="Z683" s="67"/>
    </row>
    <row r="684">
      <c r="A684" s="67"/>
      <c r="B684" s="67"/>
      <c r="C684" s="67"/>
      <c r="D684" s="67"/>
      <c r="E684" s="67"/>
      <c r="F684" s="67"/>
      <c r="G684" s="67"/>
      <c r="H684" s="67"/>
      <c r="I684" s="67"/>
      <c r="J684" s="67"/>
      <c r="K684" s="67"/>
      <c r="L684" s="67"/>
      <c r="M684" s="67"/>
      <c r="N684" s="67"/>
      <c r="O684" s="67"/>
      <c r="P684" s="67"/>
      <c r="Q684" s="67"/>
      <c r="R684" s="67"/>
      <c r="S684" s="67"/>
      <c r="T684" s="67"/>
      <c r="U684" s="67"/>
      <c r="V684" s="67"/>
      <c r="W684" s="67"/>
      <c r="X684" s="67"/>
      <c r="Y684" s="67"/>
      <c r="Z684" s="67"/>
    </row>
    <row r="685">
      <c r="A685" s="67"/>
      <c r="B685" s="67"/>
      <c r="C685" s="67"/>
      <c r="D685" s="67"/>
      <c r="E685" s="67"/>
      <c r="F685" s="67"/>
      <c r="G685" s="67"/>
      <c r="H685" s="67"/>
      <c r="I685" s="67"/>
      <c r="J685" s="67"/>
      <c r="K685" s="67"/>
      <c r="L685" s="67"/>
      <c r="M685" s="67"/>
      <c r="N685" s="67"/>
      <c r="O685" s="67"/>
      <c r="P685" s="67"/>
      <c r="Q685" s="67"/>
      <c r="R685" s="67"/>
      <c r="S685" s="67"/>
      <c r="T685" s="67"/>
      <c r="U685" s="67"/>
      <c r="V685" s="67"/>
      <c r="W685" s="67"/>
      <c r="X685" s="67"/>
      <c r="Y685" s="67"/>
      <c r="Z685" s="67"/>
    </row>
    <row r="686">
      <c r="A686" s="67"/>
      <c r="B686" s="67"/>
      <c r="C686" s="67"/>
      <c r="D686" s="67"/>
      <c r="E686" s="67"/>
      <c r="F686" s="67"/>
      <c r="G686" s="67"/>
      <c r="H686" s="67"/>
      <c r="I686" s="67"/>
      <c r="J686" s="67"/>
      <c r="K686" s="67"/>
      <c r="L686" s="67"/>
      <c r="M686" s="67"/>
      <c r="N686" s="67"/>
      <c r="O686" s="67"/>
      <c r="P686" s="67"/>
      <c r="Q686" s="67"/>
      <c r="R686" s="67"/>
      <c r="S686" s="67"/>
      <c r="T686" s="67"/>
      <c r="U686" s="67"/>
      <c r="V686" s="67"/>
      <c r="W686" s="67"/>
      <c r="X686" s="67"/>
      <c r="Y686" s="67"/>
      <c r="Z686" s="67"/>
    </row>
    <row r="687">
      <c r="A687" s="67"/>
      <c r="B687" s="67"/>
      <c r="C687" s="67"/>
      <c r="D687" s="67"/>
      <c r="E687" s="67"/>
      <c r="F687" s="67"/>
      <c r="G687" s="67"/>
      <c r="H687" s="67"/>
      <c r="I687" s="67"/>
      <c r="J687" s="67"/>
      <c r="K687" s="67"/>
      <c r="L687" s="67"/>
      <c r="M687" s="67"/>
      <c r="N687" s="67"/>
      <c r="O687" s="67"/>
      <c r="P687" s="67"/>
      <c r="Q687" s="67"/>
      <c r="R687" s="67"/>
      <c r="S687" s="67"/>
      <c r="T687" s="67"/>
      <c r="U687" s="67"/>
      <c r="V687" s="67"/>
      <c r="W687" s="67"/>
      <c r="X687" s="67"/>
      <c r="Y687" s="67"/>
      <c r="Z687" s="67"/>
    </row>
    <row r="688">
      <c r="A688" s="67"/>
      <c r="B688" s="67"/>
      <c r="C688" s="67"/>
      <c r="D688" s="67"/>
      <c r="E688" s="67"/>
      <c r="F688" s="67"/>
      <c r="G688" s="67"/>
      <c r="H688" s="67"/>
      <c r="I688" s="67"/>
      <c r="J688" s="67"/>
      <c r="K688" s="67"/>
      <c r="L688" s="67"/>
      <c r="M688" s="67"/>
      <c r="N688" s="67"/>
      <c r="O688" s="67"/>
      <c r="P688" s="67"/>
      <c r="Q688" s="67"/>
      <c r="R688" s="67"/>
      <c r="S688" s="67"/>
      <c r="T688" s="67"/>
      <c r="U688" s="67"/>
      <c r="V688" s="67"/>
      <c r="W688" s="67"/>
      <c r="X688" s="67"/>
      <c r="Y688" s="67"/>
      <c r="Z688" s="67"/>
    </row>
    <row r="689">
      <c r="A689" s="67"/>
      <c r="B689" s="67"/>
      <c r="C689" s="67"/>
      <c r="D689" s="67"/>
      <c r="E689" s="67"/>
      <c r="F689" s="67"/>
      <c r="G689" s="67"/>
      <c r="H689" s="67"/>
      <c r="I689" s="67"/>
      <c r="J689" s="67"/>
      <c r="K689" s="67"/>
      <c r="L689" s="67"/>
      <c r="M689" s="67"/>
      <c r="N689" s="67"/>
      <c r="O689" s="67"/>
      <c r="P689" s="67"/>
      <c r="Q689" s="67"/>
      <c r="R689" s="67"/>
      <c r="S689" s="67"/>
      <c r="T689" s="67"/>
      <c r="U689" s="67"/>
      <c r="V689" s="67"/>
      <c r="W689" s="67"/>
      <c r="X689" s="67"/>
      <c r="Y689" s="67"/>
      <c r="Z689" s="67"/>
    </row>
    <row r="690">
      <c r="A690" s="67"/>
      <c r="B690" s="67"/>
      <c r="C690" s="67"/>
      <c r="D690" s="67"/>
      <c r="E690" s="67"/>
      <c r="F690" s="67"/>
      <c r="G690" s="67"/>
      <c r="H690" s="67"/>
      <c r="I690" s="67"/>
      <c r="J690" s="67"/>
      <c r="K690" s="67"/>
      <c r="L690" s="67"/>
      <c r="M690" s="67"/>
      <c r="N690" s="67"/>
      <c r="O690" s="67"/>
      <c r="P690" s="67"/>
      <c r="Q690" s="67"/>
      <c r="R690" s="67"/>
      <c r="S690" s="67"/>
      <c r="T690" s="67"/>
      <c r="U690" s="67"/>
      <c r="V690" s="67"/>
      <c r="W690" s="67"/>
      <c r="X690" s="67"/>
      <c r="Y690" s="67"/>
      <c r="Z690" s="67"/>
    </row>
    <row r="691">
      <c r="A691" s="67"/>
      <c r="B691" s="67"/>
      <c r="C691" s="67"/>
      <c r="D691" s="67"/>
      <c r="E691" s="67"/>
      <c r="F691" s="67"/>
      <c r="G691" s="67"/>
      <c r="H691" s="67"/>
      <c r="I691" s="67"/>
      <c r="J691" s="67"/>
      <c r="K691" s="67"/>
      <c r="L691" s="67"/>
      <c r="M691" s="67"/>
      <c r="N691" s="67"/>
      <c r="O691" s="67"/>
      <c r="P691" s="67"/>
      <c r="Q691" s="67"/>
      <c r="R691" s="67"/>
      <c r="S691" s="67"/>
      <c r="T691" s="67"/>
      <c r="U691" s="67"/>
      <c r="V691" s="67"/>
      <c r="W691" s="67"/>
      <c r="X691" s="67"/>
      <c r="Y691" s="67"/>
      <c r="Z691" s="67"/>
    </row>
    <row r="692">
      <c r="A692" s="67"/>
      <c r="B692" s="67"/>
      <c r="C692" s="67"/>
      <c r="D692" s="67"/>
      <c r="E692" s="67"/>
      <c r="F692" s="67"/>
      <c r="G692" s="67"/>
      <c r="H692" s="67"/>
      <c r="I692" s="67"/>
      <c r="J692" s="67"/>
      <c r="K692" s="67"/>
      <c r="L692" s="67"/>
      <c r="M692" s="67"/>
      <c r="N692" s="67"/>
      <c r="O692" s="67"/>
      <c r="P692" s="67"/>
      <c r="Q692" s="67"/>
      <c r="R692" s="67"/>
      <c r="S692" s="67"/>
      <c r="T692" s="67"/>
      <c r="U692" s="67"/>
      <c r="V692" s="67"/>
      <c r="W692" s="67"/>
      <c r="X692" s="67"/>
      <c r="Y692" s="67"/>
      <c r="Z692" s="67"/>
    </row>
    <row r="693">
      <c r="A693" s="67"/>
      <c r="B693" s="67"/>
      <c r="C693" s="67"/>
      <c r="D693" s="67"/>
      <c r="E693" s="67"/>
      <c r="F693" s="67"/>
      <c r="G693" s="67"/>
      <c r="H693" s="67"/>
      <c r="I693" s="67"/>
      <c r="J693" s="67"/>
      <c r="K693" s="67"/>
      <c r="L693" s="67"/>
      <c r="M693" s="67"/>
      <c r="N693" s="67"/>
      <c r="O693" s="67"/>
      <c r="P693" s="67"/>
      <c r="Q693" s="67"/>
      <c r="R693" s="67"/>
      <c r="S693" s="67"/>
      <c r="T693" s="67"/>
      <c r="U693" s="67"/>
      <c r="V693" s="67"/>
      <c r="W693" s="67"/>
      <c r="X693" s="67"/>
      <c r="Y693" s="67"/>
      <c r="Z693" s="67"/>
    </row>
    <row r="694">
      <c r="A694" s="67"/>
      <c r="B694" s="67"/>
      <c r="C694" s="67"/>
      <c r="D694" s="67"/>
      <c r="E694" s="67"/>
      <c r="F694" s="67"/>
      <c r="G694" s="67"/>
      <c r="H694" s="67"/>
      <c r="I694" s="67"/>
      <c r="J694" s="67"/>
      <c r="K694" s="67"/>
      <c r="L694" s="67"/>
      <c r="M694" s="67"/>
      <c r="N694" s="67"/>
      <c r="O694" s="67"/>
      <c r="P694" s="67"/>
      <c r="Q694" s="67"/>
      <c r="R694" s="67"/>
      <c r="S694" s="67"/>
      <c r="T694" s="67"/>
      <c r="U694" s="67"/>
      <c r="V694" s="67"/>
      <c r="W694" s="67"/>
      <c r="X694" s="67"/>
      <c r="Y694" s="67"/>
      <c r="Z694" s="67"/>
    </row>
    <row r="695">
      <c r="A695" s="67"/>
      <c r="B695" s="67"/>
      <c r="C695" s="67"/>
      <c r="D695" s="67"/>
      <c r="E695" s="67"/>
      <c r="F695" s="67"/>
      <c r="G695" s="67"/>
      <c r="H695" s="67"/>
      <c r="I695" s="67"/>
      <c r="J695" s="67"/>
      <c r="K695" s="67"/>
      <c r="L695" s="67"/>
      <c r="M695" s="67"/>
      <c r="N695" s="67"/>
      <c r="O695" s="67"/>
      <c r="P695" s="67"/>
      <c r="Q695" s="67"/>
      <c r="R695" s="67"/>
      <c r="S695" s="67"/>
      <c r="T695" s="67"/>
      <c r="U695" s="67"/>
      <c r="V695" s="67"/>
      <c r="W695" s="67"/>
      <c r="X695" s="67"/>
      <c r="Y695" s="67"/>
      <c r="Z695" s="67"/>
    </row>
    <row r="696">
      <c r="A696" s="67"/>
      <c r="B696" s="67"/>
      <c r="C696" s="67"/>
      <c r="D696" s="67"/>
      <c r="E696" s="67"/>
      <c r="F696" s="67"/>
      <c r="G696" s="67"/>
      <c r="H696" s="67"/>
      <c r="I696" s="67"/>
      <c r="J696" s="67"/>
      <c r="K696" s="67"/>
      <c r="L696" s="67"/>
      <c r="M696" s="67"/>
      <c r="N696" s="67"/>
      <c r="O696" s="67"/>
      <c r="P696" s="67"/>
      <c r="Q696" s="67"/>
      <c r="R696" s="67"/>
      <c r="S696" s="67"/>
      <c r="T696" s="67"/>
      <c r="U696" s="67"/>
      <c r="V696" s="67"/>
      <c r="W696" s="67"/>
      <c r="X696" s="67"/>
      <c r="Y696" s="67"/>
      <c r="Z696" s="67"/>
    </row>
    <row r="697">
      <c r="A697" s="67"/>
      <c r="B697" s="67"/>
      <c r="C697" s="67"/>
      <c r="D697" s="67"/>
      <c r="E697" s="67"/>
      <c r="F697" s="67"/>
      <c r="G697" s="67"/>
      <c r="H697" s="67"/>
      <c r="I697" s="67"/>
      <c r="J697" s="67"/>
      <c r="K697" s="67"/>
      <c r="L697" s="67"/>
      <c r="M697" s="67"/>
      <c r="N697" s="67"/>
      <c r="O697" s="67"/>
      <c r="P697" s="67"/>
      <c r="Q697" s="67"/>
      <c r="R697" s="67"/>
      <c r="S697" s="67"/>
      <c r="T697" s="67"/>
      <c r="U697" s="67"/>
      <c r="V697" s="67"/>
      <c r="W697" s="67"/>
      <c r="X697" s="67"/>
      <c r="Y697" s="67"/>
      <c r="Z697" s="67"/>
    </row>
    <row r="698">
      <c r="A698" s="67"/>
      <c r="B698" s="67"/>
      <c r="C698" s="67"/>
      <c r="D698" s="67"/>
      <c r="E698" s="67"/>
      <c r="F698" s="67"/>
      <c r="G698" s="67"/>
      <c r="H698" s="67"/>
      <c r="I698" s="67"/>
      <c r="J698" s="67"/>
      <c r="K698" s="67"/>
      <c r="L698" s="67"/>
      <c r="M698" s="67"/>
      <c r="N698" s="67"/>
      <c r="O698" s="67"/>
      <c r="P698" s="67"/>
      <c r="Q698" s="67"/>
      <c r="R698" s="67"/>
      <c r="S698" s="67"/>
      <c r="T698" s="67"/>
      <c r="U698" s="67"/>
      <c r="V698" s="67"/>
      <c r="W698" s="67"/>
      <c r="X698" s="67"/>
      <c r="Y698" s="67"/>
      <c r="Z698" s="67"/>
    </row>
    <row r="699">
      <c r="A699" s="67"/>
      <c r="B699" s="67"/>
      <c r="C699" s="67"/>
      <c r="D699" s="67"/>
      <c r="E699" s="67"/>
      <c r="F699" s="67"/>
      <c r="G699" s="67"/>
      <c r="H699" s="67"/>
      <c r="I699" s="67"/>
      <c r="J699" s="67"/>
      <c r="K699" s="67"/>
      <c r="L699" s="67"/>
      <c r="M699" s="67"/>
      <c r="N699" s="67"/>
      <c r="O699" s="67"/>
      <c r="P699" s="67"/>
      <c r="Q699" s="67"/>
      <c r="R699" s="67"/>
      <c r="S699" s="67"/>
      <c r="T699" s="67"/>
      <c r="U699" s="67"/>
      <c r="V699" s="67"/>
      <c r="W699" s="67"/>
      <c r="X699" s="67"/>
      <c r="Y699" s="67"/>
      <c r="Z699" s="67"/>
    </row>
    <row r="700">
      <c r="A700" s="67"/>
      <c r="B700" s="67"/>
      <c r="C700" s="67"/>
      <c r="D700" s="67"/>
      <c r="E700" s="67"/>
      <c r="F700" s="67"/>
      <c r="G700" s="67"/>
      <c r="H700" s="67"/>
      <c r="I700" s="67"/>
      <c r="J700" s="67"/>
      <c r="K700" s="67"/>
      <c r="L700" s="67"/>
      <c r="M700" s="67"/>
      <c r="N700" s="67"/>
      <c r="O700" s="67"/>
      <c r="P700" s="67"/>
      <c r="Q700" s="67"/>
      <c r="R700" s="67"/>
      <c r="S700" s="67"/>
      <c r="T700" s="67"/>
      <c r="U700" s="67"/>
      <c r="V700" s="67"/>
      <c r="W700" s="67"/>
      <c r="X700" s="67"/>
      <c r="Y700" s="67"/>
      <c r="Z700" s="67"/>
    </row>
    <row r="701">
      <c r="A701" s="67"/>
      <c r="B701" s="67"/>
      <c r="C701" s="67"/>
      <c r="D701" s="67"/>
      <c r="E701" s="67"/>
      <c r="F701" s="67"/>
      <c r="G701" s="67"/>
      <c r="H701" s="67"/>
      <c r="I701" s="67"/>
      <c r="J701" s="67"/>
      <c r="K701" s="67"/>
      <c r="L701" s="67"/>
      <c r="M701" s="67"/>
      <c r="N701" s="67"/>
      <c r="O701" s="67"/>
      <c r="P701" s="67"/>
      <c r="Q701" s="67"/>
      <c r="R701" s="67"/>
      <c r="S701" s="67"/>
      <c r="T701" s="67"/>
      <c r="U701" s="67"/>
      <c r="V701" s="67"/>
      <c r="W701" s="67"/>
      <c r="X701" s="67"/>
      <c r="Y701" s="67"/>
      <c r="Z701" s="67"/>
    </row>
    <row r="702">
      <c r="A702" s="67"/>
      <c r="B702" s="67"/>
      <c r="C702" s="67"/>
      <c r="D702" s="67"/>
      <c r="E702" s="67"/>
      <c r="F702" s="67"/>
      <c r="G702" s="67"/>
      <c r="H702" s="67"/>
      <c r="I702" s="67"/>
      <c r="J702" s="67"/>
      <c r="K702" s="67"/>
      <c r="L702" s="67"/>
      <c r="M702" s="67"/>
      <c r="N702" s="67"/>
      <c r="O702" s="67"/>
      <c r="P702" s="67"/>
      <c r="Q702" s="67"/>
      <c r="R702" s="67"/>
      <c r="S702" s="67"/>
      <c r="T702" s="67"/>
      <c r="U702" s="67"/>
      <c r="V702" s="67"/>
      <c r="W702" s="67"/>
      <c r="X702" s="67"/>
      <c r="Y702" s="67"/>
      <c r="Z702" s="67"/>
    </row>
    <row r="703">
      <c r="A703" s="67"/>
      <c r="B703" s="67"/>
      <c r="C703" s="67"/>
      <c r="D703" s="67"/>
      <c r="E703" s="67"/>
      <c r="F703" s="67"/>
      <c r="G703" s="67"/>
      <c r="H703" s="67"/>
      <c r="I703" s="67"/>
      <c r="J703" s="67"/>
      <c r="K703" s="67"/>
      <c r="L703" s="67"/>
      <c r="M703" s="67"/>
      <c r="N703" s="67"/>
      <c r="O703" s="67"/>
      <c r="P703" s="67"/>
      <c r="Q703" s="67"/>
      <c r="R703" s="67"/>
      <c r="S703" s="67"/>
      <c r="T703" s="67"/>
      <c r="U703" s="67"/>
      <c r="V703" s="67"/>
      <c r="W703" s="67"/>
      <c r="X703" s="67"/>
      <c r="Y703" s="67"/>
      <c r="Z703" s="67"/>
    </row>
    <row r="704">
      <c r="A704" s="67"/>
      <c r="B704" s="67"/>
      <c r="C704" s="67"/>
      <c r="D704" s="67"/>
      <c r="E704" s="67"/>
      <c r="F704" s="67"/>
      <c r="G704" s="67"/>
      <c r="H704" s="67"/>
      <c r="I704" s="67"/>
      <c r="J704" s="67"/>
      <c r="K704" s="67"/>
      <c r="L704" s="67"/>
      <c r="M704" s="67"/>
      <c r="N704" s="67"/>
      <c r="O704" s="67"/>
      <c r="P704" s="67"/>
      <c r="Q704" s="67"/>
      <c r="R704" s="67"/>
      <c r="S704" s="67"/>
      <c r="T704" s="67"/>
      <c r="U704" s="67"/>
      <c r="V704" s="67"/>
      <c r="W704" s="67"/>
      <c r="X704" s="67"/>
      <c r="Y704" s="67"/>
      <c r="Z704" s="67"/>
    </row>
    <row r="705">
      <c r="A705" s="67"/>
      <c r="B705" s="67"/>
      <c r="C705" s="67"/>
      <c r="D705" s="67"/>
      <c r="E705" s="67"/>
      <c r="F705" s="67"/>
      <c r="G705" s="67"/>
      <c r="H705" s="67"/>
      <c r="I705" s="67"/>
      <c r="J705" s="67"/>
      <c r="K705" s="67"/>
      <c r="L705" s="67"/>
      <c r="M705" s="67"/>
      <c r="N705" s="67"/>
      <c r="O705" s="67"/>
      <c r="P705" s="67"/>
      <c r="Q705" s="67"/>
      <c r="R705" s="67"/>
      <c r="S705" s="67"/>
      <c r="T705" s="67"/>
      <c r="U705" s="67"/>
      <c r="V705" s="67"/>
      <c r="W705" s="67"/>
      <c r="X705" s="67"/>
      <c r="Y705" s="67"/>
      <c r="Z705" s="67"/>
    </row>
    <row r="706">
      <c r="A706" s="67"/>
      <c r="B706" s="67"/>
      <c r="C706" s="67"/>
      <c r="D706" s="67"/>
      <c r="E706" s="67"/>
      <c r="F706" s="67"/>
      <c r="G706" s="67"/>
      <c r="H706" s="67"/>
      <c r="I706" s="67"/>
      <c r="J706" s="67"/>
      <c r="K706" s="67"/>
      <c r="L706" s="67"/>
      <c r="M706" s="67"/>
      <c r="N706" s="67"/>
      <c r="O706" s="67"/>
      <c r="P706" s="67"/>
      <c r="Q706" s="67"/>
      <c r="R706" s="67"/>
      <c r="S706" s="67"/>
      <c r="T706" s="67"/>
      <c r="U706" s="67"/>
      <c r="V706" s="67"/>
      <c r="W706" s="67"/>
      <c r="X706" s="67"/>
      <c r="Y706" s="67"/>
      <c r="Z706" s="67"/>
    </row>
    <row r="707">
      <c r="A707" s="67"/>
      <c r="B707" s="67"/>
      <c r="C707" s="67"/>
      <c r="D707" s="67"/>
      <c r="E707" s="67"/>
      <c r="F707" s="67"/>
      <c r="G707" s="67"/>
      <c r="H707" s="67"/>
      <c r="I707" s="67"/>
      <c r="J707" s="67"/>
      <c r="K707" s="67"/>
      <c r="L707" s="67"/>
      <c r="M707" s="67"/>
      <c r="N707" s="67"/>
      <c r="O707" s="67"/>
      <c r="P707" s="67"/>
      <c r="Q707" s="67"/>
      <c r="R707" s="67"/>
      <c r="S707" s="67"/>
      <c r="T707" s="67"/>
      <c r="U707" s="67"/>
      <c r="V707" s="67"/>
      <c r="W707" s="67"/>
      <c r="X707" s="67"/>
      <c r="Y707" s="67"/>
      <c r="Z707" s="67"/>
    </row>
    <row r="708">
      <c r="A708" s="67"/>
      <c r="B708" s="67"/>
      <c r="C708" s="67"/>
      <c r="D708" s="67"/>
      <c r="E708" s="67"/>
      <c r="F708" s="67"/>
      <c r="G708" s="67"/>
      <c r="H708" s="67"/>
      <c r="I708" s="67"/>
      <c r="J708" s="67"/>
      <c r="K708" s="67"/>
      <c r="L708" s="67"/>
      <c r="M708" s="67"/>
      <c r="N708" s="67"/>
      <c r="O708" s="67"/>
      <c r="P708" s="67"/>
      <c r="Q708" s="67"/>
      <c r="R708" s="67"/>
      <c r="S708" s="67"/>
      <c r="T708" s="67"/>
      <c r="U708" s="67"/>
      <c r="V708" s="67"/>
      <c r="W708" s="67"/>
      <c r="X708" s="67"/>
      <c r="Y708" s="67"/>
      <c r="Z708" s="67"/>
    </row>
    <row r="709">
      <c r="A709" s="67"/>
      <c r="B709" s="67"/>
      <c r="C709" s="67"/>
      <c r="D709" s="67"/>
      <c r="E709" s="67"/>
      <c r="F709" s="67"/>
      <c r="G709" s="67"/>
      <c r="H709" s="67"/>
      <c r="I709" s="67"/>
      <c r="J709" s="67"/>
      <c r="K709" s="67"/>
      <c r="L709" s="67"/>
      <c r="M709" s="67"/>
      <c r="N709" s="67"/>
      <c r="O709" s="67"/>
      <c r="P709" s="67"/>
      <c r="Q709" s="67"/>
      <c r="R709" s="67"/>
      <c r="S709" s="67"/>
      <c r="T709" s="67"/>
      <c r="U709" s="67"/>
      <c r="V709" s="67"/>
      <c r="W709" s="67"/>
      <c r="X709" s="67"/>
      <c r="Y709" s="67"/>
      <c r="Z709" s="67"/>
    </row>
    <row r="710">
      <c r="A710" s="67"/>
      <c r="B710" s="67"/>
      <c r="C710" s="67"/>
      <c r="D710" s="67"/>
      <c r="E710" s="67"/>
      <c r="F710" s="67"/>
      <c r="G710" s="67"/>
      <c r="H710" s="67"/>
      <c r="I710" s="67"/>
      <c r="J710" s="67"/>
      <c r="K710" s="67"/>
      <c r="L710" s="67"/>
      <c r="M710" s="67"/>
      <c r="N710" s="67"/>
      <c r="O710" s="67"/>
      <c r="P710" s="67"/>
      <c r="Q710" s="67"/>
      <c r="R710" s="67"/>
      <c r="S710" s="67"/>
      <c r="T710" s="67"/>
      <c r="U710" s="67"/>
      <c r="V710" s="67"/>
      <c r="W710" s="67"/>
      <c r="X710" s="67"/>
      <c r="Y710" s="67"/>
      <c r="Z710" s="67"/>
    </row>
    <row r="711">
      <c r="A711" s="67"/>
      <c r="B711" s="67"/>
      <c r="C711" s="67"/>
      <c r="D711" s="67"/>
      <c r="E711" s="67"/>
      <c r="F711" s="67"/>
      <c r="G711" s="67"/>
      <c r="H711" s="67"/>
      <c r="I711" s="67"/>
      <c r="J711" s="67"/>
      <c r="K711" s="67"/>
      <c r="L711" s="67"/>
      <c r="M711" s="67"/>
      <c r="N711" s="67"/>
      <c r="O711" s="67"/>
      <c r="P711" s="67"/>
      <c r="Q711" s="67"/>
      <c r="R711" s="67"/>
      <c r="S711" s="67"/>
      <c r="T711" s="67"/>
      <c r="U711" s="67"/>
      <c r="V711" s="67"/>
      <c r="W711" s="67"/>
      <c r="X711" s="67"/>
      <c r="Y711" s="67"/>
      <c r="Z711" s="67"/>
    </row>
    <row r="712">
      <c r="A712" s="67"/>
      <c r="B712" s="67"/>
      <c r="C712" s="67"/>
      <c r="D712" s="67"/>
      <c r="E712" s="67"/>
      <c r="F712" s="67"/>
      <c r="G712" s="67"/>
      <c r="H712" s="67"/>
      <c r="I712" s="67"/>
      <c r="J712" s="67"/>
      <c r="K712" s="67"/>
      <c r="L712" s="67"/>
      <c r="M712" s="67"/>
      <c r="N712" s="67"/>
      <c r="O712" s="67"/>
      <c r="P712" s="67"/>
      <c r="Q712" s="67"/>
      <c r="R712" s="67"/>
      <c r="S712" s="67"/>
      <c r="T712" s="67"/>
      <c r="U712" s="67"/>
      <c r="V712" s="67"/>
      <c r="W712" s="67"/>
      <c r="X712" s="67"/>
      <c r="Y712" s="67"/>
      <c r="Z712" s="67"/>
    </row>
    <row r="713">
      <c r="A713" s="67"/>
      <c r="B713" s="67"/>
      <c r="C713" s="67"/>
      <c r="D713" s="67"/>
      <c r="E713" s="67"/>
      <c r="F713" s="67"/>
      <c r="G713" s="67"/>
      <c r="H713" s="67"/>
      <c r="I713" s="67"/>
      <c r="J713" s="67"/>
      <c r="K713" s="67"/>
      <c r="L713" s="67"/>
      <c r="M713" s="67"/>
      <c r="N713" s="67"/>
      <c r="O713" s="67"/>
      <c r="P713" s="67"/>
      <c r="Q713" s="67"/>
      <c r="R713" s="67"/>
      <c r="S713" s="67"/>
      <c r="T713" s="67"/>
      <c r="U713" s="67"/>
      <c r="V713" s="67"/>
      <c r="W713" s="67"/>
      <c r="X713" s="67"/>
      <c r="Y713" s="67"/>
      <c r="Z713" s="67"/>
    </row>
    <row r="714">
      <c r="A714" s="67"/>
      <c r="B714" s="67"/>
      <c r="C714" s="67"/>
      <c r="D714" s="67"/>
      <c r="E714" s="67"/>
      <c r="F714" s="67"/>
      <c r="G714" s="67"/>
      <c r="H714" s="67"/>
      <c r="I714" s="67"/>
      <c r="J714" s="67"/>
      <c r="K714" s="67"/>
      <c r="L714" s="67"/>
      <c r="M714" s="67"/>
      <c r="N714" s="67"/>
      <c r="O714" s="67"/>
      <c r="P714" s="67"/>
      <c r="Q714" s="67"/>
      <c r="R714" s="67"/>
      <c r="S714" s="67"/>
      <c r="T714" s="67"/>
      <c r="U714" s="67"/>
      <c r="V714" s="67"/>
      <c r="W714" s="67"/>
      <c r="X714" s="67"/>
      <c r="Y714" s="67"/>
      <c r="Z714" s="67"/>
    </row>
    <row r="715">
      <c r="A715" s="67"/>
      <c r="B715" s="67"/>
      <c r="C715" s="67"/>
      <c r="D715" s="67"/>
      <c r="E715" s="67"/>
      <c r="F715" s="67"/>
      <c r="G715" s="67"/>
      <c r="H715" s="67"/>
      <c r="I715" s="67"/>
      <c r="J715" s="67"/>
      <c r="K715" s="67"/>
      <c r="L715" s="67"/>
      <c r="M715" s="67"/>
      <c r="N715" s="67"/>
      <c r="O715" s="67"/>
      <c r="P715" s="67"/>
      <c r="Q715" s="67"/>
      <c r="R715" s="67"/>
      <c r="S715" s="67"/>
      <c r="T715" s="67"/>
      <c r="U715" s="67"/>
      <c r="V715" s="67"/>
      <c r="W715" s="67"/>
      <c r="X715" s="67"/>
      <c r="Y715" s="67"/>
      <c r="Z715" s="67"/>
    </row>
    <row r="716">
      <c r="A716" s="67"/>
      <c r="B716" s="67"/>
      <c r="C716" s="67"/>
      <c r="D716" s="67"/>
      <c r="E716" s="67"/>
      <c r="F716" s="67"/>
      <c r="G716" s="67"/>
      <c r="H716" s="67"/>
      <c r="I716" s="67"/>
      <c r="J716" s="67"/>
      <c r="K716" s="67"/>
      <c r="L716" s="67"/>
      <c r="M716" s="67"/>
      <c r="N716" s="67"/>
      <c r="O716" s="67"/>
      <c r="P716" s="67"/>
      <c r="Q716" s="67"/>
      <c r="R716" s="67"/>
      <c r="S716" s="67"/>
      <c r="T716" s="67"/>
      <c r="U716" s="67"/>
      <c r="V716" s="67"/>
      <c r="W716" s="67"/>
      <c r="X716" s="67"/>
      <c r="Y716" s="67"/>
      <c r="Z716" s="67"/>
    </row>
    <row r="717">
      <c r="A717" s="67"/>
      <c r="B717" s="67"/>
      <c r="C717" s="67"/>
      <c r="D717" s="67"/>
      <c r="E717" s="67"/>
      <c r="F717" s="67"/>
      <c r="G717" s="67"/>
      <c r="H717" s="67"/>
      <c r="I717" s="67"/>
      <c r="J717" s="67"/>
      <c r="K717" s="67"/>
      <c r="L717" s="67"/>
      <c r="M717" s="67"/>
      <c r="N717" s="67"/>
      <c r="O717" s="67"/>
      <c r="P717" s="67"/>
      <c r="Q717" s="67"/>
      <c r="R717" s="67"/>
      <c r="S717" s="67"/>
      <c r="T717" s="67"/>
      <c r="U717" s="67"/>
      <c r="V717" s="67"/>
      <c r="W717" s="67"/>
      <c r="X717" s="67"/>
      <c r="Y717" s="67"/>
      <c r="Z717" s="67"/>
    </row>
    <row r="718">
      <c r="A718" s="67"/>
      <c r="B718" s="67"/>
      <c r="C718" s="67"/>
      <c r="D718" s="67"/>
      <c r="E718" s="67"/>
      <c r="F718" s="67"/>
      <c r="G718" s="67"/>
      <c r="H718" s="67"/>
      <c r="I718" s="67"/>
      <c r="J718" s="67"/>
      <c r="K718" s="67"/>
      <c r="L718" s="67"/>
      <c r="M718" s="67"/>
      <c r="N718" s="67"/>
      <c r="O718" s="67"/>
      <c r="P718" s="67"/>
      <c r="Q718" s="67"/>
      <c r="R718" s="67"/>
      <c r="S718" s="67"/>
      <c r="T718" s="67"/>
      <c r="U718" s="67"/>
      <c r="V718" s="67"/>
      <c r="W718" s="67"/>
      <c r="X718" s="67"/>
      <c r="Y718" s="67"/>
      <c r="Z718" s="67"/>
    </row>
    <row r="719">
      <c r="A719" s="67"/>
      <c r="B719" s="67"/>
      <c r="C719" s="67"/>
      <c r="D719" s="67"/>
      <c r="E719" s="67"/>
      <c r="F719" s="67"/>
      <c r="G719" s="67"/>
      <c r="H719" s="67"/>
      <c r="I719" s="67"/>
      <c r="J719" s="67"/>
      <c r="K719" s="67"/>
      <c r="L719" s="67"/>
      <c r="M719" s="67"/>
      <c r="N719" s="67"/>
      <c r="O719" s="67"/>
      <c r="P719" s="67"/>
      <c r="Q719" s="67"/>
      <c r="R719" s="67"/>
      <c r="S719" s="67"/>
      <c r="T719" s="67"/>
      <c r="U719" s="67"/>
      <c r="V719" s="67"/>
      <c r="W719" s="67"/>
      <c r="X719" s="67"/>
      <c r="Y719" s="67"/>
      <c r="Z719" s="67"/>
    </row>
    <row r="720">
      <c r="A720" s="67"/>
      <c r="B720" s="67"/>
      <c r="C720" s="67"/>
      <c r="D720" s="67"/>
      <c r="E720" s="67"/>
      <c r="F720" s="67"/>
      <c r="G720" s="67"/>
      <c r="H720" s="67"/>
      <c r="I720" s="67"/>
      <c r="J720" s="67"/>
      <c r="K720" s="67"/>
      <c r="L720" s="67"/>
      <c r="M720" s="67"/>
      <c r="N720" s="67"/>
      <c r="O720" s="67"/>
      <c r="P720" s="67"/>
      <c r="Q720" s="67"/>
      <c r="R720" s="67"/>
      <c r="S720" s="67"/>
      <c r="T720" s="67"/>
      <c r="U720" s="67"/>
      <c r="V720" s="67"/>
      <c r="W720" s="67"/>
      <c r="X720" s="67"/>
      <c r="Y720" s="67"/>
      <c r="Z720" s="67"/>
    </row>
    <row r="721">
      <c r="A721" s="67"/>
      <c r="B721" s="67"/>
      <c r="C721" s="67"/>
      <c r="D721" s="67"/>
      <c r="E721" s="67"/>
      <c r="F721" s="67"/>
      <c r="G721" s="67"/>
      <c r="H721" s="67"/>
      <c r="I721" s="67"/>
      <c r="J721" s="67"/>
      <c r="K721" s="67"/>
      <c r="L721" s="67"/>
      <c r="M721" s="67"/>
      <c r="N721" s="67"/>
      <c r="O721" s="67"/>
      <c r="P721" s="67"/>
      <c r="Q721" s="67"/>
      <c r="R721" s="67"/>
      <c r="S721" s="67"/>
      <c r="T721" s="67"/>
      <c r="U721" s="67"/>
      <c r="V721" s="67"/>
      <c r="W721" s="67"/>
      <c r="X721" s="67"/>
      <c r="Y721" s="67"/>
      <c r="Z721" s="67"/>
    </row>
    <row r="722">
      <c r="A722" s="67"/>
      <c r="B722" s="67"/>
      <c r="C722" s="67"/>
      <c r="D722" s="67"/>
      <c r="E722" s="67"/>
      <c r="F722" s="67"/>
      <c r="G722" s="67"/>
      <c r="H722" s="67"/>
      <c r="I722" s="67"/>
      <c r="J722" s="67"/>
      <c r="K722" s="67"/>
      <c r="L722" s="67"/>
      <c r="M722" s="67"/>
      <c r="N722" s="67"/>
      <c r="O722" s="67"/>
      <c r="P722" s="67"/>
      <c r="Q722" s="67"/>
      <c r="R722" s="67"/>
      <c r="S722" s="67"/>
      <c r="T722" s="67"/>
      <c r="U722" s="67"/>
      <c r="V722" s="67"/>
      <c r="W722" s="67"/>
      <c r="X722" s="67"/>
      <c r="Y722" s="67"/>
      <c r="Z722" s="67"/>
    </row>
    <row r="723">
      <c r="A723" s="67"/>
      <c r="B723" s="67"/>
      <c r="C723" s="67"/>
      <c r="D723" s="67"/>
      <c r="E723" s="67"/>
      <c r="F723" s="67"/>
      <c r="G723" s="67"/>
      <c r="H723" s="67"/>
      <c r="I723" s="67"/>
      <c r="J723" s="67"/>
      <c r="K723" s="67"/>
      <c r="L723" s="67"/>
      <c r="M723" s="67"/>
      <c r="N723" s="67"/>
      <c r="O723" s="67"/>
      <c r="P723" s="67"/>
      <c r="Q723" s="67"/>
      <c r="R723" s="67"/>
      <c r="S723" s="67"/>
      <c r="T723" s="67"/>
      <c r="U723" s="67"/>
      <c r="V723" s="67"/>
      <c r="W723" s="67"/>
      <c r="X723" s="67"/>
      <c r="Y723" s="67"/>
      <c r="Z723" s="67"/>
    </row>
    <row r="724">
      <c r="A724" s="67"/>
      <c r="B724" s="67"/>
      <c r="C724" s="67"/>
      <c r="D724" s="67"/>
      <c r="E724" s="67"/>
      <c r="F724" s="67"/>
      <c r="G724" s="67"/>
      <c r="H724" s="67"/>
      <c r="I724" s="67"/>
      <c r="J724" s="67"/>
      <c r="K724" s="67"/>
      <c r="L724" s="67"/>
      <c r="M724" s="67"/>
      <c r="N724" s="67"/>
      <c r="O724" s="67"/>
      <c r="P724" s="67"/>
      <c r="Q724" s="67"/>
      <c r="R724" s="67"/>
      <c r="S724" s="67"/>
      <c r="T724" s="67"/>
      <c r="U724" s="67"/>
      <c r="V724" s="67"/>
      <c r="W724" s="67"/>
      <c r="X724" s="67"/>
      <c r="Y724" s="67"/>
      <c r="Z724" s="67"/>
    </row>
    <row r="725">
      <c r="A725" s="67"/>
      <c r="B725" s="67"/>
      <c r="C725" s="67"/>
      <c r="D725" s="67"/>
      <c r="E725" s="67"/>
      <c r="F725" s="67"/>
      <c r="G725" s="67"/>
      <c r="H725" s="67"/>
      <c r="I725" s="67"/>
      <c r="J725" s="67"/>
      <c r="K725" s="67"/>
      <c r="L725" s="67"/>
      <c r="M725" s="67"/>
      <c r="N725" s="67"/>
      <c r="O725" s="67"/>
      <c r="P725" s="67"/>
      <c r="Q725" s="67"/>
      <c r="R725" s="67"/>
      <c r="S725" s="67"/>
      <c r="T725" s="67"/>
      <c r="U725" s="67"/>
      <c r="V725" s="67"/>
      <c r="W725" s="67"/>
      <c r="X725" s="67"/>
      <c r="Y725" s="67"/>
      <c r="Z725" s="67"/>
    </row>
    <row r="726">
      <c r="A726" s="67"/>
      <c r="B726" s="67"/>
      <c r="C726" s="67"/>
      <c r="D726" s="67"/>
      <c r="E726" s="67"/>
      <c r="F726" s="67"/>
      <c r="G726" s="67"/>
      <c r="H726" s="67"/>
      <c r="I726" s="67"/>
      <c r="J726" s="67"/>
      <c r="K726" s="67"/>
      <c r="L726" s="67"/>
      <c r="M726" s="67"/>
      <c r="N726" s="67"/>
      <c r="O726" s="67"/>
      <c r="P726" s="67"/>
      <c r="Q726" s="67"/>
      <c r="R726" s="67"/>
      <c r="S726" s="67"/>
      <c r="T726" s="67"/>
      <c r="U726" s="67"/>
      <c r="V726" s="67"/>
      <c r="W726" s="67"/>
      <c r="X726" s="67"/>
      <c r="Y726" s="67"/>
      <c r="Z726" s="67"/>
    </row>
    <row r="727">
      <c r="A727" s="67"/>
      <c r="B727" s="67"/>
      <c r="C727" s="67"/>
      <c r="D727" s="67"/>
      <c r="E727" s="67"/>
      <c r="F727" s="67"/>
      <c r="G727" s="67"/>
      <c r="H727" s="67"/>
      <c r="I727" s="67"/>
      <c r="J727" s="67"/>
      <c r="K727" s="67"/>
      <c r="L727" s="67"/>
      <c r="M727" s="67"/>
      <c r="N727" s="67"/>
      <c r="O727" s="67"/>
      <c r="P727" s="67"/>
      <c r="Q727" s="67"/>
      <c r="R727" s="67"/>
      <c r="S727" s="67"/>
      <c r="T727" s="67"/>
      <c r="U727" s="67"/>
      <c r="V727" s="67"/>
      <c r="W727" s="67"/>
      <c r="X727" s="67"/>
      <c r="Y727" s="67"/>
      <c r="Z727" s="67"/>
    </row>
    <row r="728">
      <c r="A728" s="67"/>
      <c r="B728" s="67"/>
      <c r="C728" s="67"/>
      <c r="D728" s="67"/>
      <c r="E728" s="67"/>
      <c r="F728" s="67"/>
      <c r="G728" s="67"/>
      <c r="H728" s="67"/>
      <c r="I728" s="67"/>
      <c r="J728" s="67"/>
      <c r="K728" s="67"/>
      <c r="L728" s="67"/>
      <c r="M728" s="67"/>
      <c r="N728" s="67"/>
      <c r="O728" s="67"/>
      <c r="P728" s="67"/>
      <c r="Q728" s="67"/>
      <c r="R728" s="67"/>
      <c r="S728" s="67"/>
      <c r="T728" s="67"/>
      <c r="U728" s="67"/>
      <c r="V728" s="67"/>
      <c r="W728" s="67"/>
      <c r="X728" s="67"/>
      <c r="Y728" s="67"/>
      <c r="Z728" s="67"/>
    </row>
    <row r="729">
      <c r="A729" s="67"/>
      <c r="B729" s="67"/>
      <c r="C729" s="67"/>
      <c r="D729" s="67"/>
      <c r="E729" s="67"/>
      <c r="F729" s="67"/>
      <c r="G729" s="67"/>
      <c r="H729" s="67"/>
      <c r="I729" s="67"/>
      <c r="J729" s="67"/>
      <c r="K729" s="67"/>
      <c r="L729" s="67"/>
      <c r="M729" s="67"/>
      <c r="N729" s="67"/>
      <c r="O729" s="67"/>
      <c r="P729" s="67"/>
      <c r="Q729" s="67"/>
      <c r="R729" s="67"/>
      <c r="S729" s="67"/>
      <c r="T729" s="67"/>
      <c r="U729" s="67"/>
      <c r="V729" s="67"/>
      <c r="W729" s="67"/>
      <c r="X729" s="67"/>
      <c r="Y729" s="67"/>
      <c r="Z729" s="67"/>
    </row>
    <row r="730">
      <c r="A730" s="67"/>
      <c r="B730" s="67"/>
      <c r="C730" s="67"/>
      <c r="D730" s="67"/>
      <c r="E730" s="67"/>
      <c r="F730" s="67"/>
      <c r="G730" s="67"/>
      <c r="H730" s="67"/>
      <c r="I730" s="67"/>
      <c r="J730" s="67"/>
      <c r="K730" s="67"/>
      <c r="L730" s="67"/>
      <c r="M730" s="67"/>
      <c r="N730" s="67"/>
      <c r="O730" s="67"/>
      <c r="P730" s="67"/>
      <c r="Q730" s="67"/>
      <c r="R730" s="67"/>
      <c r="S730" s="67"/>
      <c r="T730" s="67"/>
      <c r="U730" s="67"/>
      <c r="V730" s="67"/>
      <c r="W730" s="67"/>
      <c r="X730" s="67"/>
      <c r="Y730" s="67"/>
      <c r="Z730" s="67"/>
    </row>
    <row r="731">
      <c r="A731" s="67"/>
      <c r="B731" s="67"/>
      <c r="C731" s="67"/>
      <c r="D731" s="67"/>
      <c r="E731" s="67"/>
      <c r="F731" s="67"/>
      <c r="G731" s="67"/>
      <c r="H731" s="67"/>
      <c r="I731" s="67"/>
      <c r="J731" s="67"/>
      <c r="K731" s="67"/>
      <c r="L731" s="67"/>
      <c r="M731" s="67"/>
      <c r="N731" s="67"/>
      <c r="O731" s="67"/>
      <c r="P731" s="67"/>
      <c r="Q731" s="67"/>
      <c r="R731" s="67"/>
      <c r="S731" s="67"/>
      <c r="T731" s="67"/>
      <c r="U731" s="67"/>
      <c r="V731" s="67"/>
      <c r="W731" s="67"/>
      <c r="X731" s="67"/>
      <c r="Y731" s="67"/>
      <c r="Z731" s="67"/>
    </row>
    <row r="732">
      <c r="A732" s="67"/>
      <c r="B732" s="67"/>
      <c r="C732" s="67"/>
      <c r="D732" s="67"/>
      <c r="E732" s="67"/>
      <c r="F732" s="67"/>
      <c r="G732" s="67"/>
      <c r="H732" s="67"/>
      <c r="I732" s="67"/>
      <c r="J732" s="67"/>
      <c r="K732" s="67"/>
      <c r="L732" s="67"/>
      <c r="M732" s="67"/>
      <c r="N732" s="67"/>
      <c r="O732" s="67"/>
      <c r="P732" s="67"/>
      <c r="Q732" s="67"/>
      <c r="R732" s="67"/>
      <c r="S732" s="67"/>
      <c r="T732" s="67"/>
      <c r="U732" s="67"/>
      <c r="V732" s="67"/>
      <c r="W732" s="67"/>
      <c r="X732" s="67"/>
      <c r="Y732" s="67"/>
      <c r="Z732" s="67"/>
    </row>
    <row r="733">
      <c r="A733" s="67"/>
      <c r="B733" s="67"/>
      <c r="C733" s="67"/>
      <c r="D733" s="67"/>
      <c r="E733" s="67"/>
      <c r="F733" s="67"/>
      <c r="G733" s="67"/>
      <c r="H733" s="67"/>
      <c r="I733" s="67"/>
      <c r="J733" s="67"/>
      <c r="K733" s="67"/>
      <c r="L733" s="67"/>
      <c r="M733" s="67"/>
      <c r="N733" s="67"/>
      <c r="O733" s="67"/>
      <c r="P733" s="67"/>
      <c r="Q733" s="67"/>
      <c r="R733" s="67"/>
      <c r="S733" s="67"/>
      <c r="T733" s="67"/>
      <c r="U733" s="67"/>
      <c r="V733" s="67"/>
      <c r="W733" s="67"/>
      <c r="X733" s="67"/>
      <c r="Y733" s="67"/>
      <c r="Z733" s="67"/>
    </row>
    <row r="734">
      <c r="A734" s="67"/>
      <c r="B734" s="67"/>
      <c r="C734" s="67"/>
      <c r="D734" s="67"/>
      <c r="E734" s="67"/>
      <c r="F734" s="67"/>
      <c r="G734" s="67"/>
      <c r="H734" s="67"/>
      <c r="I734" s="67"/>
      <c r="J734" s="67"/>
      <c r="K734" s="67"/>
      <c r="L734" s="67"/>
      <c r="M734" s="67"/>
      <c r="N734" s="67"/>
      <c r="O734" s="67"/>
      <c r="P734" s="67"/>
      <c r="Q734" s="67"/>
      <c r="R734" s="67"/>
      <c r="S734" s="67"/>
      <c r="T734" s="67"/>
      <c r="U734" s="67"/>
      <c r="V734" s="67"/>
      <c r="W734" s="67"/>
      <c r="X734" s="67"/>
      <c r="Y734" s="67"/>
      <c r="Z734" s="67"/>
    </row>
    <row r="735">
      <c r="A735" s="67"/>
      <c r="B735" s="67"/>
      <c r="C735" s="67"/>
      <c r="D735" s="67"/>
      <c r="E735" s="67"/>
      <c r="F735" s="67"/>
      <c r="G735" s="67"/>
      <c r="H735" s="67"/>
      <c r="I735" s="67"/>
      <c r="J735" s="67"/>
      <c r="K735" s="67"/>
      <c r="L735" s="67"/>
      <c r="M735" s="67"/>
      <c r="N735" s="67"/>
      <c r="O735" s="67"/>
      <c r="P735" s="67"/>
      <c r="Q735" s="67"/>
      <c r="R735" s="67"/>
      <c r="S735" s="67"/>
      <c r="T735" s="67"/>
      <c r="U735" s="67"/>
      <c r="V735" s="67"/>
      <c r="W735" s="67"/>
      <c r="X735" s="67"/>
      <c r="Y735" s="67"/>
      <c r="Z735" s="67"/>
    </row>
    <row r="736">
      <c r="A736" s="67"/>
      <c r="B736" s="67"/>
      <c r="C736" s="67"/>
      <c r="D736" s="67"/>
      <c r="E736" s="67"/>
      <c r="F736" s="67"/>
      <c r="G736" s="67"/>
      <c r="H736" s="67"/>
      <c r="I736" s="67"/>
      <c r="J736" s="67"/>
      <c r="K736" s="67"/>
      <c r="L736" s="67"/>
      <c r="M736" s="67"/>
      <c r="N736" s="67"/>
      <c r="O736" s="67"/>
      <c r="P736" s="67"/>
      <c r="Q736" s="67"/>
      <c r="R736" s="67"/>
      <c r="S736" s="67"/>
      <c r="T736" s="67"/>
      <c r="U736" s="67"/>
      <c r="V736" s="67"/>
      <c r="W736" s="67"/>
      <c r="X736" s="67"/>
      <c r="Y736" s="67"/>
      <c r="Z736" s="67"/>
    </row>
    <row r="737">
      <c r="A737" s="67"/>
      <c r="B737" s="67"/>
      <c r="C737" s="67"/>
      <c r="D737" s="67"/>
      <c r="E737" s="67"/>
      <c r="F737" s="67"/>
      <c r="G737" s="67"/>
      <c r="H737" s="67"/>
      <c r="I737" s="67"/>
      <c r="J737" s="67"/>
      <c r="K737" s="67"/>
      <c r="L737" s="67"/>
      <c r="M737" s="67"/>
      <c r="N737" s="67"/>
      <c r="O737" s="67"/>
      <c r="P737" s="67"/>
      <c r="Q737" s="67"/>
      <c r="R737" s="67"/>
      <c r="S737" s="67"/>
      <c r="T737" s="67"/>
      <c r="U737" s="67"/>
      <c r="V737" s="67"/>
      <c r="W737" s="67"/>
      <c r="X737" s="67"/>
      <c r="Y737" s="67"/>
      <c r="Z737" s="67"/>
    </row>
    <row r="738">
      <c r="A738" s="67"/>
      <c r="B738" s="67"/>
      <c r="C738" s="67"/>
      <c r="D738" s="67"/>
      <c r="E738" s="67"/>
      <c r="F738" s="67"/>
      <c r="G738" s="67"/>
      <c r="H738" s="67"/>
      <c r="I738" s="67"/>
      <c r="J738" s="67"/>
      <c r="K738" s="67"/>
      <c r="L738" s="67"/>
      <c r="M738" s="67"/>
      <c r="N738" s="67"/>
      <c r="O738" s="67"/>
      <c r="P738" s="67"/>
      <c r="Q738" s="67"/>
      <c r="R738" s="67"/>
      <c r="S738" s="67"/>
      <c r="T738" s="67"/>
      <c r="U738" s="67"/>
      <c r="V738" s="67"/>
      <c r="W738" s="67"/>
      <c r="X738" s="67"/>
      <c r="Y738" s="67"/>
      <c r="Z738" s="67"/>
    </row>
    <row r="739">
      <c r="A739" s="67"/>
      <c r="B739" s="67"/>
      <c r="C739" s="67"/>
      <c r="D739" s="67"/>
      <c r="E739" s="67"/>
      <c r="F739" s="67"/>
      <c r="G739" s="67"/>
      <c r="H739" s="67"/>
      <c r="I739" s="67"/>
      <c r="J739" s="67"/>
      <c r="K739" s="67"/>
      <c r="L739" s="67"/>
      <c r="M739" s="67"/>
      <c r="N739" s="67"/>
      <c r="O739" s="67"/>
      <c r="P739" s="67"/>
      <c r="Q739" s="67"/>
      <c r="R739" s="67"/>
      <c r="S739" s="67"/>
      <c r="T739" s="67"/>
      <c r="U739" s="67"/>
      <c r="V739" s="67"/>
      <c r="W739" s="67"/>
      <c r="X739" s="67"/>
      <c r="Y739" s="67"/>
      <c r="Z739" s="67"/>
    </row>
    <row r="740">
      <c r="A740" s="67"/>
      <c r="B740" s="67"/>
      <c r="C740" s="67"/>
      <c r="D740" s="67"/>
      <c r="E740" s="67"/>
      <c r="F740" s="67"/>
      <c r="G740" s="67"/>
      <c r="H740" s="67"/>
      <c r="I740" s="67"/>
      <c r="J740" s="67"/>
      <c r="K740" s="67"/>
      <c r="L740" s="67"/>
      <c r="M740" s="67"/>
      <c r="N740" s="67"/>
      <c r="O740" s="67"/>
      <c r="P740" s="67"/>
      <c r="Q740" s="67"/>
      <c r="R740" s="67"/>
      <c r="S740" s="67"/>
      <c r="T740" s="67"/>
      <c r="U740" s="67"/>
      <c r="V740" s="67"/>
      <c r="W740" s="67"/>
      <c r="X740" s="67"/>
      <c r="Y740" s="67"/>
      <c r="Z740" s="67"/>
    </row>
    <row r="741">
      <c r="A741" s="67"/>
      <c r="B741" s="67"/>
      <c r="C741" s="67"/>
      <c r="D741" s="67"/>
      <c r="E741" s="67"/>
      <c r="F741" s="67"/>
      <c r="G741" s="67"/>
      <c r="H741" s="67"/>
      <c r="I741" s="67"/>
      <c r="J741" s="67"/>
      <c r="K741" s="67"/>
      <c r="L741" s="67"/>
      <c r="M741" s="67"/>
      <c r="N741" s="67"/>
      <c r="O741" s="67"/>
      <c r="P741" s="67"/>
      <c r="Q741" s="67"/>
      <c r="R741" s="67"/>
      <c r="S741" s="67"/>
      <c r="T741" s="67"/>
      <c r="U741" s="67"/>
      <c r="V741" s="67"/>
      <c r="W741" s="67"/>
      <c r="X741" s="67"/>
      <c r="Y741" s="67"/>
      <c r="Z741" s="67"/>
    </row>
    <row r="742">
      <c r="A742" s="67"/>
      <c r="B742" s="67"/>
      <c r="C742" s="67"/>
      <c r="D742" s="67"/>
      <c r="E742" s="67"/>
      <c r="F742" s="67"/>
      <c r="G742" s="67"/>
      <c r="H742" s="67"/>
      <c r="I742" s="67"/>
      <c r="J742" s="67"/>
      <c r="K742" s="67"/>
      <c r="L742" s="67"/>
      <c r="M742" s="67"/>
      <c r="N742" s="67"/>
      <c r="O742" s="67"/>
      <c r="P742" s="67"/>
      <c r="Q742" s="67"/>
      <c r="R742" s="67"/>
      <c r="S742" s="67"/>
      <c r="T742" s="67"/>
      <c r="U742" s="67"/>
      <c r="V742" s="67"/>
      <c r="W742" s="67"/>
      <c r="X742" s="67"/>
      <c r="Y742" s="67"/>
      <c r="Z742" s="67"/>
    </row>
    <row r="743">
      <c r="A743" s="67"/>
      <c r="B743" s="67"/>
      <c r="C743" s="67"/>
      <c r="D743" s="67"/>
      <c r="E743" s="67"/>
      <c r="F743" s="67"/>
      <c r="G743" s="67"/>
      <c r="H743" s="67"/>
      <c r="I743" s="67"/>
      <c r="J743" s="67"/>
      <c r="K743" s="67"/>
      <c r="L743" s="67"/>
      <c r="M743" s="67"/>
      <c r="N743" s="67"/>
      <c r="O743" s="67"/>
      <c r="P743" s="67"/>
      <c r="Q743" s="67"/>
      <c r="R743" s="67"/>
      <c r="S743" s="67"/>
      <c r="T743" s="67"/>
      <c r="U743" s="67"/>
      <c r="V743" s="67"/>
      <c r="W743" s="67"/>
      <c r="X743" s="67"/>
      <c r="Y743" s="67"/>
      <c r="Z743" s="67"/>
    </row>
    <row r="744">
      <c r="A744" s="67"/>
      <c r="B744" s="67"/>
      <c r="C744" s="67"/>
      <c r="D744" s="67"/>
      <c r="E744" s="67"/>
      <c r="F744" s="67"/>
      <c r="G744" s="67"/>
      <c r="H744" s="67"/>
      <c r="I744" s="67"/>
      <c r="J744" s="67"/>
      <c r="K744" s="67"/>
      <c r="L744" s="67"/>
      <c r="M744" s="67"/>
      <c r="N744" s="67"/>
      <c r="O744" s="67"/>
      <c r="P744" s="67"/>
      <c r="Q744" s="67"/>
      <c r="R744" s="67"/>
      <c r="S744" s="67"/>
      <c r="T744" s="67"/>
      <c r="U744" s="67"/>
      <c r="V744" s="67"/>
      <c r="W744" s="67"/>
      <c r="X744" s="67"/>
      <c r="Y744" s="67"/>
      <c r="Z744" s="67"/>
    </row>
    <row r="745">
      <c r="A745" s="67"/>
      <c r="B745" s="67"/>
      <c r="C745" s="67"/>
      <c r="D745" s="67"/>
      <c r="E745" s="67"/>
      <c r="F745" s="67"/>
      <c r="G745" s="67"/>
      <c r="H745" s="67"/>
      <c r="I745" s="67"/>
      <c r="J745" s="67"/>
      <c r="K745" s="67"/>
      <c r="L745" s="67"/>
      <c r="M745" s="67"/>
      <c r="N745" s="67"/>
      <c r="O745" s="67"/>
      <c r="P745" s="67"/>
      <c r="Q745" s="67"/>
      <c r="R745" s="67"/>
      <c r="S745" s="67"/>
      <c r="T745" s="67"/>
      <c r="U745" s="67"/>
      <c r="V745" s="67"/>
      <c r="W745" s="67"/>
      <c r="X745" s="67"/>
      <c r="Y745" s="67"/>
      <c r="Z745" s="67"/>
    </row>
    <row r="746">
      <c r="A746" s="67"/>
      <c r="B746" s="67"/>
      <c r="C746" s="67"/>
      <c r="D746" s="67"/>
      <c r="E746" s="67"/>
      <c r="F746" s="67"/>
      <c r="G746" s="67"/>
      <c r="H746" s="67"/>
      <c r="I746" s="67"/>
      <c r="J746" s="67"/>
      <c r="K746" s="67"/>
      <c r="L746" s="67"/>
      <c r="M746" s="67"/>
      <c r="N746" s="67"/>
      <c r="O746" s="67"/>
      <c r="P746" s="67"/>
      <c r="Q746" s="67"/>
      <c r="R746" s="67"/>
      <c r="S746" s="67"/>
      <c r="T746" s="67"/>
      <c r="U746" s="67"/>
      <c r="V746" s="67"/>
      <c r="W746" s="67"/>
      <c r="X746" s="67"/>
      <c r="Y746" s="67"/>
      <c r="Z746" s="67"/>
    </row>
    <row r="747">
      <c r="A747" s="67"/>
      <c r="B747" s="67"/>
      <c r="C747" s="67"/>
      <c r="D747" s="67"/>
      <c r="E747" s="67"/>
      <c r="F747" s="67"/>
      <c r="G747" s="67"/>
      <c r="H747" s="67"/>
      <c r="I747" s="67"/>
      <c r="J747" s="67"/>
      <c r="K747" s="67"/>
      <c r="L747" s="67"/>
      <c r="M747" s="67"/>
      <c r="N747" s="67"/>
      <c r="O747" s="67"/>
      <c r="P747" s="67"/>
      <c r="Q747" s="67"/>
      <c r="R747" s="67"/>
      <c r="S747" s="67"/>
      <c r="T747" s="67"/>
      <c r="U747" s="67"/>
      <c r="V747" s="67"/>
      <c r="W747" s="67"/>
      <c r="X747" s="67"/>
      <c r="Y747" s="67"/>
      <c r="Z747" s="67"/>
    </row>
    <row r="748">
      <c r="A748" s="67"/>
      <c r="B748" s="67"/>
      <c r="C748" s="67"/>
      <c r="D748" s="67"/>
      <c r="E748" s="67"/>
      <c r="F748" s="67"/>
      <c r="G748" s="67"/>
      <c r="H748" s="67"/>
      <c r="I748" s="67"/>
      <c r="J748" s="67"/>
      <c r="K748" s="67"/>
      <c r="L748" s="67"/>
      <c r="M748" s="67"/>
      <c r="N748" s="67"/>
      <c r="O748" s="67"/>
      <c r="P748" s="67"/>
      <c r="Q748" s="67"/>
      <c r="R748" s="67"/>
      <c r="S748" s="67"/>
      <c r="T748" s="67"/>
      <c r="U748" s="67"/>
      <c r="V748" s="67"/>
      <c r="W748" s="67"/>
      <c r="X748" s="67"/>
      <c r="Y748" s="67"/>
      <c r="Z748" s="67"/>
    </row>
    <row r="749">
      <c r="A749" s="67"/>
      <c r="B749" s="67"/>
      <c r="C749" s="67"/>
      <c r="D749" s="67"/>
      <c r="E749" s="67"/>
      <c r="F749" s="67"/>
      <c r="G749" s="67"/>
      <c r="H749" s="67"/>
      <c r="I749" s="67"/>
      <c r="J749" s="67"/>
      <c r="K749" s="67"/>
      <c r="L749" s="67"/>
      <c r="M749" s="67"/>
      <c r="N749" s="67"/>
      <c r="O749" s="67"/>
      <c r="P749" s="67"/>
      <c r="Q749" s="67"/>
      <c r="R749" s="67"/>
      <c r="S749" s="67"/>
      <c r="T749" s="67"/>
      <c r="U749" s="67"/>
      <c r="V749" s="67"/>
      <c r="W749" s="67"/>
      <c r="X749" s="67"/>
      <c r="Y749" s="67"/>
      <c r="Z749" s="67"/>
    </row>
    <row r="750">
      <c r="A750" s="67"/>
      <c r="B750" s="67"/>
      <c r="C750" s="67"/>
      <c r="D750" s="67"/>
      <c r="E750" s="67"/>
      <c r="F750" s="67"/>
      <c r="G750" s="67"/>
      <c r="H750" s="67"/>
      <c r="I750" s="67"/>
      <c r="J750" s="67"/>
      <c r="K750" s="67"/>
      <c r="L750" s="67"/>
      <c r="M750" s="67"/>
      <c r="N750" s="67"/>
      <c r="O750" s="67"/>
      <c r="P750" s="67"/>
      <c r="Q750" s="67"/>
      <c r="R750" s="67"/>
      <c r="S750" s="67"/>
      <c r="T750" s="67"/>
      <c r="U750" s="67"/>
      <c r="V750" s="67"/>
      <c r="W750" s="67"/>
      <c r="X750" s="67"/>
      <c r="Y750" s="67"/>
      <c r="Z750" s="67"/>
    </row>
    <row r="751">
      <c r="A751" s="67"/>
      <c r="B751" s="67"/>
      <c r="C751" s="67"/>
      <c r="D751" s="67"/>
      <c r="E751" s="67"/>
      <c r="F751" s="67"/>
      <c r="G751" s="67"/>
      <c r="H751" s="67"/>
      <c r="I751" s="67"/>
      <c r="J751" s="67"/>
      <c r="K751" s="67"/>
      <c r="L751" s="67"/>
      <c r="M751" s="67"/>
      <c r="N751" s="67"/>
      <c r="O751" s="67"/>
      <c r="P751" s="67"/>
      <c r="Q751" s="67"/>
      <c r="R751" s="67"/>
      <c r="S751" s="67"/>
      <c r="T751" s="67"/>
      <c r="U751" s="67"/>
      <c r="V751" s="67"/>
      <c r="W751" s="67"/>
      <c r="X751" s="67"/>
      <c r="Y751" s="67"/>
      <c r="Z751" s="67"/>
    </row>
    <row r="752">
      <c r="A752" s="67"/>
      <c r="B752" s="67"/>
      <c r="C752" s="67"/>
      <c r="D752" s="67"/>
      <c r="E752" s="67"/>
      <c r="F752" s="67"/>
      <c r="G752" s="67"/>
      <c r="H752" s="67"/>
      <c r="I752" s="67"/>
      <c r="J752" s="67"/>
      <c r="K752" s="67"/>
      <c r="L752" s="67"/>
      <c r="M752" s="67"/>
      <c r="N752" s="67"/>
      <c r="O752" s="67"/>
      <c r="P752" s="67"/>
      <c r="Q752" s="67"/>
      <c r="R752" s="67"/>
      <c r="S752" s="67"/>
      <c r="T752" s="67"/>
      <c r="U752" s="67"/>
      <c r="V752" s="67"/>
      <c r="W752" s="67"/>
      <c r="X752" s="67"/>
      <c r="Y752" s="67"/>
      <c r="Z752" s="67"/>
    </row>
    <row r="753">
      <c r="A753" s="67"/>
      <c r="B753" s="67"/>
      <c r="C753" s="67"/>
      <c r="D753" s="67"/>
      <c r="E753" s="67"/>
      <c r="F753" s="67"/>
      <c r="G753" s="67"/>
      <c r="H753" s="67"/>
      <c r="I753" s="67"/>
      <c r="J753" s="67"/>
      <c r="K753" s="67"/>
      <c r="L753" s="67"/>
      <c r="M753" s="67"/>
      <c r="N753" s="67"/>
      <c r="O753" s="67"/>
      <c r="P753" s="67"/>
      <c r="Q753" s="67"/>
      <c r="R753" s="67"/>
      <c r="S753" s="67"/>
      <c r="T753" s="67"/>
      <c r="U753" s="67"/>
      <c r="V753" s="67"/>
      <c r="W753" s="67"/>
      <c r="X753" s="67"/>
      <c r="Y753" s="67"/>
      <c r="Z753" s="67"/>
    </row>
    <row r="754">
      <c r="A754" s="67"/>
      <c r="B754" s="67"/>
      <c r="C754" s="67"/>
      <c r="D754" s="67"/>
      <c r="E754" s="67"/>
      <c r="F754" s="67"/>
      <c r="G754" s="67"/>
      <c r="H754" s="67"/>
      <c r="I754" s="67"/>
      <c r="J754" s="67"/>
      <c r="K754" s="67"/>
      <c r="L754" s="67"/>
      <c r="M754" s="67"/>
      <c r="N754" s="67"/>
      <c r="O754" s="67"/>
      <c r="P754" s="67"/>
      <c r="Q754" s="67"/>
      <c r="R754" s="67"/>
      <c r="S754" s="67"/>
      <c r="T754" s="67"/>
      <c r="U754" s="67"/>
      <c r="V754" s="67"/>
      <c r="W754" s="67"/>
      <c r="X754" s="67"/>
      <c r="Y754" s="67"/>
      <c r="Z754" s="67"/>
    </row>
    <row r="755">
      <c r="A755" s="67"/>
      <c r="B755" s="67"/>
      <c r="C755" s="67"/>
      <c r="D755" s="67"/>
      <c r="E755" s="67"/>
      <c r="F755" s="67"/>
      <c r="G755" s="67"/>
      <c r="H755" s="67"/>
      <c r="I755" s="67"/>
      <c r="J755" s="67"/>
      <c r="K755" s="67"/>
      <c r="L755" s="67"/>
      <c r="M755" s="67"/>
      <c r="N755" s="67"/>
      <c r="O755" s="67"/>
      <c r="P755" s="67"/>
      <c r="Q755" s="67"/>
      <c r="R755" s="67"/>
      <c r="S755" s="67"/>
      <c r="T755" s="67"/>
      <c r="U755" s="67"/>
      <c r="V755" s="67"/>
      <c r="W755" s="67"/>
      <c r="X755" s="67"/>
      <c r="Y755" s="67"/>
      <c r="Z755" s="67"/>
    </row>
    <row r="756">
      <c r="A756" s="67"/>
      <c r="B756" s="67"/>
      <c r="C756" s="67"/>
      <c r="D756" s="67"/>
      <c r="E756" s="67"/>
      <c r="F756" s="67"/>
      <c r="G756" s="67"/>
      <c r="H756" s="67"/>
      <c r="I756" s="67"/>
      <c r="J756" s="67"/>
      <c r="K756" s="67"/>
      <c r="L756" s="67"/>
      <c r="M756" s="67"/>
      <c r="N756" s="67"/>
      <c r="O756" s="67"/>
      <c r="P756" s="67"/>
      <c r="Q756" s="67"/>
      <c r="R756" s="67"/>
      <c r="S756" s="67"/>
      <c r="T756" s="67"/>
      <c r="U756" s="67"/>
      <c r="V756" s="67"/>
      <c r="W756" s="67"/>
      <c r="X756" s="67"/>
      <c r="Y756" s="67"/>
      <c r="Z756" s="67"/>
    </row>
    <row r="757">
      <c r="A757" s="67"/>
      <c r="B757" s="67"/>
      <c r="C757" s="67"/>
      <c r="D757" s="67"/>
      <c r="E757" s="67"/>
      <c r="F757" s="67"/>
      <c r="G757" s="67"/>
      <c r="H757" s="67"/>
      <c r="I757" s="67"/>
      <c r="J757" s="67"/>
      <c r="K757" s="67"/>
      <c r="L757" s="67"/>
      <c r="M757" s="67"/>
      <c r="N757" s="67"/>
      <c r="O757" s="67"/>
      <c r="P757" s="67"/>
      <c r="Q757" s="67"/>
      <c r="R757" s="67"/>
      <c r="S757" s="67"/>
      <c r="T757" s="67"/>
      <c r="U757" s="67"/>
      <c r="V757" s="67"/>
      <c r="W757" s="67"/>
      <c r="X757" s="67"/>
      <c r="Y757" s="67"/>
      <c r="Z757" s="67"/>
    </row>
    <row r="758">
      <c r="A758" s="67"/>
      <c r="B758" s="67"/>
      <c r="C758" s="67"/>
      <c r="D758" s="67"/>
      <c r="E758" s="67"/>
      <c r="F758" s="67"/>
      <c r="G758" s="67"/>
      <c r="H758" s="67"/>
      <c r="I758" s="67"/>
      <c r="J758" s="67"/>
      <c r="K758" s="67"/>
      <c r="L758" s="67"/>
      <c r="M758" s="67"/>
      <c r="N758" s="67"/>
      <c r="O758" s="67"/>
      <c r="P758" s="67"/>
      <c r="Q758" s="67"/>
      <c r="R758" s="67"/>
      <c r="S758" s="67"/>
      <c r="T758" s="67"/>
      <c r="U758" s="67"/>
      <c r="V758" s="67"/>
      <c r="W758" s="67"/>
      <c r="X758" s="67"/>
      <c r="Y758" s="67"/>
      <c r="Z758" s="67"/>
    </row>
    <row r="759">
      <c r="A759" s="67"/>
      <c r="B759" s="67"/>
      <c r="C759" s="67"/>
      <c r="D759" s="67"/>
      <c r="E759" s="67"/>
      <c r="F759" s="67"/>
      <c r="G759" s="67"/>
      <c r="H759" s="67"/>
      <c r="I759" s="67"/>
      <c r="J759" s="67"/>
      <c r="K759" s="67"/>
      <c r="L759" s="67"/>
      <c r="M759" s="67"/>
      <c r="N759" s="67"/>
      <c r="O759" s="67"/>
      <c r="P759" s="67"/>
      <c r="Q759" s="67"/>
      <c r="R759" s="67"/>
      <c r="S759" s="67"/>
      <c r="T759" s="67"/>
      <c r="U759" s="67"/>
      <c r="V759" s="67"/>
      <c r="W759" s="67"/>
      <c r="X759" s="67"/>
      <c r="Y759" s="67"/>
      <c r="Z759" s="67"/>
    </row>
    <row r="760">
      <c r="A760" s="67"/>
      <c r="B760" s="67"/>
      <c r="C760" s="67"/>
      <c r="D760" s="67"/>
      <c r="E760" s="67"/>
      <c r="F760" s="67"/>
      <c r="G760" s="67"/>
      <c r="H760" s="67"/>
      <c r="I760" s="67"/>
      <c r="J760" s="67"/>
      <c r="K760" s="67"/>
      <c r="L760" s="67"/>
      <c r="M760" s="67"/>
      <c r="N760" s="67"/>
      <c r="O760" s="67"/>
      <c r="P760" s="67"/>
      <c r="Q760" s="67"/>
      <c r="R760" s="67"/>
      <c r="S760" s="67"/>
      <c r="T760" s="67"/>
      <c r="U760" s="67"/>
      <c r="V760" s="67"/>
      <c r="W760" s="67"/>
      <c r="X760" s="67"/>
      <c r="Y760" s="67"/>
      <c r="Z760" s="67"/>
    </row>
    <row r="761">
      <c r="A761" s="67"/>
      <c r="B761" s="67"/>
      <c r="C761" s="67"/>
      <c r="D761" s="67"/>
      <c r="E761" s="67"/>
      <c r="F761" s="67"/>
      <c r="G761" s="67"/>
      <c r="H761" s="67"/>
      <c r="I761" s="67"/>
      <c r="J761" s="67"/>
      <c r="K761" s="67"/>
      <c r="L761" s="67"/>
      <c r="M761" s="67"/>
      <c r="N761" s="67"/>
      <c r="O761" s="67"/>
      <c r="P761" s="67"/>
      <c r="Q761" s="67"/>
      <c r="R761" s="67"/>
      <c r="S761" s="67"/>
      <c r="T761" s="67"/>
      <c r="U761" s="67"/>
      <c r="V761" s="67"/>
      <c r="W761" s="67"/>
      <c r="X761" s="67"/>
      <c r="Y761" s="67"/>
      <c r="Z761" s="67"/>
    </row>
    <row r="762">
      <c r="A762" s="67"/>
      <c r="B762" s="67"/>
      <c r="C762" s="67"/>
      <c r="D762" s="67"/>
      <c r="E762" s="67"/>
      <c r="F762" s="67"/>
      <c r="G762" s="67"/>
      <c r="H762" s="67"/>
      <c r="I762" s="67"/>
      <c r="J762" s="67"/>
      <c r="K762" s="67"/>
      <c r="L762" s="67"/>
      <c r="M762" s="67"/>
      <c r="N762" s="67"/>
      <c r="O762" s="67"/>
      <c r="P762" s="67"/>
      <c r="Q762" s="67"/>
      <c r="R762" s="67"/>
      <c r="S762" s="67"/>
      <c r="T762" s="67"/>
      <c r="U762" s="67"/>
      <c r="V762" s="67"/>
      <c r="W762" s="67"/>
      <c r="X762" s="67"/>
      <c r="Y762" s="67"/>
      <c r="Z762" s="67"/>
    </row>
    <row r="763">
      <c r="A763" s="67"/>
      <c r="B763" s="67"/>
      <c r="C763" s="67"/>
      <c r="D763" s="67"/>
      <c r="E763" s="67"/>
      <c r="F763" s="67"/>
      <c r="G763" s="67"/>
      <c r="H763" s="67"/>
      <c r="I763" s="67"/>
      <c r="J763" s="67"/>
      <c r="K763" s="67"/>
      <c r="L763" s="67"/>
      <c r="M763" s="67"/>
      <c r="N763" s="67"/>
      <c r="O763" s="67"/>
      <c r="P763" s="67"/>
      <c r="Q763" s="67"/>
      <c r="R763" s="67"/>
      <c r="S763" s="67"/>
      <c r="T763" s="67"/>
      <c r="U763" s="67"/>
      <c r="V763" s="67"/>
      <c r="W763" s="67"/>
      <c r="X763" s="67"/>
      <c r="Y763" s="67"/>
      <c r="Z763" s="67"/>
    </row>
    <row r="764">
      <c r="A764" s="67"/>
      <c r="B764" s="67"/>
      <c r="C764" s="67"/>
      <c r="D764" s="67"/>
      <c r="E764" s="67"/>
      <c r="F764" s="67"/>
      <c r="G764" s="67"/>
      <c r="H764" s="67"/>
      <c r="I764" s="67"/>
      <c r="J764" s="67"/>
      <c r="K764" s="67"/>
      <c r="L764" s="67"/>
      <c r="M764" s="67"/>
      <c r="N764" s="67"/>
      <c r="O764" s="67"/>
      <c r="P764" s="67"/>
      <c r="Q764" s="67"/>
      <c r="R764" s="67"/>
      <c r="S764" s="67"/>
      <c r="T764" s="67"/>
      <c r="U764" s="67"/>
      <c r="V764" s="67"/>
      <c r="W764" s="67"/>
      <c r="X764" s="67"/>
      <c r="Y764" s="67"/>
      <c r="Z764" s="67"/>
    </row>
    <row r="765">
      <c r="A765" s="67"/>
      <c r="B765" s="67"/>
      <c r="C765" s="67"/>
      <c r="D765" s="67"/>
      <c r="E765" s="67"/>
      <c r="F765" s="67"/>
      <c r="G765" s="67"/>
      <c r="H765" s="67"/>
      <c r="I765" s="67"/>
      <c r="J765" s="67"/>
      <c r="K765" s="67"/>
      <c r="L765" s="67"/>
      <c r="M765" s="67"/>
      <c r="N765" s="67"/>
      <c r="O765" s="67"/>
      <c r="P765" s="67"/>
      <c r="Q765" s="67"/>
      <c r="R765" s="67"/>
      <c r="S765" s="67"/>
      <c r="T765" s="67"/>
      <c r="U765" s="67"/>
      <c r="V765" s="67"/>
      <c r="W765" s="67"/>
      <c r="X765" s="67"/>
      <c r="Y765" s="67"/>
      <c r="Z765" s="67"/>
    </row>
    <row r="766">
      <c r="A766" s="67"/>
      <c r="B766" s="67"/>
      <c r="C766" s="67"/>
      <c r="D766" s="67"/>
      <c r="E766" s="67"/>
      <c r="F766" s="67"/>
      <c r="G766" s="67"/>
      <c r="H766" s="67"/>
      <c r="I766" s="67"/>
      <c r="J766" s="67"/>
      <c r="K766" s="67"/>
      <c r="L766" s="67"/>
      <c r="M766" s="67"/>
      <c r="N766" s="67"/>
      <c r="O766" s="67"/>
      <c r="P766" s="67"/>
      <c r="Q766" s="67"/>
      <c r="R766" s="67"/>
      <c r="S766" s="67"/>
      <c r="T766" s="67"/>
      <c r="U766" s="67"/>
      <c r="V766" s="67"/>
      <c r="W766" s="67"/>
      <c r="X766" s="67"/>
      <c r="Y766" s="67"/>
      <c r="Z766" s="67"/>
    </row>
    <row r="767">
      <c r="A767" s="67"/>
      <c r="B767" s="67"/>
      <c r="C767" s="67"/>
      <c r="D767" s="67"/>
      <c r="E767" s="67"/>
      <c r="F767" s="67"/>
      <c r="G767" s="67"/>
      <c r="H767" s="67"/>
      <c r="I767" s="67"/>
      <c r="J767" s="67"/>
      <c r="K767" s="67"/>
      <c r="L767" s="67"/>
      <c r="M767" s="67"/>
      <c r="N767" s="67"/>
      <c r="O767" s="67"/>
      <c r="P767" s="67"/>
      <c r="Q767" s="67"/>
      <c r="R767" s="67"/>
      <c r="S767" s="67"/>
      <c r="T767" s="67"/>
      <c r="U767" s="67"/>
      <c r="V767" s="67"/>
      <c r="W767" s="67"/>
      <c r="X767" s="67"/>
      <c r="Y767" s="67"/>
      <c r="Z767" s="67"/>
    </row>
    <row r="768">
      <c r="A768" s="67"/>
      <c r="B768" s="67"/>
      <c r="C768" s="67"/>
      <c r="D768" s="67"/>
      <c r="E768" s="67"/>
      <c r="F768" s="67"/>
      <c r="G768" s="67"/>
      <c r="H768" s="67"/>
      <c r="I768" s="67"/>
      <c r="J768" s="67"/>
      <c r="K768" s="67"/>
      <c r="L768" s="67"/>
      <c r="M768" s="67"/>
      <c r="N768" s="67"/>
      <c r="O768" s="67"/>
      <c r="P768" s="67"/>
      <c r="Q768" s="67"/>
      <c r="R768" s="67"/>
      <c r="S768" s="67"/>
      <c r="T768" s="67"/>
      <c r="U768" s="67"/>
      <c r="V768" s="67"/>
      <c r="W768" s="67"/>
      <c r="X768" s="67"/>
      <c r="Y768" s="67"/>
      <c r="Z768" s="67"/>
    </row>
    <row r="769">
      <c r="A769" s="67"/>
      <c r="B769" s="67"/>
      <c r="C769" s="67"/>
      <c r="D769" s="67"/>
      <c r="E769" s="67"/>
      <c r="F769" s="67"/>
      <c r="G769" s="67"/>
      <c r="H769" s="67"/>
      <c r="I769" s="67"/>
      <c r="J769" s="67"/>
      <c r="K769" s="67"/>
      <c r="L769" s="67"/>
      <c r="M769" s="67"/>
      <c r="N769" s="67"/>
      <c r="O769" s="67"/>
      <c r="P769" s="67"/>
      <c r="Q769" s="67"/>
      <c r="R769" s="67"/>
      <c r="S769" s="67"/>
      <c r="T769" s="67"/>
      <c r="U769" s="67"/>
      <c r="V769" s="67"/>
      <c r="W769" s="67"/>
      <c r="X769" s="67"/>
      <c r="Y769" s="67"/>
      <c r="Z769" s="67"/>
    </row>
    <row r="770">
      <c r="A770" s="67"/>
      <c r="B770" s="67"/>
      <c r="C770" s="67"/>
      <c r="D770" s="67"/>
      <c r="E770" s="67"/>
      <c r="F770" s="67"/>
      <c r="G770" s="67"/>
      <c r="H770" s="67"/>
      <c r="I770" s="67"/>
      <c r="J770" s="67"/>
      <c r="K770" s="67"/>
      <c r="L770" s="67"/>
      <c r="M770" s="67"/>
      <c r="N770" s="67"/>
      <c r="O770" s="67"/>
      <c r="P770" s="67"/>
      <c r="Q770" s="67"/>
      <c r="R770" s="67"/>
      <c r="S770" s="67"/>
      <c r="T770" s="67"/>
      <c r="U770" s="67"/>
      <c r="V770" s="67"/>
      <c r="W770" s="67"/>
      <c r="X770" s="67"/>
      <c r="Y770" s="67"/>
      <c r="Z770" s="67"/>
    </row>
    <row r="771">
      <c r="A771" s="67"/>
      <c r="B771" s="67"/>
      <c r="C771" s="67"/>
      <c r="D771" s="67"/>
      <c r="E771" s="67"/>
      <c r="F771" s="67"/>
      <c r="G771" s="67"/>
      <c r="H771" s="67"/>
      <c r="I771" s="67"/>
      <c r="J771" s="67"/>
      <c r="K771" s="67"/>
      <c r="L771" s="67"/>
      <c r="M771" s="67"/>
      <c r="N771" s="67"/>
      <c r="O771" s="67"/>
      <c r="P771" s="67"/>
      <c r="Q771" s="67"/>
      <c r="R771" s="67"/>
      <c r="S771" s="67"/>
      <c r="T771" s="67"/>
      <c r="U771" s="67"/>
      <c r="V771" s="67"/>
      <c r="W771" s="67"/>
      <c r="X771" s="67"/>
      <c r="Y771" s="67"/>
      <c r="Z771" s="67"/>
    </row>
    <row r="772">
      <c r="A772" s="67"/>
      <c r="B772" s="67"/>
      <c r="C772" s="67"/>
      <c r="D772" s="67"/>
      <c r="E772" s="67"/>
      <c r="F772" s="67"/>
      <c r="G772" s="67"/>
      <c r="H772" s="67"/>
      <c r="I772" s="67"/>
      <c r="J772" s="67"/>
      <c r="K772" s="67"/>
      <c r="L772" s="67"/>
      <c r="M772" s="67"/>
      <c r="N772" s="67"/>
      <c r="O772" s="67"/>
      <c r="P772" s="67"/>
      <c r="Q772" s="67"/>
      <c r="R772" s="67"/>
      <c r="S772" s="67"/>
      <c r="T772" s="67"/>
      <c r="U772" s="67"/>
      <c r="V772" s="67"/>
      <c r="W772" s="67"/>
      <c r="X772" s="67"/>
      <c r="Y772" s="67"/>
      <c r="Z772" s="67"/>
    </row>
    <row r="773">
      <c r="A773" s="67"/>
      <c r="B773" s="67"/>
      <c r="C773" s="67"/>
      <c r="D773" s="67"/>
      <c r="E773" s="67"/>
      <c r="F773" s="67"/>
      <c r="G773" s="67"/>
      <c r="H773" s="67"/>
      <c r="I773" s="67"/>
      <c r="J773" s="67"/>
      <c r="K773" s="67"/>
      <c r="L773" s="67"/>
      <c r="M773" s="67"/>
      <c r="N773" s="67"/>
      <c r="O773" s="67"/>
      <c r="P773" s="67"/>
      <c r="Q773" s="67"/>
      <c r="R773" s="67"/>
      <c r="S773" s="67"/>
      <c r="T773" s="67"/>
      <c r="U773" s="67"/>
      <c r="V773" s="67"/>
      <c r="W773" s="67"/>
      <c r="X773" s="67"/>
      <c r="Y773" s="67"/>
      <c r="Z773" s="67"/>
    </row>
    <row r="774">
      <c r="A774" s="67"/>
      <c r="B774" s="67"/>
      <c r="C774" s="67"/>
      <c r="D774" s="67"/>
      <c r="E774" s="67"/>
      <c r="F774" s="67"/>
      <c r="G774" s="67"/>
      <c r="H774" s="67"/>
      <c r="I774" s="67"/>
      <c r="J774" s="67"/>
      <c r="K774" s="67"/>
      <c r="L774" s="67"/>
      <c r="M774" s="67"/>
      <c r="N774" s="67"/>
      <c r="O774" s="67"/>
      <c r="P774" s="67"/>
      <c r="Q774" s="67"/>
      <c r="R774" s="67"/>
      <c r="S774" s="67"/>
      <c r="T774" s="67"/>
      <c r="U774" s="67"/>
      <c r="V774" s="67"/>
      <c r="W774" s="67"/>
      <c r="X774" s="67"/>
      <c r="Y774" s="67"/>
      <c r="Z774" s="67"/>
    </row>
    <row r="775">
      <c r="A775" s="67"/>
      <c r="B775" s="67"/>
      <c r="C775" s="67"/>
      <c r="D775" s="67"/>
      <c r="E775" s="67"/>
      <c r="F775" s="67"/>
      <c r="G775" s="67"/>
      <c r="H775" s="67"/>
      <c r="I775" s="67"/>
      <c r="J775" s="67"/>
      <c r="K775" s="67"/>
      <c r="L775" s="67"/>
      <c r="M775" s="67"/>
      <c r="N775" s="67"/>
      <c r="O775" s="67"/>
      <c r="P775" s="67"/>
      <c r="Q775" s="67"/>
      <c r="R775" s="67"/>
      <c r="S775" s="67"/>
      <c r="T775" s="67"/>
      <c r="U775" s="67"/>
      <c r="V775" s="67"/>
      <c r="W775" s="67"/>
      <c r="X775" s="67"/>
      <c r="Y775" s="67"/>
      <c r="Z775" s="67"/>
    </row>
    <row r="776">
      <c r="A776" s="67"/>
      <c r="B776" s="67"/>
      <c r="C776" s="67"/>
      <c r="D776" s="67"/>
      <c r="E776" s="67"/>
      <c r="F776" s="67"/>
      <c r="G776" s="67"/>
      <c r="H776" s="67"/>
      <c r="I776" s="67"/>
      <c r="J776" s="67"/>
      <c r="K776" s="67"/>
      <c r="L776" s="67"/>
      <c r="M776" s="67"/>
      <c r="N776" s="67"/>
      <c r="O776" s="67"/>
      <c r="P776" s="67"/>
      <c r="Q776" s="67"/>
      <c r="R776" s="67"/>
      <c r="S776" s="67"/>
      <c r="T776" s="67"/>
      <c r="U776" s="67"/>
      <c r="V776" s="67"/>
      <c r="W776" s="67"/>
      <c r="X776" s="67"/>
      <c r="Y776" s="67"/>
      <c r="Z776" s="67"/>
    </row>
    <row r="777">
      <c r="A777" s="67"/>
      <c r="B777" s="67"/>
      <c r="C777" s="67"/>
      <c r="D777" s="67"/>
      <c r="E777" s="67"/>
      <c r="F777" s="67"/>
      <c r="G777" s="67"/>
      <c r="H777" s="67"/>
      <c r="I777" s="67"/>
      <c r="J777" s="67"/>
      <c r="K777" s="67"/>
      <c r="L777" s="67"/>
      <c r="M777" s="67"/>
      <c r="N777" s="67"/>
      <c r="O777" s="67"/>
      <c r="P777" s="67"/>
      <c r="Q777" s="67"/>
      <c r="R777" s="67"/>
      <c r="S777" s="67"/>
      <c r="T777" s="67"/>
      <c r="U777" s="67"/>
      <c r="V777" s="67"/>
      <c r="W777" s="67"/>
      <c r="X777" s="67"/>
      <c r="Y777" s="67"/>
      <c r="Z777" s="67"/>
    </row>
    <row r="778">
      <c r="A778" s="67"/>
      <c r="B778" s="67"/>
      <c r="C778" s="67"/>
      <c r="D778" s="67"/>
      <c r="E778" s="67"/>
      <c r="F778" s="67"/>
      <c r="G778" s="67"/>
      <c r="H778" s="67"/>
      <c r="I778" s="67"/>
      <c r="J778" s="67"/>
      <c r="K778" s="67"/>
      <c r="L778" s="67"/>
      <c r="M778" s="67"/>
      <c r="N778" s="67"/>
      <c r="O778" s="67"/>
      <c r="P778" s="67"/>
      <c r="Q778" s="67"/>
      <c r="R778" s="67"/>
      <c r="S778" s="67"/>
      <c r="T778" s="67"/>
      <c r="U778" s="67"/>
      <c r="V778" s="67"/>
      <c r="W778" s="67"/>
      <c r="X778" s="67"/>
      <c r="Y778" s="67"/>
      <c r="Z778" s="67"/>
    </row>
    <row r="779">
      <c r="A779" s="67"/>
      <c r="B779" s="67"/>
      <c r="C779" s="67"/>
      <c r="D779" s="67"/>
      <c r="E779" s="67"/>
      <c r="F779" s="67"/>
      <c r="G779" s="67"/>
      <c r="H779" s="67"/>
      <c r="I779" s="67"/>
      <c r="J779" s="67"/>
      <c r="K779" s="67"/>
      <c r="L779" s="67"/>
      <c r="M779" s="67"/>
      <c r="N779" s="67"/>
      <c r="O779" s="67"/>
      <c r="P779" s="67"/>
      <c r="Q779" s="67"/>
      <c r="R779" s="67"/>
      <c r="S779" s="67"/>
      <c r="T779" s="67"/>
      <c r="U779" s="67"/>
      <c r="V779" s="67"/>
      <c r="W779" s="67"/>
      <c r="X779" s="67"/>
      <c r="Y779" s="67"/>
      <c r="Z779" s="67"/>
    </row>
    <row r="780">
      <c r="A780" s="67"/>
      <c r="B780" s="67"/>
      <c r="C780" s="67"/>
      <c r="D780" s="67"/>
      <c r="E780" s="67"/>
      <c r="F780" s="67"/>
      <c r="G780" s="67"/>
      <c r="H780" s="67"/>
      <c r="I780" s="67"/>
      <c r="J780" s="67"/>
      <c r="K780" s="67"/>
      <c r="L780" s="67"/>
      <c r="M780" s="67"/>
      <c r="N780" s="67"/>
      <c r="O780" s="67"/>
      <c r="P780" s="67"/>
      <c r="Q780" s="67"/>
      <c r="R780" s="67"/>
      <c r="S780" s="67"/>
      <c r="T780" s="67"/>
      <c r="U780" s="67"/>
      <c r="V780" s="67"/>
      <c r="W780" s="67"/>
      <c r="X780" s="67"/>
      <c r="Y780" s="67"/>
      <c r="Z780" s="67"/>
    </row>
    <row r="781">
      <c r="A781" s="67"/>
      <c r="B781" s="67"/>
      <c r="C781" s="67"/>
      <c r="D781" s="67"/>
      <c r="E781" s="67"/>
      <c r="F781" s="67"/>
      <c r="G781" s="67"/>
      <c r="H781" s="67"/>
      <c r="I781" s="67"/>
      <c r="J781" s="67"/>
      <c r="K781" s="67"/>
      <c r="L781" s="67"/>
      <c r="M781" s="67"/>
      <c r="N781" s="67"/>
      <c r="O781" s="67"/>
      <c r="P781" s="67"/>
      <c r="Q781" s="67"/>
      <c r="R781" s="67"/>
      <c r="S781" s="67"/>
      <c r="T781" s="67"/>
      <c r="U781" s="67"/>
      <c r="V781" s="67"/>
      <c r="W781" s="67"/>
      <c r="X781" s="67"/>
      <c r="Y781" s="67"/>
      <c r="Z781" s="67"/>
    </row>
    <row r="782">
      <c r="A782" s="67"/>
      <c r="B782" s="67"/>
      <c r="C782" s="67"/>
      <c r="D782" s="67"/>
      <c r="E782" s="67"/>
      <c r="F782" s="67"/>
      <c r="G782" s="67"/>
      <c r="H782" s="67"/>
      <c r="I782" s="67"/>
      <c r="J782" s="67"/>
      <c r="K782" s="67"/>
      <c r="L782" s="67"/>
      <c r="M782" s="67"/>
      <c r="N782" s="67"/>
      <c r="O782" s="67"/>
      <c r="P782" s="67"/>
      <c r="Q782" s="67"/>
      <c r="R782" s="67"/>
      <c r="S782" s="67"/>
      <c r="T782" s="67"/>
      <c r="U782" s="67"/>
      <c r="V782" s="67"/>
      <c r="W782" s="67"/>
      <c r="X782" s="67"/>
      <c r="Y782" s="67"/>
      <c r="Z782" s="67"/>
    </row>
    <row r="783">
      <c r="A783" s="67"/>
      <c r="B783" s="67"/>
      <c r="C783" s="67"/>
      <c r="D783" s="67"/>
      <c r="E783" s="67"/>
      <c r="F783" s="67"/>
      <c r="G783" s="67"/>
      <c r="H783" s="67"/>
      <c r="I783" s="67"/>
      <c r="J783" s="67"/>
      <c r="K783" s="67"/>
      <c r="L783" s="67"/>
      <c r="M783" s="67"/>
      <c r="N783" s="67"/>
      <c r="O783" s="67"/>
      <c r="P783" s="67"/>
      <c r="Q783" s="67"/>
      <c r="R783" s="67"/>
      <c r="S783" s="67"/>
      <c r="T783" s="67"/>
      <c r="U783" s="67"/>
      <c r="V783" s="67"/>
      <c r="W783" s="67"/>
      <c r="X783" s="67"/>
      <c r="Y783" s="67"/>
      <c r="Z783" s="67"/>
    </row>
    <row r="784">
      <c r="A784" s="67"/>
      <c r="B784" s="67"/>
      <c r="C784" s="67"/>
      <c r="D784" s="67"/>
      <c r="E784" s="67"/>
      <c r="F784" s="67"/>
      <c r="G784" s="67"/>
      <c r="H784" s="67"/>
      <c r="I784" s="67"/>
      <c r="J784" s="67"/>
      <c r="K784" s="67"/>
      <c r="L784" s="67"/>
      <c r="M784" s="67"/>
      <c r="N784" s="67"/>
      <c r="O784" s="67"/>
      <c r="P784" s="67"/>
      <c r="Q784" s="67"/>
      <c r="R784" s="67"/>
      <c r="S784" s="67"/>
      <c r="T784" s="67"/>
      <c r="U784" s="67"/>
      <c r="V784" s="67"/>
      <c r="W784" s="67"/>
      <c r="X784" s="67"/>
      <c r="Y784" s="67"/>
      <c r="Z784" s="67"/>
    </row>
    <row r="785">
      <c r="A785" s="67"/>
      <c r="B785" s="67"/>
      <c r="C785" s="67"/>
      <c r="D785" s="67"/>
      <c r="E785" s="67"/>
      <c r="F785" s="67"/>
      <c r="G785" s="67"/>
      <c r="H785" s="67"/>
      <c r="I785" s="67"/>
      <c r="J785" s="67"/>
      <c r="K785" s="67"/>
      <c r="L785" s="67"/>
      <c r="M785" s="67"/>
      <c r="N785" s="67"/>
      <c r="O785" s="67"/>
      <c r="P785" s="67"/>
      <c r="Q785" s="67"/>
      <c r="R785" s="67"/>
      <c r="S785" s="67"/>
      <c r="T785" s="67"/>
      <c r="U785" s="67"/>
      <c r="V785" s="67"/>
      <c r="W785" s="67"/>
      <c r="X785" s="67"/>
      <c r="Y785" s="67"/>
      <c r="Z785" s="67"/>
    </row>
    <row r="786">
      <c r="A786" s="67"/>
      <c r="B786" s="67"/>
      <c r="C786" s="67"/>
      <c r="D786" s="67"/>
      <c r="E786" s="67"/>
      <c r="F786" s="67"/>
      <c r="G786" s="67"/>
      <c r="H786" s="67"/>
      <c r="I786" s="67"/>
      <c r="J786" s="67"/>
      <c r="K786" s="67"/>
      <c r="L786" s="67"/>
      <c r="M786" s="67"/>
      <c r="N786" s="67"/>
      <c r="O786" s="67"/>
      <c r="P786" s="67"/>
      <c r="Q786" s="67"/>
      <c r="R786" s="67"/>
      <c r="S786" s="67"/>
      <c r="T786" s="67"/>
      <c r="U786" s="67"/>
      <c r="V786" s="67"/>
      <c r="W786" s="67"/>
      <c r="X786" s="67"/>
      <c r="Y786" s="67"/>
      <c r="Z786" s="67"/>
    </row>
    <row r="787">
      <c r="A787" s="67"/>
      <c r="B787" s="67"/>
      <c r="C787" s="67"/>
      <c r="D787" s="67"/>
      <c r="E787" s="67"/>
      <c r="F787" s="67"/>
      <c r="G787" s="67"/>
      <c r="H787" s="67"/>
      <c r="I787" s="67"/>
      <c r="J787" s="67"/>
      <c r="K787" s="67"/>
      <c r="L787" s="67"/>
      <c r="M787" s="67"/>
      <c r="N787" s="67"/>
      <c r="O787" s="67"/>
      <c r="P787" s="67"/>
      <c r="Q787" s="67"/>
      <c r="R787" s="67"/>
      <c r="S787" s="67"/>
      <c r="T787" s="67"/>
      <c r="U787" s="67"/>
      <c r="V787" s="67"/>
      <c r="W787" s="67"/>
      <c r="X787" s="67"/>
      <c r="Y787" s="67"/>
      <c r="Z787" s="67"/>
    </row>
    <row r="788">
      <c r="A788" s="67"/>
      <c r="B788" s="67"/>
      <c r="C788" s="67"/>
      <c r="D788" s="67"/>
      <c r="E788" s="67"/>
      <c r="F788" s="67"/>
      <c r="G788" s="67"/>
      <c r="H788" s="67"/>
      <c r="I788" s="67"/>
      <c r="J788" s="67"/>
      <c r="K788" s="67"/>
      <c r="L788" s="67"/>
      <c r="M788" s="67"/>
      <c r="N788" s="67"/>
      <c r="O788" s="67"/>
      <c r="P788" s="67"/>
      <c r="Q788" s="67"/>
      <c r="R788" s="67"/>
      <c r="S788" s="67"/>
      <c r="T788" s="67"/>
      <c r="U788" s="67"/>
      <c r="V788" s="67"/>
      <c r="W788" s="67"/>
      <c r="X788" s="67"/>
      <c r="Y788" s="67"/>
      <c r="Z788" s="67"/>
    </row>
    <row r="789">
      <c r="A789" s="67"/>
      <c r="B789" s="67"/>
      <c r="C789" s="67"/>
      <c r="D789" s="67"/>
      <c r="E789" s="67"/>
      <c r="F789" s="67"/>
      <c r="G789" s="67"/>
      <c r="H789" s="67"/>
      <c r="I789" s="67"/>
      <c r="J789" s="67"/>
      <c r="K789" s="67"/>
      <c r="L789" s="67"/>
      <c r="M789" s="67"/>
      <c r="N789" s="67"/>
      <c r="O789" s="67"/>
      <c r="P789" s="67"/>
      <c r="Q789" s="67"/>
      <c r="R789" s="67"/>
      <c r="S789" s="67"/>
      <c r="T789" s="67"/>
      <c r="U789" s="67"/>
      <c r="V789" s="67"/>
      <c r="W789" s="67"/>
      <c r="X789" s="67"/>
      <c r="Y789" s="67"/>
      <c r="Z789" s="67"/>
    </row>
    <row r="790">
      <c r="A790" s="67"/>
      <c r="B790" s="67"/>
      <c r="C790" s="67"/>
      <c r="D790" s="67"/>
      <c r="E790" s="67"/>
      <c r="F790" s="67"/>
      <c r="G790" s="67"/>
      <c r="H790" s="67"/>
      <c r="I790" s="67"/>
      <c r="J790" s="67"/>
      <c r="K790" s="67"/>
      <c r="L790" s="67"/>
      <c r="M790" s="67"/>
      <c r="N790" s="67"/>
      <c r="O790" s="67"/>
      <c r="P790" s="67"/>
      <c r="Q790" s="67"/>
      <c r="R790" s="67"/>
      <c r="S790" s="67"/>
      <c r="T790" s="67"/>
      <c r="U790" s="67"/>
      <c r="V790" s="67"/>
      <c r="W790" s="67"/>
      <c r="X790" s="67"/>
      <c r="Y790" s="67"/>
      <c r="Z790" s="67"/>
    </row>
    <row r="791">
      <c r="A791" s="67"/>
      <c r="B791" s="67"/>
      <c r="C791" s="67"/>
      <c r="D791" s="67"/>
      <c r="E791" s="67"/>
      <c r="F791" s="67"/>
      <c r="G791" s="67"/>
      <c r="H791" s="67"/>
      <c r="I791" s="67"/>
      <c r="J791" s="67"/>
      <c r="K791" s="67"/>
      <c r="L791" s="67"/>
      <c r="M791" s="67"/>
      <c r="N791" s="67"/>
      <c r="O791" s="67"/>
      <c r="P791" s="67"/>
      <c r="Q791" s="67"/>
      <c r="R791" s="67"/>
      <c r="S791" s="67"/>
      <c r="T791" s="67"/>
      <c r="U791" s="67"/>
      <c r="V791" s="67"/>
      <c r="W791" s="67"/>
      <c r="X791" s="67"/>
      <c r="Y791" s="67"/>
      <c r="Z791" s="67"/>
    </row>
    <row r="792">
      <c r="A792" s="67"/>
      <c r="B792" s="67"/>
      <c r="C792" s="67"/>
      <c r="D792" s="67"/>
      <c r="E792" s="67"/>
      <c r="F792" s="67"/>
      <c r="G792" s="67"/>
      <c r="H792" s="67"/>
      <c r="I792" s="67"/>
      <c r="J792" s="67"/>
      <c r="K792" s="67"/>
      <c r="L792" s="67"/>
      <c r="M792" s="67"/>
      <c r="N792" s="67"/>
      <c r="O792" s="67"/>
      <c r="P792" s="67"/>
      <c r="Q792" s="67"/>
      <c r="R792" s="67"/>
      <c r="S792" s="67"/>
      <c r="T792" s="67"/>
      <c r="U792" s="67"/>
      <c r="V792" s="67"/>
      <c r="W792" s="67"/>
      <c r="X792" s="67"/>
      <c r="Y792" s="67"/>
      <c r="Z792" s="67"/>
    </row>
    <row r="793">
      <c r="A793" s="67"/>
      <c r="B793" s="67"/>
      <c r="C793" s="67"/>
      <c r="D793" s="67"/>
      <c r="E793" s="67"/>
      <c r="F793" s="67"/>
      <c r="G793" s="67"/>
      <c r="H793" s="67"/>
      <c r="I793" s="67"/>
      <c r="J793" s="67"/>
      <c r="K793" s="67"/>
      <c r="L793" s="67"/>
      <c r="M793" s="67"/>
      <c r="N793" s="67"/>
      <c r="O793" s="67"/>
      <c r="P793" s="67"/>
      <c r="Q793" s="67"/>
      <c r="R793" s="67"/>
      <c r="S793" s="67"/>
      <c r="T793" s="67"/>
      <c r="U793" s="67"/>
      <c r="V793" s="67"/>
      <c r="W793" s="67"/>
      <c r="X793" s="67"/>
      <c r="Y793" s="67"/>
      <c r="Z793" s="67"/>
    </row>
    <row r="794">
      <c r="A794" s="67"/>
      <c r="B794" s="67"/>
      <c r="C794" s="67"/>
      <c r="D794" s="67"/>
      <c r="E794" s="67"/>
      <c r="F794" s="67"/>
      <c r="G794" s="67"/>
      <c r="H794" s="67"/>
      <c r="I794" s="67"/>
      <c r="J794" s="67"/>
      <c r="K794" s="67"/>
      <c r="L794" s="67"/>
      <c r="M794" s="67"/>
      <c r="N794" s="67"/>
      <c r="O794" s="67"/>
      <c r="P794" s="67"/>
      <c r="Q794" s="67"/>
      <c r="R794" s="67"/>
      <c r="S794" s="67"/>
      <c r="T794" s="67"/>
      <c r="U794" s="67"/>
      <c r="V794" s="67"/>
      <c r="W794" s="67"/>
      <c r="X794" s="67"/>
      <c r="Y794" s="67"/>
      <c r="Z794" s="67"/>
    </row>
    <row r="795">
      <c r="A795" s="67"/>
      <c r="B795" s="67"/>
      <c r="C795" s="67"/>
      <c r="D795" s="67"/>
      <c r="E795" s="67"/>
      <c r="F795" s="67"/>
      <c r="G795" s="67"/>
      <c r="H795" s="67"/>
      <c r="I795" s="67"/>
      <c r="J795" s="67"/>
      <c r="K795" s="67"/>
      <c r="L795" s="67"/>
      <c r="M795" s="67"/>
      <c r="N795" s="67"/>
      <c r="O795" s="67"/>
      <c r="P795" s="67"/>
      <c r="Q795" s="67"/>
      <c r="R795" s="67"/>
      <c r="S795" s="67"/>
      <c r="T795" s="67"/>
      <c r="U795" s="67"/>
      <c r="V795" s="67"/>
      <c r="W795" s="67"/>
      <c r="X795" s="67"/>
      <c r="Y795" s="67"/>
      <c r="Z795" s="67"/>
    </row>
    <row r="796">
      <c r="A796" s="67"/>
      <c r="B796" s="67"/>
      <c r="C796" s="67"/>
      <c r="D796" s="67"/>
      <c r="E796" s="67"/>
      <c r="F796" s="67"/>
      <c r="G796" s="67"/>
      <c r="H796" s="67"/>
      <c r="I796" s="67"/>
      <c r="J796" s="67"/>
      <c r="K796" s="67"/>
      <c r="L796" s="67"/>
      <c r="M796" s="67"/>
      <c r="N796" s="67"/>
      <c r="O796" s="67"/>
      <c r="P796" s="67"/>
      <c r="Q796" s="67"/>
      <c r="R796" s="67"/>
      <c r="S796" s="67"/>
      <c r="T796" s="67"/>
      <c r="U796" s="67"/>
      <c r="V796" s="67"/>
      <c r="W796" s="67"/>
      <c r="X796" s="67"/>
      <c r="Y796" s="67"/>
      <c r="Z796" s="67"/>
    </row>
    <row r="797">
      <c r="A797" s="67"/>
      <c r="B797" s="67"/>
      <c r="C797" s="67"/>
      <c r="D797" s="67"/>
      <c r="E797" s="67"/>
      <c r="F797" s="67"/>
      <c r="G797" s="67"/>
      <c r="H797" s="67"/>
      <c r="I797" s="67"/>
      <c r="J797" s="67"/>
      <c r="K797" s="67"/>
      <c r="L797" s="67"/>
      <c r="M797" s="67"/>
      <c r="N797" s="67"/>
      <c r="O797" s="67"/>
      <c r="P797" s="67"/>
      <c r="Q797" s="67"/>
      <c r="R797" s="67"/>
      <c r="S797" s="67"/>
      <c r="T797" s="67"/>
      <c r="U797" s="67"/>
      <c r="V797" s="67"/>
      <c r="W797" s="67"/>
      <c r="X797" s="67"/>
      <c r="Y797" s="67"/>
      <c r="Z797" s="67"/>
    </row>
    <row r="798">
      <c r="A798" s="67"/>
      <c r="B798" s="67"/>
      <c r="C798" s="67"/>
      <c r="D798" s="67"/>
      <c r="E798" s="67"/>
      <c r="F798" s="67"/>
      <c r="G798" s="67"/>
      <c r="H798" s="67"/>
      <c r="I798" s="67"/>
      <c r="J798" s="67"/>
      <c r="K798" s="67"/>
      <c r="L798" s="67"/>
      <c r="M798" s="67"/>
      <c r="N798" s="67"/>
      <c r="O798" s="67"/>
      <c r="P798" s="67"/>
      <c r="Q798" s="67"/>
      <c r="R798" s="67"/>
      <c r="S798" s="67"/>
      <c r="T798" s="67"/>
      <c r="U798" s="67"/>
      <c r="V798" s="67"/>
      <c r="W798" s="67"/>
      <c r="X798" s="67"/>
      <c r="Y798" s="67"/>
      <c r="Z798" s="67"/>
    </row>
    <row r="799">
      <c r="A799" s="67"/>
      <c r="B799" s="67"/>
      <c r="C799" s="67"/>
      <c r="D799" s="67"/>
      <c r="E799" s="67"/>
      <c r="F799" s="67"/>
      <c r="G799" s="67"/>
      <c r="H799" s="67"/>
      <c r="I799" s="67"/>
      <c r="J799" s="67"/>
      <c r="K799" s="67"/>
      <c r="L799" s="67"/>
      <c r="M799" s="67"/>
      <c r="N799" s="67"/>
      <c r="O799" s="67"/>
      <c r="P799" s="67"/>
      <c r="Q799" s="67"/>
      <c r="R799" s="67"/>
      <c r="S799" s="67"/>
      <c r="T799" s="67"/>
      <c r="U799" s="67"/>
      <c r="V799" s="67"/>
      <c r="W799" s="67"/>
      <c r="X799" s="67"/>
      <c r="Y799" s="67"/>
      <c r="Z799" s="67"/>
    </row>
    <row r="800">
      <c r="A800" s="67"/>
      <c r="B800" s="67"/>
      <c r="C800" s="67"/>
      <c r="D800" s="67"/>
      <c r="E800" s="67"/>
      <c r="F800" s="67"/>
      <c r="G800" s="67"/>
      <c r="H800" s="67"/>
      <c r="I800" s="67"/>
      <c r="J800" s="67"/>
      <c r="K800" s="67"/>
      <c r="L800" s="67"/>
      <c r="M800" s="67"/>
      <c r="N800" s="67"/>
      <c r="O800" s="67"/>
      <c r="P800" s="67"/>
      <c r="Q800" s="67"/>
      <c r="R800" s="67"/>
      <c r="S800" s="67"/>
      <c r="T800" s="67"/>
      <c r="U800" s="67"/>
      <c r="V800" s="67"/>
      <c r="W800" s="67"/>
      <c r="X800" s="67"/>
      <c r="Y800" s="67"/>
      <c r="Z800" s="67"/>
    </row>
    <row r="801">
      <c r="A801" s="67"/>
      <c r="B801" s="67"/>
      <c r="C801" s="67"/>
      <c r="D801" s="67"/>
      <c r="E801" s="67"/>
      <c r="F801" s="67"/>
      <c r="G801" s="67"/>
      <c r="H801" s="67"/>
      <c r="I801" s="67"/>
      <c r="J801" s="67"/>
      <c r="K801" s="67"/>
      <c r="L801" s="67"/>
      <c r="M801" s="67"/>
      <c r="N801" s="67"/>
      <c r="O801" s="67"/>
      <c r="P801" s="67"/>
      <c r="Q801" s="67"/>
      <c r="R801" s="67"/>
      <c r="S801" s="67"/>
      <c r="T801" s="67"/>
      <c r="U801" s="67"/>
      <c r="V801" s="67"/>
      <c r="W801" s="67"/>
      <c r="X801" s="67"/>
      <c r="Y801" s="67"/>
      <c r="Z801" s="67"/>
    </row>
    <row r="802">
      <c r="A802" s="67"/>
      <c r="B802" s="67"/>
      <c r="C802" s="67"/>
      <c r="D802" s="67"/>
      <c r="E802" s="67"/>
      <c r="F802" s="67"/>
      <c r="G802" s="67"/>
      <c r="H802" s="67"/>
      <c r="I802" s="67"/>
      <c r="J802" s="67"/>
      <c r="K802" s="67"/>
      <c r="L802" s="67"/>
      <c r="M802" s="67"/>
      <c r="N802" s="67"/>
      <c r="O802" s="67"/>
      <c r="P802" s="67"/>
      <c r="Q802" s="67"/>
      <c r="R802" s="67"/>
      <c r="S802" s="67"/>
      <c r="T802" s="67"/>
      <c r="U802" s="67"/>
      <c r="V802" s="67"/>
      <c r="W802" s="67"/>
      <c r="X802" s="67"/>
      <c r="Y802" s="67"/>
      <c r="Z802" s="67"/>
    </row>
    <row r="803">
      <c r="A803" s="67"/>
      <c r="B803" s="67"/>
      <c r="C803" s="67"/>
      <c r="D803" s="67"/>
      <c r="E803" s="67"/>
      <c r="F803" s="67"/>
      <c r="G803" s="67"/>
      <c r="H803" s="67"/>
      <c r="I803" s="67"/>
      <c r="J803" s="67"/>
      <c r="K803" s="67"/>
      <c r="L803" s="67"/>
      <c r="M803" s="67"/>
      <c r="N803" s="67"/>
      <c r="O803" s="67"/>
      <c r="P803" s="67"/>
      <c r="Q803" s="67"/>
      <c r="R803" s="67"/>
      <c r="S803" s="67"/>
      <c r="T803" s="67"/>
      <c r="U803" s="67"/>
      <c r="V803" s="67"/>
      <c r="W803" s="67"/>
      <c r="X803" s="67"/>
      <c r="Y803" s="67"/>
      <c r="Z803" s="67"/>
    </row>
    <row r="804">
      <c r="A804" s="67"/>
      <c r="B804" s="67"/>
      <c r="C804" s="67"/>
      <c r="D804" s="67"/>
      <c r="E804" s="67"/>
      <c r="F804" s="67"/>
      <c r="G804" s="67"/>
      <c r="H804" s="67"/>
      <c r="I804" s="67"/>
      <c r="J804" s="67"/>
      <c r="K804" s="67"/>
      <c r="L804" s="67"/>
      <c r="M804" s="67"/>
      <c r="N804" s="67"/>
      <c r="O804" s="67"/>
      <c r="P804" s="67"/>
      <c r="Q804" s="67"/>
      <c r="R804" s="67"/>
      <c r="S804" s="67"/>
      <c r="T804" s="67"/>
      <c r="U804" s="67"/>
      <c r="V804" s="67"/>
      <c r="W804" s="67"/>
      <c r="X804" s="67"/>
      <c r="Y804" s="67"/>
      <c r="Z804" s="67"/>
    </row>
    <row r="805">
      <c r="A805" s="67"/>
      <c r="B805" s="67"/>
      <c r="C805" s="67"/>
      <c r="D805" s="67"/>
      <c r="E805" s="67"/>
      <c r="F805" s="67"/>
      <c r="G805" s="67"/>
      <c r="H805" s="67"/>
      <c r="I805" s="67"/>
      <c r="J805" s="67"/>
      <c r="K805" s="67"/>
      <c r="L805" s="67"/>
      <c r="M805" s="67"/>
      <c r="N805" s="67"/>
      <c r="O805" s="67"/>
      <c r="P805" s="67"/>
      <c r="Q805" s="67"/>
      <c r="R805" s="67"/>
      <c r="S805" s="67"/>
      <c r="T805" s="67"/>
      <c r="U805" s="67"/>
      <c r="V805" s="67"/>
      <c r="W805" s="67"/>
      <c r="X805" s="67"/>
      <c r="Y805" s="67"/>
      <c r="Z805" s="67"/>
    </row>
    <row r="806">
      <c r="A806" s="67"/>
      <c r="B806" s="67"/>
      <c r="C806" s="67"/>
      <c r="D806" s="67"/>
      <c r="E806" s="67"/>
      <c r="F806" s="67"/>
      <c r="G806" s="67"/>
      <c r="H806" s="67"/>
      <c r="I806" s="67"/>
      <c r="J806" s="67"/>
      <c r="K806" s="67"/>
      <c r="L806" s="67"/>
      <c r="M806" s="67"/>
      <c r="N806" s="67"/>
      <c r="O806" s="67"/>
      <c r="P806" s="67"/>
      <c r="Q806" s="67"/>
      <c r="R806" s="67"/>
      <c r="S806" s="67"/>
      <c r="T806" s="67"/>
      <c r="U806" s="67"/>
      <c r="V806" s="67"/>
      <c r="W806" s="67"/>
      <c r="X806" s="67"/>
      <c r="Y806" s="67"/>
      <c r="Z806" s="67"/>
    </row>
    <row r="807">
      <c r="A807" s="67"/>
      <c r="B807" s="67"/>
      <c r="C807" s="67"/>
      <c r="D807" s="67"/>
      <c r="E807" s="67"/>
      <c r="F807" s="67"/>
      <c r="G807" s="67"/>
      <c r="H807" s="67"/>
      <c r="I807" s="67"/>
      <c r="J807" s="67"/>
      <c r="K807" s="67"/>
      <c r="L807" s="67"/>
      <c r="M807" s="67"/>
      <c r="N807" s="67"/>
      <c r="O807" s="67"/>
      <c r="P807" s="67"/>
      <c r="Q807" s="67"/>
      <c r="R807" s="67"/>
      <c r="S807" s="67"/>
      <c r="T807" s="67"/>
      <c r="U807" s="67"/>
      <c r="V807" s="67"/>
      <c r="W807" s="67"/>
      <c r="X807" s="67"/>
      <c r="Y807" s="67"/>
      <c r="Z807" s="67"/>
    </row>
    <row r="808">
      <c r="A808" s="67"/>
      <c r="B808" s="67"/>
      <c r="C808" s="67"/>
      <c r="D808" s="67"/>
      <c r="E808" s="67"/>
      <c r="F808" s="67"/>
      <c r="G808" s="67"/>
      <c r="H808" s="67"/>
      <c r="I808" s="67"/>
      <c r="J808" s="67"/>
      <c r="K808" s="67"/>
      <c r="L808" s="67"/>
      <c r="M808" s="67"/>
      <c r="N808" s="67"/>
      <c r="O808" s="67"/>
      <c r="P808" s="67"/>
      <c r="Q808" s="67"/>
      <c r="R808" s="67"/>
      <c r="S808" s="67"/>
      <c r="T808" s="67"/>
      <c r="U808" s="67"/>
      <c r="V808" s="67"/>
      <c r="W808" s="67"/>
      <c r="X808" s="67"/>
      <c r="Y808" s="67"/>
      <c r="Z808" s="67"/>
    </row>
    <row r="809">
      <c r="A809" s="67"/>
      <c r="B809" s="67"/>
      <c r="C809" s="67"/>
      <c r="D809" s="67"/>
      <c r="E809" s="67"/>
      <c r="F809" s="67"/>
      <c r="G809" s="67"/>
      <c r="H809" s="67"/>
      <c r="I809" s="67"/>
      <c r="J809" s="67"/>
      <c r="K809" s="67"/>
      <c r="L809" s="67"/>
      <c r="M809" s="67"/>
      <c r="N809" s="67"/>
      <c r="O809" s="67"/>
      <c r="P809" s="67"/>
      <c r="Q809" s="67"/>
      <c r="R809" s="67"/>
      <c r="S809" s="67"/>
      <c r="T809" s="67"/>
      <c r="U809" s="67"/>
      <c r="V809" s="67"/>
      <c r="W809" s="67"/>
      <c r="X809" s="67"/>
      <c r="Y809" s="67"/>
      <c r="Z809" s="67"/>
    </row>
    <row r="810">
      <c r="A810" s="67"/>
      <c r="B810" s="67"/>
      <c r="C810" s="67"/>
      <c r="D810" s="67"/>
      <c r="E810" s="67"/>
      <c r="F810" s="67"/>
      <c r="G810" s="67"/>
      <c r="H810" s="67"/>
      <c r="I810" s="67"/>
      <c r="J810" s="67"/>
      <c r="K810" s="67"/>
      <c r="L810" s="67"/>
      <c r="M810" s="67"/>
      <c r="N810" s="67"/>
      <c r="O810" s="67"/>
      <c r="P810" s="67"/>
      <c r="Q810" s="67"/>
      <c r="R810" s="67"/>
      <c r="S810" s="67"/>
      <c r="T810" s="67"/>
      <c r="U810" s="67"/>
      <c r="V810" s="67"/>
      <c r="W810" s="67"/>
      <c r="X810" s="67"/>
      <c r="Y810" s="67"/>
      <c r="Z810" s="67"/>
    </row>
    <row r="811">
      <c r="A811" s="67"/>
      <c r="B811" s="67"/>
      <c r="C811" s="67"/>
      <c r="D811" s="67"/>
      <c r="E811" s="67"/>
      <c r="F811" s="67"/>
      <c r="G811" s="67"/>
      <c r="H811" s="67"/>
      <c r="I811" s="67"/>
      <c r="J811" s="67"/>
      <c r="K811" s="67"/>
      <c r="L811" s="67"/>
      <c r="M811" s="67"/>
      <c r="N811" s="67"/>
      <c r="O811" s="67"/>
      <c r="P811" s="67"/>
      <c r="Q811" s="67"/>
      <c r="R811" s="67"/>
      <c r="S811" s="67"/>
      <c r="T811" s="67"/>
      <c r="U811" s="67"/>
      <c r="V811" s="67"/>
      <c r="W811" s="67"/>
      <c r="X811" s="67"/>
      <c r="Y811" s="67"/>
      <c r="Z811" s="67"/>
    </row>
    <row r="812">
      <c r="A812" s="67"/>
      <c r="B812" s="67"/>
      <c r="C812" s="67"/>
      <c r="D812" s="67"/>
      <c r="E812" s="67"/>
      <c r="F812" s="67"/>
      <c r="G812" s="67"/>
      <c r="H812" s="67"/>
      <c r="I812" s="67"/>
      <c r="J812" s="67"/>
      <c r="K812" s="67"/>
      <c r="L812" s="67"/>
      <c r="M812" s="67"/>
      <c r="N812" s="67"/>
      <c r="O812" s="67"/>
      <c r="P812" s="67"/>
      <c r="Q812" s="67"/>
      <c r="R812" s="67"/>
      <c r="S812" s="67"/>
      <c r="T812" s="67"/>
      <c r="U812" s="67"/>
      <c r="V812" s="67"/>
      <c r="W812" s="67"/>
      <c r="X812" s="67"/>
      <c r="Y812" s="67"/>
      <c r="Z812" s="67"/>
    </row>
    <row r="813">
      <c r="A813" s="67"/>
      <c r="B813" s="67"/>
      <c r="C813" s="67"/>
      <c r="D813" s="67"/>
      <c r="E813" s="67"/>
      <c r="F813" s="67"/>
      <c r="G813" s="67"/>
      <c r="H813" s="67"/>
      <c r="I813" s="67"/>
      <c r="J813" s="67"/>
      <c r="K813" s="67"/>
      <c r="L813" s="67"/>
      <c r="M813" s="67"/>
      <c r="N813" s="67"/>
      <c r="O813" s="67"/>
      <c r="P813" s="67"/>
      <c r="Q813" s="67"/>
      <c r="R813" s="67"/>
      <c r="S813" s="67"/>
      <c r="T813" s="67"/>
      <c r="U813" s="67"/>
      <c r="V813" s="67"/>
      <c r="W813" s="67"/>
      <c r="X813" s="67"/>
      <c r="Y813" s="67"/>
      <c r="Z813" s="67"/>
    </row>
    <row r="814">
      <c r="A814" s="67"/>
      <c r="B814" s="67"/>
      <c r="C814" s="67"/>
      <c r="D814" s="67"/>
      <c r="E814" s="67"/>
      <c r="F814" s="67"/>
      <c r="G814" s="67"/>
      <c r="H814" s="67"/>
      <c r="I814" s="67"/>
      <c r="J814" s="67"/>
      <c r="K814" s="67"/>
      <c r="L814" s="67"/>
      <c r="M814" s="67"/>
      <c r="N814" s="67"/>
      <c r="O814" s="67"/>
      <c r="P814" s="67"/>
      <c r="Q814" s="67"/>
      <c r="R814" s="67"/>
      <c r="S814" s="67"/>
      <c r="T814" s="67"/>
      <c r="U814" s="67"/>
      <c r="V814" s="67"/>
      <c r="W814" s="67"/>
      <c r="X814" s="67"/>
      <c r="Y814" s="67"/>
      <c r="Z814" s="67"/>
    </row>
    <row r="815">
      <c r="A815" s="67"/>
      <c r="B815" s="67"/>
      <c r="C815" s="67"/>
      <c r="D815" s="67"/>
      <c r="E815" s="67"/>
      <c r="F815" s="67"/>
      <c r="G815" s="67"/>
      <c r="H815" s="67"/>
      <c r="I815" s="67"/>
      <c r="J815" s="67"/>
      <c r="K815" s="67"/>
      <c r="L815" s="67"/>
      <c r="M815" s="67"/>
      <c r="N815" s="67"/>
      <c r="O815" s="67"/>
      <c r="P815" s="67"/>
      <c r="Q815" s="67"/>
      <c r="R815" s="67"/>
      <c r="S815" s="67"/>
      <c r="T815" s="67"/>
      <c r="U815" s="67"/>
      <c r="V815" s="67"/>
      <c r="W815" s="67"/>
      <c r="X815" s="67"/>
      <c r="Y815" s="67"/>
      <c r="Z815" s="67"/>
    </row>
    <row r="816">
      <c r="A816" s="67"/>
      <c r="B816" s="67"/>
      <c r="C816" s="67"/>
      <c r="D816" s="67"/>
      <c r="E816" s="67"/>
      <c r="F816" s="67"/>
      <c r="G816" s="67"/>
      <c r="H816" s="67"/>
      <c r="I816" s="67"/>
      <c r="J816" s="67"/>
      <c r="K816" s="67"/>
      <c r="L816" s="67"/>
      <c r="M816" s="67"/>
      <c r="N816" s="67"/>
      <c r="O816" s="67"/>
      <c r="P816" s="67"/>
      <c r="Q816" s="67"/>
      <c r="R816" s="67"/>
      <c r="S816" s="67"/>
      <c r="T816" s="67"/>
      <c r="U816" s="67"/>
      <c r="V816" s="67"/>
      <c r="W816" s="67"/>
      <c r="X816" s="67"/>
      <c r="Y816" s="67"/>
      <c r="Z816" s="67"/>
    </row>
    <row r="817">
      <c r="A817" s="67"/>
      <c r="B817" s="67"/>
      <c r="C817" s="67"/>
      <c r="D817" s="67"/>
      <c r="E817" s="67"/>
      <c r="F817" s="67"/>
      <c r="G817" s="67"/>
      <c r="H817" s="67"/>
      <c r="I817" s="67"/>
      <c r="J817" s="67"/>
      <c r="K817" s="67"/>
      <c r="L817" s="67"/>
      <c r="M817" s="67"/>
      <c r="N817" s="67"/>
      <c r="O817" s="67"/>
      <c r="P817" s="67"/>
      <c r="Q817" s="67"/>
      <c r="R817" s="67"/>
      <c r="S817" s="67"/>
      <c r="T817" s="67"/>
      <c r="U817" s="67"/>
      <c r="V817" s="67"/>
      <c r="W817" s="67"/>
      <c r="X817" s="67"/>
      <c r="Y817" s="67"/>
      <c r="Z817" s="67"/>
    </row>
    <row r="818">
      <c r="A818" s="67"/>
      <c r="B818" s="67"/>
      <c r="C818" s="67"/>
      <c r="D818" s="67"/>
      <c r="E818" s="67"/>
      <c r="F818" s="67"/>
      <c r="G818" s="67"/>
      <c r="H818" s="67"/>
      <c r="I818" s="67"/>
      <c r="J818" s="67"/>
      <c r="K818" s="67"/>
      <c r="L818" s="67"/>
      <c r="M818" s="67"/>
      <c r="N818" s="67"/>
      <c r="O818" s="67"/>
      <c r="P818" s="67"/>
      <c r="Q818" s="67"/>
      <c r="R818" s="67"/>
      <c r="S818" s="67"/>
      <c r="T818" s="67"/>
      <c r="U818" s="67"/>
      <c r="V818" s="67"/>
      <c r="W818" s="67"/>
      <c r="X818" s="67"/>
      <c r="Y818" s="67"/>
      <c r="Z818" s="67"/>
    </row>
    <row r="819">
      <c r="A819" s="67"/>
      <c r="B819" s="67"/>
      <c r="C819" s="67"/>
      <c r="D819" s="67"/>
      <c r="E819" s="67"/>
      <c r="F819" s="67"/>
      <c r="G819" s="67"/>
      <c r="H819" s="67"/>
      <c r="I819" s="67"/>
      <c r="J819" s="67"/>
      <c r="K819" s="67"/>
      <c r="L819" s="67"/>
      <c r="M819" s="67"/>
      <c r="N819" s="67"/>
      <c r="O819" s="67"/>
      <c r="P819" s="67"/>
      <c r="Q819" s="67"/>
      <c r="R819" s="67"/>
      <c r="S819" s="67"/>
      <c r="T819" s="67"/>
      <c r="U819" s="67"/>
      <c r="V819" s="67"/>
      <c r="W819" s="67"/>
      <c r="X819" s="67"/>
      <c r="Y819" s="67"/>
      <c r="Z819" s="67"/>
    </row>
    <row r="820">
      <c r="A820" s="67"/>
      <c r="B820" s="67"/>
      <c r="C820" s="67"/>
      <c r="D820" s="67"/>
      <c r="E820" s="67"/>
      <c r="F820" s="67"/>
      <c r="G820" s="67"/>
      <c r="H820" s="67"/>
      <c r="I820" s="67"/>
      <c r="J820" s="67"/>
      <c r="K820" s="67"/>
      <c r="L820" s="67"/>
      <c r="M820" s="67"/>
      <c r="N820" s="67"/>
      <c r="O820" s="67"/>
      <c r="P820" s="67"/>
      <c r="Q820" s="67"/>
      <c r="R820" s="67"/>
      <c r="S820" s="67"/>
      <c r="T820" s="67"/>
      <c r="U820" s="67"/>
      <c r="V820" s="67"/>
      <c r="W820" s="67"/>
      <c r="X820" s="67"/>
      <c r="Y820" s="67"/>
      <c r="Z820" s="67"/>
    </row>
    <row r="821">
      <c r="A821" s="67"/>
      <c r="B821" s="67"/>
      <c r="C821" s="67"/>
      <c r="D821" s="67"/>
      <c r="E821" s="67"/>
      <c r="F821" s="67"/>
      <c r="G821" s="67"/>
      <c r="H821" s="67"/>
      <c r="I821" s="67"/>
      <c r="J821" s="67"/>
      <c r="K821" s="67"/>
      <c r="L821" s="67"/>
      <c r="M821" s="67"/>
      <c r="N821" s="67"/>
      <c r="O821" s="67"/>
      <c r="P821" s="67"/>
      <c r="Q821" s="67"/>
      <c r="R821" s="67"/>
      <c r="S821" s="67"/>
      <c r="T821" s="67"/>
      <c r="U821" s="67"/>
      <c r="V821" s="67"/>
      <c r="W821" s="67"/>
      <c r="X821" s="67"/>
      <c r="Y821" s="67"/>
      <c r="Z821" s="67"/>
    </row>
    <row r="822">
      <c r="A822" s="67"/>
      <c r="B822" s="67"/>
      <c r="C822" s="67"/>
      <c r="D822" s="67"/>
      <c r="E822" s="67"/>
      <c r="F822" s="67"/>
      <c r="G822" s="67"/>
      <c r="H822" s="67"/>
      <c r="I822" s="67"/>
      <c r="J822" s="67"/>
      <c r="K822" s="67"/>
      <c r="L822" s="67"/>
      <c r="M822" s="67"/>
      <c r="N822" s="67"/>
      <c r="O822" s="67"/>
      <c r="P822" s="67"/>
      <c r="Q822" s="67"/>
      <c r="R822" s="67"/>
      <c r="S822" s="67"/>
      <c r="T822" s="67"/>
      <c r="U822" s="67"/>
      <c r="V822" s="67"/>
      <c r="W822" s="67"/>
      <c r="X822" s="67"/>
      <c r="Y822" s="67"/>
      <c r="Z822" s="67"/>
    </row>
    <row r="823">
      <c r="A823" s="67"/>
      <c r="B823" s="67"/>
      <c r="C823" s="67"/>
      <c r="D823" s="67"/>
      <c r="E823" s="67"/>
      <c r="F823" s="67"/>
      <c r="G823" s="67"/>
      <c r="H823" s="67"/>
      <c r="I823" s="67"/>
      <c r="J823" s="67"/>
      <c r="K823" s="67"/>
      <c r="L823" s="67"/>
      <c r="M823" s="67"/>
      <c r="N823" s="67"/>
      <c r="O823" s="67"/>
      <c r="P823" s="67"/>
      <c r="Q823" s="67"/>
      <c r="R823" s="67"/>
      <c r="S823" s="67"/>
      <c r="T823" s="67"/>
      <c r="U823" s="67"/>
      <c r="V823" s="67"/>
      <c r="W823" s="67"/>
      <c r="X823" s="67"/>
      <c r="Y823" s="67"/>
      <c r="Z823" s="67"/>
    </row>
    <row r="824">
      <c r="A824" s="67"/>
      <c r="B824" s="67"/>
      <c r="C824" s="67"/>
      <c r="D824" s="67"/>
      <c r="E824" s="67"/>
      <c r="F824" s="67"/>
      <c r="G824" s="67"/>
      <c r="H824" s="67"/>
      <c r="I824" s="67"/>
      <c r="J824" s="67"/>
      <c r="K824" s="67"/>
      <c r="L824" s="67"/>
      <c r="M824" s="67"/>
      <c r="N824" s="67"/>
      <c r="O824" s="67"/>
      <c r="P824" s="67"/>
      <c r="Q824" s="67"/>
      <c r="R824" s="67"/>
      <c r="S824" s="67"/>
      <c r="T824" s="67"/>
      <c r="U824" s="67"/>
      <c r="V824" s="67"/>
      <c r="W824" s="67"/>
      <c r="X824" s="67"/>
      <c r="Y824" s="67"/>
      <c r="Z824" s="67"/>
    </row>
    <row r="825">
      <c r="A825" s="67"/>
      <c r="B825" s="67"/>
      <c r="C825" s="67"/>
      <c r="D825" s="67"/>
      <c r="E825" s="67"/>
      <c r="F825" s="67"/>
      <c r="G825" s="67"/>
      <c r="H825" s="67"/>
      <c r="I825" s="67"/>
      <c r="J825" s="67"/>
      <c r="K825" s="67"/>
      <c r="L825" s="67"/>
      <c r="M825" s="67"/>
      <c r="N825" s="67"/>
      <c r="O825" s="67"/>
      <c r="P825" s="67"/>
      <c r="Q825" s="67"/>
      <c r="R825" s="67"/>
      <c r="S825" s="67"/>
      <c r="T825" s="67"/>
      <c r="U825" s="67"/>
      <c r="V825" s="67"/>
      <c r="W825" s="67"/>
      <c r="X825" s="67"/>
      <c r="Y825" s="67"/>
      <c r="Z825" s="67"/>
    </row>
    <row r="826">
      <c r="A826" s="67"/>
      <c r="B826" s="67"/>
      <c r="C826" s="67"/>
      <c r="D826" s="67"/>
      <c r="E826" s="67"/>
      <c r="F826" s="67"/>
      <c r="G826" s="67"/>
      <c r="H826" s="67"/>
      <c r="I826" s="67"/>
      <c r="J826" s="67"/>
      <c r="K826" s="67"/>
      <c r="L826" s="67"/>
      <c r="M826" s="67"/>
      <c r="N826" s="67"/>
      <c r="O826" s="67"/>
      <c r="P826" s="67"/>
      <c r="Q826" s="67"/>
      <c r="R826" s="67"/>
      <c r="S826" s="67"/>
      <c r="T826" s="67"/>
      <c r="U826" s="67"/>
      <c r="V826" s="67"/>
      <c r="W826" s="67"/>
      <c r="X826" s="67"/>
      <c r="Y826" s="67"/>
      <c r="Z826" s="67"/>
    </row>
    <row r="827">
      <c r="A827" s="67"/>
      <c r="B827" s="67"/>
      <c r="C827" s="67"/>
      <c r="D827" s="67"/>
      <c r="E827" s="67"/>
      <c r="F827" s="67"/>
      <c r="G827" s="67"/>
      <c r="H827" s="67"/>
      <c r="I827" s="67"/>
      <c r="J827" s="67"/>
      <c r="K827" s="67"/>
      <c r="L827" s="67"/>
      <c r="M827" s="67"/>
      <c r="N827" s="67"/>
      <c r="O827" s="67"/>
      <c r="P827" s="67"/>
      <c r="Q827" s="67"/>
      <c r="R827" s="67"/>
      <c r="S827" s="67"/>
      <c r="T827" s="67"/>
      <c r="U827" s="67"/>
      <c r="V827" s="67"/>
      <c r="W827" s="67"/>
      <c r="X827" s="67"/>
      <c r="Y827" s="67"/>
      <c r="Z827" s="67"/>
    </row>
    <row r="828">
      <c r="A828" s="67"/>
      <c r="B828" s="67"/>
      <c r="C828" s="67"/>
      <c r="D828" s="67"/>
      <c r="E828" s="67"/>
      <c r="F828" s="67"/>
      <c r="G828" s="67"/>
      <c r="H828" s="67"/>
      <c r="I828" s="67"/>
      <c r="J828" s="67"/>
      <c r="K828" s="67"/>
      <c r="L828" s="67"/>
      <c r="M828" s="67"/>
      <c r="N828" s="67"/>
      <c r="O828" s="67"/>
      <c r="P828" s="67"/>
      <c r="Q828" s="67"/>
      <c r="R828" s="67"/>
      <c r="S828" s="67"/>
      <c r="T828" s="67"/>
      <c r="U828" s="67"/>
      <c r="V828" s="67"/>
      <c r="W828" s="67"/>
      <c r="X828" s="67"/>
      <c r="Y828" s="67"/>
      <c r="Z828" s="67"/>
    </row>
    <row r="829">
      <c r="A829" s="67"/>
      <c r="B829" s="67"/>
      <c r="C829" s="67"/>
      <c r="D829" s="67"/>
      <c r="E829" s="67"/>
      <c r="F829" s="67"/>
      <c r="G829" s="67"/>
      <c r="H829" s="67"/>
      <c r="I829" s="67"/>
      <c r="J829" s="67"/>
      <c r="K829" s="67"/>
      <c r="L829" s="67"/>
      <c r="M829" s="67"/>
      <c r="N829" s="67"/>
      <c r="O829" s="67"/>
      <c r="P829" s="67"/>
      <c r="Q829" s="67"/>
      <c r="R829" s="67"/>
      <c r="S829" s="67"/>
      <c r="T829" s="67"/>
      <c r="U829" s="67"/>
      <c r="V829" s="67"/>
      <c r="W829" s="67"/>
      <c r="X829" s="67"/>
      <c r="Y829" s="67"/>
      <c r="Z829" s="67"/>
    </row>
    <row r="830">
      <c r="A830" s="67"/>
      <c r="B830" s="67"/>
      <c r="C830" s="67"/>
      <c r="D830" s="67"/>
      <c r="E830" s="67"/>
      <c r="F830" s="67"/>
      <c r="G830" s="67"/>
      <c r="H830" s="67"/>
      <c r="I830" s="67"/>
      <c r="J830" s="67"/>
      <c r="K830" s="67"/>
      <c r="L830" s="67"/>
      <c r="M830" s="67"/>
      <c r="N830" s="67"/>
      <c r="O830" s="67"/>
      <c r="P830" s="67"/>
      <c r="Q830" s="67"/>
      <c r="R830" s="67"/>
      <c r="S830" s="67"/>
      <c r="T830" s="67"/>
      <c r="U830" s="67"/>
      <c r="V830" s="67"/>
      <c r="W830" s="67"/>
      <c r="X830" s="67"/>
      <c r="Y830" s="67"/>
      <c r="Z830" s="67"/>
    </row>
    <row r="831">
      <c r="A831" s="67"/>
      <c r="B831" s="67"/>
      <c r="C831" s="67"/>
      <c r="D831" s="67"/>
      <c r="E831" s="67"/>
      <c r="F831" s="67"/>
      <c r="G831" s="67"/>
      <c r="H831" s="67"/>
      <c r="I831" s="67"/>
      <c r="J831" s="67"/>
      <c r="K831" s="67"/>
      <c r="L831" s="67"/>
      <c r="M831" s="67"/>
      <c r="N831" s="67"/>
      <c r="O831" s="67"/>
      <c r="P831" s="67"/>
      <c r="Q831" s="67"/>
      <c r="R831" s="67"/>
      <c r="S831" s="67"/>
      <c r="T831" s="67"/>
      <c r="U831" s="67"/>
      <c r="V831" s="67"/>
      <c r="W831" s="67"/>
      <c r="X831" s="67"/>
      <c r="Y831" s="67"/>
      <c r="Z831" s="67"/>
    </row>
    <row r="832">
      <c r="A832" s="67"/>
      <c r="B832" s="67"/>
      <c r="C832" s="67"/>
      <c r="D832" s="67"/>
      <c r="E832" s="67"/>
      <c r="F832" s="67"/>
      <c r="G832" s="67"/>
      <c r="H832" s="67"/>
      <c r="I832" s="67"/>
      <c r="J832" s="67"/>
      <c r="K832" s="67"/>
      <c r="L832" s="67"/>
      <c r="M832" s="67"/>
      <c r="N832" s="67"/>
      <c r="O832" s="67"/>
      <c r="P832" s="67"/>
      <c r="Q832" s="67"/>
      <c r="R832" s="67"/>
      <c r="S832" s="67"/>
      <c r="T832" s="67"/>
      <c r="U832" s="67"/>
      <c r="V832" s="67"/>
      <c r="W832" s="67"/>
      <c r="X832" s="67"/>
      <c r="Y832" s="67"/>
      <c r="Z832" s="67"/>
    </row>
    <row r="833">
      <c r="A833" s="67"/>
      <c r="B833" s="67"/>
      <c r="C833" s="67"/>
      <c r="D833" s="67"/>
      <c r="E833" s="67"/>
      <c r="F833" s="67"/>
      <c r="G833" s="67"/>
      <c r="H833" s="67"/>
      <c r="I833" s="67"/>
      <c r="J833" s="67"/>
      <c r="K833" s="67"/>
      <c r="L833" s="67"/>
      <c r="M833" s="67"/>
      <c r="N833" s="67"/>
      <c r="O833" s="67"/>
      <c r="P833" s="67"/>
      <c r="Q833" s="67"/>
      <c r="R833" s="67"/>
      <c r="S833" s="67"/>
      <c r="T833" s="67"/>
      <c r="U833" s="67"/>
      <c r="V833" s="67"/>
      <c r="W833" s="67"/>
      <c r="X833" s="67"/>
      <c r="Y833" s="67"/>
      <c r="Z833" s="67"/>
    </row>
    <row r="834">
      <c r="A834" s="67"/>
      <c r="B834" s="67"/>
      <c r="C834" s="67"/>
      <c r="D834" s="67"/>
      <c r="E834" s="67"/>
      <c r="F834" s="67"/>
      <c r="G834" s="67"/>
      <c r="H834" s="67"/>
      <c r="I834" s="67"/>
      <c r="J834" s="67"/>
      <c r="K834" s="67"/>
      <c r="L834" s="67"/>
      <c r="M834" s="67"/>
      <c r="N834" s="67"/>
      <c r="O834" s="67"/>
      <c r="P834" s="67"/>
      <c r="Q834" s="67"/>
      <c r="R834" s="67"/>
      <c r="S834" s="67"/>
      <c r="T834" s="67"/>
      <c r="U834" s="67"/>
      <c r="V834" s="67"/>
      <c r="W834" s="67"/>
      <c r="X834" s="67"/>
      <c r="Y834" s="67"/>
      <c r="Z834" s="67"/>
    </row>
    <row r="835">
      <c r="A835" s="67"/>
      <c r="B835" s="67"/>
      <c r="C835" s="67"/>
      <c r="D835" s="67"/>
      <c r="E835" s="67"/>
      <c r="F835" s="67"/>
      <c r="G835" s="67"/>
      <c r="H835" s="67"/>
      <c r="I835" s="67"/>
      <c r="J835" s="67"/>
      <c r="K835" s="67"/>
      <c r="L835" s="67"/>
      <c r="M835" s="67"/>
      <c r="N835" s="67"/>
      <c r="O835" s="67"/>
      <c r="P835" s="67"/>
      <c r="Q835" s="67"/>
      <c r="R835" s="67"/>
      <c r="S835" s="67"/>
      <c r="T835" s="67"/>
      <c r="U835" s="67"/>
      <c r="V835" s="67"/>
      <c r="W835" s="67"/>
      <c r="X835" s="67"/>
      <c r="Y835" s="67"/>
      <c r="Z835" s="67"/>
    </row>
    <row r="836">
      <c r="A836" s="67"/>
      <c r="B836" s="67"/>
      <c r="C836" s="67"/>
      <c r="D836" s="67"/>
      <c r="E836" s="67"/>
      <c r="F836" s="67"/>
      <c r="G836" s="67"/>
      <c r="H836" s="67"/>
      <c r="I836" s="67"/>
      <c r="J836" s="67"/>
      <c r="K836" s="67"/>
      <c r="L836" s="67"/>
      <c r="M836" s="67"/>
      <c r="N836" s="67"/>
      <c r="O836" s="67"/>
      <c r="P836" s="67"/>
      <c r="Q836" s="67"/>
      <c r="R836" s="67"/>
      <c r="S836" s="67"/>
      <c r="T836" s="67"/>
      <c r="U836" s="67"/>
      <c r="V836" s="67"/>
      <c r="W836" s="67"/>
      <c r="X836" s="67"/>
      <c r="Y836" s="67"/>
      <c r="Z836" s="67"/>
    </row>
    <row r="837">
      <c r="A837" s="67"/>
      <c r="B837" s="67"/>
      <c r="C837" s="67"/>
      <c r="D837" s="67"/>
      <c r="E837" s="67"/>
      <c r="F837" s="67"/>
      <c r="G837" s="67"/>
      <c r="H837" s="67"/>
      <c r="I837" s="67"/>
      <c r="J837" s="67"/>
      <c r="K837" s="67"/>
      <c r="L837" s="67"/>
      <c r="M837" s="67"/>
      <c r="N837" s="67"/>
      <c r="O837" s="67"/>
      <c r="P837" s="67"/>
      <c r="Q837" s="67"/>
      <c r="R837" s="67"/>
      <c r="S837" s="67"/>
      <c r="T837" s="67"/>
      <c r="U837" s="67"/>
      <c r="V837" s="67"/>
      <c r="W837" s="67"/>
      <c r="X837" s="67"/>
      <c r="Y837" s="67"/>
      <c r="Z837" s="67"/>
    </row>
    <row r="838">
      <c r="A838" s="67"/>
      <c r="B838" s="67"/>
      <c r="C838" s="67"/>
      <c r="D838" s="67"/>
      <c r="E838" s="67"/>
      <c r="F838" s="67"/>
      <c r="G838" s="67"/>
      <c r="H838" s="67"/>
      <c r="I838" s="67"/>
      <c r="J838" s="67"/>
      <c r="K838" s="67"/>
      <c r="L838" s="67"/>
      <c r="M838" s="67"/>
      <c r="N838" s="67"/>
      <c r="O838" s="67"/>
      <c r="P838" s="67"/>
      <c r="Q838" s="67"/>
      <c r="R838" s="67"/>
      <c r="S838" s="67"/>
      <c r="T838" s="67"/>
      <c r="U838" s="67"/>
      <c r="V838" s="67"/>
      <c r="W838" s="67"/>
      <c r="X838" s="67"/>
      <c r="Y838" s="67"/>
      <c r="Z838" s="67"/>
    </row>
    <row r="839">
      <c r="A839" s="67"/>
      <c r="B839" s="67"/>
      <c r="C839" s="67"/>
      <c r="D839" s="67"/>
      <c r="E839" s="67"/>
      <c r="F839" s="67"/>
      <c r="G839" s="67"/>
      <c r="H839" s="67"/>
      <c r="I839" s="67"/>
      <c r="J839" s="67"/>
      <c r="K839" s="67"/>
      <c r="L839" s="67"/>
      <c r="M839" s="67"/>
      <c r="N839" s="67"/>
      <c r="O839" s="67"/>
      <c r="P839" s="67"/>
      <c r="Q839" s="67"/>
      <c r="R839" s="67"/>
      <c r="S839" s="67"/>
      <c r="T839" s="67"/>
      <c r="U839" s="67"/>
      <c r="V839" s="67"/>
      <c r="W839" s="67"/>
      <c r="X839" s="67"/>
      <c r="Y839" s="67"/>
      <c r="Z839" s="67"/>
    </row>
    <row r="840">
      <c r="A840" s="67"/>
      <c r="B840" s="67"/>
      <c r="C840" s="67"/>
      <c r="D840" s="67"/>
      <c r="E840" s="67"/>
      <c r="F840" s="67"/>
      <c r="G840" s="67"/>
      <c r="H840" s="67"/>
      <c r="I840" s="67"/>
      <c r="J840" s="67"/>
      <c r="K840" s="67"/>
      <c r="L840" s="67"/>
      <c r="M840" s="67"/>
      <c r="N840" s="67"/>
      <c r="O840" s="67"/>
      <c r="P840" s="67"/>
      <c r="Q840" s="67"/>
      <c r="R840" s="67"/>
      <c r="S840" s="67"/>
      <c r="T840" s="67"/>
      <c r="U840" s="67"/>
      <c r="V840" s="67"/>
      <c r="W840" s="67"/>
      <c r="X840" s="67"/>
      <c r="Y840" s="67"/>
      <c r="Z840" s="67"/>
    </row>
    <row r="841">
      <c r="A841" s="67"/>
      <c r="B841" s="67"/>
      <c r="C841" s="67"/>
      <c r="D841" s="67"/>
      <c r="E841" s="67"/>
      <c r="F841" s="67"/>
      <c r="G841" s="67"/>
      <c r="H841" s="67"/>
      <c r="I841" s="67"/>
      <c r="J841" s="67"/>
      <c r="K841" s="67"/>
      <c r="L841" s="67"/>
      <c r="M841" s="67"/>
      <c r="N841" s="67"/>
      <c r="O841" s="67"/>
      <c r="P841" s="67"/>
      <c r="Q841" s="67"/>
      <c r="R841" s="67"/>
      <c r="S841" s="67"/>
      <c r="T841" s="67"/>
      <c r="U841" s="67"/>
      <c r="V841" s="67"/>
      <c r="W841" s="67"/>
      <c r="X841" s="67"/>
      <c r="Y841" s="67"/>
      <c r="Z841" s="67"/>
    </row>
    <row r="842">
      <c r="A842" s="67"/>
      <c r="B842" s="67"/>
      <c r="C842" s="67"/>
      <c r="D842" s="67"/>
      <c r="E842" s="67"/>
      <c r="F842" s="67"/>
      <c r="G842" s="67"/>
      <c r="H842" s="67"/>
      <c r="I842" s="67"/>
      <c r="J842" s="67"/>
      <c r="K842" s="67"/>
      <c r="L842" s="67"/>
      <c r="M842" s="67"/>
      <c r="N842" s="67"/>
      <c r="O842" s="67"/>
      <c r="P842" s="67"/>
      <c r="Q842" s="67"/>
      <c r="R842" s="67"/>
      <c r="S842" s="67"/>
      <c r="T842" s="67"/>
      <c r="U842" s="67"/>
      <c r="V842" s="67"/>
      <c r="W842" s="67"/>
      <c r="X842" s="67"/>
      <c r="Y842" s="67"/>
      <c r="Z842" s="67"/>
    </row>
    <row r="843">
      <c r="A843" s="67"/>
      <c r="B843" s="67"/>
      <c r="C843" s="67"/>
      <c r="D843" s="67"/>
      <c r="E843" s="67"/>
      <c r="F843" s="67"/>
      <c r="G843" s="67"/>
      <c r="H843" s="67"/>
      <c r="I843" s="67"/>
      <c r="J843" s="67"/>
      <c r="K843" s="67"/>
      <c r="L843" s="67"/>
      <c r="M843" s="67"/>
      <c r="N843" s="67"/>
      <c r="O843" s="67"/>
      <c r="P843" s="67"/>
      <c r="Q843" s="67"/>
      <c r="R843" s="67"/>
      <c r="S843" s="67"/>
      <c r="T843" s="67"/>
      <c r="U843" s="67"/>
      <c r="V843" s="67"/>
      <c r="W843" s="67"/>
      <c r="X843" s="67"/>
      <c r="Y843" s="67"/>
      <c r="Z843" s="67"/>
    </row>
    <row r="844">
      <c r="A844" s="67"/>
      <c r="B844" s="67"/>
      <c r="C844" s="67"/>
      <c r="D844" s="67"/>
      <c r="E844" s="67"/>
      <c r="F844" s="67"/>
      <c r="G844" s="67"/>
      <c r="H844" s="67"/>
      <c r="I844" s="67"/>
      <c r="J844" s="67"/>
      <c r="K844" s="67"/>
      <c r="L844" s="67"/>
      <c r="M844" s="67"/>
      <c r="N844" s="67"/>
      <c r="O844" s="67"/>
      <c r="P844" s="67"/>
      <c r="Q844" s="67"/>
      <c r="R844" s="67"/>
      <c r="S844" s="67"/>
      <c r="T844" s="67"/>
      <c r="U844" s="67"/>
      <c r="V844" s="67"/>
      <c r="W844" s="67"/>
      <c r="X844" s="67"/>
      <c r="Y844" s="67"/>
      <c r="Z844" s="67"/>
    </row>
    <row r="845">
      <c r="A845" s="67"/>
      <c r="B845" s="67"/>
      <c r="C845" s="67"/>
      <c r="D845" s="67"/>
      <c r="E845" s="67"/>
      <c r="F845" s="67"/>
      <c r="G845" s="67"/>
      <c r="H845" s="67"/>
      <c r="I845" s="67"/>
      <c r="J845" s="67"/>
      <c r="K845" s="67"/>
      <c r="L845" s="67"/>
      <c r="M845" s="67"/>
      <c r="N845" s="67"/>
      <c r="O845" s="67"/>
      <c r="P845" s="67"/>
      <c r="Q845" s="67"/>
      <c r="R845" s="67"/>
      <c r="S845" s="67"/>
      <c r="T845" s="67"/>
      <c r="U845" s="67"/>
      <c r="V845" s="67"/>
      <c r="W845" s="67"/>
      <c r="X845" s="67"/>
      <c r="Y845" s="67"/>
      <c r="Z845" s="67"/>
    </row>
    <row r="846">
      <c r="A846" s="67"/>
      <c r="B846" s="67"/>
      <c r="C846" s="67"/>
      <c r="D846" s="67"/>
      <c r="E846" s="67"/>
      <c r="F846" s="67"/>
      <c r="G846" s="67"/>
      <c r="H846" s="67"/>
      <c r="I846" s="67"/>
      <c r="J846" s="67"/>
      <c r="K846" s="67"/>
      <c r="L846" s="67"/>
      <c r="M846" s="67"/>
      <c r="N846" s="67"/>
      <c r="O846" s="67"/>
      <c r="P846" s="67"/>
      <c r="Q846" s="67"/>
      <c r="R846" s="67"/>
      <c r="S846" s="67"/>
      <c r="T846" s="67"/>
      <c r="U846" s="67"/>
      <c r="V846" s="67"/>
      <c r="W846" s="67"/>
      <c r="X846" s="67"/>
      <c r="Y846" s="67"/>
      <c r="Z846" s="67"/>
    </row>
    <row r="847">
      <c r="A847" s="67"/>
      <c r="B847" s="67"/>
      <c r="C847" s="67"/>
      <c r="D847" s="67"/>
      <c r="E847" s="67"/>
      <c r="F847" s="67"/>
      <c r="G847" s="67"/>
      <c r="H847" s="67"/>
      <c r="I847" s="67"/>
      <c r="J847" s="67"/>
      <c r="K847" s="67"/>
      <c r="L847" s="67"/>
      <c r="M847" s="67"/>
      <c r="N847" s="67"/>
      <c r="O847" s="67"/>
      <c r="P847" s="67"/>
      <c r="Q847" s="67"/>
      <c r="R847" s="67"/>
      <c r="S847" s="67"/>
      <c r="T847" s="67"/>
      <c r="U847" s="67"/>
      <c r="V847" s="67"/>
      <c r="W847" s="67"/>
      <c r="X847" s="67"/>
      <c r="Y847" s="67"/>
      <c r="Z847" s="67"/>
    </row>
    <row r="848">
      <c r="A848" s="67"/>
      <c r="B848" s="67"/>
      <c r="C848" s="67"/>
      <c r="D848" s="67"/>
      <c r="E848" s="67"/>
      <c r="F848" s="67"/>
      <c r="G848" s="67"/>
      <c r="H848" s="67"/>
      <c r="I848" s="67"/>
      <c r="J848" s="67"/>
      <c r="K848" s="67"/>
      <c r="L848" s="67"/>
      <c r="M848" s="67"/>
      <c r="N848" s="67"/>
      <c r="O848" s="67"/>
      <c r="P848" s="67"/>
      <c r="Q848" s="67"/>
      <c r="R848" s="67"/>
      <c r="S848" s="67"/>
      <c r="T848" s="67"/>
      <c r="U848" s="67"/>
      <c r="V848" s="67"/>
      <c r="W848" s="67"/>
      <c r="X848" s="67"/>
      <c r="Y848" s="67"/>
      <c r="Z848" s="67"/>
    </row>
    <row r="849">
      <c r="A849" s="67"/>
      <c r="B849" s="67"/>
      <c r="C849" s="67"/>
      <c r="D849" s="67"/>
      <c r="E849" s="67"/>
      <c r="F849" s="67"/>
      <c r="G849" s="67"/>
      <c r="H849" s="67"/>
      <c r="I849" s="67"/>
      <c r="J849" s="67"/>
      <c r="K849" s="67"/>
      <c r="L849" s="67"/>
      <c r="M849" s="67"/>
      <c r="N849" s="67"/>
      <c r="O849" s="67"/>
      <c r="P849" s="67"/>
      <c r="Q849" s="67"/>
      <c r="R849" s="67"/>
      <c r="S849" s="67"/>
      <c r="T849" s="67"/>
      <c r="U849" s="67"/>
      <c r="V849" s="67"/>
      <c r="W849" s="67"/>
      <c r="X849" s="67"/>
      <c r="Y849" s="67"/>
      <c r="Z849" s="67"/>
    </row>
    <row r="850">
      <c r="A850" s="67"/>
      <c r="B850" s="67"/>
      <c r="C850" s="67"/>
      <c r="D850" s="67"/>
      <c r="E850" s="67"/>
      <c r="F850" s="67"/>
      <c r="G850" s="67"/>
      <c r="H850" s="67"/>
      <c r="I850" s="67"/>
      <c r="J850" s="67"/>
      <c r="K850" s="67"/>
      <c r="L850" s="67"/>
      <c r="M850" s="67"/>
      <c r="N850" s="67"/>
      <c r="O850" s="67"/>
      <c r="P850" s="67"/>
      <c r="Q850" s="67"/>
      <c r="R850" s="67"/>
      <c r="S850" s="67"/>
      <c r="T850" s="67"/>
      <c r="U850" s="67"/>
      <c r="V850" s="67"/>
      <c r="W850" s="67"/>
      <c r="X850" s="67"/>
      <c r="Y850" s="67"/>
      <c r="Z850" s="67"/>
    </row>
    <row r="851">
      <c r="A851" s="67"/>
      <c r="B851" s="67"/>
      <c r="C851" s="67"/>
      <c r="D851" s="67"/>
      <c r="E851" s="67"/>
      <c r="F851" s="67"/>
      <c r="G851" s="67"/>
      <c r="H851" s="67"/>
      <c r="I851" s="67"/>
      <c r="J851" s="67"/>
      <c r="K851" s="67"/>
      <c r="L851" s="67"/>
      <c r="M851" s="67"/>
      <c r="N851" s="67"/>
      <c r="O851" s="67"/>
      <c r="P851" s="67"/>
      <c r="Q851" s="67"/>
      <c r="R851" s="67"/>
      <c r="S851" s="67"/>
      <c r="T851" s="67"/>
      <c r="U851" s="67"/>
      <c r="V851" s="67"/>
      <c r="W851" s="67"/>
      <c r="X851" s="67"/>
      <c r="Y851" s="67"/>
      <c r="Z851" s="67"/>
    </row>
    <row r="852">
      <c r="A852" s="67"/>
      <c r="B852" s="67"/>
      <c r="C852" s="67"/>
      <c r="D852" s="67"/>
      <c r="E852" s="67"/>
      <c r="F852" s="67"/>
      <c r="G852" s="67"/>
      <c r="H852" s="67"/>
      <c r="I852" s="67"/>
      <c r="J852" s="67"/>
      <c r="K852" s="67"/>
      <c r="L852" s="67"/>
      <c r="M852" s="67"/>
      <c r="N852" s="67"/>
      <c r="O852" s="67"/>
      <c r="P852" s="67"/>
      <c r="Q852" s="67"/>
      <c r="R852" s="67"/>
      <c r="S852" s="67"/>
      <c r="T852" s="67"/>
      <c r="U852" s="67"/>
      <c r="V852" s="67"/>
      <c r="W852" s="67"/>
      <c r="X852" s="67"/>
      <c r="Y852" s="67"/>
      <c r="Z852" s="67"/>
    </row>
    <row r="853">
      <c r="A853" s="67"/>
      <c r="B853" s="67"/>
      <c r="C853" s="67"/>
      <c r="D853" s="67"/>
      <c r="E853" s="67"/>
      <c r="F853" s="67"/>
      <c r="G853" s="67"/>
      <c r="H853" s="67"/>
      <c r="I853" s="67"/>
      <c r="J853" s="67"/>
      <c r="K853" s="67"/>
      <c r="L853" s="67"/>
      <c r="M853" s="67"/>
      <c r="N853" s="67"/>
      <c r="O853" s="67"/>
      <c r="P853" s="67"/>
      <c r="Q853" s="67"/>
      <c r="R853" s="67"/>
      <c r="S853" s="67"/>
      <c r="T853" s="67"/>
      <c r="U853" s="67"/>
      <c r="V853" s="67"/>
      <c r="W853" s="67"/>
      <c r="X853" s="67"/>
      <c r="Y853" s="67"/>
      <c r="Z853" s="67"/>
    </row>
    <row r="854">
      <c r="A854" s="67"/>
      <c r="B854" s="67"/>
      <c r="C854" s="67"/>
      <c r="D854" s="67"/>
      <c r="E854" s="67"/>
      <c r="F854" s="67"/>
      <c r="G854" s="67"/>
      <c r="H854" s="67"/>
      <c r="I854" s="67"/>
      <c r="J854" s="67"/>
      <c r="K854" s="67"/>
      <c r="L854" s="67"/>
      <c r="M854" s="67"/>
      <c r="N854" s="67"/>
      <c r="O854" s="67"/>
      <c r="P854" s="67"/>
      <c r="Q854" s="67"/>
      <c r="R854" s="67"/>
      <c r="S854" s="67"/>
      <c r="T854" s="67"/>
      <c r="U854" s="67"/>
      <c r="V854" s="67"/>
      <c r="W854" s="67"/>
      <c r="X854" s="67"/>
      <c r="Y854" s="67"/>
      <c r="Z854" s="67"/>
    </row>
    <row r="855">
      <c r="A855" s="67"/>
      <c r="B855" s="67"/>
      <c r="C855" s="67"/>
      <c r="D855" s="67"/>
      <c r="E855" s="67"/>
      <c r="F855" s="67"/>
      <c r="G855" s="67"/>
      <c r="H855" s="67"/>
      <c r="I855" s="67"/>
      <c r="J855" s="67"/>
      <c r="K855" s="67"/>
      <c r="L855" s="67"/>
      <c r="M855" s="67"/>
      <c r="N855" s="67"/>
      <c r="O855" s="67"/>
      <c r="P855" s="67"/>
      <c r="Q855" s="67"/>
      <c r="R855" s="67"/>
      <c r="S855" s="67"/>
      <c r="T855" s="67"/>
      <c r="U855" s="67"/>
      <c r="V855" s="67"/>
      <c r="W855" s="67"/>
      <c r="X855" s="67"/>
      <c r="Y855" s="67"/>
      <c r="Z855" s="67"/>
    </row>
    <row r="856">
      <c r="A856" s="67"/>
      <c r="B856" s="67"/>
      <c r="C856" s="67"/>
      <c r="D856" s="67"/>
      <c r="E856" s="67"/>
      <c r="F856" s="67"/>
      <c r="G856" s="67"/>
      <c r="H856" s="67"/>
      <c r="I856" s="67"/>
      <c r="J856" s="67"/>
      <c r="K856" s="67"/>
      <c r="L856" s="67"/>
      <c r="M856" s="67"/>
      <c r="N856" s="67"/>
      <c r="O856" s="67"/>
      <c r="P856" s="67"/>
      <c r="Q856" s="67"/>
      <c r="R856" s="67"/>
      <c r="S856" s="67"/>
      <c r="T856" s="67"/>
      <c r="U856" s="67"/>
      <c r="V856" s="67"/>
      <c r="W856" s="67"/>
      <c r="X856" s="67"/>
      <c r="Y856" s="67"/>
      <c r="Z856" s="67"/>
    </row>
    <row r="857">
      <c r="A857" s="67"/>
      <c r="B857" s="67"/>
      <c r="C857" s="67"/>
      <c r="D857" s="67"/>
      <c r="E857" s="67"/>
      <c r="F857" s="67"/>
      <c r="G857" s="67"/>
      <c r="H857" s="67"/>
      <c r="I857" s="67"/>
      <c r="J857" s="67"/>
      <c r="K857" s="67"/>
      <c r="L857" s="67"/>
      <c r="M857" s="67"/>
      <c r="N857" s="67"/>
      <c r="O857" s="67"/>
      <c r="P857" s="67"/>
      <c r="Q857" s="67"/>
      <c r="R857" s="67"/>
      <c r="S857" s="67"/>
      <c r="T857" s="67"/>
      <c r="U857" s="67"/>
      <c r="V857" s="67"/>
      <c r="W857" s="67"/>
      <c r="X857" s="67"/>
      <c r="Y857" s="67"/>
      <c r="Z857" s="67"/>
    </row>
    <row r="858">
      <c r="A858" s="67"/>
      <c r="B858" s="67"/>
      <c r="C858" s="67"/>
      <c r="D858" s="67"/>
      <c r="E858" s="67"/>
      <c r="F858" s="67"/>
      <c r="G858" s="67"/>
      <c r="H858" s="67"/>
      <c r="I858" s="67"/>
      <c r="J858" s="67"/>
      <c r="K858" s="67"/>
      <c r="L858" s="67"/>
      <c r="M858" s="67"/>
      <c r="N858" s="67"/>
      <c r="O858" s="67"/>
      <c r="P858" s="67"/>
      <c r="Q858" s="67"/>
      <c r="R858" s="67"/>
      <c r="S858" s="67"/>
      <c r="T858" s="67"/>
      <c r="U858" s="67"/>
      <c r="V858" s="67"/>
      <c r="W858" s="67"/>
      <c r="X858" s="67"/>
      <c r="Y858" s="67"/>
      <c r="Z858" s="67"/>
    </row>
    <row r="859">
      <c r="A859" s="67"/>
      <c r="B859" s="67"/>
      <c r="C859" s="67"/>
      <c r="D859" s="67"/>
      <c r="E859" s="67"/>
      <c r="F859" s="67"/>
      <c r="G859" s="67"/>
      <c r="H859" s="67"/>
      <c r="I859" s="67"/>
      <c r="J859" s="67"/>
      <c r="K859" s="67"/>
      <c r="L859" s="67"/>
      <c r="M859" s="67"/>
      <c r="N859" s="67"/>
      <c r="O859" s="67"/>
      <c r="P859" s="67"/>
      <c r="Q859" s="67"/>
      <c r="R859" s="67"/>
      <c r="S859" s="67"/>
      <c r="T859" s="67"/>
      <c r="U859" s="67"/>
      <c r="V859" s="67"/>
      <c r="W859" s="67"/>
      <c r="X859" s="67"/>
      <c r="Y859" s="67"/>
      <c r="Z859" s="67"/>
    </row>
    <row r="860">
      <c r="A860" s="67"/>
      <c r="B860" s="67"/>
      <c r="C860" s="67"/>
      <c r="D860" s="67"/>
      <c r="E860" s="67"/>
      <c r="F860" s="67"/>
      <c r="G860" s="67"/>
      <c r="H860" s="67"/>
      <c r="I860" s="67"/>
      <c r="J860" s="67"/>
      <c r="K860" s="67"/>
      <c r="L860" s="67"/>
      <c r="M860" s="67"/>
      <c r="N860" s="67"/>
      <c r="O860" s="67"/>
      <c r="P860" s="67"/>
      <c r="Q860" s="67"/>
      <c r="R860" s="67"/>
      <c r="S860" s="67"/>
      <c r="T860" s="67"/>
      <c r="U860" s="67"/>
      <c r="V860" s="67"/>
      <c r="W860" s="67"/>
      <c r="X860" s="67"/>
      <c r="Y860" s="67"/>
      <c r="Z860" s="67"/>
    </row>
    <row r="861">
      <c r="A861" s="67"/>
      <c r="B861" s="67"/>
      <c r="C861" s="67"/>
      <c r="D861" s="67"/>
      <c r="E861" s="67"/>
      <c r="F861" s="67"/>
      <c r="G861" s="67"/>
      <c r="H861" s="67"/>
      <c r="I861" s="67"/>
      <c r="J861" s="67"/>
      <c r="K861" s="67"/>
      <c r="L861" s="67"/>
      <c r="M861" s="67"/>
      <c r="N861" s="67"/>
      <c r="O861" s="67"/>
      <c r="P861" s="67"/>
      <c r="Q861" s="67"/>
      <c r="R861" s="67"/>
      <c r="S861" s="67"/>
      <c r="T861" s="67"/>
      <c r="U861" s="67"/>
      <c r="V861" s="67"/>
      <c r="W861" s="67"/>
      <c r="X861" s="67"/>
      <c r="Y861" s="67"/>
      <c r="Z861" s="67"/>
    </row>
    <row r="862">
      <c r="A862" s="67"/>
      <c r="B862" s="67"/>
      <c r="C862" s="67"/>
      <c r="D862" s="67"/>
      <c r="E862" s="67"/>
      <c r="F862" s="67"/>
      <c r="G862" s="67"/>
      <c r="H862" s="67"/>
      <c r="I862" s="67"/>
      <c r="J862" s="67"/>
      <c r="K862" s="67"/>
      <c r="L862" s="67"/>
      <c r="M862" s="67"/>
      <c r="N862" s="67"/>
      <c r="O862" s="67"/>
      <c r="P862" s="67"/>
      <c r="Q862" s="67"/>
      <c r="R862" s="67"/>
      <c r="S862" s="67"/>
      <c r="T862" s="67"/>
      <c r="U862" s="67"/>
      <c r="V862" s="67"/>
      <c r="W862" s="67"/>
      <c r="X862" s="67"/>
      <c r="Y862" s="67"/>
      <c r="Z862" s="67"/>
    </row>
    <row r="863">
      <c r="A863" s="67"/>
      <c r="B863" s="67"/>
      <c r="C863" s="67"/>
      <c r="D863" s="67"/>
      <c r="E863" s="67"/>
      <c r="F863" s="67"/>
      <c r="G863" s="67"/>
      <c r="H863" s="67"/>
      <c r="I863" s="67"/>
      <c r="J863" s="67"/>
      <c r="K863" s="67"/>
      <c r="L863" s="67"/>
      <c r="M863" s="67"/>
      <c r="N863" s="67"/>
      <c r="O863" s="67"/>
      <c r="P863" s="67"/>
      <c r="Q863" s="67"/>
      <c r="R863" s="67"/>
      <c r="S863" s="67"/>
      <c r="T863" s="67"/>
      <c r="U863" s="67"/>
      <c r="V863" s="67"/>
      <c r="W863" s="67"/>
      <c r="X863" s="67"/>
      <c r="Y863" s="67"/>
      <c r="Z863" s="67"/>
    </row>
    <row r="864">
      <c r="A864" s="67"/>
      <c r="B864" s="67"/>
      <c r="C864" s="67"/>
      <c r="D864" s="67"/>
      <c r="E864" s="67"/>
      <c r="F864" s="67"/>
      <c r="G864" s="67"/>
      <c r="H864" s="67"/>
      <c r="I864" s="67"/>
      <c r="J864" s="67"/>
      <c r="K864" s="67"/>
      <c r="L864" s="67"/>
      <c r="M864" s="67"/>
      <c r="N864" s="67"/>
      <c r="O864" s="67"/>
      <c r="P864" s="67"/>
      <c r="Q864" s="67"/>
      <c r="R864" s="67"/>
      <c r="S864" s="67"/>
      <c r="T864" s="67"/>
      <c r="U864" s="67"/>
      <c r="V864" s="67"/>
      <c r="W864" s="67"/>
      <c r="X864" s="67"/>
      <c r="Y864" s="67"/>
      <c r="Z864" s="67"/>
    </row>
    <row r="865">
      <c r="A865" s="67"/>
      <c r="B865" s="67"/>
      <c r="C865" s="67"/>
      <c r="D865" s="67"/>
      <c r="E865" s="67"/>
      <c r="F865" s="67"/>
      <c r="G865" s="67"/>
      <c r="H865" s="67"/>
      <c r="I865" s="67"/>
      <c r="J865" s="67"/>
      <c r="K865" s="67"/>
      <c r="L865" s="67"/>
      <c r="M865" s="67"/>
      <c r="N865" s="67"/>
      <c r="O865" s="67"/>
      <c r="P865" s="67"/>
      <c r="Q865" s="67"/>
      <c r="R865" s="67"/>
      <c r="S865" s="67"/>
      <c r="T865" s="67"/>
      <c r="U865" s="67"/>
      <c r="V865" s="67"/>
      <c r="W865" s="67"/>
      <c r="X865" s="67"/>
      <c r="Y865" s="67"/>
      <c r="Z865" s="67"/>
    </row>
    <row r="866">
      <c r="A866" s="67"/>
      <c r="B866" s="67"/>
      <c r="C866" s="67"/>
      <c r="D866" s="67"/>
      <c r="E866" s="67"/>
      <c r="F866" s="67"/>
      <c r="G866" s="67"/>
      <c r="H866" s="67"/>
      <c r="I866" s="67"/>
      <c r="J866" s="67"/>
      <c r="K866" s="67"/>
      <c r="L866" s="67"/>
      <c r="M866" s="67"/>
      <c r="N866" s="67"/>
      <c r="O866" s="67"/>
      <c r="P866" s="67"/>
      <c r="Q866" s="67"/>
      <c r="R866" s="67"/>
      <c r="S866" s="67"/>
      <c r="T866" s="67"/>
      <c r="U866" s="67"/>
      <c r="V866" s="67"/>
      <c r="W866" s="67"/>
      <c r="X866" s="67"/>
      <c r="Y866" s="67"/>
      <c r="Z866" s="67"/>
    </row>
    <row r="867">
      <c r="A867" s="67"/>
      <c r="B867" s="67"/>
      <c r="C867" s="67"/>
      <c r="D867" s="67"/>
      <c r="E867" s="67"/>
      <c r="F867" s="67"/>
      <c r="G867" s="67"/>
      <c r="H867" s="67"/>
      <c r="I867" s="67"/>
      <c r="J867" s="67"/>
      <c r="K867" s="67"/>
      <c r="L867" s="67"/>
      <c r="M867" s="67"/>
      <c r="N867" s="67"/>
      <c r="O867" s="67"/>
      <c r="P867" s="67"/>
      <c r="Q867" s="67"/>
      <c r="R867" s="67"/>
      <c r="S867" s="67"/>
      <c r="T867" s="67"/>
      <c r="U867" s="67"/>
      <c r="V867" s="67"/>
      <c r="W867" s="67"/>
      <c r="X867" s="67"/>
      <c r="Y867" s="67"/>
      <c r="Z867" s="67"/>
    </row>
    <row r="868">
      <c r="A868" s="67"/>
      <c r="B868" s="67"/>
      <c r="C868" s="67"/>
      <c r="D868" s="67"/>
      <c r="E868" s="67"/>
      <c r="F868" s="67"/>
      <c r="G868" s="67"/>
      <c r="H868" s="67"/>
      <c r="I868" s="67"/>
      <c r="J868" s="67"/>
      <c r="K868" s="67"/>
      <c r="L868" s="67"/>
      <c r="M868" s="67"/>
      <c r="N868" s="67"/>
      <c r="O868" s="67"/>
      <c r="P868" s="67"/>
      <c r="Q868" s="67"/>
      <c r="R868" s="67"/>
      <c r="S868" s="67"/>
      <c r="T868" s="67"/>
      <c r="U868" s="67"/>
      <c r="V868" s="67"/>
      <c r="W868" s="67"/>
      <c r="X868" s="67"/>
      <c r="Y868" s="67"/>
      <c r="Z868" s="67"/>
    </row>
    <row r="869">
      <c r="A869" s="67"/>
      <c r="B869" s="67"/>
      <c r="C869" s="67"/>
      <c r="D869" s="67"/>
      <c r="E869" s="67"/>
      <c r="F869" s="67"/>
      <c r="G869" s="67"/>
      <c r="H869" s="67"/>
      <c r="I869" s="67"/>
      <c r="J869" s="67"/>
      <c r="K869" s="67"/>
      <c r="L869" s="67"/>
      <c r="M869" s="67"/>
      <c r="N869" s="67"/>
      <c r="O869" s="67"/>
      <c r="P869" s="67"/>
      <c r="Q869" s="67"/>
      <c r="R869" s="67"/>
      <c r="S869" s="67"/>
      <c r="T869" s="67"/>
      <c r="U869" s="67"/>
      <c r="V869" s="67"/>
      <c r="W869" s="67"/>
      <c r="X869" s="67"/>
      <c r="Y869" s="67"/>
      <c r="Z869" s="67"/>
    </row>
    <row r="870">
      <c r="A870" s="67"/>
      <c r="B870" s="67"/>
      <c r="C870" s="67"/>
      <c r="D870" s="67"/>
      <c r="E870" s="67"/>
      <c r="F870" s="67"/>
      <c r="G870" s="67"/>
      <c r="H870" s="67"/>
      <c r="I870" s="67"/>
      <c r="J870" s="67"/>
      <c r="K870" s="67"/>
      <c r="L870" s="67"/>
      <c r="M870" s="67"/>
      <c r="N870" s="67"/>
      <c r="O870" s="67"/>
      <c r="P870" s="67"/>
      <c r="Q870" s="67"/>
      <c r="R870" s="67"/>
      <c r="S870" s="67"/>
      <c r="T870" s="67"/>
      <c r="U870" s="67"/>
      <c r="V870" s="67"/>
      <c r="W870" s="67"/>
      <c r="X870" s="67"/>
      <c r="Y870" s="67"/>
      <c r="Z870" s="67"/>
    </row>
    <row r="871">
      <c r="A871" s="67"/>
      <c r="B871" s="67"/>
      <c r="C871" s="67"/>
      <c r="D871" s="67"/>
      <c r="E871" s="67"/>
      <c r="F871" s="67"/>
      <c r="G871" s="67"/>
      <c r="H871" s="67"/>
      <c r="I871" s="67"/>
      <c r="J871" s="67"/>
      <c r="K871" s="67"/>
      <c r="L871" s="67"/>
      <c r="M871" s="67"/>
      <c r="N871" s="67"/>
      <c r="O871" s="67"/>
      <c r="P871" s="67"/>
      <c r="Q871" s="67"/>
      <c r="R871" s="67"/>
      <c r="S871" s="67"/>
      <c r="T871" s="67"/>
      <c r="U871" s="67"/>
      <c r="V871" s="67"/>
      <c r="W871" s="67"/>
      <c r="X871" s="67"/>
      <c r="Y871" s="67"/>
      <c r="Z871" s="67"/>
    </row>
    <row r="872">
      <c r="A872" s="67"/>
      <c r="B872" s="67"/>
      <c r="C872" s="67"/>
      <c r="D872" s="67"/>
      <c r="E872" s="67"/>
      <c r="F872" s="67"/>
      <c r="G872" s="67"/>
      <c r="H872" s="67"/>
      <c r="I872" s="67"/>
      <c r="J872" s="67"/>
      <c r="K872" s="67"/>
      <c r="L872" s="67"/>
      <c r="M872" s="67"/>
      <c r="N872" s="67"/>
      <c r="O872" s="67"/>
      <c r="P872" s="67"/>
      <c r="Q872" s="67"/>
      <c r="R872" s="67"/>
      <c r="S872" s="67"/>
      <c r="T872" s="67"/>
      <c r="U872" s="67"/>
      <c r="V872" s="67"/>
      <c r="W872" s="67"/>
      <c r="X872" s="67"/>
      <c r="Y872" s="67"/>
      <c r="Z872" s="67"/>
    </row>
    <row r="873">
      <c r="A873" s="67"/>
      <c r="B873" s="67"/>
      <c r="C873" s="67"/>
      <c r="D873" s="67"/>
      <c r="E873" s="67"/>
      <c r="F873" s="67"/>
      <c r="G873" s="67"/>
      <c r="H873" s="67"/>
      <c r="I873" s="67"/>
      <c r="J873" s="67"/>
      <c r="K873" s="67"/>
      <c r="L873" s="67"/>
      <c r="M873" s="67"/>
      <c r="N873" s="67"/>
      <c r="O873" s="67"/>
      <c r="P873" s="67"/>
      <c r="Q873" s="67"/>
      <c r="R873" s="67"/>
      <c r="S873" s="67"/>
      <c r="T873" s="67"/>
      <c r="U873" s="67"/>
      <c r="V873" s="67"/>
      <c r="W873" s="67"/>
      <c r="X873" s="67"/>
      <c r="Y873" s="67"/>
      <c r="Z873" s="67"/>
    </row>
    <row r="874">
      <c r="A874" s="67"/>
      <c r="B874" s="67"/>
      <c r="C874" s="67"/>
      <c r="D874" s="67"/>
      <c r="E874" s="67"/>
      <c r="F874" s="67"/>
      <c r="G874" s="67"/>
      <c r="H874" s="67"/>
      <c r="I874" s="67"/>
      <c r="J874" s="67"/>
      <c r="K874" s="67"/>
      <c r="L874" s="67"/>
      <c r="M874" s="67"/>
      <c r="N874" s="67"/>
      <c r="O874" s="67"/>
      <c r="P874" s="67"/>
      <c r="Q874" s="67"/>
      <c r="R874" s="67"/>
      <c r="S874" s="67"/>
      <c r="T874" s="67"/>
      <c r="U874" s="67"/>
      <c r="V874" s="67"/>
      <c r="W874" s="67"/>
      <c r="X874" s="67"/>
      <c r="Y874" s="67"/>
      <c r="Z874" s="67"/>
    </row>
    <row r="875">
      <c r="A875" s="67"/>
      <c r="B875" s="67"/>
      <c r="C875" s="67"/>
      <c r="D875" s="67"/>
      <c r="E875" s="67"/>
      <c r="F875" s="67"/>
      <c r="G875" s="67"/>
      <c r="H875" s="67"/>
      <c r="I875" s="67"/>
      <c r="J875" s="67"/>
      <c r="K875" s="67"/>
      <c r="L875" s="67"/>
      <c r="M875" s="67"/>
      <c r="N875" s="67"/>
      <c r="O875" s="67"/>
      <c r="P875" s="67"/>
      <c r="Q875" s="67"/>
      <c r="R875" s="67"/>
      <c r="S875" s="67"/>
      <c r="T875" s="67"/>
      <c r="U875" s="67"/>
      <c r="V875" s="67"/>
      <c r="W875" s="67"/>
      <c r="X875" s="67"/>
      <c r="Y875" s="67"/>
      <c r="Z875" s="67"/>
    </row>
    <row r="876">
      <c r="A876" s="67"/>
      <c r="B876" s="67"/>
      <c r="C876" s="67"/>
      <c r="D876" s="67"/>
      <c r="E876" s="67"/>
      <c r="F876" s="67"/>
      <c r="G876" s="67"/>
      <c r="H876" s="67"/>
      <c r="I876" s="67"/>
      <c r="J876" s="67"/>
      <c r="K876" s="67"/>
      <c r="L876" s="67"/>
      <c r="M876" s="67"/>
      <c r="N876" s="67"/>
      <c r="O876" s="67"/>
      <c r="P876" s="67"/>
      <c r="Q876" s="67"/>
      <c r="R876" s="67"/>
      <c r="S876" s="67"/>
      <c r="T876" s="67"/>
      <c r="U876" s="67"/>
      <c r="V876" s="67"/>
      <c r="W876" s="67"/>
      <c r="X876" s="67"/>
      <c r="Y876" s="67"/>
      <c r="Z876" s="67"/>
    </row>
    <row r="877">
      <c r="A877" s="67"/>
      <c r="B877" s="67"/>
      <c r="C877" s="67"/>
      <c r="D877" s="67"/>
      <c r="E877" s="67"/>
      <c r="F877" s="67"/>
      <c r="G877" s="67"/>
      <c r="H877" s="67"/>
      <c r="I877" s="67"/>
      <c r="J877" s="67"/>
      <c r="K877" s="67"/>
      <c r="L877" s="67"/>
      <c r="M877" s="67"/>
      <c r="N877" s="67"/>
      <c r="O877" s="67"/>
      <c r="P877" s="67"/>
      <c r="Q877" s="67"/>
      <c r="R877" s="67"/>
      <c r="S877" s="67"/>
      <c r="T877" s="67"/>
      <c r="U877" s="67"/>
      <c r="V877" s="67"/>
      <c r="W877" s="67"/>
      <c r="X877" s="67"/>
      <c r="Y877" s="67"/>
      <c r="Z877" s="67"/>
    </row>
    <row r="878">
      <c r="A878" s="67"/>
      <c r="B878" s="67"/>
      <c r="C878" s="67"/>
      <c r="D878" s="67"/>
      <c r="E878" s="67"/>
      <c r="F878" s="67"/>
      <c r="G878" s="67"/>
      <c r="H878" s="67"/>
      <c r="I878" s="67"/>
      <c r="J878" s="67"/>
      <c r="K878" s="67"/>
      <c r="L878" s="67"/>
      <c r="M878" s="67"/>
      <c r="N878" s="67"/>
      <c r="O878" s="67"/>
      <c r="P878" s="67"/>
      <c r="Q878" s="67"/>
      <c r="R878" s="67"/>
      <c r="S878" s="67"/>
      <c r="T878" s="67"/>
      <c r="U878" s="67"/>
      <c r="V878" s="67"/>
      <c r="W878" s="67"/>
      <c r="X878" s="67"/>
      <c r="Y878" s="67"/>
      <c r="Z878" s="67"/>
    </row>
    <row r="879">
      <c r="A879" s="67"/>
      <c r="B879" s="67"/>
      <c r="C879" s="67"/>
      <c r="D879" s="67"/>
      <c r="E879" s="67"/>
      <c r="F879" s="67"/>
      <c r="G879" s="67"/>
      <c r="H879" s="67"/>
      <c r="I879" s="67"/>
      <c r="J879" s="67"/>
      <c r="K879" s="67"/>
      <c r="L879" s="67"/>
      <c r="M879" s="67"/>
      <c r="N879" s="67"/>
      <c r="O879" s="67"/>
      <c r="P879" s="67"/>
      <c r="Q879" s="67"/>
      <c r="R879" s="67"/>
      <c r="S879" s="67"/>
      <c r="T879" s="67"/>
      <c r="U879" s="67"/>
      <c r="V879" s="67"/>
      <c r="W879" s="67"/>
      <c r="X879" s="67"/>
      <c r="Y879" s="67"/>
      <c r="Z879" s="67"/>
    </row>
    <row r="880">
      <c r="A880" s="67"/>
      <c r="B880" s="67"/>
      <c r="C880" s="67"/>
      <c r="D880" s="67"/>
      <c r="E880" s="67"/>
      <c r="F880" s="67"/>
      <c r="G880" s="67"/>
      <c r="H880" s="67"/>
      <c r="I880" s="67"/>
      <c r="J880" s="67"/>
      <c r="K880" s="67"/>
      <c r="L880" s="67"/>
      <c r="M880" s="67"/>
      <c r="N880" s="67"/>
      <c r="O880" s="67"/>
      <c r="P880" s="67"/>
      <c r="Q880" s="67"/>
      <c r="R880" s="67"/>
      <c r="S880" s="67"/>
      <c r="T880" s="67"/>
      <c r="U880" s="67"/>
      <c r="V880" s="67"/>
      <c r="W880" s="67"/>
      <c r="X880" s="67"/>
      <c r="Y880" s="67"/>
      <c r="Z880" s="67"/>
    </row>
    <row r="881">
      <c r="A881" s="67"/>
      <c r="B881" s="67"/>
      <c r="C881" s="67"/>
      <c r="D881" s="67"/>
      <c r="E881" s="67"/>
      <c r="F881" s="67"/>
      <c r="G881" s="67"/>
      <c r="H881" s="67"/>
      <c r="I881" s="67"/>
      <c r="J881" s="67"/>
      <c r="K881" s="67"/>
      <c r="L881" s="67"/>
      <c r="M881" s="67"/>
      <c r="N881" s="67"/>
      <c r="O881" s="67"/>
      <c r="P881" s="67"/>
      <c r="Q881" s="67"/>
      <c r="R881" s="67"/>
      <c r="S881" s="67"/>
      <c r="T881" s="67"/>
      <c r="U881" s="67"/>
      <c r="V881" s="67"/>
      <c r="W881" s="67"/>
      <c r="X881" s="67"/>
      <c r="Y881" s="67"/>
      <c r="Z881" s="67"/>
    </row>
    <row r="882">
      <c r="A882" s="67"/>
      <c r="B882" s="67"/>
      <c r="C882" s="67"/>
      <c r="D882" s="67"/>
      <c r="E882" s="67"/>
      <c r="F882" s="67"/>
      <c r="G882" s="67"/>
      <c r="H882" s="67"/>
      <c r="I882" s="67"/>
      <c r="J882" s="67"/>
      <c r="K882" s="67"/>
      <c r="L882" s="67"/>
      <c r="M882" s="67"/>
      <c r="N882" s="67"/>
      <c r="O882" s="67"/>
      <c r="P882" s="67"/>
      <c r="Q882" s="67"/>
      <c r="R882" s="67"/>
      <c r="S882" s="67"/>
      <c r="T882" s="67"/>
      <c r="U882" s="67"/>
      <c r="V882" s="67"/>
      <c r="W882" s="67"/>
      <c r="X882" s="67"/>
      <c r="Y882" s="67"/>
      <c r="Z882" s="67"/>
    </row>
    <row r="883">
      <c r="A883" s="67"/>
      <c r="B883" s="67"/>
      <c r="C883" s="67"/>
      <c r="D883" s="67"/>
      <c r="E883" s="67"/>
      <c r="F883" s="67"/>
      <c r="G883" s="67"/>
      <c r="H883" s="67"/>
      <c r="I883" s="67"/>
      <c r="J883" s="67"/>
      <c r="K883" s="67"/>
      <c r="L883" s="67"/>
      <c r="M883" s="67"/>
      <c r="N883" s="67"/>
      <c r="O883" s="67"/>
      <c r="P883" s="67"/>
      <c r="Q883" s="67"/>
      <c r="R883" s="67"/>
      <c r="S883" s="67"/>
      <c r="T883" s="67"/>
      <c r="U883" s="67"/>
      <c r="V883" s="67"/>
      <c r="W883" s="67"/>
      <c r="X883" s="67"/>
      <c r="Y883" s="67"/>
      <c r="Z883" s="67"/>
    </row>
    <row r="884">
      <c r="A884" s="67"/>
      <c r="B884" s="67"/>
      <c r="C884" s="67"/>
      <c r="D884" s="67"/>
      <c r="E884" s="67"/>
      <c r="F884" s="67"/>
      <c r="G884" s="67"/>
      <c r="H884" s="67"/>
      <c r="I884" s="67"/>
      <c r="J884" s="67"/>
      <c r="K884" s="67"/>
      <c r="L884" s="67"/>
      <c r="M884" s="67"/>
      <c r="N884" s="67"/>
      <c r="O884" s="67"/>
      <c r="P884" s="67"/>
      <c r="Q884" s="67"/>
      <c r="R884" s="67"/>
      <c r="S884" s="67"/>
      <c r="T884" s="67"/>
      <c r="U884" s="67"/>
      <c r="V884" s="67"/>
      <c r="W884" s="67"/>
      <c r="X884" s="67"/>
      <c r="Y884" s="67"/>
      <c r="Z884" s="67"/>
    </row>
    <row r="885">
      <c r="A885" s="67"/>
      <c r="B885" s="67"/>
      <c r="C885" s="67"/>
      <c r="D885" s="67"/>
      <c r="E885" s="67"/>
      <c r="F885" s="67"/>
      <c r="G885" s="67"/>
      <c r="H885" s="67"/>
      <c r="I885" s="67"/>
      <c r="J885" s="67"/>
      <c r="K885" s="67"/>
      <c r="L885" s="67"/>
      <c r="M885" s="67"/>
      <c r="N885" s="67"/>
      <c r="O885" s="67"/>
      <c r="P885" s="67"/>
      <c r="Q885" s="67"/>
      <c r="R885" s="67"/>
      <c r="S885" s="67"/>
      <c r="T885" s="67"/>
      <c r="U885" s="67"/>
      <c r="V885" s="67"/>
      <c r="W885" s="67"/>
      <c r="X885" s="67"/>
      <c r="Y885" s="67"/>
      <c r="Z885" s="67"/>
    </row>
    <row r="886">
      <c r="A886" s="67"/>
      <c r="B886" s="67"/>
      <c r="C886" s="67"/>
      <c r="D886" s="67"/>
      <c r="E886" s="67"/>
      <c r="F886" s="67"/>
      <c r="G886" s="67"/>
      <c r="H886" s="67"/>
      <c r="I886" s="67"/>
      <c r="J886" s="67"/>
      <c r="K886" s="67"/>
      <c r="L886" s="67"/>
      <c r="M886" s="67"/>
      <c r="N886" s="67"/>
      <c r="O886" s="67"/>
      <c r="P886" s="67"/>
      <c r="Q886" s="67"/>
      <c r="R886" s="67"/>
      <c r="S886" s="67"/>
      <c r="T886" s="67"/>
      <c r="U886" s="67"/>
      <c r="V886" s="67"/>
      <c r="W886" s="67"/>
      <c r="X886" s="67"/>
      <c r="Y886" s="67"/>
      <c r="Z886" s="67"/>
    </row>
    <row r="887">
      <c r="A887" s="67"/>
      <c r="B887" s="67"/>
      <c r="C887" s="67"/>
      <c r="D887" s="67"/>
      <c r="E887" s="67"/>
      <c r="F887" s="67"/>
      <c r="G887" s="67"/>
      <c r="H887" s="67"/>
      <c r="I887" s="67"/>
      <c r="J887" s="67"/>
      <c r="K887" s="67"/>
      <c r="L887" s="67"/>
      <c r="M887" s="67"/>
      <c r="N887" s="67"/>
      <c r="O887" s="67"/>
      <c r="P887" s="67"/>
      <c r="Q887" s="67"/>
      <c r="R887" s="67"/>
      <c r="S887" s="67"/>
      <c r="T887" s="67"/>
      <c r="U887" s="67"/>
      <c r="V887" s="67"/>
      <c r="W887" s="67"/>
      <c r="X887" s="67"/>
      <c r="Y887" s="67"/>
      <c r="Z887" s="67"/>
    </row>
    <row r="888">
      <c r="A888" s="67"/>
      <c r="B888" s="67"/>
      <c r="C888" s="67"/>
      <c r="D888" s="67"/>
      <c r="E888" s="67"/>
      <c r="F888" s="67"/>
      <c r="G888" s="67"/>
      <c r="H888" s="67"/>
      <c r="I888" s="67"/>
      <c r="J888" s="67"/>
      <c r="K888" s="67"/>
      <c r="L888" s="67"/>
      <c r="M888" s="67"/>
      <c r="N888" s="67"/>
      <c r="O888" s="67"/>
      <c r="P888" s="67"/>
      <c r="Q888" s="67"/>
      <c r="R888" s="67"/>
      <c r="S888" s="67"/>
      <c r="T888" s="67"/>
      <c r="U888" s="67"/>
      <c r="V888" s="67"/>
      <c r="W888" s="67"/>
      <c r="X888" s="67"/>
      <c r="Y888" s="67"/>
      <c r="Z888" s="67"/>
    </row>
    <row r="889">
      <c r="A889" s="67"/>
      <c r="B889" s="67"/>
      <c r="C889" s="67"/>
      <c r="D889" s="67"/>
      <c r="E889" s="67"/>
      <c r="F889" s="67"/>
      <c r="G889" s="67"/>
      <c r="H889" s="67"/>
      <c r="I889" s="67"/>
      <c r="J889" s="67"/>
      <c r="K889" s="67"/>
      <c r="L889" s="67"/>
      <c r="M889" s="67"/>
      <c r="N889" s="67"/>
      <c r="O889" s="67"/>
      <c r="P889" s="67"/>
      <c r="Q889" s="67"/>
      <c r="R889" s="67"/>
      <c r="S889" s="67"/>
      <c r="T889" s="67"/>
      <c r="U889" s="67"/>
      <c r="V889" s="67"/>
      <c r="W889" s="67"/>
      <c r="X889" s="67"/>
      <c r="Y889" s="67"/>
      <c r="Z889" s="67"/>
    </row>
    <row r="890">
      <c r="A890" s="67"/>
      <c r="B890" s="67"/>
      <c r="C890" s="67"/>
      <c r="D890" s="67"/>
      <c r="E890" s="67"/>
      <c r="F890" s="67"/>
      <c r="G890" s="67"/>
      <c r="H890" s="67"/>
      <c r="I890" s="67"/>
      <c r="J890" s="67"/>
      <c r="K890" s="67"/>
      <c r="L890" s="67"/>
      <c r="M890" s="67"/>
      <c r="N890" s="67"/>
      <c r="O890" s="67"/>
      <c r="P890" s="67"/>
      <c r="Q890" s="67"/>
      <c r="R890" s="67"/>
      <c r="S890" s="67"/>
      <c r="T890" s="67"/>
      <c r="U890" s="67"/>
      <c r="V890" s="67"/>
      <c r="W890" s="67"/>
      <c r="X890" s="67"/>
      <c r="Y890" s="67"/>
      <c r="Z890" s="67"/>
    </row>
    <row r="891">
      <c r="A891" s="67"/>
      <c r="B891" s="67"/>
      <c r="C891" s="67"/>
      <c r="D891" s="67"/>
      <c r="E891" s="67"/>
      <c r="F891" s="67"/>
      <c r="G891" s="67"/>
      <c r="H891" s="67"/>
      <c r="I891" s="67"/>
      <c r="J891" s="67"/>
      <c r="K891" s="67"/>
      <c r="L891" s="67"/>
      <c r="M891" s="67"/>
      <c r="N891" s="67"/>
      <c r="O891" s="67"/>
      <c r="P891" s="67"/>
      <c r="Q891" s="67"/>
      <c r="R891" s="67"/>
      <c r="S891" s="67"/>
      <c r="T891" s="67"/>
      <c r="U891" s="67"/>
      <c r="V891" s="67"/>
      <c r="W891" s="67"/>
      <c r="X891" s="67"/>
      <c r="Y891" s="67"/>
      <c r="Z891" s="67"/>
    </row>
    <row r="892">
      <c r="A892" s="67"/>
      <c r="B892" s="67"/>
      <c r="C892" s="67"/>
      <c r="D892" s="67"/>
      <c r="E892" s="67"/>
      <c r="F892" s="67"/>
      <c r="G892" s="67"/>
      <c r="H892" s="67"/>
      <c r="I892" s="67"/>
      <c r="J892" s="67"/>
      <c r="K892" s="67"/>
      <c r="L892" s="67"/>
      <c r="M892" s="67"/>
      <c r="N892" s="67"/>
      <c r="O892" s="67"/>
      <c r="P892" s="67"/>
      <c r="Q892" s="67"/>
      <c r="R892" s="67"/>
      <c r="S892" s="67"/>
      <c r="T892" s="67"/>
      <c r="U892" s="67"/>
      <c r="V892" s="67"/>
      <c r="W892" s="67"/>
      <c r="X892" s="67"/>
      <c r="Y892" s="67"/>
      <c r="Z892" s="67"/>
    </row>
    <row r="893">
      <c r="A893" s="67"/>
      <c r="B893" s="67"/>
      <c r="C893" s="67"/>
      <c r="D893" s="67"/>
      <c r="E893" s="67"/>
      <c r="F893" s="67"/>
      <c r="G893" s="67"/>
      <c r="H893" s="67"/>
      <c r="I893" s="67"/>
      <c r="J893" s="67"/>
      <c r="K893" s="67"/>
      <c r="L893" s="67"/>
      <c r="M893" s="67"/>
      <c r="N893" s="67"/>
      <c r="O893" s="67"/>
      <c r="P893" s="67"/>
      <c r="Q893" s="67"/>
      <c r="R893" s="67"/>
      <c r="S893" s="67"/>
      <c r="T893" s="67"/>
      <c r="U893" s="67"/>
      <c r="V893" s="67"/>
      <c r="W893" s="67"/>
      <c r="X893" s="67"/>
      <c r="Y893" s="67"/>
      <c r="Z893" s="67"/>
    </row>
    <row r="894">
      <c r="A894" s="67"/>
      <c r="B894" s="67"/>
      <c r="C894" s="67"/>
      <c r="D894" s="67"/>
      <c r="E894" s="67"/>
      <c r="F894" s="67"/>
      <c r="G894" s="67"/>
      <c r="H894" s="67"/>
      <c r="I894" s="67"/>
      <c r="J894" s="67"/>
      <c r="K894" s="67"/>
      <c r="L894" s="67"/>
      <c r="M894" s="67"/>
      <c r="N894" s="67"/>
      <c r="O894" s="67"/>
      <c r="P894" s="67"/>
      <c r="Q894" s="67"/>
      <c r="R894" s="67"/>
      <c r="S894" s="67"/>
      <c r="T894" s="67"/>
      <c r="U894" s="67"/>
      <c r="V894" s="67"/>
      <c r="W894" s="67"/>
      <c r="X894" s="67"/>
      <c r="Y894" s="67"/>
      <c r="Z894" s="67"/>
    </row>
    <row r="895">
      <c r="A895" s="67"/>
      <c r="B895" s="67"/>
      <c r="C895" s="67"/>
      <c r="D895" s="67"/>
      <c r="E895" s="67"/>
      <c r="F895" s="67"/>
      <c r="G895" s="67"/>
      <c r="H895" s="67"/>
      <c r="I895" s="67"/>
      <c r="J895" s="67"/>
      <c r="K895" s="67"/>
      <c r="L895" s="67"/>
      <c r="M895" s="67"/>
      <c r="N895" s="67"/>
      <c r="O895" s="67"/>
      <c r="P895" s="67"/>
      <c r="Q895" s="67"/>
      <c r="R895" s="67"/>
      <c r="S895" s="67"/>
      <c r="T895" s="67"/>
      <c r="U895" s="67"/>
      <c r="V895" s="67"/>
      <c r="W895" s="67"/>
      <c r="X895" s="67"/>
      <c r="Y895" s="67"/>
      <c r="Z895" s="67"/>
    </row>
    <row r="896">
      <c r="A896" s="67"/>
      <c r="B896" s="67"/>
      <c r="C896" s="67"/>
      <c r="D896" s="67"/>
      <c r="E896" s="67"/>
      <c r="F896" s="67"/>
      <c r="G896" s="67"/>
      <c r="H896" s="67"/>
      <c r="I896" s="67"/>
      <c r="J896" s="67"/>
      <c r="K896" s="67"/>
      <c r="L896" s="67"/>
      <c r="M896" s="67"/>
      <c r="N896" s="67"/>
      <c r="O896" s="67"/>
      <c r="P896" s="67"/>
      <c r="Q896" s="67"/>
      <c r="R896" s="67"/>
      <c r="S896" s="67"/>
      <c r="T896" s="67"/>
      <c r="U896" s="67"/>
      <c r="V896" s="67"/>
      <c r="W896" s="67"/>
      <c r="X896" s="67"/>
      <c r="Y896" s="67"/>
      <c r="Z896" s="67"/>
    </row>
    <row r="897">
      <c r="A897" s="67"/>
      <c r="B897" s="67"/>
      <c r="C897" s="67"/>
      <c r="D897" s="67"/>
      <c r="E897" s="67"/>
      <c r="F897" s="67"/>
      <c r="G897" s="67"/>
      <c r="H897" s="67"/>
      <c r="I897" s="67"/>
      <c r="J897" s="67"/>
      <c r="K897" s="67"/>
      <c r="L897" s="67"/>
      <c r="M897" s="67"/>
      <c r="N897" s="67"/>
      <c r="O897" s="67"/>
      <c r="P897" s="67"/>
      <c r="Q897" s="67"/>
      <c r="R897" s="67"/>
      <c r="S897" s="67"/>
      <c r="T897" s="67"/>
      <c r="U897" s="67"/>
      <c r="V897" s="67"/>
      <c r="W897" s="67"/>
      <c r="X897" s="67"/>
      <c r="Y897" s="67"/>
      <c r="Z897" s="67"/>
    </row>
    <row r="898">
      <c r="A898" s="67"/>
      <c r="B898" s="67"/>
      <c r="C898" s="67"/>
      <c r="D898" s="67"/>
      <c r="E898" s="67"/>
      <c r="F898" s="67"/>
      <c r="G898" s="67"/>
      <c r="H898" s="67"/>
      <c r="I898" s="67"/>
      <c r="J898" s="67"/>
      <c r="K898" s="67"/>
      <c r="L898" s="67"/>
      <c r="M898" s="67"/>
      <c r="N898" s="67"/>
      <c r="O898" s="67"/>
      <c r="P898" s="67"/>
      <c r="Q898" s="67"/>
      <c r="R898" s="67"/>
      <c r="S898" s="67"/>
      <c r="T898" s="67"/>
      <c r="U898" s="67"/>
      <c r="V898" s="67"/>
      <c r="W898" s="67"/>
      <c r="X898" s="67"/>
      <c r="Y898" s="67"/>
      <c r="Z898" s="67"/>
    </row>
    <row r="899">
      <c r="A899" s="67"/>
      <c r="B899" s="67"/>
      <c r="C899" s="67"/>
      <c r="D899" s="67"/>
      <c r="E899" s="67"/>
      <c r="F899" s="67"/>
      <c r="G899" s="67"/>
      <c r="H899" s="67"/>
      <c r="I899" s="67"/>
      <c r="J899" s="67"/>
      <c r="K899" s="67"/>
      <c r="L899" s="67"/>
      <c r="M899" s="67"/>
      <c r="N899" s="67"/>
      <c r="O899" s="67"/>
      <c r="P899" s="67"/>
      <c r="Q899" s="67"/>
      <c r="R899" s="67"/>
      <c r="S899" s="67"/>
      <c r="T899" s="67"/>
      <c r="U899" s="67"/>
      <c r="V899" s="67"/>
      <c r="W899" s="67"/>
      <c r="X899" s="67"/>
      <c r="Y899" s="67"/>
      <c r="Z899" s="67"/>
    </row>
    <row r="900">
      <c r="A900" s="67"/>
      <c r="B900" s="67"/>
      <c r="C900" s="67"/>
      <c r="D900" s="67"/>
      <c r="E900" s="67"/>
      <c r="F900" s="67"/>
      <c r="G900" s="67"/>
      <c r="H900" s="67"/>
      <c r="I900" s="67"/>
      <c r="J900" s="67"/>
      <c r="K900" s="67"/>
      <c r="L900" s="67"/>
      <c r="M900" s="67"/>
      <c r="N900" s="67"/>
      <c r="O900" s="67"/>
      <c r="P900" s="67"/>
      <c r="Q900" s="67"/>
      <c r="R900" s="67"/>
      <c r="S900" s="67"/>
      <c r="T900" s="67"/>
      <c r="U900" s="67"/>
      <c r="V900" s="67"/>
      <c r="W900" s="67"/>
      <c r="X900" s="67"/>
      <c r="Y900" s="67"/>
      <c r="Z900" s="67"/>
    </row>
    <row r="901">
      <c r="A901" s="67"/>
      <c r="B901" s="67"/>
      <c r="C901" s="67"/>
      <c r="D901" s="67"/>
      <c r="E901" s="67"/>
      <c r="F901" s="67"/>
      <c r="G901" s="67"/>
      <c r="H901" s="67"/>
      <c r="I901" s="67"/>
      <c r="J901" s="67"/>
      <c r="K901" s="67"/>
      <c r="L901" s="67"/>
      <c r="M901" s="67"/>
      <c r="N901" s="67"/>
      <c r="O901" s="67"/>
      <c r="P901" s="67"/>
      <c r="Q901" s="67"/>
      <c r="R901" s="67"/>
      <c r="S901" s="67"/>
      <c r="T901" s="67"/>
      <c r="U901" s="67"/>
      <c r="V901" s="67"/>
      <c r="W901" s="67"/>
      <c r="X901" s="67"/>
      <c r="Y901" s="67"/>
      <c r="Z901" s="67"/>
    </row>
    <row r="902">
      <c r="A902" s="67"/>
      <c r="B902" s="67"/>
      <c r="C902" s="67"/>
      <c r="D902" s="67"/>
      <c r="E902" s="67"/>
      <c r="F902" s="67"/>
      <c r="G902" s="67"/>
      <c r="H902" s="67"/>
      <c r="I902" s="67"/>
      <c r="J902" s="67"/>
      <c r="K902" s="67"/>
      <c r="L902" s="67"/>
      <c r="M902" s="67"/>
      <c r="N902" s="67"/>
      <c r="O902" s="67"/>
      <c r="P902" s="67"/>
      <c r="Q902" s="67"/>
      <c r="R902" s="67"/>
      <c r="S902" s="67"/>
      <c r="T902" s="67"/>
      <c r="U902" s="67"/>
      <c r="V902" s="67"/>
      <c r="W902" s="67"/>
      <c r="X902" s="67"/>
      <c r="Y902" s="67"/>
      <c r="Z902" s="67"/>
    </row>
    <row r="903">
      <c r="A903" s="67"/>
      <c r="B903" s="67"/>
      <c r="C903" s="67"/>
      <c r="D903" s="67"/>
      <c r="E903" s="67"/>
      <c r="F903" s="67"/>
      <c r="G903" s="67"/>
      <c r="H903" s="67"/>
      <c r="I903" s="67"/>
      <c r="J903" s="67"/>
      <c r="K903" s="67"/>
      <c r="L903" s="67"/>
      <c r="M903" s="67"/>
      <c r="N903" s="67"/>
      <c r="O903" s="67"/>
      <c r="P903" s="67"/>
      <c r="Q903" s="67"/>
      <c r="R903" s="67"/>
      <c r="S903" s="67"/>
      <c r="T903" s="67"/>
      <c r="U903" s="67"/>
      <c r="V903" s="67"/>
      <c r="W903" s="67"/>
      <c r="X903" s="67"/>
      <c r="Y903" s="67"/>
      <c r="Z903" s="67"/>
    </row>
    <row r="904">
      <c r="A904" s="67"/>
      <c r="B904" s="67"/>
      <c r="C904" s="67"/>
      <c r="D904" s="67"/>
      <c r="E904" s="67"/>
      <c r="F904" s="67"/>
      <c r="G904" s="67"/>
      <c r="H904" s="67"/>
      <c r="I904" s="67"/>
      <c r="J904" s="67"/>
      <c r="K904" s="67"/>
      <c r="L904" s="67"/>
      <c r="M904" s="67"/>
      <c r="N904" s="67"/>
      <c r="O904" s="67"/>
      <c r="P904" s="67"/>
      <c r="Q904" s="67"/>
      <c r="R904" s="67"/>
      <c r="S904" s="67"/>
      <c r="T904" s="67"/>
      <c r="U904" s="67"/>
      <c r="V904" s="67"/>
      <c r="W904" s="67"/>
      <c r="X904" s="67"/>
      <c r="Y904" s="67"/>
      <c r="Z904" s="67"/>
    </row>
    <row r="905">
      <c r="A905" s="67"/>
      <c r="B905" s="67"/>
      <c r="C905" s="67"/>
      <c r="D905" s="67"/>
      <c r="E905" s="67"/>
      <c r="F905" s="67"/>
      <c r="G905" s="67"/>
      <c r="H905" s="67"/>
      <c r="I905" s="67"/>
      <c r="J905" s="67"/>
      <c r="K905" s="67"/>
      <c r="L905" s="67"/>
      <c r="M905" s="67"/>
      <c r="N905" s="67"/>
      <c r="O905" s="67"/>
      <c r="P905" s="67"/>
      <c r="Q905" s="67"/>
      <c r="R905" s="67"/>
      <c r="S905" s="67"/>
      <c r="T905" s="67"/>
      <c r="U905" s="67"/>
      <c r="V905" s="67"/>
      <c r="W905" s="67"/>
      <c r="X905" s="67"/>
      <c r="Y905" s="67"/>
      <c r="Z905" s="67"/>
    </row>
    <row r="906">
      <c r="A906" s="67"/>
      <c r="B906" s="67"/>
      <c r="C906" s="67"/>
      <c r="D906" s="67"/>
      <c r="E906" s="67"/>
      <c r="F906" s="67"/>
      <c r="G906" s="67"/>
      <c r="H906" s="67"/>
      <c r="I906" s="67"/>
      <c r="J906" s="67"/>
      <c r="K906" s="67"/>
      <c r="L906" s="67"/>
      <c r="M906" s="67"/>
      <c r="N906" s="67"/>
      <c r="O906" s="67"/>
      <c r="P906" s="67"/>
      <c r="Q906" s="67"/>
      <c r="R906" s="67"/>
      <c r="S906" s="67"/>
      <c r="T906" s="67"/>
      <c r="U906" s="67"/>
      <c r="V906" s="67"/>
      <c r="W906" s="67"/>
      <c r="X906" s="67"/>
      <c r="Y906" s="67"/>
      <c r="Z906" s="67"/>
    </row>
    <row r="907">
      <c r="A907" s="67"/>
      <c r="B907" s="67"/>
      <c r="C907" s="67"/>
      <c r="D907" s="67"/>
      <c r="E907" s="67"/>
      <c r="F907" s="67"/>
      <c r="G907" s="67"/>
      <c r="H907" s="67"/>
      <c r="I907" s="67"/>
      <c r="J907" s="67"/>
      <c r="K907" s="67"/>
      <c r="L907" s="67"/>
      <c r="M907" s="67"/>
      <c r="N907" s="67"/>
      <c r="O907" s="67"/>
      <c r="P907" s="67"/>
      <c r="Q907" s="67"/>
      <c r="R907" s="67"/>
      <c r="S907" s="67"/>
      <c r="T907" s="67"/>
      <c r="U907" s="67"/>
      <c r="V907" s="67"/>
      <c r="W907" s="67"/>
      <c r="X907" s="67"/>
      <c r="Y907" s="67"/>
      <c r="Z907" s="67"/>
    </row>
    <row r="908">
      <c r="A908" s="67"/>
      <c r="B908" s="67"/>
      <c r="C908" s="67"/>
      <c r="D908" s="67"/>
      <c r="E908" s="67"/>
      <c r="F908" s="67"/>
      <c r="G908" s="67"/>
      <c r="H908" s="67"/>
      <c r="I908" s="67"/>
      <c r="J908" s="67"/>
      <c r="K908" s="67"/>
      <c r="L908" s="67"/>
      <c r="M908" s="67"/>
      <c r="N908" s="67"/>
      <c r="O908" s="67"/>
      <c r="P908" s="67"/>
      <c r="Q908" s="67"/>
      <c r="R908" s="67"/>
      <c r="S908" s="67"/>
      <c r="T908" s="67"/>
      <c r="U908" s="67"/>
      <c r="V908" s="67"/>
      <c r="W908" s="67"/>
      <c r="X908" s="67"/>
      <c r="Y908" s="67"/>
      <c r="Z908" s="67"/>
    </row>
    <row r="909">
      <c r="A909" s="67"/>
      <c r="B909" s="67"/>
      <c r="C909" s="67"/>
      <c r="D909" s="67"/>
      <c r="E909" s="67"/>
      <c r="F909" s="67"/>
      <c r="G909" s="67"/>
      <c r="H909" s="67"/>
      <c r="I909" s="67"/>
      <c r="J909" s="67"/>
      <c r="K909" s="67"/>
      <c r="L909" s="67"/>
      <c r="M909" s="67"/>
      <c r="N909" s="67"/>
      <c r="O909" s="67"/>
      <c r="P909" s="67"/>
      <c r="Q909" s="67"/>
      <c r="R909" s="67"/>
      <c r="S909" s="67"/>
      <c r="T909" s="67"/>
      <c r="U909" s="67"/>
      <c r="V909" s="67"/>
      <c r="W909" s="67"/>
      <c r="X909" s="67"/>
      <c r="Y909" s="67"/>
      <c r="Z909" s="67"/>
    </row>
    <row r="910">
      <c r="A910" s="67"/>
      <c r="B910" s="67"/>
      <c r="C910" s="67"/>
      <c r="D910" s="67"/>
      <c r="E910" s="67"/>
      <c r="F910" s="67"/>
      <c r="G910" s="67"/>
      <c r="H910" s="67"/>
      <c r="I910" s="67"/>
      <c r="J910" s="67"/>
      <c r="K910" s="67"/>
      <c r="L910" s="67"/>
      <c r="M910" s="67"/>
      <c r="N910" s="67"/>
      <c r="O910" s="67"/>
      <c r="P910" s="67"/>
      <c r="Q910" s="67"/>
      <c r="R910" s="67"/>
      <c r="S910" s="67"/>
      <c r="T910" s="67"/>
      <c r="U910" s="67"/>
      <c r="V910" s="67"/>
      <c r="W910" s="67"/>
      <c r="X910" s="67"/>
      <c r="Y910" s="67"/>
      <c r="Z910" s="67"/>
    </row>
    <row r="911">
      <c r="A911" s="67"/>
      <c r="B911" s="67"/>
      <c r="C911" s="67"/>
      <c r="D911" s="67"/>
      <c r="E911" s="67"/>
      <c r="F911" s="67"/>
      <c r="G911" s="67"/>
      <c r="H911" s="67"/>
      <c r="I911" s="67"/>
      <c r="J911" s="67"/>
      <c r="K911" s="67"/>
      <c r="L911" s="67"/>
      <c r="M911" s="67"/>
      <c r="N911" s="67"/>
      <c r="O911" s="67"/>
      <c r="P911" s="67"/>
      <c r="Q911" s="67"/>
      <c r="R911" s="67"/>
      <c r="S911" s="67"/>
      <c r="T911" s="67"/>
      <c r="U911" s="67"/>
      <c r="V911" s="67"/>
      <c r="W911" s="67"/>
      <c r="X911" s="67"/>
      <c r="Y911" s="67"/>
      <c r="Z911" s="67"/>
    </row>
    <row r="912">
      <c r="A912" s="67"/>
      <c r="B912" s="67"/>
      <c r="C912" s="67"/>
      <c r="D912" s="67"/>
      <c r="E912" s="67"/>
      <c r="F912" s="67"/>
      <c r="G912" s="67"/>
      <c r="H912" s="67"/>
      <c r="I912" s="67"/>
      <c r="J912" s="67"/>
      <c r="K912" s="67"/>
      <c r="L912" s="67"/>
      <c r="M912" s="67"/>
      <c r="N912" s="67"/>
      <c r="O912" s="67"/>
      <c r="P912" s="67"/>
      <c r="Q912" s="67"/>
      <c r="R912" s="67"/>
      <c r="S912" s="67"/>
      <c r="T912" s="67"/>
      <c r="U912" s="67"/>
      <c r="V912" s="67"/>
      <c r="W912" s="67"/>
      <c r="X912" s="67"/>
      <c r="Y912" s="67"/>
      <c r="Z912" s="67"/>
    </row>
    <row r="913">
      <c r="A913" s="67"/>
      <c r="B913" s="67"/>
      <c r="C913" s="67"/>
      <c r="D913" s="67"/>
      <c r="E913" s="67"/>
      <c r="F913" s="67"/>
      <c r="G913" s="67"/>
      <c r="H913" s="67"/>
      <c r="I913" s="67"/>
      <c r="J913" s="67"/>
      <c r="K913" s="67"/>
      <c r="L913" s="67"/>
      <c r="M913" s="67"/>
      <c r="N913" s="67"/>
      <c r="O913" s="67"/>
      <c r="P913" s="67"/>
      <c r="Q913" s="67"/>
      <c r="R913" s="67"/>
      <c r="S913" s="67"/>
      <c r="T913" s="67"/>
      <c r="U913" s="67"/>
      <c r="V913" s="67"/>
      <c r="W913" s="67"/>
      <c r="X913" s="67"/>
      <c r="Y913" s="67"/>
      <c r="Z913" s="67"/>
    </row>
    <row r="914">
      <c r="A914" s="67"/>
      <c r="B914" s="67"/>
      <c r="C914" s="67"/>
      <c r="D914" s="67"/>
      <c r="E914" s="67"/>
      <c r="F914" s="67"/>
      <c r="G914" s="67"/>
      <c r="H914" s="67"/>
      <c r="I914" s="67"/>
      <c r="J914" s="67"/>
      <c r="K914" s="67"/>
      <c r="L914" s="67"/>
      <c r="M914" s="67"/>
      <c r="N914" s="67"/>
      <c r="O914" s="67"/>
      <c r="P914" s="67"/>
      <c r="Q914" s="67"/>
      <c r="R914" s="67"/>
      <c r="S914" s="67"/>
      <c r="T914" s="67"/>
      <c r="U914" s="67"/>
      <c r="V914" s="67"/>
      <c r="W914" s="67"/>
      <c r="X914" s="67"/>
      <c r="Y914" s="67"/>
      <c r="Z914" s="67"/>
    </row>
    <row r="915">
      <c r="A915" s="67"/>
      <c r="B915" s="67"/>
      <c r="C915" s="67"/>
      <c r="D915" s="67"/>
      <c r="E915" s="67"/>
      <c r="F915" s="67"/>
      <c r="G915" s="67"/>
      <c r="H915" s="67"/>
      <c r="I915" s="67"/>
      <c r="J915" s="67"/>
      <c r="K915" s="67"/>
      <c r="L915" s="67"/>
      <c r="M915" s="67"/>
      <c r="N915" s="67"/>
      <c r="O915" s="67"/>
      <c r="P915" s="67"/>
      <c r="Q915" s="67"/>
      <c r="R915" s="67"/>
      <c r="S915" s="67"/>
      <c r="T915" s="67"/>
      <c r="U915" s="67"/>
      <c r="V915" s="67"/>
      <c r="W915" s="67"/>
      <c r="X915" s="67"/>
      <c r="Y915" s="67"/>
      <c r="Z915" s="67"/>
    </row>
    <row r="916">
      <c r="A916" s="67"/>
      <c r="B916" s="67"/>
      <c r="C916" s="67"/>
      <c r="D916" s="67"/>
      <c r="E916" s="67"/>
      <c r="F916" s="67"/>
      <c r="G916" s="67"/>
      <c r="H916" s="67"/>
      <c r="I916" s="67"/>
      <c r="J916" s="67"/>
      <c r="K916" s="67"/>
      <c r="L916" s="67"/>
      <c r="M916" s="67"/>
      <c r="N916" s="67"/>
      <c r="O916" s="67"/>
      <c r="P916" s="67"/>
      <c r="Q916" s="67"/>
      <c r="R916" s="67"/>
      <c r="S916" s="67"/>
      <c r="T916" s="67"/>
      <c r="U916" s="67"/>
      <c r="V916" s="67"/>
      <c r="W916" s="67"/>
      <c r="X916" s="67"/>
      <c r="Y916" s="67"/>
      <c r="Z916" s="67"/>
    </row>
    <row r="917">
      <c r="A917" s="67"/>
      <c r="B917" s="67"/>
      <c r="C917" s="67"/>
      <c r="D917" s="67"/>
      <c r="E917" s="67"/>
      <c r="F917" s="67"/>
      <c r="G917" s="67"/>
      <c r="H917" s="67"/>
      <c r="I917" s="67"/>
      <c r="J917" s="67"/>
      <c r="K917" s="67"/>
      <c r="L917" s="67"/>
      <c r="M917" s="67"/>
      <c r="N917" s="67"/>
      <c r="O917" s="67"/>
      <c r="P917" s="67"/>
      <c r="Q917" s="67"/>
      <c r="R917" s="67"/>
      <c r="S917" s="67"/>
      <c r="T917" s="67"/>
      <c r="U917" s="67"/>
      <c r="V917" s="67"/>
      <c r="W917" s="67"/>
      <c r="X917" s="67"/>
      <c r="Y917" s="67"/>
      <c r="Z917" s="67"/>
    </row>
    <row r="918">
      <c r="A918" s="67"/>
      <c r="B918" s="67"/>
      <c r="C918" s="67"/>
      <c r="D918" s="67"/>
      <c r="E918" s="67"/>
      <c r="F918" s="67"/>
      <c r="G918" s="67"/>
      <c r="H918" s="67"/>
      <c r="I918" s="67"/>
      <c r="J918" s="67"/>
      <c r="K918" s="67"/>
      <c r="L918" s="67"/>
      <c r="M918" s="67"/>
      <c r="N918" s="67"/>
      <c r="O918" s="67"/>
      <c r="P918" s="67"/>
      <c r="Q918" s="67"/>
      <c r="R918" s="67"/>
      <c r="S918" s="67"/>
      <c r="T918" s="67"/>
      <c r="U918" s="67"/>
      <c r="V918" s="67"/>
      <c r="W918" s="67"/>
      <c r="X918" s="67"/>
      <c r="Y918" s="67"/>
      <c r="Z918" s="67"/>
    </row>
    <row r="919">
      <c r="A919" s="67"/>
      <c r="B919" s="67"/>
      <c r="C919" s="67"/>
      <c r="D919" s="67"/>
      <c r="E919" s="67"/>
      <c r="F919" s="67"/>
      <c r="G919" s="67"/>
      <c r="H919" s="67"/>
      <c r="I919" s="67"/>
      <c r="J919" s="67"/>
      <c r="K919" s="67"/>
      <c r="L919" s="67"/>
      <c r="M919" s="67"/>
      <c r="N919" s="67"/>
      <c r="O919" s="67"/>
      <c r="P919" s="67"/>
      <c r="Q919" s="67"/>
      <c r="R919" s="67"/>
      <c r="S919" s="67"/>
      <c r="T919" s="67"/>
      <c r="U919" s="67"/>
      <c r="V919" s="67"/>
      <c r="W919" s="67"/>
      <c r="X919" s="67"/>
      <c r="Y919" s="67"/>
      <c r="Z919" s="67"/>
    </row>
    <row r="920">
      <c r="A920" s="67"/>
      <c r="B920" s="67"/>
      <c r="C920" s="67"/>
      <c r="D920" s="67"/>
      <c r="E920" s="67"/>
      <c r="F920" s="67"/>
      <c r="G920" s="67"/>
      <c r="H920" s="67"/>
      <c r="I920" s="67"/>
      <c r="J920" s="67"/>
      <c r="K920" s="67"/>
      <c r="L920" s="67"/>
      <c r="M920" s="67"/>
      <c r="N920" s="67"/>
      <c r="O920" s="67"/>
      <c r="P920" s="67"/>
      <c r="Q920" s="67"/>
      <c r="R920" s="67"/>
      <c r="S920" s="67"/>
      <c r="T920" s="67"/>
      <c r="U920" s="67"/>
      <c r="V920" s="67"/>
      <c r="W920" s="67"/>
      <c r="X920" s="67"/>
      <c r="Y920" s="67"/>
      <c r="Z920" s="67"/>
    </row>
    <row r="921">
      <c r="A921" s="67"/>
      <c r="B921" s="67"/>
      <c r="C921" s="67"/>
      <c r="D921" s="67"/>
      <c r="E921" s="67"/>
      <c r="F921" s="67"/>
      <c r="G921" s="67"/>
      <c r="H921" s="67"/>
      <c r="I921" s="67"/>
      <c r="J921" s="67"/>
      <c r="K921" s="67"/>
      <c r="L921" s="67"/>
      <c r="M921" s="67"/>
      <c r="N921" s="67"/>
      <c r="O921" s="67"/>
      <c r="P921" s="67"/>
      <c r="Q921" s="67"/>
      <c r="R921" s="67"/>
      <c r="S921" s="67"/>
      <c r="T921" s="67"/>
      <c r="U921" s="67"/>
      <c r="V921" s="67"/>
      <c r="W921" s="67"/>
      <c r="X921" s="67"/>
      <c r="Y921" s="67"/>
      <c r="Z921" s="67"/>
    </row>
    <row r="922">
      <c r="A922" s="67"/>
      <c r="B922" s="67"/>
      <c r="C922" s="67"/>
      <c r="D922" s="67"/>
      <c r="E922" s="67"/>
      <c r="F922" s="67"/>
      <c r="G922" s="67"/>
      <c r="H922" s="67"/>
      <c r="I922" s="67"/>
      <c r="J922" s="67"/>
      <c r="K922" s="67"/>
      <c r="L922" s="67"/>
      <c r="M922" s="67"/>
      <c r="N922" s="67"/>
      <c r="O922" s="67"/>
      <c r="P922" s="67"/>
      <c r="Q922" s="67"/>
      <c r="R922" s="67"/>
      <c r="S922" s="67"/>
      <c r="T922" s="67"/>
      <c r="U922" s="67"/>
      <c r="V922" s="67"/>
      <c r="W922" s="67"/>
      <c r="X922" s="67"/>
      <c r="Y922" s="67"/>
      <c r="Z922" s="67"/>
    </row>
    <row r="923">
      <c r="A923" s="67"/>
      <c r="B923" s="67"/>
      <c r="C923" s="67"/>
      <c r="D923" s="67"/>
      <c r="E923" s="67"/>
      <c r="F923" s="67"/>
      <c r="G923" s="67"/>
      <c r="H923" s="67"/>
      <c r="I923" s="67"/>
      <c r="J923" s="67"/>
      <c r="K923" s="67"/>
      <c r="L923" s="67"/>
      <c r="M923" s="67"/>
      <c r="N923" s="67"/>
      <c r="O923" s="67"/>
      <c r="P923" s="67"/>
      <c r="Q923" s="67"/>
      <c r="R923" s="67"/>
      <c r="S923" s="67"/>
      <c r="T923" s="67"/>
      <c r="U923" s="67"/>
      <c r="V923" s="67"/>
      <c r="W923" s="67"/>
      <c r="X923" s="67"/>
      <c r="Y923" s="67"/>
      <c r="Z923" s="67"/>
    </row>
    <row r="924">
      <c r="A924" s="67"/>
      <c r="B924" s="67"/>
      <c r="C924" s="67"/>
      <c r="D924" s="67"/>
      <c r="E924" s="67"/>
      <c r="F924" s="67"/>
      <c r="G924" s="67"/>
      <c r="H924" s="67"/>
      <c r="I924" s="67"/>
      <c r="J924" s="67"/>
      <c r="K924" s="67"/>
      <c r="L924" s="67"/>
      <c r="M924" s="67"/>
      <c r="N924" s="67"/>
      <c r="O924" s="67"/>
      <c r="P924" s="67"/>
      <c r="Q924" s="67"/>
      <c r="R924" s="67"/>
      <c r="S924" s="67"/>
      <c r="T924" s="67"/>
      <c r="U924" s="67"/>
      <c r="V924" s="67"/>
      <c r="W924" s="67"/>
      <c r="X924" s="67"/>
      <c r="Y924" s="67"/>
      <c r="Z924" s="67"/>
    </row>
    <row r="925">
      <c r="A925" s="67"/>
      <c r="B925" s="67"/>
      <c r="C925" s="67"/>
      <c r="D925" s="67"/>
      <c r="E925" s="67"/>
      <c r="F925" s="67"/>
      <c r="G925" s="67"/>
      <c r="H925" s="67"/>
      <c r="I925" s="67"/>
      <c r="J925" s="67"/>
      <c r="K925" s="67"/>
      <c r="L925" s="67"/>
      <c r="M925" s="67"/>
      <c r="N925" s="67"/>
      <c r="O925" s="67"/>
      <c r="P925" s="67"/>
      <c r="Q925" s="67"/>
      <c r="R925" s="67"/>
      <c r="S925" s="67"/>
      <c r="T925" s="67"/>
      <c r="U925" s="67"/>
      <c r="V925" s="67"/>
      <c r="W925" s="67"/>
      <c r="X925" s="67"/>
      <c r="Y925" s="67"/>
      <c r="Z925" s="67"/>
    </row>
    <row r="926">
      <c r="A926" s="67"/>
      <c r="B926" s="67"/>
      <c r="C926" s="67"/>
      <c r="D926" s="67"/>
      <c r="E926" s="67"/>
      <c r="F926" s="67"/>
      <c r="G926" s="67"/>
      <c r="H926" s="67"/>
      <c r="I926" s="67"/>
      <c r="J926" s="67"/>
      <c r="K926" s="67"/>
      <c r="L926" s="67"/>
      <c r="M926" s="67"/>
      <c r="N926" s="67"/>
      <c r="O926" s="67"/>
      <c r="P926" s="67"/>
      <c r="Q926" s="67"/>
      <c r="R926" s="67"/>
      <c r="S926" s="67"/>
      <c r="T926" s="67"/>
      <c r="U926" s="67"/>
      <c r="V926" s="67"/>
      <c r="W926" s="67"/>
      <c r="X926" s="67"/>
      <c r="Y926" s="67"/>
      <c r="Z926" s="67"/>
    </row>
    <row r="927">
      <c r="A927" s="67"/>
      <c r="B927" s="67"/>
      <c r="C927" s="67"/>
      <c r="D927" s="67"/>
      <c r="E927" s="67"/>
      <c r="F927" s="67"/>
      <c r="G927" s="67"/>
      <c r="H927" s="67"/>
      <c r="I927" s="67"/>
      <c r="J927" s="67"/>
      <c r="K927" s="67"/>
      <c r="L927" s="67"/>
      <c r="M927" s="67"/>
      <c r="N927" s="67"/>
      <c r="O927" s="67"/>
      <c r="P927" s="67"/>
      <c r="Q927" s="67"/>
      <c r="R927" s="67"/>
      <c r="S927" s="67"/>
      <c r="T927" s="67"/>
      <c r="U927" s="67"/>
      <c r="V927" s="67"/>
      <c r="W927" s="67"/>
      <c r="X927" s="67"/>
      <c r="Y927" s="67"/>
      <c r="Z927" s="67"/>
    </row>
    <row r="928">
      <c r="A928" s="67"/>
      <c r="B928" s="67"/>
      <c r="C928" s="67"/>
      <c r="D928" s="67"/>
      <c r="E928" s="67"/>
      <c r="F928" s="67"/>
      <c r="G928" s="67"/>
      <c r="H928" s="67"/>
      <c r="I928" s="67"/>
      <c r="J928" s="67"/>
      <c r="K928" s="67"/>
      <c r="L928" s="67"/>
      <c r="M928" s="67"/>
      <c r="N928" s="67"/>
      <c r="O928" s="67"/>
      <c r="P928" s="67"/>
      <c r="Q928" s="67"/>
      <c r="R928" s="67"/>
      <c r="S928" s="67"/>
      <c r="T928" s="67"/>
      <c r="U928" s="67"/>
      <c r="V928" s="67"/>
      <c r="W928" s="67"/>
      <c r="X928" s="67"/>
      <c r="Y928" s="67"/>
      <c r="Z928" s="67"/>
    </row>
    <row r="929">
      <c r="A929" s="67"/>
      <c r="B929" s="67"/>
      <c r="C929" s="67"/>
      <c r="D929" s="67"/>
      <c r="E929" s="67"/>
      <c r="F929" s="67"/>
      <c r="G929" s="67"/>
      <c r="H929" s="67"/>
      <c r="I929" s="67"/>
      <c r="J929" s="67"/>
      <c r="K929" s="67"/>
      <c r="L929" s="67"/>
      <c r="M929" s="67"/>
      <c r="N929" s="67"/>
      <c r="O929" s="67"/>
      <c r="P929" s="67"/>
      <c r="Q929" s="67"/>
      <c r="R929" s="67"/>
      <c r="S929" s="67"/>
      <c r="T929" s="67"/>
      <c r="U929" s="67"/>
      <c r="V929" s="67"/>
      <c r="W929" s="67"/>
      <c r="X929" s="67"/>
      <c r="Y929" s="67"/>
      <c r="Z929" s="67"/>
    </row>
    <row r="930">
      <c r="A930" s="67"/>
      <c r="B930" s="67"/>
      <c r="C930" s="67"/>
      <c r="D930" s="67"/>
      <c r="E930" s="67"/>
      <c r="F930" s="67"/>
      <c r="G930" s="67"/>
      <c r="H930" s="67"/>
      <c r="I930" s="67"/>
      <c r="J930" s="67"/>
      <c r="K930" s="67"/>
      <c r="L930" s="67"/>
      <c r="M930" s="67"/>
      <c r="N930" s="67"/>
      <c r="O930" s="67"/>
      <c r="P930" s="67"/>
      <c r="Q930" s="67"/>
      <c r="R930" s="67"/>
      <c r="S930" s="67"/>
      <c r="T930" s="67"/>
      <c r="U930" s="67"/>
      <c r="V930" s="67"/>
      <c r="W930" s="67"/>
      <c r="X930" s="67"/>
      <c r="Y930" s="67"/>
      <c r="Z930" s="67"/>
    </row>
    <row r="931">
      <c r="A931" s="67"/>
      <c r="B931" s="67"/>
      <c r="C931" s="67"/>
      <c r="D931" s="67"/>
      <c r="E931" s="67"/>
      <c r="F931" s="67"/>
      <c r="G931" s="67"/>
      <c r="H931" s="67"/>
      <c r="I931" s="67"/>
      <c r="J931" s="67"/>
      <c r="K931" s="67"/>
      <c r="L931" s="67"/>
      <c r="M931" s="67"/>
      <c r="N931" s="67"/>
      <c r="O931" s="67"/>
      <c r="P931" s="67"/>
      <c r="Q931" s="67"/>
      <c r="R931" s="67"/>
      <c r="S931" s="67"/>
      <c r="T931" s="67"/>
      <c r="U931" s="67"/>
      <c r="V931" s="67"/>
      <c r="W931" s="67"/>
      <c r="X931" s="67"/>
      <c r="Y931" s="67"/>
      <c r="Z931" s="67"/>
    </row>
    <row r="932">
      <c r="A932" s="67"/>
      <c r="B932" s="67"/>
      <c r="C932" s="67"/>
      <c r="D932" s="67"/>
      <c r="E932" s="67"/>
      <c r="F932" s="67"/>
      <c r="G932" s="67"/>
      <c r="H932" s="67"/>
      <c r="I932" s="67"/>
      <c r="J932" s="67"/>
      <c r="K932" s="67"/>
      <c r="L932" s="67"/>
      <c r="M932" s="67"/>
      <c r="N932" s="67"/>
      <c r="O932" s="67"/>
      <c r="P932" s="67"/>
      <c r="Q932" s="67"/>
      <c r="R932" s="67"/>
      <c r="S932" s="67"/>
      <c r="T932" s="67"/>
      <c r="U932" s="67"/>
      <c r="V932" s="67"/>
      <c r="W932" s="67"/>
      <c r="X932" s="67"/>
      <c r="Y932" s="67"/>
      <c r="Z932" s="67"/>
    </row>
    <row r="933">
      <c r="A933" s="67"/>
      <c r="B933" s="67"/>
      <c r="C933" s="67"/>
      <c r="D933" s="67"/>
      <c r="E933" s="67"/>
      <c r="F933" s="67"/>
      <c r="G933" s="67"/>
      <c r="H933" s="67"/>
      <c r="I933" s="67"/>
      <c r="J933" s="67"/>
      <c r="K933" s="67"/>
      <c r="L933" s="67"/>
      <c r="M933" s="67"/>
      <c r="N933" s="67"/>
      <c r="O933" s="67"/>
      <c r="P933" s="67"/>
      <c r="Q933" s="67"/>
      <c r="R933" s="67"/>
      <c r="S933" s="67"/>
      <c r="T933" s="67"/>
      <c r="U933" s="67"/>
      <c r="V933" s="67"/>
      <c r="W933" s="67"/>
      <c r="X933" s="67"/>
      <c r="Y933" s="67"/>
      <c r="Z933" s="67"/>
    </row>
    <row r="934">
      <c r="A934" s="67"/>
      <c r="B934" s="67"/>
      <c r="C934" s="67"/>
      <c r="D934" s="67"/>
      <c r="E934" s="67"/>
      <c r="F934" s="67"/>
      <c r="G934" s="67"/>
      <c r="H934" s="67"/>
      <c r="I934" s="67"/>
      <c r="J934" s="67"/>
      <c r="K934" s="67"/>
      <c r="L934" s="67"/>
      <c r="M934" s="67"/>
      <c r="N934" s="67"/>
      <c r="O934" s="67"/>
      <c r="P934" s="67"/>
      <c r="Q934" s="67"/>
      <c r="R934" s="67"/>
      <c r="S934" s="67"/>
      <c r="T934" s="67"/>
      <c r="U934" s="67"/>
      <c r="V934" s="67"/>
      <c r="W934" s="67"/>
      <c r="X934" s="67"/>
      <c r="Y934" s="67"/>
      <c r="Z934" s="67"/>
    </row>
    <row r="935">
      <c r="A935" s="67"/>
      <c r="B935" s="67"/>
      <c r="C935" s="67"/>
      <c r="D935" s="67"/>
      <c r="E935" s="67"/>
      <c r="F935" s="67"/>
      <c r="G935" s="67"/>
      <c r="H935" s="67"/>
      <c r="I935" s="67"/>
      <c r="J935" s="67"/>
      <c r="K935" s="67"/>
      <c r="L935" s="67"/>
      <c r="M935" s="67"/>
      <c r="N935" s="67"/>
      <c r="O935" s="67"/>
      <c r="P935" s="67"/>
      <c r="Q935" s="67"/>
      <c r="R935" s="67"/>
      <c r="S935" s="67"/>
      <c r="T935" s="67"/>
      <c r="U935" s="67"/>
      <c r="V935" s="67"/>
      <c r="W935" s="67"/>
      <c r="X935" s="67"/>
      <c r="Y935" s="67"/>
      <c r="Z935" s="67"/>
    </row>
    <row r="936">
      <c r="A936" s="67"/>
      <c r="B936" s="67"/>
      <c r="C936" s="67"/>
      <c r="D936" s="67"/>
      <c r="E936" s="67"/>
      <c r="F936" s="67"/>
      <c r="G936" s="67"/>
      <c r="H936" s="67"/>
      <c r="I936" s="67"/>
      <c r="J936" s="67"/>
      <c r="K936" s="67"/>
      <c r="L936" s="67"/>
      <c r="M936" s="67"/>
      <c r="N936" s="67"/>
      <c r="O936" s="67"/>
      <c r="P936" s="67"/>
      <c r="Q936" s="67"/>
      <c r="R936" s="67"/>
      <c r="S936" s="67"/>
      <c r="T936" s="67"/>
      <c r="U936" s="67"/>
      <c r="V936" s="67"/>
      <c r="W936" s="67"/>
      <c r="X936" s="67"/>
      <c r="Y936" s="67"/>
      <c r="Z936" s="67"/>
    </row>
    <row r="937">
      <c r="A937" s="67"/>
      <c r="B937" s="67"/>
      <c r="C937" s="67"/>
      <c r="D937" s="67"/>
      <c r="E937" s="67"/>
      <c r="F937" s="67"/>
      <c r="G937" s="67"/>
      <c r="H937" s="67"/>
      <c r="I937" s="67"/>
      <c r="J937" s="67"/>
      <c r="K937" s="67"/>
      <c r="L937" s="67"/>
      <c r="M937" s="67"/>
      <c r="N937" s="67"/>
      <c r="O937" s="67"/>
      <c r="P937" s="67"/>
      <c r="Q937" s="67"/>
      <c r="R937" s="67"/>
      <c r="S937" s="67"/>
      <c r="T937" s="67"/>
      <c r="U937" s="67"/>
      <c r="V937" s="67"/>
      <c r="W937" s="67"/>
      <c r="X937" s="67"/>
      <c r="Y937" s="67"/>
      <c r="Z937" s="67"/>
    </row>
    <row r="938">
      <c r="A938" s="67"/>
      <c r="B938" s="67"/>
      <c r="C938" s="67"/>
      <c r="D938" s="67"/>
      <c r="E938" s="67"/>
      <c r="F938" s="67"/>
      <c r="G938" s="67"/>
      <c r="H938" s="67"/>
      <c r="I938" s="67"/>
      <c r="J938" s="67"/>
      <c r="K938" s="67"/>
      <c r="L938" s="67"/>
      <c r="M938" s="67"/>
      <c r="N938" s="67"/>
      <c r="O938" s="67"/>
      <c r="P938" s="67"/>
      <c r="Q938" s="67"/>
      <c r="R938" s="67"/>
      <c r="S938" s="67"/>
      <c r="T938" s="67"/>
      <c r="U938" s="67"/>
      <c r="V938" s="67"/>
      <c r="W938" s="67"/>
      <c r="X938" s="67"/>
      <c r="Y938" s="67"/>
      <c r="Z938" s="67"/>
    </row>
    <row r="939">
      <c r="A939" s="67"/>
      <c r="B939" s="67"/>
      <c r="C939" s="67"/>
      <c r="D939" s="67"/>
      <c r="E939" s="67"/>
      <c r="F939" s="67"/>
      <c r="G939" s="67"/>
      <c r="H939" s="67"/>
      <c r="I939" s="67"/>
      <c r="J939" s="67"/>
      <c r="K939" s="67"/>
      <c r="L939" s="67"/>
      <c r="M939" s="67"/>
      <c r="N939" s="67"/>
      <c r="O939" s="67"/>
      <c r="P939" s="67"/>
      <c r="Q939" s="67"/>
      <c r="R939" s="67"/>
      <c r="S939" s="67"/>
      <c r="T939" s="67"/>
      <c r="U939" s="67"/>
      <c r="V939" s="67"/>
      <c r="W939" s="67"/>
      <c r="X939" s="67"/>
      <c r="Y939" s="67"/>
      <c r="Z939" s="67"/>
    </row>
    <row r="940">
      <c r="A940" s="67"/>
      <c r="B940" s="67"/>
      <c r="C940" s="67"/>
      <c r="D940" s="67"/>
      <c r="E940" s="67"/>
      <c r="F940" s="67"/>
      <c r="G940" s="67"/>
      <c r="H940" s="67"/>
      <c r="I940" s="67"/>
      <c r="J940" s="67"/>
      <c r="K940" s="67"/>
      <c r="L940" s="67"/>
      <c r="M940" s="67"/>
      <c r="N940" s="67"/>
      <c r="O940" s="67"/>
      <c r="P940" s="67"/>
      <c r="Q940" s="67"/>
      <c r="R940" s="67"/>
      <c r="S940" s="67"/>
      <c r="T940" s="67"/>
      <c r="U940" s="67"/>
      <c r="V940" s="67"/>
      <c r="W940" s="67"/>
      <c r="X940" s="67"/>
      <c r="Y940" s="67"/>
      <c r="Z940" s="67"/>
    </row>
    <row r="941">
      <c r="A941" s="67"/>
      <c r="B941" s="67"/>
      <c r="C941" s="67"/>
      <c r="D941" s="67"/>
      <c r="E941" s="67"/>
      <c r="F941" s="67"/>
      <c r="G941" s="67"/>
      <c r="H941" s="67"/>
      <c r="I941" s="67"/>
      <c r="J941" s="67"/>
      <c r="K941" s="67"/>
      <c r="L941" s="67"/>
      <c r="M941" s="67"/>
      <c r="N941" s="67"/>
      <c r="O941" s="67"/>
      <c r="P941" s="67"/>
      <c r="Q941" s="67"/>
      <c r="R941" s="67"/>
      <c r="S941" s="67"/>
      <c r="T941" s="67"/>
      <c r="U941" s="67"/>
      <c r="V941" s="67"/>
      <c r="W941" s="67"/>
      <c r="X941" s="67"/>
      <c r="Y941" s="67"/>
      <c r="Z941" s="67"/>
    </row>
    <row r="942">
      <c r="A942" s="67"/>
      <c r="B942" s="67"/>
      <c r="C942" s="67"/>
      <c r="D942" s="67"/>
      <c r="E942" s="67"/>
      <c r="F942" s="67"/>
      <c r="G942" s="67"/>
      <c r="H942" s="67"/>
      <c r="I942" s="67"/>
      <c r="J942" s="67"/>
      <c r="K942" s="67"/>
      <c r="L942" s="67"/>
      <c r="M942" s="67"/>
      <c r="N942" s="67"/>
      <c r="O942" s="67"/>
      <c r="P942" s="67"/>
      <c r="Q942" s="67"/>
      <c r="R942" s="67"/>
      <c r="S942" s="67"/>
      <c r="T942" s="67"/>
      <c r="U942" s="67"/>
      <c r="V942" s="67"/>
      <c r="W942" s="67"/>
      <c r="X942" s="67"/>
      <c r="Y942" s="67"/>
      <c r="Z942" s="67"/>
    </row>
    <row r="943">
      <c r="A943" s="67"/>
      <c r="B943" s="67"/>
      <c r="C943" s="67"/>
      <c r="D943" s="67"/>
      <c r="E943" s="67"/>
      <c r="F943" s="67"/>
      <c r="G943" s="67"/>
      <c r="H943" s="67"/>
      <c r="I943" s="67"/>
      <c r="J943" s="67"/>
      <c r="K943" s="67"/>
      <c r="L943" s="67"/>
      <c r="M943" s="67"/>
      <c r="N943" s="67"/>
      <c r="O943" s="67"/>
      <c r="P943" s="67"/>
      <c r="Q943" s="67"/>
      <c r="R943" s="67"/>
      <c r="S943" s="67"/>
      <c r="T943" s="67"/>
      <c r="U943" s="67"/>
      <c r="V943" s="67"/>
      <c r="W943" s="67"/>
      <c r="X943" s="67"/>
      <c r="Y943" s="67"/>
      <c r="Z943" s="67"/>
    </row>
    <row r="944">
      <c r="A944" s="67"/>
      <c r="B944" s="67"/>
      <c r="C944" s="67"/>
      <c r="D944" s="67"/>
      <c r="E944" s="67"/>
      <c r="F944" s="67"/>
      <c r="G944" s="67"/>
      <c r="H944" s="67"/>
      <c r="I944" s="67"/>
      <c r="J944" s="67"/>
      <c r="K944" s="67"/>
      <c r="L944" s="67"/>
      <c r="M944" s="67"/>
      <c r="N944" s="67"/>
      <c r="O944" s="67"/>
      <c r="P944" s="67"/>
      <c r="Q944" s="67"/>
      <c r="R944" s="67"/>
      <c r="S944" s="67"/>
      <c r="T944" s="67"/>
      <c r="U944" s="67"/>
      <c r="V944" s="67"/>
      <c r="W944" s="67"/>
      <c r="X944" s="67"/>
      <c r="Y944" s="67"/>
      <c r="Z944" s="67"/>
    </row>
    <row r="945">
      <c r="A945" s="67"/>
      <c r="B945" s="67"/>
      <c r="C945" s="67"/>
      <c r="D945" s="67"/>
      <c r="E945" s="67"/>
      <c r="F945" s="67"/>
      <c r="G945" s="67"/>
      <c r="H945" s="67"/>
      <c r="I945" s="67"/>
      <c r="J945" s="67"/>
      <c r="K945" s="67"/>
      <c r="L945" s="67"/>
      <c r="M945" s="67"/>
      <c r="N945" s="67"/>
      <c r="O945" s="67"/>
      <c r="P945" s="67"/>
      <c r="Q945" s="67"/>
      <c r="R945" s="67"/>
      <c r="S945" s="67"/>
      <c r="T945" s="67"/>
      <c r="U945" s="67"/>
      <c r="V945" s="67"/>
      <c r="W945" s="67"/>
      <c r="X945" s="67"/>
      <c r="Y945" s="67"/>
      <c r="Z945" s="67"/>
    </row>
    <row r="946">
      <c r="A946" s="67"/>
      <c r="B946" s="67"/>
      <c r="C946" s="67"/>
      <c r="D946" s="67"/>
      <c r="E946" s="67"/>
      <c r="F946" s="67"/>
      <c r="G946" s="67"/>
      <c r="H946" s="67"/>
      <c r="I946" s="67"/>
      <c r="J946" s="67"/>
      <c r="K946" s="67"/>
      <c r="L946" s="67"/>
      <c r="M946" s="67"/>
      <c r="N946" s="67"/>
      <c r="O946" s="67"/>
      <c r="P946" s="67"/>
      <c r="Q946" s="67"/>
      <c r="R946" s="67"/>
      <c r="S946" s="67"/>
      <c r="T946" s="67"/>
      <c r="U946" s="67"/>
      <c r="V946" s="67"/>
      <c r="W946" s="67"/>
      <c r="X946" s="67"/>
      <c r="Y946" s="67"/>
      <c r="Z946" s="67"/>
    </row>
    <row r="947">
      <c r="A947" s="67"/>
      <c r="B947" s="67"/>
      <c r="C947" s="67"/>
      <c r="D947" s="67"/>
      <c r="E947" s="67"/>
      <c r="F947" s="67"/>
      <c r="G947" s="67"/>
      <c r="H947" s="67"/>
      <c r="I947" s="67"/>
      <c r="J947" s="67"/>
      <c r="K947" s="67"/>
      <c r="L947" s="67"/>
      <c r="M947" s="67"/>
      <c r="N947" s="67"/>
      <c r="O947" s="67"/>
      <c r="P947" s="67"/>
      <c r="Q947" s="67"/>
      <c r="R947" s="67"/>
      <c r="S947" s="67"/>
      <c r="T947" s="67"/>
      <c r="U947" s="67"/>
      <c r="V947" s="67"/>
      <c r="W947" s="67"/>
      <c r="X947" s="67"/>
      <c r="Y947" s="67"/>
      <c r="Z947" s="67"/>
    </row>
    <row r="948">
      <c r="A948" s="67"/>
      <c r="B948" s="67"/>
      <c r="C948" s="67"/>
      <c r="D948" s="67"/>
      <c r="E948" s="67"/>
      <c r="F948" s="67"/>
      <c r="G948" s="67"/>
      <c r="H948" s="67"/>
      <c r="I948" s="67"/>
      <c r="J948" s="67"/>
      <c r="K948" s="67"/>
      <c r="L948" s="67"/>
      <c r="M948" s="67"/>
      <c r="N948" s="67"/>
      <c r="O948" s="67"/>
      <c r="P948" s="67"/>
      <c r="Q948" s="67"/>
      <c r="R948" s="67"/>
      <c r="S948" s="67"/>
      <c r="T948" s="67"/>
      <c r="U948" s="67"/>
      <c r="V948" s="67"/>
      <c r="W948" s="67"/>
      <c r="X948" s="67"/>
      <c r="Y948" s="67"/>
      <c r="Z948" s="67"/>
    </row>
    <row r="949">
      <c r="A949" s="67"/>
      <c r="B949" s="67"/>
      <c r="C949" s="67"/>
      <c r="D949" s="67"/>
      <c r="E949" s="67"/>
      <c r="F949" s="67"/>
      <c r="G949" s="67"/>
      <c r="H949" s="67"/>
      <c r="I949" s="67"/>
      <c r="J949" s="67"/>
      <c r="K949" s="67"/>
      <c r="L949" s="67"/>
      <c r="M949" s="67"/>
      <c r="N949" s="67"/>
      <c r="O949" s="67"/>
      <c r="P949" s="67"/>
      <c r="Q949" s="67"/>
      <c r="R949" s="67"/>
      <c r="S949" s="67"/>
      <c r="T949" s="67"/>
      <c r="U949" s="67"/>
      <c r="V949" s="67"/>
      <c r="W949" s="67"/>
      <c r="X949" s="67"/>
      <c r="Y949" s="67"/>
      <c r="Z949" s="67"/>
    </row>
    <row r="950">
      <c r="A950" s="67"/>
      <c r="B950" s="67"/>
      <c r="C950" s="67"/>
      <c r="D950" s="67"/>
      <c r="E950" s="67"/>
      <c r="F950" s="67"/>
      <c r="G950" s="67"/>
      <c r="H950" s="67"/>
      <c r="I950" s="67"/>
      <c r="J950" s="67"/>
      <c r="K950" s="67"/>
      <c r="L950" s="67"/>
      <c r="M950" s="67"/>
      <c r="N950" s="67"/>
      <c r="O950" s="67"/>
      <c r="P950" s="67"/>
      <c r="Q950" s="67"/>
      <c r="R950" s="67"/>
      <c r="S950" s="67"/>
      <c r="T950" s="67"/>
      <c r="U950" s="67"/>
      <c r="V950" s="67"/>
      <c r="W950" s="67"/>
      <c r="X950" s="67"/>
      <c r="Y950" s="67"/>
      <c r="Z950" s="67"/>
    </row>
    <row r="951">
      <c r="A951" s="67"/>
      <c r="B951" s="67"/>
      <c r="C951" s="67"/>
      <c r="D951" s="67"/>
      <c r="E951" s="67"/>
      <c r="F951" s="67"/>
      <c r="G951" s="67"/>
      <c r="H951" s="67"/>
      <c r="I951" s="67"/>
      <c r="J951" s="67"/>
      <c r="K951" s="67"/>
      <c r="L951" s="67"/>
      <c r="M951" s="67"/>
      <c r="N951" s="67"/>
      <c r="O951" s="67"/>
      <c r="P951" s="67"/>
      <c r="Q951" s="67"/>
      <c r="R951" s="67"/>
      <c r="S951" s="67"/>
      <c r="T951" s="67"/>
      <c r="U951" s="67"/>
      <c r="V951" s="67"/>
      <c r="W951" s="67"/>
      <c r="X951" s="67"/>
      <c r="Y951" s="67"/>
      <c r="Z951" s="67"/>
    </row>
    <row r="952">
      <c r="A952" s="67"/>
      <c r="B952" s="67"/>
      <c r="C952" s="67"/>
      <c r="D952" s="67"/>
      <c r="E952" s="67"/>
      <c r="F952" s="67"/>
      <c r="G952" s="67"/>
      <c r="H952" s="67"/>
      <c r="I952" s="67"/>
      <c r="J952" s="67"/>
      <c r="K952" s="67"/>
      <c r="L952" s="67"/>
      <c r="M952" s="67"/>
      <c r="N952" s="67"/>
      <c r="O952" s="67"/>
      <c r="P952" s="67"/>
      <c r="Q952" s="67"/>
      <c r="R952" s="67"/>
      <c r="S952" s="67"/>
      <c r="T952" s="67"/>
      <c r="U952" s="67"/>
      <c r="V952" s="67"/>
      <c r="W952" s="67"/>
      <c r="X952" s="67"/>
      <c r="Y952" s="67"/>
      <c r="Z952" s="67"/>
    </row>
    <row r="953">
      <c r="A953" s="67"/>
      <c r="B953" s="67"/>
      <c r="C953" s="67"/>
      <c r="D953" s="67"/>
      <c r="E953" s="67"/>
      <c r="F953" s="67"/>
      <c r="G953" s="67"/>
      <c r="H953" s="67"/>
      <c r="I953" s="67"/>
      <c r="J953" s="67"/>
      <c r="K953" s="67"/>
      <c r="L953" s="67"/>
      <c r="M953" s="67"/>
      <c r="N953" s="67"/>
      <c r="O953" s="67"/>
      <c r="P953" s="67"/>
      <c r="Q953" s="67"/>
      <c r="R953" s="67"/>
      <c r="S953" s="67"/>
      <c r="T953" s="67"/>
      <c r="U953" s="67"/>
      <c r="V953" s="67"/>
      <c r="W953" s="67"/>
      <c r="X953" s="67"/>
      <c r="Y953" s="67"/>
      <c r="Z953" s="67"/>
    </row>
    <row r="954">
      <c r="A954" s="67"/>
      <c r="B954" s="67"/>
      <c r="C954" s="67"/>
      <c r="D954" s="67"/>
      <c r="E954" s="67"/>
      <c r="F954" s="67"/>
      <c r="G954" s="67"/>
      <c r="H954" s="67"/>
      <c r="I954" s="67"/>
      <c r="J954" s="67"/>
      <c r="K954" s="67"/>
      <c r="L954" s="67"/>
      <c r="M954" s="67"/>
      <c r="N954" s="67"/>
      <c r="O954" s="67"/>
      <c r="P954" s="67"/>
      <c r="Q954" s="67"/>
      <c r="R954" s="67"/>
      <c r="S954" s="67"/>
      <c r="T954" s="67"/>
      <c r="U954" s="67"/>
      <c r="V954" s="67"/>
      <c r="W954" s="67"/>
      <c r="X954" s="67"/>
      <c r="Y954" s="67"/>
      <c r="Z954" s="67"/>
    </row>
    <row r="955">
      <c r="A955" s="67"/>
      <c r="B955" s="67"/>
      <c r="C955" s="67"/>
      <c r="D955" s="67"/>
      <c r="E955" s="67"/>
      <c r="F955" s="67"/>
      <c r="G955" s="67"/>
      <c r="H955" s="67"/>
      <c r="I955" s="67"/>
      <c r="J955" s="67"/>
      <c r="K955" s="67"/>
      <c r="L955" s="67"/>
      <c r="M955" s="67"/>
      <c r="N955" s="67"/>
      <c r="O955" s="67"/>
      <c r="P955" s="67"/>
      <c r="Q955" s="67"/>
      <c r="R955" s="67"/>
      <c r="S955" s="67"/>
      <c r="T955" s="67"/>
      <c r="U955" s="67"/>
      <c r="V955" s="67"/>
      <c r="W955" s="67"/>
      <c r="X955" s="67"/>
      <c r="Y955" s="67"/>
      <c r="Z955" s="67"/>
    </row>
    <row r="956">
      <c r="A956" s="67"/>
      <c r="B956" s="67"/>
      <c r="C956" s="67"/>
      <c r="D956" s="67"/>
      <c r="E956" s="67"/>
      <c r="F956" s="67"/>
      <c r="G956" s="67"/>
      <c r="H956" s="67"/>
      <c r="I956" s="67"/>
      <c r="J956" s="67"/>
      <c r="K956" s="67"/>
      <c r="L956" s="67"/>
      <c r="M956" s="67"/>
      <c r="N956" s="67"/>
      <c r="O956" s="67"/>
      <c r="P956" s="67"/>
      <c r="Q956" s="67"/>
      <c r="R956" s="67"/>
      <c r="S956" s="67"/>
      <c r="T956" s="67"/>
      <c r="U956" s="67"/>
      <c r="V956" s="67"/>
      <c r="W956" s="67"/>
      <c r="X956" s="67"/>
      <c r="Y956" s="67"/>
      <c r="Z956" s="67"/>
    </row>
    <row r="957">
      <c r="A957" s="67"/>
      <c r="B957" s="67"/>
      <c r="C957" s="67"/>
      <c r="D957" s="67"/>
      <c r="E957" s="67"/>
      <c r="F957" s="67"/>
      <c r="G957" s="67"/>
      <c r="H957" s="67"/>
      <c r="I957" s="67"/>
      <c r="J957" s="67"/>
      <c r="K957" s="67"/>
      <c r="L957" s="67"/>
      <c r="M957" s="67"/>
      <c r="N957" s="67"/>
      <c r="O957" s="67"/>
      <c r="P957" s="67"/>
      <c r="Q957" s="67"/>
      <c r="R957" s="67"/>
      <c r="S957" s="67"/>
      <c r="T957" s="67"/>
      <c r="U957" s="67"/>
      <c r="V957" s="67"/>
      <c r="W957" s="67"/>
      <c r="X957" s="67"/>
      <c r="Y957" s="67"/>
      <c r="Z957" s="67"/>
    </row>
    <row r="958">
      <c r="A958" s="67"/>
      <c r="B958" s="67"/>
      <c r="C958" s="67"/>
      <c r="D958" s="67"/>
      <c r="E958" s="67"/>
      <c r="F958" s="67"/>
      <c r="G958" s="67"/>
      <c r="H958" s="67"/>
      <c r="I958" s="67"/>
      <c r="J958" s="67"/>
      <c r="K958" s="67"/>
      <c r="L958" s="67"/>
      <c r="M958" s="67"/>
      <c r="N958" s="67"/>
      <c r="O958" s="67"/>
      <c r="P958" s="67"/>
      <c r="Q958" s="67"/>
      <c r="R958" s="67"/>
      <c r="S958" s="67"/>
      <c r="T958" s="67"/>
      <c r="U958" s="67"/>
      <c r="V958" s="67"/>
      <c r="W958" s="67"/>
      <c r="X958" s="67"/>
      <c r="Y958" s="67"/>
      <c r="Z958" s="67"/>
    </row>
    <row r="959">
      <c r="A959" s="67"/>
      <c r="B959" s="67"/>
      <c r="C959" s="67"/>
      <c r="D959" s="67"/>
      <c r="E959" s="67"/>
      <c r="F959" s="67"/>
      <c r="G959" s="67"/>
      <c r="H959" s="67"/>
      <c r="I959" s="67"/>
      <c r="J959" s="67"/>
      <c r="K959" s="67"/>
      <c r="L959" s="67"/>
      <c r="M959" s="67"/>
      <c r="N959" s="67"/>
      <c r="O959" s="67"/>
      <c r="P959" s="67"/>
      <c r="Q959" s="67"/>
      <c r="R959" s="67"/>
      <c r="S959" s="67"/>
      <c r="T959" s="67"/>
      <c r="U959" s="67"/>
      <c r="V959" s="67"/>
      <c r="W959" s="67"/>
      <c r="X959" s="67"/>
      <c r="Y959" s="67"/>
      <c r="Z959" s="67"/>
    </row>
    <row r="960">
      <c r="A960" s="67"/>
      <c r="B960" s="67"/>
      <c r="C960" s="67"/>
      <c r="D960" s="67"/>
      <c r="E960" s="67"/>
      <c r="F960" s="67"/>
      <c r="G960" s="67"/>
      <c r="H960" s="67"/>
      <c r="I960" s="67"/>
      <c r="J960" s="67"/>
      <c r="K960" s="67"/>
      <c r="L960" s="67"/>
      <c r="M960" s="67"/>
      <c r="N960" s="67"/>
      <c r="O960" s="67"/>
      <c r="P960" s="67"/>
      <c r="Q960" s="67"/>
      <c r="R960" s="67"/>
      <c r="S960" s="67"/>
      <c r="T960" s="67"/>
      <c r="U960" s="67"/>
      <c r="V960" s="67"/>
      <c r="W960" s="67"/>
      <c r="X960" s="67"/>
      <c r="Y960" s="67"/>
      <c r="Z960" s="67"/>
    </row>
    <row r="961">
      <c r="A961" s="67"/>
      <c r="B961" s="67"/>
      <c r="C961" s="67"/>
      <c r="D961" s="67"/>
      <c r="E961" s="67"/>
      <c r="F961" s="67"/>
      <c r="G961" s="67"/>
      <c r="H961" s="67"/>
      <c r="I961" s="67"/>
      <c r="J961" s="67"/>
      <c r="K961" s="67"/>
      <c r="L961" s="67"/>
      <c r="M961" s="67"/>
      <c r="N961" s="67"/>
      <c r="O961" s="67"/>
      <c r="P961" s="67"/>
      <c r="Q961" s="67"/>
      <c r="R961" s="67"/>
      <c r="S961" s="67"/>
      <c r="T961" s="67"/>
      <c r="U961" s="67"/>
      <c r="V961" s="67"/>
      <c r="W961" s="67"/>
      <c r="X961" s="67"/>
      <c r="Y961" s="67"/>
      <c r="Z961" s="67"/>
    </row>
    <row r="962">
      <c r="A962" s="67"/>
      <c r="B962" s="67"/>
      <c r="C962" s="67"/>
      <c r="D962" s="67"/>
      <c r="E962" s="67"/>
      <c r="F962" s="67"/>
      <c r="G962" s="67"/>
      <c r="H962" s="67"/>
      <c r="I962" s="67"/>
      <c r="J962" s="67"/>
      <c r="K962" s="67"/>
      <c r="L962" s="67"/>
      <c r="M962" s="67"/>
      <c r="N962" s="67"/>
      <c r="O962" s="67"/>
      <c r="P962" s="67"/>
      <c r="Q962" s="67"/>
      <c r="R962" s="67"/>
      <c r="S962" s="67"/>
      <c r="T962" s="67"/>
      <c r="U962" s="67"/>
      <c r="V962" s="67"/>
      <c r="W962" s="67"/>
      <c r="X962" s="67"/>
      <c r="Y962" s="67"/>
      <c r="Z962" s="67"/>
    </row>
    <row r="963">
      <c r="A963" s="67"/>
      <c r="B963" s="67"/>
      <c r="C963" s="67"/>
      <c r="D963" s="67"/>
      <c r="E963" s="67"/>
      <c r="F963" s="67"/>
      <c r="G963" s="67"/>
      <c r="H963" s="67"/>
      <c r="I963" s="67"/>
      <c r="J963" s="67"/>
      <c r="K963" s="67"/>
      <c r="L963" s="67"/>
      <c r="M963" s="67"/>
      <c r="N963" s="67"/>
      <c r="O963" s="67"/>
      <c r="P963" s="67"/>
      <c r="Q963" s="67"/>
      <c r="R963" s="67"/>
      <c r="S963" s="67"/>
      <c r="T963" s="67"/>
      <c r="U963" s="67"/>
      <c r="V963" s="67"/>
      <c r="W963" s="67"/>
      <c r="X963" s="67"/>
      <c r="Y963" s="67"/>
      <c r="Z963" s="67"/>
    </row>
    <row r="964">
      <c r="A964" s="67"/>
      <c r="B964" s="67"/>
      <c r="C964" s="67"/>
      <c r="D964" s="67"/>
      <c r="E964" s="67"/>
      <c r="F964" s="67"/>
      <c r="G964" s="67"/>
      <c r="H964" s="67"/>
      <c r="I964" s="67"/>
      <c r="J964" s="67"/>
      <c r="K964" s="67"/>
      <c r="L964" s="67"/>
      <c r="M964" s="67"/>
      <c r="N964" s="67"/>
      <c r="O964" s="67"/>
      <c r="P964" s="67"/>
      <c r="Q964" s="67"/>
      <c r="R964" s="67"/>
      <c r="S964" s="67"/>
      <c r="T964" s="67"/>
      <c r="U964" s="67"/>
      <c r="V964" s="67"/>
      <c r="W964" s="67"/>
      <c r="X964" s="67"/>
      <c r="Y964" s="67"/>
      <c r="Z964" s="67"/>
    </row>
    <row r="965">
      <c r="A965" s="67"/>
      <c r="B965" s="67"/>
      <c r="C965" s="67"/>
      <c r="D965" s="67"/>
      <c r="E965" s="67"/>
      <c r="F965" s="67"/>
      <c r="G965" s="67"/>
      <c r="H965" s="67"/>
      <c r="I965" s="67"/>
      <c r="J965" s="67"/>
      <c r="K965" s="67"/>
      <c r="L965" s="67"/>
      <c r="M965" s="67"/>
      <c r="N965" s="67"/>
      <c r="O965" s="67"/>
      <c r="P965" s="67"/>
      <c r="Q965" s="67"/>
      <c r="R965" s="67"/>
      <c r="S965" s="67"/>
      <c r="T965" s="67"/>
      <c r="U965" s="67"/>
      <c r="V965" s="67"/>
      <c r="W965" s="67"/>
      <c r="X965" s="67"/>
      <c r="Y965" s="67"/>
      <c r="Z965" s="67"/>
    </row>
    <row r="966">
      <c r="A966" s="67"/>
      <c r="B966" s="67"/>
      <c r="C966" s="67"/>
      <c r="D966" s="67"/>
      <c r="E966" s="67"/>
      <c r="F966" s="67"/>
      <c r="G966" s="67"/>
      <c r="H966" s="67"/>
      <c r="I966" s="67"/>
      <c r="J966" s="67"/>
      <c r="K966" s="67"/>
      <c r="L966" s="67"/>
      <c r="M966" s="67"/>
      <c r="N966" s="67"/>
      <c r="O966" s="67"/>
      <c r="P966" s="67"/>
      <c r="Q966" s="67"/>
      <c r="R966" s="67"/>
      <c r="S966" s="67"/>
      <c r="T966" s="67"/>
      <c r="U966" s="67"/>
      <c r="V966" s="67"/>
      <c r="W966" s="67"/>
      <c r="X966" s="67"/>
      <c r="Y966" s="67"/>
      <c r="Z966" s="67"/>
    </row>
    <row r="967">
      <c r="A967" s="67"/>
      <c r="B967" s="67"/>
      <c r="C967" s="67"/>
      <c r="D967" s="67"/>
      <c r="E967" s="67"/>
      <c r="F967" s="67"/>
      <c r="G967" s="67"/>
      <c r="H967" s="67"/>
      <c r="I967" s="67"/>
      <c r="J967" s="67"/>
      <c r="K967" s="67"/>
      <c r="L967" s="67"/>
      <c r="M967" s="67"/>
      <c r="N967" s="67"/>
      <c r="O967" s="67"/>
      <c r="P967" s="67"/>
      <c r="Q967" s="67"/>
      <c r="R967" s="67"/>
      <c r="S967" s="67"/>
      <c r="T967" s="67"/>
      <c r="U967" s="67"/>
      <c r="V967" s="67"/>
      <c r="W967" s="67"/>
      <c r="X967" s="67"/>
      <c r="Y967" s="67"/>
      <c r="Z967" s="67"/>
    </row>
    <row r="968">
      <c r="A968" s="67"/>
      <c r="B968" s="67"/>
      <c r="C968" s="67"/>
      <c r="D968" s="67"/>
      <c r="E968" s="67"/>
      <c r="F968" s="67"/>
      <c r="G968" s="67"/>
      <c r="H968" s="67"/>
      <c r="I968" s="67"/>
      <c r="J968" s="67"/>
      <c r="K968" s="67"/>
      <c r="L968" s="67"/>
      <c r="M968" s="67"/>
      <c r="N968" s="67"/>
      <c r="O968" s="67"/>
      <c r="P968" s="67"/>
      <c r="Q968" s="67"/>
      <c r="R968" s="67"/>
      <c r="S968" s="67"/>
      <c r="T968" s="67"/>
      <c r="U968" s="67"/>
      <c r="V968" s="67"/>
      <c r="W968" s="67"/>
      <c r="X968" s="67"/>
      <c r="Y968" s="67"/>
      <c r="Z968" s="67"/>
    </row>
    <row r="969">
      <c r="A969" s="67"/>
      <c r="B969" s="67"/>
      <c r="C969" s="67"/>
      <c r="D969" s="67"/>
      <c r="E969" s="67"/>
      <c r="F969" s="67"/>
      <c r="G969" s="67"/>
      <c r="H969" s="67"/>
      <c r="I969" s="67"/>
      <c r="J969" s="67"/>
      <c r="K969" s="67"/>
      <c r="L969" s="67"/>
      <c r="M969" s="67"/>
      <c r="N969" s="67"/>
      <c r="O969" s="67"/>
      <c r="P969" s="67"/>
      <c r="Q969" s="67"/>
      <c r="R969" s="67"/>
      <c r="S969" s="67"/>
      <c r="T969" s="67"/>
      <c r="U969" s="67"/>
      <c r="V969" s="67"/>
      <c r="W969" s="67"/>
      <c r="X969" s="67"/>
      <c r="Y969" s="67"/>
      <c r="Z969" s="67"/>
    </row>
    <row r="970">
      <c r="A970" s="67"/>
      <c r="B970" s="67"/>
      <c r="C970" s="67"/>
      <c r="D970" s="67"/>
      <c r="E970" s="67"/>
      <c r="F970" s="67"/>
      <c r="G970" s="67"/>
      <c r="H970" s="67"/>
      <c r="I970" s="67"/>
      <c r="J970" s="67"/>
      <c r="K970" s="67"/>
      <c r="L970" s="67"/>
      <c r="M970" s="67"/>
      <c r="N970" s="67"/>
      <c r="O970" s="67"/>
      <c r="P970" s="67"/>
      <c r="Q970" s="67"/>
      <c r="R970" s="67"/>
      <c r="S970" s="67"/>
      <c r="T970" s="67"/>
      <c r="U970" s="67"/>
      <c r="V970" s="67"/>
      <c r="W970" s="67"/>
      <c r="X970" s="67"/>
      <c r="Y970" s="67"/>
      <c r="Z970" s="67"/>
    </row>
    <row r="971">
      <c r="A971" s="67"/>
      <c r="B971" s="67"/>
      <c r="C971" s="67"/>
      <c r="D971" s="67"/>
      <c r="E971" s="67"/>
      <c r="F971" s="67"/>
      <c r="G971" s="67"/>
      <c r="H971" s="67"/>
      <c r="I971" s="67"/>
      <c r="J971" s="67"/>
      <c r="K971" s="67"/>
      <c r="L971" s="67"/>
      <c r="M971" s="67"/>
      <c r="N971" s="67"/>
      <c r="O971" s="67"/>
      <c r="P971" s="67"/>
      <c r="Q971" s="67"/>
      <c r="R971" s="67"/>
      <c r="S971" s="67"/>
      <c r="T971" s="67"/>
      <c r="U971" s="67"/>
      <c r="V971" s="67"/>
      <c r="W971" s="67"/>
      <c r="X971" s="67"/>
      <c r="Y971" s="67"/>
      <c r="Z971" s="67"/>
    </row>
    <row r="972">
      <c r="A972" s="67"/>
      <c r="B972" s="67"/>
      <c r="C972" s="67"/>
      <c r="D972" s="67"/>
      <c r="E972" s="67"/>
      <c r="F972" s="67"/>
      <c r="G972" s="67"/>
      <c r="H972" s="67"/>
      <c r="I972" s="67"/>
      <c r="J972" s="67"/>
      <c r="K972" s="67"/>
      <c r="L972" s="67"/>
      <c r="M972" s="67"/>
      <c r="N972" s="67"/>
      <c r="O972" s="67"/>
      <c r="P972" s="67"/>
      <c r="Q972" s="67"/>
      <c r="R972" s="67"/>
      <c r="S972" s="67"/>
      <c r="T972" s="67"/>
      <c r="U972" s="67"/>
      <c r="V972" s="67"/>
      <c r="W972" s="67"/>
      <c r="X972" s="67"/>
      <c r="Y972" s="67"/>
      <c r="Z972" s="67"/>
    </row>
    <row r="973">
      <c r="A973" s="67"/>
      <c r="B973" s="67"/>
      <c r="C973" s="67"/>
      <c r="D973" s="67"/>
      <c r="E973" s="67"/>
      <c r="F973" s="67"/>
      <c r="G973" s="67"/>
      <c r="H973" s="67"/>
      <c r="I973" s="67"/>
      <c r="J973" s="67"/>
      <c r="K973" s="67"/>
      <c r="L973" s="67"/>
      <c r="M973" s="67"/>
      <c r="N973" s="67"/>
      <c r="O973" s="67"/>
      <c r="P973" s="67"/>
      <c r="Q973" s="67"/>
      <c r="R973" s="67"/>
      <c r="S973" s="67"/>
      <c r="T973" s="67"/>
      <c r="U973" s="67"/>
      <c r="V973" s="67"/>
      <c r="W973" s="67"/>
      <c r="X973" s="67"/>
      <c r="Y973" s="67"/>
      <c r="Z973" s="67"/>
    </row>
    <row r="974">
      <c r="A974" s="67"/>
      <c r="B974" s="67"/>
      <c r="C974" s="67"/>
      <c r="D974" s="67"/>
      <c r="E974" s="67"/>
      <c r="F974" s="67"/>
      <c r="G974" s="67"/>
      <c r="H974" s="67"/>
      <c r="I974" s="67"/>
      <c r="J974" s="67"/>
      <c r="K974" s="67"/>
      <c r="L974" s="67"/>
      <c r="M974" s="67"/>
      <c r="N974" s="67"/>
      <c r="O974" s="67"/>
      <c r="P974" s="67"/>
      <c r="Q974" s="67"/>
      <c r="R974" s="67"/>
      <c r="S974" s="67"/>
      <c r="T974" s="67"/>
      <c r="U974" s="67"/>
      <c r="V974" s="67"/>
      <c r="W974" s="67"/>
      <c r="X974" s="67"/>
      <c r="Y974" s="67"/>
      <c r="Z974" s="67"/>
    </row>
    <row r="975">
      <c r="A975" s="67"/>
      <c r="B975" s="67"/>
      <c r="C975" s="67"/>
      <c r="D975" s="67"/>
      <c r="E975" s="67"/>
      <c r="F975" s="67"/>
      <c r="G975" s="67"/>
      <c r="H975" s="67"/>
      <c r="I975" s="67"/>
      <c r="J975" s="67"/>
      <c r="K975" s="67"/>
      <c r="L975" s="67"/>
      <c r="M975" s="67"/>
      <c r="N975" s="67"/>
      <c r="O975" s="67"/>
      <c r="P975" s="67"/>
      <c r="Q975" s="67"/>
      <c r="R975" s="67"/>
      <c r="S975" s="67"/>
      <c r="T975" s="67"/>
      <c r="U975" s="67"/>
      <c r="V975" s="67"/>
      <c r="W975" s="67"/>
      <c r="X975" s="67"/>
      <c r="Y975" s="67"/>
      <c r="Z975" s="67"/>
    </row>
    <row r="976">
      <c r="A976" s="67"/>
      <c r="B976" s="67"/>
      <c r="C976" s="67"/>
      <c r="D976" s="67"/>
      <c r="E976" s="67"/>
      <c r="F976" s="67"/>
      <c r="G976" s="67"/>
      <c r="H976" s="67"/>
      <c r="I976" s="67"/>
      <c r="J976" s="67"/>
      <c r="K976" s="67"/>
      <c r="L976" s="67"/>
      <c r="M976" s="67"/>
      <c r="N976" s="67"/>
      <c r="O976" s="67"/>
      <c r="P976" s="67"/>
      <c r="Q976" s="67"/>
      <c r="R976" s="67"/>
      <c r="S976" s="67"/>
      <c r="T976" s="67"/>
      <c r="U976" s="67"/>
      <c r="V976" s="67"/>
      <c r="W976" s="67"/>
      <c r="X976" s="67"/>
      <c r="Y976" s="67"/>
      <c r="Z976" s="67"/>
    </row>
    <row r="977">
      <c r="A977" s="67"/>
      <c r="B977" s="67"/>
      <c r="C977" s="67"/>
      <c r="D977" s="67"/>
      <c r="E977" s="67"/>
      <c r="F977" s="67"/>
      <c r="G977" s="67"/>
      <c r="H977" s="67"/>
      <c r="I977" s="67"/>
      <c r="J977" s="67"/>
      <c r="K977" s="67"/>
      <c r="L977" s="67"/>
      <c r="M977" s="67"/>
      <c r="N977" s="67"/>
      <c r="O977" s="67"/>
      <c r="P977" s="67"/>
      <c r="Q977" s="67"/>
      <c r="R977" s="67"/>
      <c r="S977" s="67"/>
      <c r="T977" s="67"/>
      <c r="U977" s="67"/>
      <c r="V977" s="67"/>
      <c r="W977" s="67"/>
      <c r="X977" s="67"/>
      <c r="Y977" s="67"/>
      <c r="Z977" s="67"/>
    </row>
    <row r="978">
      <c r="A978" s="67"/>
      <c r="B978" s="67"/>
      <c r="C978" s="67"/>
      <c r="D978" s="67"/>
      <c r="E978" s="67"/>
      <c r="F978" s="67"/>
      <c r="G978" s="67"/>
      <c r="H978" s="67"/>
      <c r="I978" s="67"/>
      <c r="J978" s="67"/>
      <c r="K978" s="67"/>
      <c r="L978" s="67"/>
      <c r="M978" s="67"/>
      <c r="N978" s="67"/>
      <c r="O978" s="67"/>
      <c r="P978" s="67"/>
      <c r="Q978" s="67"/>
      <c r="R978" s="67"/>
      <c r="S978" s="67"/>
      <c r="T978" s="67"/>
      <c r="U978" s="67"/>
      <c r="V978" s="67"/>
      <c r="W978" s="67"/>
      <c r="X978" s="67"/>
      <c r="Y978" s="67"/>
      <c r="Z978" s="67"/>
    </row>
    <row r="979">
      <c r="A979" s="67"/>
      <c r="B979" s="67"/>
      <c r="C979" s="67"/>
      <c r="D979" s="67"/>
      <c r="E979" s="67"/>
      <c r="F979" s="67"/>
      <c r="G979" s="67"/>
      <c r="H979" s="67"/>
      <c r="I979" s="67"/>
      <c r="J979" s="67"/>
      <c r="K979" s="67"/>
      <c r="L979" s="67"/>
      <c r="M979" s="67"/>
      <c r="N979" s="67"/>
      <c r="O979" s="67"/>
      <c r="P979" s="67"/>
      <c r="Q979" s="67"/>
      <c r="R979" s="67"/>
      <c r="S979" s="67"/>
      <c r="T979" s="67"/>
      <c r="U979" s="67"/>
      <c r="V979" s="67"/>
      <c r="W979" s="67"/>
      <c r="X979" s="67"/>
      <c r="Y979" s="67"/>
      <c r="Z979" s="67"/>
    </row>
    <row r="980">
      <c r="A980" s="67"/>
      <c r="B980" s="67"/>
      <c r="C980" s="67"/>
      <c r="D980" s="67"/>
      <c r="E980" s="67"/>
      <c r="F980" s="67"/>
      <c r="G980" s="67"/>
      <c r="H980" s="67"/>
      <c r="I980" s="67"/>
      <c r="J980" s="67"/>
      <c r="K980" s="67"/>
      <c r="L980" s="67"/>
      <c r="M980" s="67"/>
      <c r="N980" s="67"/>
      <c r="O980" s="67"/>
      <c r="P980" s="67"/>
      <c r="Q980" s="67"/>
      <c r="R980" s="67"/>
      <c r="S980" s="67"/>
      <c r="T980" s="67"/>
      <c r="U980" s="67"/>
      <c r="V980" s="67"/>
      <c r="W980" s="67"/>
      <c r="X980" s="67"/>
      <c r="Y980" s="67"/>
      <c r="Z980" s="67"/>
    </row>
    <row r="981">
      <c r="A981" s="67"/>
      <c r="B981" s="67"/>
      <c r="C981" s="67"/>
      <c r="D981" s="67"/>
      <c r="E981" s="67"/>
      <c r="F981" s="67"/>
      <c r="G981" s="67"/>
      <c r="H981" s="67"/>
      <c r="I981" s="67"/>
      <c r="J981" s="67"/>
      <c r="K981" s="67"/>
      <c r="L981" s="67"/>
      <c r="M981" s="67"/>
      <c r="N981" s="67"/>
      <c r="O981" s="67"/>
      <c r="P981" s="67"/>
      <c r="Q981" s="67"/>
      <c r="R981" s="67"/>
      <c r="S981" s="67"/>
      <c r="T981" s="67"/>
      <c r="U981" s="67"/>
      <c r="V981" s="67"/>
      <c r="W981" s="67"/>
      <c r="X981" s="67"/>
      <c r="Y981" s="67"/>
      <c r="Z981" s="67"/>
    </row>
    <row r="982">
      <c r="A982" s="67"/>
      <c r="B982" s="67"/>
      <c r="C982" s="67"/>
      <c r="D982" s="67"/>
      <c r="E982" s="67"/>
      <c r="F982" s="67"/>
      <c r="G982" s="67"/>
      <c r="H982" s="67"/>
      <c r="I982" s="67"/>
      <c r="J982" s="67"/>
      <c r="K982" s="67"/>
      <c r="L982" s="67"/>
      <c r="M982" s="67"/>
      <c r="N982" s="67"/>
      <c r="O982" s="67"/>
      <c r="P982" s="67"/>
      <c r="Q982" s="67"/>
      <c r="R982" s="67"/>
      <c r="S982" s="67"/>
      <c r="T982" s="67"/>
      <c r="U982" s="67"/>
      <c r="V982" s="67"/>
      <c r="W982" s="67"/>
      <c r="X982" s="67"/>
      <c r="Y982" s="67"/>
      <c r="Z982" s="67"/>
    </row>
    <row r="983">
      <c r="A983" s="67"/>
      <c r="B983" s="67"/>
      <c r="C983" s="67"/>
      <c r="D983" s="67"/>
      <c r="E983" s="67"/>
      <c r="F983" s="67"/>
      <c r="G983" s="67"/>
      <c r="H983" s="67"/>
      <c r="I983" s="67"/>
      <c r="J983" s="67"/>
      <c r="K983" s="67"/>
      <c r="L983" s="67"/>
      <c r="M983" s="67"/>
      <c r="N983" s="67"/>
      <c r="O983" s="67"/>
      <c r="P983" s="67"/>
      <c r="Q983" s="67"/>
      <c r="R983" s="67"/>
      <c r="S983" s="67"/>
      <c r="T983" s="67"/>
      <c r="U983" s="67"/>
      <c r="V983" s="67"/>
      <c r="W983" s="67"/>
      <c r="X983" s="67"/>
      <c r="Y983" s="67"/>
      <c r="Z983" s="67"/>
    </row>
    <row r="984">
      <c r="A984" s="67"/>
      <c r="B984" s="67"/>
      <c r="C984" s="67"/>
      <c r="D984" s="67"/>
      <c r="E984" s="67"/>
      <c r="F984" s="67"/>
      <c r="G984" s="67"/>
      <c r="H984" s="67"/>
      <c r="I984" s="67"/>
      <c r="J984" s="67"/>
      <c r="K984" s="67"/>
      <c r="L984" s="67"/>
      <c r="M984" s="67"/>
      <c r="N984" s="67"/>
      <c r="O984" s="67"/>
      <c r="P984" s="67"/>
      <c r="Q984" s="67"/>
      <c r="R984" s="67"/>
      <c r="S984" s="67"/>
      <c r="T984" s="67"/>
      <c r="U984" s="67"/>
      <c r="V984" s="67"/>
      <c r="W984" s="67"/>
      <c r="X984" s="67"/>
      <c r="Y984" s="67"/>
      <c r="Z984" s="67"/>
    </row>
    <row r="985">
      <c r="A985" s="67"/>
      <c r="B985" s="67"/>
      <c r="C985" s="67"/>
      <c r="D985" s="67"/>
      <c r="E985" s="67"/>
      <c r="F985" s="67"/>
      <c r="G985" s="67"/>
      <c r="H985" s="67"/>
      <c r="I985" s="67"/>
      <c r="J985" s="67"/>
      <c r="K985" s="67"/>
      <c r="L985" s="67"/>
      <c r="M985" s="67"/>
      <c r="N985" s="67"/>
      <c r="O985" s="67"/>
      <c r="P985" s="67"/>
      <c r="Q985" s="67"/>
      <c r="R985" s="67"/>
      <c r="S985" s="67"/>
      <c r="T985" s="67"/>
      <c r="U985" s="67"/>
      <c r="V985" s="67"/>
      <c r="W985" s="67"/>
      <c r="X985" s="67"/>
      <c r="Y985" s="67"/>
      <c r="Z985" s="67"/>
    </row>
    <row r="986">
      <c r="A986" s="67"/>
      <c r="B986" s="67"/>
      <c r="C986" s="67"/>
      <c r="D986" s="67"/>
      <c r="E986" s="67"/>
      <c r="F986" s="67"/>
      <c r="G986" s="67"/>
      <c r="H986" s="67"/>
      <c r="I986" s="67"/>
      <c r="J986" s="67"/>
      <c r="K986" s="67"/>
      <c r="L986" s="67"/>
      <c r="M986" s="67"/>
      <c r="N986" s="67"/>
      <c r="O986" s="67"/>
      <c r="P986" s="67"/>
      <c r="Q986" s="67"/>
      <c r="R986" s="67"/>
      <c r="S986" s="67"/>
      <c r="T986" s="67"/>
      <c r="U986" s="67"/>
      <c r="V986" s="67"/>
      <c r="W986" s="67"/>
      <c r="X986" s="67"/>
      <c r="Y986" s="67"/>
      <c r="Z986" s="67"/>
    </row>
    <row r="987">
      <c r="A987" s="67"/>
      <c r="B987" s="67"/>
      <c r="C987" s="67"/>
      <c r="D987" s="67"/>
      <c r="E987" s="67"/>
      <c r="F987" s="67"/>
      <c r="G987" s="67"/>
      <c r="H987" s="67"/>
      <c r="I987" s="67"/>
      <c r="J987" s="67"/>
      <c r="K987" s="67"/>
      <c r="L987" s="67"/>
      <c r="M987" s="67"/>
      <c r="N987" s="67"/>
      <c r="O987" s="67"/>
      <c r="P987" s="67"/>
      <c r="Q987" s="67"/>
      <c r="R987" s="67"/>
      <c r="S987" s="67"/>
      <c r="T987" s="67"/>
      <c r="U987" s="67"/>
      <c r="V987" s="67"/>
      <c r="W987" s="67"/>
      <c r="X987" s="67"/>
      <c r="Y987" s="67"/>
      <c r="Z987" s="67"/>
    </row>
    <row r="988">
      <c r="A988" s="67"/>
      <c r="B988" s="67"/>
      <c r="C988" s="67"/>
      <c r="D988" s="67"/>
      <c r="E988" s="67"/>
      <c r="F988" s="67"/>
      <c r="G988" s="67"/>
      <c r="H988" s="67"/>
      <c r="I988" s="67"/>
      <c r="J988" s="67"/>
      <c r="K988" s="67"/>
      <c r="L988" s="67"/>
      <c r="M988" s="67"/>
      <c r="N988" s="67"/>
      <c r="O988" s="67"/>
      <c r="P988" s="67"/>
      <c r="Q988" s="67"/>
      <c r="R988" s="67"/>
      <c r="S988" s="67"/>
      <c r="T988" s="67"/>
      <c r="U988" s="67"/>
      <c r="V988" s="67"/>
      <c r="W988" s="67"/>
      <c r="X988" s="67"/>
      <c r="Y988" s="67"/>
      <c r="Z988" s="67"/>
    </row>
    <row r="989">
      <c r="A989" s="67"/>
      <c r="B989" s="67"/>
      <c r="C989" s="67"/>
      <c r="D989" s="67"/>
      <c r="E989" s="67"/>
      <c r="F989" s="67"/>
      <c r="G989" s="67"/>
      <c r="H989" s="67"/>
      <c r="I989" s="67"/>
      <c r="J989" s="67"/>
      <c r="K989" s="67"/>
      <c r="L989" s="67"/>
      <c r="M989" s="67"/>
      <c r="N989" s="67"/>
      <c r="O989" s="67"/>
      <c r="P989" s="67"/>
      <c r="Q989" s="67"/>
      <c r="R989" s="67"/>
      <c r="S989" s="67"/>
      <c r="T989" s="67"/>
      <c r="U989" s="67"/>
      <c r="V989" s="67"/>
      <c r="W989" s="67"/>
      <c r="X989" s="67"/>
      <c r="Y989" s="67"/>
      <c r="Z989" s="67"/>
    </row>
    <row r="990">
      <c r="A990" s="67"/>
      <c r="B990" s="67"/>
      <c r="C990" s="67"/>
      <c r="D990" s="67"/>
      <c r="E990" s="67"/>
      <c r="F990" s="67"/>
      <c r="G990" s="67"/>
      <c r="H990" s="67"/>
      <c r="I990" s="67"/>
      <c r="J990" s="67"/>
      <c r="K990" s="67"/>
      <c r="L990" s="67"/>
      <c r="M990" s="67"/>
      <c r="N990" s="67"/>
      <c r="O990" s="67"/>
      <c r="P990" s="67"/>
      <c r="Q990" s="67"/>
      <c r="R990" s="67"/>
      <c r="S990" s="67"/>
      <c r="T990" s="67"/>
      <c r="U990" s="67"/>
      <c r="V990" s="67"/>
      <c r="W990" s="67"/>
      <c r="X990" s="67"/>
      <c r="Y990" s="67"/>
      <c r="Z990" s="67"/>
    </row>
    <row r="991">
      <c r="A991" s="67"/>
      <c r="B991" s="67"/>
      <c r="C991" s="67"/>
      <c r="D991" s="67"/>
      <c r="E991" s="67"/>
      <c r="F991" s="67"/>
      <c r="G991" s="67"/>
      <c r="H991" s="67"/>
      <c r="I991" s="67"/>
      <c r="J991" s="67"/>
      <c r="K991" s="67"/>
      <c r="L991" s="67"/>
      <c r="M991" s="67"/>
      <c r="N991" s="67"/>
      <c r="O991" s="67"/>
      <c r="P991" s="67"/>
      <c r="Q991" s="67"/>
      <c r="R991" s="67"/>
      <c r="S991" s="67"/>
      <c r="T991" s="67"/>
      <c r="U991" s="67"/>
      <c r="V991" s="67"/>
      <c r="W991" s="67"/>
      <c r="X991" s="67"/>
      <c r="Y991" s="67"/>
      <c r="Z991" s="67"/>
    </row>
    <row r="992">
      <c r="A992" s="67"/>
      <c r="B992" s="67"/>
      <c r="C992" s="67"/>
      <c r="D992" s="67"/>
      <c r="E992" s="67"/>
      <c r="F992" s="67"/>
      <c r="G992" s="67"/>
      <c r="H992" s="67"/>
      <c r="I992" s="67"/>
      <c r="J992" s="67"/>
      <c r="K992" s="67"/>
      <c r="L992" s="67"/>
      <c r="M992" s="67"/>
      <c r="N992" s="67"/>
      <c r="O992" s="67"/>
      <c r="P992" s="67"/>
      <c r="Q992" s="67"/>
      <c r="R992" s="67"/>
      <c r="S992" s="67"/>
      <c r="T992" s="67"/>
      <c r="U992" s="67"/>
      <c r="V992" s="67"/>
      <c r="W992" s="67"/>
      <c r="X992" s="67"/>
      <c r="Y992" s="67"/>
      <c r="Z992" s="67"/>
    </row>
    <row r="993">
      <c r="A993" s="67"/>
      <c r="B993" s="67"/>
      <c r="C993" s="67"/>
      <c r="D993" s="67"/>
      <c r="E993" s="67"/>
      <c r="F993" s="67"/>
      <c r="G993" s="67"/>
      <c r="H993" s="67"/>
      <c r="I993" s="67"/>
      <c r="J993" s="67"/>
      <c r="K993" s="67"/>
      <c r="L993" s="67"/>
      <c r="M993" s="67"/>
      <c r="N993" s="67"/>
      <c r="O993" s="67"/>
      <c r="P993" s="67"/>
      <c r="Q993" s="67"/>
      <c r="R993" s="67"/>
      <c r="S993" s="67"/>
      <c r="T993" s="67"/>
      <c r="U993" s="67"/>
      <c r="V993" s="67"/>
      <c r="W993" s="67"/>
      <c r="X993" s="67"/>
      <c r="Y993" s="67"/>
      <c r="Z993" s="67"/>
    </row>
    <row r="994">
      <c r="A994" s="67"/>
      <c r="B994" s="67"/>
      <c r="C994" s="67"/>
      <c r="D994" s="67"/>
      <c r="E994" s="67"/>
      <c r="F994" s="67"/>
      <c r="G994" s="67"/>
      <c r="H994" s="67"/>
      <c r="I994" s="67"/>
      <c r="J994" s="67"/>
      <c r="K994" s="67"/>
      <c r="L994" s="67"/>
      <c r="M994" s="67"/>
      <c r="N994" s="67"/>
      <c r="O994" s="67"/>
      <c r="P994" s="67"/>
      <c r="Q994" s="67"/>
      <c r="R994" s="67"/>
      <c r="S994" s="67"/>
      <c r="T994" s="67"/>
      <c r="U994" s="67"/>
      <c r="V994" s="67"/>
      <c r="W994" s="67"/>
      <c r="X994" s="67"/>
      <c r="Y994" s="67"/>
      <c r="Z994" s="67"/>
    </row>
    <row r="995">
      <c r="A995" s="67"/>
      <c r="B995" s="67"/>
      <c r="C995" s="67"/>
      <c r="D995" s="67"/>
      <c r="E995" s="67"/>
      <c r="F995" s="67"/>
      <c r="G995" s="67"/>
      <c r="H995" s="67"/>
      <c r="I995" s="67"/>
      <c r="J995" s="67"/>
      <c r="K995" s="67"/>
      <c r="L995" s="67"/>
      <c r="M995" s="67"/>
      <c r="N995" s="67"/>
      <c r="O995" s="67"/>
      <c r="P995" s="67"/>
      <c r="Q995" s="67"/>
      <c r="R995" s="67"/>
      <c r="S995" s="67"/>
      <c r="T995" s="67"/>
      <c r="U995" s="67"/>
      <c r="V995" s="67"/>
      <c r="W995" s="67"/>
      <c r="X995" s="67"/>
      <c r="Y995" s="67"/>
      <c r="Z995" s="67"/>
    </row>
    <row r="996">
      <c r="A996" s="67"/>
      <c r="B996" s="67"/>
      <c r="C996" s="67"/>
      <c r="D996" s="67"/>
      <c r="E996" s="67"/>
      <c r="F996" s="67"/>
      <c r="G996" s="67"/>
      <c r="H996" s="67"/>
      <c r="I996" s="67"/>
      <c r="J996" s="67"/>
      <c r="K996" s="67"/>
      <c r="L996" s="67"/>
      <c r="M996" s="67"/>
      <c r="N996" s="67"/>
      <c r="O996" s="67"/>
      <c r="P996" s="67"/>
      <c r="Q996" s="67"/>
      <c r="R996" s="67"/>
      <c r="S996" s="67"/>
      <c r="T996" s="67"/>
      <c r="U996" s="67"/>
      <c r="V996" s="67"/>
      <c r="W996" s="67"/>
      <c r="X996" s="67"/>
      <c r="Y996" s="67"/>
      <c r="Z996" s="67"/>
    </row>
    <row r="997">
      <c r="A997" s="67"/>
      <c r="B997" s="67"/>
      <c r="C997" s="67"/>
      <c r="D997" s="67"/>
      <c r="E997" s="67"/>
      <c r="F997" s="67"/>
      <c r="G997" s="67"/>
      <c r="H997" s="67"/>
      <c r="I997" s="67"/>
      <c r="J997" s="67"/>
      <c r="K997" s="67"/>
      <c r="L997" s="67"/>
      <c r="M997" s="67"/>
      <c r="N997" s="67"/>
      <c r="O997" s="67"/>
      <c r="P997" s="67"/>
      <c r="Q997" s="67"/>
      <c r="R997" s="67"/>
      <c r="S997" s="67"/>
      <c r="T997" s="67"/>
      <c r="U997" s="67"/>
      <c r="V997" s="67"/>
      <c r="W997" s="67"/>
      <c r="X997" s="67"/>
      <c r="Y997" s="67"/>
      <c r="Z997" s="67"/>
    </row>
    <row r="998">
      <c r="A998" s="67"/>
      <c r="B998" s="67"/>
      <c r="C998" s="67"/>
      <c r="D998" s="67"/>
      <c r="E998" s="67"/>
      <c r="F998" s="67"/>
      <c r="G998" s="67"/>
      <c r="H998" s="67"/>
      <c r="I998" s="67"/>
      <c r="J998" s="67"/>
      <c r="K998" s="67"/>
      <c r="L998" s="67"/>
      <c r="M998" s="67"/>
      <c r="N998" s="67"/>
      <c r="O998" s="67"/>
      <c r="P998" s="67"/>
      <c r="Q998" s="67"/>
      <c r="R998" s="67"/>
      <c r="S998" s="67"/>
      <c r="T998" s="67"/>
      <c r="U998" s="67"/>
      <c r="V998" s="67"/>
      <c r="W998" s="67"/>
      <c r="X998" s="67"/>
      <c r="Y998" s="67"/>
      <c r="Z998" s="67"/>
    </row>
    <row r="999">
      <c r="A999" s="67"/>
      <c r="B999" s="67"/>
      <c r="C999" s="67"/>
      <c r="D999" s="67"/>
      <c r="E999" s="67"/>
      <c r="F999" s="67"/>
      <c r="G999" s="67"/>
      <c r="H999" s="67"/>
      <c r="I999" s="67"/>
      <c r="J999" s="67"/>
      <c r="K999" s="67"/>
      <c r="L999" s="67"/>
      <c r="M999" s="67"/>
      <c r="N999" s="67"/>
      <c r="O999" s="67"/>
      <c r="P999" s="67"/>
      <c r="Q999" s="67"/>
      <c r="R999" s="67"/>
      <c r="S999" s="67"/>
      <c r="T999" s="67"/>
      <c r="U999" s="67"/>
      <c r="V999" s="67"/>
      <c r="W999" s="67"/>
      <c r="X999" s="67"/>
      <c r="Y999" s="67"/>
      <c r="Z999" s="67"/>
    </row>
    <row r="1000">
      <c r="A1000" s="67"/>
      <c r="B1000" s="67"/>
      <c r="C1000" s="67"/>
      <c r="D1000" s="67"/>
      <c r="E1000" s="67"/>
      <c r="F1000" s="67"/>
      <c r="G1000" s="67"/>
      <c r="H1000" s="67"/>
      <c r="I1000" s="67"/>
      <c r="J1000" s="67"/>
      <c r="K1000" s="67"/>
      <c r="L1000" s="67"/>
      <c r="M1000" s="67"/>
      <c r="N1000" s="67"/>
      <c r="O1000" s="67"/>
      <c r="P1000" s="67"/>
      <c r="Q1000" s="67"/>
      <c r="R1000" s="67"/>
      <c r="S1000" s="67"/>
      <c r="T1000" s="67"/>
      <c r="U1000" s="67"/>
      <c r="V1000" s="67"/>
      <c r="W1000" s="67"/>
      <c r="X1000" s="67"/>
      <c r="Y1000" s="67"/>
      <c r="Z1000" s="67"/>
    </row>
    <row r="1001">
      <c r="A1001" s="67"/>
      <c r="B1001" s="67"/>
      <c r="C1001" s="67"/>
      <c r="D1001" s="67"/>
      <c r="E1001" s="67"/>
      <c r="F1001" s="67"/>
      <c r="G1001" s="67"/>
      <c r="H1001" s="67"/>
      <c r="I1001" s="67"/>
      <c r="J1001" s="67"/>
      <c r="K1001" s="67"/>
      <c r="L1001" s="67"/>
      <c r="M1001" s="67"/>
      <c r="N1001" s="67"/>
      <c r="O1001" s="67"/>
      <c r="P1001" s="67"/>
      <c r="Q1001" s="67"/>
      <c r="R1001" s="67"/>
      <c r="S1001" s="67"/>
      <c r="T1001" s="67"/>
      <c r="U1001" s="67"/>
      <c r="V1001" s="67"/>
      <c r="W1001" s="67"/>
      <c r="X1001" s="67"/>
      <c r="Y1001" s="67"/>
      <c r="Z1001" s="67"/>
    </row>
  </sheetData>
  <dataValidations>
    <dataValidation type="list" allowBlank="1" sqref="C4:C18">
      <formula1>"دعوت نشده,برای دعوت,عدم پذیرش دعوت,اعلام غیبت,حضور"</formula1>
    </dataValidation>
  </dataValidations>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25.63"/>
  </cols>
  <sheetData>
    <row r="1">
      <c r="A1" s="81" t="s">
        <v>153</v>
      </c>
      <c r="B1" s="82" t="s">
        <v>154</v>
      </c>
      <c r="C1" s="83" t="s">
        <v>155</v>
      </c>
      <c r="D1" s="83" t="s">
        <v>156</v>
      </c>
      <c r="E1" s="84" t="s">
        <v>157</v>
      </c>
      <c r="F1" s="85"/>
      <c r="G1" s="85"/>
      <c r="H1" s="84" t="s">
        <v>158</v>
      </c>
      <c r="I1" s="67"/>
      <c r="J1" s="85"/>
      <c r="K1" s="85"/>
      <c r="L1" s="85"/>
      <c r="M1" s="85"/>
      <c r="N1" s="85"/>
      <c r="O1" s="84" t="s">
        <v>159</v>
      </c>
      <c r="P1" s="85"/>
      <c r="Q1" s="85"/>
      <c r="R1" s="85"/>
      <c r="S1" s="85"/>
      <c r="T1" s="85"/>
      <c r="U1" s="84" t="s">
        <v>160</v>
      </c>
      <c r="V1" s="85"/>
      <c r="W1" s="85"/>
      <c r="X1" s="85"/>
      <c r="Y1" s="84" t="s">
        <v>161</v>
      </c>
      <c r="Z1" s="85"/>
      <c r="AA1" s="84" t="s">
        <v>162</v>
      </c>
      <c r="AB1" s="85"/>
      <c r="AC1" s="85"/>
      <c r="AD1" s="85"/>
      <c r="AE1" s="85"/>
      <c r="AF1" s="85"/>
      <c r="AG1" s="85"/>
    </row>
    <row r="2">
      <c r="A2" s="86"/>
      <c r="B2" s="85"/>
      <c r="C2" s="83"/>
      <c r="D2" s="87"/>
      <c r="E2" s="85"/>
      <c r="F2" s="85"/>
      <c r="G2" s="85"/>
      <c r="H2" s="84"/>
      <c r="I2" s="84"/>
      <c r="J2" s="84"/>
      <c r="K2" s="84"/>
      <c r="L2" s="84"/>
      <c r="M2" s="84"/>
      <c r="N2" s="85"/>
      <c r="O2" s="84"/>
      <c r="P2" s="84"/>
      <c r="Q2" s="84"/>
      <c r="R2" s="84"/>
      <c r="S2" s="85"/>
      <c r="T2" s="85"/>
      <c r="U2" s="84"/>
      <c r="V2" s="84"/>
      <c r="W2" s="84"/>
      <c r="X2" s="84"/>
      <c r="Y2" s="84" t="s">
        <v>163</v>
      </c>
      <c r="Z2" s="84"/>
      <c r="AA2" s="84" t="s">
        <v>164</v>
      </c>
      <c r="AB2" s="84" t="s">
        <v>165</v>
      </c>
      <c r="AC2" s="84"/>
      <c r="AD2" s="84"/>
      <c r="AE2" s="84"/>
      <c r="AF2" s="84"/>
      <c r="AG2" s="84"/>
    </row>
    <row r="3">
      <c r="A3" s="88" t="s">
        <v>166</v>
      </c>
      <c r="B3" s="85" t="s">
        <v>167</v>
      </c>
      <c r="C3" s="83" t="s">
        <v>168</v>
      </c>
      <c r="D3" s="87" t="s">
        <v>169</v>
      </c>
      <c r="E3" s="85"/>
      <c r="F3" s="85"/>
      <c r="G3" s="85"/>
      <c r="H3" s="84" t="s">
        <v>170</v>
      </c>
      <c r="I3" s="84" t="s">
        <v>171</v>
      </c>
      <c r="J3" s="84" t="s">
        <v>172</v>
      </c>
      <c r="K3" s="84" t="s">
        <v>173</v>
      </c>
      <c r="L3" s="84" t="s">
        <v>174</v>
      </c>
      <c r="M3" s="84" t="s">
        <v>175</v>
      </c>
      <c r="N3" s="85"/>
      <c r="O3" s="84" t="s">
        <v>170</v>
      </c>
      <c r="P3" s="84" t="s">
        <v>171</v>
      </c>
      <c r="Q3" s="84" t="s">
        <v>172</v>
      </c>
      <c r="R3" s="84" t="s">
        <v>175</v>
      </c>
      <c r="S3" s="85"/>
      <c r="T3" s="85"/>
      <c r="U3" s="89" t="s">
        <v>164</v>
      </c>
      <c r="V3" s="90" t="s">
        <v>176</v>
      </c>
      <c r="W3" s="91" t="s">
        <v>157</v>
      </c>
      <c r="X3" s="84"/>
      <c r="Y3" s="84" t="s">
        <v>177</v>
      </c>
      <c r="Z3" s="84"/>
      <c r="AA3" s="84" t="s">
        <v>178</v>
      </c>
      <c r="AB3" s="82" t="s">
        <v>179</v>
      </c>
      <c r="AC3" s="84"/>
      <c r="AD3" s="84"/>
      <c r="AE3" s="84"/>
      <c r="AF3" s="84"/>
      <c r="AG3" s="84"/>
    </row>
    <row r="4">
      <c r="A4" s="88" t="s">
        <v>180</v>
      </c>
      <c r="B4" s="85" t="s">
        <v>181</v>
      </c>
      <c r="C4" s="87" t="s">
        <v>182</v>
      </c>
      <c r="D4" s="87" t="s">
        <v>183</v>
      </c>
      <c r="E4" s="85"/>
      <c r="F4" s="85"/>
      <c r="G4" s="85"/>
      <c r="H4" s="85"/>
      <c r="I4" s="85"/>
      <c r="J4" s="84" t="s">
        <v>53</v>
      </c>
      <c r="K4" s="84" t="s">
        <v>184</v>
      </c>
      <c r="L4" s="84" t="s">
        <v>185</v>
      </c>
      <c r="M4" s="84" t="s">
        <v>186</v>
      </c>
      <c r="N4" s="92"/>
      <c r="O4" s="85"/>
      <c r="P4" s="84" t="s">
        <v>185</v>
      </c>
      <c r="Q4" s="84" t="s">
        <v>166</v>
      </c>
      <c r="R4" s="84" t="s">
        <v>187</v>
      </c>
      <c r="S4" s="84"/>
      <c r="T4" s="84"/>
      <c r="U4" s="93" t="s">
        <v>188</v>
      </c>
      <c r="V4" s="94" t="s">
        <v>189</v>
      </c>
      <c r="W4" s="95" t="s">
        <v>190</v>
      </c>
      <c r="X4" s="82"/>
      <c r="Y4" s="84" t="s">
        <v>191</v>
      </c>
      <c r="Z4" s="85"/>
      <c r="AA4" s="85"/>
      <c r="AB4" s="85"/>
      <c r="AC4" s="85"/>
      <c r="AD4" s="85"/>
      <c r="AE4" s="85"/>
      <c r="AF4" s="85"/>
      <c r="AG4" s="85"/>
    </row>
    <row r="5">
      <c r="A5" s="88" t="s">
        <v>192</v>
      </c>
      <c r="B5" s="85" t="s">
        <v>193</v>
      </c>
      <c r="C5" s="87" t="s">
        <v>194</v>
      </c>
      <c r="D5" s="87" t="s">
        <v>195</v>
      </c>
      <c r="E5" s="85"/>
      <c r="F5" s="85"/>
      <c r="G5" s="85"/>
      <c r="H5" s="85"/>
      <c r="I5" s="85"/>
      <c r="J5" s="84" t="s">
        <v>27</v>
      </c>
      <c r="K5" s="84" t="s">
        <v>196</v>
      </c>
      <c r="L5" s="84"/>
      <c r="M5" s="84" t="s">
        <v>197</v>
      </c>
      <c r="N5" s="92"/>
      <c r="O5" s="85"/>
      <c r="P5" s="84" t="s">
        <v>198</v>
      </c>
      <c r="Q5" s="84"/>
      <c r="R5" s="84" t="s">
        <v>199</v>
      </c>
      <c r="S5" s="84"/>
      <c r="T5" s="65"/>
      <c r="U5" s="96" t="s">
        <v>117</v>
      </c>
      <c r="V5" s="97"/>
      <c r="W5" s="98" t="s">
        <v>116</v>
      </c>
      <c r="X5" s="85"/>
      <c r="Y5" s="84"/>
      <c r="Z5" s="85"/>
      <c r="AA5" s="85"/>
      <c r="AB5" s="85"/>
      <c r="AC5" s="85"/>
      <c r="AD5" s="85"/>
      <c r="AE5" s="85"/>
      <c r="AF5" s="85"/>
      <c r="AG5" s="85"/>
    </row>
    <row r="6">
      <c r="A6" s="86" t="s">
        <v>200</v>
      </c>
      <c r="B6" s="85" t="s">
        <v>201</v>
      </c>
      <c r="C6" s="87"/>
      <c r="D6" s="87"/>
      <c r="E6" s="85"/>
      <c r="F6" s="85"/>
      <c r="G6" s="85"/>
      <c r="H6" s="85"/>
      <c r="I6" s="85"/>
      <c r="J6" s="85"/>
      <c r="K6" s="84" t="s">
        <v>77</v>
      </c>
      <c r="L6" s="84"/>
      <c r="M6" s="84" t="s">
        <v>123</v>
      </c>
      <c r="N6" s="92"/>
      <c r="O6" s="85"/>
      <c r="P6" s="84" t="s">
        <v>202</v>
      </c>
      <c r="Q6" s="85"/>
      <c r="R6" s="84" t="s">
        <v>203</v>
      </c>
      <c r="S6" s="84"/>
      <c r="T6" s="84"/>
      <c r="U6" s="93" t="s">
        <v>204</v>
      </c>
      <c r="V6" s="99"/>
      <c r="W6" s="95" t="s">
        <v>205</v>
      </c>
      <c r="X6" s="85"/>
      <c r="Y6" s="85"/>
      <c r="Z6" s="85"/>
      <c r="AA6" s="85"/>
      <c r="AB6" s="85"/>
      <c r="AC6" s="85"/>
      <c r="AD6" s="85"/>
      <c r="AE6" s="85"/>
      <c r="AF6" s="85"/>
      <c r="AG6" s="85"/>
    </row>
    <row r="7">
      <c r="A7" s="86" t="s">
        <v>206</v>
      </c>
      <c r="B7" s="85" t="s">
        <v>207</v>
      </c>
      <c r="C7" s="87" t="s">
        <v>208</v>
      </c>
      <c r="D7" s="87"/>
      <c r="E7" s="85"/>
      <c r="F7" s="85"/>
      <c r="G7" s="85"/>
      <c r="H7" s="67"/>
      <c r="I7" s="85"/>
      <c r="J7" s="85"/>
      <c r="K7" s="84" t="s">
        <v>209</v>
      </c>
      <c r="L7" s="84"/>
      <c r="M7" s="84" t="s">
        <v>210</v>
      </c>
      <c r="N7" s="92"/>
      <c r="O7" s="67"/>
      <c r="P7" s="85"/>
      <c r="Q7" s="85"/>
      <c r="R7" s="84" t="s">
        <v>211</v>
      </c>
      <c r="S7" s="84"/>
      <c r="T7" s="84"/>
      <c r="U7" s="96" t="s">
        <v>212</v>
      </c>
      <c r="V7" s="97"/>
      <c r="W7" s="98" t="s">
        <v>213</v>
      </c>
      <c r="X7" s="85"/>
      <c r="Y7" s="84"/>
      <c r="Z7" s="85"/>
      <c r="AA7" s="85"/>
      <c r="AB7" s="85"/>
      <c r="AC7" s="85"/>
      <c r="AD7" s="85"/>
      <c r="AE7" s="85"/>
      <c r="AF7" s="85"/>
      <c r="AG7" s="85"/>
    </row>
    <row r="8">
      <c r="A8" s="86" t="s">
        <v>214</v>
      </c>
      <c r="B8" s="84" t="s">
        <v>215</v>
      </c>
      <c r="C8" s="87" t="s">
        <v>216</v>
      </c>
      <c r="D8" s="83" t="s">
        <v>217</v>
      </c>
      <c r="E8" s="85"/>
      <c r="F8" s="85"/>
      <c r="G8" s="85"/>
      <c r="H8" s="67"/>
      <c r="I8" s="85"/>
      <c r="J8" s="85"/>
      <c r="K8" s="85"/>
      <c r="L8" s="84"/>
      <c r="M8" s="84" t="s">
        <v>218</v>
      </c>
      <c r="N8" s="92"/>
      <c r="O8" s="67"/>
      <c r="P8" s="85"/>
      <c r="Q8" s="85"/>
      <c r="R8" s="84" t="s">
        <v>219</v>
      </c>
      <c r="S8" s="84"/>
      <c r="T8" s="84"/>
      <c r="U8" s="93" t="s">
        <v>220</v>
      </c>
      <c r="V8" s="100"/>
      <c r="W8" s="95" t="s">
        <v>221</v>
      </c>
      <c r="X8" s="85"/>
      <c r="Y8" s="85"/>
      <c r="Z8" s="85"/>
      <c r="AA8" s="85"/>
      <c r="AB8" s="85"/>
      <c r="AC8" s="85"/>
      <c r="AD8" s="85"/>
      <c r="AE8" s="85"/>
      <c r="AF8" s="85"/>
      <c r="AG8" s="85"/>
    </row>
    <row r="9">
      <c r="A9" s="88" t="s">
        <v>222</v>
      </c>
      <c r="B9" s="85" t="s">
        <v>223</v>
      </c>
      <c r="C9" s="87" t="s">
        <v>224</v>
      </c>
      <c r="D9" s="87" t="s">
        <v>225</v>
      </c>
      <c r="E9" s="85"/>
      <c r="F9" s="85"/>
      <c r="G9" s="85"/>
      <c r="H9" s="85"/>
      <c r="I9" s="85"/>
      <c r="J9" s="85"/>
      <c r="K9" s="85"/>
      <c r="L9" s="84"/>
      <c r="M9" s="84" t="s">
        <v>226</v>
      </c>
      <c r="N9" s="92"/>
      <c r="O9" s="85"/>
      <c r="P9" s="85"/>
      <c r="Q9" s="85"/>
      <c r="R9" s="84" t="s">
        <v>227</v>
      </c>
      <c r="S9" s="84"/>
      <c r="T9" s="84"/>
      <c r="U9" s="96" t="s">
        <v>228</v>
      </c>
      <c r="V9" s="101"/>
      <c r="W9" s="98" t="s">
        <v>229</v>
      </c>
      <c r="X9" s="85"/>
      <c r="Y9" s="85"/>
      <c r="Z9" s="85"/>
      <c r="AA9" s="85"/>
      <c r="AB9" s="85"/>
      <c r="AC9" s="85"/>
      <c r="AD9" s="85"/>
      <c r="AE9" s="85"/>
      <c r="AF9" s="85"/>
      <c r="AG9" s="85"/>
    </row>
    <row r="10">
      <c r="A10" s="88" t="s">
        <v>230</v>
      </c>
      <c r="B10" s="85" t="s">
        <v>231</v>
      </c>
      <c r="C10" s="87"/>
      <c r="D10" s="87" t="s">
        <v>232</v>
      </c>
      <c r="E10" s="85"/>
      <c r="F10" s="85"/>
      <c r="G10" s="85"/>
      <c r="H10" s="85"/>
      <c r="I10" s="85"/>
      <c r="J10" s="85"/>
      <c r="K10" s="84"/>
      <c r="L10" s="85"/>
      <c r="M10" s="84" t="s">
        <v>233</v>
      </c>
      <c r="N10" s="92"/>
      <c r="O10" s="85"/>
      <c r="P10" s="85"/>
      <c r="Q10" s="85"/>
      <c r="R10" s="102" t="s">
        <v>180</v>
      </c>
      <c r="S10" s="84"/>
      <c r="T10" s="85"/>
      <c r="U10" s="93" t="s">
        <v>234</v>
      </c>
      <c r="V10" s="99"/>
      <c r="W10" s="95" t="s">
        <v>235</v>
      </c>
      <c r="X10" s="85"/>
      <c r="Y10" s="85"/>
      <c r="Z10" s="85"/>
      <c r="AA10" s="85"/>
      <c r="AB10" s="85"/>
      <c r="AC10" s="85"/>
      <c r="AD10" s="85"/>
      <c r="AE10" s="85"/>
      <c r="AF10" s="85"/>
      <c r="AG10" s="85"/>
    </row>
    <row r="11">
      <c r="A11" s="86" t="s">
        <v>236</v>
      </c>
      <c r="B11" s="85" t="s">
        <v>237</v>
      </c>
      <c r="C11" s="87" t="s">
        <v>238</v>
      </c>
      <c r="D11" s="83" t="s">
        <v>239</v>
      </c>
      <c r="E11" s="85"/>
      <c r="F11" s="85"/>
      <c r="G11" s="85"/>
      <c r="H11" s="85"/>
      <c r="I11" s="85"/>
      <c r="J11" s="85"/>
      <c r="K11" s="85"/>
      <c r="L11" s="85"/>
      <c r="M11" s="84" t="s">
        <v>240</v>
      </c>
      <c r="N11" s="92"/>
      <c r="O11" s="85"/>
      <c r="P11" s="85"/>
      <c r="Q11" s="85"/>
      <c r="R11" s="102" t="s">
        <v>241</v>
      </c>
      <c r="S11" s="102"/>
      <c r="T11" s="84"/>
      <c r="U11" s="103"/>
      <c r="V11" s="97"/>
      <c r="W11" s="98" t="s">
        <v>221</v>
      </c>
      <c r="X11" s="85"/>
      <c r="Y11" s="85"/>
      <c r="Z11" s="85"/>
      <c r="AA11" s="85"/>
      <c r="AB11" s="85"/>
      <c r="AC11" s="85"/>
      <c r="AD11" s="85"/>
      <c r="AE11" s="85"/>
      <c r="AF11" s="85"/>
      <c r="AG11" s="85"/>
    </row>
    <row r="12">
      <c r="A12" s="86" t="s">
        <v>196</v>
      </c>
      <c r="B12" s="85" t="s">
        <v>242</v>
      </c>
      <c r="C12" s="87" t="s">
        <v>243</v>
      </c>
      <c r="D12" s="83" t="s">
        <v>244</v>
      </c>
      <c r="E12" s="85"/>
      <c r="F12" s="85"/>
      <c r="G12" s="85"/>
      <c r="H12" s="85"/>
      <c r="I12" s="85"/>
      <c r="J12" s="85"/>
      <c r="K12" s="85"/>
      <c r="L12" s="85"/>
      <c r="M12" s="84" t="s">
        <v>245</v>
      </c>
      <c r="N12" s="92"/>
      <c r="O12" s="85"/>
      <c r="P12" s="85"/>
      <c r="Q12" s="85"/>
      <c r="R12" s="102" t="s">
        <v>246</v>
      </c>
      <c r="S12" s="102"/>
      <c r="T12" s="84"/>
      <c r="U12" s="93" t="s">
        <v>219</v>
      </c>
      <c r="V12" s="99"/>
      <c r="W12" s="95" t="s">
        <v>81</v>
      </c>
      <c r="X12" s="85"/>
      <c r="Y12" s="85"/>
      <c r="Z12" s="85"/>
      <c r="AA12" s="85"/>
      <c r="AB12" s="85"/>
      <c r="AC12" s="85"/>
      <c r="AD12" s="85"/>
      <c r="AE12" s="85"/>
      <c r="AF12" s="85"/>
      <c r="AG12" s="85"/>
    </row>
    <row r="13">
      <c r="A13" s="88" t="s">
        <v>247</v>
      </c>
      <c r="B13" s="85" t="s">
        <v>248</v>
      </c>
      <c r="C13" s="87"/>
      <c r="D13" s="87" t="s">
        <v>249</v>
      </c>
      <c r="E13" s="85"/>
      <c r="F13" s="85"/>
      <c r="G13" s="85"/>
      <c r="H13" s="85"/>
      <c r="I13" s="85"/>
      <c r="J13" s="85"/>
      <c r="K13" s="85"/>
      <c r="L13" s="85"/>
      <c r="M13" s="84" t="s">
        <v>250</v>
      </c>
      <c r="N13" s="92"/>
      <c r="O13" s="85"/>
      <c r="P13" s="85"/>
      <c r="Q13" s="85"/>
      <c r="R13" s="102" t="s">
        <v>251</v>
      </c>
      <c r="S13" s="102"/>
      <c r="T13" s="84"/>
      <c r="U13" s="96" t="s">
        <v>252</v>
      </c>
      <c r="V13" s="97"/>
      <c r="W13" s="98" t="s">
        <v>253</v>
      </c>
      <c r="X13" s="85"/>
      <c r="Y13" s="85"/>
      <c r="Z13" s="85"/>
      <c r="AA13" s="85"/>
      <c r="AB13" s="85"/>
      <c r="AC13" s="85"/>
      <c r="AD13" s="85"/>
      <c r="AE13" s="85"/>
      <c r="AF13" s="85"/>
      <c r="AG13" s="85"/>
    </row>
    <row r="14">
      <c r="A14" s="88" t="s">
        <v>202</v>
      </c>
      <c r="B14" s="85" t="s">
        <v>254</v>
      </c>
      <c r="C14" s="83" t="s">
        <v>255</v>
      </c>
      <c r="D14" s="87" t="s">
        <v>256</v>
      </c>
      <c r="E14" s="85"/>
      <c r="F14" s="85"/>
      <c r="G14" s="85"/>
      <c r="H14" s="85"/>
      <c r="I14" s="85"/>
      <c r="J14" s="85"/>
      <c r="K14" s="85"/>
      <c r="L14" s="85"/>
      <c r="M14" s="84" t="s">
        <v>257</v>
      </c>
      <c r="N14" s="92"/>
      <c r="O14" s="85"/>
      <c r="P14" s="85"/>
      <c r="Q14" s="85"/>
      <c r="R14" s="102"/>
      <c r="S14" s="102"/>
      <c r="T14" s="85"/>
      <c r="U14" s="104" t="s">
        <v>258</v>
      </c>
      <c r="V14" s="105"/>
      <c r="W14" s="106" t="s">
        <v>81</v>
      </c>
      <c r="X14" s="85"/>
      <c r="Y14" s="85"/>
      <c r="Z14" s="85"/>
      <c r="AA14" s="85"/>
      <c r="AB14" s="85"/>
      <c r="AC14" s="85"/>
      <c r="AD14" s="85"/>
      <c r="AE14" s="85"/>
      <c r="AF14" s="85"/>
      <c r="AG14" s="85"/>
    </row>
    <row r="15">
      <c r="A15" s="86" t="s">
        <v>259</v>
      </c>
      <c r="B15" s="85" t="s">
        <v>260</v>
      </c>
      <c r="C15" s="87" t="s">
        <v>261</v>
      </c>
      <c r="D15" s="83" t="s">
        <v>262</v>
      </c>
      <c r="E15" s="85"/>
      <c r="F15" s="85"/>
      <c r="G15" s="85"/>
      <c r="H15" s="85"/>
      <c r="I15" s="85"/>
      <c r="J15" s="85"/>
      <c r="K15" s="85"/>
      <c r="L15" s="85"/>
      <c r="M15" s="84" t="s">
        <v>263</v>
      </c>
      <c r="N15" s="92"/>
      <c r="O15" s="85"/>
      <c r="P15" s="85"/>
      <c r="Q15" s="85"/>
      <c r="R15" s="85"/>
      <c r="S15" s="85"/>
      <c r="T15" s="85"/>
      <c r="U15" s="107" t="s">
        <v>264</v>
      </c>
      <c r="V15" s="108"/>
      <c r="W15" s="109" t="s">
        <v>116</v>
      </c>
      <c r="X15" s="85"/>
      <c r="Y15" s="85"/>
      <c r="Z15" s="85"/>
      <c r="AA15" s="85"/>
      <c r="AB15" s="85"/>
      <c r="AC15" s="85"/>
      <c r="AD15" s="85"/>
      <c r="AE15" s="85"/>
      <c r="AF15" s="85"/>
      <c r="AG15" s="85"/>
    </row>
    <row r="16">
      <c r="A16" s="88" t="s">
        <v>199</v>
      </c>
      <c r="B16" s="85" t="s">
        <v>265</v>
      </c>
      <c r="C16" s="83" t="s">
        <v>266</v>
      </c>
      <c r="D16" s="87" t="s">
        <v>267</v>
      </c>
      <c r="E16" s="85"/>
      <c r="F16" s="85"/>
      <c r="G16" s="85"/>
      <c r="H16" s="85"/>
      <c r="I16" s="85"/>
      <c r="J16" s="85"/>
      <c r="K16" s="85"/>
      <c r="L16" s="85"/>
      <c r="M16" s="84" t="s">
        <v>268</v>
      </c>
      <c r="N16" s="92"/>
      <c r="O16" s="85"/>
      <c r="P16" s="85"/>
      <c r="Q16" s="85"/>
      <c r="R16" s="85"/>
      <c r="S16" s="85"/>
      <c r="T16" s="85"/>
      <c r="U16" s="110" t="s">
        <v>269</v>
      </c>
      <c r="V16" s="105"/>
      <c r="W16" s="106" t="s">
        <v>270</v>
      </c>
      <c r="X16" s="85"/>
      <c r="Y16" s="85"/>
      <c r="Z16" s="85"/>
      <c r="AA16" s="85"/>
      <c r="AB16" s="85"/>
      <c r="AC16" s="85"/>
      <c r="AD16" s="85"/>
      <c r="AE16" s="85"/>
      <c r="AF16" s="85"/>
      <c r="AG16" s="85"/>
    </row>
    <row r="17">
      <c r="A17" s="86" t="s">
        <v>259</v>
      </c>
      <c r="B17" s="84" t="s">
        <v>271</v>
      </c>
      <c r="C17" s="87" t="s">
        <v>272</v>
      </c>
      <c r="D17" s="87"/>
      <c r="E17" s="85"/>
      <c r="F17" s="85"/>
      <c r="G17" s="85"/>
      <c r="H17" s="85"/>
      <c r="I17" s="85"/>
      <c r="J17" s="85"/>
      <c r="K17" s="85"/>
      <c r="L17" s="85"/>
      <c r="M17" s="84" t="s">
        <v>258</v>
      </c>
      <c r="N17" s="92"/>
      <c r="O17" s="85"/>
      <c r="P17" s="85"/>
      <c r="Q17" s="85"/>
      <c r="R17" s="85"/>
      <c r="S17" s="85"/>
      <c r="T17" s="85"/>
      <c r="U17" s="111" t="s">
        <v>273</v>
      </c>
      <c r="V17" s="112"/>
      <c r="W17" s="113" t="s">
        <v>116</v>
      </c>
      <c r="X17" s="85"/>
      <c r="Y17" s="85"/>
      <c r="Z17" s="85"/>
      <c r="AA17" s="85"/>
      <c r="AB17" s="85"/>
      <c r="AC17" s="85"/>
      <c r="AD17" s="85"/>
      <c r="AE17" s="85"/>
      <c r="AF17" s="85"/>
      <c r="AG17" s="85"/>
    </row>
    <row r="18">
      <c r="A18" s="86" t="s">
        <v>274</v>
      </c>
      <c r="B18" s="85" t="s">
        <v>275</v>
      </c>
      <c r="C18" s="87" t="s">
        <v>276</v>
      </c>
      <c r="D18" s="87"/>
      <c r="E18" s="85"/>
      <c r="F18" s="85"/>
      <c r="G18" s="85"/>
      <c r="H18" s="85"/>
      <c r="I18" s="85"/>
      <c r="J18" s="85"/>
      <c r="K18" s="85"/>
      <c r="L18" s="85"/>
      <c r="M18" s="65" t="s">
        <v>202</v>
      </c>
      <c r="N18" s="92"/>
      <c r="O18" s="85"/>
      <c r="P18" s="85"/>
      <c r="Q18" s="85"/>
      <c r="R18" s="85"/>
      <c r="S18" s="85"/>
      <c r="T18" s="85"/>
      <c r="U18" s="85"/>
      <c r="V18" s="85"/>
      <c r="W18" s="85"/>
      <c r="X18" s="85"/>
      <c r="Y18" s="85"/>
      <c r="Z18" s="85"/>
      <c r="AA18" s="85"/>
      <c r="AB18" s="85"/>
      <c r="AC18" s="85"/>
      <c r="AD18" s="85"/>
      <c r="AE18" s="85"/>
      <c r="AF18" s="85"/>
      <c r="AG18" s="85"/>
    </row>
    <row r="19">
      <c r="A19" s="86" t="s">
        <v>274</v>
      </c>
      <c r="B19" s="85" t="s">
        <v>277</v>
      </c>
      <c r="C19" s="87" t="s">
        <v>278</v>
      </c>
      <c r="D19" s="83" t="s">
        <v>279</v>
      </c>
      <c r="E19" s="85"/>
      <c r="F19" s="85"/>
      <c r="G19" s="85"/>
      <c r="H19" s="85"/>
      <c r="I19" s="85"/>
      <c r="J19" s="85"/>
      <c r="K19" s="85"/>
      <c r="L19" s="85"/>
      <c r="M19" s="65"/>
      <c r="N19" s="92"/>
      <c r="O19" s="85"/>
      <c r="P19" s="85"/>
      <c r="Q19" s="85"/>
      <c r="R19" s="85"/>
      <c r="S19" s="85"/>
      <c r="T19" s="85"/>
      <c r="U19" s="85"/>
      <c r="V19" s="85"/>
      <c r="W19" s="85"/>
      <c r="X19" s="85"/>
      <c r="Y19" s="85"/>
      <c r="Z19" s="85"/>
      <c r="AA19" s="85"/>
      <c r="AB19" s="85"/>
      <c r="AC19" s="85"/>
      <c r="AD19" s="85"/>
      <c r="AE19" s="85"/>
      <c r="AF19" s="85"/>
      <c r="AG19" s="85"/>
    </row>
    <row r="20">
      <c r="A20" s="114" t="s">
        <v>274</v>
      </c>
      <c r="B20" s="84" t="s">
        <v>280</v>
      </c>
      <c r="C20" s="83" t="s">
        <v>281</v>
      </c>
      <c r="D20" s="83" t="s">
        <v>282</v>
      </c>
      <c r="E20" s="85"/>
      <c r="F20" s="85"/>
      <c r="G20" s="85"/>
      <c r="H20" s="85"/>
      <c r="I20" s="85"/>
      <c r="J20" s="85"/>
      <c r="K20" s="85"/>
      <c r="L20" s="85"/>
      <c r="M20" s="84"/>
      <c r="N20" s="92"/>
      <c r="O20" s="85"/>
      <c r="P20" s="85"/>
      <c r="Q20" s="85"/>
      <c r="R20" s="85"/>
      <c r="S20" s="85"/>
      <c r="T20" s="85"/>
      <c r="U20" s="85"/>
      <c r="V20" s="85"/>
      <c r="W20" s="85"/>
      <c r="X20" s="85"/>
      <c r="Y20" s="85"/>
      <c r="Z20" s="85"/>
      <c r="AA20" s="85"/>
      <c r="AB20" s="85"/>
      <c r="AC20" s="85"/>
      <c r="AD20" s="85"/>
      <c r="AE20" s="85"/>
      <c r="AF20" s="85"/>
      <c r="AG20" s="85"/>
    </row>
    <row r="21">
      <c r="A21" s="88" t="s">
        <v>186</v>
      </c>
      <c r="B21" s="84" t="s">
        <v>283</v>
      </c>
      <c r="C21" s="87" t="s">
        <v>284</v>
      </c>
      <c r="D21" s="87" t="s">
        <v>285</v>
      </c>
      <c r="E21" s="85"/>
      <c r="F21" s="85"/>
      <c r="G21" s="85"/>
      <c r="H21" s="85"/>
      <c r="I21" s="85"/>
      <c r="J21" s="85"/>
      <c r="K21" s="85"/>
      <c r="L21" s="85"/>
      <c r="N21" s="92"/>
      <c r="O21" s="85"/>
      <c r="P21" s="85"/>
      <c r="Q21" s="85"/>
      <c r="R21" s="85"/>
      <c r="S21" s="85"/>
      <c r="T21" s="85"/>
      <c r="U21" s="85"/>
      <c r="V21" s="85"/>
      <c r="W21" s="85"/>
      <c r="X21" s="85"/>
      <c r="Y21" s="85"/>
      <c r="Z21" s="85"/>
      <c r="AA21" s="85"/>
      <c r="AB21" s="85"/>
      <c r="AC21" s="85"/>
      <c r="AD21" s="85"/>
      <c r="AE21" s="85"/>
      <c r="AF21" s="85"/>
      <c r="AG21" s="85"/>
    </row>
    <row r="22">
      <c r="A22" s="86" t="s">
        <v>286</v>
      </c>
      <c r="B22" s="84" t="s">
        <v>287</v>
      </c>
      <c r="C22" s="87" t="s">
        <v>288</v>
      </c>
      <c r="D22" s="87"/>
      <c r="E22" s="85"/>
      <c r="F22" s="85"/>
      <c r="G22" s="85"/>
      <c r="H22" s="85"/>
      <c r="I22" s="85"/>
      <c r="J22" s="85"/>
      <c r="K22" s="85"/>
      <c r="L22" s="85"/>
      <c r="N22" s="92"/>
      <c r="O22" s="85"/>
      <c r="P22" s="85"/>
      <c r="Q22" s="85"/>
      <c r="R22" s="85"/>
      <c r="S22" s="85"/>
      <c r="T22" s="85"/>
      <c r="U22" s="85"/>
      <c r="V22" s="85"/>
      <c r="W22" s="85"/>
      <c r="X22" s="85"/>
      <c r="Y22" s="85"/>
      <c r="Z22" s="85"/>
      <c r="AA22" s="85"/>
      <c r="AB22" s="85"/>
      <c r="AC22" s="85"/>
      <c r="AD22" s="85"/>
      <c r="AE22" s="85"/>
      <c r="AF22" s="85"/>
      <c r="AG22" s="85"/>
    </row>
    <row r="23">
      <c r="A23" s="88" t="s">
        <v>185</v>
      </c>
      <c r="B23" s="85" t="s">
        <v>289</v>
      </c>
      <c r="C23" s="87" t="s">
        <v>290</v>
      </c>
      <c r="D23" s="87" t="s">
        <v>291</v>
      </c>
      <c r="E23" s="85"/>
      <c r="F23" s="85"/>
      <c r="G23" s="85"/>
      <c r="H23" s="85"/>
      <c r="I23" s="85"/>
      <c r="J23" s="85"/>
      <c r="K23" s="85"/>
      <c r="L23" s="85"/>
      <c r="N23" s="92"/>
      <c r="O23" s="85"/>
      <c r="P23" s="85"/>
      <c r="Q23" s="85"/>
      <c r="R23" s="85"/>
      <c r="S23" s="85"/>
      <c r="T23" s="85"/>
      <c r="U23" s="85"/>
      <c r="V23" s="85"/>
      <c r="W23" s="85"/>
      <c r="X23" s="85"/>
      <c r="Y23" s="85"/>
      <c r="Z23" s="85"/>
      <c r="AA23" s="85"/>
      <c r="AB23" s="85"/>
      <c r="AC23" s="85"/>
      <c r="AD23" s="85"/>
      <c r="AE23" s="85"/>
      <c r="AF23" s="85"/>
      <c r="AG23" s="85"/>
    </row>
    <row r="24">
      <c r="A24" s="88" t="s">
        <v>292</v>
      </c>
      <c r="B24" s="84" t="s">
        <v>293</v>
      </c>
      <c r="C24" s="87" t="s">
        <v>294</v>
      </c>
      <c r="D24" s="87" t="s">
        <v>295</v>
      </c>
      <c r="E24" s="85"/>
      <c r="F24" s="85"/>
      <c r="G24" s="85"/>
      <c r="H24" s="85"/>
      <c r="I24" s="85"/>
      <c r="J24" s="85"/>
      <c r="K24" s="85"/>
      <c r="L24" s="85"/>
      <c r="M24" s="84"/>
      <c r="N24" s="92"/>
      <c r="O24" s="85"/>
      <c r="P24" s="85"/>
      <c r="Q24" s="85"/>
      <c r="R24" s="85"/>
      <c r="S24" s="85"/>
      <c r="T24" s="85"/>
      <c r="U24" s="85"/>
      <c r="V24" s="85"/>
      <c r="W24" s="85"/>
      <c r="X24" s="85"/>
      <c r="Y24" s="85"/>
      <c r="Z24" s="85"/>
      <c r="AA24" s="85"/>
      <c r="AB24" s="85"/>
      <c r="AC24" s="85"/>
      <c r="AD24" s="85"/>
      <c r="AE24" s="85"/>
      <c r="AF24" s="85"/>
      <c r="AG24" s="85"/>
    </row>
    <row r="25">
      <c r="A25" s="88" t="s">
        <v>292</v>
      </c>
      <c r="B25" s="85" t="s">
        <v>296</v>
      </c>
      <c r="C25" s="83" t="s">
        <v>297</v>
      </c>
      <c r="D25" s="87" t="s">
        <v>298</v>
      </c>
      <c r="E25" s="85"/>
      <c r="F25" s="85"/>
      <c r="G25" s="85"/>
      <c r="H25" s="85"/>
      <c r="I25" s="85"/>
      <c r="J25" s="85"/>
      <c r="K25" s="85"/>
      <c r="L25" s="85"/>
      <c r="M25" s="85"/>
      <c r="N25" s="84"/>
      <c r="O25" s="85"/>
      <c r="P25" s="85"/>
      <c r="Q25" s="85"/>
      <c r="R25" s="85"/>
      <c r="S25" s="85"/>
      <c r="T25" s="85"/>
      <c r="U25" s="85"/>
      <c r="V25" s="85"/>
      <c r="W25" s="85"/>
      <c r="X25" s="85"/>
      <c r="Y25" s="85"/>
      <c r="Z25" s="85"/>
      <c r="AA25" s="85"/>
      <c r="AB25" s="85"/>
      <c r="AC25" s="85"/>
      <c r="AD25" s="85"/>
      <c r="AE25" s="85"/>
      <c r="AF25" s="85"/>
      <c r="AG25" s="85"/>
    </row>
    <row r="26">
      <c r="A26" s="88" t="s">
        <v>299</v>
      </c>
      <c r="B26" s="85" t="s">
        <v>300</v>
      </c>
      <c r="C26" s="83" t="s">
        <v>301</v>
      </c>
      <c r="D26" s="87" t="s">
        <v>302</v>
      </c>
      <c r="E26" s="85"/>
      <c r="F26" s="85"/>
      <c r="G26" s="85"/>
      <c r="H26" s="85"/>
      <c r="I26" s="85"/>
      <c r="J26" s="85"/>
      <c r="K26" s="85"/>
      <c r="L26" s="85"/>
      <c r="M26" s="85"/>
      <c r="N26" s="84"/>
      <c r="O26" s="85"/>
      <c r="P26" s="85"/>
      <c r="Q26" s="85"/>
      <c r="R26" s="85"/>
      <c r="S26" s="85"/>
      <c r="T26" s="85"/>
      <c r="U26" s="85"/>
      <c r="V26" s="85"/>
      <c r="W26" s="85"/>
      <c r="X26" s="85"/>
      <c r="Y26" s="85"/>
      <c r="Z26" s="85"/>
      <c r="AA26" s="85"/>
      <c r="AB26" s="85"/>
      <c r="AC26" s="85"/>
      <c r="AD26" s="85"/>
      <c r="AE26" s="85"/>
      <c r="AF26" s="85"/>
      <c r="AG26" s="85"/>
    </row>
    <row r="27">
      <c r="A27" s="88" t="s">
        <v>303</v>
      </c>
      <c r="B27" s="85" t="s">
        <v>304</v>
      </c>
      <c r="C27" s="87" t="s">
        <v>305</v>
      </c>
      <c r="D27" s="87" t="s">
        <v>306</v>
      </c>
      <c r="E27" s="85"/>
      <c r="F27" s="85"/>
      <c r="G27" s="85"/>
      <c r="H27" s="85"/>
      <c r="I27" s="85"/>
      <c r="J27" s="85"/>
      <c r="K27" s="85"/>
      <c r="L27" s="85"/>
      <c r="M27" s="85"/>
      <c r="N27" s="84"/>
      <c r="O27" s="85"/>
      <c r="P27" s="85"/>
      <c r="Q27" s="85"/>
      <c r="R27" s="85"/>
      <c r="S27" s="85"/>
      <c r="T27" s="85"/>
      <c r="U27" s="85"/>
      <c r="V27" s="85"/>
      <c r="W27" s="85"/>
      <c r="X27" s="85"/>
      <c r="Y27" s="85"/>
      <c r="Z27" s="85"/>
      <c r="AA27" s="85"/>
      <c r="AB27" s="85"/>
      <c r="AC27" s="85"/>
      <c r="AD27" s="85"/>
      <c r="AE27" s="85"/>
      <c r="AF27" s="85"/>
      <c r="AG27" s="85"/>
    </row>
    <row r="28">
      <c r="A28" s="88" t="s">
        <v>307</v>
      </c>
      <c r="B28" s="85" t="s">
        <v>308</v>
      </c>
      <c r="C28" s="87" t="s">
        <v>309</v>
      </c>
      <c r="D28" s="87" t="s">
        <v>310</v>
      </c>
      <c r="E28" s="85"/>
      <c r="F28" s="85"/>
      <c r="G28" s="85"/>
      <c r="H28" s="85"/>
      <c r="I28" s="85"/>
      <c r="J28" s="85"/>
      <c r="K28" s="85"/>
      <c r="L28" s="85"/>
      <c r="M28" s="85"/>
      <c r="N28" s="84"/>
      <c r="O28" s="85"/>
      <c r="P28" s="85"/>
      <c r="Q28" s="85"/>
      <c r="R28" s="85"/>
      <c r="S28" s="85"/>
      <c r="T28" s="85"/>
      <c r="U28" s="85"/>
      <c r="V28" s="85"/>
      <c r="W28" s="85"/>
      <c r="X28" s="85"/>
      <c r="Y28" s="85"/>
      <c r="Z28" s="85"/>
      <c r="AA28" s="85"/>
      <c r="AB28" s="85"/>
      <c r="AC28" s="85"/>
      <c r="AD28" s="85"/>
      <c r="AE28" s="85"/>
      <c r="AF28" s="85"/>
      <c r="AG28" s="85"/>
    </row>
    <row r="29">
      <c r="A29" s="88" t="s">
        <v>311</v>
      </c>
      <c r="B29" s="84" t="s">
        <v>312</v>
      </c>
      <c r="C29" s="87" t="s">
        <v>313</v>
      </c>
      <c r="D29" s="87" t="s">
        <v>314</v>
      </c>
      <c r="E29" s="85"/>
      <c r="F29" s="85"/>
      <c r="G29" s="85"/>
      <c r="H29" s="85"/>
      <c r="I29" s="85"/>
      <c r="J29" s="85"/>
      <c r="K29" s="85"/>
      <c r="L29" s="85"/>
      <c r="M29" s="85"/>
      <c r="N29" s="84"/>
      <c r="O29" s="85"/>
      <c r="P29" s="85"/>
      <c r="Q29" s="85"/>
      <c r="R29" s="85"/>
      <c r="S29" s="85"/>
      <c r="T29" s="85"/>
      <c r="U29" s="85"/>
      <c r="V29" s="85"/>
      <c r="W29" s="85"/>
      <c r="X29" s="85"/>
      <c r="Y29" s="85"/>
      <c r="Z29" s="85"/>
      <c r="AA29" s="85"/>
      <c r="AB29" s="85"/>
      <c r="AC29" s="85"/>
      <c r="AD29" s="85"/>
      <c r="AE29" s="85"/>
      <c r="AF29" s="85"/>
      <c r="AG29" s="85"/>
    </row>
    <row r="30">
      <c r="A30" s="86" t="s">
        <v>27</v>
      </c>
      <c r="B30" s="84" t="s">
        <v>315</v>
      </c>
      <c r="C30" s="87" t="s">
        <v>316</v>
      </c>
      <c r="D30" s="87"/>
      <c r="E30" s="85"/>
      <c r="F30" s="85"/>
      <c r="G30" s="85"/>
      <c r="H30" s="85"/>
      <c r="I30" s="85"/>
      <c r="J30" s="85"/>
      <c r="K30" s="85"/>
      <c r="L30" s="85"/>
      <c r="M30" s="85"/>
      <c r="N30" s="84"/>
      <c r="O30" s="85"/>
      <c r="P30" s="85"/>
      <c r="Q30" s="85"/>
      <c r="R30" s="85"/>
      <c r="S30" s="85"/>
      <c r="T30" s="85"/>
      <c r="U30" s="85"/>
      <c r="V30" s="85"/>
      <c r="W30" s="85"/>
      <c r="X30" s="85"/>
      <c r="Y30" s="85"/>
      <c r="Z30" s="85"/>
      <c r="AA30" s="85"/>
      <c r="AB30" s="85"/>
      <c r="AC30" s="85"/>
      <c r="AD30" s="85"/>
      <c r="AE30" s="85"/>
      <c r="AF30" s="85"/>
      <c r="AG30" s="85"/>
    </row>
    <row r="31">
      <c r="A31" s="88" t="s">
        <v>317</v>
      </c>
      <c r="B31" s="85" t="s">
        <v>318</v>
      </c>
      <c r="C31" s="87" t="s">
        <v>319</v>
      </c>
      <c r="D31" s="87" t="s">
        <v>320</v>
      </c>
      <c r="E31" s="85"/>
      <c r="F31" s="85"/>
      <c r="G31" s="85"/>
      <c r="H31" s="85"/>
      <c r="I31" s="85"/>
      <c r="J31" s="85"/>
      <c r="K31" s="85"/>
      <c r="L31" s="85"/>
      <c r="M31" s="85"/>
      <c r="N31" s="85"/>
      <c r="O31" s="85"/>
      <c r="P31" s="85"/>
      <c r="Q31" s="85"/>
      <c r="R31" s="85"/>
      <c r="S31" s="85"/>
      <c r="T31" s="85"/>
      <c r="U31" s="85"/>
      <c r="V31" s="85"/>
      <c r="W31" s="85"/>
      <c r="X31" s="85"/>
      <c r="Y31" s="85"/>
      <c r="Z31" s="85"/>
      <c r="AA31" s="85"/>
      <c r="AB31" s="85"/>
      <c r="AC31" s="85"/>
      <c r="AD31" s="85"/>
      <c r="AE31" s="85"/>
      <c r="AF31" s="85"/>
      <c r="AG31" s="85"/>
    </row>
    <row r="32">
      <c r="A32" s="88" t="s">
        <v>187</v>
      </c>
      <c r="B32" s="85" t="s">
        <v>321</v>
      </c>
      <c r="C32" s="87" t="s">
        <v>322</v>
      </c>
      <c r="D32" s="87" t="s">
        <v>323</v>
      </c>
      <c r="E32" s="85"/>
      <c r="F32" s="85"/>
      <c r="G32" s="85"/>
      <c r="H32" s="85"/>
      <c r="I32" s="85"/>
      <c r="J32" s="85"/>
      <c r="K32" s="85"/>
      <c r="L32" s="85"/>
      <c r="M32" s="85"/>
      <c r="N32" s="85"/>
      <c r="O32" s="85"/>
      <c r="P32" s="85"/>
      <c r="Q32" s="85"/>
      <c r="R32" s="85"/>
      <c r="S32" s="85"/>
      <c r="T32" s="85"/>
      <c r="U32" s="85"/>
      <c r="V32" s="85"/>
      <c r="W32" s="85"/>
      <c r="X32" s="85"/>
      <c r="Y32" s="85"/>
      <c r="Z32" s="85"/>
      <c r="AA32" s="85"/>
      <c r="AB32" s="85"/>
      <c r="AC32" s="85"/>
      <c r="AD32" s="85"/>
      <c r="AE32" s="85"/>
      <c r="AF32" s="85"/>
      <c r="AG32" s="85"/>
    </row>
    <row r="33">
      <c r="A33" s="88" t="s">
        <v>102</v>
      </c>
      <c r="B33" s="85" t="s">
        <v>324</v>
      </c>
      <c r="C33" s="87" t="s">
        <v>325</v>
      </c>
      <c r="D33" s="87" t="s">
        <v>326</v>
      </c>
      <c r="E33" s="85"/>
      <c r="F33" s="85"/>
      <c r="G33" s="85"/>
      <c r="H33" s="85"/>
      <c r="I33" s="85"/>
      <c r="J33" s="85"/>
      <c r="K33" s="85"/>
      <c r="L33" s="85"/>
      <c r="M33" s="85"/>
      <c r="N33" s="85"/>
      <c r="O33" s="85"/>
      <c r="P33" s="85"/>
      <c r="Q33" s="85"/>
      <c r="R33" s="85"/>
      <c r="S33" s="85"/>
      <c r="T33" s="85"/>
      <c r="U33" s="85"/>
      <c r="V33" s="85"/>
      <c r="W33" s="85"/>
      <c r="X33" s="85"/>
      <c r="Y33" s="85"/>
      <c r="Z33" s="85"/>
      <c r="AA33" s="85"/>
      <c r="AB33" s="85"/>
      <c r="AC33" s="85"/>
      <c r="AD33" s="85"/>
      <c r="AE33" s="85"/>
      <c r="AF33" s="85"/>
      <c r="AG33" s="85"/>
    </row>
    <row r="34">
      <c r="A34" s="88" t="s">
        <v>53</v>
      </c>
      <c r="B34" s="85" t="s">
        <v>327</v>
      </c>
      <c r="C34" s="87" t="s">
        <v>272</v>
      </c>
      <c r="D34" s="87" t="s">
        <v>328</v>
      </c>
      <c r="E34" s="85"/>
      <c r="F34" s="85"/>
      <c r="G34" s="85"/>
      <c r="H34" s="85"/>
      <c r="I34" s="85"/>
      <c r="J34" s="85"/>
      <c r="K34" s="85"/>
      <c r="L34" s="85"/>
      <c r="M34" s="85"/>
      <c r="N34" s="85"/>
      <c r="O34" s="85"/>
      <c r="P34" s="85"/>
      <c r="Q34" s="85"/>
      <c r="R34" s="85"/>
      <c r="S34" s="85"/>
      <c r="T34" s="85"/>
      <c r="U34" s="85"/>
      <c r="V34" s="85"/>
      <c r="W34" s="85"/>
      <c r="X34" s="85"/>
      <c r="Y34" s="85"/>
      <c r="Z34" s="85"/>
      <c r="AA34" s="85"/>
      <c r="AB34" s="85"/>
      <c r="AC34" s="85"/>
      <c r="AD34" s="85"/>
      <c r="AE34" s="85"/>
      <c r="AF34" s="85"/>
      <c r="AG34" s="85"/>
    </row>
    <row r="35">
      <c r="A35" s="84" t="s">
        <v>329</v>
      </c>
      <c r="B35" s="84" t="s">
        <v>330</v>
      </c>
      <c r="C35" s="87"/>
      <c r="D35" s="83" t="s">
        <v>331</v>
      </c>
      <c r="E35" s="85"/>
      <c r="F35" s="85"/>
      <c r="G35" s="85"/>
      <c r="H35" s="85"/>
      <c r="I35" s="85"/>
      <c r="J35" s="85"/>
      <c r="K35" s="85"/>
      <c r="L35" s="85"/>
      <c r="M35" s="85"/>
      <c r="N35" s="85"/>
      <c r="O35" s="85"/>
      <c r="P35" s="85"/>
      <c r="Q35" s="85"/>
      <c r="R35" s="85"/>
      <c r="S35" s="85"/>
      <c r="T35" s="85"/>
      <c r="U35" s="85"/>
      <c r="V35" s="85"/>
      <c r="W35" s="85"/>
      <c r="X35" s="85"/>
      <c r="Y35" s="85"/>
      <c r="Z35" s="85"/>
      <c r="AA35" s="85"/>
      <c r="AB35" s="85"/>
      <c r="AC35" s="85"/>
      <c r="AD35" s="85"/>
      <c r="AE35" s="85"/>
      <c r="AF35" s="85"/>
      <c r="AG35" s="85"/>
    </row>
    <row r="36">
      <c r="A36" s="115" t="s">
        <v>332</v>
      </c>
      <c r="B36" s="115" t="s">
        <v>333</v>
      </c>
      <c r="C36" s="87"/>
      <c r="D36" s="87"/>
      <c r="E36" s="85"/>
      <c r="F36" s="85"/>
      <c r="G36" s="85"/>
      <c r="H36" s="85"/>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row>
    <row r="37">
      <c r="A37" s="84" t="s">
        <v>334</v>
      </c>
      <c r="B37" s="84" t="s">
        <v>335</v>
      </c>
      <c r="C37" s="87"/>
      <c r="D37" s="87"/>
      <c r="E37" s="85"/>
      <c r="F37" s="85"/>
      <c r="G37" s="85"/>
      <c r="H37" s="85"/>
      <c r="I37" s="85"/>
      <c r="J37" s="85"/>
      <c r="K37" s="85"/>
      <c r="L37" s="85"/>
      <c r="M37" s="85"/>
      <c r="N37" s="85"/>
      <c r="O37" s="85"/>
      <c r="P37" s="85"/>
      <c r="Q37" s="85"/>
      <c r="R37" s="85"/>
      <c r="S37" s="85"/>
      <c r="T37" s="85"/>
      <c r="U37" s="85"/>
      <c r="V37" s="85"/>
      <c r="W37" s="85"/>
      <c r="X37" s="85"/>
      <c r="Y37" s="85"/>
      <c r="Z37" s="85"/>
      <c r="AA37" s="85"/>
      <c r="AB37" s="85"/>
      <c r="AC37" s="85"/>
      <c r="AD37" s="85"/>
      <c r="AE37" s="85"/>
      <c r="AF37" s="85"/>
      <c r="AG37" s="85"/>
    </row>
    <row r="38">
      <c r="A38" s="65" t="s">
        <v>336</v>
      </c>
      <c r="B38" s="84" t="s">
        <v>337</v>
      </c>
      <c r="C38" s="87"/>
      <c r="D38" s="83" t="s">
        <v>338</v>
      </c>
      <c r="E38" s="85"/>
      <c r="F38" s="85"/>
      <c r="G38" s="85"/>
      <c r="H38" s="85"/>
      <c r="I38" s="85"/>
      <c r="J38" s="85"/>
      <c r="K38" s="85"/>
      <c r="L38" s="85"/>
      <c r="M38" s="85"/>
      <c r="N38" s="85"/>
      <c r="O38" s="85"/>
      <c r="P38" s="85"/>
      <c r="Q38" s="85"/>
      <c r="R38" s="85"/>
      <c r="S38" s="85"/>
      <c r="T38" s="85"/>
      <c r="U38" s="85"/>
      <c r="V38" s="85"/>
      <c r="W38" s="85"/>
      <c r="X38" s="85"/>
      <c r="Y38" s="85"/>
      <c r="Z38" s="85"/>
      <c r="AA38" s="85"/>
      <c r="AB38" s="85"/>
      <c r="AC38" s="85"/>
      <c r="AD38" s="85"/>
      <c r="AE38" s="85"/>
      <c r="AF38" s="85"/>
      <c r="AG38" s="85"/>
    </row>
    <row r="39">
      <c r="A39" s="84" t="s">
        <v>339</v>
      </c>
      <c r="B39" s="84" t="s">
        <v>340</v>
      </c>
      <c r="C39" s="87"/>
      <c r="D39" s="83" t="s">
        <v>341</v>
      </c>
      <c r="E39" s="85"/>
      <c r="F39" s="85"/>
      <c r="G39" s="85"/>
      <c r="H39" s="85"/>
      <c r="I39" s="85"/>
      <c r="J39" s="85"/>
      <c r="K39" s="85"/>
      <c r="L39" s="85"/>
      <c r="M39" s="85"/>
      <c r="N39" s="85"/>
      <c r="O39" s="85"/>
      <c r="P39" s="85"/>
      <c r="Q39" s="85"/>
      <c r="R39" s="85"/>
      <c r="S39" s="85"/>
      <c r="T39" s="85"/>
      <c r="U39" s="85"/>
      <c r="V39" s="85"/>
      <c r="W39" s="85"/>
      <c r="X39" s="85"/>
      <c r="Y39" s="85"/>
      <c r="Z39" s="85"/>
      <c r="AA39" s="85"/>
      <c r="AB39" s="85"/>
      <c r="AC39" s="85"/>
      <c r="AD39" s="85"/>
      <c r="AE39" s="85"/>
      <c r="AF39" s="85"/>
      <c r="AG39" s="85"/>
    </row>
    <row r="40">
      <c r="A40" s="84" t="s">
        <v>342</v>
      </c>
      <c r="B40" s="84" t="s">
        <v>343</v>
      </c>
      <c r="C40" s="116" t="s">
        <v>344</v>
      </c>
      <c r="D40" s="117" t="s">
        <v>345</v>
      </c>
      <c r="E40" s="84" t="s">
        <v>213</v>
      </c>
      <c r="F40" s="85"/>
      <c r="G40" s="85"/>
      <c r="H40" s="85"/>
      <c r="I40" s="85"/>
      <c r="J40" s="85"/>
      <c r="K40" s="85"/>
      <c r="L40" s="85"/>
      <c r="M40" s="85"/>
      <c r="N40" s="85"/>
      <c r="O40" s="85"/>
      <c r="P40" s="85"/>
      <c r="Q40" s="85"/>
      <c r="R40" s="85"/>
      <c r="S40" s="85"/>
      <c r="T40" s="85"/>
      <c r="U40" s="85"/>
      <c r="V40" s="85"/>
      <c r="W40" s="85"/>
      <c r="X40" s="85"/>
      <c r="Y40" s="85"/>
      <c r="Z40" s="85"/>
      <c r="AA40" s="85"/>
      <c r="AB40" s="85"/>
      <c r="AC40" s="85"/>
      <c r="AD40" s="85"/>
      <c r="AE40" s="85"/>
      <c r="AF40" s="85"/>
      <c r="AG40" s="85"/>
    </row>
    <row r="41">
      <c r="A41" s="84" t="s">
        <v>346</v>
      </c>
      <c r="B41" s="84" t="s">
        <v>347</v>
      </c>
      <c r="C41" s="118" t="s">
        <v>348</v>
      </c>
      <c r="D41" s="87"/>
      <c r="E41" s="84" t="s">
        <v>205</v>
      </c>
      <c r="F41" s="85"/>
      <c r="G41" s="85"/>
      <c r="H41" s="85"/>
      <c r="I41" s="85"/>
      <c r="J41" s="85"/>
      <c r="K41" s="85"/>
      <c r="L41" s="85"/>
      <c r="M41" s="85"/>
      <c r="N41" s="85"/>
      <c r="O41" s="85"/>
      <c r="P41" s="85"/>
      <c r="Q41" s="85"/>
      <c r="R41" s="85"/>
      <c r="S41" s="85"/>
      <c r="T41" s="85"/>
      <c r="U41" s="85"/>
      <c r="V41" s="85"/>
      <c r="W41" s="85"/>
      <c r="X41" s="85"/>
      <c r="Y41" s="85"/>
      <c r="Z41" s="85"/>
      <c r="AA41" s="85"/>
      <c r="AB41" s="85"/>
      <c r="AC41" s="85"/>
      <c r="AD41" s="85"/>
      <c r="AE41" s="85"/>
      <c r="AF41" s="85"/>
      <c r="AG41" s="85"/>
    </row>
    <row r="42">
      <c r="A42" s="84" t="s">
        <v>349</v>
      </c>
      <c r="B42" s="84" t="s">
        <v>350</v>
      </c>
      <c r="C42" s="85" t="s">
        <v>351</v>
      </c>
      <c r="D42" s="87"/>
      <c r="E42" s="84" t="s">
        <v>352</v>
      </c>
      <c r="F42" s="85"/>
      <c r="G42" s="85"/>
      <c r="H42" s="85"/>
      <c r="I42" s="85"/>
      <c r="J42" s="85"/>
      <c r="K42" s="85"/>
      <c r="L42" s="85"/>
      <c r="M42" s="85"/>
      <c r="N42" s="85"/>
      <c r="O42" s="85"/>
      <c r="P42" s="85"/>
      <c r="Q42" s="85"/>
      <c r="R42" s="85"/>
      <c r="S42" s="85"/>
      <c r="T42" s="85"/>
      <c r="U42" s="85"/>
      <c r="V42" s="85"/>
      <c r="W42" s="85"/>
      <c r="X42" s="85"/>
      <c r="Y42" s="85"/>
      <c r="Z42" s="85"/>
      <c r="AA42" s="85"/>
      <c r="AB42" s="85"/>
      <c r="AC42" s="85"/>
      <c r="AD42" s="85"/>
      <c r="AE42" s="85"/>
      <c r="AF42" s="85"/>
      <c r="AG42" s="85"/>
    </row>
    <row r="43">
      <c r="A43" s="84" t="s">
        <v>353</v>
      </c>
      <c r="B43" s="84" t="s">
        <v>354</v>
      </c>
      <c r="C43" s="85" t="s">
        <v>355</v>
      </c>
      <c r="D43" s="87" t="s">
        <v>356</v>
      </c>
      <c r="E43" s="84" t="s">
        <v>116</v>
      </c>
      <c r="F43" s="85"/>
      <c r="G43" s="85"/>
      <c r="H43" s="85"/>
      <c r="I43" s="85"/>
      <c r="J43" s="85"/>
      <c r="K43" s="85"/>
      <c r="L43" s="85"/>
      <c r="M43" s="85"/>
      <c r="N43" s="85"/>
      <c r="O43" s="85"/>
      <c r="P43" s="85"/>
      <c r="Q43" s="85"/>
      <c r="R43" s="85"/>
      <c r="S43" s="85"/>
      <c r="T43" s="85"/>
      <c r="U43" s="85"/>
      <c r="V43" s="85"/>
      <c r="W43" s="85"/>
      <c r="X43" s="85"/>
      <c r="Y43" s="85"/>
      <c r="Z43" s="85"/>
      <c r="AA43" s="85"/>
      <c r="AB43" s="85"/>
      <c r="AC43" s="85"/>
      <c r="AD43" s="85"/>
      <c r="AE43" s="85"/>
      <c r="AF43" s="85"/>
      <c r="AG43" s="85"/>
    </row>
    <row r="44">
      <c r="A44" s="84" t="s">
        <v>357</v>
      </c>
      <c r="B44" s="84" t="s">
        <v>358</v>
      </c>
      <c r="C44" s="83" t="s">
        <v>359</v>
      </c>
      <c r="D44" s="83" t="s">
        <v>360</v>
      </c>
      <c r="E44" s="85"/>
      <c r="F44" s="85"/>
      <c r="G44" s="85"/>
      <c r="H44" s="85"/>
      <c r="I44" s="85"/>
      <c r="J44" s="85"/>
      <c r="K44" s="85"/>
      <c r="L44" s="85"/>
      <c r="M44" s="85"/>
      <c r="N44" s="85"/>
      <c r="O44" s="85"/>
      <c r="P44" s="85"/>
      <c r="Q44" s="85"/>
      <c r="R44" s="85"/>
      <c r="S44" s="85"/>
      <c r="T44" s="85"/>
      <c r="U44" s="85"/>
      <c r="V44" s="85"/>
      <c r="W44" s="85"/>
      <c r="X44" s="85"/>
      <c r="Y44" s="85"/>
      <c r="Z44" s="85"/>
      <c r="AA44" s="85"/>
      <c r="AB44" s="85"/>
      <c r="AC44" s="85"/>
      <c r="AD44" s="85"/>
      <c r="AE44" s="85"/>
      <c r="AF44" s="85"/>
      <c r="AG44" s="85"/>
    </row>
    <row r="45">
      <c r="A45" s="85"/>
      <c r="B45" s="85"/>
      <c r="C45" s="87"/>
      <c r="D45" s="87"/>
      <c r="E45" s="85"/>
      <c r="F45" s="85"/>
      <c r="G45" s="85"/>
      <c r="H45" s="85"/>
      <c r="I45" s="85"/>
      <c r="J45" s="85"/>
      <c r="K45" s="85"/>
      <c r="L45" s="85"/>
      <c r="M45" s="85"/>
      <c r="N45" s="85"/>
      <c r="O45" s="85"/>
      <c r="P45" s="85"/>
      <c r="Q45" s="85"/>
      <c r="R45" s="85"/>
      <c r="S45" s="85"/>
      <c r="T45" s="85"/>
      <c r="U45" s="85"/>
      <c r="V45" s="85"/>
      <c r="W45" s="85"/>
      <c r="X45" s="85"/>
      <c r="Y45" s="85"/>
      <c r="Z45" s="85"/>
      <c r="AA45" s="85"/>
      <c r="AB45" s="85"/>
      <c r="AC45" s="85"/>
      <c r="AD45" s="85"/>
      <c r="AE45" s="85"/>
      <c r="AF45" s="85"/>
      <c r="AG45" s="85"/>
    </row>
    <row r="46">
      <c r="A46" s="85"/>
      <c r="B46" s="85"/>
      <c r="C46" s="87"/>
      <c r="D46" s="87"/>
      <c r="E46" s="85"/>
      <c r="F46" s="85"/>
      <c r="G46" s="85"/>
      <c r="H46" s="85"/>
      <c r="I46" s="85"/>
      <c r="J46" s="85"/>
      <c r="K46" s="85"/>
      <c r="L46" s="85"/>
      <c r="M46" s="85"/>
      <c r="N46" s="85"/>
      <c r="O46" s="85"/>
      <c r="P46" s="85"/>
      <c r="Q46" s="85"/>
      <c r="R46" s="85"/>
      <c r="S46" s="85"/>
      <c r="T46" s="85"/>
      <c r="U46" s="85"/>
      <c r="V46" s="85"/>
      <c r="W46" s="85"/>
      <c r="X46" s="85"/>
      <c r="Y46" s="85"/>
      <c r="Z46" s="85"/>
      <c r="AA46" s="85"/>
      <c r="AB46" s="85"/>
      <c r="AC46" s="85"/>
      <c r="AD46" s="85"/>
      <c r="AE46" s="85"/>
      <c r="AF46" s="85"/>
      <c r="AG46" s="85"/>
    </row>
    <row r="47">
      <c r="A47" s="85"/>
      <c r="B47" s="85"/>
      <c r="C47" s="87"/>
      <c r="D47" s="87"/>
      <c r="E47" s="85"/>
      <c r="F47" s="85"/>
      <c r="G47" s="85"/>
      <c r="H47" s="85"/>
      <c r="I47" s="85"/>
      <c r="J47" s="85"/>
      <c r="K47" s="85"/>
      <c r="L47" s="85"/>
      <c r="M47" s="85"/>
      <c r="N47" s="85"/>
      <c r="O47" s="85"/>
      <c r="P47" s="85"/>
      <c r="Q47" s="85"/>
      <c r="R47" s="85"/>
      <c r="S47" s="85"/>
      <c r="T47" s="85"/>
      <c r="U47" s="85"/>
      <c r="V47" s="85"/>
      <c r="W47" s="85"/>
      <c r="X47" s="85"/>
      <c r="Y47" s="85"/>
      <c r="Z47" s="85"/>
      <c r="AA47" s="85"/>
      <c r="AB47" s="85"/>
      <c r="AC47" s="85"/>
      <c r="AD47" s="85"/>
      <c r="AE47" s="85"/>
      <c r="AF47" s="85"/>
      <c r="AG47" s="85"/>
    </row>
    <row r="48">
      <c r="A48" s="85"/>
      <c r="B48" s="85"/>
      <c r="C48" s="87"/>
      <c r="D48" s="87"/>
      <c r="E48" s="85"/>
      <c r="F48" s="85"/>
      <c r="G48" s="85"/>
      <c r="H48" s="85"/>
      <c r="I48" s="85"/>
      <c r="J48" s="85"/>
      <c r="K48" s="85"/>
      <c r="L48" s="85"/>
      <c r="M48" s="85"/>
      <c r="N48" s="85"/>
      <c r="O48" s="85"/>
      <c r="P48" s="85"/>
      <c r="Q48" s="85"/>
      <c r="R48" s="85"/>
      <c r="S48" s="85"/>
      <c r="T48" s="85"/>
      <c r="U48" s="85"/>
      <c r="V48" s="85"/>
      <c r="W48" s="85"/>
      <c r="X48" s="85"/>
      <c r="Y48" s="85"/>
      <c r="Z48" s="85"/>
      <c r="AA48" s="85"/>
      <c r="AB48" s="85"/>
      <c r="AC48" s="85"/>
      <c r="AD48" s="85"/>
      <c r="AE48" s="85"/>
      <c r="AF48" s="85"/>
      <c r="AG48" s="85"/>
    </row>
    <row r="49">
      <c r="A49" s="85"/>
      <c r="B49" s="85"/>
      <c r="C49" s="87"/>
      <c r="D49" s="87"/>
      <c r="E49" s="85"/>
      <c r="F49" s="85"/>
      <c r="G49" s="85"/>
      <c r="H49" s="85"/>
      <c r="I49" s="85"/>
      <c r="J49" s="85"/>
      <c r="K49" s="85"/>
      <c r="L49" s="85"/>
      <c r="M49" s="85"/>
      <c r="N49" s="85"/>
      <c r="O49" s="85"/>
      <c r="P49" s="85"/>
      <c r="Q49" s="85"/>
      <c r="R49" s="85"/>
      <c r="S49" s="85"/>
      <c r="T49" s="85"/>
      <c r="U49" s="85"/>
      <c r="V49" s="85"/>
      <c r="W49" s="85"/>
      <c r="X49" s="85"/>
      <c r="Y49" s="85"/>
      <c r="Z49" s="85"/>
      <c r="AA49" s="85"/>
      <c r="AB49" s="85"/>
      <c r="AC49" s="85"/>
      <c r="AD49" s="85"/>
      <c r="AE49" s="85"/>
      <c r="AF49" s="85"/>
      <c r="AG49" s="85"/>
    </row>
    <row r="50">
      <c r="A50" s="85"/>
      <c r="B50" s="85"/>
      <c r="C50" s="87"/>
      <c r="D50" s="87"/>
      <c r="E50" s="85"/>
      <c r="F50" s="85"/>
      <c r="G50" s="85"/>
      <c r="H50" s="85"/>
      <c r="I50" s="85"/>
      <c r="J50" s="85"/>
      <c r="K50" s="85"/>
      <c r="L50" s="85"/>
      <c r="M50" s="85"/>
      <c r="N50" s="85"/>
      <c r="O50" s="85"/>
      <c r="P50" s="85"/>
      <c r="Q50" s="85"/>
      <c r="R50" s="85"/>
      <c r="S50" s="85"/>
      <c r="T50" s="85"/>
      <c r="U50" s="85"/>
      <c r="V50" s="85"/>
      <c r="W50" s="85"/>
      <c r="X50" s="85"/>
      <c r="Y50" s="85"/>
      <c r="Z50" s="85"/>
      <c r="AA50" s="85"/>
      <c r="AB50" s="85"/>
      <c r="AC50" s="85"/>
      <c r="AD50" s="85"/>
      <c r="AE50" s="85"/>
      <c r="AF50" s="85"/>
      <c r="AG50" s="85"/>
    </row>
    <row r="51">
      <c r="A51" s="85"/>
      <c r="B51" s="85"/>
      <c r="C51" s="87"/>
      <c r="D51" s="87"/>
      <c r="E51" s="85"/>
      <c r="F51" s="85"/>
      <c r="G51" s="85"/>
      <c r="H51" s="85"/>
      <c r="I51" s="85"/>
      <c r="J51" s="85"/>
      <c r="K51" s="85"/>
      <c r="L51" s="85"/>
      <c r="M51" s="85"/>
      <c r="N51" s="85"/>
      <c r="O51" s="85"/>
      <c r="P51" s="85"/>
      <c r="Q51" s="85"/>
      <c r="R51" s="85"/>
      <c r="S51" s="85"/>
      <c r="T51" s="85"/>
      <c r="U51" s="85"/>
      <c r="V51" s="85"/>
      <c r="W51" s="85"/>
      <c r="X51" s="85"/>
      <c r="Y51" s="85"/>
      <c r="Z51" s="85"/>
      <c r="AA51" s="85"/>
      <c r="AB51" s="85"/>
      <c r="AC51" s="85"/>
      <c r="AD51" s="85"/>
      <c r="AE51" s="85"/>
      <c r="AF51" s="85"/>
      <c r="AG51" s="85"/>
    </row>
    <row r="52">
      <c r="A52" s="85"/>
      <c r="B52" s="85"/>
      <c r="C52" s="87"/>
      <c r="D52" s="87"/>
      <c r="E52" s="85"/>
      <c r="F52" s="85"/>
      <c r="G52" s="85"/>
      <c r="H52" s="85"/>
      <c r="I52" s="85"/>
      <c r="J52" s="85"/>
      <c r="K52" s="85"/>
      <c r="L52" s="85"/>
      <c r="M52" s="85"/>
      <c r="N52" s="85"/>
      <c r="O52" s="85"/>
      <c r="P52" s="85"/>
      <c r="Q52" s="85"/>
      <c r="R52" s="85"/>
      <c r="S52" s="85"/>
      <c r="T52" s="85"/>
      <c r="U52" s="85"/>
      <c r="V52" s="85"/>
      <c r="W52" s="85"/>
      <c r="X52" s="85"/>
      <c r="Y52" s="85"/>
      <c r="Z52" s="85"/>
      <c r="AA52" s="85"/>
      <c r="AB52" s="85"/>
      <c r="AC52" s="85"/>
      <c r="AD52" s="85"/>
      <c r="AE52" s="85"/>
      <c r="AF52" s="85"/>
      <c r="AG52" s="85"/>
    </row>
    <row r="53">
      <c r="A53" s="85"/>
      <c r="B53" s="85"/>
      <c r="C53" s="87"/>
      <c r="D53" s="87"/>
      <c r="E53" s="85"/>
      <c r="F53" s="85"/>
      <c r="G53" s="85"/>
      <c r="H53" s="85"/>
      <c r="I53" s="85"/>
      <c r="J53" s="85"/>
      <c r="K53" s="85"/>
      <c r="L53" s="85"/>
      <c r="M53" s="85"/>
      <c r="N53" s="85"/>
      <c r="O53" s="85"/>
      <c r="P53" s="85"/>
      <c r="Q53" s="85"/>
      <c r="R53" s="85"/>
      <c r="S53" s="85"/>
      <c r="T53" s="85"/>
      <c r="U53" s="85"/>
      <c r="V53" s="85"/>
      <c r="W53" s="85"/>
      <c r="X53" s="85"/>
      <c r="Y53" s="85"/>
      <c r="Z53" s="85"/>
      <c r="AA53" s="85"/>
      <c r="AB53" s="85"/>
      <c r="AC53" s="85"/>
      <c r="AD53" s="85"/>
      <c r="AE53" s="85"/>
      <c r="AF53" s="85"/>
      <c r="AG53" s="85"/>
    </row>
    <row r="54">
      <c r="A54" s="85"/>
      <c r="B54" s="85"/>
      <c r="C54" s="87"/>
      <c r="D54" s="87"/>
      <c r="E54" s="85"/>
      <c r="F54" s="85"/>
      <c r="G54" s="85"/>
      <c r="H54" s="85"/>
      <c r="I54" s="85"/>
      <c r="J54" s="85"/>
      <c r="K54" s="85"/>
      <c r="L54" s="85"/>
      <c r="M54" s="85"/>
      <c r="N54" s="85"/>
      <c r="O54" s="85"/>
      <c r="P54" s="85"/>
      <c r="Q54" s="85"/>
      <c r="R54" s="85"/>
      <c r="S54" s="85"/>
      <c r="T54" s="85"/>
      <c r="U54" s="85"/>
      <c r="V54" s="85"/>
      <c r="W54" s="85"/>
      <c r="X54" s="85"/>
      <c r="Y54" s="85"/>
      <c r="Z54" s="85"/>
      <c r="AA54" s="85"/>
      <c r="AB54" s="85"/>
      <c r="AC54" s="85"/>
      <c r="AD54" s="85"/>
      <c r="AE54" s="85"/>
      <c r="AF54" s="85"/>
      <c r="AG54" s="85"/>
    </row>
    <row r="55">
      <c r="A55" s="85"/>
      <c r="B55" s="85"/>
      <c r="C55" s="87"/>
      <c r="D55" s="87"/>
      <c r="E55" s="85"/>
      <c r="F55" s="85"/>
      <c r="G55" s="85"/>
      <c r="H55" s="85"/>
      <c r="I55" s="85"/>
      <c r="J55" s="85"/>
      <c r="K55" s="85"/>
      <c r="L55" s="85"/>
      <c r="M55" s="85"/>
      <c r="N55" s="85"/>
      <c r="O55" s="85"/>
      <c r="P55" s="85"/>
      <c r="Q55" s="85"/>
      <c r="R55" s="85"/>
      <c r="S55" s="85"/>
      <c r="T55" s="85"/>
      <c r="U55" s="85"/>
      <c r="V55" s="85"/>
      <c r="W55" s="85"/>
      <c r="X55" s="85"/>
      <c r="Y55" s="85"/>
      <c r="Z55" s="85"/>
      <c r="AA55" s="85"/>
      <c r="AB55" s="85"/>
      <c r="AC55" s="85"/>
      <c r="AD55" s="85"/>
      <c r="AE55" s="85"/>
      <c r="AF55" s="85"/>
      <c r="AG55" s="85"/>
    </row>
    <row r="56">
      <c r="A56" s="85"/>
      <c r="B56" s="85"/>
      <c r="C56" s="87"/>
      <c r="D56" s="87"/>
      <c r="E56" s="85"/>
      <c r="F56" s="85"/>
      <c r="G56" s="85"/>
      <c r="H56" s="85"/>
      <c r="I56" s="85"/>
      <c r="J56" s="85"/>
      <c r="K56" s="85"/>
      <c r="L56" s="85"/>
      <c r="M56" s="85"/>
      <c r="N56" s="85"/>
      <c r="O56" s="85"/>
      <c r="P56" s="85"/>
      <c r="Q56" s="85"/>
      <c r="R56" s="85"/>
      <c r="S56" s="85"/>
      <c r="T56" s="85"/>
      <c r="U56" s="85"/>
      <c r="V56" s="85"/>
      <c r="W56" s="85"/>
      <c r="X56" s="85"/>
      <c r="Y56" s="85"/>
      <c r="Z56" s="85"/>
      <c r="AA56" s="85"/>
      <c r="AB56" s="85"/>
      <c r="AC56" s="85"/>
      <c r="AD56" s="85"/>
      <c r="AE56" s="85"/>
      <c r="AF56" s="85"/>
      <c r="AG56" s="85"/>
    </row>
    <row r="57">
      <c r="A57" s="85"/>
      <c r="B57" s="85"/>
      <c r="C57" s="87"/>
      <c r="D57" s="87"/>
      <c r="E57" s="85"/>
      <c r="F57" s="85"/>
      <c r="G57" s="85"/>
      <c r="H57" s="85"/>
      <c r="I57" s="85"/>
      <c r="J57" s="85"/>
      <c r="K57" s="85"/>
      <c r="L57" s="85"/>
      <c r="M57" s="85"/>
      <c r="N57" s="85"/>
      <c r="O57" s="85"/>
      <c r="P57" s="85"/>
      <c r="Q57" s="85"/>
      <c r="R57" s="85"/>
      <c r="S57" s="85"/>
      <c r="T57" s="85"/>
      <c r="U57" s="85"/>
      <c r="V57" s="85"/>
      <c r="W57" s="85"/>
      <c r="X57" s="85"/>
      <c r="Y57" s="85"/>
      <c r="Z57" s="85"/>
      <c r="AA57" s="85"/>
      <c r="AB57" s="85"/>
      <c r="AC57" s="85"/>
      <c r="AD57" s="85"/>
      <c r="AE57" s="85"/>
      <c r="AF57" s="85"/>
      <c r="AG57" s="85"/>
    </row>
    <row r="58">
      <c r="A58" s="85"/>
      <c r="B58" s="85"/>
      <c r="C58" s="87"/>
      <c r="D58" s="87"/>
      <c r="E58" s="85"/>
      <c r="F58" s="85"/>
      <c r="G58" s="85"/>
      <c r="H58" s="85"/>
      <c r="I58" s="85"/>
      <c r="J58" s="85"/>
      <c r="K58" s="85"/>
      <c r="L58" s="85"/>
      <c r="M58" s="85"/>
      <c r="N58" s="85"/>
      <c r="O58" s="85"/>
      <c r="P58" s="85"/>
      <c r="Q58" s="85"/>
      <c r="R58" s="85"/>
      <c r="S58" s="85"/>
      <c r="T58" s="85"/>
      <c r="U58" s="85"/>
      <c r="V58" s="85"/>
      <c r="W58" s="85"/>
      <c r="X58" s="85"/>
      <c r="Y58" s="85"/>
      <c r="Z58" s="85"/>
      <c r="AA58" s="85"/>
      <c r="AB58" s="85"/>
      <c r="AC58" s="85"/>
      <c r="AD58" s="85"/>
      <c r="AE58" s="85"/>
      <c r="AF58" s="85"/>
      <c r="AG58" s="85"/>
    </row>
    <row r="59">
      <c r="A59" s="85"/>
      <c r="B59" s="85"/>
      <c r="C59" s="87"/>
      <c r="D59" s="87"/>
      <c r="E59" s="85"/>
      <c r="F59" s="85"/>
      <c r="G59" s="85"/>
      <c r="H59" s="85"/>
      <c r="I59" s="85"/>
      <c r="J59" s="85"/>
      <c r="K59" s="85"/>
      <c r="L59" s="85"/>
      <c r="M59" s="85"/>
      <c r="N59" s="85"/>
      <c r="O59" s="85"/>
      <c r="P59" s="85"/>
      <c r="Q59" s="85"/>
      <c r="R59" s="85"/>
      <c r="S59" s="85"/>
      <c r="T59" s="85"/>
      <c r="U59" s="85"/>
      <c r="V59" s="85"/>
      <c r="W59" s="85"/>
      <c r="X59" s="85"/>
      <c r="Y59" s="85"/>
      <c r="Z59" s="85"/>
      <c r="AA59" s="85"/>
      <c r="AB59" s="85"/>
      <c r="AC59" s="85"/>
      <c r="AD59" s="85"/>
      <c r="AE59" s="85"/>
      <c r="AF59" s="85"/>
      <c r="AG59" s="85"/>
    </row>
    <row r="60">
      <c r="A60" s="85"/>
      <c r="B60" s="85"/>
      <c r="C60" s="87"/>
      <c r="D60" s="87"/>
      <c r="E60" s="85"/>
      <c r="F60" s="85"/>
      <c r="G60" s="85"/>
      <c r="H60" s="85"/>
      <c r="I60" s="85"/>
      <c r="J60" s="85"/>
      <c r="K60" s="85"/>
      <c r="L60" s="85"/>
      <c r="M60" s="85"/>
      <c r="N60" s="85"/>
      <c r="O60" s="85"/>
      <c r="P60" s="85"/>
      <c r="Q60" s="85"/>
      <c r="R60" s="85"/>
      <c r="S60" s="85"/>
      <c r="T60" s="85"/>
      <c r="U60" s="85"/>
      <c r="V60" s="85"/>
      <c r="W60" s="85"/>
      <c r="X60" s="85"/>
      <c r="Y60" s="85"/>
      <c r="Z60" s="85"/>
      <c r="AA60" s="85"/>
      <c r="AB60" s="85"/>
      <c r="AC60" s="85"/>
      <c r="AD60" s="85"/>
      <c r="AE60" s="85"/>
      <c r="AF60" s="85"/>
      <c r="AG60" s="85"/>
    </row>
    <row r="61">
      <c r="A61" s="85"/>
      <c r="B61" s="85"/>
      <c r="C61" s="87"/>
      <c r="D61" s="87"/>
      <c r="E61" s="85"/>
      <c r="F61" s="85"/>
      <c r="G61" s="85"/>
      <c r="H61" s="85"/>
      <c r="I61" s="85"/>
      <c r="J61" s="85"/>
      <c r="K61" s="85"/>
      <c r="L61" s="85"/>
      <c r="M61" s="85"/>
      <c r="N61" s="85"/>
      <c r="O61" s="85"/>
      <c r="P61" s="85"/>
      <c r="Q61" s="85"/>
      <c r="R61" s="85"/>
      <c r="S61" s="85"/>
      <c r="T61" s="85"/>
      <c r="U61" s="85"/>
      <c r="V61" s="85"/>
      <c r="W61" s="85"/>
      <c r="X61" s="85"/>
      <c r="Y61" s="85"/>
      <c r="Z61" s="85"/>
      <c r="AA61" s="85"/>
      <c r="AB61" s="85"/>
      <c r="AC61" s="85"/>
      <c r="AD61" s="85"/>
      <c r="AE61" s="85"/>
      <c r="AF61" s="85"/>
      <c r="AG61" s="85"/>
    </row>
    <row r="62">
      <c r="A62" s="85"/>
      <c r="B62" s="85"/>
      <c r="C62" s="87"/>
      <c r="D62" s="87"/>
      <c r="E62" s="85"/>
      <c r="F62" s="85"/>
      <c r="G62" s="85"/>
      <c r="H62" s="85"/>
      <c r="I62" s="85"/>
      <c r="J62" s="85"/>
      <c r="K62" s="85"/>
      <c r="L62" s="85"/>
      <c r="M62" s="85"/>
      <c r="N62" s="85"/>
      <c r="O62" s="85"/>
      <c r="P62" s="85"/>
      <c r="Q62" s="85"/>
      <c r="R62" s="85"/>
      <c r="S62" s="85"/>
      <c r="T62" s="85"/>
      <c r="U62" s="85"/>
      <c r="V62" s="85"/>
      <c r="W62" s="85"/>
      <c r="X62" s="85"/>
      <c r="Y62" s="85"/>
      <c r="Z62" s="85"/>
      <c r="AA62" s="85"/>
      <c r="AB62" s="85"/>
      <c r="AC62" s="85"/>
      <c r="AD62" s="85"/>
      <c r="AE62" s="85"/>
      <c r="AF62" s="85"/>
      <c r="AG62" s="85"/>
    </row>
    <row r="63">
      <c r="A63" s="85"/>
      <c r="B63" s="85"/>
      <c r="C63" s="87"/>
      <c r="D63" s="87"/>
      <c r="E63" s="85"/>
      <c r="F63" s="85"/>
      <c r="G63" s="85"/>
      <c r="H63" s="85"/>
      <c r="I63" s="85"/>
      <c r="J63" s="85"/>
      <c r="K63" s="85"/>
      <c r="L63" s="85"/>
      <c r="M63" s="85"/>
      <c r="N63" s="85"/>
      <c r="O63" s="85"/>
      <c r="P63" s="85"/>
      <c r="Q63" s="85"/>
      <c r="R63" s="85"/>
      <c r="S63" s="85"/>
      <c r="T63" s="85"/>
      <c r="U63" s="85"/>
      <c r="V63" s="85"/>
      <c r="W63" s="85"/>
      <c r="X63" s="85"/>
      <c r="Y63" s="85"/>
      <c r="Z63" s="85"/>
      <c r="AA63" s="85"/>
      <c r="AB63" s="85"/>
      <c r="AC63" s="85"/>
      <c r="AD63" s="85"/>
      <c r="AE63" s="85"/>
      <c r="AF63" s="85"/>
      <c r="AG63" s="85"/>
    </row>
    <row r="64">
      <c r="A64" s="85"/>
      <c r="B64" s="85"/>
      <c r="C64" s="87"/>
      <c r="D64" s="87"/>
      <c r="E64" s="85"/>
      <c r="F64" s="85"/>
      <c r="G64" s="85"/>
      <c r="H64" s="85"/>
      <c r="I64" s="85"/>
      <c r="J64" s="85"/>
      <c r="K64" s="85"/>
      <c r="L64" s="85"/>
      <c r="M64" s="85"/>
      <c r="N64" s="85"/>
      <c r="O64" s="85"/>
      <c r="P64" s="85"/>
      <c r="Q64" s="85"/>
      <c r="R64" s="85"/>
      <c r="S64" s="85"/>
      <c r="T64" s="85"/>
      <c r="U64" s="85"/>
      <c r="V64" s="85"/>
      <c r="W64" s="85"/>
      <c r="X64" s="85"/>
      <c r="Y64" s="85"/>
      <c r="Z64" s="85"/>
      <c r="AA64" s="85"/>
      <c r="AB64" s="85"/>
      <c r="AC64" s="85"/>
      <c r="AD64" s="85"/>
      <c r="AE64" s="85"/>
      <c r="AF64" s="85"/>
      <c r="AG64" s="85"/>
    </row>
    <row r="65">
      <c r="A65" s="85"/>
      <c r="B65" s="85"/>
      <c r="C65" s="87"/>
      <c r="D65" s="87"/>
      <c r="E65" s="85"/>
      <c r="F65" s="85"/>
      <c r="G65" s="85"/>
      <c r="H65" s="85"/>
      <c r="I65" s="85"/>
      <c r="J65" s="85"/>
      <c r="K65" s="85"/>
      <c r="L65" s="85"/>
      <c r="M65" s="85"/>
      <c r="N65" s="85"/>
      <c r="O65" s="85"/>
      <c r="P65" s="85"/>
      <c r="Q65" s="85"/>
      <c r="R65" s="85"/>
      <c r="S65" s="85"/>
      <c r="T65" s="85"/>
      <c r="U65" s="85"/>
      <c r="V65" s="85"/>
      <c r="W65" s="85"/>
      <c r="X65" s="85"/>
      <c r="Y65" s="85"/>
      <c r="Z65" s="85"/>
      <c r="AA65" s="85"/>
      <c r="AB65" s="85"/>
      <c r="AC65" s="85"/>
      <c r="AD65" s="85"/>
      <c r="AE65" s="85"/>
      <c r="AF65" s="85"/>
      <c r="AG65" s="85"/>
    </row>
    <row r="66">
      <c r="A66" s="85"/>
      <c r="B66" s="85"/>
      <c r="C66" s="87"/>
      <c r="D66" s="87"/>
      <c r="E66" s="85"/>
      <c r="F66" s="85"/>
      <c r="G66" s="85"/>
      <c r="H66" s="85"/>
      <c r="I66" s="85"/>
      <c r="J66" s="85"/>
      <c r="K66" s="85"/>
      <c r="L66" s="85"/>
      <c r="M66" s="85"/>
      <c r="N66" s="85"/>
      <c r="O66" s="85"/>
      <c r="P66" s="85"/>
      <c r="Q66" s="85"/>
      <c r="R66" s="85"/>
      <c r="S66" s="85"/>
      <c r="T66" s="85"/>
      <c r="U66" s="85"/>
      <c r="V66" s="85"/>
      <c r="W66" s="85"/>
      <c r="X66" s="85"/>
      <c r="Y66" s="85"/>
      <c r="Z66" s="85"/>
      <c r="AA66" s="85"/>
      <c r="AB66" s="85"/>
      <c r="AC66" s="85"/>
      <c r="AD66" s="85"/>
      <c r="AE66" s="85"/>
      <c r="AF66" s="85"/>
      <c r="AG66" s="85"/>
    </row>
    <row r="67">
      <c r="A67" s="85"/>
      <c r="B67" s="85"/>
      <c r="C67" s="87"/>
      <c r="D67" s="87"/>
      <c r="E67" s="85"/>
      <c r="F67" s="85"/>
      <c r="G67" s="85"/>
      <c r="H67" s="85"/>
      <c r="I67" s="85"/>
      <c r="J67" s="85"/>
      <c r="K67" s="85"/>
      <c r="L67" s="85"/>
      <c r="M67" s="85"/>
      <c r="N67" s="85"/>
      <c r="O67" s="85"/>
      <c r="P67" s="85"/>
      <c r="Q67" s="85"/>
      <c r="R67" s="85"/>
      <c r="S67" s="85"/>
      <c r="T67" s="85"/>
      <c r="U67" s="85"/>
      <c r="V67" s="85"/>
      <c r="W67" s="85"/>
      <c r="X67" s="85"/>
      <c r="Y67" s="85"/>
      <c r="Z67" s="85"/>
      <c r="AA67" s="85"/>
      <c r="AB67" s="85"/>
      <c r="AC67" s="85"/>
      <c r="AD67" s="85"/>
      <c r="AE67" s="85"/>
      <c r="AF67" s="85"/>
      <c r="AG67" s="85"/>
    </row>
    <row r="68">
      <c r="A68" s="85"/>
      <c r="B68" s="85"/>
      <c r="C68" s="87"/>
      <c r="D68" s="87"/>
      <c r="E68" s="85"/>
      <c r="F68" s="85"/>
      <c r="G68" s="85"/>
      <c r="H68" s="85"/>
      <c r="I68" s="85"/>
      <c r="J68" s="85"/>
      <c r="K68" s="85"/>
      <c r="L68" s="85"/>
      <c r="M68" s="85"/>
      <c r="N68" s="85"/>
      <c r="O68" s="85"/>
      <c r="P68" s="85"/>
      <c r="Q68" s="85"/>
      <c r="R68" s="85"/>
      <c r="S68" s="85"/>
      <c r="T68" s="85"/>
      <c r="U68" s="85"/>
      <c r="V68" s="85"/>
      <c r="W68" s="85"/>
      <c r="X68" s="85"/>
      <c r="Y68" s="85"/>
      <c r="Z68" s="85"/>
      <c r="AA68" s="85"/>
      <c r="AB68" s="85"/>
      <c r="AC68" s="85"/>
      <c r="AD68" s="85"/>
      <c r="AE68" s="85"/>
      <c r="AF68" s="85"/>
      <c r="AG68" s="85"/>
    </row>
    <row r="69">
      <c r="A69" s="85"/>
      <c r="B69" s="85"/>
      <c r="C69" s="87"/>
      <c r="D69" s="87"/>
      <c r="E69" s="85"/>
      <c r="F69" s="85"/>
      <c r="G69" s="85"/>
      <c r="H69" s="85"/>
      <c r="I69" s="85"/>
      <c r="J69" s="85"/>
      <c r="K69" s="85"/>
      <c r="L69" s="85"/>
      <c r="M69" s="85"/>
      <c r="N69" s="85"/>
      <c r="O69" s="85"/>
      <c r="P69" s="85"/>
      <c r="Q69" s="85"/>
      <c r="R69" s="85"/>
      <c r="S69" s="85"/>
      <c r="T69" s="85"/>
      <c r="U69" s="85"/>
      <c r="V69" s="85"/>
      <c r="W69" s="85"/>
      <c r="X69" s="85"/>
      <c r="Y69" s="85"/>
      <c r="Z69" s="85"/>
      <c r="AA69" s="85"/>
      <c r="AB69" s="85"/>
      <c r="AC69" s="85"/>
      <c r="AD69" s="85"/>
      <c r="AE69" s="85"/>
      <c r="AF69" s="85"/>
      <c r="AG69" s="85"/>
    </row>
    <row r="70">
      <c r="A70" s="85"/>
      <c r="B70" s="85"/>
      <c r="C70" s="87"/>
      <c r="D70" s="87"/>
      <c r="E70" s="85"/>
      <c r="F70" s="85"/>
      <c r="G70" s="85"/>
      <c r="H70" s="85"/>
      <c r="I70" s="85"/>
      <c r="J70" s="85"/>
      <c r="K70" s="85"/>
      <c r="L70" s="85"/>
      <c r="M70" s="85"/>
      <c r="N70" s="85"/>
      <c r="O70" s="85"/>
      <c r="P70" s="85"/>
      <c r="Q70" s="85"/>
      <c r="R70" s="85"/>
      <c r="S70" s="85"/>
      <c r="T70" s="85"/>
      <c r="U70" s="85"/>
      <c r="V70" s="85"/>
      <c r="W70" s="85"/>
      <c r="X70" s="85"/>
      <c r="Y70" s="85"/>
      <c r="Z70" s="85"/>
      <c r="AA70" s="85"/>
      <c r="AB70" s="85"/>
      <c r="AC70" s="85"/>
      <c r="AD70" s="85"/>
      <c r="AE70" s="85"/>
      <c r="AF70" s="85"/>
      <c r="AG70" s="85"/>
    </row>
    <row r="71">
      <c r="A71" s="85"/>
      <c r="B71" s="85"/>
      <c r="C71" s="87"/>
      <c r="D71" s="87"/>
      <c r="E71" s="85"/>
      <c r="F71" s="85"/>
      <c r="G71" s="85"/>
      <c r="H71" s="85"/>
      <c r="I71" s="85"/>
      <c r="J71" s="85"/>
      <c r="K71" s="85"/>
      <c r="L71" s="85"/>
      <c r="M71" s="85"/>
      <c r="N71" s="85"/>
      <c r="O71" s="85"/>
      <c r="P71" s="85"/>
      <c r="Q71" s="85"/>
      <c r="R71" s="85"/>
      <c r="S71" s="85"/>
      <c r="T71" s="85"/>
      <c r="U71" s="85"/>
      <c r="V71" s="85"/>
      <c r="W71" s="85"/>
      <c r="X71" s="85"/>
      <c r="Y71" s="85"/>
      <c r="Z71" s="85"/>
      <c r="AA71" s="85"/>
      <c r="AB71" s="85"/>
      <c r="AC71" s="85"/>
      <c r="AD71" s="85"/>
      <c r="AE71" s="85"/>
      <c r="AF71" s="85"/>
      <c r="AG71" s="85"/>
    </row>
    <row r="72">
      <c r="A72" s="85"/>
      <c r="B72" s="85"/>
      <c r="C72" s="87"/>
      <c r="D72" s="87"/>
      <c r="E72" s="85"/>
      <c r="F72" s="85"/>
      <c r="G72" s="85"/>
      <c r="H72" s="85"/>
      <c r="I72" s="85"/>
      <c r="J72" s="85"/>
      <c r="K72" s="85"/>
      <c r="L72" s="85"/>
      <c r="M72" s="85"/>
      <c r="N72" s="85"/>
      <c r="O72" s="85"/>
      <c r="P72" s="85"/>
      <c r="Q72" s="85"/>
      <c r="R72" s="85"/>
      <c r="S72" s="85"/>
      <c r="T72" s="85"/>
      <c r="U72" s="85"/>
      <c r="V72" s="85"/>
      <c r="W72" s="85"/>
      <c r="X72" s="85"/>
      <c r="Y72" s="85"/>
      <c r="Z72" s="85"/>
      <c r="AA72" s="85"/>
      <c r="AB72" s="85"/>
      <c r="AC72" s="85"/>
      <c r="AD72" s="85"/>
      <c r="AE72" s="85"/>
      <c r="AF72" s="85"/>
      <c r="AG72" s="85"/>
    </row>
    <row r="73">
      <c r="A73" s="85"/>
      <c r="B73" s="85"/>
      <c r="C73" s="87"/>
      <c r="D73" s="87"/>
      <c r="E73" s="85"/>
      <c r="F73" s="85"/>
      <c r="G73" s="85"/>
      <c r="H73" s="85"/>
      <c r="I73" s="85"/>
      <c r="J73" s="85"/>
      <c r="K73" s="85"/>
      <c r="L73" s="85"/>
      <c r="M73" s="85"/>
      <c r="N73" s="85"/>
      <c r="O73" s="85"/>
      <c r="P73" s="85"/>
      <c r="Q73" s="85"/>
      <c r="R73" s="85"/>
      <c r="S73" s="85"/>
      <c r="T73" s="85"/>
      <c r="U73" s="85"/>
      <c r="V73" s="85"/>
      <c r="W73" s="85"/>
      <c r="X73" s="85"/>
      <c r="Y73" s="85"/>
      <c r="Z73" s="85"/>
      <c r="AA73" s="85"/>
      <c r="AB73" s="85"/>
      <c r="AC73" s="85"/>
      <c r="AD73" s="85"/>
      <c r="AE73" s="85"/>
      <c r="AF73" s="85"/>
      <c r="AG73" s="85"/>
    </row>
    <row r="74">
      <c r="A74" s="85"/>
      <c r="B74" s="85"/>
      <c r="C74" s="87"/>
      <c r="D74" s="87"/>
      <c r="E74" s="85"/>
      <c r="F74" s="85"/>
      <c r="G74" s="85"/>
      <c r="H74" s="85"/>
      <c r="I74" s="85"/>
      <c r="J74" s="85"/>
      <c r="K74" s="85"/>
      <c r="L74" s="85"/>
      <c r="M74" s="85"/>
      <c r="N74" s="85"/>
      <c r="O74" s="85"/>
      <c r="P74" s="85"/>
      <c r="Q74" s="85"/>
      <c r="R74" s="85"/>
      <c r="S74" s="85"/>
      <c r="T74" s="85"/>
      <c r="U74" s="85"/>
      <c r="V74" s="85"/>
      <c r="W74" s="85"/>
      <c r="X74" s="85"/>
      <c r="Y74" s="85"/>
      <c r="Z74" s="85"/>
      <c r="AA74" s="85"/>
      <c r="AB74" s="85"/>
      <c r="AC74" s="85"/>
      <c r="AD74" s="85"/>
      <c r="AE74" s="85"/>
      <c r="AF74" s="85"/>
      <c r="AG74" s="85"/>
    </row>
    <row r="75">
      <c r="A75" s="85"/>
      <c r="B75" s="85"/>
      <c r="C75" s="87"/>
      <c r="D75" s="87"/>
      <c r="E75" s="85"/>
      <c r="F75" s="85"/>
      <c r="G75" s="85"/>
      <c r="H75" s="85"/>
      <c r="I75" s="85"/>
      <c r="J75" s="85"/>
      <c r="K75" s="85"/>
      <c r="L75" s="85"/>
      <c r="M75" s="85"/>
      <c r="N75" s="85"/>
      <c r="O75" s="85"/>
      <c r="P75" s="85"/>
      <c r="Q75" s="85"/>
      <c r="R75" s="85"/>
      <c r="S75" s="85"/>
      <c r="T75" s="85"/>
      <c r="U75" s="85"/>
      <c r="V75" s="85"/>
      <c r="W75" s="85"/>
      <c r="X75" s="85"/>
      <c r="Y75" s="85"/>
      <c r="Z75" s="85"/>
      <c r="AA75" s="85"/>
      <c r="AB75" s="85"/>
      <c r="AC75" s="85"/>
      <c r="AD75" s="85"/>
      <c r="AE75" s="85"/>
      <c r="AF75" s="85"/>
      <c r="AG75" s="85"/>
    </row>
    <row r="76">
      <c r="A76" s="85"/>
      <c r="B76" s="85"/>
      <c r="C76" s="87"/>
      <c r="D76" s="87"/>
      <c r="E76" s="85"/>
      <c r="F76" s="85"/>
      <c r="G76" s="85"/>
      <c r="H76" s="85"/>
      <c r="I76" s="85"/>
      <c r="J76" s="85"/>
      <c r="K76" s="85"/>
      <c r="L76" s="85"/>
      <c r="M76" s="85"/>
      <c r="N76" s="85"/>
      <c r="O76" s="85"/>
      <c r="P76" s="85"/>
      <c r="Q76" s="85"/>
      <c r="R76" s="85"/>
      <c r="S76" s="85"/>
      <c r="T76" s="85"/>
      <c r="U76" s="85"/>
      <c r="V76" s="85"/>
      <c r="W76" s="85"/>
      <c r="X76" s="85"/>
      <c r="Y76" s="85"/>
      <c r="Z76" s="85"/>
      <c r="AA76" s="85"/>
      <c r="AB76" s="85"/>
      <c r="AC76" s="85"/>
      <c r="AD76" s="85"/>
      <c r="AE76" s="85"/>
      <c r="AF76" s="85"/>
      <c r="AG76" s="85"/>
    </row>
    <row r="77">
      <c r="A77" s="85"/>
      <c r="B77" s="85"/>
      <c r="C77" s="87"/>
      <c r="D77" s="87"/>
      <c r="E77" s="85"/>
      <c r="F77" s="85"/>
      <c r="G77" s="85"/>
      <c r="H77" s="85"/>
      <c r="I77" s="85"/>
      <c r="J77" s="85"/>
      <c r="K77" s="85"/>
      <c r="L77" s="85"/>
      <c r="M77" s="85"/>
      <c r="N77" s="85"/>
      <c r="O77" s="85"/>
      <c r="P77" s="85"/>
      <c r="Q77" s="85"/>
      <c r="R77" s="85"/>
      <c r="S77" s="85"/>
      <c r="T77" s="85"/>
      <c r="U77" s="85"/>
      <c r="V77" s="85"/>
      <c r="W77" s="85"/>
      <c r="X77" s="85"/>
      <c r="Y77" s="85"/>
      <c r="Z77" s="85"/>
      <c r="AA77" s="85"/>
      <c r="AB77" s="85"/>
      <c r="AC77" s="85"/>
      <c r="AD77" s="85"/>
      <c r="AE77" s="85"/>
      <c r="AF77" s="85"/>
      <c r="AG77" s="85"/>
    </row>
    <row r="78">
      <c r="A78" s="85"/>
      <c r="B78" s="85"/>
      <c r="C78" s="87"/>
      <c r="D78" s="87"/>
      <c r="E78" s="85"/>
      <c r="F78" s="85"/>
      <c r="G78" s="85"/>
      <c r="H78" s="85"/>
      <c r="I78" s="85"/>
      <c r="J78" s="85"/>
      <c r="K78" s="85"/>
      <c r="L78" s="85"/>
      <c r="M78" s="85"/>
      <c r="N78" s="85"/>
      <c r="O78" s="85"/>
      <c r="P78" s="85"/>
      <c r="Q78" s="85"/>
      <c r="R78" s="85"/>
      <c r="S78" s="85"/>
      <c r="T78" s="85"/>
      <c r="U78" s="85"/>
      <c r="V78" s="85"/>
      <c r="W78" s="85"/>
      <c r="X78" s="85"/>
      <c r="Y78" s="85"/>
      <c r="Z78" s="85"/>
      <c r="AA78" s="85"/>
      <c r="AB78" s="85"/>
      <c r="AC78" s="85"/>
      <c r="AD78" s="85"/>
      <c r="AE78" s="85"/>
      <c r="AF78" s="85"/>
      <c r="AG78" s="85"/>
    </row>
    <row r="79">
      <c r="A79" s="85"/>
      <c r="B79" s="85"/>
      <c r="C79" s="87"/>
      <c r="D79" s="87"/>
      <c r="E79" s="85"/>
      <c r="F79" s="85"/>
      <c r="G79" s="85"/>
      <c r="H79" s="85"/>
      <c r="I79" s="85"/>
      <c r="J79" s="85"/>
      <c r="K79" s="85"/>
      <c r="L79" s="85"/>
      <c r="M79" s="85"/>
      <c r="N79" s="85"/>
      <c r="O79" s="85"/>
      <c r="P79" s="85"/>
      <c r="Q79" s="85"/>
      <c r="R79" s="85"/>
      <c r="S79" s="85"/>
      <c r="T79" s="85"/>
      <c r="U79" s="85"/>
      <c r="V79" s="85"/>
      <c r="W79" s="85"/>
      <c r="X79" s="85"/>
      <c r="Y79" s="85"/>
      <c r="Z79" s="85"/>
      <c r="AA79" s="85"/>
      <c r="AB79" s="85"/>
      <c r="AC79" s="85"/>
      <c r="AD79" s="85"/>
      <c r="AE79" s="85"/>
      <c r="AF79" s="85"/>
      <c r="AG79" s="85"/>
    </row>
    <row r="80">
      <c r="A80" s="85"/>
      <c r="B80" s="85"/>
      <c r="C80" s="87"/>
      <c r="D80" s="87"/>
      <c r="E80" s="85"/>
      <c r="F80" s="85"/>
      <c r="G80" s="85"/>
      <c r="H80" s="85"/>
      <c r="I80" s="85"/>
      <c r="J80" s="85"/>
      <c r="K80" s="85"/>
      <c r="L80" s="85"/>
      <c r="M80" s="85"/>
      <c r="N80" s="85"/>
      <c r="O80" s="85"/>
      <c r="P80" s="85"/>
      <c r="Q80" s="85"/>
      <c r="R80" s="85"/>
      <c r="S80" s="85"/>
      <c r="T80" s="85"/>
      <c r="U80" s="85"/>
      <c r="V80" s="85"/>
      <c r="W80" s="85"/>
      <c r="X80" s="85"/>
      <c r="Y80" s="85"/>
      <c r="Z80" s="85"/>
      <c r="AA80" s="85"/>
      <c r="AB80" s="85"/>
      <c r="AC80" s="85"/>
      <c r="AD80" s="85"/>
      <c r="AE80" s="85"/>
      <c r="AF80" s="85"/>
      <c r="AG80" s="85"/>
    </row>
    <row r="81">
      <c r="A81" s="85"/>
      <c r="B81" s="85"/>
      <c r="C81" s="87"/>
      <c r="D81" s="87"/>
      <c r="E81" s="85"/>
      <c r="F81" s="85"/>
      <c r="G81" s="85"/>
      <c r="H81" s="85"/>
      <c r="I81" s="85"/>
      <c r="J81" s="85"/>
      <c r="K81" s="85"/>
      <c r="L81" s="85"/>
      <c r="M81" s="85"/>
      <c r="N81" s="85"/>
      <c r="O81" s="85"/>
      <c r="P81" s="85"/>
      <c r="Q81" s="85"/>
      <c r="R81" s="85"/>
      <c r="S81" s="85"/>
      <c r="T81" s="85"/>
      <c r="U81" s="85"/>
      <c r="V81" s="85"/>
      <c r="W81" s="85"/>
      <c r="X81" s="85"/>
      <c r="Y81" s="85"/>
      <c r="Z81" s="85"/>
      <c r="AA81" s="85"/>
      <c r="AB81" s="85"/>
      <c r="AC81" s="85"/>
      <c r="AD81" s="85"/>
      <c r="AE81" s="85"/>
      <c r="AF81" s="85"/>
      <c r="AG81" s="85"/>
    </row>
    <row r="82">
      <c r="A82" s="85"/>
      <c r="B82" s="85"/>
      <c r="C82" s="87"/>
      <c r="D82" s="87"/>
      <c r="E82" s="85"/>
      <c r="F82" s="85"/>
      <c r="G82" s="85"/>
      <c r="H82" s="85"/>
      <c r="I82" s="85"/>
      <c r="J82" s="85"/>
      <c r="K82" s="85"/>
      <c r="L82" s="85"/>
      <c r="M82" s="85"/>
      <c r="N82" s="85"/>
      <c r="O82" s="85"/>
      <c r="P82" s="85"/>
      <c r="Q82" s="85"/>
      <c r="R82" s="85"/>
      <c r="S82" s="85"/>
      <c r="T82" s="85"/>
      <c r="U82" s="85"/>
      <c r="V82" s="85"/>
      <c r="W82" s="85"/>
      <c r="X82" s="85"/>
      <c r="Y82" s="85"/>
      <c r="Z82" s="85"/>
      <c r="AA82" s="85"/>
      <c r="AB82" s="85"/>
      <c r="AC82" s="85"/>
      <c r="AD82" s="85"/>
      <c r="AE82" s="85"/>
      <c r="AF82" s="85"/>
      <c r="AG82" s="85"/>
    </row>
    <row r="83">
      <c r="A83" s="85"/>
      <c r="B83" s="85"/>
      <c r="C83" s="87"/>
      <c r="D83" s="87"/>
      <c r="E83" s="85"/>
      <c r="F83" s="85"/>
      <c r="G83" s="85"/>
      <c r="H83" s="85"/>
      <c r="I83" s="85"/>
      <c r="J83" s="85"/>
      <c r="K83" s="85"/>
      <c r="L83" s="85"/>
      <c r="M83" s="85"/>
      <c r="N83" s="85"/>
      <c r="O83" s="85"/>
      <c r="P83" s="85"/>
      <c r="Q83" s="85"/>
      <c r="R83" s="85"/>
      <c r="S83" s="85"/>
      <c r="T83" s="85"/>
      <c r="U83" s="85"/>
      <c r="V83" s="85"/>
      <c r="W83" s="85"/>
      <c r="X83" s="85"/>
      <c r="Y83" s="85"/>
      <c r="Z83" s="85"/>
      <c r="AA83" s="85"/>
      <c r="AB83" s="85"/>
      <c r="AC83" s="85"/>
      <c r="AD83" s="85"/>
      <c r="AE83" s="85"/>
      <c r="AF83" s="85"/>
      <c r="AG83" s="85"/>
    </row>
    <row r="84">
      <c r="A84" s="85"/>
      <c r="B84" s="85"/>
      <c r="C84" s="87"/>
      <c r="D84" s="87"/>
      <c r="E84" s="85"/>
      <c r="F84" s="85"/>
      <c r="G84" s="85"/>
      <c r="H84" s="85"/>
      <c r="I84" s="85"/>
      <c r="J84" s="85"/>
      <c r="K84" s="85"/>
      <c r="L84" s="85"/>
      <c r="M84" s="85"/>
      <c r="N84" s="85"/>
      <c r="O84" s="85"/>
      <c r="P84" s="85"/>
      <c r="Q84" s="85"/>
      <c r="R84" s="85"/>
      <c r="S84" s="85"/>
      <c r="T84" s="85"/>
      <c r="U84" s="85"/>
      <c r="V84" s="85"/>
      <c r="W84" s="85"/>
      <c r="X84" s="85"/>
      <c r="Y84" s="85"/>
      <c r="Z84" s="85"/>
      <c r="AA84" s="85"/>
      <c r="AB84" s="85"/>
      <c r="AC84" s="85"/>
      <c r="AD84" s="85"/>
      <c r="AE84" s="85"/>
      <c r="AF84" s="85"/>
      <c r="AG84" s="85"/>
    </row>
    <row r="85">
      <c r="A85" s="85"/>
      <c r="B85" s="85"/>
      <c r="C85" s="87"/>
      <c r="D85" s="87"/>
      <c r="E85" s="85"/>
      <c r="F85" s="85"/>
      <c r="G85" s="85"/>
      <c r="H85" s="85"/>
      <c r="I85" s="85"/>
      <c r="J85" s="85"/>
      <c r="K85" s="85"/>
      <c r="L85" s="85"/>
      <c r="M85" s="85"/>
      <c r="N85" s="85"/>
      <c r="O85" s="85"/>
      <c r="P85" s="85"/>
      <c r="Q85" s="85"/>
      <c r="R85" s="85"/>
      <c r="S85" s="85"/>
      <c r="T85" s="85"/>
      <c r="U85" s="85"/>
      <c r="V85" s="85"/>
      <c r="W85" s="85"/>
      <c r="X85" s="85"/>
      <c r="Y85" s="85"/>
      <c r="Z85" s="85"/>
      <c r="AA85" s="85"/>
      <c r="AB85" s="85"/>
      <c r="AC85" s="85"/>
      <c r="AD85" s="85"/>
      <c r="AE85" s="85"/>
      <c r="AF85" s="85"/>
      <c r="AG85" s="85"/>
    </row>
    <row r="86">
      <c r="A86" s="85"/>
      <c r="B86" s="85"/>
      <c r="C86" s="87"/>
      <c r="D86" s="87"/>
      <c r="E86" s="85"/>
      <c r="F86" s="85"/>
      <c r="G86" s="85"/>
      <c r="H86" s="85"/>
      <c r="I86" s="85"/>
      <c r="J86" s="85"/>
      <c r="K86" s="85"/>
      <c r="L86" s="85"/>
      <c r="M86" s="85"/>
      <c r="N86" s="85"/>
      <c r="O86" s="85"/>
      <c r="P86" s="85"/>
      <c r="Q86" s="85"/>
      <c r="R86" s="85"/>
      <c r="S86" s="85"/>
      <c r="T86" s="85"/>
      <c r="U86" s="85"/>
      <c r="V86" s="85"/>
      <c r="W86" s="85"/>
      <c r="X86" s="85"/>
      <c r="Y86" s="85"/>
      <c r="Z86" s="85"/>
      <c r="AA86" s="85"/>
      <c r="AB86" s="85"/>
      <c r="AC86" s="85"/>
      <c r="AD86" s="85"/>
      <c r="AE86" s="85"/>
      <c r="AF86" s="85"/>
      <c r="AG86" s="85"/>
    </row>
    <row r="87">
      <c r="A87" s="85"/>
      <c r="B87" s="85"/>
      <c r="C87" s="87"/>
      <c r="D87" s="87"/>
      <c r="E87" s="85"/>
      <c r="F87" s="85"/>
      <c r="G87" s="85"/>
      <c r="H87" s="85"/>
      <c r="I87" s="85"/>
      <c r="J87" s="85"/>
      <c r="K87" s="85"/>
      <c r="L87" s="85"/>
      <c r="M87" s="85"/>
      <c r="N87" s="85"/>
      <c r="O87" s="85"/>
      <c r="P87" s="85"/>
      <c r="Q87" s="85"/>
      <c r="R87" s="85"/>
      <c r="S87" s="85"/>
      <c r="T87" s="85"/>
      <c r="U87" s="85"/>
      <c r="V87" s="85"/>
      <c r="W87" s="85"/>
      <c r="X87" s="85"/>
      <c r="Y87" s="85"/>
      <c r="Z87" s="85"/>
      <c r="AA87" s="85"/>
      <c r="AB87" s="85"/>
      <c r="AC87" s="85"/>
      <c r="AD87" s="85"/>
      <c r="AE87" s="85"/>
      <c r="AF87" s="85"/>
      <c r="AG87" s="85"/>
    </row>
    <row r="88">
      <c r="A88" s="85"/>
      <c r="B88" s="85"/>
      <c r="C88" s="87"/>
      <c r="D88" s="87"/>
      <c r="E88" s="85"/>
      <c r="F88" s="85"/>
      <c r="G88" s="85"/>
      <c r="H88" s="85"/>
      <c r="I88" s="85"/>
      <c r="J88" s="85"/>
      <c r="K88" s="85"/>
      <c r="L88" s="85"/>
      <c r="M88" s="85"/>
      <c r="N88" s="85"/>
      <c r="O88" s="85"/>
      <c r="P88" s="85"/>
      <c r="Q88" s="85"/>
      <c r="R88" s="85"/>
      <c r="S88" s="85"/>
      <c r="T88" s="85"/>
      <c r="U88" s="85"/>
      <c r="V88" s="85"/>
      <c r="W88" s="85"/>
      <c r="X88" s="85"/>
      <c r="Y88" s="85"/>
      <c r="Z88" s="85"/>
      <c r="AA88" s="85"/>
      <c r="AB88" s="85"/>
      <c r="AC88" s="85"/>
      <c r="AD88" s="85"/>
      <c r="AE88" s="85"/>
      <c r="AF88" s="85"/>
      <c r="AG88" s="85"/>
    </row>
    <row r="89">
      <c r="A89" s="85"/>
      <c r="B89" s="85"/>
      <c r="C89" s="87"/>
      <c r="D89" s="87"/>
      <c r="E89" s="85"/>
      <c r="F89" s="85"/>
      <c r="G89" s="85"/>
      <c r="H89" s="85"/>
      <c r="I89" s="85"/>
      <c r="J89" s="85"/>
      <c r="K89" s="85"/>
      <c r="L89" s="85"/>
      <c r="M89" s="85"/>
      <c r="N89" s="85"/>
      <c r="O89" s="85"/>
      <c r="P89" s="85"/>
      <c r="Q89" s="85"/>
      <c r="R89" s="85"/>
      <c r="S89" s="85"/>
      <c r="T89" s="85"/>
      <c r="U89" s="85"/>
      <c r="V89" s="85"/>
      <c r="W89" s="85"/>
      <c r="X89" s="85"/>
      <c r="Y89" s="85"/>
      <c r="Z89" s="85"/>
      <c r="AA89" s="85"/>
      <c r="AB89" s="85"/>
      <c r="AC89" s="85"/>
      <c r="AD89" s="85"/>
      <c r="AE89" s="85"/>
      <c r="AF89" s="85"/>
      <c r="AG89" s="85"/>
    </row>
    <row r="90">
      <c r="A90" s="85"/>
      <c r="B90" s="85"/>
      <c r="C90" s="87"/>
      <c r="D90" s="87"/>
      <c r="E90" s="85"/>
      <c r="F90" s="85"/>
      <c r="G90" s="85"/>
      <c r="H90" s="85"/>
      <c r="I90" s="85"/>
      <c r="J90" s="85"/>
      <c r="K90" s="85"/>
      <c r="L90" s="85"/>
      <c r="M90" s="85"/>
      <c r="N90" s="85"/>
      <c r="O90" s="85"/>
      <c r="P90" s="85"/>
      <c r="Q90" s="85"/>
      <c r="R90" s="85"/>
      <c r="S90" s="85"/>
      <c r="T90" s="85"/>
      <c r="U90" s="85"/>
      <c r="V90" s="85"/>
      <c r="W90" s="85"/>
      <c r="X90" s="85"/>
      <c r="Y90" s="85"/>
      <c r="Z90" s="85"/>
      <c r="AA90" s="85"/>
      <c r="AB90" s="85"/>
      <c r="AC90" s="85"/>
      <c r="AD90" s="85"/>
      <c r="AE90" s="85"/>
      <c r="AF90" s="85"/>
      <c r="AG90" s="85"/>
    </row>
    <row r="91">
      <c r="A91" s="85"/>
      <c r="B91" s="85"/>
      <c r="C91" s="87"/>
      <c r="D91" s="87"/>
      <c r="E91" s="85"/>
      <c r="F91" s="85"/>
      <c r="G91" s="85"/>
      <c r="H91" s="85"/>
      <c r="I91" s="85"/>
      <c r="J91" s="85"/>
      <c r="K91" s="85"/>
      <c r="L91" s="85"/>
      <c r="M91" s="85"/>
      <c r="N91" s="85"/>
      <c r="O91" s="85"/>
      <c r="P91" s="85"/>
      <c r="Q91" s="85"/>
      <c r="R91" s="85"/>
      <c r="S91" s="85"/>
      <c r="T91" s="85"/>
      <c r="U91" s="85"/>
      <c r="V91" s="85"/>
      <c r="W91" s="85"/>
      <c r="X91" s="85"/>
      <c r="Y91" s="85"/>
      <c r="Z91" s="85"/>
      <c r="AA91" s="85"/>
      <c r="AB91" s="85"/>
      <c r="AC91" s="85"/>
      <c r="AD91" s="85"/>
      <c r="AE91" s="85"/>
      <c r="AF91" s="85"/>
      <c r="AG91" s="85"/>
    </row>
    <row r="92">
      <c r="A92" s="85"/>
      <c r="B92" s="85"/>
      <c r="C92" s="87"/>
      <c r="D92" s="87"/>
      <c r="E92" s="85"/>
      <c r="F92" s="85"/>
      <c r="G92" s="85"/>
      <c r="H92" s="85"/>
      <c r="I92" s="85"/>
      <c r="J92" s="85"/>
      <c r="K92" s="85"/>
      <c r="L92" s="85"/>
      <c r="M92" s="85"/>
      <c r="N92" s="85"/>
      <c r="O92" s="85"/>
      <c r="P92" s="85"/>
      <c r="Q92" s="85"/>
      <c r="R92" s="85"/>
      <c r="S92" s="85"/>
      <c r="T92" s="85"/>
      <c r="U92" s="85"/>
      <c r="V92" s="85"/>
      <c r="W92" s="85"/>
      <c r="X92" s="85"/>
      <c r="Y92" s="85"/>
      <c r="Z92" s="85"/>
      <c r="AA92" s="85"/>
      <c r="AB92" s="85"/>
      <c r="AC92" s="85"/>
      <c r="AD92" s="85"/>
      <c r="AE92" s="85"/>
      <c r="AF92" s="85"/>
      <c r="AG92" s="85"/>
    </row>
    <row r="93">
      <c r="A93" s="85"/>
      <c r="B93" s="85"/>
      <c r="C93" s="87"/>
      <c r="D93" s="87"/>
      <c r="E93" s="85"/>
      <c r="F93" s="85"/>
      <c r="G93" s="85"/>
      <c r="H93" s="85"/>
      <c r="I93" s="85"/>
      <c r="J93" s="85"/>
      <c r="K93" s="85"/>
      <c r="L93" s="85"/>
      <c r="M93" s="85"/>
      <c r="N93" s="85"/>
      <c r="O93" s="85"/>
      <c r="P93" s="85"/>
      <c r="Q93" s="85"/>
      <c r="R93" s="85"/>
      <c r="S93" s="85"/>
      <c r="T93" s="85"/>
      <c r="U93" s="85"/>
      <c r="V93" s="85"/>
      <c r="W93" s="85"/>
      <c r="X93" s="85"/>
      <c r="Y93" s="85"/>
      <c r="Z93" s="85"/>
      <c r="AA93" s="85"/>
      <c r="AB93" s="85"/>
      <c r="AC93" s="85"/>
      <c r="AD93" s="85"/>
      <c r="AE93" s="85"/>
      <c r="AF93" s="85"/>
      <c r="AG93" s="85"/>
    </row>
    <row r="94">
      <c r="A94" s="85"/>
      <c r="B94" s="85"/>
      <c r="C94" s="87"/>
      <c r="D94" s="87"/>
      <c r="E94" s="85"/>
      <c r="F94" s="85"/>
      <c r="G94" s="85"/>
      <c r="H94" s="85"/>
      <c r="I94" s="85"/>
      <c r="J94" s="85"/>
      <c r="K94" s="85"/>
      <c r="L94" s="85"/>
      <c r="M94" s="85"/>
      <c r="N94" s="85"/>
      <c r="O94" s="85"/>
      <c r="P94" s="85"/>
      <c r="Q94" s="85"/>
      <c r="R94" s="85"/>
      <c r="S94" s="85"/>
      <c r="T94" s="85"/>
      <c r="U94" s="85"/>
      <c r="V94" s="85"/>
      <c r="W94" s="85"/>
      <c r="X94" s="85"/>
      <c r="Y94" s="85"/>
      <c r="Z94" s="85"/>
      <c r="AA94" s="85"/>
      <c r="AB94" s="85"/>
      <c r="AC94" s="85"/>
      <c r="AD94" s="85"/>
      <c r="AE94" s="85"/>
      <c r="AF94" s="85"/>
      <c r="AG94" s="85"/>
    </row>
    <row r="95">
      <c r="A95" s="85"/>
      <c r="B95" s="85"/>
      <c r="C95" s="87"/>
      <c r="D95" s="87"/>
      <c r="E95" s="85"/>
      <c r="F95" s="85"/>
      <c r="G95" s="85"/>
      <c r="H95" s="85"/>
      <c r="I95" s="85"/>
      <c r="J95" s="85"/>
      <c r="K95" s="85"/>
      <c r="L95" s="85"/>
      <c r="M95" s="85"/>
      <c r="N95" s="85"/>
      <c r="O95" s="85"/>
      <c r="P95" s="85"/>
      <c r="Q95" s="85"/>
      <c r="R95" s="85"/>
      <c r="S95" s="85"/>
      <c r="T95" s="85"/>
      <c r="U95" s="85"/>
      <c r="V95" s="85"/>
      <c r="W95" s="85"/>
      <c r="X95" s="85"/>
      <c r="Y95" s="85"/>
      <c r="Z95" s="85"/>
      <c r="AA95" s="85"/>
      <c r="AB95" s="85"/>
      <c r="AC95" s="85"/>
      <c r="AD95" s="85"/>
      <c r="AE95" s="85"/>
      <c r="AF95" s="85"/>
      <c r="AG95" s="85"/>
    </row>
    <row r="96">
      <c r="A96" s="85"/>
      <c r="B96" s="85"/>
      <c r="C96" s="87"/>
      <c r="D96" s="87"/>
      <c r="E96" s="85"/>
      <c r="F96" s="85"/>
      <c r="G96" s="85"/>
      <c r="H96" s="85"/>
      <c r="I96" s="85"/>
      <c r="J96" s="85"/>
      <c r="K96" s="85"/>
      <c r="L96" s="85"/>
      <c r="M96" s="85"/>
      <c r="N96" s="85"/>
      <c r="O96" s="85"/>
      <c r="P96" s="85"/>
      <c r="Q96" s="85"/>
      <c r="R96" s="85"/>
      <c r="S96" s="85"/>
      <c r="T96" s="85"/>
      <c r="U96" s="85"/>
      <c r="V96" s="85"/>
      <c r="W96" s="85"/>
      <c r="X96" s="85"/>
      <c r="Y96" s="85"/>
      <c r="Z96" s="85"/>
      <c r="AA96" s="85"/>
      <c r="AB96" s="85"/>
      <c r="AC96" s="85"/>
      <c r="AD96" s="85"/>
      <c r="AE96" s="85"/>
      <c r="AF96" s="85"/>
      <c r="AG96" s="85"/>
    </row>
    <row r="97">
      <c r="A97" s="85"/>
      <c r="B97" s="85"/>
      <c r="C97" s="87"/>
      <c r="D97" s="87"/>
      <c r="E97" s="85"/>
      <c r="F97" s="85"/>
      <c r="G97" s="85"/>
      <c r="H97" s="85"/>
      <c r="I97" s="85"/>
      <c r="J97" s="85"/>
      <c r="K97" s="85"/>
      <c r="L97" s="85"/>
      <c r="M97" s="85"/>
      <c r="N97" s="85"/>
      <c r="O97" s="85"/>
      <c r="P97" s="85"/>
      <c r="Q97" s="85"/>
      <c r="R97" s="85"/>
      <c r="S97" s="85"/>
      <c r="T97" s="85"/>
      <c r="U97" s="85"/>
      <c r="V97" s="85"/>
      <c r="W97" s="85"/>
      <c r="X97" s="85"/>
      <c r="Y97" s="85"/>
      <c r="Z97" s="85"/>
      <c r="AA97" s="85"/>
      <c r="AB97" s="85"/>
      <c r="AC97" s="85"/>
      <c r="AD97" s="85"/>
      <c r="AE97" s="85"/>
      <c r="AF97" s="85"/>
      <c r="AG97" s="85"/>
    </row>
    <row r="98">
      <c r="A98" s="85"/>
      <c r="B98" s="85"/>
      <c r="C98" s="87"/>
      <c r="D98" s="87"/>
      <c r="E98" s="85"/>
      <c r="F98" s="85"/>
      <c r="G98" s="85"/>
      <c r="H98" s="85"/>
      <c r="I98" s="85"/>
      <c r="J98" s="85"/>
      <c r="K98" s="85"/>
      <c r="L98" s="85"/>
      <c r="M98" s="85"/>
      <c r="N98" s="85"/>
      <c r="O98" s="85"/>
      <c r="P98" s="85"/>
      <c r="Q98" s="85"/>
      <c r="R98" s="85"/>
      <c r="S98" s="85"/>
      <c r="T98" s="85"/>
      <c r="U98" s="85"/>
      <c r="V98" s="85"/>
      <c r="W98" s="85"/>
      <c r="X98" s="85"/>
      <c r="Y98" s="85"/>
      <c r="Z98" s="85"/>
      <c r="AA98" s="85"/>
      <c r="AB98" s="85"/>
      <c r="AC98" s="85"/>
      <c r="AD98" s="85"/>
      <c r="AE98" s="85"/>
      <c r="AF98" s="85"/>
      <c r="AG98" s="85"/>
    </row>
    <row r="99">
      <c r="A99" s="85"/>
      <c r="B99" s="85"/>
      <c r="C99" s="87"/>
      <c r="D99" s="87"/>
      <c r="E99" s="85"/>
      <c r="F99" s="85"/>
      <c r="G99" s="85"/>
      <c r="H99" s="85"/>
      <c r="I99" s="85"/>
      <c r="J99" s="85"/>
      <c r="K99" s="85"/>
      <c r="L99" s="85"/>
      <c r="M99" s="85"/>
      <c r="N99" s="85"/>
      <c r="O99" s="85"/>
      <c r="P99" s="85"/>
      <c r="Q99" s="85"/>
      <c r="R99" s="85"/>
      <c r="S99" s="85"/>
      <c r="T99" s="85"/>
      <c r="U99" s="85"/>
      <c r="V99" s="85"/>
      <c r="W99" s="85"/>
      <c r="X99" s="85"/>
      <c r="Y99" s="85"/>
      <c r="Z99" s="85"/>
      <c r="AA99" s="85"/>
      <c r="AB99" s="85"/>
      <c r="AC99" s="85"/>
      <c r="AD99" s="85"/>
      <c r="AE99" s="85"/>
      <c r="AF99" s="85"/>
      <c r="AG99" s="85"/>
    </row>
    <row r="100">
      <c r="A100" s="85"/>
      <c r="B100" s="85"/>
      <c r="C100" s="87"/>
      <c r="D100" s="87"/>
      <c r="E100" s="85"/>
      <c r="F100" s="85"/>
      <c r="G100" s="85"/>
      <c r="H100" s="85"/>
      <c r="I100" s="85"/>
      <c r="J100" s="85"/>
      <c r="K100" s="85"/>
      <c r="L100" s="85"/>
      <c r="M100" s="85"/>
      <c r="N100" s="85"/>
      <c r="O100" s="85"/>
      <c r="P100" s="85"/>
      <c r="Q100" s="85"/>
      <c r="R100" s="85"/>
      <c r="S100" s="85"/>
      <c r="T100" s="85"/>
      <c r="U100" s="85"/>
      <c r="V100" s="85"/>
      <c r="W100" s="85"/>
      <c r="X100" s="85"/>
      <c r="Y100" s="85"/>
      <c r="Z100" s="85"/>
      <c r="AA100" s="85"/>
      <c r="AB100" s="85"/>
      <c r="AC100" s="85"/>
      <c r="AD100" s="85"/>
      <c r="AE100" s="85"/>
      <c r="AF100" s="85"/>
      <c r="AG100" s="85"/>
    </row>
    <row r="101">
      <c r="A101" s="85"/>
      <c r="B101" s="85"/>
      <c r="C101" s="87"/>
      <c r="D101" s="87"/>
      <c r="E101" s="85"/>
      <c r="F101" s="85"/>
      <c r="G101" s="85"/>
      <c r="H101" s="85"/>
      <c r="I101" s="85"/>
      <c r="J101" s="85"/>
      <c r="K101" s="85"/>
      <c r="L101" s="85"/>
      <c r="M101" s="85"/>
      <c r="N101" s="85"/>
      <c r="O101" s="85"/>
      <c r="P101" s="85"/>
      <c r="Q101" s="85"/>
      <c r="R101" s="85"/>
      <c r="S101" s="85"/>
      <c r="T101" s="85"/>
      <c r="U101" s="85"/>
      <c r="V101" s="85"/>
      <c r="W101" s="85"/>
      <c r="X101" s="85"/>
      <c r="Y101" s="85"/>
      <c r="Z101" s="85"/>
      <c r="AA101" s="85"/>
      <c r="AB101" s="85"/>
      <c r="AC101" s="85"/>
      <c r="AD101" s="85"/>
      <c r="AE101" s="85"/>
      <c r="AF101" s="85"/>
      <c r="AG101" s="85"/>
    </row>
    <row r="102">
      <c r="A102" s="85"/>
      <c r="B102" s="85"/>
      <c r="C102" s="87"/>
      <c r="D102" s="87"/>
      <c r="E102" s="85"/>
      <c r="F102" s="85"/>
      <c r="G102" s="85"/>
      <c r="H102" s="85"/>
      <c r="I102" s="85"/>
      <c r="J102" s="85"/>
      <c r="K102" s="85"/>
      <c r="L102" s="85"/>
      <c r="M102" s="85"/>
      <c r="N102" s="85"/>
      <c r="O102" s="85"/>
      <c r="P102" s="85"/>
      <c r="Q102" s="85"/>
      <c r="R102" s="85"/>
      <c r="S102" s="85"/>
      <c r="T102" s="85"/>
      <c r="U102" s="85"/>
      <c r="V102" s="85"/>
      <c r="W102" s="85"/>
      <c r="X102" s="85"/>
      <c r="Y102" s="85"/>
      <c r="Z102" s="85"/>
      <c r="AA102" s="85"/>
      <c r="AB102" s="85"/>
      <c r="AC102" s="85"/>
      <c r="AD102" s="85"/>
      <c r="AE102" s="85"/>
      <c r="AF102" s="85"/>
      <c r="AG102" s="85"/>
    </row>
    <row r="103">
      <c r="A103" s="85"/>
      <c r="B103" s="85"/>
      <c r="C103" s="87"/>
      <c r="D103" s="87"/>
      <c r="E103" s="85"/>
      <c r="F103" s="85"/>
      <c r="G103" s="85"/>
      <c r="H103" s="85"/>
      <c r="I103" s="85"/>
      <c r="J103" s="85"/>
      <c r="K103" s="85"/>
      <c r="L103" s="85"/>
      <c r="M103" s="85"/>
      <c r="N103" s="85"/>
      <c r="O103" s="85"/>
      <c r="P103" s="85"/>
      <c r="Q103" s="85"/>
      <c r="R103" s="85"/>
      <c r="S103" s="85"/>
      <c r="T103" s="85"/>
      <c r="U103" s="85"/>
      <c r="V103" s="85"/>
      <c r="W103" s="85"/>
      <c r="X103" s="85"/>
      <c r="Y103" s="85"/>
      <c r="Z103" s="85"/>
      <c r="AA103" s="85"/>
      <c r="AB103" s="85"/>
      <c r="AC103" s="85"/>
      <c r="AD103" s="85"/>
      <c r="AE103" s="85"/>
      <c r="AF103" s="85"/>
      <c r="AG103" s="85"/>
    </row>
    <row r="104">
      <c r="A104" s="85"/>
      <c r="B104" s="85"/>
      <c r="C104" s="87"/>
      <c r="D104" s="87"/>
      <c r="E104" s="85"/>
      <c r="F104" s="85"/>
      <c r="G104" s="85"/>
      <c r="H104" s="85"/>
      <c r="I104" s="85"/>
      <c r="J104" s="85"/>
      <c r="K104" s="85"/>
      <c r="L104" s="85"/>
      <c r="M104" s="85"/>
      <c r="N104" s="85"/>
      <c r="O104" s="85"/>
      <c r="P104" s="85"/>
      <c r="Q104" s="85"/>
      <c r="R104" s="85"/>
      <c r="S104" s="85"/>
      <c r="T104" s="85"/>
      <c r="U104" s="85"/>
      <c r="V104" s="85"/>
      <c r="W104" s="85"/>
      <c r="X104" s="85"/>
      <c r="Y104" s="85"/>
      <c r="Z104" s="85"/>
      <c r="AA104" s="85"/>
      <c r="AB104" s="85"/>
      <c r="AC104" s="85"/>
      <c r="AD104" s="85"/>
      <c r="AE104" s="85"/>
      <c r="AF104" s="85"/>
      <c r="AG104" s="85"/>
    </row>
    <row r="105">
      <c r="A105" s="85"/>
      <c r="B105" s="85"/>
      <c r="C105" s="87"/>
      <c r="D105" s="87"/>
      <c r="E105" s="85"/>
      <c r="F105" s="85"/>
      <c r="G105" s="85"/>
      <c r="H105" s="85"/>
      <c r="I105" s="85"/>
      <c r="J105" s="85"/>
      <c r="K105" s="85"/>
      <c r="L105" s="85"/>
      <c r="M105" s="85"/>
      <c r="N105" s="85"/>
      <c r="O105" s="85"/>
      <c r="P105" s="85"/>
      <c r="Q105" s="85"/>
      <c r="R105" s="85"/>
      <c r="S105" s="85"/>
      <c r="T105" s="85"/>
      <c r="U105" s="85"/>
      <c r="V105" s="85"/>
      <c r="W105" s="85"/>
      <c r="X105" s="85"/>
      <c r="Y105" s="85"/>
      <c r="Z105" s="85"/>
      <c r="AA105" s="85"/>
      <c r="AB105" s="85"/>
      <c r="AC105" s="85"/>
      <c r="AD105" s="85"/>
      <c r="AE105" s="85"/>
      <c r="AF105" s="85"/>
      <c r="AG105" s="85"/>
    </row>
    <row r="106">
      <c r="A106" s="85"/>
      <c r="B106" s="85"/>
      <c r="C106" s="87"/>
      <c r="D106" s="87"/>
      <c r="E106" s="85"/>
      <c r="F106" s="85"/>
      <c r="G106" s="85"/>
      <c r="H106" s="85"/>
      <c r="I106" s="85"/>
      <c r="J106" s="85"/>
      <c r="K106" s="85"/>
      <c r="L106" s="85"/>
      <c r="M106" s="85"/>
      <c r="N106" s="85"/>
      <c r="O106" s="85"/>
      <c r="P106" s="85"/>
      <c r="Q106" s="85"/>
      <c r="R106" s="85"/>
      <c r="S106" s="85"/>
      <c r="T106" s="85"/>
      <c r="U106" s="85"/>
      <c r="V106" s="85"/>
      <c r="W106" s="85"/>
      <c r="X106" s="85"/>
      <c r="Y106" s="85"/>
      <c r="Z106" s="85"/>
      <c r="AA106" s="85"/>
      <c r="AB106" s="85"/>
      <c r="AC106" s="85"/>
      <c r="AD106" s="85"/>
      <c r="AE106" s="85"/>
      <c r="AF106" s="85"/>
      <c r="AG106" s="85"/>
    </row>
    <row r="107">
      <c r="A107" s="85"/>
      <c r="B107" s="85"/>
      <c r="C107" s="87"/>
      <c r="D107" s="87"/>
      <c r="E107" s="85"/>
      <c r="F107" s="85"/>
      <c r="G107" s="85"/>
      <c r="H107" s="85"/>
      <c r="I107" s="85"/>
      <c r="J107" s="85"/>
      <c r="K107" s="85"/>
      <c r="L107" s="85"/>
      <c r="M107" s="85"/>
      <c r="N107" s="85"/>
      <c r="O107" s="85"/>
      <c r="P107" s="85"/>
      <c r="Q107" s="85"/>
      <c r="R107" s="85"/>
      <c r="S107" s="85"/>
      <c r="T107" s="85"/>
      <c r="U107" s="85"/>
      <c r="V107" s="85"/>
      <c r="W107" s="85"/>
      <c r="X107" s="85"/>
      <c r="Y107" s="85"/>
      <c r="Z107" s="85"/>
      <c r="AA107" s="85"/>
      <c r="AB107" s="85"/>
      <c r="AC107" s="85"/>
      <c r="AD107" s="85"/>
      <c r="AE107" s="85"/>
      <c r="AF107" s="85"/>
      <c r="AG107" s="85"/>
    </row>
    <row r="108">
      <c r="A108" s="85"/>
      <c r="B108" s="85"/>
      <c r="C108" s="87"/>
      <c r="D108" s="87"/>
      <c r="E108" s="85"/>
      <c r="F108" s="85"/>
      <c r="G108" s="85"/>
      <c r="H108" s="85"/>
      <c r="I108" s="85"/>
      <c r="J108" s="85"/>
      <c r="K108" s="85"/>
      <c r="L108" s="85"/>
      <c r="M108" s="85"/>
      <c r="N108" s="85"/>
      <c r="O108" s="85"/>
      <c r="P108" s="85"/>
      <c r="Q108" s="85"/>
      <c r="R108" s="85"/>
      <c r="S108" s="85"/>
      <c r="T108" s="85"/>
      <c r="U108" s="85"/>
      <c r="V108" s="85"/>
      <c r="W108" s="85"/>
      <c r="X108" s="85"/>
      <c r="Y108" s="85"/>
      <c r="Z108" s="85"/>
      <c r="AA108" s="85"/>
      <c r="AB108" s="85"/>
      <c r="AC108" s="85"/>
      <c r="AD108" s="85"/>
      <c r="AE108" s="85"/>
      <c r="AF108" s="85"/>
      <c r="AG108" s="85"/>
    </row>
    <row r="109">
      <c r="A109" s="85"/>
      <c r="B109" s="85"/>
      <c r="C109" s="87"/>
      <c r="D109" s="87"/>
      <c r="E109" s="85"/>
      <c r="F109" s="85"/>
      <c r="G109" s="85"/>
      <c r="H109" s="85"/>
      <c r="I109" s="85"/>
      <c r="J109" s="85"/>
      <c r="K109" s="85"/>
      <c r="L109" s="85"/>
      <c r="M109" s="85"/>
      <c r="N109" s="85"/>
      <c r="O109" s="85"/>
      <c r="P109" s="85"/>
      <c r="Q109" s="85"/>
      <c r="R109" s="85"/>
      <c r="S109" s="85"/>
      <c r="T109" s="85"/>
      <c r="U109" s="85"/>
      <c r="V109" s="85"/>
      <c r="W109" s="85"/>
      <c r="X109" s="85"/>
      <c r="Y109" s="85"/>
      <c r="Z109" s="85"/>
      <c r="AA109" s="85"/>
      <c r="AB109" s="85"/>
      <c r="AC109" s="85"/>
      <c r="AD109" s="85"/>
      <c r="AE109" s="85"/>
      <c r="AF109" s="85"/>
      <c r="AG109" s="85"/>
    </row>
    <row r="110">
      <c r="A110" s="85"/>
      <c r="B110" s="85"/>
      <c r="C110" s="87"/>
      <c r="D110" s="87"/>
      <c r="E110" s="85"/>
      <c r="F110" s="85"/>
      <c r="G110" s="85"/>
      <c r="H110" s="85"/>
      <c r="I110" s="85"/>
      <c r="J110" s="85"/>
      <c r="K110" s="85"/>
      <c r="L110" s="85"/>
      <c r="M110" s="85"/>
      <c r="N110" s="85"/>
      <c r="O110" s="85"/>
      <c r="P110" s="85"/>
      <c r="Q110" s="85"/>
      <c r="R110" s="85"/>
      <c r="S110" s="85"/>
      <c r="T110" s="85"/>
      <c r="U110" s="85"/>
      <c r="V110" s="85"/>
      <c r="W110" s="85"/>
      <c r="X110" s="85"/>
      <c r="Y110" s="85"/>
      <c r="Z110" s="85"/>
      <c r="AA110" s="85"/>
      <c r="AB110" s="85"/>
      <c r="AC110" s="85"/>
      <c r="AD110" s="85"/>
      <c r="AE110" s="85"/>
      <c r="AF110" s="85"/>
      <c r="AG110" s="85"/>
    </row>
    <row r="111">
      <c r="A111" s="85"/>
      <c r="B111" s="85"/>
      <c r="C111" s="87"/>
      <c r="D111" s="87"/>
      <c r="E111" s="85"/>
      <c r="F111" s="85"/>
      <c r="G111" s="85"/>
      <c r="H111" s="85"/>
      <c r="I111" s="85"/>
      <c r="J111" s="85"/>
      <c r="K111" s="85"/>
      <c r="L111" s="85"/>
      <c r="M111" s="85"/>
      <c r="N111" s="85"/>
      <c r="O111" s="85"/>
      <c r="P111" s="85"/>
      <c r="Q111" s="85"/>
      <c r="R111" s="85"/>
      <c r="S111" s="85"/>
      <c r="T111" s="85"/>
      <c r="U111" s="85"/>
      <c r="V111" s="85"/>
      <c r="W111" s="85"/>
      <c r="X111" s="85"/>
      <c r="Y111" s="85"/>
      <c r="Z111" s="85"/>
      <c r="AA111" s="85"/>
      <c r="AB111" s="85"/>
      <c r="AC111" s="85"/>
      <c r="AD111" s="85"/>
      <c r="AE111" s="85"/>
      <c r="AF111" s="85"/>
      <c r="AG111" s="85"/>
    </row>
    <row r="112">
      <c r="A112" s="85"/>
      <c r="B112" s="85"/>
      <c r="C112" s="87"/>
      <c r="D112" s="87"/>
      <c r="E112" s="85"/>
      <c r="F112" s="85"/>
      <c r="G112" s="85"/>
      <c r="H112" s="85"/>
      <c r="I112" s="85"/>
      <c r="J112" s="85"/>
      <c r="K112" s="85"/>
      <c r="L112" s="85"/>
      <c r="M112" s="85"/>
      <c r="N112" s="85"/>
      <c r="O112" s="85"/>
      <c r="P112" s="85"/>
      <c r="Q112" s="85"/>
      <c r="R112" s="85"/>
      <c r="S112" s="85"/>
      <c r="T112" s="85"/>
      <c r="U112" s="85"/>
      <c r="V112" s="85"/>
      <c r="W112" s="85"/>
      <c r="X112" s="85"/>
      <c r="Y112" s="85"/>
      <c r="Z112" s="85"/>
      <c r="AA112" s="85"/>
      <c r="AB112" s="85"/>
      <c r="AC112" s="85"/>
      <c r="AD112" s="85"/>
      <c r="AE112" s="85"/>
      <c r="AF112" s="85"/>
      <c r="AG112" s="85"/>
    </row>
    <row r="113">
      <c r="A113" s="85"/>
      <c r="B113" s="85"/>
      <c r="C113" s="87"/>
      <c r="D113" s="87"/>
      <c r="E113" s="85"/>
      <c r="F113" s="85"/>
      <c r="G113" s="85"/>
      <c r="H113" s="85"/>
      <c r="I113" s="85"/>
      <c r="J113" s="85"/>
      <c r="K113" s="85"/>
      <c r="L113" s="85"/>
      <c r="M113" s="85"/>
      <c r="N113" s="85"/>
      <c r="O113" s="85"/>
      <c r="P113" s="85"/>
      <c r="Q113" s="85"/>
      <c r="R113" s="85"/>
      <c r="S113" s="85"/>
      <c r="T113" s="85"/>
      <c r="U113" s="85"/>
      <c r="V113" s="85"/>
      <c r="W113" s="85"/>
      <c r="X113" s="85"/>
      <c r="Y113" s="85"/>
      <c r="Z113" s="85"/>
      <c r="AA113" s="85"/>
      <c r="AB113" s="85"/>
      <c r="AC113" s="85"/>
      <c r="AD113" s="85"/>
      <c r="AE113" s="85"/>
      <c r="AF113" s="85"/>
      <c r="AG113" s="85"/>
    </row>
    <row r="114">
      <c r="A114" s="85"/>
      <c r="B114" s="85"/>
      <c r="C114" s="87"/>
      <c r="D114" s="87"/>
      <c r="E114" s="85"/>
      <c r="F114" s="85"/>
      <c r="G114" s="85"/>
      <c r="H114" s="85"/>
      <c r="I114" s="85"/>
      <c r="J114" s="85"/>
      <c r="K114" s="85"/>
      <c r="L114" s="85"/>
      <c r="M114" s="85"/>
      <c r="N114" s="85"/>
      <c r="O114" s="85"/>
      <c r="P114" s="85"/>
      <c r="Q114" s="85"/>
      <c r="R114" s="85"/>
      <c r="S114" s="85"/>
      <c r="T114" s="85"/>
      <c r="U114" s="85"/>
      <c r="V114" s="85"/>
      <c r="W114" s="85"/>
      <c r="X114" s="85"/>
      <c r="Y114" s="85"/>
      <c r="Z114" s="85"/>
      <c r="AA114" s="85"/>
      <c r="AB114" s="85"/>
      <c r="AC114" s="85"/>
      <c r="AD114" s="85"/>
      <c r="AE114" s="85"/>
      <c r="AF114" s="85"/>
      <c r="AG114" s="85"/>
    </row>
    <row r="115">
      <c r="A115" s="85"/>
      <c r="B115" s="85"/>
      <c r="C115" s="87"/>
      <c r="D115" s="87"/>
      <c r="E115" s="85"/>
      <c r="F115" s="85"/>
      <c r="G115" s="85"/>
      <c r="H115" s="85"/>
      <c r="I115" s="85"/>
      <c r="J115" s="85"/>
      <c r="K115" s="85"/>
      <c r="L115" s="85"/>
      <c r="M115" s="85"/>
      <c r="N115" s="85"/>
      <c r="O115" s="85"/>
      <c r="P115" s="85"/>
      <c r="Q115" s="85"/>
      <c r="R115" s="85"/>
      <c r="S115" s="85"/>
      <c r="T115" s="85"/>
      <c r="U115" s="85"/>
      <c r="V115" s="85"/>
      <c r="W115" s="85"/>
      <c r="X115" s="85"/>
      <c r="Y115" s="85"/>
      <c r="Z115" s="85"/>
      <c r="AA115" s="85"/>
      <c r="AB115" s="85"/>
      <c r="AC115" s="85"/>
      <c r="AD115" s="85"/>
      <c r="AE115" s="85"/>
      <c r="AF115" s="85"/>
      <c r="AG115" s="85"/>
    </row>
    <row r="116">
      <c r="A116" s="85"/>
      <c r="B116" s="85"/>
      <c r="C116" s="87"/>
      <c r="D116" s="87"/>
      <c r="E116" s="85"/>
      <c r="F116" s="85"/>
      <c r="G116" s="85"/>
      <c r="H116" s="85"/>
      <c r="I116" s="85"/>
      <c r="J116" s="85"/>
      <c r="K116" s="85"/>
      <c r="L116" s="85"/>
      <c r="M116" s="85"/>
      <c r="N116" s="85"/>
      <c r="O116" s="85"/>
      <c r="P116" s="85"/>
      <c r="Q116" s="85"/>
      <c r="R116" s="85"/>
      <c r="S116" s="85"/>
      <c r="T116" s="85"/>
      <c r="U116" s="85"/>
      <c r="V116" s="85"/>
      <c r="W116" s="85"/>
      <c r="X116" s="85"/>
      <c r="Y116" s="85"/>
      <c r="Z116" s="85"/>
      <c r="AA116" s="85"/>
      <c r="AB116" s="85"/>
      <c r="AC116" s="85"/>
      <c r="AD116" s="85"/>
      <c r="AE116" s="85"/>
      <c r="AF116" s="85"/>
      <c r="AG116" s="85"/>
    </row>
    <row r="117">
      <c r="A117" s="85"/>
      <c r="B117" s="85"/>
      <c r="C117" s="87"/>
      <c r="D117" s="87"/>
      <c r="E117" s="85"/>
      <c r="F117" s="85"/>
      <c r="G117" s="85"/>
      <c r="H117" s="85"/>
      <c r="I117" s="85"/>
      <c r="J117" s="85"/>
      <c r="K117" s="85"/>
      <c r="L117" s="85"/>
      <c r="M117" s="85"/>
      <c r="N117" s="85"/>
      <c r="O117" s="85"/>
      <c r="P117" s="85"/>
      <c r="Q117" s="85"/>
      <c r="R117" s="85"/>
      <c r="S117" s="85"/>
      <c r="T117" s="85"/>
      <c r="U117" s="85"/>
      <c r="V117" s="85"/>
      <c r="W117" s="85"/>
      <c r="X117" s="85"/>
      <c r="Y117" s="85"/>
      <c r="Z117" s="85"/>
      <c r="AA117" s="85"/>
      <c r="AB117" s="85"/>
      <c r="AC117" s="85"/>
      <c r="AD117" s="85"/>
      <c r="AE117" s="85"/>
      <c r="AF117" s="85"/>
      <c r="AG117" s="85"/>
    </row>
    <row r="118">
      <c r="A118" s="85"/>
      <c r="B118" s="85"/>
      <c r="C118" s="87"/>
      <c r="D118" s="87"/>
      <c r="E118" s="85"/>
      <c r="F118" s="85"/>
      <c r="G118" s="85"/>
      <c r="H118" s="85"/>
      <c r="I118" s="85"/>
      <c r="J118" s="85"/>
      <c r="K118" s="85"/>
      <c r="L118" s="85"/>
      <c r="M118" s="85"/>
      <c r="N118" s="85"/>
      <c r="O118" s="85"/>
      <c r="P118" s="85"/>
      <c r="Q118" s="85"/>
      <c r="R118" s="85"/>
      <c r="S118" s="85"/>
      <c r="T118" s="85"/>
      <c r="U118" s="85"/>
      <c r="V118" s="85"/>
      <c r="W118" s="85"/>
      <c r="X118" s="85"/>
      <c r="Y118" s="85"/>
      <c r="Z118" s="85"/>
      <c r="AA118" s="85"/>
      <c r="AB118" s="85"/>
      <c r="AC118" s="85"/>
      <c r="AD118" s="85"/>
      <c r="AE118" s="85"/>
      <c r="AF118" s="85"/>
      <c r="AG118" s="85"/>
    </row>
    <row r="119">
      <c r="A119" s="85"/>
      <c r="B119" s="85"/>
      <c r="C119" s="87"/>
      <c r="D119" s="87"/>
      <c r="E119" s="85"/>
      <c r="F119" s="85"/>
      <c r="G119" s="85"/>
      <c r="H119" s="85"/>
      <c r="I119" s="85"/>
      <c r="J119" s="85"/>
      <c r="K119" s="85"/>
      <c r="L119" s="85"/>
      <c r="M119" s="85"/>
      <c r="N119" s="85"/>
      <c r="O119" s="85"/>
      <c r="P119" s="85"/>
      <c r="Q119" s="85"/>
      <c r="R119" s="85"/>
      <c r="S119" s="85"/>
      <c r="T119" s="85"/>
      <c r="U119" s="85"/>
      <c r="V119" s="85"/>
      <c r="W119" s="85"/>
      <c r="X119" s="85"/>
      <c r="Y119" s="85"/>
      <c r="Z119" s="85"/>
      <c r="AA119" s="85"/>
      <c r="AB119" s="85"/>
      <c r="AC119" s="85"/>
      <c r="AD119" s="85"/>
      <c r="AE119" s="85"/>
      <c r="AF119" s="85"/>
      <c r="AG119" s="85"/>
    </row>
    <row r="120">
      <c r="A120" s="85"/>
      <c r="B120" s="85"/>
      <c r="C120" s="87"/>
      <c r="D120" s="87"/>
      <c r="E120" s="85"/>
      <c r="F120" s="85"/>
      <c r="G120" s="85"/>
      <c r="H120" s="85"/>
      <c r="I120" s="85"/>
      <c r="J120" s="85"/>
      <c r="K120" s="85"/>
      <c r="L120" s="85"/>
      <c r="M120" s="85"/>
      <c r="N120" s="85"/>
      <c r="O120" s="85"/>
      <c r="P120" s="85"/>
      <c r="Q120" s="85"/>
      <c r="R120" s="85"/>
      <c r="S120" s="85"/>
      <c r="T120" s="85"/>
      <c r="U120" s="85"/>
      <c r="V120" s="85"/>
      <c r="W120" s="85"/>
      <c r="X120" s="85"/>
      <c r="Y120" s="85"/>
      <c r="Z120" s="85"/>
      <c r="AA120" s="85"/>
      <c r="AB120" s="85"/>
      <c r="AC120" s="85"/>
      <c r="AD120" s="85"/>
      <c r="AE120" s="85"/>
      <c r="AF120" s="85"/>
      <c r="AG120" s="85"/>
    </row>
    <row r="121">
      <c r="A121" s="85"/>
      <c r="B121" s="85"/>
      <c r="C121" s="87"/>
      <c r="D121" s="87"/>
      <c r="E121" s="85"/>
      <c r="F121" s="85"/>
      <c r="G121" s="85"/>
      <c r="H121" s="85"/>
      <c r="I121" s="85"/>
      <c r="J121" s="85"/>
      <c r="K121" s="85"/>
      <c r="L121" s="85"/>
      <c r="M121" s="85"/>
      <c r="N121" s="85"/>
      <c r="O121" s="85"/>
      <c r="P121" s="85"/>
      <c r="Q121" s="85"/>
      <c r="R121" s="85"/>
      <c r="S121" s="85"/>
      <c r="T121" s="85"/>
      <c r="U121" s="85"/>
      <c r="V121" s="85"/>
      <c r="W121" s="85"/>
      <c r="X121" s="85"/>
      <c r="Y121" s="85"/>
      <c r="Z121" s="85"/>
      <c r="AA121" s="85"/>
      <c r="AB121" s="85"/>
      <c r="AC121" s="85"/>
      <c r="AD121" s="85"/>
      <c r="AE121" s="85"/>
      <c r="AF121" s="85"/>
      <c r="AG121" s="85"/>
    </row>
    <row r="122">
      <c r="A122" s="85"/>
      <c r="B122" s="85"/>
      <c r="C122" s="87"/>
      <c r="D122" s="87"/>
      <c r="E122" s="85"/>
      <c r="F122" s="85"/>
      <c r="G122" s="85"/>
      <c r="H122" s="85"/>
      <c r="I122" s="85"/>
      <c r="J122" s="85"/>
      <c r="K122" s="85"/>
      <c r="L122" s="85"/>
      <c r="M122" s="85"/>
      <c r="N122" s="85"/>
      <c r="O122" s="85"/>
      <c r="P122" s="85"/>
      <c r="Q122" s="85"/>
      <c r="R122" s="85"/>
      <c r="S122" s="85"/>
      <c r="T122" s="85"/>
      <c r="U122" s="85"/>
      <c r="V122" s="85"/>
      <c r="W122" s="85"/>
      <c r="X122" s="85"/>
      <c r="Y122" s="85"/>
      <c r="Z122" s="85"/>
      <c r="AA122" s="85"/>
      <c r="AB122" s="85"/>
      <c r="AC122" s="85"/>
      <c r="AD122" s="85"/>
      <c r="AE122" s="85"/>
      <c r="AF122" s="85"/>
      <c r="AG122" s="85"/>
    </row>
    <row r="123">
      <c r="A123" s="85"/>
      <c r="B123" s="85"/>
      <c r="C123" s="87"/>
      <c r="D123" s="87"/>
      <c r="E123" s="85"/>
      <c r="F123" s="85"/>
      <c r="G123" s="85"/>
      <c r="H123" s="85"/>
      <c r="I123" s="85"/>
      <c r="J123" s="85"/>
      <c r="K123" s="85"/>
      <c r="L123" s="85"/>
      <c r="M123" s="85"/>
      <c r="N123" s="85"/>
      <c r="O123" s="85"/>
      <c r="P123" s="85"/>
      <c r="Q123" s="85"/>
      <c r="R123" s="85"/>
      <c r="S123" s="85"/>
      <c r="T123" s="85"/>
      <c r="U123" s="85"/>
      <c r="V123" s="85"/>
      <c r="W123" s="85"/>
      <c r="X123" s="85"/>
      <c r="Y123" s="85"/>
      <c r="Z123" s="85"/>
      <c r="AA123" s="85"/>
      <c r="AB123" s="85"/>
      <c r="AC123" s="85"/>
      <c r="AD123" s="85"/>
      <c r="AE123" s="85"/>
      <c r="AF123" s="85"/>
      <c r="AG123" s="85"/>
    </row>
    <row r="124">
      <c r="A124" s="85"/>
      <c r="B124" s="85"/>
      <c r="C124" s="87"/>
      <c r="D124" s="87"/>
      <c r="E124" s="85"/>
      <c r="F124" s="85"/>
      <c r="G124" s="85"/>
      <c r="H124" s="85"/>
      <c r="I124" s="85"/>
      <c r="J124" s="85"/>
      <c r="K124" s="85"/>
      <c r="L124" s="85"/>
      <c r="M124" s="85"/>
      <c r="N124" s="85"/>
      <c r="O124" s="85"/>
      <c r="P124" s="85"/>
      <c r="Q124" s="85"/>
      <c r="R124" s="85"/>
      <c r="S124" s="85"/>
      <c r="T124" s="85"/>
      <c r="U124" s="85"/>
      <c r="V124" s="85"/>
      <c r="W124" s="85"/>
      <c r="X124" s="85"/>
      <c r="Y124" s="85"/>
      <c r="Z124" s="85"/>
      <c r="AA124" s="85"/>
      <c r="AB124" s="85"/>
      <c r="AC124" s="85"/>
      <c r="AD124" s="85"/>
      <c r="AE124" s="85"/>
      <c r="AF124" s="85"/>
      <c r="AG124" s="85"/>
    </row>
    <row r="125">
      <c r="A125" s="85"/>
      <c r="B125" s="85"/>
      <c r="C125" s="87"/>
      <c r="D125" s="87"/>
      <c r="E125" s="85"/>
      <c r="F125" s="85"/>
      <c r="G125" s="85"/>
      <c r="H125" s="85"/>
      <c r="I125" s="85"/>
      <c r="J125" s="85"/>
      <c r="K125" s="85"/>
      <c r="L125" s="85"/>
      <c r="M125" s="85"/>
      <c r="N125" s="85"/>
      <c r="O125" s="85"/>
      <c r="P125" s="85"/>
      <c r="Q125" s="85"/>
      <c r="R125" s="85"/>
      <c r="S125" s="85"/>
      <c r="T125" s="85"/>
      <c r="U125" s="85"/>
      <c r="V125" s="85"/>
      <c r="W125" s="85"/>
      <c r="X125" s="85"/>
      <c r="Y125" s="85"/>
      <c r="Z125" s="85"/>
      <c r="AA125" s="85"/>
      <c r="AB125" s="85"/>
      <c r="AC125" s="85"/>
      <c r="AD125" s="85"/>
      <c r="AE125" s="85"/>
      <c r="AF125" s="85"/>
      <c r="AG125" s="85"/>
    </row>
    <row r="126">
      <c r="A126" s="85"/>
      <c r="B126" s="85"/>
      <c r="C126" s="87"/>
      <c r="D126" s="87"/>
      <c r="E126" s="85"/>
      <c r="F126" s="85"/>
      <c r="G126" s="85"/>
      <c r="H126" s="85"/>
      <c r="I126" s="85"/>
      <c r="J126" s="85"/>
      <c r="K126" s="85"/>
      <c r="L126" s="85"/>
      <c r="M126" s="85"/>
      <c r="N126" s="85"/>
      <c r="O126" s="85"/>
      <c r="P126" s="85"/>
      <c r="Q126" s="85"/>
      <c r="R126" s="85"/>
      <c r="S126" s="85"/>
      <c r="T126" s="85"/>
      <c r="U126" s="85"/>
      <c r="V126" s="85"/>
      <c r="W126" s="85"/>
      <c r="X126" s="85"/>
      <c r="Y126" s="85"/>
      <c r="Z126" s="85"/>
      <c r="AA126" s="85"/>
      <c r="AB126" s="85"/>
      <c r="AC126" s="85"/>
      <c r="AD126" s="85"/>
      <c r="AE126" s="85"/>
      <c r="AF126" s="85"/>
      <c r="AG126" s="85"/>
    </row>
    <row r="127">
      <c r="A127" s="85"/>
      <c r="B127" s="85"/>
      <c r="C127" s="87"/>
      <c r="D127" s="87"/>
      <c r="E127" s="85"/>
      <c r="F127" s="85"/>
      <c r="G127" s="85"/>
      <c r="H127" s="85"/>
      <c r="I127" s="85"/>
      <c r="J127" s="85"/>
      <c r="K127" s="85"/>
      <c r="L127" s="85"/>
      <c r="M127" s="85"/>
      <c r="N127" s="85"/>
      <c r="O127" s="85"/>
      <c r="P127" s="85"/>
      <c r="Q127" s="85"/>
      <c r="R127" s="85"/>
      <c r="S127" s="85"/>
      <c r="T127" s="85"/>
      <c r="U127" s="85"/>
      <c r="V127" s="85"/>
      <c r="W127" s="85"/>
      <c r="X127" s="85"/>
      <c r="Y127" s="85"/>
      <c r="Z127" s="85"/>
      <c r="AA127" s="85"/>
      <c r="AB127" s="85"/>
      <c r="AC127" s="85"/>
      <c r="AD127" s="85"/>
      <c r="AE127" s="85"/>
      <c r="AF127" s="85"/>
      <c r="AG127" s="85"/>
    </row>
    <row r="128">
      <c r="A128" s="85"/>
      <c r="B128" s="85"/>
      <c r="C128" s="87"/>
      <c r="D128" s="87"/>
      <c r="E128" s="85"/>
      <c r="F128" s="85"/>
      <c r="G128" s="85"/>
      <c r="H128" s="85"/>
      <c r="I128" s="85"/>
      <c r="J128" s="85"/>
      <c r="K128" s="85"/>
      <c r="L128" s="85"/>
      <c r="M128" s="85"/>
      <c r="N128" s="85"/>
      <c r="O128" s="85"/>
      <c r="P128" s="85"/>
      <c r="Q128" s="85"/>
      <c r="R128" s="85"/>
      <c r="S128" s="85"/>
      <c r="T128" s="85"/>
      <c r="U128" s="85"/>
      <c r="V128" s="85"/>
      <c r="W128" s="85"/>
      <c r="X128" s="85"/>
      <c r="Y128" s="85"/>
      <c r="Z128" s="85"/>
      <c r="AA128" s="85"/>
      <c r="AB128" s="85"/>
      <c r="AC128" s="85"/>
      <c r="AD128" s="85"/>
      <c r="AE128" s="85"/>
      <c r="AF128" s="85"/>
      <c r="AG128" s="85"/>
    </row>
    <row r="129">
      <c r="A129" s="85"/>
      <c r="B129" s="85"/>
      <c r="C129" s="87"/>
      <c r="D129" s="87"/>
      <c r="E129" s="85"/>
      <c r="F129" s="85"/>
      <c r="G129" s="85"/>
      <c r="H129" s="85"/>
      <c r="I129" s="85"/>
      <c r="J129" s="85"/>
      <c r="K129" s="85"/>
      <c r="L129" s="85"/>
      <c r="M129" s="85"/>
      <c r="N129" s="85"/>
      <c r="O129" s="85"/>
      <c r="P129" s="85"/>
      <c r="Q129" s="85"/>
      <c r="R129" s="85"/>
      <c r="S129" s="85"/>
      <c r="T129" s="85"/>
      <c r="U129" s="85"/>
      <c r="V129" s="85"/>
      <c r="W129" s="85"/>
      <c r="X129" s="85"/>
      <c r="Y129" s="85"/>
      <c r="Z129" s="85"/>
      <c r="AA129" s="85"/>
      <c r="AB129" s="85"/>
      <c r="AC129" s="85"/>
      <c r="AD129" s="85"/>
      <c r="AE129" s="85"/>
      <c r="AF129" s="85"/>
      <c r="AG129" s="85"/>
    </row>
    <row r="130">
      <c r="A130" s="85"/>
      <c r="B130" s="85"/>
      <c r="C130" s="87"/>
      <c r="D130" s="87"/>
      <c r="E130" s="85"/>
      <c r="F130" s="85"/>
      <c r="G130" s="85"/>
      <c r="H130" s="85"/>
      <c r="I130" s="85"/>
      <c r="J130" s="85"/>
      <c r="K130" s="85"/>
      <c r="L130" s="85"/>
      <c r="M130" s="85"/>
      <c r="N130" s="85"/>
      <c r="O130" s="85"/>
      <c r="P130" s="85"/>
      <c r="Q130" s="85"/>
      <c r="R130" s="85"/>
      <c r="S130" s="85"/>
      <c r="T130" s="85"/>
      <c r="U130" s="85"/>
      <c r="V130" s="85"/>
      <c r="W130" s="85"/>
      <c r="X130" s="85"/>
      <c r="Y130" s="85"/>
      <c r="Z130" s="85"/>
      <c r="AA130" s="85"/>
      <c r="AB130" s="85"/>
      <c r="AC130" s="85"/>
      <c r="AD130" s="85"/>
      <c r="AE130" s="85"/>
      <c r="AF130" s="85"/>
      <c r="AG130" s="85"/>
    </row>
    <row r="131">
      <c r="A131" s="85"/>
      <c r="B131" s="85"/>
      <c r="C131" s="87"/>
      <c r="D131" s="87"/>
      <c r="E131" s="85"/>
      <c r="F131" s="85"/>
      <c r="G131" s="85"/>
      <c r="H131" s="85"/>
      <c r="I131" s="85"/>
      <c r="J131" s="85"/>
      <c r="K131" s="85"/>
      <c r="L131" s="85"/>
      <c r="M131" s="85"/>
      <c r="N131" s="85"/>
      <c r="O131" s="85"/>
      <c r="P131" s="85"/>
      <c r="Q131" s="85"/>
      <c r="R131" s="85"/>
      <c r="S131" s="85"/>
      <c r="T131" s="85"/>
      <c r="U131" s="85"/>
      <c r="V131" s="85"/>
      <c r="W131" s="85"/>
      <c r="X131" s="85"/>
      <c r="Y131" s="85"/>
      <c r="Z131" s="85"/>
      <c r="AA131" s="85"/>
      <c r="AB131" s="85"/>
      <c r="AC131" s="85"/>
      <c r="AD131" s="85"/>
      <c r="AE131" s="85"/>
      <c r="AF131" s="85"/>
      <c r="AG131" s="85"/>
    </row>
    <row r="132">
      <c r="A132" s="85"/>
      <c r="B132" s="85"/>
      <c r="C132" s="87"/>
      <c r="D132" s="87"/>
      <c r="E132" s="85"/>
      <c r="F132" s="85"/>
      <c r="G132" s="85"/>
      <c r="H132" s="85"/>
      <c r="I132" s="85"/>
      <c r="J132" s="85"/>
      <c r="K132" s="85"/>
      <c r="L132" s="85"/>
      <c r="M132" s="85"/>
      <c r="N132" s="85"/>
      <c r="O132" s="85"/>
      <c r="P132" s="85"/>
      <c r="Q132" s="85"/>
      <c r="R132" s="85"/>
      <c r="S132" s="85"/>
      <c r="T132" s="85"/>
      <c r="U132" s="85"/>
      <c r="V132" s="85"/>
      <c r="W132" s="85"/>
      <c r="X132" s="85"/>
      <c r="Y132" s="85"/>
      <c r="Z132" s="85"/>
      <c r="AA132" s="85"/>
      <c r="AB132" s="85"/>
      <c r="AC132" s="85"/>
      <c r="AD132" s="85"/>
      <c r="AE132" s="85"/>
      <c r="AF132" s="85"/>
      <c r="AG132" s="85"/>
    </row>
    <row r="133">
      <c r="A133" s="85"/>
      <c r="B133" s="85"/>
      <c r="C133" s="87"/>
      <c r="D133" s="87"/>
      <c r="E133" s="85"/>
      <c r="F133" s="85"/>
      <c r="G133" s="85"/>
      <c r="H133" s="85"/>
      <c r="I133" s="85"/>
      <c r="J133" s="85"/>
      <c r="K133" s="85"/>
      <c r="L133" s="85"/>
      <c r="M133" s="85"/>
      <c r="N133" s="85"/>
      <c r="O133" s="85"/>
      <c r="P133" s="85"/>
      <c r="Q133" s="85"/>
      <c r="R133" s="85"/>
      <c r="S133" s="85"/>
      <c r="T133" s="85"/>
      <c r="U133" s="85"/>
      <c r="V133" s="85"/>
      <c r="W133" s="85"/>
      <c r="X133" s="85"/>
      <c r="Y133" s="85"/>
      <c r="Z133" s="85"/>
      <c r="AA133" s="85"/>
      <c r="AB133" s="85"/>
      <c r="AC133" s="85"/>
      <c r="AD133" s="85"/>
      <c r="AE133" s="85"/>
      <c r="AF133" s="85"/>
      <c r="AG133" s="85"/>
    </row>
    <row r="134">
      <c r="A134" s="85"/>
      <c r="B134" s="85"/>
      <c r="C134" s="87"/>
      <c r="D134" s="87"/>
      <c r="E134" s="85"/>
      <c r="F134" s="85"/>
      <c r="G134" s="85"/>
      <c r="H134" s="85"/>
      <c r="I134" s="85"/>
      <c r="J134" s="85"/>
      <c r="K134" s="85"/>
      <c r="L134" s="85"/>
      <c r="M134" s="85"/>
      <c r="N134" s="85"/>
      <c r="O134" s="85"/>
      <c r="P134" s="85"/>
      <c r="Q134" s="85"/>
      <c r="R134" s="85"/>
      <c r="S134" s="85"/>
      <c r="T134" s="85"/>
      <c r="U134" s="85"/>
      <c r="V134" s="85"/>
      <c r="W134" s="85"/>
      <c r="X134" s="85"/>
      <c r="Y134" s="85"/>
      <c r="Z134" s="85"/>
      <c r="AA134" s="85"/>
      <c r="AB134" s="85"/>
      <c r="AC134" s="85"/>
      <c r="AD134" s="85"/>
      <c r="AE134" s="85"/>
      <c r="AF134" s="85"/>
      <c r="AG134" s="85"/>
    </row>
    <row r="135">
      <c r="A135" s="85"/>
      <c r="B135" s="85"/>
      <c r="C135" s="87"/>
      <c r="D135" s="87"/>
      <c r="E135" s="85"/>
      <c r="F135" s="85"/>
      <c r="G135" s="85"/>
      <c r="H135" s="85"/>
      <c r="I135" s="85"/>
      <c r="J135" s="85"/>
      <c r="K135" s="85"/>
      <c r="L135" s="85"/>
      <c r="M135" s="85"/>
      <c r="N135" s="85"/>
      <c r="O135" s="85"/>
      <c r="P135" s="85"/>
      <c r="Q135" s="85"/>
      <c r="R135" s="85"/>
      <c r="S135" s="85"/>
      <c r="T135" s="85"/>
      <c r="U135" s="85"/>
      <c r="V135" s="85"/>
      <c r="W135" s="85"/>
      <c r="X135" s="85"/>
      <c r="Y135" s="85"/>
      <c r="Z135" s="85"/>
      <c r="AA135" s="85"/>
      <c r="AB135" s="85"/>
      <c r="AC135" s="85"/>
      <c r="AD135" s="85"/>
      <c r="AE135" s="85"/>
      <c r="AF135" s="85"/>
      <c r="AG135" s="85"/>
    </row>
    <row r="136">
      <c r="A136" s="85"/>
      <c r="B136" s="85"/>
      <c r="C136" s="87"/>
      <c r="D136" s="87"/>
      <c r="E136" s="85"/>
      <c r="F136" s="85"/>
      <c r="G136" s="85"/>
      <c r="H136" s="85"/>
      <c r="I136" s="85"/>
      <c r="J136" s="85"/>
      <c r="K136" s="85"/>
      <c r="L136" s="85"/>
      <c r="M136" s="85"/>
      <c r="N136" s="85"/>
      <c r="O136" s="85"/>
      <c r="P136" s="85"/>
      <c r="Q136" s="85"/>
      <c r="R136" s="85"/>
      <c r="S136" s="85"/>
      <c r="T136" s="85"/>
      <c r="U136" s="85"/>
      <c r="V136" s="85"/>
      <c r="W136" s="85"/>
      <c r="X136" s="85"/>
      <c r="Y136" s="85"/>
      <c r="Z136" s="85"/>
      <c r="AA136" s="85"/>
      <c r="AB136" s="85"/>
      <c r="AC136" s="85"/>
      <c r="AD136" s="85"/>
      <c r="AE136" s="85"/>
      <c r="AF136" s="85"/>
      <c r="AG136" s="85"/>
    </row>
    <row r="137">
      <c r="A137" s="85"/>
      <c r="B137" s="85"/>
      <c r="C137" s="87"/>
      <c r="D137" s="87"/>
      <c r="E137" s="85"/>
      <c r="F137" s="85"/>
      <c r="G137" s="85"/>
      <c r="H137" s="85"/>
      <c r="I137" s="85"/>
      <c r="J137" s="85"/>
      <c r="K137" s="85"/>
      <c r="L137" s="85"/>
      <c r="M137" s="85"/>
      <c r="N137" s="85"/>
      <c r="O137" s="85"/>
      <c r="P137" s="85"/>
      <c r="Q137" s="85"/>
      <c r="R137" s="85"/>
      <c r="S137" s="85"/>
      <c r="T137" s="85"/>
      <c r="U137" s="85"/>
      <c r="V137" s="85"/>
      <c r="W137" s="85"/>
      <c r="X137" s="85"/>
      <c r="Y137" s="85"/>
      <c r="Z137" s="85"/>
      <c r="AA137" s="85"/>
      <c r="AB137" s="85"/>
      <c r="AC137" s="85"/>
      <c r="AD137" s="85"/>
      <c r="AE137" s="85"/>
      <c r="AF137" s="85"/>
      <c r="AG137" s="85"/>
    </row>
    <row r="138">
      <c r="A138" s="85"/>
      <c r="B138" s="85"/>
      <c r="C138" s="87"/>
      <c r="D138" s="87"/>
      <c r="E138" s="85"/>
      <c r="F138" s="85"/>
      <c r="G138" s="85"/>
      <c r="H138" s="85"/>
      <c r="I138" s="85"/>
      <c r="J138" s="85"/>
      <c r="K138" s="85"/>
      <c r="L138" s="85"/>
      <c r="M138" s="85"/>
      <c r="N138" s="85"/>
      <c r="O138" s="85"/>
      <c r="P138" s="85"/>
      <c r="Q138" s="85"/>
      <c r="R138" s="85"/>
      <c r="S138" s="85"/>
      <c r="T138" s="85"/>
      <c r="U138" s="85"/>
      <c r="V138" s="85"/>
      <c r="W138" s="85"/>
      <c r="X138" s="85"/>
      <c r="Y138" s="85"/>
      <c r="Z138" s="85"/>
      <c r="AA138" s="85"/>
      <c r="AB138" s="85"/>
      <c r="AC138" s="85"/>
      <c r="AD138" s="85"/>
      <c r="AE138" s="85"/>
      <c r="AF138" s="85"/>
      <c r="AG138" s="85"/>
    </row>
    <row r="139">
      <c r="A139" s="85"/>
      <c r="B139" s="85"/>
      <c r="C139" s="87"/>
      <c r="D139" s="87"/>
      <c r="E139" s="85"/>
      <c r="F139" s="85"/>
      <c r="G139" s="85"/>
      <c r="H139" s="85"/>
      <c r="I139" s="85"/>
      <c r="J139" s="85"/>
      <c r="K139" s="85"/>
      <c r="L139" s="85"/>
      <c r="M139" s="85"/>
      <c r="N139" s="85"/>
      <c r="O139" s="85"/>
      <c r="P139" s="85"/>
      <c r="Q139" s="85"/>
      <c r="R139" s="85"/>
      <c r="S139" s="85"/>
      <c r="T139" s="85"/>
      <c r="U139" s="85"/>
      <c r="V139" s="85"/>
      <c r="W139" s="85"/>
      <c r="X139" s="85"/>
      <c r="Y139" s="85"/>
      <c r="Z139" s="85"/>
      <c r="AA139" s="85"/>
      <c r="AB139" s="85"/>
      <c r="AC139" s="85"/>
      <c r="AD139" s="85"/>
      <c r="AE139" s="85"/>
      <c r="AF139" s="85"/>
      <c r="AG139" s="85"/>
    </row>
    <row r="140">
      <c r="A140" s="85"/>
      <c r="B140" s="85"/>
      <c r="C140" s="87"/>
      <c r="D140" s="87"/>
      <c r="E140" s="85"/>
      <c r="F140" s="85"/>
      <c r="G140" s="85"/>
      <c r="H140" s="85"/>
      <c r="I140" s="85"/>
      <c r="J140" s="85"/>
      <c r="K140" s="85"/>
      <c r="L140" s="85"/>
      <c r="M140" s="85"/>
      <c r="N140" s="85"/>
      <c r="O140" s="85"/>
      <c r="P140" s="85"/>
      <c r="Q140" s="85"/>
      <c r="R140" s="85"/>
      <c r="S140" s="85"/>
      <c r="T140" s="85"/>
      <c r="U140" s="85"/>
      <c r="V140" s="85"/>
      <c r="W140" s="85"/>
      <c r="X140" s="85"/>
      <c r="Y140" s="85"/>
      <c r="Z140" s="85"/>
      <c r="AA140" s="85"/>
      <c r="AB140" s="85"/>
      <c r="AC140" s="85"/>
      <c r="AD140" s="85"/>
      <c r="AE140" s="85"/>
      <c r="AF140" s="85"/>
      <c r="AG140" s="85"/>
    </row>
    <row r="141">
      <c r="A141" s="85"/>
      <c r="B141" s="85"/>
      <c r="C141" s="87"/>
      <c r="D141" s="87"/>
      <c r="E141" s="85"/>
      <c r="F141" s="85"/>
      <c r="G141" s="85"/>
      <c r="H141" s="85"/>
      <c r="I141" s="85"/>
      <c r="J141" s="85"/>
      <c r="K141" s="85"/>
      <c r="L141" s="85"/>
      <c r="M141" s="85"/>
      <c r="N141" s="85"/>
      <c r="O141" s="85"/>
      <c r="P141" s="85"/>
      <c r="Q141" s="85"/>
      <c r="R141" s="85"/>
      <c r="S141" s="85"/>
      <c r="T141" s="85"/>
      <c r="U141" s="85"/>
      <c r="V141" s="85"/>
      <c r="W141" s="85"/>
      <c r="X141" s="85"/>
      <c r="Y141" s="85"/>
      <c r="Z141" s="85"/>
      <c r="AA141" s="85"/>
      <c r="AB141" s="85"/>
      <c r="AC141" s="85"/>
      <c r="AD141" s="85"/>
      <c r="AE141" s="85"/>
      <c r="AF141" s="85"/>
      <c r="AG141" s="85"/>
    </row>
    <row r="142">
      <c r="A142" s="85"/>
      <c r="B142" s="85"/>
      <c r="C142" s="87"/>
      <c r="D142" s="87"/>
      <c r="E142" s="85"/>
      <c r="F142" s="85"/>
      <c r="G142" s="85"/>
      <c r="H142" s="85"/>
      <c r="I142" s="85"/>
      <c r="J142" s="85"/>
      <c r="K142" s="85"/>
      <c r="L142" s="85"/>
      <c r="M142" s="85"/>
      <c r="N142" s="85"/>
      <c r="O142" s="85"/>
      <c r="P142" s="85"/>
      <c r="Q142" s="85"/>
      <c r="R142" s="85"/>
      <c r="S142" s="85"/>
      <c r="T142" s="85"/>
      <c r="U142" s="85"/>
      <c r="V142" s="85"/>
      <c r="W142" s="85"/>
      <c r="X142" s="85"/>
      <c r="Y142" s="85"/>
      <c r="Z142" s="85"/>
      <c r="AA142" s="85"/>
      <c r="AB142" s="85"/>
      <c r="AC142" s="85"/>
      <c r="AD142" s="85"/>
      <c r="AE142" s="85"/>
      <c r="AF142" s="85"/>
      <c r="AG142" s="85"/>
    </row>
    <row r="143">
      <c r="A143" s="85"/>
      <c r="B143" s="85"/>
      <c r="C143" s="87"/>
      <c r="D143" s="87"/>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85"/>
      <c r="AC143" s="85"/>
      <c r="AD143" s="85"/>
      <c r="AE143" s="85"/>
      <c r="AF143" s="85"/>
      <c r="AG143" s="85"/>
    </row>
    <row r="144">
      <c r="A144" s="85"/>
      <c r="B144" s="85"/>
      <c r="C144" s="87"/>
      <c r="D144" s="87"/>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c r="AG144" s="85"/>
    </row>
    <row r="145">
      <c r="A145" s="85"/>
      <c r="B145" s="85"/>
      <c r="C145" s="87"/>
      <c r="D145" s="87"/>
      <c r="E145" s="85"/>
      <c r="F145" s="85"/>
      <c r="G145" s="85"/>
      <c r="H145" s="85"/>
      <c r="I145" s="85"/>
      <c r="J145" s="85"/>
      <c r="K145" s="85"/>
      <c r="L145" s="85"/>
      <c r="M145" s="85"/>
      <c r="N145" s="85"/>
      <c r="O145" s="85"/>
      <c r="P145" s="85"/>
      <c r="Q145" s="85"/>
      <c r="R145" s="85"/>
      <c r="S145" s="85"/>
      <c r="T145" s="85"/>
      <c r="U145" s="85"/>
      <c r="V145" s="85"/>
      <c r="W145" s="85"/>
      <c r="X145" s="85"/>
      <c r="Y145" s="85"/>
      <c r="Z145" s="85"/>
      <c r="AA145" s="85"/>
      <c r="AB145" s="85"/>
      <c r="AC145" s="85"/>
      <c r="AD145" s="85"/>
      <c r="AE145" s="85"/>
      <c r="AF145" s="85"/>
      <c r="AG145" s="85"/>
    </row>
    <row r="146">
      <c r="A146" s="85"/>
      <c r="B146" s="85"/>
      <c r="C146" s="87"/>
      <c r="D146" s="87"/>
      <c r="E146" s="85"/>
      <c r="F146" s="85"/>
      <c r="G146" s="85"/>
      <c r="H146" s="85"/>
      <c r="I146" s="85"/>
      <c r="J146" s="85"/>
      <c r="K146" s="85"/>
      <c r="L146" s="85"/>
      <c r="M146" s="85"/>
      <c r="N146" s="85"/>
      <c r="O146" s="85"/>
      <c r="P146" s="85"/>
      <c r="Q146" s="85"/>
      <c r="R146" s="85"/>
      <c r="S146" s="85"/>
      <c r="T146" s="85"/>
      <c r="U146" s="85"/>
      <c r="V146" s="85"/>
      <c r="W146" s="85"/>
      <c r="X146" s="85"/>
      <c r="Y146" s="85"/>
      <c r="Z146" s="85"/>
      <c r="AA146" s="85"/>
      <c r="AB146" s="85"/>
      <c r="AC146" s="85"/>
      <c r="AD146" s="85"/>
      <c r="AE146" s="85"/>
      <c r="AF146" s="85"/>
      <c r="AG146" s="85"/>
    </row>
    <row r="147">
      <c r="A147" s="85"/>
      <c r="B147" s="85"/>
      <c r="C147" s="87"/>
      <c r="D147" s="87"/>
      <c r="E147" s="85"/>
      <c r="F147" s="85"/>
      <c r="G147" s="85"/>
      <c r="H147" s="85"/>
      <c r="I147" s="85"/>
      <c r="J147" s="85"/>
      <c r="K147" s="85"/>
      <c r="L147" s="85"/>
      <c r="M147" s="85"/>
      <c r="N147" s="85"/>
      <c r="O147" s="85"/>
      <c r="P147" s="85"/>
      <c r="Q147" s="85"/>
      <c r="R147" s="85"/>
      <c r="S147" s="85"/>
      <c r="T147" s="85"/>
      <c r="U147" s="85"/>
      <c r="V147" s="85"/>
      <c r="W147" s="85"/>
      <c r="X147" s="85"/>
      <c r="Y147" s="85"/>
      <c r="Z147" s="85"/>
      <c r="AA147" s="85"/>
      <c r="AB147" s="85"/>
      <c r="AC147" s="85"/>
      <c r="AD147" s="85"/>
      <c r="AE147" s="85"/>
      <c r="AF147" s="85"/>
      <c r="AG147" s="85"/>
    </row>
    <row r="148">
      <c r="A148" s="85"/>
      <c r="B148" s="85"/>
      <c r="C148" s="87"/>
      <c r="D148" s="87"/>
      <c r="E148" s="85"/>
      <c r="F148" s="85"/>
      <c r="G148" s="85"/>
      <c r="H148" s="85"/>
      <c r="I148" s="85"/>
      <c r="J148" s="85"/>
      <c r="K148" s="85"/>
      <c r="L148" s="85"/>
      <c r="M148" s="85"/>
      <c r="N148" s="85"/>
      <c r="O148" s="85"/>
      <c r="P148" s="85"/>
      <c r="Q148" s="85"/>
      <c r="R148" s="85"/>
      <c r="S148" s="85"/>
      <c r="T148" s="85"/>
      <c r="U148" s="85"/>
      <c r="V148" s="85"/>
      <c r="W148" s="85"/>
      <c r="X148" s="85"/>
      <c r="Y148" s="85"/>
      <c r="Z148" s="85"/>
      <c r="AA148" s="85"/>
      <c r="AB148" s="85"/>
      <c r="AC148" s="85"/>
      <c r="AD148" s="85"/>
      <c r="AE148" s="85"/>
      <c r="AF148" s="85"/>
      <c r="AG148" s="85"/>
    </row>
    <row r="149">
      <c r="A149" s="85"/>
      <c r="B149" s="85"/>
      <c r="C149" s="87"/>
      <c r="D149" s="87"/>
      <c r="E149" s="85"/>
      <c r="F149" s="85"/>
      <c r="G149" s="85"/>
      <c r="H149" s="85"/>
      <c r="I149" s="85"/>
      <c r="J149" s="85"/>
      <c r="K149" s="85"/>
      <c r="L149" s="85"/>
      <c r="M149" s="85"/>
      <c r="N149" s="85"/>
      <c r="O149" s="85"/>
      <c r="P149" s="85"/>
      <c r="Q149" s="85"/>
      <c r="R149" s="85"/>
      <c r="S149" s="85"/>
      <c r="T149" s="85"/>
      <c r="U149" s="85"/>
      <c r="V149" s="85"/>
      <c r="W149" s="85"/>
      <c r="X149" s="85"/>
      <c r="Y149" s="85"/>
      <c r="Z149" s="85"/>
      <c r="AA149" s="85"/>
      <c r="AB149" s="85"/>
      <c r="AC149" s="85"/>
      <c r="AD149" s="85"/>
      <c r="AE149" s="85"/>
      <c r="AF149" s="85"/>
      <c r="AG149" s="85"/>
    </row>
    <row r="150">
      <c r="A150" s="85"/>
      <c r="B150" s="85"/>
      <c r="C150" s="87"/>
      <c r="D150" s="87"/>
      <c r="E150" s="85"/>
      <c r="F150" s="85"/>
      <c r="G150" s="85"/>
      <c r="H150" s="85"/>
      <c r="I150" s="85"/>
      <c r="J150" s="85"/>
      <c r="K150" s="85"/>
      <c r="L150" s="85"/>
      <c r="M150" s="85"/>
      <c r="N150" s="85"/>
      <c r="O150" s="85"/>
      <c r="P150" s="85"/>
      <c r="Q150" s="85"/>
      <c r="R150" s="85"/>
      <c r="S150" s="85"/>
      <c r="T150" s="85"/>
      <c r="U150" s="85"/>
      <c r="V150" s="85"/>
      <c r="W150" s="85"/>
      <c r="X150" s="85"/>
      <c r="Y150" s="85"/>
      <c r="Z150" s="85"/>
      <c r="AA150" s="85"/>
      <c r="AB150" s="85"/>
      <c r="AC150" s="85"/>
      <c r="AD150" s="85"/>
      <c r="AE150" s="85"/>
      <c r="AF150" s="85"/>
      <c r="AG150" s="85"/>
    </row>
    <row r="151">
      <c r="A151" s="85"/>
      <c r="B151" s="85"/>
      <c r="C151" s="87"/>
      <c r="D151" s="87"/>
      <c r="E151" s="85"/>
      <c r="F151" s="85"/>
      <c r="G151" s="85"/>
      <c r="H151" s="85"/>
      <c r="I151" s="85"/>
      <c r="J151" s="85"/>
      <c r="K151" s="85"/>
      <c r="L151" s="85"/>
      <c r="M151" s="85"/>
      <c r="N151" s="85"/>
      <c r="O151" s="85"/>
      <c r="P151" s="85"/>
      <c r="Q151" s="85"/>
      <c r="R151" s="85"/>
      <c r="S151" s="85"/>
      <c r="T151" s="85"/>
      <c r="U151" s="85"/>
      <c r="V151" s="85"/>
      <c r="W151" s="85"/>
      <c r="X151" s="85"/>
      <c r="Y151" s="85"/>
      <c r="Z151" s="85"/>
      <c r="AA151" s="85"/>
      <c r="AB151" s="85"/>
      <c r="AC151" s="85"/>
      <c r="AD151" s="85"/>
      <c r="AE151" s="85"/>
      <c r="AF151" s="85"/>
      <c r="AG151" s="85"/>
    </row>
    <row r="152">
      <c r="A152" s="85"/>
      <c r="B152" s="85"/>
      <c r="C152" s="87"/>
      <c r="D152" s="87"/>
      <c r="E152" s="85"/>
      <c r="F152" s="85"/>
      <c r="G152" s="85"/>
      <c r="H152" s="85"/>
      <c r="I152" s="85"/>
      <c r="J152" s="85"/>
      <c r="K152" s="85"/>
      <c r="L152" s="85"/>
      <c r="M152" s="85"/>
      <c r="N152" s="85"/>
      <c r="O152" s="85"/>
      <c r="P152" s="85"/>
      <c r="Q152" s="85"/>
      <c r="R152" s="85"/>
      <c r="S152" s="85"/>
      <c r="T152" s="85"/>
      <c r="U152" s="85"/>
      <c r="V152" s="85"/>
      <c r="W152" s="85"/>
      <c r="X152" s="85"/>
      <c r="Y152" s="85"/>
      <c r="Z152" s="85"/>
      <c r="AA152" s="85"/>
      <c r="AB152" s="85"/>
      <c r="AC152" s="85"/>
      <c r="AD152" s="85"/>
      <c r="AE152" s="85"/>
      <c r="AF152" s="85"/>
      <c r="AG152" s="85"/>
    </row>
    <row r="153">
      <c r="A153" s="85"/>
      <c r="B153" s="85"/>
      <c r="C153" s="87"/>
      <c r="D153" s="87"/>
      <c r="E153" s="85"/>
      <c r="F153" s="85"/>
      <c r="G153" s="85"/>
      <c r="H153" s="85"/>
      <c r="I153" s="85"/>
      <c r="J153" s="85"/>
      <c r="K153" s="85"/>
      <c r="L153" s="85"/>
      <c r="M153" s="85"/>
      <c r="N153" s="85"/>
      <c r="O153" s="85"/>
      <c r="P153" s="85"/>
      <c r="Q153" s="85"/>
      <c r="R153" s="85"/>
      <c r="S153" s="85"/>
      <c r="T153" s="85"/>
      <c r="U153" s="85"/>
      <c r="V153" s="85"/>
      <c r="W153" s="85"/>
      <c r="X153" s="85"/>
      <c r="Y153" s="85"/>
      <c r="Z153" s="85"/>
      <c r="AA153" s="85"/>
      <c r="AB153" s="85"/>
      <c r="AC153" s="85"/>
      <c r="AD153" s="85"/>
      <c r="AE153" s="85"/>
      <c r="AF153" s="85"/>
      <c r="AG153" s="85"/>
    </row>
    <row r="154">
      <c r="A154" s="85"/>
      <c r="B154" s="85"/>
      <c r="C154" s="87"/>
      <c r="D154" s="87"/>
      <c r="E154" s="85"/>
      <c r="F154" s="85"/>
      <c r="G154" s="85"/>
      <c r="H154" s="85"/>
      <c r="I154" s="85"/>
      <c r="J154" s="85"/>
      <c r="K154" s="85"/>
      <c r="L154" s="85"/>
      <c r="M154" s="85"/>
      <c r="N154" s="85"/>
      <c r="O154" s="85"/>
      <c r="P154" s="85"/>
      <c r="Q154" s="85"/>
      <c r="R154" s="85"/>
      <c r="S154" s="85"/>
      <c r="T154" s="85"/>
      <c r="U154" s="85"/>
      <c r="V154" s="85"/>
      <c r="W154" s="85"/>
      <c r="X154" s="85"/>
      <c r="Y154" s="85"/>
      <c r="Z154" s="85"/>
      <c r="AA154" s="85"/>
      <c r="AB154" s="85"/>
      <c r="AC154" s="85"/>
      <c r="AD154" s="85"/>
      <c r="AE154" s="85"/>
      <c r="AF154" s="85"/>
      <c r="AG154" s="85"/>
    </row>
    <row r="155">
      <c r="A155" s="85"/>
      <c r="B155" s="85"/>
      <c r="C155" s="87"/>
      <c r="D155" s="87"/>
      <c r="E155" s="85"/>
      <c r="F155" s="85"/>
      <c r="G155" s="85"/>
      <c r="H155" s="85"/>
      <c r="I155" s="85"/>
      <c r="J155" s="85"/>
      <c r="K155" s="85"/>
      <c r="L155" s="85"/>
      <c r="M155" s="85"/>
      <c r="N155" s="85"/>
      <c r="O155" s="85"/>
      <c r="P155" s="85"/>
      <c r="Q155" s="85"/>
      <c r="R155" s="85"/>
      <c r="S155" s="85"/>
      <c r="T155" s="85"/>
      <c r="U155" s="85"/>
      <c r="V155" s="85"/>
      <c r="W155" s="85"/>
      <c r="X155" s="85"/>
      <c r="Y155" s="85"/>
      <c r="Z155" s="85"/>
      <c r="AA155" s="85"/>
      <c r="AB155" s="85"/>
      <c r="AC155" s="85"/>
      <c r="AD155" s="85"/>
      <c r="AE155" s="85"/>
      <c r="AF155" s="85"/>
      <c r="AG155" s="85"/>
    </row>
    <row r="156">
      <c r="A156" s="85"/>
      <c r="B156" s="85"/>
      <c r="C156" s="87"/>
      <c r="D156" s="87"/>
      <c r="E156" s="85"/>
      <c r="F156" s="85"/>
      <c r="G156" s="85"/>
      <c r="H156" s="85"/>
      <c r="I156" s="85"/>
      <c r="J156" s="85"/>
      <c r="K156" s="85"/>
      <c r="L156" s="85"/>
      <c r="M156" s="85"/>
      <c r="N156" s="85"/>
      <c r="O156" s="85"/>
      <c r="P156" s="85"/>
      <c r="Q156" s="85"/>
      <c r="R156" s="85"/>
      <c r="S156" s="85"/>
      <c r="T156" s="85"/>
      <c r="U156" s="85"/>
      <c r="V156" s="85"/>
      <c r="W156" s="85"/>
      <c r="X156" s="85"/>
      <c r="Y156" s="85"/>
      <c r="Z156" s="85"/>
      <c r="AA156" s="85"/>
      <c r="AB156" s="85"/>
      <c r="AC156" s="85"/>
      <c r="AD156" s="85"/>
      <c r="AE156" s="85"/>
      <c r="AF156" s="85"/>
      <c r="AG156" s="85"/>
    </row>
    <row r="157">
      <c r="A157" s="85"/>
      <c r="B157" s="85"/>
      <c r="C157" s="87"/>
      <c r="D157" s="87"/>
      <c r="E157" s="85"/>
      <c r="F157" s="85"/>
      <c r="G157" s="85"/>
      <c r="H157" s="85"/>
      <c r="I157" s="85"/>
      <c r="J157" s="85"/>
      <c r="K157" s="85"/>
      <c r="L157" s="85"/>
      <c r="M157" s="85"/>
      <c r="N157" s="85"/>
      <c r="O157" s="85"/>
      <c r="P157" s="85"/>
      <c r="Q157" s="85"/>
      <c r="R157" s="85"/>
      <c r="S157" s="85"/>
      <c r="T157" s="85"/>
      <c r="U157" s="85"/>
      <c r="V157" s="85"/>
      <c r="W157" s="85"/>
      <c r="X157" s="85"/>
      <c r="Y157" s="85"/>
      <c r="Z157" s="85"/>
      <c r="AA157" s="85"/>
      <c r="AB157" s="85"/>
      <c r="AC157" s="85"/>
      <c r="AD157" s="85"/>
      <c r="AE157" s="85"/>
      <c r="AF157" s="85"/>
      <c r="AG157" s="85"/>
    </row>
    <row r="158">
      <c r="A158" s="85"/>
      <c r="B158" s="85"/>
      <c r="C158" s="87"/>
      <c r="D158" s="87"/>
      <c r="E158" s="85"/>
      <c r="F158" s="85"/>
      <c r="G158" s="85"/>
      <c r="H158" s="85"/>
      <c r="I158" s="85"/>
      <c r="J158" s="85"/>
      <c r="K158" s="85"/>
      <c r="L158" s="85"/>
      <c r="M158" s="85"/>
      <c r="N158" s="85"/>
      <c r="O158" s="85"/>
      <c r="P158" s="85"/>
      <c r="Q158" s="85"/>
      <c r="R158" s="85"/>
      <c r="S158" s="85"/>
      <c r="T158" s="85"/>
      <c r="U158" s="85"/>
      <c r="V158" s="85"/>
      <c r="W158" s="85"/>
      <c r="X158" s="85"/>
      <c r="Y158" s="85"/>
      <c r="Z158" s="85"/>
      <c r="AA158" s="85"/>
      <c r="AB158" s="85"/>
      <c r="AC158" s="85"/>
      <c r="AD158" s="85"/>
      <c r="AE158" s="85"/>
      <c r="AF158" s="85"/>
      <c r="AG158" s="85"/>
    </row>
    <row r="159">
      <c r="A159" s="85"/>
      <c r="B159" s="85"/>
      <c r="C159" s="87"/>
      <c r="D159" s="87"/>
      <c r="E159" s="85"/>
      <c r="F159" s="85"/>
      <c r="G159" s="85"/>
      <c r="H159" s="85"/>
      <c r="I159" s="85"/>
      <c r="J159" s="85"/>
      <c r="K159" s="85"/>
      <c r="L159" s="85"/>
      <c r="M159" s="85"/>
      <c r="N159" s="85"/>
      <c r="O159" s="85"/>
      <c r="P159" s="85"/>
      <c r="Q159" s="85"/>
      <c r="R159" s="85"/>
      <c r="S159" s="85"/>
      <c r="T159" s="85"/>
      <c r="U159" s="85"/>
      <c r="V159" s="85"/>
      <c r="W159" s="85"/>
      <c r="X159" s="85"/>
      <c r="Y159" s="85"/>
      <c r="Z159" s="85"/>
      <c r="AA159" s="85"/>
      <c r="AB159" s="85"/>
      <c r="AC159" s="85"/>
      <c r="AD159" s="85"/>
      <c r="AE159" s="85"/>
      <c r="AF159" s="85"/>
      <c r="AG159" s="85"/>
    </row>
    <row r="160">
      <c r="A160" s="85"/>
      <c r="B160" s="85"/>
      <c r="C160" s="87"/>
      <c r="D160" s="87"/>
      <c r="E160" s="85"/>
      <c r="F160" s="85"/>
      <c r="G160" s="85"/>
      <c r="H160" s="85"/>
      <c r="I160" s="85"/>
      <c r="J160" s="85"/>
      <c r="K160" s="85"/>
      <c r="L160" s="85"/>
      <c r="M160" s="85"/>
      <c r="N160" s="85"/>
      <c r="O160" s="85"/>
      <c r="P160" s="85"/>
      <c r="Q160" s="85"/>
      <c r="R160" s="85"/>
      <c r="S160" s="85"/>
      <c r="T160" s="85"/>
      <c r="U160" s="85"/>
      <c r="V160" s="85"/>
      <c r="W160" s="85"/>
      <c r="X160" s="85"/>
      <c r="Y160" s="85"/>
      <c r="Z160" s="85"/>
      <c r="AA160" s="85"/>
      <c r="AB160" s="85"/>
      <c r="AC160" s="85"/>
      <c r="AD160" s="85"/>
      <c r="AE160" s="85"/>
      <c r="AF160" s="85"/>
      <c r="AG160" s="85"/>
    </row>
    <row r="161">
      <c r="A161" s="85"/>
      <c r="B161" s="85"/>
      <c r="C161" s="87"/>
      <c r="D161" s="87"/>
      <c r="E161" s="85"/>
      <c r="F161" s="85"/>
      <c r="G161" s="85"/>
      <c r="H161" s="85"/>
      <c r="I161" s="85"/>
      <c r="J161" s="85"/>
      <c r="K161" s="85"/>
      <c r="L161" s="85"/>
      <c r="M161" s="85"/>
      <c r="N161" s="85"/>
      <c r="O161" s="85"/>
      <c r="P161" s="85"/>
      <c r="Q161" s="85"/>
      <c r="R161" s="85"/>
      <c r="S161" s="85"/>
      <c r="T161" s="85"/>
      <c r="U161" s="85"/>
      <c r="V161" s="85"/>
      <c r="W161" s="85"/>
      <c r="X161" s="85"/>
      <c r="Y161" s="85"/>
      <c r="Z161" s="85"/>
      <c r="AA161" s="85"/>
      <c r="AB161" s="85"/>
      <c r="AC161" s="85"/>
      <c r="AD161" s="85"/>
      <c r="AE161" s="85"/>
      <c r="AF161" s="85"/>
      <c r="AG161" s="85"/>
    </row>
    <row r="162">
      <c r="A162" s="85"/>
      <c r="B162" s="85"/>
      <c r="C162" s="87"/>
      <c r="D162" s="87"/>
      <c r="E162" s="85"/>
      <c r="F162" s="85"/>
      <c r="G162" s="85"/>
      <c r="H162" s="85"/>
      <c r="I162" s="85"/>
      <c r="J162" s="85"/>
      <c r="K162" s="85"/>
      <c r="L162" s="85"/>
      <c r="M162" s="85"/>
      <c r="N162" s="85"/>
      <c r="O162" s="85"/>
      <c r="P162" s="85"/>
      <c r="Q162" s="85"/>
      <c r="R162" s="85"/>
      <c r="S162" s="85"/>
      <c r="T162" s="85"/>
      <c r="U162" s="85"/>
      <c r="V162" s="85"/>
      <c r="W162" s="85"/>
      <c r="X162" s="85"/>
      <c r="Y162" s="85"/>
      <c r="Z162" s="85"/>
      <c r="AA162" s="85"/>
      <c r="AB162" s="85"/>
      <c r="AC162" s="85"/>
      <c r="AD162" s="85"/>
      <c r="AE162" s="85"/>
      <c r="AF162" s="85"/>
      <c r="AG162" s="85"/>
    </row>
    <row r="163">
      <c r="A163" s="85"/>
      <c r="B163" s="85"/>
      <c r="C163" s="87"/>
      <c r="D163" s="87"/>
      <c r="E163" s="85"/>
      <c r="F163" s="85"/>
      <c r="G163" s="85"/>
      <c r="H163" s="85"/>
      <c r="I163" s="85"/>
      <c r="J163" s="85"/>
      <c r="K163" s="85"/>
      <c r="L163" s="85"/>
      <c r="M163" s="85"/>
      <c r="N163" s="85"/>
      <c r="O163" s="85"/>
      <c r="P163" s="85"/>
      <c r="Q163" s="85"/>
      <c r="R163" s="85"/>
      <c r="S163" s="85"/>
      <c r="T163" s="85"/>
      <c r="U163" s="85"/>
      <c r="V163" s="85"/>
      <c r="W163" s="85"/>
      <c r="X163" s="85"/>
      <c r="Y163" s="85"/>
      <c r="Z163" s="85"/>
      <c r="AA163" s="85"/>
      <c r="AB163" s="85"/>
      <c r="AC163" s="85"/>
      <c r="AD163" s="85"/>
      <c r="AE163" s="85"/>
      <c r="AF163" s="85"/>
      <c r="AG163" s="85"/>
    </row>
    <row r="164">
      <c r="A164" s="85"/>
      <c r="B164" s="85"/>
      <c r="C164" s="87"/>
      <c r="D164" s="87"/>
      <c r="E164" s="85"/>
      <c r="F164" s="85"/>
      <c r="G164" s="85"/>
      <c r="H164" s="85"/>
      <c r="I164" s="85"/>
      <c r="J164" s="85"/>
      <c r="K164" s="85"/>
      <c r="L164" s="85"/>
      <c r="M164" s="85"/>
      <c r="N164" s="85"/>
      <c r="O164" s="85"/>
      <c r="P164" s="85"/>
      <c r="Q164" s="85"/>
      <c r="R164" s="85"/>
      <c r="S164" s="85"/>
      <c r="T164" s="85"/>
      <c r="U164" s="85"/>
      <c r="V164" s="85"/>
      <c r="W164" s="85"/>
      <c r="X164" s="85"/>
      <c r="Y164" s="85"/>
      <c r="Z164" s="85"/>
      <c r="AA164" s="85"/>
      <c r="AB164" s="85"/>
      <c r="AC164" s="85"/>
      <c r="AD164" s="85"/>
      <c r="AE164" s="85"/>
      <c r="AF164" s="85"/>
      <c r="AG164" s="85"/>
    </row>
    <row r="165">
      <c r="A165" s="85"/>
      <c r="B165" s="85"/>
      <c r="C165" s="87"/>
      <c r="D165" s="87"/>
      <c r="E165" s="85"/>
      <c r="F165" s="85"/>
      <c r="G165" s="85"/>
      <c r="H165" s="85"/>
      <c r="I165" s="85"/>
      <c r="J165" s="85"/>
      <c r="K165" s="85"/>
      <c r="L165" s="85"/>
      <c r="M165" s="85"/>
      <c r="N165" s="85"/>
      <c r="O165" s="85"/>
      <c r="P165" s="85"/>
      <c r="Q165" s="85"/>
      <c r="R165" s="85"/>
      <c r="S165" s="85"/>
      <c r="T165" s="85"/>
      <c r="U165" s="85"/>
      <c r="V165" s="85"/>
      <c r="W165" s="85"/>
      <c r="X165" s="85"/>
      <c r="Y165" s="85"/>
      <c r="Z165" s="85"/>
      <c r="AA165" s="85"/>
      <c r="AB165" s="85"/>
      <c r="AC165" s="85"/>
      <c r="AD165" s="85"/>
      <c r="AE165" s="85"/>
      <c r="AF165" s="85"/>
      <c r="AG165" s="85"/>
    </row>
    <row r="166">
      <c r="A166" s="85"/>
      <c r="B166" s="85"/>
      <c r="C166" s="87"/>
      <c r="D166" s="87"/>
      <c r="E166" s="85"/>
      <c r="F166" s="85"/>
      <c r="G166" s="85"/>
      <c r="H166" s="85"/>
      <c r="I166" s="85"/>
      <c r="J166" s="85"/>
      <c r="K166" s="85"/>
      <c r="L166" s="85"/>
      <c r="M166" s="85"/>
      <c r="N166" s="85"/>
      <c r="O166" s="85"/>
      <c r="P166" s="85"/>
      <c r="Q166" s="85"/>
      <c r="R166" s="85"/>
      <c r="S166" s="85"/>
      <c r="T166" s="85"/>
      <c r="U166" s="85"/>
      <c r="V166" s="85"/>
      <c r="W166" s="85"/>
      <c r="X166" s="85"/>
      <c r="Y166" s="85"/>
      <c r="Z166" s="85"/>
      <c r="AA166" s="85"/>
      <c r="AB166" s="85"/>
      <c r="AC166" s="85"/>
      <c r="AD166" s="85"/>
      <c r="AE166" s="85"/>
      <c r="AF166" s="85"/>
      <c r="AG166" s="85"/>
    </row>
    <row r="167">
      <c r="A167" s="85"/>
      <c r="B167" s="85"/>
      <c r="C167" s="87"/>
      <c r="D167" s="87"/>
      <c r="E167" s="85"/>
      <c r="F167" s="85"/>
      <c r="G167" s="85"/>
      <c r="H167" s="85"/>
      <c r="I167" s="85"/>
      <c r="J167" s="85"/>
      <c r="K167" s="85"/>
      <c r="L167" s="85"/>
      <c r="M167" s="85"/>
      <c r="N167" s="85"/>
      <c r="O167" s="85"/>
      <c r="P167" s="85"/>
      <c r="Q167" s="85"/>
      <c r="R167" s="85"/>
      <c r="S167" s="85"/>
      <c r="T167" s="85"/>
      <c r="U167" s="85"/>
      <c r="V167" s="85"/>
      <c r="W167" s="85"/>
      <c r="X167" s="85"/>
      <c r="Y167" s="85"/>
      <c r="Z167" s="85"/>
      <c r="AA167" s="85"/>
      <c r="AB167" s="85"/>
      <c r="AC167" s="85"/>
      <c r="AD167" s="85"/>
      <c r="AE167" s="85"/>
      <c r="AF167" s="85"/>
      <c r="AG167" s="85"/>
    </row>
    <row r="168">
      <c r="A168" s="85"/>
      <c r="B168" s="85"/>
      <c r="C168" s="87"/>
      <c r="D168" s="87"/>
      <c r="E168" s="85"/>
      <c r="F168" s="85"/>
      <c r="G168" s="85"/>
      <c r="H168" s="85"/>
      <c r="I168" s="85"/>
      <c r="J168" s="85"/>
      <c r="K168" s="85"/>
      <c r="L168" s="85"/>
      <c r="M168" s="85"/>
      <c r="N168" s="85"/>
      <c r="O168" s="85"/>
      <c r="P168" s="85"/>
      <c r="Q168" s="85"/>
      <c r="R168" s="85"/>
      <c r="S168" s="85"/>
      <c r="T168" s="85"/>
      <c r="U168" s="85"/>
      <c r="V168" s="85"/>
      <c r="W168" s="85"/>
      <c r="X168" s="85"/>
      <c r="Y168" s="85"/>
      <c r="Z168" s="85"/>
      <c r="AA168" s="85"/>
      <c r="AB168" s="85"/>
      <c r="AC168" s="85"/>
      <c r="AD168" s="85"/>
      <c r="AE168" s="85"/>
      <c r="AF168" s="85"/>
      <c r="AG168" s="85"/>
    </row>
    <row r="169">
      <c r="A169" s="85"/>
      <c r="B169" s="85"/>
      <c r="C169" s="87"/>
      <c r="D169" s="87"/>
      <c r="E169" s="85"/>
      <c r="F169" s="85"/>
      <c r="G169" s="85"/>
      <c r="H169" s="85"/>
      <c r="I169" s="85"/>
      <c r="J169" s="85"/>
      <c r="K169" s="85"/>
      <c r="L169" s="85"/>
      <c r="M169" s="85"/>
      <c r="N169" s="85"/>
      <c r="O169" s="85"/>
      <c r="P169" s="85"/>
      <c r="Q169" s="85"/>
      <c r="R169" s="85"/>
      <c r="S169" s="85"/>
      <c r="T169" s="85"/>
      <c r="U169" s="85"/>
      <c r="V169" s="85"/>
      <c r="W169" s="85"/>
      <c r="X169" s="85"/>
      <c r="Y169" s="85"/>
      <c r="Z169" s="85"/>
      <c r="AA169" s="85"/>
      <c r="AB169" s="85"/>
      <c r="AC169" s="85"/>
      <c r="AD169" s="85"/>
      <c r="AE169" s="85"/>
      <c r="AF169" s="85"/>
      <c r="AG169" s="85"/>
    </row>
    <row r="170">
      <c r="A170" s="85"/>
      <c r="B170" s="85"/>
      <c r="C170" s="87"/>
      <c r="D170" s="87"/>
      <c r="E170" s="85"/>
      <c r="F170" s="85"/>
      <c r="G170" s="85"/>
      <c r="H170" s="85"/>
      <c r="I170" s="85"/>
      <c r="J170" s="85"/>
      <c r="K170" s="85"/>
      <c r="L170" s="85"/>
      <c r="M170" s="85"/>
      <c r="N170" s="85"/>
      <c r="O170" s="85"/>
      <c r="P170" s="85"/>
      <c r="Q170" s="85"/>
      <c r="R170" s="85"/>
      <c r="S170" s="85"/>
      <c r="T170" s="85"/>
      <c r="U170" s="85"/>
      <c r="V170" s="85"/>
      <c r="W170" s="85"/>
      <c r="X170" s="85"/>
      <c r="Y170" s="85"/>
      <c r="Z170" s="85"/>
      <c r="AA170" s="85"/>
      <c r="AB170" s="85"/>
      <c r="AC170" s="85"/>
      <c r="AD170" s="85"/>
      <c r="AE170" s="85"/>
      <c r="AF170" s="85"/>
      <c r="AG170" s="85"/>
    </row>
    <row r="171">
      <c r="A171" s="85"/>
      <c r="B171" s="85"/>
      <c r="C171" s="87"/>
      <c r="D171" s="87"/>
      <c r="E171" s="85"/>
      <c r="F171" s="85"/>
      <c r="G171" s="85"/>
      <c r="H171" s="85"/>
      <c r="I171" s="85"/>
      <c r="J171" s="85"/>
      <c r="K171" s="85"/>
      <c r="L171" s="85"/>
      <c r="M171" s="85"/>
      <c r="N171" s="85"/>
      <c r="O171" s="85"/>
      <c r="P171" s="85"/>
      <c r="Q171" s="85"/>
      <c r="R171" s="85"/>
      <c r="S171" s="85"/>
      <c r="T171" s="85"/>
      <c r="U171" s="85"/>
      <c r="V171" s="85"/>
      <c r="W171" s="85"/>
      <c r="X171" s="85"/>
      <c r="Y171" s="85"/>
      <c r="Z171" s="85"/>
      <c r="AA171" s="85"/>
      <c r="AB171" s="85"/>
      <c r="AC171" s="85"/>
      <c r="AD171" s="85"/>
      <c r="AE171" s="85"/>
      <c r="AF171" s="85"/>
      <c r="AG171" s="85"/>
    </row>
    <row r="172">
      <c r="A172" s="85"/>
      <c r="B172" s="85"/>
      <c r="C172" s="87"/>
      <c r="D172" s="87"/>
      <c r="E172" s="85"/>
      <c r="F172" s="85"/>
      <c r="G172" s="85"/>
      <c r="H172" s="85"/>
      <c r="I172" s="85"/>
      <c r="J172" s="85"/>
      <c r="K172" s="85"/>
      <c r="L172" s="85"/>
      <c r="M172" s="85"/>
      <c r="N172" s="85"/>
      <c r="O172" s="85"/>
      <c r="P172" s="85"/>
      <c r="Q172" s="85"/>
      <c r="R172" s="85"/>
      <c r="S172" s="85"/>
      <c r="T172" s="85"/>
      <c r="U172" s="85"/>
      <c r="V172" s="85"/>
      <c r="W172" s="85"/>
      <c r="X172" s="85"/>
      <c r="Y172" s="85"/>
      <c r="Z172" s="85"/>
      <c r="AA172" s="85"/>
      <c r="AB172" s="85"/>
      <c r="AC172" s="85"/>
      <c r="AD172" s="85"/>
      <c r="AE172" s="85"/>
      <c r="AF172" s="85"/>
      <c r="AG172" s="85"/>
    </row>
    <row r="173">
      <c r="A173" s="85"/>
      <c r="B173" s="85"/>
      <c r="C173" s="87"/>
      <c r="D173" s="87"/>
      <c r="E173" s="85"/>
      <c r="F173" s="85"/>
      <c r="G173" s="85"/>
      <c r="H173" s="85"/>
      <c r="I173" s="85"/>
      <c r="J173" s="85"/>
      <c r="K173" s="85"/>
      <c r="L173" s="85"/>
      <c r="M173" s="85"/>
      <c r="N173" s="85"/>
      <c r="O173" s="85"/>
      <c r="P173" s="85"/>
      <c r="Q173" s="85"/>
      <c r="R173" s="85"/>
      <c r="S173" s="85"/>
      <c r="T173" s="85"/>
      <c r="U173" s="85"/>
      <c r="V173" s="85"/>
      <c r="W173" s="85"/>
      <c r="X173" s="85"/>
      <c r="Y173" s="85"/>
      <c r="Z173" s="85"/>
      <c r="AA173" s="85"/>
      <c r="AB173" s="85"/>
      <c r="AC173" s="85"/>
      <c r="AD173" s="85"/>
      <c r="AE173" s="85"/>
      <c r="AF173" s="85"/>
      <c r="AG173" s="85"/>
    </row>
    <row r="174">
      <c r="A174" s="85"/>
      <c r="B174" s="85"/>
      <c r="C174" s="87"/>
      <c r="D174" s="87"/>
      <c r="E174" s="85"/>
      <c r="F174" s="85"/>
      <c r="G174" s="85"/>
      <c r="H174" s="85"/>
      <c r="I174" s="85"/>
      <c r="J174" s="85"/>
      <c r="K174" s="85"/>
      <c r="L174" s="85"/>
      <c r="M174" s="85"/>
      <c r="N174" s="85"/>
      <c r="O174" s="85"/>
      <c r="P174" s="85"/>
      <c r="Q174" s="85"/>
      <c r="R174" s="85"/>
      <c r="S174" s="85"/>
      <c r="T174" s="85"/>
      <c r="U174" s="85"/>
      <c r="V174" s="85"/>
      <c r="W174" s="85"/>
      <c r="X174" s="85"/>
      <c r="Y174" s="85"/>
      <c r="Z174" s="85"/>
      <c r="AA174" s="85"/>
      <c r="AB174" s="85"/>
      <c r="AC174" s="85"/>
      <c r="AD174" s="85"/>
      <c r="AE174" s="85"/>
      <c r="AF174" s="85"/>
      <c r="AG174" s="85"/>
    </row>
    <row r="175">
      <c r="A175" s="85"/>
      <c r="B175" s="85"/>
      <c r="C175" s="87"/>
      <c r="D175" s="87"/>
      <c r="E175" s="85"/>
      <c r="F175" s="85"/>
      <c r="G175" s="85"/>
      <c r="H175" s="85"/>
      <c r="I175" s="85"/>
      <c r="J175" s="85"/>
      <c r="K175" s="85"/>
      <c r="L175" s="85"/>
      <c r="M175" s="85"/>
      <c r="N175" s="85"/>
      <c r="O175" s="85"/>
      <c r="P175" s="85"/>
      <c r="Q175" s="85"/>
      <c r="R175" s="85"/>
      <c r="S175" s="85"/>
      <c r="T175" s="85"/>
      <c r="U175" s="85"/>
      <c r="V175" s="85"/>
      <c r="W175" s="85"/>
      <c r="X175" s="85"/>
      <c r="Y175" s="85"/>
      <c r="Z175" s="85"/>
      <c r="AA175" s="85"/>
      <c r="AB175" s="85"/>
      <c r="AC175" s="85"/>
      <c r="AD175" s="85"/>
      <c r="AE175" s="85"/>
      <c r="AF175" s="85"/>
      <c r="AG175" s="85"/>
    </row>
    <row r="176">
      <c r="A176" s="85"/>
      <c r="B176" s="85"/>
      <c r="C176" s="87"/>
      <c r="D176" s="87"/>
      <c r="E176" s="85"/>
      <c r="F176" s="85"/>
      <c r="G176" s="85"/>
      <c r="H176" s="85"/>
      <c r="I176" s="85"/>
      <c r="J176" s="85"/>
      <c r="K176" s="85"/>
      <c r="L176" s="85"/>
      <c r="M176" s="85"/>
      <c r="N176" s="85"/>
      <c r="O176" s="85"/>
      <c r="P176" s="85"/>
      <c r="Q176" s="85"/>
      <c r="R176" s="85"/>
      <c r="S176" s="85"/>
      <c r="T176" s="85"/>
      <c r="U176" s="85"/>
      <c r="V176" s="85"/>
      <c r="W176" s="85"/>
      <c r="X176" s="85"/>
      <c r="Y176" s="85"/>
      <c r="Z176" s="85"/>
      <c r="AA176" s="85"/>
      <c r="AB176" s="85"/>
      <c r="AC176" s="85"/>
      <c r="AD176" s="85"/>
      <c r="AE176" s="85"/>
      <c r="AF176" s="85"/>
      <c r="AG176" s="85"/>
    </row>
    <row r="177">
      <c r="A177" s="85"/>
      <c r="B177" s="85"/>
      <c r="C177" s="87"/>
      <c r="D177" s="87"/>
      <c r="E177" s="85"/>
      <c r="F177" s="85"/>
      <c r="G177" s="85"/>
      <c r="H177" s="85"/>
      <c r="I177" s="85"/>
      <c r="J177" s="85"/>
      <c r="K177" s="85"/>
      <c r="L177" s="85"/>
      <c r="M177" s="85"/>
      <c r="N177" s="85"/>
      <c r="O177" s="85"/>
      <c r="P177" s="85"/>
      <c r="Q177" s="85"/>
      <c r="R177" s="85"/>
      <c r="S177" s="85"/>
      <c r="T177" s="85"/>
      <c r="U177" s="85"/>
      <c r="V177" s="85"/>
      <c r="W177" s="85"/>
      <c r="X177" s="85"/>
      <c r="Y177" s="85"/>
      <c r="Z177" s="85"/>
      <c r="AA177" s="85"/>
      <c r="AB177" s="85"/>
      <c r="AC177" s="85"/>
      <c r="AD177" s="85"/>
      <c r="AE177" s="85"/>
      <c r="AF177" s="85"/>
      <c r="AG177" s="85"/>
    </row>
    <row r="178">
      <c r="A178" s="85"/>
      <c r="B178" s="85"/>
      <c r="C178" s="87"/>
      <c r="D178" s="87"/>
      <c r="E178" s="85"/>
      <c r="F178" s="85"/>
      <c r="G178" s="85"/>
      <c r="H178" s="85"/>
      <c r="I178" s="85"/>
      <c r="J178" s="85"/>
      <c r="K178" s="85"/>
      <c r="L178" s="85"/>
      <c r="M178" s="85"/>
      <c r="N178" s="85"/>
      <c r="O178" s="85"/>
      <c r="P178" s="85"/>
      <c r="Q178" s="85"/>
      <c r="R178" s="85"/>
      <c r="S178" s="85"/>
      <c r="T178" s="85"/>
      <c r="U178" s="85"/>
      <c r="V178" s="85"/>
      <c r="W178" s="85"/>
      <c r="X178" s="85"/>
      <c r="Y178" s="85"/>
      <c r="Z178" s="85"/>
      <c r="AA178" s="85"/>
      <c r="AB178" s="85"/>
      <c r="AC178" s="85"/>
      <c r="AD178" s="85"/>
      <c r="AE178" s="85"/>
      <c r="AF178" s="85"/>
      <c r="AG178" s="85"/>
    </row>
    <row r="179">
      <c r="A179" s="85"/>
      <c r="B179" s="85"/>
      <c r="C179" s="87"/>
      <c r="D179" s="87"/>
      <c r="E179" s="85"/>
      <c r="F179" s="85"/>
      <c r="G179" s="85"/>
      <c r="H179" s="85"/>
      <c r="I179" s="85"/>
      <c r="J179" s="85"/>
      <c r="K179" s="85"/>
      <c r="L179" s="85"/>
      <c r="M179" s="85"/>
      <c r="N179" s="85"/>
      <c r="O179" s="85"/>
      <c r="P179" s="85"/>
      <c r="Q179" s="85"/>
      <c r="R179" s="85"/>
      <c r="S179" s="85"/>
      <c r="T179" s="85"/>
      <c r="U179" s="85"/>
      <c r="V179" s="85"/>
      <c r="W179" s="85"/>
      <c r="X179" s="85"/>
      <c r="Y179" s="85"/>
      <c r="Z179" s="85"/>
      <c r="AA179" s="85"/>
      <c r="AB179" s="85"/>
      <c r="AC179" s="85"/>
      <c r="AD179" s="85"/>
      <c r="AE179" s="85"/>
      <c r="AF179" s="85"/>
      <c r="AG179" s="85"/>
    </row>
    <row r="180">
      <c r="A180" s="85"/>
      <c r="B180" s="85"/>
      <c r="C180" s="87"/>
      <c r="D180" s="87"/>
      <c r="E180" s="85"/>
      <c r="F180" s="85"/>
      <c r="G180" s="85"/>
      <c r="H180" s="85"/>
      <c r="I180" s="85"/>
      <c r="J180" s="85"/>
      <c r="K180" s="85"/>
      <c r="L180" s="85"/>
      <c r="M180" s="85"/>
      <c r="N180" s="85"/>
      <c r="O180" s="85"/>
      <c r="P180" s="85"/>
      <c r="Q180" s="85"/>
      <c r="R180" s="85"/>
      <c r="S180" s="85"/>
      <c r="T180" s="85"/>
      <c r="U180" s="85"/>
      <c r="V180" s="85"/>
      <c r="W180" s="85"/>
      <c r="X180" s="85"/>
      <c r="Y180" s="85"/>
      <c r="Z180" s="85"/>
      <c r="AA180" s="85"/>
      <c r="AB180" s="85"/>
      <c r="AC180" s="85"/>
      <c r="AD180" s="85"/>
      <c r="AE180" s="85"/>
      <c r="AF180" s="85"/>
      <c r="AG180" s="85"/>
    </row>
    <row r="181">
      <c r="A181" s="85"/>
      <c r="B181" s="85"/>
      <c r="C181" s="87"/>
      <c r="D181" s="87"/>
      <c r="E181" s="85"/>
      <c r="F181" s="85"/>
      <c r="G181" s="85"/>
      <c r="H181" s="85"/>
      <c r="I181" s="85"/>
      <c r="J181" s="85"/>
      <c r="K181" s="85"/>
      <c r="L181" s="85"/>
      <c r="M181" s="85"/>
      <c r="N181" s="85"/>
      <c r="O181" s="85"/>
      <c r="P181" s="85"/>
      <c r="Q181" s="85"/>
      <c r="R181" s="85"/>
      <c r="S181" s="85"/>
      <c r="T181" s="85"/>
      <c r="U181" s="85"/>
      <c r="V181" s="85"/>
      <c r="W181" s="85"/>
      <c r="X181" s="85"/>
      <c r="Y181" s="85"/>
      <c r="Z181" s="85"/>
      <c r="AA181" s="85"/>
      <c r="AB181" s="85"/>
      <c r="AC181" s="85"/>
      <c r="AD181" s="85"/>
      <c r="AE181" s="85"/>
      <c r="AF181" s="85"/>
      <c r="AG181" s="85"/>
    </row>
    <row r="182">
      <c r="A182" s="85"/>
      <c r="B182" s="85"/>
      <c r="C182" s="87"/>
      <c r="D182" s="87"/>
      <c r="E182" s="85"/>
      <c r="F182" s="85"/>
      <c r="G182" s="85"/>
      <c r="H182" s="85"/>
      <c r="I182" s="85"/>
      <c r="J182" s="85"/>
      <c r="K182" s="85"/>
      <c r="L182" s="85"/>
      <c r="M182" s="85"/>
      <c r="N182" s="85"/>
      <c r="O182" s="85"/>
      <c r="P182" s="85"/>
      <c r="Q182" s="85"/>
      <c r="R182" s="85"/>
      <c r="S182" s="85"/>
      <c r="T182" s="85"/>
      <c r="U182" s="85"/>
      <c r="V182" s="85"/>
      <c r="W182" s="85"/>
      <c r="X182" s="85"/>
      <c r="Y182" s="85"/>
      <c r="Z182" s="85"/>
      <c r="AA182" s="85"/>
      <c r="AB182" s="85"/>
      <c r="AC182" s="85"/>
      <c r="AD182" s="85"/>
      <c r="AE182" s="85"/>
      <c r="AF182" s="85"/>
      <c r="AG182" s="85"/>
    </row>
    <row r="183">
      <c r="A183" s="85"/>
      <c r="B183" s="85"/>
      <c r="C183" s="87"/>
      <c r="D183" s="87"/>
      <c r="E183" s="85"/>
      <c r="F183" s="85"/>
      <c r="G183" s="85"/>
      <c r="H183" s="85"/>
      <c r="I183" s="85"/>
      <c r="J183" s="85"/>
      <c r="K183" s="85"/>
      <c r="L183" s="85"/>
      <c r="M183" s="85"/>
      <c r="N183" s="85"/>
      <c r="O183" s="85"/>
      <c r="P183" s="85"/>
      <c r="Q183" s="85"/>
      <c r="R183" s="85"/>
      <c r="S183" s="85"/>
      <c r="T183" s="85"/>
      <c r="U183" s="85"/>
      <c r="V183" s="85"/>
      <c r="W183" s="85"/>
      <c r="X183" s="85"/>
      <c r="Y183" s="85"/>
      <c r="Z183" s="85"/>
      <c r="AA183" s="85"/>
      <c r="AB183" s="85"/>
      <c r="AC183" s="85"/>
      <c r="AD183" s="85"/>
      <c r="AE183" s="85"/>
      <c r="AF183" s="85"/>
      <c r="AG183" s="85"/>
    </row>
    <row r="184">
      <c r="A184" s="85"/>
      <c r="B184" s="85"/>
      <c r="C184" s="87"/>
      <c r="D184" s="87"/>
      <c r="E184" s="85"/>
      <c r="F184" s="85"/>
      <c r="G184" s="85"/>
      <c r="H184" s="85"/>
      <c r="I184" s="85"/>
      <c r="J184" s="85"/>
      <c r="K184" s="85"/>
      <c r="L184" s="85"/>
      <c r="M184" s="85"/>
      <c r="N184" s="85"/>
      <c r="O184" s="85"/>
      <c r="P184" s="85"/>
      <c r="Q184" s="85"/>
      <c r="R184" s="85"/>
      <c r="S184" s="85"/>
      <c r="T184" s="85"/>
      <c r="U184" s="85"/>
      <c r="V184" s="85"/>
      <c r="W184" s="85"/>
      <c r="X184" s="85"/>
      <c r="Y184" s="85"/>
      <c r="Z184" s="85"/>
      <c r="AA184" s="85"/>
      <c r="AB184" s="85"/>
      <c r="AC184" s="85"/>
      <c r="AD184" s="85"/>
      <c r="AE184" s="85"/>
      <c r="AF184" s="85"/>
      <c r="AG184" s="85"/>
    </row>
    <row r="185">
      <c r="A185" s="85"/>
      <c r="B185" s="85"/>
      <c r="C185" s="87"/>
      <c r="D185" s="87"/>
      <c r="E185" s="85"/>
      <c r="F185" s="85"/>
      <c r="G185" s="85"/>
      <c r="H185" s="85"/>
      <c r="I185" s="85"/>
      <c r="J185" s="85"/>
      <c r="K185" s="85"/>
      <c r="L185" s="85"/>
      <c r="M185" s="85"/>
      <c r="N185" s="85"/>
      <c r="O185" s="85"/>
      <c r="P185" s="85"/>
      <c r="Q185" s="85"/>
      <c r="R185" s="85"/>
      <c r="S185" s="85"/>
      <c r="T185" s="85"/>
      <c r="U185" s="85"/>
      <c r="V185" s="85"/>
      <c r="W185" s="85"/>
      <c r="X185" s="85"/>
      <c r="Y185" s="85"/>
      <c r="Z185" s="85"/>
      <c r="AA185" s="85"/>
      <c r="AB185" s="85"/>
      <c r="AC185" s="85"/>
      <c r="AD185" s="85"/>
      <c r="AE185" s="85"/>
      <c r="AF185" s="85"/>
      <c r="AG185" s="85"/>
    </row>
    <row r="186">
      <c r="A186" s="85"/>
      <c r="B186" s="85"/>
      <c r="C186" s="87"/>
      <c r="D186" s="87"/>
      <c r="E186" s="85"/>
      <c r="F186" s="85"/>
      <c r="G186" s="85"/>
      <c r="H186" s="85"/>
      <c r="I186" s="85"/>
      <c r="J186" s="85"/>
      <c r="K186" s="85"/>
      <c r="L186" s="85"/>
      <c r="M186" s="85"/>
      <c r="N186" s="85"/>
      <c r="O186" s="85"/>
      <c r="P186" s="85"/>
      <c r="Q186" s="85"/>
      <c r="R186" s="85"/>
      <c r="S186" s="85"/>
      <c r="T186" s="85"/>
      <c r="U186" s="85"/>
      <c r="V186" s="85"/>
      <c r="W186" s="85"/>
      <c r="X186" s="85"/>
      <c r="Y186" s="85"/>
      <c r="Z186" s="85"/>
      <c r="AA186" s="85"/>
      <c r="AB186" s="85"/>
      <c r="AC186" s="85"/>
      <c r="AD186" s="85"/>
      <c r="AE186" s="85"/>
      <c r="AF186" s="85"/>
      <c r="AG186" s="85"/>
    </row>
    <row r="187">
      <c r="A187" s="85"/>
      <c r="B187" s="85"/>
      <c r="C187" s="87"/>
      <c r="D187" s="87"/>
      <c r="E187" s="85"/>
      <c r="F187" s="85"/>
      <c r="G187" s="85"/>
      <c r="H187" s="85"/>
      <c r="I187" s="85"/>
      <c r="J187" s="85"/>
      <c r="K187" s="85"/>
      <c r="L187" s="85"/>
      <c r="M187" s="85"/>
      <c r="N187" s="85"/>
      <c r="O187" s="85"/>
      <c r="P187" s="85"/>
      <c r="Q187" s="85"/>
      <c r="R187" s="85"/>
      <c r="S187" s="85"/>
      <c r="T187" s="85"/>
      <c r="U187" s="85"/>
      <c r="V187" s="85"/>
      <c r="W187" s="85"/>
      <c r="X187" s="85"/>
      <c r="Y187" s="85"/>
      <c r="Z187" s="85"/>
      <c r="AA187" s="85"/>
      <c r="AB187" s="85"/>
      <c r="AC187" s="85"/>
      <c r="AD187" s="85"/>
      <c r="AE187" s="85"/>
      <c r="AF187" s="85"/>
      <c r="AG187" s="85"/>
    </row>
    <row r="188">
      <c r="A188" s="85"/>
      <c r="B188" s="85"/>
      <c r="C188" s="87"/>
      <c r="D188" s="87"/>
      <c r="E188" s="85"/>
      <c r="F188" s="85"/>
      <c r="G188" s="85"/>
      <c r="H188" s="85"/>
      <c r="I188" s="85"/>
      <c r="J188" s="85"/>
      <c r="K188" s="85"/>
      <c r="L188" s="85"/>
      <c r="M188" s="85"/>
      <c r="N188" s="85"/>
      <c r="O188" s="85"/>
      <c r="P188" s="85"/>
      <c r="Q188" s="85"/>
      <c r="R188" s="85"/>
      <c r="S188" s="85"/>
      <c r="T188" s="85"/>
      <c r="U188" s="85"/>
      <c r="V188" s="85"/>
      <c r="W188" s="85"/>
      <c r="X188" s="85"/>
      <c r="Y188" s="85"/>
      <c r="Z188" s="85"/>
      <c r="AA188" s="85"/>
      <c r="AB188" s="85"/>
      <c r="AC188" s="85"/>
      <c r="AD188" s="85"/>
      <c r="AE188" s="85"/>
      <c r="AF188" s="85"/>
      <c r="AG188" s="85"/>
    </row>
    <row r="189">
      <c r="A189" s="85"/>
      <c r="B189" s="85"/>
      <c r="C189" s="87"/>
      <c r="D189" s="87"/>
      <c r="E189" s="85"/>
      <c r="F189" s="85"/>
      <c r="G189" s="85"/>
      <c r="H189" s="85"/>
      <c r="I189" s="85"/>
      <c r="J189" s="85"/>
      <c r="K189" s="85"/>
      <c r="L189" s="85"/>
      <c r="M189" s="85"/>
      <c r="N189" s="85"/>
      <c r="O189" s="85"/>
      <c r="P189" s="85"/>
      <c r="Q189" s="85"/>
      <c r="R189" s="85"/>
      <c r="S189" s="85"/>
      <c r="T189" s="85"/>
      <c r="U189" s="85"/>
      <c r="V189" s="85"/>
      <c r="W189" s="85"/>
      <c r="X189" s="85"/>
      <c r="Y189" s="85"/>
      <c r="Z189" s="85"/>
      <c r="AA189" s="85"/>
      <c r="AB189" s="85"/>
      <c r="AC189" s="85"/>
      <c r="AD189" s="85"/>
      <c r="AE189" s="85"/>
      <c r="AF189" s="85"/>
      <c r="AG189" s="85"/>
    </row>
    <row r="190">
      <c r="A190" s="85"/>
      <c r="B190" s="85"/>
      <c r="C190" s="87"/>
      <c r="D190" s="87"/>
      <c r="E190" s="85"/>
      <c r="F190" s="85"/>
      <c r="G190" s="85"/>
      <c r="H190" s="85"/>
      <c r="I190" s="85"/>
      <c r="J190" s="85"/>
      <c r="K190" s="85"/>
      <c r="L190" s="85"/>
      <c r="M190" s="85"/>
      <c r="N190" s="85"/>
      <c r="O190" s="85"/>
      <c r="P190" s="85"/>
      <c r="Q190" s="85"/>
      <c r="R190" s="85"/>
      <c r="S190" s="85"/>
      <c r="T190" s="85"/>
      <c r="U190" s="85"/>
      <c r="V190" s="85"/>
      <c r="W190" s="85"/>
      <c r="X190" s="85"/>
      <c r="Y190" s="85"/>
      <c r="Z190" s="85"/>
      <c r="AA190" s="85"/>
      <c r="AB190" s="85"/>
      <c r="AC190" s="85"/>
      <c r="AD190" s="85"/>
      <c r="AE190" s="85"/>
      <c r="AF190" s="85"/>
      <c r="AG190" s="85"/>
    </row>
    <row r="191">
      <c r="A191" s="85"/>
      <c r="B191" s="85"/>
      <c r="C191" s="87"/>
      <c r="D191" s="87"/>
      <c r="E191" s="85"/>
      <c r="F191" s="85"/>
      <c r="G191" s="85"/>
      <c r="H191" s="85"/>
      <c r="I191" s="85"/>
      <c r="J191" s="85"/>
      <c r="K191" s="85"/>
      <c r="L191" s="85"/>
      <c r="M191" s="85"/>
      <c r="N191" s="85"/>
      <c r="O191" s="85"/>
      <c r="P191" s="85"/>
      <c r="Q191" s="85"/>
      <c r="R191" s="85"/>
      <c r="S191" s="85"/>
      <c r="T191" s="85"/>
      <c r="U191" s="85"/>
      <c r="V191" s="85"/>
      <c r="W191" s="85"/>
      <c r="X191" s="85"/>
      <c r="Y191" s="85"/>
      <c r="Z191" s="85"/>
      <c r="AA191" s="85"/>
      <c r="AB191" s="85"/>
      <c r="AC191" s="85"/>
      <c r="AD191" s="85"/>
      <c r="AE191" s="85"/>
      <c r="AF191" s="85"/>
      <c r="AG191" s="85"/>
    </row>
    <row r="192">
      <c r="A192" s="85"/>
      <c r="B192" s="85"/>
      <c r="C192" s="87"/>
      <c r="D192" s="87"/>
      <c r="E192" s="85"/>
      <c r="F192" s="85"/>
      <c r="G192" s="85"/>
      <c r="H192" s="85"/>
      <c r="I192" s="85"/>
      <c r="J192" s="85"/>
      <c r="K192" s="85"/>
      <c r="L192" s="85"/>
      <c r="M192" s="85"/>
      <c r="N192" s="85"/>
      <c r="O192" s="85"/>
      <c r="P192" s="85"/>
      <c r="Q192" s="85"/>
      <c r="R192" s="85"/>
      <c r="S192" s="85"/>
      <c r="T192" s="85"/>
      <c r="U192" s="85"/>
      <c r="V192" s="85"/>
      <c r="W192" s="85"/>
      <c r="X192" s="85"/>
      <c r="Y192" s="85"/>
      <c r="Z192" s="85"/>
      <c r="AA192" s="85"/>
      <c r="AB192" s="85"/>
      <c r="AC192" s="85"/>
      <c r="AD192" s="85"/>
      <c r="AE192" s="85"/>
      <c r="AF192" s="85"/>
      <c r="AG192" s="85"/>
    </row>
    <row r="193">
      <c r="A193" s="85"/>
      <c r="B193" s="85"/>
      <c r="C193" s="87"/>
      <c r="D193" s="87"/>
      <c r="E193" s="85"/>
      <c r="F193" s="85"/>
      <c r="G193" s="85"/>
      <c r="H193" s="85"/>
      <c r="I193" s="85"/>
      <c r="J193" s="85"/>
      <c r="K193" s="85"/>
      <c r="L193" s="85"/>
      <c r="M193" s="85"/>
      <c r="N193" s="85"/>
      <c r="O193" s="85"/>
      <c r="P193" s="85"/>
      <c r="Q193" s="85"/>
      <c r="R193" s="85"/>
      <c r="S193" s="85"/>
      <c r="T193" s="85"/>
      <c r="U193" s="85"/>
      <c r="V193" s="85"/>
      <c r="W193" s="85"/>
      <c r="X193" s="85"/>
      <c r="Y193" s="85"/>
      <c r="Z193" s="85"/>
      <c r="AA193" s="85"/>
      <c r="AB193" s="85"/>
      <c r="AC193" s="85"/>
      <c r="AD193" s="85"/>
      <c r="AE193" s="85"/>
      <c r="AF193" s="85"/>
      <c r="AG193" s="85"/>
    </row>
    <row r="194">
      <c r="A194" s="85"/>
      <c r="B194" s="85"/>
      <c r="C194" s="87"/>
      <c r="D194" s="87"/>
      <c r="E194" s="85"/>
      <c r="F194" s="85"/>
      <c r="G194" s="85"/>
      <c r="H194" s="85"/>
      <c r="I194" s="85"/>
      <c r="J194" s="85"/>
      <c r="K194" s="85"/>
      <c r="L194" s="85"/>
      <c r="M194" s="85"/>
      <c r="N194" s="85"/>
      <c r="O194" s="85"/>
      <c r="P194" s="85"/>
      <c r="Q194" s="85"/>
      <c r="R194" s="85"/>
      <c r="S194" s="85"/>
      <c r="T194" s="85"/>
      <c r="U194" s="85"/>
      <c r="V194" s="85"/>
      <c r="W194" s="85"/>
      <c r="X194" s="85"/>
      <c r="Y194" s="85"/>
      <c r="Z194" s="85"/>
      <c r="AA194" s="85"/>
      <c r="AB194" s="85"/>
      <c r="AC194" s="85"/>
      <c r="AD194" s="85"/>
      <c r="AE194" s="85"/>
      <c r="AF194" s="85"/>
      <c r="AG194" s="85"/>
    </row>
    <row r="195">
      <c r="A195" s="85"/>
      <c r="B195" s="85"/>
      <c r="C195" s="87"/>
      <c r="D195" s="87"/>
      <c r="E195" s="85"/>
      <c r="F195" s="85"/>
      <c r="G195" s="85"/>
      <c r="H195" s="85"/>
      <c r="I195" s="85"/>
      <c r="J195" s="85"/>
      <c r="K195" s="85"/>
      <c r="L195" s="85"/>
      <c r="M195" s="85"/>
      <c r="N195" s="85"/>
      <c r="O195" s="85"/>
      <c r="P195" s="85"/>
      <c r="Q195" s="85"/>
      <c r="R195" s="85"/>
      <c r="S195" s="85"/>
      <c r="T195" s="85"/>
      <c r="U195" s="85"/>
      <c r="V195" s="85"/>
      <c r="W195" s="85"/>
      <c r="X195" s="85"/>
      <c r="Y195" s="85"/>
      <c r="Z195" s="85"/>
      <c r="AA195" s="85"/>
      <c r="AB195" s="85"/>
      <c r="AC195" s="85"/>
      <c r="AD195" s="85"/>
      <c r="AE195" s="85"/>
      <c r="AF195" s="85"/>
      <c r="AG195" s="85"/>
    </row>
    <row r="196">
      <c r="A196" s="85"/>
      <c r="B196" s="85"/>
      <c r="C196" s="87"/>
      <c r="D196" s="87"/>
      <c r="E196" s="85"/>
      <c r="F196" s="85"/>
      <c r="G196" s="85"/>
      <c r="H196" s="85"/>
      <c r="I196" s="85"/>
      <c r="J196" s="85"/>
      <c r="K196" s="85"/>
      <c r="L196" s="85"/>
      <c r="M196" s="85"/>
      <c r="N196" s="85"/>
      <c r="O196" s="85"/>
      <c r="P196" s="85"/>
      <c r="Q196" s="85"/>
      <c r="R196" s="85"/>
      <c r="S196" s="85"/>
      <c r="T196" s="85"/>
      <c r="U196" s="85"/>
      <c r="V196" s="85"/>
      <c r="W196" s="85"/>
      <c r="X196" s="85"/>
      <c r="Y196" s="85"/>
      <c r="Z196" s="85"/>
      <c r="AA196" s="85"/>
      <c r="AB196" s="85"/>
      <c r="AC196" s="85"/>
      <c r="AD196" s="85"/>
      <c r="AE196" s="85"/>
      <c r="AF196" s="85"/>
      <c r="AG196" s="85"/>
    </row>
    <row r="197">
      <c r="A197" s="85"/>
      <c r="B197" s="85"/>
      <c r="C197" s="87"/>
      <c r="D197" s="87"/>
      <c r="E197" s="85"/>
      <c r="F197" s="85"/>
      <c r="G197" s="85"/>
      <c r="H197" s="85"/>
      <c r="I197" s="85"/>
      <c r="J197" s="85"/>
      <c r="K197" s="85"/>
      <c r="L197" s="85"/>
      <c r="M197" s="85"/>
      <c r="N197" s="85"/>
      <c r="O197" s="85"/>
      <c r="P197" s="85"/>
      <c r="Q197" s="85"/>
      <c r="R197" s="85"/>
      <c r="S197" s="85"/>
      <c r="T197" s="85"/>
      <c r="U197" s="85"/>
      <c r="V197" s="85"/>
      <c r="W197" s="85"/>
      <c r="X197" s="85"/>
      <c r="Y197" s="85"/>
      <c r="Z197" s="85"/>
      <c r="AA197" s="85"/>
      <c r="AB197" s="85"/>
      <c r="AC197" s="85"/>
      <c r="AD197" s="85"/>
      <c r="AE197" s="85"/>
      <c r="AF197" s="85"/>
      <c r="AG197" s="85"/>
    </row>
    <row r="198">
      <c r="A198" s="85"/>
      <c r="B198" s="85"/>
      <c r="C198" s="87"/>
      <c r="D198" s="87"/>
      <c r="E198" s="85"/>
      <c r="F198" s="85"/>
      <c r="G198" s="85"/>
      <c r="H198" s="85"/>
      <c r="I198" s="85"/>
      <c r="J198" s="85"/>
      <c r="K198" s="85"/>
      <c r="L198" s="85"/>
      <c r="M198" s="85"/>
      <c r="N198" s="85"/>
      <c r="O198" s="85"/>
      <c r="P198" s="85"/>
      <c r="Q198" s="85"/>
      <c r="R198" s="85"/>
      <c r="S198" s="85"/>
      <c r="T198" s="85"/>
      <c r="U198" s="85"/>
      <c r="V198" s="85"/>
      <c r="W198" s="85"/>
      <c r="X198" s="85"/>
      <c r="Y198" s="85"/>
      <c r="Z198" s="85"/>
      <c r="AA198" s="85"/>
      <c r="AB198" s="85"/>
      <c r="AC198" s="85"/>
      <c r="AD198" s="85"/>
      <c r="AE198" s="85"/>
      <c r="AF198" s="85"/>
      <c r="AG198" s="85"/>
    </row>
    <row r="199">
      <c r="A199" s="85"/>
      <c r="B199" s="85"/>
      <c r="C199" s="87"/>
      <c r="D199" s="87"/>
      <c r="E199" s="85"/>
      <c r="F199" s="85"/>
      <c r="G199" s="85"/>
      <c r="H199" s="85"/>
      <c r="I199" s="85"/>
      <c r="J199" s="85"/>
      <c r="K199" s="85"/>
      <c r="L199" s="85"/>
      <c r="M199" s="85"/>
      <c r="N199" s="85"/>
      <c r="O199" s="85"/>
      <c r="P199" s="85"/>
      <c r="Q199" s="85"/>
      <c r="R199" s="85"/>
      <c r="S199" s="85"/>
      <c r="T199" s="85"/>
      <c r="U199" s="85"/>
      <c r="V199" s="85"/>
      <c r="W199" s="85"/>
      <c r="X199" s="85"/>
      <c r="Y199" s="85"/>
      <c r="Z199" s="85"/>
      <c r="AA199" s="85"/>
      <c r="AB199" s="85"/>
      <c r="AC199" s="85"/>
      <c r="AD199" s="85"/>
      <c r="AE199" s="85"/>
      <c r="AF199" s="85"/>
      <c r="AG199" s="85"/>
    </row>
    <row r="200">
      <c r="A200" s="85"/>
      <c r="B200" s="85"/>
      <c r="C200" s="87"/>
      <c r="D200" s="87"/>
      <c r="E200" s="85"/>
      <c r="F200" s="85"/>
      <c r="G200" s="85"/>
      <c r="H200" s="85"/>
      <c r="I200" s="85"/>
      <c r="J200" s="85"/>
      <c r="K200" s="85"/>
      <c r="L200" s="85"/>
      <c r="M200" s="85"/>
      <c r="N200" s="85"/>
      <c r="O200" s="85"/>
      <c r="P200" s="85"/>
      <c r="Q200" s="85"/>
      <c r="R200" s="85"/>
      <c r="S200" s="85"/>
      <c r="T200" s="85"/>
      <c r="U200" s="85"/>
      <c r="V200" s="85"/>
      <c r="W200" s="85"/>
      <c r="X200" s="85"/>
      <c r="Y200" s="85"/>
      <c r="Z200" s="85"/>
      <c r="AA200" s="85"/>
      <c r="AB200" s="85"/>
      <c r="AC200" s="85"/>
      <c r="AD200" s="85"/>
      <c r="AE200" s="85"/>
      <c r="AF200" s="85"/>
      <c r="AG200" s="85"/>
    </row>
    <row r="201">
      <c r="A201" s="85"/>
      <c r="B201" s="85"/>
      <c r="C201" s="87"/>
      <c r="D201" s="87"/>
      <c r="E201" s="85"/>
      <c r="F201" s="85"/>
      <c r="G201" s="85"/>
      <c r="H201" s="85"/>
      <c r="I201" s="85"/>
      <c r="J201" s="85"/>
      <c r="K201" s="85"/>
      <c r="L201" s="85"/>
      <c r="M201" s="85"/>
      <c r="N201" s="85"/>
      <c r="O201" s="85"/>
      <c r="P201" s="85"/>
      <c r="Q201" s="85"/>
      <c r="R201" s="85"/>
      <c r="S201" s="85"/>
      <c r="T201" s="85"/>
      <c r="U201" s="85"/>
      <c r="V201" s="85"/>
      <c r="W201" s="85"/>
      <c r="X201" s="85"/>
      <c r="Y201" s="85"/>
      <c r="Z201" s="85"/>
      <c r="AA201" s="85"/>
      <c r="AB201" s="85"/>
      <c r="AC201" s="85"/>
      <c r="AD201" s="85"/>
      <c r="AE201" s="85"/>
      <c r="AF201" s="85"/>
      <c r="AG201" s="85"/>
    </row>
    <row r="202">
      <c r="A202" s="85"/>
      <c r="B202" s="85"/>
      <c r="C202" s="87"/>
      <c r="D202" s="87"/>
      <c r="E202" s="85"/>
      <c r="F202" s="85"/>
      <c r="G202" s="85"/>
      <c r="H202" s="85"/>
      <c r="I202" s="85"/>
      <c r="J202" s="85"/>
      <c r="K202" s="85"/>
      <c r="L202" s="85"/>
      <c r="M202" s="85"/>
      <c r="N202" s="85"/>
      <c r="O202" s="85"/>
      <c r="P202" s="85"/>
      <c r="Q202" s="85"/>
      <c r="R202" s="85"/>
      <c r="S202" s="85"/>
      <c r="T202" s="85"/>
      <c r="U202" s="85"/>
      <c r="V202" s="85"/>
      <c r="W202" s="85"/>
      <c r="X202" s="85"/>
      <c r="Y202" s="85"/>
      <c r="Z202" s="85"/>
      <c r="AA202" s="85"/>
      <c r="AB202" s="85"/>
      <c r="AC202" s="85"/>
      <c r="AD202" s="85"/>
      <c r="AE202" s="85"/>
      <c r="AF202" s="85"/>
      <c r="AG202" s="85"/>
    </row>
    <row r="203">
      <c r="A203" s="85"/>
      <c r="B203" s="85"/>
      <c r="C203" s="87"/>
      <c r="D203" s="87"/>
      <c r="E203" s="85"/>
      <c r="F203" s="85"/>
      <c r="G203" s="85"/>
      <c r="H203" s="85"/>
      <c r="I203" s="85"/>
      <c r="J203" s="85"/>
      <c r="K203" s="85"/>
      <c r="L203" s="85"/>
      <c r="M203" s="85"/>
      <c r="N203" s="85"/>
      <c r="O203" s="85"/>
      <c r="P203" s="85"/>
      <c r="Q203" s="85"/>
      <c r="R203" s="85"/>
      <c r="S203" s="85"/>
      <c r="T203" s="85"/>
      <c r="U203" s="85"/>
      <c r="V203" s="85"/>
      <c r="W203" s="85"/>
      <c r="X203" s="85"/>
      <c r="Y203" s="85"/>
      <c r="Z203" s="85"/>
      <c r="AA203" s="85"/>
      <c r="AB203" s="85"/>
      <c r="AC203" s="85"/>
      <c r="AD203" s="85"/>
      <c r="AE203" s="85"/>
      <c r="AF203" s="85"/>
      <c r="AG203" s="85"/>
    </row>
    <row r="204">
      <c r="A204" s="85"/>
      <c r="B204" s="85"/>
      <c r="C204" s="87"/>
      <c r="D204" s="87"/>
      <c r="E204" s="85"/>
      <c r="F204" s="85"/>
      <c r="G204" s="85"/>
      <c r="H204" s="85"/>
      <c r="I204" s="85"/>
      <c r="J204" s="85"/>
      <c r="K204" s="85"/>
      <c r="L204" s="85"/>
      <c r="M204" s="85"/>
      <c r="N204" s="85"/>
      <c r="O204" s="85"/>
      <c r="P204" s="85"/>
      <c r="Q204" s="85"/>
      <c r="R204" s="85"/>
      <c r="S204" s="85"/>
      <c r="T204" s="85"/>
      <c r="U204" s="85"/>
      <c r="V204" s="85"/>
      <c r="W204" s="85"/>
      <c r="X204" s="85"/>
      <c r="Y204" s="85"/>
      <c r="Z204" s="85"/>
      <c r="AA204" s="85"/>
      <c r="AB204" s="85"/>
      <c r="AC204" s="85"/>
      <c r="AD204" s="85"/>
      <c r="AE204" s="85"/>
      <c r="AF204" s="85"/>
      <c r="AG204" s="85"/>
    </row>
    <row r="205">
      <c r="A205" s="85"/>
      <c r="B205" s="85"/>
      <c r="C205" s="87"/>
      <c r="D205" s="87"/>
      <c r="E205" s="85"/>
      <c r="F205" s="85"/>
      <c r="G205" s="85"/>
      <c r="H205" s="85"/>
      <c r="I205" s="85"/>
      <c r="J205" s="85"/>
      <c r="K205" s="85"/>
      <c r="L205" s="85"/>
      <c r="M205" s="85"/>
      <c r="N205" s="85"/>
      <c r="O205" s="85"/>
      <c r="P205" s="85"/>
      <c r="Q205" s="85"/>
      <c r="R205" s="85"/>
      <c r="S205" s="85"/>
      <c r="T205" s="85"/>
      <c r="U205" s="85"/>
      <c r="V205" s="85"/>
      <c r="W205" s="85"/>
      <c r="X205" s="85"/>
      <c r="Y205" s="85"/>
      <c r="Z205" s="85"/>
      <c r="AA205" s="85"/>
      <c r="AB205" s="85"/>
      <c r="AC205" s="85"/>
      <c r="AD205" s="85"/>
      <c r="AE205" s="85"/>
      <c r="AF205" s="85"/>
      <c r="AG205" s="85"/>
    </row>
    <row r="206">
      <c r="A206" s="85"/>
      <c r="B206" s="85"/>
      <c r="C206" s="87"/>
      <c r="D206" s="87"/>
      <c r="E206" s="85"/>
      <c r="F206" s="85"/>
      <c r="G206" s="85"/>
      <c r="H206" s="85"/>
      <c r="I206" s="85"/>
      <c r="J206" s="85"/>
      <c r="K206" s="85"/>
      <c r="L206" s="85"/>
      <c r="M206" s="85"/>
      <c r="N206" s="85"/>
      <c r="O206" s="85"/>
      <c r="P206" s="85"/>
      <c r="Q206" s="85"/>
      <c r="R206" s="85"/>
      <c r="S206" s="85"/>
      <c r="T206" s="85"/>
      <c r="U206" s="85"/>
      <c r="V206" s="85"/>
      <c r="W206" s="85"/>
      <c r="X206" s="85"/>
      <c r="Y206" s="85"/>
      <c r="Z206" s="85"/>
      <c r="AA206" s="85"/>
      <c r="AB206" s="85"/>
      <c r="AC206" s="85"/>
      <c r="AD206" s="85"/>
      <c r="AE206" s="85"/>
      <c r="AF206" s="85"/>
      <c r="AG206" s="85"/>
    </row>
    <row r="207">
      <c r="A207" s="85"/>
      <c r="B207" s="85"/>
      <c r="C207" s="87"/>
      <c r="D207" s="87"/>
      <c r="E207" s="85"/>
      <c r="F207" s="85"/>
      <c r="G207" s="85"/>
      <c r="H207" s="85"/>
      <c r="I207" s="85"/>
      <c r="J207" s="85"/>
      <c r="K207" s="85"/>
      <c r="L207" s="85"/>
      <c r="M207" s="85"/>
      <c r="N207" s="85"/>
      <c r="O207" s="85"/>
      <c r="P207" s="85"/>
      <c r="Q207" s="85"/>
      <c r="R207" s="85"/>
      <c r="S207" s="85"/>
      <c r="T207" s="85"/>
      <c r="U207" s="85"/>
      <c r="V207" s="85"/>
      <c r="W207" s="85"/>
      <c r="X207" s="85"/>
      <c r="Y207" s="85"/>
      <c r="Z207" s="85"/>
      <c r="AA207" s="85"/>
      <c r="AB207" s="85"/>
      <c r="AC207" s="85"/>
      <c r="AD207" s="85"/>
      <c r="AE207" s="85"/>
      <c r="AF207" s="85"/>
      <c r="AG207" s="85"/>
    </row>
    <row r="208">
      <c r="A208" s="85"/>
      <c r="B208" s="85"/>
      <c r="C208" s="87"/>
      <c r="D208" s="87"/>
      <c r="E208" s="85"/>
      <c r="F208" s="85"/>
      <c r="G208" s="85"/>
      <c r="H208" s="85"/>
      <c r="I208" s="85"/>
      <c r="J208" s="85"/>
      <c r="K208" s="85"/>
      <c r="L208" s="85"/>
      <c r="M208" s="85"/>
      <c r="N208" s="85"/>
      <c r="O208" s="85"/>
      <c r="P208" s="85"/>
      <c r="Q208" s="85"/>
      <c r="R208" s="85"/>
      <c r="S208" s="85"/>
      <c r="T208" s="85"/>
      <c r="U208" s="85"/>
      <c r="V208" s="85"/>
      <c r="W208" s="85"/>
      <c r="X208" s="85"/>
      <c r="Y208" s="85"/>
      <c r="Z208" s="85"/>
      <c r="AA208" s="85"/>
      <c r="AB208" s="85"/>
      <c r="AC208" s="85"/>
      <c r="AD208" s="85"/>
      <c r="AE208" s="85"/>
      <c r="AF208" s="85"/>
      <c r="AG208" s="85"/>
    </row>
    <row r="209">
      <c r="A209" s="85"/>
      <c r="B209" s="85"/>
      <c r="C209" s="87"/>
      <c r="D209" s="87"/>
      <c r="E209" s="85"/>
      <c r="F209" s="85"/>
      <c r="G209" s="85"/>
      <c r="H209" s="85"/>
      <c r="I209" s="85"/>
      <c r="J209" s="85"/>
      <c r="K209" s="85"/>
      <c r="L209" s="85"/>
      <c r="M209" s="85"/>
      <c r="N209" s="85"/>
      <c r="O209" s="85"/>
      <c r="P209" s="85"/>
      <c r="Q209" s="85"/>
      <c r="R209" s="85"/>
      <c r="S209" s="85"/>
      <c r="T209" s="85"/>
      <c r="U209" s="85"/>
      <c r="V209" s="85"/>
      <c r="W209" s="85"/>
      <c r="X209" s="85"/>
      <c r="Y209" s="85"/>
      <c r="Z209" s="85"/>
      <c r="AA209" s="85"/>
      <c r="AB209" s="85"/>
      <c r="AC209" s="85"/>
      <c r="AD209" s="85"/>
      <c r="AE209" s="85"/>
      <c r="AF209" s="85"/>
      <c r="AG209" s="85"/>
    </row>
    <row r="210">
      <c r="A210" s="85"/>
      <c r="B210" s="85"/>
      <c r="C210" s="87"/>
      <c r="D210" s="87"/>
      <c r="E210" s="85"/>
      <c r="F210" s="85"/>
      <c r="G210" s="85"/>
      <c r="H210" s="85"/>
      <c r="I210" s="85"/>
      <c r="J210" s="85"/>
      <c r="K210" s="85"/>
      <c r="L210" s="85"/>
      <c r="M210" s="85"/>
      <c r="N210" s="85"/>
      <c r="O210" s="85"/>
      <c r="P210" s="85"/>
      <c r="Q210" s="85"/>
      <c r="R210" s="85"/>
      <c r="S210" s="85"/>
      <c r="T210" s="85"/>
      <c r="U210" s="85"/>
      <c r="V210" s="85"/>
      <c r="W210" s="85"/>
      <c r="X210" s="85"/>
      <c r="Y210" s="85"/>
      <c r="Z210" s="85"/>
      <c r="AA210" s="85"/>
      <c r="AB210" s="85"/>
      <c r="AC210" s="85"/>
      <c r="AD210" s="85"/>
      <c r="AE210" s="85"/>
      <c r="AF210" s="85"/>
      <c r="AG210" s="85"/>
    </row>
    <row r="211">
      <c r="A211" s="85"/>
      <c r="B211" s="85"/>
      <c r="C211" s="87"/>
      <c r="D211" s="87"/>
      <c r="E211" s="85"/>
      <c r="F211" s="85"/>
      <c r="G211" s="85"/>
      <c r="H211" s="85"/>
      <c r="I211" s="85"/>
      <c r="J211" s="85"/>
      <c r="K211" s="85"/>
      <c r="L211" s="85"/>
      <c r="M211" s="85"/>
      <c r="N211" s="85"/>
      <c r="O211" s="85"/>
      <c r="P211" s="85"/>
      <c r="Q211" s="85"/>
      <c r="R211" s="85"/>
      <c r="S211" s="85"/>
      <c r="T211" s="85"/>
      <c r="U211" s="85"/>
      <c r="V211" s="85"/>
      <c r="W211" s="85"/>
      <c r="X211" s="85"/>
      <c r="Y211" s="85"/>
      <c r="Z211" s="85"/>
      <c r="AA211" s="85"/>
      <c r="AB211" s="85"/>
      <c r="AC211" s="85"/>
      <c r="AD211" s="85"/>
      <c r="AE211" s="85"/>
      <c r="AF211" s="85"/>
      <c r="AG211" s="85"/>
    </row>
    <row r="212">
      <c r="A212" s="85"/>
      <c r="B212" s="85"/>
      <c r="C212" s="87"/>
      <c r="D212" s="87"/>
      <c r="E212" s="85"/>
      <c r="F212" s="85"/>
      <c r="G212" s="85"/>
      <c r="H212" s="85"/>
      <c r="I212" s="85"/>
      <c r="J212" s="85"/>
      <c r="K212" s="85"/>
      <c r="L212" s="85"/>
      <c r="M212" s="85"/>
      <c r="N212" s="85"/>
      <c r="O212" s="85"/>
      <c r="P212" s="85"/>
      <c r="Q212" s="85"/>
      <c r="R212" s="85"/>
      <c r="S212" s="85"/>
      <c r="T212" s="85"/>
      <c r="U212" s="85"/>
      <c r="V212" s="85"/>
      <c r="W212" s="85"/>
      <c r="X212" s="85"/>
      <c r="Y212" s="85"/>
      <c r="Z212" s="85"/>
      <c r="AA212" s="85"/>
      <c r="AB212" s="85"/>
      <c r="AC212" s="85"/>
      <c r="AD212" s="85"/>
      <c r="AE212" s="85"/>
      <c r="AF212" s="85"/>
      <c r="AG212" s="85"/>
    </row>
    <row r="213">
      <c r="A213" s="85"/>
      <c r="B213" s="85"/>
      <c r="C213" s="87"/>
      <c r="D213" s="87"/>
      <c r="E213" s="85"/>
      <c r="F213" s="85"/>
      <c r="G213" s="85"/>
      <c r="H213" s="85"/>
      <c r="I213" s="85"/>
      <c r="J213" s="85"/>
      <c r="K213" s="85"/>
      <c r="L213" s="85"/>
      <c r="M213" s="85"/>
      <c r="N213" s="85"/>
      <c r="O213" s="85"/>
      <c r="P213" s="85"/>
      <c r="Q213" s="85"/>
      <c r="R213" s="85"/>
      <c r="S213" s="85"/>
      <c r="T213" s="85"/>
      <c r="U213" s="85"/>
      <c r="V213" s="85"/>
      <c r="W213" s="85"/>
      <c r="X213" s="85"/>
      <c r="Y213" s="85"/>
      <c r="Z213" s="85"/>
      <c r="AA213" s="85"/>
      <c r="AB213" s="85"/>
      <c r="AC213" s="85"/>
      <c r="AD213" s="85"/>
      <c r="AE213" s="85"/>
      <c r="AF213" s="85"/>
      <c r="AG213" s="85"/>
    </row>
    <row r="214">
      <c r="A214" s="85"/>
      <c r="B214" s="85"/>
      <c r="C214" s="87"/>
      <c r="D214" s="87"/>
      <c r="E214" s="85"/>
      <c r="F214" s="85"/>
      <c r="G214" s="85"/>
      <c r="H214" s="85"/>
      <c r="I214" s="85"/>
      <c r="J214" s="85"/>
      <c r="K214" s="85"/>
      <c r="L214" s="85"/>
      <c r="M214" s="85"/>
      <c r="N214" s="85"/>
      <c r="O214" s="85"/>
      <c r="P214" s="85"/>
      <c r="Q214" s="85"/>
      <c r="R214" s="85"/>
      <c r="S214" s="85"/>
      <c r="T214" s="85"/>
      <c r="U214" s="85"/>
      <c r="V214" s="85"/>
      <c r="W214" s="85"/>
      <c r="X214" s="85"/>
      <c r="Y214" s="85"/>
      <c r="Z214" s="85"/>
      <c r="AA214" s="85"/>
      <c r="AB214" s="85"/>
      <c r="AC214" s="85"/>
      <c r="AD214" s="85"/>
      <c r="AE214" s="85"/>
      <c r="AF214" s="85"/>
      <c r="AG214" s="85"/>
    </row>
    <row r="215">
      <c r="A215" s="85"/>
      <c r="B215" s="85"/>
      <c r="C215" s="87"/>
      <c r="D215" s="87"/>
      <c r="E215" s="85"/>
      <c r="F215" s="85"/>
      <c r="G215" s="85"/>
      <c r="H215" s="85"/>
      <c r="I215" s="85"/>
      <c r="J215" s="85"/>
      <c r="K215" s="85"/>
      <c r="L215" s="85"/>
      <c r="M215" s="85"/>
      <c r="N215" s="85"/>
      <c r="O215" s="85"/>
      <c r="P215" s="85"/>
      <c r="Q215" s="85"/>
      <c r="R215" s="85"/>
      <c r="S215" s="85"/>
      <c r="T215" s="85"/>
      <c r="U215" s="85"/>
      <c r="V215" s="85"/>
      <c r="W215" s="85"/>
      <c r="X215" s="85"/>
      <c r="Y215" s="85"/>
      <c r="Z215" s="85"/>
      <c r="AA215" s="85"/>
      <c r="AB215" s="85"/>
      <c r="AC215" s="85"/>
      <c r="AD215" s="85"/>
      <c r="AE215" s="85"/>
      <c r="AF215" s="85"/>
      <c r="AG215" s="85"/>
    </row>
    <row r="216">
      <c r="A216" s="85"/>
      <c r="B216" s="85"/>
      <c r="C216" s="87"/>
      <c r="D216" s="87"/>
      <c r="E216" s="85"/>
      <c r="F216" s="85"/>
      <c r="G216" s="85"/>
      <c r="H216" s="85"/>
      <c r="I216" s="85"/>
      <c r="J216" s="85"/>
      <c r="K216" s="85"/>
      <c r="L216" s="85"/>
      <c r="M216" s="85"/>
      <c r="N216" s="85"/>
      <c r="O216" s="85"/>
      <c r="P216" s="85"/>
      <c r="Q216" s="85"/>
      <c r="R216" s="85"/>
      <c r="S216" s="85"/>
      <c r="T216" s="85"/>
      <c r="U216" s="85"/>
      <c r="V216" s="85"/>
      <c r="W216" s="85"/>
      <c r="X216" s="85"/>
      <c r="Y216" s="85"/>
      <c r="Z216" s="85"/>
      <c r="AA216" s="85"/>
      <c r="AB216" s="85"/>
      <c r="AC216" s="85"/>
      <c r="AD216" s="85"/>
      <c r="AE216" s="85"/>
      <c r="AF216" s="85"/>
      <c r="AG216" s="85"/>
    </row>
    <row r="217">
      <c r="A217" s="85"/>
      <c r="B217" s="85"/>
      <c r="C217" s="87"/>
      <c r="D217" s="87"/>
      <c r="E217" s="85"/>
      <c r="F217" s="85"/>
      <c r="G217" s="85"/>
      <c r="H217" s="85"/>
      <c r="I217" s="85"/>
      <c r="J217" s="85"/>
      <c r="K217" s="85"/>
      <c r="L217" s="85"/>
      <c r="M217" s="85"/>
      <c r="N217" s="85"/>
      <c r="O217" s="85"/>
      <c r="P217" s="85"/>
      <c r="Q217" s="85"/>
      <c r="R217" s="85"/>
      <c r="S217" s="85"/>
      <c r="T217" s="85"/>
      <c r="U217" s="85"/>
      <c r="V217" s="85"/>
      <c r="W217" s="85"/>
      <c r="X217" s="85"/>
      <c r="Y217" s="85"/>
      <c r="Z217" s="85"/>
      <c r="AA217" s="85"/>
      <c r="AB217" s="85"/>
      <c r="AC217" s="85"/>
      <c r="AD217" s="85"/>
      <c r="AE217" s="85"/>
      <c r="AF217" s="85"/>
      <c r="AG217" s="85"/>
    </row>
    <row r="218">
      <c r="A218" s="85"/>
      <c r="B218" s="85"/>
      <c r="C218" s="87"/>
      <c r="D218" s="87"/>
      <c r="E218" s="85"/>
      <c r="F218" s="85"/>
      <c r="G218" s="85"/>
      <c r="H218" s="85"/>
      <c r="I218" s="85"/>
      <c r="J218" s="85"/>
      <c r="K218" s="85"/>
      <c r="L218" s="85"/>
      <c r="M218" s="85"/>
      <c r="N218" s="85"/>
      <c r="O218" s="85"/>
      <c r="P218" s="85"/>
      <c r="Q218" s="85"/>
      <c r="R218" s="85"/>
      <c r="S218" s="85"/>
      <c r="T218" s="85"/>
      <c r="U218" s="85"/>
      <c r="V218" s="85"/>
      <c r="W218" s="85"/>
      <c r="X218" s="85"/>
      <c r="Y218" s="85"/>
      <c r="Z218" s="85"/>
      <c r="AA218" s="85"/>
      <c r="AB218" s="85"/>
      <c r="AC218" s="85"/>
      <c r="AD218" s="85"/>
      <c r="AE218" s="85"/>
      <c r="AF218" s="85"/>
      <c r="AG218" s="85"/>
    </row>
    <row r="219">
      <c r="A219" s="85"/>
      <c r="B219" s="85"/>
      <c r="C219" s="87"/>
      <c r="D219" s="87"/>
      <c r="E219" s="85"/>
      <c r="F219" s="85"/>
      <c r="G219" s="85"/>
      <c r="H219" s="85"/>
      <c r="I219" s="85"/>
      <c r="J219" s="85"/>
      <c r="K219" s="85"/>
      <c r="L219" s="85"/>
      <c r="M219" s="85"/>
      <c r="N219" s="85"/>
      <c r="O219" s="85"/>
      <c r="P219" s="85"/>
      <c r="Q219" s="85"/>
      <c r="R219" s="85"/>
      <c r="S219" s="85"/>
      <c r="T219" s="85"/>
      <c r="U219" s="85"/>
      <c r="V219" s="85"/>
      <c r="W219" s="85"/>
      <c r="X219" s="85"/>
      <c r="Y219" s="85"/>
      <c r="Z219" s="85"/>
      <c r="AA219" s="85"/>
      <c r="AB219" s="85"/>
      <c r="AC219" s="85"/>
      <c r="AD219" s="85"/>
      <c r="AE219" s="85"/>
      <c r="AF219" s="85"/>
      <c r="AG219" s="85"/>
    </row>
    <row r="220">
      <c r="A220" s="85"/>
      <c r="B220" s="85"/>
      <c r="C220" s="87"/>
      <c r="D220" s="87"/>
      <c r="E220" s="85"/>
      <c r="F220" s="85"/>
      <c r="G220" s="85"/>
      <c r="H220" s="85"/>
      <c r="I220" s="85"/>
      <c r="J220" s="85"/>
      <c r="K220" s="85"/>
      <c r="L220" s="85"/>
      <c r="M220" s="85"/>
      <c r="N220" s="85"/>
      <c r="O220" s="85"/>
      <c r="P220" s="85"/>
      <c r="Q220" s="85"/>
      <c r="R220" s="85"/>
      <c r="S220" s="85"/>
      <c r="T220" s="85"/>
      <c r="U220" s="85"/>
      <c r="V220" s="85"/>
      <c r="W220" s="85"/>
      <c r="X220" s="85"/>
      <c r="Y220" s="85"/>
      <c r="Z220" s="85"/>
      <c r="AA220" s="85"/>
      <c r="AB220" s="85"/>
      <c r="AC220" s="85"/>
      <c r="AD220" s="85"/>
      <c r="AE220" s="85"/>
      <c r="AF220" s="85"/>
      <c r="AG220" s="85"/>
    </row>
    <row r="221">
      <c r="A221" s="85"/>
      <c r="B221" s="85"/>
      <c r="C221" s="87"/>
      <c r="D221" s="87"/>
      <c r="E221" s="85"/>
      <c r="F221" s="85"/>
      <c r="G221" s="85"/>
      <c r="H221" s="85"/>
      <c r="I221" s="85"/>
      <c r="J221" s="85"/>
      <c r="K221" s="85"/>
      <c r="L221" s="85"/>
      <c r="M221" s="85"/>
      <c r="N221" s="85"/>
      <c r="O221" s="85"/>
      <c r="P221" s="85"/>
      <c r="Q221" s="85"/>
      <c r="R221" s="85"/>
      <c r="S221" s="85"/>
      <c r="T221" s="85"/>
      <c r="U221" s="85"/>
      <c r="V221" s="85"/>
      <c r="W221" s="85"/>
      <c r="X221" s="85"/>
      <c r="Y221" s="85"/>
      <c r="Z221" s="85"/>
      <c r="AA221" s="85"/>
      <c r="AB221" s="85"/>
      <c r="AC221" s="85"/>
      <c r="AD221" s="85"/>
      <c r="AE221" s="85"/>
      <c r="AF221" s="85"/>
      <c r="AG221" s="85"/>
    </row>
    <row r="222">
      <c r="A222" s="85"/>
      <c r="B222" s="85"/>
      <c r="C222" s="87"/>
      <c r="D222" s="87"/>
      <c r="E222" s="85"/>
      <c r="F222" s="85"/>
      <c r="G222" s="85"/>
      <c r="H222" s="85"/>
      <c r="I222" s="85"/>
      <c r="J222" s="85"/>
      <c r="K222" s="85"/>
      <c r="L222" s="85"/>
      <c r="M222" s="85"/>
      <c r="N222" s="85"/>
      <c r="O222" s="85"/>
      <c r="P222" s="85"/>
      <c r="Q222" s="85"/>
      <c r="R222" s="85"/>
      <c r="S222" s="85"/>
      <c r="T222" s="85"/>
      <c r="U222" s="85"/>
      <c r="V222" s="85"/>
      <c r="W222" s="85"/>
      <c r="X222" s="85"/>
      <c r="Y222" s="85"/>
      <c r="Z222" s="85"/>
      <c r="AA222" s="85"/>
      <c r="AB222" s="85"/>
      <c r="AC222" s="85"/>
      <c r="AD222" s="85"/>
      <c r="AE222" s="85"/>
      <c r="AF222" s="85"/>
      <c r="AG222" s="85"/>
    </row>
    <row r="223">
      <c r="A223" s="85"/>
      <c r="B223" s="85"/>
      <c r="C223" s="87"/>
      <c r="D223" s="87"/>
      <c r="E223" s="85"/>
      <c r="F223" s="85"/>
      <c r="G223" s="85"/>
      <c r="H223" s="85"/>
      <c r="I223" s="85"/>
      <c r="J223" s="85"/>
      <c r="K223" s="85"/>
      <c r="L223" s="85"/>
      <c r="M223" s="85"/>
      <c r="N223" s="85"/>
      <c r="O223" s="85"/>
      <c r="P223" s="85"/>
      <c r="Q223" s="85"/>
      <c r="R223" s="85"/>
      <c r="S223" s="85"/>
      <c r="T223" s="85"/>
      <c r="U223" s="85"/>
      <c r="V223" s="85"/>
      <c r="W223" s="85"/>
      <c r="X223" s="85"/>
      <c r="Y223" s="85"/>
      <c r="Z223" s="85"/>
      <c r="AA223" s="85"/>
      <c r="AB223" s="85"/>
      <c r="AC223" s="85"/>
      <c r="AD223" s="85"/>
      <c r="AE223" s="85"/>
      <c r="AF223" s="85"/>
      <c r="AG223" s="85"/>
    </row>
    <row r="224">
      <c r="A224" s="85"/>
      <c r="B224" s="85"/>
      <c r="C224" s="87"/>
      <c r="D224" s="87"/>
      <c r="E224" s="85"/>
      <c r="F224" s="85"/>
      <c r="G224" s="85"/>
      <c r="H224" s="85"/>
      <c r="I224" s="85"/>
      <c r="J224" s="85"/>
      <c r="K224" s="85"/>
      <c r="L224" s="85"/>
      <c r="M224" s="85"/>
      <c r="N224" s="85"/>
      <c r="O224" s="85"/>
      <c r="P224" s="85"/>
      <c r="Q224" s="85"/>
      <c r="R224" s="85"/>
      <c r="S224" s="85"/>
      <c r="T224" s="85"/>
      <c r="U224" s="85"/>
      <c r="V224" s="85"/>
      <c r="W224" s="85"/>
      <c r="X224" s="85"/>
      <c r="Y224" s="85"/>
      <c r="Z224" s="85"/>
      <c r="AA224" s="85"/>
      <c r="AB224" s="85"/>
      <c r="AC224" s="85"/>
      <c r="AD224" s="85"/>
      <c r="AE224" s="85"/>
      <c r="AF224" s="85"/>
      <c r="AG224" s="85"/>
    </row>
    <row r="225">
      <c r="A225" s="85"/>
      <c r="B225" s="85"/>
      <c r="C225" s="87"/>
      <c r="D225" s="87"/>
      <c r="E225" s="85"/>
      <c r="F225" s="85"/>
      <c r="G225" s="85"/>
      <c r="H225" s="85"/>
      <c r="I225" s="85"/>
      <c r="J225" s="85"/>
      <c r="K225" s="85"/>
      <c r="L225" s="85"/>
      <c r="M225" s="85"/>
      <c r="N225" s="85"/>
      <c r="O225" s="85"/>
      <c r="P225" s="85"/>
      <c r="Q225" s="85"/>
      <c r="R225" s="85"/>
      <c r="S225" s="85"/>
      <c r="T225" s="85"/>
      <c r="U225" s="85"/>
      <c r="V225" s="85"/>
      <c r="W225" s="85"/>
      <c r="X225" s="85"/>
      <c r="Y225" s="85"/>
      <c r="Z225" s="85"/>
      <c r="AA225" s="85"/>
      <c r="AB225" s="85"/>
      <c r="AC225" s="85"/>
      <c r="AD225" s="85"/>
      <c r="AE225" s="85"/>
      <c r="AF225" s="85"/>
      <c r="AG225" s="85"/>
    </row>
    <row r="226">
      <c r="A226" s="85"/>
      <c r="B226" s="85"/>
      <c r="C226" s="87"/>
      <c r="D226" s="87"/>
      <c r="E226" s="85"/>
      <c r="F226" s="85"/>
      <c r="G226" s="85"/>
      <c r="H226" s="85"/>
      <c r="I226" s="85"/>
      <c r="J226" s="85"/>
      <c r="K226" s="85"/>
      <c r="L226" s="85"/>
      <c r="M226" s="85"/>
      <c r="N226" s="85"/>
      <c r="O226" s="85"/>
      <c r="P226" s="85"/>
      <c r="Q226" s="85"/>
      <c r="R226" s="85"/>
      <c r="S226" s="85"/>
      <c r="T226" s="85"/>
      <c r="U226" s="85"/>
      <c r="V226" s="85"/>
      <c r="W226" s="85"/>
      <c r="X226" s="85"/>
      <c r="Y226" s="85"/>
      <c r="Z226" s="85"/>
      <c r="AA226" s="85"/>
      <c r="AB226" s="85"/>
      <c r="AC226" s="85"/>
      <c r="AD226" s="85"/>
      <c r="AE226" s="85"/>
      <c r="AF226" s="85"/>
      <c r="AG226" s="85"/>
    </row>
    <row r="227">
      <c r="A227" s="85"/>
      <c r="B227" s="85"/>
      <c r="C227" s="87"/>
      <c r="D227" s="87"/>
      <c r="E227" s="85"/>
      <c r="F227" s="85"/>
      <c r="G227" s="85"/>
      <c r="H227" s="85"/>
      <c r="I227" s="85"/>
      <c r="J227" s="85"/>
      <c r="K227" s="85"/>
      <c r="L227" s="85"/>
      <c r="M227" s="85"/>
      <c r="N227" s="85"/>
      <c r="O227" s="85"/>
      <c r="P227" s="85"/>
      <c r="Q227" s="85"/>
      <c r="R227" s="85"/>
      <c r="S227" s="85"/>
      <c r="T227" s="85"/>
      <c r="U227" s="85"/>
      <c r="V227" s="85"/>
      <c r="W227" s="85"/>
      <c r="X227" s="85"/>
      <c r="Y227" s="85"/>
      <c r="Z227" s="85"/>
      <c r="AA227" s="85"/>
      <c r="AB227" s="85"/>
      <c r="AC227" s="85"/>
      <c r="AD227" s="85"/>
      <c r="AE227" s="85"/>
      <c r="AF227" s="85"/>
      <c r="AG227" s="85"/>
    </row>
    <row r="228">
      <c r="A228" s="85"/>
      <c r="B228" s="85"/>
      <c r="C228" s="87"/>
      <c r="D228" s="87"/>
      <c r="E228" s="85"/>
      <c r="F228" s="85"/>
      <c r="G228" s="85"/>
      <c r="H228" s="85"/>
      <c r="I228" s="85"/>
      <c r="J228" s="85"/>
      <c r="K228" s="85"/>
      <c r="L228" s="85"/>
      <c r="M228" s="85"/>
      <c r="N228" s="85"/>
      <c r="O228" s="85"/>
      <c r="P228" s="85"/>
      <c r="Q228" s="85"/>
      <c r="R228" s="85"/>
      <c r="S228" s="85"/>
      <c r="T228" s="85"/>
      <c r="U228" s="85"/>
      <c r="V228" s="85"/>
      <c r="W228" s="85"/>
      <c r="X228" s="85"/>
      <c r="Y228" s="85"/>
      <c r="Z228" s="85"/>
      <c r="AA228" s="85"/>
      <c r="AB228" s="85"/>
      <c r="AC228" s="85"/>
      <c r="AD228" s="85"/>
      <c r="AE228" s="85"/>
      <c r="AF228" s="85"/>
      <c r="AG228" s="85"/>
    </row>
    <row r="229">
      <c r="A229" s="85"/>
      <c r="B229" s="85"/>
      <c r="C229" s="87"/>
      <c r="D229" s="87"/>
      <c r="E229" s="85"/>
      <c r="F229" s="85"/>
      <c r="G229" s="85"/>
      <c r="H229" s="85"/>
      <c r="I229" s="85"/>
      <c r="J229" s="85"/>
      <c r="K229" s="85"/>
      <c r="L229" s="85"/>
      <c r="M229" s="85"/>
      <c r="N229" s="85"/>
      <c r="O229" s="85"/>
      <c r="P229" s="85"/>
      <c r="Q229" s="85"/>
      <c r="R229" s="85"/>
      <c r="S229" s="85"/>
      <c r="T229" s="85"/>
      <c r="U229" s="85"/>
      <c r="V229" s="85"/>
      <c r="W229" s="85"/>
      <c r="X229" s="85"/>
      <c r="Y229" s="85"/>
      <c r="Z229" s="85"/>
      <c r="AA229" s="85"/>
      <c r="AB229" s="85"/>
      <c r="AC229" s="85"/>
      <c r="AD229" s="85"/>
      <c r="AE229" s="85"/>
      <c r="AF229" s="85"/>
      <c r="AG229" s="85"/>
    </row>
    <row r="230">
      <c r="A230" s="85"/>
      <c r="B230" s="85"/>
      <c r="C230" s="87"/>
      <c r="D230" s="87"/>
      <c r="E230" s="85"/>
      <c r="F230" s="85"/>
      <c r="G230" s="85"/>
      <c r="H230" s="85"/>
      <c r="I230" s="85"/>
      <c r="J230" s="85"/>
      <c r="K230" s="85"/>
      <c r="L230" s="85"/>
      <c r="M230" s="85"/>
      <c r="N230" s="85"/>
      <c r="O230" s="85"/>
      <c r="P230" s="85"/>
      <c r="Q230" s="85"/>
      <c r="R230" s="85"/>
      <c r="S230" s="85"/>
      <c r="T230" s="85"/>
      <c r="U230" s="85"/>
      <c r="V230" s="85"/>
      <c r="W230" s="85"/>
      <c r="X230" s="85"/>
      <c r="Y230" s="85"/>
      <c r="Z230" s="85"/>
      <c r="AA230" s="85"/>
      <c r="AB230" s="85"/>
      <c r="AC230" s="85"/>
      <c r="AD230" s="85"/>
      <c r="AE230" s="85"/>
      <c r="AF230" s="85"/>
      <c r="AG230" s="85"/>
    </row>
    <row r="231">
      <c r="A231" s="85"/>
      <c r="B231" s="85"/>
      <c r="C231" s="87"/>
      <c r="D231" s="87"/>
      <c r="E231" s="85"/>
      <c r="F231" s="85"/>
      <c r="G231" s="85"/>
      <c r="H231" s="85"/>
      <c r="I231" s="85"/>
      <c r="J231" s="85"/>
      <c r="K231" s="85"/>
      <c r="L231" s="85"/>
      <c r="M231" s="85"/>
      <c r="N231" s="85"/>
      <c r="O231" s="85"/>
      <c r="P231" s="85"/>
      <c r="Q231" s="85"/>
      <c r="R231" s="85"/>
      <c r="S231" s="85"/>
      <c r="T231" s="85"/>
      <c r="U231" s="85"/>
      <c r="V231" s="85"/>
      <c r="W231" s="85"/>
      <c r="X231" s="85"/>
      <c r="Y231" s="85"/>
      <c r="Z231" s="85"/>
      <c r="AA231" s="85"/>
      <c r="AB231" s="85"/>
      <c r="AC231" s="85"/>
      <c r="AD231" s="85"/>
      <c r="AE231" s="85"/>
      <c r="AF231" s="85"/>
      <c r="AG231" s="85"/>
    </row>
    <row r="232">
      <c r="A232" s="85"/>
      <c r="B232" s="85"/>
      <c r="C232" s="87"/>
      <c r="D232" s="87"/>
      <c r="E232" s="85"/>
      <c r="F232" s="85"/>
      <c r="G232" s="85"/>
      <c r="H232" s="85"/>
      <c r="I232" s="85"/>
      <c r="J232" s="85"/>
      <c r="K232" s="85"/>
      <c r="L232" s="85"/>
      <c r="M232" s="85"/>
      <c r="N232" s="85"/>
      <c r="O232" s="85"/>
      <c r="P232" s="85"/>
      <c r="Q232" s="85"/>
      <c r="R232" s="85"/>
      <c r="S232" s="85"/>
      <c r="T232" s="85"/>
      <c r="U232" s="85"/>
      <c r="V232" s="85"/>
      <c r="W232" s="85"/>
      <c r="X232" s="85"/>
      <c r="Y232" s="85"/>
      <c r="Z232" s="85"/>
      <c r="AA232" s="85"/>
      <c r="AB232" s="85"/>
      <c r="AC232" s="85"/>
      <c r="AD232" s="85"/>
      <c r="AE232" s="85"/>
      <c r="AF232" s="85"/>
      <c r="AG232" s="85"/>
    </row>
    <row r="233">
      <c r="A233" s="85"/>
      <c r="B233" s="85"/>
      <c r="C233" s="87"/>
      <c r="D233" s="87"/>
      <c r="E233" s="85"/>
      <c r="F233" s="85"/>
      <c r="G233" s="85"/>
      <c r="H233" s="85"/>
      <c r="I233" s="85"/>
      <c r="J233" s="85"/>
      <c r="K233" s="85"/>
      <c r="L233" s="85"/>
      <c r="M233" s="85"/>
      <c r="N233" s="85"/>
      <c r="O233" s="85"/>
      <c r="P233" s="85"/>
      <c r="Q233" s="85"/>
      <c r="R233" s="85"/>
      <c r="S233" s="85"/>
      <c r="T233" s="85"/>
      <c r="U233" s="85"/>
      <c r="V233" s="85"/>
      <c r="W233" s="85"/>
      <c r="X233" s="85"/>
      <c r="Y233" s="85"/>
      <c r="Z233" s="85"/>
      <c r="AA233" s="85"/>
      <c r="AB233" s="85"/>
      <c r="AC233" s="85"/>
      <c r="AD233" s="85"/>
      <c r="AE233" s="85"/>
      <c r="AF233" s="85"/>
      <c r="AG233" s="85"/>
    </row>
    <row r="234">
      <c r="A234" s="85"/>
      <c r="B234" s="85"/>
      <c r="C234" s="87"/>
      <c r="D234" s="87"/>
      <c r="E234" s="85"/>
      <c r="F234" s="85"/>
      <c r="G234" s="85"/>
      <c r="H234" s="85"/>
      <c r="I234" s="85"/>
      <c r="J234" s="85"/>
      <c r="K234" s="85"/>
      <c r="L234" s="85"/>
      <c r="M234" s="85"/>
      <c r="N234" s="85"/>
      <c r="O234" s="85"/>
      <c r="P234" s="85"/>
      <c r="Q234" s="85"/>
      <c r="R234" s="85"/>
      <c r="S234" s="85"/>
      <c r="T234" s="85"/>
      <c r="U234" s="85"/>
      <c r="V234" s="85"/>
      <c r="W234" s="85"/>
      <c r="X234" s="85"/>
      <c r="Y234" s="85"/>
      <c r="Z234" s="85"/>
      <c r="AA234" s="85"/>
      <c r="AB234" s="85"/>
      <c r="AC234" s="85"/>
      <c r="AD234" s="85"/>
      <c r="AE234" s="85"/>
      <c r="AF234" s="85"/>
      <c r="AG234" s="85"/>
    </row>
    <row r="235">
      <c r="A235" s="85"/>
      <c r="B235" s="85"/>
      <c r="C235" s="87"/>
      <c r="D235" s="87"/>
      <c r="E235" s="85"/>
      <c r="F235" s="85"/>
      <c r="G235" s="85"/>
      <c r="H235" s="85"/>
      <c r="I235" s="85"/>
      <c r="J235" s="85"/>
      <c r="K235" s="85"/>
      <c r="L235" s="85"/>
      <c r="M235" s="85"/>
      <c r="N235" s="85"/>
      <c r="O235" s="85"/>
      <c r="P235" s="85"/>
      <c r="Q235" s="85"/>
      <c r="R235" s="85"/>
      <c r="S235" s="85"/>
      <c r="T235" s="85"/>
      <c r="U235" s="85"/>
      <c r="V235" s="85"/>
      <c r="W235" s="85"/>
      <c r="X235" s="85"/>
      <c r="Y235" s="85"/>
      <c r="Z235" s="85"/>
      <c r="AA235" s="85"/>
      <c r="AB235" s="85"/>
      <c r="AC235" s="85"/>
      <c r="AD235" s="85"/>
      <c r="AE235" s="85"/>
      <c r="AF235" s="85"/>
      <c r="AG235" s="85"/>
    </row>
    <row r="236">
      <c r="A236" s="85"/>
      <c r="B236" s="85"/>
      <c r="C236" s="87"/>
      <c r="D236" s="87"/>
      <c r="E236" s="85"/>
      <c r="F236" s="85"/>
      <c r="G236" s="85"/>
      <c r="H236" s="85"/>
      <c r="I236" s="85"/>
      <c r="J236" s="85"/>
      <c r="K236" s="85"/>
      <c r="L236" s="85"/>
      <c r="M236" s="85"/>
      <c r="N236" s="85"/>
      <c r="O236" s="85"/>
      <c r="P236" s="85"/>
      <c r="Q236" s="85"/>
      <c r="R236" s="85"/>
      <c r="S236" s="85"/>
      <c r="T236" s="85"/>
      <c r="U236" s="85"/>
      <c r="V236" s="85"/>
      <c r="W236" s="85"/>
      <c r="X236" s="85"/>
      <c r="Y236" s="85"/>
      <c r="Z236" s="85"/>
      <c r="AA236" s="85"/>
      <c r="AB236" s="85"/>
      <c r="AC236" s="85"/>
      <c r="AD236" s="85"/>
      <c r="AE236" s="85"/>
      <c r="AF236" s="85"/>
      <c r="AG236" s="85"/>
    </row>
    <row r="237">
      <c r="A237" s="85"/>
      <c r="B237" s="85"/>
      <c r="C237" s="87"/>
      <c r="D237" s="87"/>
      <c r="E237" s="85"/>
      <c r="F237" s="85"/>
      <c r="G237" s="85"/>
      <c r="H237" s="85"/>
      <c r="I237" s="85"/>
      <c r="J237" s="85"/>
      <c r="K237" s="85"/>
      <c r="L237" s="85"/>
      <c r="M237" s="85"/>
      <c r="N237" s="85"/>
      <c r="O237" s="85"/>
      <c r="P237" s="85"/>
      <c r="Q237" s="85"/>
      <c r="R237" s="85"/>
      <c r="S237" s="85"/>
      <c r="T237" s="85"/>
      <c r="U237" s="85"/>
      <c r="V237" s="85"/>
      <c r="W237" s="85"/>
      <c r="X237" s="85"/>
      <c r="Y237" s="85"/>
      <c r="Z237" s="85"/>
      <c r="AA237" s="85"/>
      <c r="AB237" s="85"/>
      <c r="AC237" s="85"/>
      <c r="AD237" s="85"/>
      <c r="AE237" s="85"/>
      <c r="AF237" s="85"/>
      <c r="AG237" s="85"/>
    </row>
    <row r="238">
      <c r="A238" s="85"/>
      <c r="B238" s="85"/>
      <c r="C238" s="87"/>
      <c r="D238" s="87"/>
      <c r="E238" s="85"/>
      <c r="F238" s="85"/>
      <c r="G238" s="85"/>
      <c r="H238" s="85"/>
      <c r="I238" s="85"/>
      <c r="J238" s="85"/>
      <c r="K238" s="85"/>
      <c r="L238" s="85"/>
      <c r="M238" s="85"/>
      <c r="N238" s="85"/>
      <c r="O238" s="85"/>
      <c r="P238" s="85"/>
      <c r="Q238" s="85"/>
      <c r="R238" s="85"/>
      <c r="S238" s="85"/>
      <c r="T238" s="85"/>
      <c r="U238" s="85"/>
      <c r="V238" s="85"/>
      <c r="W238" s="85"/>
      <c r="X238" s="85"/>
      <c r="Y238" s="85"/>
      <c r="Z238" s="85"/>
      <c r="AA238" s="85"/>
      <c r="AB238" s="85"/>
      <c r="AC238" s="85"/>
      <c r="AD238" s="85"/>
      <c r="AE238" s="85"/>
      <c r="AF238" s="85"/>
      <c r="AG238" s="85"/>
    </row>
    <row r="239">
      <c r="A239" s="85"/>
      <c r="B239" s="85"/>
      <c r="C239" s="87"/>
      <c r="D239" s="87"/>
      <c r="E239" s="85"/>
      <c r="F239" s="85"/>
      <c r="G239" s="85"/>
      <c r="H239" s="85"/>
      <c r="I239" s="85"/>
      <c r="J239" s="85"/>
      <c r="K239" s="85"/>
      <c r="L239" s="85"/>
      <c r="M239" s="85"/>
      <c r="N239" s="85"/>
      <c r="O239" s="85"/>
      <c r="P239" s="85"/>
      <c r="Q239" s="85"/>
      <c r="R239" s="85"/>
      <c r="S239" s="85"/>
      <c r="T239" s="85"/>
      <c r="U239" s="85"/>
      <c r="V239" s="85"/>
      <c r="W239" s="85"/>
      <c r="X239" s="85"/>
      <c r="Y239" s="85"/>
      <c r="Z239" s="85"/>
      <c r="AA239" s="85"/>
      <c r="AB239" s="85"/>
      <c r="AC239" s="85"/>
      <c r="AD239" s="85"/>
      <c r="AE239" s="85"/>
      <c r="AF239" s="85"/>
      <c r="AG239" s="85"/>
    </row>
    <row r="240">
      <c r="A240" s="85"/>
      <c r="B240" s="85"/>
      <c r="C240" s="87"/>
      <c r="D240" s="87"/>
      <c r="E240" s="85"/>
      <c r="F240" s="85"/>
      <c r="G240" s="85"/>
      <c r="H240" s="85"/>
      <c r="I240" s="85"/>
      <c r="J240" s="85"/>
      <c r="K240" s="85"/>
      <c r="L240" s="85"/>
      <c r="M240" s="85"/>
      <c r="N240" s="85"/>
      <c r="O240" s="85"/>
      <c r="P240" s="85"/>
      <c r="Q240" s="85"/>
      <c r="R240" s="85"/>
      <c r="S240" s="85"/>
      <c r="T240" s="85"/>
      <c r="U240" s="85"/>
      <c r="V240" s="85"/>
      <c r="W240" s="85"/>
      <c r="X240" s="85"/>
      <c r="Y240" s="85"/>
      <c r="Z240" s="85"/>
      <c r="AA240" s="85"/>
      <c r="AB240" s="85"/>
      <c r="AC240" s="85"/>
      <c r="AD240" s="85"/>
      <c r="AE240" s="85"/>
      <c r="AF240" s="85"/>
      <c r="AG240" s="85"/>
    </row>
    <row r="241">
      <c r="A241" s="85"/>
      <c r="B241" s="85"/>
      <c r="C241" s="87"/>
      <c r="D241" s="87"/>
      <c r="E241" s="85"/>
      <c r="F241" s="85"/>
      <c r="G241" s="85"/>
      <c r="H241" s="85"/>
      <c r="I241" s="85"/>
      <c r="J241" s="85"/>
      <c r="K241" s="85"/>
      <c r="L241" s="85"/>
      <c r="M241" s="85"/>
      <c r="N241" s="85"/>
      <c r="O241" s="85"/>
      <c r="P241" s="85"/>
      <c r="Q241" s="85"/>
      <c r="R241" s="85"/>
      <c r="S241" s="85"/>
      <c r="T241" s="85"/>
      <c r="U241" s="85"/>
      <c r="V241" s="85"/>
      <c r="W241" s="85"/>
      <c r="X241" s="85"/>
      <c r="Y241" s="85"/>
      <c r="Z241" s="85"/>
      <c r="AA241" s="85"/>
      <c r="AB241" s="85"/>
      <c r="AC241" s="85"/>
      <c r="AD241" s="85"/>
      <c r="AE241" s="85"/>
      <c r="AF241" s="85"/>
      <c r="AG241" s="85"/>
    </row>
    <row r="242">
      <c r="A242" s="85"/>
      <c r="B242" s="85"/>
      <c r="C242" s="87"/>
      <c r="D242" s="87"/>
      <c r="E242" s="85"/>
      <c r="F242" s="85"/>
      <c r="G242" s="85"/>
      <c r="H242" s="85"/>
      <c r="I242" s="85"/>
      <c r="J242" s="85"/>
      <c r="K242" s="85"/>
      <c r="L242" s="85"/>
      <c r="M242" s="85"/>
      <c r="N242" s="85"/>
      <c r="O242" s="85"/>
      <c r="P242" s="85"/>
      <c r="Q242" s="85"/>
      <c r="R242" s="85"/>
      <c r="S242" s="85"/>
      <c r="T242" s="85"/>
      <c r="U242" s="85"/>
      <c r="V242" s="85"/>
      <c r="W242" s="85"/>
      <c r="X242" s="85"/>
      <c r="Y242" s="85"/>
      <c r="Z242" s="85"/>
      <c r="AA242" s="85"/>
      <c r="AB242" s="85"/>
      <c r="AC242" s="85"/>
      <c r="AD242" s="85"/>
      <c r="AE242" s="85"/>
      <c r="AF242" s="85"/>
      <c r="AG242" s="85"/>
    </row>
    <row r="243">
      <c r="A243" s="85"/>
      <c r="B243" s="85"/>
      <c r="C243" s="87"/>
      <c r="D243" s="87"/>
      <c r="E243" s="85"/>
      <c r="F243" s="85"/>
      <c r="G243" s="85"/>
      <c r="H243" s="85"/>
      <c r="I243" s="85"/>
      <c r="J243" s="85"/>
      <c r="K243" s="85"/>
      <c r="L243" s="85"/>
      <c r="M243" s="85"/>
      <c r="N243" s="85"/>
      <c r="O243" s="85"/>
      <c r="P243" s="85"/>
      <c r="Q243" s="85"/>
      <c r="R243" s="85"/>
      <c r="S243" s="85"/>
      <c r="T243" s="85"/>
      <c r="U243" s="85"/>
      <c r="V243" s="85"/>
      <c r="W243" s="85"/>
      <c r="X243" s="85"/>
      <c r="Y243" s="85"/>
      <c r="Z243" s="85"/>
      <c r="AA243" s="85"/>
      <c r="AB243" s="85"/>
      <c r="AC243" s="85"/>
      <c r="AD243" s="85"/>
      <c r="AE243" s="85"/>
      <c r="AF243" s="85"/>
      <c r="AG243" s="85"/>
    </row>
    <row r="244">
      <c r="A244" s="85"/>
      <c r="B244" s="85"/>
      <c r="C244" s="87"/>
      <c r="D244" s="87"/>
      <c r="E244" s="85"/>
      <c r="F244" s="85"/>
      <c r="G244" s="85"/>
      <c r="H244" s="85"/>
      <c r="I244" s="85"/>
      <c r="J244" s="85"/>
      <c r="K244" s="85"/>
      <c r="L244" s="85"/>
      <c r="M244" s="85"/>
      <c r="N244" s="85"/>
      <c r="O244" s="85"/>
      <c r="P244" s="85"/>
      <c r="Q244" s="85"/>
      <c r="R244" s="85"/>
      <c r="S244" s="85"/>
      <c r="T244" s="85"/>
      <c r="U244" s="85"/>
      <c r="V244" s="85"/>
      <c r="W244" s="85"/>
      <c r="X244" s="85"/>
      <c r="Y244" s="85"/>
      <c r="Z244" s="85"/>
      <c r="AA244" s="85"/>
      <c r="AB244" s="85"/>
      <c r="AC244" s="85"/>
      <c r="AD244" s="85"/>
      <c r="AE244" s="85"/>
      <c r="AF244" s="85"/>
      <c r="AG244" s="85"/>
    </row>
    <row r="245">
      <c r="A245" s="85"/>
      <c r="B245" s="85"/>
      <c r="C245" s="87"/>
      <c r="D245" s="87"/>
      <c r="E245" s="85"/>
      <c r="F245" s="85"/>
      <c r="G245" s="85"/>
      <c r="H245" s="85"/>
      <c r="I245" s="85"/>
      <c r="J245" s="85"/>
      <c r="K245" s="85"/>
      <c r="L245" s="85"/>
      <c r="M245" s="85"/>
      <c r="N245" s="85"/>
      <c r="O245" s="85"/>
      <c r="P245" s="85"/>
      <c r="Q245" s="85"/>
      <c r="R245" s="85"/>
      <c r="S245" s="85"/>
      <c r="T245" s="85"/>
      <c r="U245" s="85"/>
      <c r="V245" s="85"/>
      <c r="W245" s="85"/>
      <c r="X245" s="85"/>
      <c r="Y245" s="85"/>
      <c r="Z245" s="85"/>
      <c r="AA245" s="85"/>
      <c r="AB245" s="85"/>
      <c r="AC245" s="85"/>
      <c r="AD245" s="85"/>
      <c r="AE245" s="85"/>
      <c r="AF245" s="85"/>
      <c r="AG245" s="85"/>
    </row>
    <row r="246">
      <c r="A246" s="85"/>
      <c r="B246" s="85"/>
      <c r="C246" s="87"/>
      <c r="D246" s="87"/>
      <c r="E246" s="85"/>
      <c r="F246" s="85"/>
      <c r="G246" s="85"/>
      <c r="H246" s="85"/>
      <c r="I246" s="85"/>
      <c r="J246" s="85"/>
      <c r="K246" s="85"/>
      <c r="L246" s="85"/>
      <c r="M246" s="85"/>
      <c r="N246" s="85"/>
      <c r="O246" s="85"/>
      <c r="P246" s="85"/>
      <c r="Q246" s="85"/>
      <c r="R246" s="85"/>
      <c r="S246" s="85"/>
      <c r="T246" s="85"/>
      <c r="U246" s="85"/>
      <c r="V246" s="85"/>
      <c r="W246" s="85"/>
      <c r="X246" s="85"/>
      <c r="Y246" s="85"/>
      <c r="Z246" s="85"/>
      <c r="AA246" s="85"/>
      <c r="AB246" s="85"/>
      <c r="AC246" s="85"/>
      <c r="AD246" s="85"/>
      <c r="AE246" s="85"/>
      <c r="AF246" s="85"/>
      <c r="AG246" s="85"/>
    </row>
    <row r="247">
      <c r="A247" s="85"/>
      <c r="B247" s="85"/>
      <c r="C247" s="87"/>
      <c r="D247" s="87"/>
      <c r="E247" s="85"/>
      <c r="F247" s="85"/>
      <c r="G247" s="85"/>
      <c r="H247" s="85"/>
      <c r="I247" s="85"/>
      <c r="J247" s="85"/>
      <c r="K247" s="85"/>
      <c r="L247" s="85"/>
      <c r="M247" s="85"/>
      <c r="N247" s="85"/>
      <c r="O247" s="85"/>
      <c r="P247" s="85"/>
      <c r="Q247" s="85"/>
      <c r="R247" s="85"/>
      <c r="S247" s="85"/>
      <c r="T247" s="85"/>
      <c r="U247" s="85"/>
      <c r="V247" s="85"/>
      <c r="W247" s="85"/>
      <c r="X247" s="85"/>
      <c r="Y247" s="85"/>
      <c r="Z247" s="85"/>
      <c r="AA247" s="85"/>
      <c r="AB247" s="85"/>
      <c r="AC247" s="85"/>
      <c r="AD247" s="85"/>
      <c r="AE247" s="85"/>
      <c r="AF247" s="85"/>
      <c r="AG247" s="85"/>
    </row>
    <row r="248">
      <c r="A248" s="85"/>
      <c r="B248" s="85"/>
      <c r="C248" s="87"/>
      <c r="D248" s="87"/>
      <c r="E248" s="85"/>
      <c r="F248" s="85"/>
      <c r="G248" s="85"/>
      <c r="H248" s="85"/>
      <c r="I248" s="85"/>
      <c r="J248" s="85"/>
      <c r="K248" s="85"/>
      <c r="L248" s="85"/>
      <c r="M248" s="85"/>
      <c r="N248" s="85"/>
      <c r="O248" s="85"/>
      <c r="P248" s="85"/>
      <c r="Q248" s="85"/>
      <c r="R248" s="85"/>
      <c r="S248" s="85"/>
      <c r="T248" s="85"/>
      <c r="U248" s="85"/>
      <c r="V248" s="85"/>
      <c r="W248" s="85"/>
      <c r="X248" s="85"/>
      <c r="Y248" s="85"/>
      <c r="Z248" s="85"/>
      <c r="AA248" s="85"/>
      <c r="AB248" s="85"/>
      <c r="AC248" s="85"/>
      <c r="AD248" s="85"/>
      <c r="AE248" s="85"/>
      <c r="AF248" s="85"/>
      <c r="AG248" s="85"/>
    </row>
    <row r="249">
      <c r="A249" s="85"/>
      <c r="B249" s="85"/>
      <c r="C249" s="87"/>
      <c r="D249" s="87"/>
      <c r="E249" s="85"/>
      <c r="F249" s="85"/>
      <c r="G249" s="85"/>
      <c r="H249" s="85"/>
      <c r="I249" s="85"/>
      <c r="J249" s="85"/>
      <c r="K249" s="85"/>
      <c r="L249" s="85"/>
      <c r="M249" s="85"/>
      <c r="N249" s="85"/>
      <c r="O249" s="85"/>
      <c r="P249" s="85"/>
      <c r="Q249" s="85"/>
      <c r="R249" s="85"/>
      <c r="S249" s="85"/>
      <c r="T249" s="85"/>
      <c r="U249" s="85"/>
      <c r="V249" s="85"/>
      <c r="W249" s="85"/>
      <c r="X249" s="85"/>
      <c r="Y249" s="85"/>
      <c r="Z249" s="85"/>
      <c r="AA249" s="85"/>
      <c r="AB249" s="85"/>
      <c r="AC249" s="85"/>
      <c r="AD249" s="85"/>
      <c r="AE249" s="85"/>
      <c r="AF249" s="85"/>
      <c r="AG249" s="85"/>
    </row>
    <row r="250">
      <c r="A250" s="85"/>
      <c r="B250" s="85"/>
      <c r="C250" s="87"/>
      <c r="D250" s="87"/>
      <c r="E250" s="85"/>
      <c r="F250" s="85"/>
      <c r="G250" s="85"/>
      <c r="H250" s="85"/>
      <c r="I250" s="85"/>
      <c r="J250" s="85"/>
      <c r="K250" s="85"/>
      <c r="L250" s="85"/>
      <c r="M250" s="85"/>
      <c r="N250" s="85"/>
      <c r="O250" s="85"/>
      <c r="P250" s="85"/>
      <c r="Q250" s="85"/>
      <c r="R250" s="85"/>
      <c r="S250" s="85"/>
      <c r="T250" s="85"/>
      <c r="U250" s="85"/>
      <c r="V250" s="85"/>
      <c r="W250" s="85"/>
      <c r="X250" s="85"/>
      <c r="Y250" s="85"/>
      <c r="Z250" s="85"/>
      <c r="AA250" s="85"/>
      <c r="AB250" s="85"/>
      <c r="AC250" s="85"/>
      <c r="AD250" s="85"/>
      <c r="AE250" s="85"/>
      <c r="AF250" s="85"/>
      <c r="AG250" s="85"/>
    </row>
    <row r="251">
      <c r="A251" s="85"/>
      <c r="B251" s="85"/>
      <c r="C251" s="87"/>
      <c r="D251" s="87"/>
      <c r="E251" s="85"/>
      <c r="F251" s="85"/>
      <c r="G251" s="85"/>
      <c r="H251" s="85"/>
      <c r="I251" s="85"/>
      <c r="J251" s="85"/>
      <c r="K251" s="85"/>
      <c r="L251" s="85"/>
      <c r="M251" s="85"/>
      <c r="N251" s="85"/>
      <c r="O251" s="85"/>
      <c r="P251" s="85"/>
      <c r="Q251" s="85"/>
      <c r="R251" s="85"/>
      <c r="S251" s="85"/>
      <c r="T251" s="85"/>
      <c r="U251" s="85"/>
      <c r="V251" s="85"/>
      <c r="W251" s="85"/>
      <c r="X251" s="85"/>
      <c r="Y251" s="85"/>
      <c r="Z251" s="85"/>
      <c r="AA251" s="85"/>
      <c r="AB251" s="85"/>
      <c r="AC251" s="85"/>
      <c r="AD251" s="85"/>
      <c r="AE251" s="85"/>
      <c r="AF251" s="85"/>
      <c r="AG251" s="85"/>
    </row>
    <row r="252">
      <c r="A252" s="85"/>
      <c r="B252" s="85"/>
      <c r="C252" s="87"/>
      <c r="D252" s="87"/>
      <c r="E252" s="85"/>
      <c r="F252" s="85"/>
      <c r="G252" s="85"/>
      <c r="H252" s="85"/>
      <c r="I252" s="85"/>
      <c r="J252" s="85"/>
      <c r="K252" s="85"/>
      <c r="L252" s="85"/>
      <c r="M252" s="85"/>
      <c r="N252" s="85"/>
      <c r="O252" s="85"/>
      <c r="P252" s="85"/>
      <c r="Q252" s="85"/>
      <c r="R252" s="85"/>
      <c r="S252" s="85"/>
      <c r="T252" s="85"/>
      <c r="U252" s="85"/>
      <c r="V252" s="85"/>
      <c r="W252" s="85"/>
      <c r="X252" s="85"/>
      <c r="Y252" s="85"/>
      <c r="Z252" s="85"/>
      <c r="AA252" s="85"/>
      <c r="AB252" s="85"/>
      <c r="AC252" s="85"/>
      <c r="AD252" s="85"/>
      <c r="AE252" s="85"/>
      <c r="AF252" s="85"/>
      <c r="AG252" s="85"/>
    </row>
    <row r="253">
      <c r="A253" s="85"/>
      <c r="B253" s="85"/>
      <c r="C253" s="87"/>
      <c r="D253" s="87"/>
      <c r="E253" s="85"/>
      <c r="F253" s="85"/>
      <c r="G253" s="85"/>
      <c r="H253" s="85"/>
      <c r="I253" s="85"/>
      <c r="J253" s="85"/>
      <c r="K253" s="85"/>
      <c r="L253" s="85"/>
      <c r="M253" s="85"/>
      <c r="N253" s="85"/>
      <c r="O253" s="85"/>
      <c r="P253" s="85"/>
      <c r="Q253" s="85"/>
      <c r="R253" s="85"/>
      <c r="S253" s="85"/>
      <c r="T253" s="85"/>
      <c r="U253" s="85"/>
      <c r="V253" s="85"/>
      <c r="W253" s="85"/>
      <c r="X253" s="85"/>
      <c r="Y253" s="85"/>
      <c r="Z253" s="85"/>
      <c r="AA253" s="85"/>
      <c r="AB253" s="85"/>
      <c r="AC253" s="85"/>
      <c r="AD253" s="85"/>
      <c r="AE253" s="85"/>
      <c r="AF253" s="85"/>
      <c r="AG253" s="85"/>
    </row>
    <row r="254">
      <c r="A254" s="85"/>
      <c r="B254" s="85"/>
      <c r="C254" s="87"/>
      <c r="D254" s="87"/>
      <c r="E254" s="85"/>
      <c r="F254" s="85"/>
      <c r="G254" s="85"/>
      <c r="H254" s="85"/>
      <c r="I254" s="85"/>
      <c r="J254" s="85"/>
      <c r="K254" s="85"/>
      <c r="L254" s="85"/>
      <c r="M254" s="85"/>
      <c r="N254" s="85"/>
      <c r="O254" s="85"/>
      <c r="P254" s="85"/>
      <c r="Q254" s="85"/>
      <c r="R254" s="85"/>
      <c r="S254" s="85"/>
      <c r="T254" s="85"/>
      <c r="U254" s="85"/>
      <c r="V254" s="85"/>
      <c r="W254" s="85"/>
      <c r="X254" s="85"/>
      <c r="Y254" s="85"/>
      <c r="Z254" s="85"/>
      <c r="AA254" s="85"/>
      <c r="AB254" s="85"/>
      <c r="AC254" s="85"/>
      <c r="AD254" s="85"/>
      <c r="AE254" s="85"/>
      <c r="AF254" s="85"/>
      <c r="AG254" s="85"/>
    </row>
    <row r="255">
      <c r="A255" s="85"/>
      <c r="B255" s="85"/>
      <c r="C255" s="87"/>
      <c r="D255" s="87"/>
      <c r="E255" s="85"/>
      <c r="F255" s="85"/>
      <c r="G255" s="85"/>
      <c r="H255" s="85"/>
      <c r="I255" s="85"/>
      <c r="J255" s="85"/>
      <c r="K255" s="85"/>
      <c r="L255" s="85"/>
      <c r="M255" s="85"/>
      <c r="N255" s="85"/>
      <c r="O255" s="85"/>
      <c r="P255" s="85"/>
      <c r="Q255" s="85"/>
      <c r="R255" s="85"/>
      <c r="S255" s="85"/>
      <c r="T255" s="85"/>
      <c r="U255" s="85"/>
      <c r="V255" s="85"/>
      <c r="W255" s="85"/>
      <c r="X255" s="85"/>
      <c r="Y255" s="85"/>
      <c r="Z255" s="85"/>
      <c r="AA255" s="85"/>
      <c r="AB255" s="85"/>
      <c r="AC255" s="85"/>
      <c r="AD255" s="85"/>
      <c r="AE255" s="85"/>
      <c r="AF255" s="85"/>
      <c r="AG255" s="85"/>
    </row>
    <row r="256">
      <c r="A256" s="85"/>
      <c r="B256" s="85"/>
      <c r="C256" s="87"/>
      <c r="D256" s="87"/>
      <c r="E256" s="85"/>
      <c r="F256" s="85"/>
      <c r="G256" s="85"/>
      <c r="H256" s="85"/>
      <c r="I256" s="85"/>
      <c r="J256" s="85"/>
      <c r="K256" s="85"/>
      <c r="L256" s="85"/>
      <c r="M256" s="85"/>
      <c r="N256" s="85"/>
      <c r="O256" s="85"/>
      <c r="P256" s="85"/>
      <c r="Q256" s="85"/>
      <c r="R256" s="85"/>
      <c r="S256" s="85"/>
      <c r="T256" s="85"/>
      <c r="U256" s="85"/>
      <c r="V256" s="85"/>
      <c r="W256" s="85"/>
      <c r="X256" s="85"/>
      <c r="Y256" s="85"/>
      <c r="Z256" s="85"/>
      <c r="AA256" s="85"/>
      <c r="AB256" s="85"/>
      <c r="AC256" s="85"/>
      <c r="AD256" s="85"/>
      <c r="AE256" s="85"/>
      <c r="AF256" s="85"/>
      <c r="AG256" s="85"/>
    </row>
    <row r="257">
      <c r="A257" s="85"/>
      <c r="B257" s="85"/>
      <c r="C257" s="87"/>
      <c r="D257" s="87"/>
      <c r="E257" s="85"/>
      <c r="F257" s="85"/>
      <c r="G257" s="85"/>
      <c r="H257" s="85"/>
      <c r="I257" s="85"/>
      <c r="J257" s="85"/>
      <c r="K257" s="85"/>
      <c r="L257" s="85"/>
      <c r="M257" s="85"/>
      <c r="N257" s="85"/>
      <c r="O257" s="85"/>
      <c r="P257" s="85"/>
      <c r="Q257" s="85"/>
      <c r="R257" s="85"/>
      <c r="S257" s="85"/>
      <c r="T257" s="85"/>
      <c r="U257" s="85"/>
      <c r="V257" s="85"/>
      <c r="W257" s="85"/>
      <c r="X257" s="85"/>
      <c r="Y257" s="85"/>
      <c r="Z257" s="85"/>
      <c r="AA257" s="85"/>
      <c r="AB257" s="85"/>
      <c r="AC257" s="85"/>
      <c r="AD257" s="85"/>
      <c r="AE257" s="85"/>
      <c r="AF257" s="85"/>
      <c r="AG257" s="85"/>
    </row>
    <row r="258">
      <c r="A258" s="85"/>
      <c r="B258" s="85"/>
      <c r="C258" s="87"/>
      <c r="D258" s="87"/>
      <c r="E258" s="85"/>
      <c r="F258" s="85"/>
      <c r="G258" s="85"/>
      <c r="H258" s="85"/>
      <c r="I258" s="85"/>
      <c r="J258" s="85"/>
      <c r="K258" s="85"/>
      <c r="L258" s="85"/>
      <c r="M258" s="85"/>
      <c r="N258" s="85"/>
      <c r="O258" s="85"/>
      <c r="P258" s="85"/>
      <c r="Q258" s="85"/>
      <c r="R258" s="85"/>
      <c r="S258" s="85"/>
      <c r="T258" s="85"/>
      <c r="U258" s="85"/>
      <c r="V258" s="85"/>
      <c r="W258" s="85"/>
      <c r="X258" s="85"/>
      <c r="Y258" s="85"/>
      <c r="Z258" s="85"/>
      <c r="AA258" s="85"/>
      <c r="AB258" s="85"/>
      <c r="AC258" s="85"/>
      <c r="AD258" s="85"/>
      <c r="AE258" s="85"/>
      <c r="AF258" s="85"/>
      <c r="AG258" s="85"/>
    </row>
    <row r="259">
      <c r="A259" s="85"/>
      <c r="B259" s="85"/>
      <c r="C259" s="87"/>
      <c r="D259" s="87"/>
      <c r="E259" s="85"/>
      <c r="F259" s="85"/>
      <c r="G259" s="85"/>
      <c r="H259" s="85"/>
      <c r="I259" s="85"/>
      <c r="J259" s="85"/>
      <c r="K259" s="85"/>
      <c r="L259" s="85"/>
      <c r="M259" s="85"/>
      <c r="N259" s="85"/>
      <c r="O259" s="85"/>
      <c r="P259" s="85"/>
      <c r="Q259" s="85"/>
      <c r="R259" s="85"/>
      <c r="S259" s="85"/>
      <c r="T259" s="85"/>
      <c r="U259" s="85"/>
      <c r="V259" s="85"/>
      <c r="W259" s="85"/>
      <c r="X259" s="85"/>
      <c r="Y259" s="85"/>
      <c r="Z259" s="85"/>
      <c r="AA259" s="85"/>
      <c r="AB259" s="85"/>
      <c r="AC259" s="85"/>
      <c r="AD259" s="85"/>
      <c r="AE259" s="85"/>
      <c r="AF259" s="85"/>
      <c r="AG259" s="85"/>
    </row>
    <row r="260">
      <c r="A260" s="85"/>
      <c r="B260" s="85"/>
      <c r="C260" s="87"/>
      <c r="D260" s="87"/>
      <c r="E260" s="85"/>
      <c r="F260" s="85"/>
      <c r="G260" s="85"/>
      <c r="H260" s="85"/>
      <c r="I260" s="85"/>
      <c r="J260" s="85"/>
      <c r="K260" s="85"/>
      <c r="L260" s="85"/>
      <c r="M260" s="85"/>
      <c r="N260" s="85"/>
      <c r="O260" s="85"/>
      <c r="P260" s="85"/>
      <c r="Q260" s="85"/>
      <c r="R260" s="85"/>
      <c r="S260" s="85"/>
      <c r="T260" s="85"/>
      <c r="U260" s="85"/>
      <c r="V260" s="85"/>
      <c r="W260" s="85"/>
      <c r="X260" s="85"/>
      <c r="Y260" s="85"/>
      <c r="Z260" s="85"/>
      <c r="AA260" s="85"/>
      <c r="AB260" s="85"/>
      <c r="AC260" s="85"/>
      <c r="AD260" s="85"/>
      <c r="AE260" s="85"/>
      <c r="AF260" s="85"/>
      <c r="AG260" s="85"/>
    </row>
    <row r="261">
      <c r="A261" s="85"/>
      <c r="B261" s="85"/>
      <c r="C261" s="87"/>
      <c r="D261" s="87"/>
      <c r="E261" s="85"/>
      <c r="F261" s="85"/>
      <c r="G261" s="85"/>
      <c r="H261" s="85"/>
      <c r="I261" s="85"/>
      <c r="J261" s="85"/>
      <c r="K261" s="85"/>
      <c r="L261" s="85"/>
      <c r="M261" s="85"/>
      <c r="N261" s="85"/>
      <c r="O261" s="85"/>
      <c r="P261" s="85"/>
      <c r="Q261" s="85"/>
      <c r="R261" s="85"/>
      <c r="S261" s="85"/>
      <c r="T261" s="85"/>
      <c r="U261" s="85"/>
      <c r="V261" s="85"/>
      <c r="W261" s="85"/>
      <c r="X261" s="85"/>
      <c r="Y261" s="85"/>
      <c r="Z261" s="85"/>
      <c r="AA261" s="85"/>
      <c r="AB261" s="85"/>
      <c r="AC261" s="85"/>
      <c r="AD261" s="85"/>
      <c r="AE261" s="85"/>
      <c r="AF261" s="85"/>
      <c r="AG261" s="85"/>
    </row>
    <row r="262">
      <c r="A262" s="85"/>
      <c r="B262" s="85"/>
      <c r="C262" s="87"/>
      <c r="D262" s="87"/>
      <c r="E262" s="85"/>
      <c r="F262" s="85"/>
      <c r="G262" s="85"/>
      <c r="H262" s="85"/>
      <c r="I262" s="85"/>
      <c r="J262" s="85"/>
      <c r="K262" s="85"/>
      <c r="L262" s="85"/>
      <c r="M262" s="85"/>
      <c r="N262" s="85"/>
      <c r="O262" s="85"/>
      <c r="P262" s="85"/>
      <c r="Q262" s="85"/>
      <c r="R262" s="85"/>
      <c r="S262" s="85"/>
      <c r="T262" s="85"/>
      <c r="U262" s="85"/>
      <c r="V262" s="85"/>
      <c r="W262" s="85"/>
      <c r="X262" s="85"/>
      <c r="Y262" s="85"/>
      <c r="Z262" s="85"/>
      <c r="AA262" s="85"/>
      <c r="AB262" s="85"/>
      <c r="AC262" s="85"/>
      <c r="AD262" s="85"/>
      <c r="AE262" s="85"/>
      <c r="AF262" s="85"/>
      <c r="AG262" s="85"/>
    </row>
    <row r="263">
      <c r="A263" s="85"/>
      <c r="B263" s="85"/>
      <c r="C263" s="87"/>
      <c r="D263" s="87"/>
      <c r="E263" s="85"/>
      <c r="F263" s="85"/>
      <c r="G263" s="85"/>
      <c r="H263" s="85"/>
      <c r="I263" s="85"/>
      <c r="J263" s="85"/>
      <c r="K263" s="85"/>
      <c r="L263" s="85"/>
      <c r="M263" s="85"/>
      <c r="N263" s="85"/>
      <c r="O263" s="85"/>
      <c r="P263" s="85"/>
      <c r="Q263" s="85"/>
      <c r="R263" s="85"/>
      <c r="S263" s="85"/>
      <c r="T263" s="85"/>
      <c r="U263" s="85"/>
      <c r="V263" s="85"/>
      <c r="W263" s="85"/>
      <c r="X263" s="85"/>
      <c r="Y263" s="85"/>
      <c r="Z263" s="85"/>
      <c r="AA263" s="85"/>
      <c r="AB263" s="85"/>
      <c r="AC263" s="85"/>
      <c r="AD263" s="85"/>
      <c r="AE263" s="85"/>
      <c r="AF263" s="85"/>
      <c r="AG263" s="85"/>
    </row>
    <row r="264">
      <c r="A264" s="85"/>
      <c r="B264" s="85"/>
      <c r="C264" s="87"/>
      <c r="D264" s="87"/>
      <c r="E264" s="85"/>
      <c r="F264" s="85"/>
      <c r="G264" s="85"/>
      <c r="H264" s="85"/>
      <c r="I264" s="85"/>
      <c r="J264" s="85"/>
      <c r="K264" s="85"/>
      <c r="L264" s="85"/>
      <c r="M264" s="85"/>
      <c r="N264" s="85"/>
      <c r="O264" s="85"/>
      <c r="P264" s="85"/>
      <c r="Q264" s="85"/>
      <c r="R264" s="85"/>
      <c r="S264" s="85"/>
      <c r="T264" s="85"/>
      <c r="U264" s="85"/>
      <c r="V264" s="85"/>
      <c r="W264" s="85"/>
      <c r="X264" s="85"/>
      <c r="Y264" s="85"/>
      <c r="Z264" s="85"/>
      <c r="AA264" s="85"/>
      <c r="AB264" s="85"/>
      <c r="AC264" s="85"/>
      <c r="AD264" s="85"/>
      <c r="AE264" s="85"/>
      <c r="AF264" s="85"/>
      <c r="AG264" s="85"/>
    </row>
    <row r="265">
      <c r="A265" s="85"/>
      <c r="B265" s="85"/>
      <c r="C265" s="87"/>
      <c r="D265" s="87"/>
      <c r="E265" s="85"/>
      <c r="F265" s="85"/>
      <c r="G265" s="85"/>
      <c r="H265" s="85"/>
      <c r="I265" s="85"/>
      <c r="J265" s="85"/>
      <c r="K265" s="85"/>
      <c r="L265" s="85"/>
      <c r="M265" s="85"/>
      <c r="N265" s="85"/>
      <c r="O265" s="85"/>
      <c r="P265" s="85"/>
      <c r="Q265" s="85"/>
      <c r="R265" s="85"/>
      <c r="S265" s="85"/>
      <c r="T265" s="85"/>
      <c r="U265" s="85"/>
      <c r="V265" s="85"/>
      <c r="W265" s="85"/>
      <c r="X265" s="85"/>
      <c r="Y265" s="85"/>
      <c r="Z265" s="85"/>
      <c r="AA265" s="85"/>
      <c r="AB265" s="85"/>
      <c r="AC265" s="85"/>
      <c r="AD265" s="85"/>
      <c r="AE265" s="85"/>
      <c r="AF265" s="85"/>
      <c r="AG265" s="85"/>
    </row>
    <row r="266">
      <c r="A266" s="85"/>
      <c r="B266" s="85"/>
      <c r="C266" s="87"/>
      <c r="D266" s="87"/>
      <c r="E266" s="85"/>
      <c r="F266" s="85"/>
      <c r="G266" s="85"/>
      <c r="H266" s="85"/>
      <c r="I266" s="85"/>
      <c r="J266" s="85"/>
      <c r="K266" s="85"/>
      <c r="L266" s="85"/>
      <c r="M266" s="85"/>
      <c r="N266" s="85"/>
      <c r="O266" s="85"/>
      <c r="P266" s="85"/>
      <c r="Q266" s="85"/>
      <c r="R266" s="85"/>
      <c r="S266" s="85"/>
      <c r="T266" s="85"/>
      <c r="U266" s="85"/>
      <c r="V266" s="85"/>
      <c r="W266" s="85"/>
      <c r="X266" s="85"/>
      <c r="Y266" s="85"/>
      <c r="Z266" s="85"/>
      <c r="AA266" s="85"/>
      <c r="AB266" s="85"/>
      <c r="AC266" s="85"/>
      <c r="AD266" s="85"/>
      <c r="AE266" s="85"/>
      <c r="AF266" s="85"/>
      <c r="AG266" s="85"/>
    </row>
    <row r="267">
      <c r="A267" s="85"/>
      <c r="B267" s="85"/>
      <c r="C267" s="87"/>
      <c r="D267" s="87"/>
      <c r="E267" s="85"/>
      <c r="F267" s="85"/>
      <c r="G267" s="85"/>
      <c r="H267" s="85"/>
      <c r="I267" s="85"/>
      <c r="J267" s="85"/>
      <c r="K267" s="85"/>
      <c r="L267" s="85"/>
      <c r="M267" s="85"/>
      <c r="N267" s="85"/>
      <c r="O267" s="85"/>
      <c r="P267" s="85"/>
      <c r="Q267" s="85"/>
      <c r="R267" s="85"/>
      <c r="S267" s="85"/>
      <c r="T267" s="85"/>
      <c r="U267" s="85"/>
      <c r="V267" s="85"/>
      <c r="W267" s="85"/>
      <c r="X267" s="85"/>
      <c r="Y267" s="85"/>
      <c r="Z267" s="85"/>
      <c r="AA267" s="85"/>
      <c r="AB267" s="85"/>
      <c r="AC267" s="85"/>
      <c r="AD267" s="85"/>
      <c r="AE267" s="85"/>
      <c r="AF267" s="85"/>
      <c r="AG267" s="85"/>
    </row>
    <row r="268">
      <c r="A268" s="85"/>
      <c r="B268" s="85"/>
      <c r="C268" s="87"/>
      <c r="D268" s="87"/>
      <c r="E268" s="85"/>
      <c r="F268" s="85"/>
      <c r="G268" s="85"/>
      <c r="H268" s="85"/>
      <c r="I268" s="85"/>
      <c r="J268" s="85"/>
      <c r="K268" s="85"/>
      <c r="L268" s="85"/>
      <c r="M268" s="85"/>
      <c r="N268" s="85"/>
      <c r="O268" s="85"/>
      <c r="P268" s="85"/>
      <c r="Q268" s="85"/>
      <c r="R268" s="85"/>
      <c r="S268" s="85"/>
      <c r="T268" s="85"/>
      <c r="U268" s="85"/>
      <c r="V268" s="85"/>
      <c r="W268" s="85"/>
      <c r="X268" s="85"/>
      <c r="Y268" s="85"/>
      <c r="Z268" s="85"/>
      <c r="AA268" s="85"/>
      <c r="AB268" s="85"/>
      <c r="AC268" s="85"/>
      <c r="AD268" s="85"/>
      <c r="AE268" s="85"/>
      <c r="AF268" s="85"/>
      <c r="AG268" s="85"/>
    </row>
    <row r="269">
      <c r="A269" s="85"/>
      <c r="B269" s="85"/>
      <c r="C269" s="87"/>
      <c r="D269" s="87"/>
      <c r="E269" s="85"/>
      <c r="F269" s="85"/>
      <c r="G269" s="85"/>
      <c r="H269" s="85"/>
      <c r="I269" s="85"/>
      <c r="J269" s="85"/>
      <c r="K269" s="85"/>
      <c r="L269" s="85"/>
      <c r="M269" s="85"/>
      <c r="N269" s="85"/>
      <c r="O269" s="85"/>
      <c r="P269" s="85"/>
      <c r="Q269" s="85"/>
      <c r="R269" s="85"/>
      <c r="S269" s="85"/>
      <c r="T269" s="85"/>
      <c r="U269" s="85"/>
      <c r="V269" s="85"/>
      <c r="W269" s="85"/>
      <c r="X269" s="85"/>
      <c r="Y269" s="85"/>
      <c r="Z269" s="85"/>
      <c r="AA269" s="85"/>
      <c r="AB269" s="85"/>
      <c r="AC269" s="85"/>
      <c r="AD269" s="85"/>
      <c r="AE269" s="85"/>
      <c r="AF269" s="85"/>
      <c r="AG269" s="85"/>
    </row>
    <row r="270">
      <c r="A270" s="85"/>
      <c r="B270" s="85"/>
      <c r="C270" s="87"/>
      <c r="D270" s="87"/>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c r="AF270" s="85"/>
      <c r="AG270" s="85"/>
    </row>
    <row r="271">
      <c r="A271" s="85"/>
      <c r="B271" s="85"/>
      <c r="C271" s="87"/>
      <c r="D271" s="87"/>
      <c r="E271" s="85"/>
      <c r="F271" s="85"/>
      <c r="G271" s="85"/>
      <c r="H271" s="85"/>
      <c r="I271" s="85"/>
      <c r="J271" s="85"/>
      <c r="K271" s="85"/>
      <c r="L271" s="85"/>
      <c r="M271" s="85"/>
      <c r="N271" s="85"/>
      <c r="O271" s="85"/>
      <c r="P271" s="85"/>
      <c r="Q271" s="85"/>
      <c r="R271" s="85"/>
      <c r="S271" s="85"/>
      <c r="T271" s="85"/>
      <c r="U271" s="85"/>
      <c r="V271" s="85"/>
      <c r="W271" s="85"/>
      <c r="X271" s="85"/>
      <c r="Y271" s="85"/>
      <c r="Z271" s="85"/>
      <c r="AA271" s="85"/>
      <c r="AB271" s="85"/>
      <c r="AC271" s="85"/>
      <c r="AD271" s="85"/>
      <c r="AE271" s="85"/>
      <c r="AF271" s="85"/>
      <c r="AG271" s="85"/>
    </row>
    <row r="272">
      <c r="A272" s="85"/>
      <c r="B272" s="85"/>
      <c r="C272" s="87"/>
      <c r="D272" s="87"/>
      <c r="E272" s="85"/>
      <c r="F272" s="85"/>
      <c r="G272" s="85"/>
      <c r="H272" s="85"/>
      <c r="I272" s="85"/>
      <c r="J272" s="85"/>
      <c r="K272" s="85"/>
      <c r="L272" s="85"/>
      <c r="M272" s="85"/>
      <c r="N272" s="85"/>
      <c r="O272" s="85"/>
      <c r="P272" s="85"/>
      <c r="Q272" s="85"/>
      <c r="R272" s="85"/>
      <c r="S272" s="85"/>
      <c r="T272" s="85"/>
      <c r="U272" s="85"/>
      <c r="V272" s="85"/>
      <c r="W272" s="85"/>
      <c r="X272" s="85"/>
      <c r="Y272" s="85"/>
      <c r="Z272" s="85"/>
      <c r="AA272" s="85"/>
      <c r="AB272" s="85"/>
      <c r="AC272" s="85"/>
      <c r="AD272" s="85"/>
      <c r="AE272" s="85"/>
      <c r="AF272" s="85"/>
      <c r="AG272" s="85"/>
    </row>
    <row r="273">
      <c r="A273" s="85"/>
      <c r="B273" s="85"/>
      <c r="C273" s="87"/>
      <c r="D273" s="87"/>
      <c r="E273" s="85"/>
      <c r="F273" s="85"/>
      <c r="G273" s="85"/>
      <c r="H273" s="85"/>
      <c r="I273" s="85"/>
      <c r="J273" s="85"/>
      <c r="K273" s="85"/>
      <c r="L273" s="85"/>
      <c r="M273" s="85"/>
      <c r="N273" s="85"/>
      <c r="O273" s="85"/>
      <c r="P273" s="85"/>
      <c r="Q273" s="85"/>
      <c r="R273" s="85"/>
      <c r="S273" s="85"/>
      <c r="T273" s="85"/>
      <c r="U273" s="85"/>
      <c r="V273" s="85"/>
      <c r="W273" s="85"/>
      <c r="X273" s="85"/>
      <c r="Y273" s="85"/>
      <c r="Z273" s="85"/>
      <c r="AA273" s="85"/>
      <c r="AB273" s="85"/>
      <c r="AC273" s="85"/>
      <c r="AD273" s="85"/>
      <c r="AE273" s="85"/>
      <c r="AF273" s="85"/>
      <c r="AG273" s="85"/>
    </row>
    <row r="274">
      <c r="A274" s="85"/>
      <c r="B274" s="85"/>
      <c r="C274" s="87"/>
      <c r="D274" s="87"/>
      <c r="E274" s="85"/>
      <c r="F274" s="85"/>
      <c r="G274" s="85"/>
      <c r="H274" s="85"/>
      <c r="I274" s="85"/>
      <c r="J274" s="85"/>
      <c r="K274" s="85"/>
      <c r="L274" s="85"/>
      <c r="M274" s="85"/>
      <c r="N274" s="85"/>
      <c r="O274" s="85"/>
      <c r="P274" s="85"/>
      <c r="Q274" s="85"/>
      <c r="R274" s="85"/>
      <c r="S274" s="85"/>
      <c r="T274" s="85"/>
      <c r="U274" s="85"/>
      <c r="V274" s="85"/>
      <c r="W274" s="85"/>
      <c r="X274" s="85"/>
      <c r="Y274" s="85"/>
      <c r="Z274" s="85"/>
      <c r="AA274" s="85"/>
      <c r="AB274" s="85"/>
      <c r="AC274" s="85"/>
      <c r="AD274" s="85"/>
      <c r="AE274" s="85"/>
      <c r="AF274" s="85"/>
      <c r="AG274" s="85"/>
    </row>
    <row r="275">
      <c r="A275" s="85"/>
      <c r="B275" s="85"/>
      <c r="C275" s="87"/>
      <c r="D275" s="87"/>
      <c r="E275" s="85"/>
      <c r="F275" s="85"/>
      <c r="G275" s="85"/>
      <c r="H275" s="85"/>
      <c r="I275" s="85"/>
      <c r="J275" s="85"/>
      <c r="K275" s="85"/>
      <c r="L275" s="85"/>
      <c r="M275" s="85"/>
      <c r="N275" s="85"/>
      <c r="O275" s="85"/>
      <c r="P275" s="85"/>
      <c r="Q275" s="85"/>
      <c r="R275" s="85"/>
      <c r="S275" s="85"/>
      <c r="T275" s="85"/>
      <c r="U275" s="85"/>
      <c r="V275" s="85"/>
      <c r="W275" s="85"/>
      <c r="X275" s="85"/>
      <c r="Y275" s="85"/>
      <c r="Z275" s="85"/>
      <c r="AA275" s="85"/>
      <c r="AB275" s="85"/>
      <c r="AC275" s="85"/>
      <c r="AD275" s="85"/>
      <c r="AE275" s="85"/>
      <c r="AF275" s="85"/>
      <c r="AG275" s="85"/>
    </row>
    <row r="276">
      <c r="A276" s="85"/>
      <c r="B276" s="85"/>
      <c r="C276" s="87"/>
      <c r="D276" s="87"/>
      <c r="E276" s="85"/>
      <c r="F276" s="85"/>
      <c r="G276" s="85"/>
      <c r="H276" s="85"/>
      <c r="I276" s="85"/>
      <c r="J276" s="85"/>
      <c r="K276" s="85"/>
      <c r="L276" s="85"/>
      <c r="M276" s="85"/>
      <c r="N276" s="85"/>
      <c r="O276" s="85"/>
      <c r="P276" s="85"/>
      <c r="Q276" s="85"/>
      <c r="R276" s="85"/>
      <c r="S276" s="85"/>
      <c r="T276" s="85"/>
      <c r="U276" s="85"/>
      <c r="V276" s="85"/>
      <c r="W276" s="85"/>
      <c r="X276" s="85"/>
      <c r="Y276" s="85"/>
      <c r="Z276" s="85"/>
      <c r="AA276" s="85"/>
      <c r="AB276" s="85"/>
      <c r="AC276" s="85"/>
      <c r="AD276" s="85"/>
      <c r="AE276" s="85"/>
      <c r="AF276" s="85"/>
      <c r="AG276" s="85"/>
    </row>
    <row r="277">
      <c r="A277" s="85"/>
      <c r="B277" s="85"/>
      <c r="C277" s="87"/>
      <c r="D277" s="87"/>
      <c r="E277" s="85"/>
      <c r="F277" s="85"/>
      <c r="G277" s="85"/>
      <c r="H277" s="85"/>
      <c r="I277" s="85"/>
      <c r="J277" s="85"/>
      <c r="K277" s="85"/>
      <c r="L277" s="85"/>
      <c r="M277" s="85"/>
      <c r="N277" s="85"/>
      <c r="O277" s="85"/>
      <c r="P277" s="85"/>
      <c r="Q277" s="85"/>
      <c r="R277" s="85"/>
      <c r="S277" s="85"/>
      <c r="T277" s="85"/>
      <c r="U277" s="85"/>
      <c r="V277" s="85"/>
      <c r="W277" s="85"/>
      <c r="X277" s="85"/>
      <c r="Y277" s="85"/>
      <c r="Z277" s="85"/>
      <c r="AA277" s="85"/>
      <c r="AB277" s="85"/>
      <c r="AC277" s="85"/>
      <c r="AD277" s="85"/>
      <c r="AE277" s="85"/>
      <c r="AF277" s="85"/>
      <c r="AG277" s="85"/>
    </row>
    <row r="278">
      <c r="A278" s="85"/>
      <c r="B278" s="85"/>
      <c r="C278" s="87"/>
      <c r="D278" s="87"/>
      <c r="E278" s="85"/>
      <c r="F278" s="85"/>
      <c r="G278" s="85"/>
      <c r="H278" s="85"/>
      <c r="I278" s="85"/>
      <c r="J278" s="85"/>
      <c r="K278" s="85"/>
      <c r="L278" s="85"/>
      <c r="M278" s="85"/>
      <c r="N278" s="85"/>
      <c r="O278" s="85"/>
      <c r="P278" s="85"/>
      <c r="Q278" s="85"/>
      <c r="R278" s="85"/>
      <c r="S278" s="85"/>
      <c r="T278" s="85"/>
      <c r="U278" s="85"/>
      <c r="V278" s="85"/>
      <c r="W278" s="85"/>
      <c r="X278" s="85"/>
      <c r="Y278" s="85"/>
      <c r="Z278" s="85"/>
      <c r="AA278" s="85"/>
      <c r="AB278" s="85"/>
      <c r="AC278" s="85"/>
      <c r="AD278" s="85"/>
      <c r="AE278" s="85"/>
      <c r="AF278" s="85"/>
      <c r="AG278" s="85"/>
    </row>
    <row r="279">
      <c r="A279" s="85"/>
      <c r="B279" s="85"/>
      <c r="C279" s="87"/>
      <c r="D279" s="87"/>
      <c r="E279" s="85"/>
      <c r="F279" s="85"/>
      <c r="G279" s="85"/>
      <c r="H279" s="85"/>
      <c r="I279" s="85"/>
      <c r="J279" s="85"/>
      <c r="K279" s="85"/>
      <c r="L279" s="85"/>
      <c r="M279" s="85"/>
      <c r="N279" s="85"/>
      <c r="O279" s="85"/>
      <c r="P279" s="85"/>
      <c r="Q279" s="85"/>
      <c r="R279" s="85"/>
      <c r="S279" s="85"/>
      <c r="T279" s="85"/>
      <c r="U279" s="85"/>
      <c r="V279" s="85"/>
      <c r="W279" s="85"/>
      <c r="X279" s="85"/>
      <c r="Y279" s="85"/>
      <c r="Z279" s="85"/>
      <c r="AA279" s="85"/>
      <c r="AB279" s="85"/>
      <c r="AC279" s="85"/>
      <c r="AD279" s="85"/>
      <c r="AE279" s="85"/>
      <c r="AF279" s="85"/>
      <c r="AG279" s="85"/>
    </row>
    <row r="280">
      <c r="A280" s="85"/>
      <c r="B280" s="85"/>
      <c r="C280" s="87"/>
      <c r="D280" s="87"/>
      <c r="E280" s="85"/>
      <c r="F280" s="85"/>
      <c r="G280" s="85"/>
      <c r="H280" s="85"/>
      <c r="I280" s="85"/>
      <c r="J280" s="85"/>
      <c r="K280" s="85"/>
      <c r="L280" s="85"/>
      <c r="M280" s="85"/>
      <c r="N280" s="85"/>
      <c r="O280" s="85"/>
      <c r="P280" s="85"/>
      <c r="Q280" s="85"/>
      <c r="R280" s="85"/>
      <c r="S280" s="85"/>
      <c r="T280" s="85"/>
      <c r="U280" s="85"/>
      <c r="V280" s="85"/>
      <c r="W280" s="85"/>
      <c r="X280" s="85"/>
      <c r="Y280" s="85"/>
      <c r="Z280" s="85"/>
      <c r="AA280" s="85"/>
      <c r="AB280" s="85"/>
      <c r="AC280" s="85"/>
      <c r="AD280" s="85"/>
      <c r="AE280" s="85"/>
      <c r="AF280" s="85"/>
      <c r="AG280" s="85"/>
    </row>
    <row r="281">
      <c r="A281" s="85"/>
      <c r="B281" s="85"/>
      <c r="C281" s="87"/>
      <c r="D281" s="87"/>
      <c r="E281" s="85"/>
      <c r="F281" s="85"/>
      <c r="G281" s="85"/>
      <c r="H281" s="85"/>
      <c r="I281" s="85"/>
      <c r="J281" s="85"/>
      <c r="K281" s="85"/>
      <c r="L281" s="85"/>
      <c r="M281" s="85"/>
      <c r="N281" s="85"/>
      <c r="O281" s="85"/>
      <c r="P281" s="85"/>
      <c r="Q281" s="85"/>
      <c r="R281" s="85"/>
      <c r="S281" s="85"/>
      <c r="T281" s="85"/>
      <c r="U281" s="85"/>
      <c r="V281" s="85"/>
      <c r="W281" s="85"/>
      <c r="X281" s="85"/>
      <c r="Y281" s="85"/>
      <c r="Z281" s="85"/>
      <c r="AA281" s="85"/>
      <c r="AB281" s="85"/>
      <c r="AC281" s="85"/>
      <c r="AD281" s="85"/>
      <c r="AE281" s="85"/>
      <c r="AF281" s="85"/>
      <c r="AG281" s="85"/>
    </row>
    <row r="282">
      <c r="A282" s="85"/>
      <c r="B282" s="85"/>
      <c r="C282" s="87"/>
      <c r="D282" s="87"/>
      <c r="E282" s="85"/>
      <c r="F282" s="85"/>
      <c r="G282" s="85"/>
      <c r="H282" s="85"/>
      <c r="I282" s="85"/>
      <c r="J282" s="85"/>
      <c r="K282" s="85"/>
      <c r="L282" s="85"/>
      <c r="M282" s="85"/>
      <c r="N282" s="85"/>
      <c r="O282" s="85"/>
      <c r="P282" s="85"/>
      <c r="Q282" s="85"/>
      <c r="R282" s="85"/>
      <c r="S282" s="85"/>
      <c r="T282" s="85"/>
      <c r="U282" s="85"/>
      <c r="V282" s="85"/>
      <c r="W282" s="85"/>
      <c r="X282" s="85"/>
      <c r="Y282" s="85"/>
      <c r="Z282" s="85"/>
      <c r="AA282" s="85"/>
      <c r="AB282" s="85"/>
      <c r="AC282" s="85"/>
      <c r="AD282" s="85"/>
      <c r="AE282" s="85"/>
      <c r="AF282" s="85"/>
      <c r="AG282" s="85"/>
    </row>
    <row r="283">
      <c r="A283" s="85"/>
      <c r="B283" s="85"/>
      <c r="C283" s="87"/>
      <c r="D283" s="87"/>
      <c r="E283" s="85"/>
      <c r="F283" s="85"/>
      <c r="G283" s="85"/>
      <c r="H283" s="85"/>
      <c r="I283" s="85"/>
      <c r="J283" s="85"/>
      <c r="K283" s="85"/>
      <c r="L283" s="85"/>
      <c r="M283" s="85"/>
      <c r="N283" s="85"/>
      <c r="O283" s="85"/>
      <c r="P283" s="85"/>
      <c r="Q283" s="85"/>
      <c r="R283" s="85"/>
      <c r="S283" s="85"/>
      <c r="T283" s="85"/>
      <c r="U283" s="85"/>
      <c r="V283" s="85"/>
      <c r="W283" s="85"/>
      <c r="X283" s="85"/>
      <c r="Y283" s="85"/>
      <c r="Z283" s="85"/>
      <c r="AA283" s="85"/>
      <c r="AB283" s="85"/>
      <c r="AC283" s="85"/>
      <c r="AD283" s="85"/>
      <c r="AE283" s="85"/>
      <c r="AF283" s="85"/>
      <c r="AG283" s="85"/>
    </row>
    <row r="284">
      <c r="A284" s="85"/>
      <c r="B284" s="85"/>
      <c r="C284" s="87"/>
      <c r="D284" s="87"/>
      <c r="E284" s="85"/>
      <c r="F284" s="85"/>
      <c r="G284" s="85"/>
      <c r="H284" s="85"/>
      <c r="I284" s="85"/>
      <c r="J284" s="85"/>
      <c r="K284" s="85"/>
      <c r="L284" s="85"/>
      <c r="M284" s="85"/>
      <c r="N284" s="85"/>
      <c r="O284" s="85"/>
      <c r="P284" s="85"/>
      <c r="Q284" s="85"/>
      <c r="R284" s="85"/>
      <c r="S284" s="85"/>
      <c r="T284" s="85"/>
      <c r="U284" s="85"/>
      <c r="V284" s="85"/>
      <c r="W284" s="85"/>
      <c r="X284" s="85"/>
      <c r="Y284" s="85"/>
      <c r="Z284" s="85"/>
      <c r="AA284" s="85"/>
      <c r="AB284" s="85"/>
      <c r="AC284" s="85"/>
      <c r="AD284" s="85"/>
      <c r="AE284" s="85"/>
      <c r="AF284" s="85"/>
      <c r="AG284" s="85"/>
    </row>
    <row r="285">
      <c r="A285" s="85"/>
      <c r="B285" s="85"/>
      <c r="C285" s="87"/>
      <c r="D285" s="87"/>
      <c r="E285" s="85"/>
      <c r="F285" s="85"/>
      <c r="G285" s="85"/>
      <c r="H285" s="85"/>
      <c r="I285" s="85"/>
      <c r="J285" s="85"/>
      <c r="K285" s="85"/>
      <c r="L285" s="85"/>
      <c r="M285" s="85"/>
      <c r="N285" s="85"/>
      <c r="O285" s="85"/>
      <c r="P285" s="85"/>
      <c r="Q285" s="85"/>
      <c r="R285" s="85"/>
      <c r="S285" s="85"/>
      <c r="T285" s="85"/>
      <c r="U285" s="85"/>
      <c r="V285" s="85"/>
      <c r="W285" s="85"/>
      <c r="X285" s="85"/>
      <c r="Y285" s="85"/>
      <c r="Z285" s="85"/>
      <c r="AA285" s="85"/>
      <c r="AB285" s="85"/>
      <c r="AC285" s="85"/>
      <c r="AD285" s="85"/>
      <c r="AE285" s="85"/>
      <c r="AF285" s="85"/>
      <c r="AG285" s="85"/>
    </row>
    <row r="286">
      <c r="A286" s="85"/>
      <c r="B286" s="85"/>
      <c r="C286" s="87"/>
      <c r="D286" s="87"/>
      <c r="E286" s="85"/>
      <c r="F286" s="85"/>
      <c r="G286" s="85"/>
      <c r="H286" s="85"/>
      <c r="I286" s="85"/>
      <c r="J286" s="85"/>
      <c r="K286" s="85"/>
      <c r="L286" s="85"/>
      <c r="M286" s="85"/>
      <c r="N286" s="85"/>
      <c r="O286" s="85"/>
      <c r="P286" s="85"/>
      <c r="Q286" s="85"/>
      <c r="R286" s="85"/>
      <c r="S286" s="85"/>
      <c r="T286" s="85"/>
      <c r="U286" s="85"/>
      <c r="V286" s="85"/>
      <c r="W286" s="85"/>
      <c r="X286" s="85"/>
      <c r="Y286" s="85"/>
      <c r="Z286" s="85"/>
      <c r="AA286" s="85"/>
      <c r="AB286" s="85"/>
      <c r="AC286" s="85"/>
      <c r="AD286" s="85"/>
      <c r="AE286" s="85"/>
      <c r="AF286" s="85"/>
      <c r="AG286" s="85"/>
    </row>
    <row r="287">
      <c r="A287" s="85"/>
      <c r="B287" s="85"/>
      <c r="C287" s="87"/>
      <c r="D287" s="87"/>
      <c r="E287" s="85"/>
      <c r="F287" s="85"/>
      <c r="G287" s="85"/>
      <c r="H287" s="85"/>
      <c r="I287" s="85"/>
      <c r="J287" s="85"/>
      <c r="K287" s="85"/>
      <c r="L287" s="85"/>
      <c r="M287" s="85"/>
      <c r="N287" s="85"/>
      <c r="O287" s="85"/>
      <c r="P287" s="85"/>
      <c r="Q287" s="85"/>
      <c r="R287" s="85"/>
      <c r="S287" s="85"/>
      <c r="T287" s="85"/>
      <c r="U287" s="85"/>
      <c r="V287" s="85"/>
      <c r="W287" s="85"/>
      <c r="X287" s="85"/>
      <c r="Y287" s="85"/>
      <c r="Z287" s="85"/>
      <c r="AA287" s="85"/>
      <c r="AB287" s="85"/>
      <c r="AC287" s="85"/>
      <c r="AD287" s="85"/>
      <c r="AE287" s="85"/>
      <c r="AF287" s="85"/>
      <c r="AG287" s="85"/>
    </row>
    <row r="288">
      <c r="A288" s="85"/>
      <c r="B288" s="85"/>
      <c r="C288" s="87"/>
      <c r="D288" s="87"/>
      <c r="E288" s="85"/>
      <c r="F288" s="85"/>
      <c r="G288" s="85"/>
      <c r="H288" s="85"/>
      <c r="I288" s="85"/>
      <c r="J288" s="85"/>
      <c r="K288" s="85"/>
      <c r="L288" s="85"/>
      <c r="M288" s="85"/>
      <c r="N288" s="85"/>
      <c r="O288" s="85"/>
      <c r="P288" s="85"/>
      <c r="Q288" s="85"/>
      <c r="R288" s="85"/>
      <c r="S288" s="85"/>
      <c r="T288" s="85"/>
      <c r="U288" s="85"/>
      <c r="V288" s="85"/>
      <c r="W288" s="85"/>
      <c r="X288" s="85"/>
      <c r="Y288" s="85"/>
      <c r="Z288" s="85"/>
      <c r="AA288" s="85"/>
      <c r="AB288" s="85"/>
      <c r="AC288" s="85"/>
      <c r="AD288" s="85"/>
      <c r="AE288" s="85"/>
      <c r="AF288" s="85"/>
      <c r="AG288" s="85"/>
    </row>
    <row r="289">
      <c r="A289" s="85"/>
      <c r="B289" s="85"/>
      <c r="C289" s="87"/>
      <c r="D289" s="87"/>
      <c r="E289" s="85"/>
      <c r="F289" s="85"/>
      <c r="G289" s="85"/>
      <c r="H289" s="85"/>
      <c r="I289" s="85"/>
      <c r="J289" s="85"/>
      <c r="K289" s="85"/>
      <c r="L289" s="85"/>
      <c r="M289" s="85"/>
      <c r="N289" s="85"/>
      <c r="O289" s="85"/>
      <c r="P289" s="85"/>
      <c r="Q289" s="85"/>
      <c r="R289" s="85"/>
      <c r="S289" s="85"/>
      <c r="T289" s="85"/>
      <c r="U289" s="85"/>
      <c r="V289" s="85"/>
      <c r="W289" s="85"/>
      <c r="X289" s="85"/>
      <c r="Y289" s="85"/>
      <c r="Z289" s="85"/>
      <c r="AA289" s="85"/>
      <c r="AB289" s="85"/>
      <c r="AC289" s="85"/>
      <c r="AD289" s="85"/>
      <c r="AE289" s="85"/>
      <c r="AF289" s="85"/>
      <c r="AG289" s="85"/>
    </row>
    <row r="290">
      <c r="A290" s="85"/>
      <c r="B290" s="85"/>
      <c r="C290" s="87"/>
      <c r="D290" s="87"/>
      <c r="E290" s="85"/>
      <c r="F290" s="85"/>
      <c r="G290" s="85"/>
      <c r="H290" s="85"/>
      <c r="I290" s="85"/>
      <c r="J290" s="85"/>
      <c r="K290" s="85"/>
      <c r="L290" s="85"/>
      <c r="M290" s="85"/>
      <c r="N290" s="85"/>
      <c r="O290" s="85"/>
      <c r="P290" s="85"/>
      <c r="Q290" s="85"/>
      <c r="R290" s="85"/>
      <c r="S290" s="85"/>
      <c r="T290" s="85"/>
      <c r="U290" s="85"/>
      <c r="V290" s="85"/>
      <c r="W290" s="85"/>
      <c r="X290" s="85"/>
      <c r="Y290" s="85"/>
      <c r="Z290" s="85"/>
      <c r="AA290" s="85"/>
      <c r="AB290" s="85"/>
      <c r="AC290" s="85"/>
      <c r="AD290" s="85"/>
      <c r="AE290" s="85"/>
      <c r="AF290" s="85"/>
      <c r="AG290" s="85"/>
    </row>
    <row r="291">
      <c r="A291" s="85"/>
      <c r="B291" s="85"/>
      <c r="C291" s="87"/>
      <c r="D291" s="87"/>
      <c r="E291" s="85"/>
      <c r="F291" s="85"/>
      <c r="G291" s="85"/>
      <c r="H291" s="85"/>
      <c r="I291" s="85"/>
      <c r="J291" s="85"/>
      <c r="K291" s="85"/>
      <c r="L291" s="85"/>
      <c r="M291" s="85"/>
      <c r="N291" s="85"/>
      <c r="O291" s="85"/>
      <c r="P291" s="85"/>
      <c r="Q291" s="85"/>
      <c r="R291" s="85"/>
      <c r="S291" s="85"/>
      <c r="T291" s="85"/>
      <c r="U291" s="85"/>
      <c r="V291" s="85"/>
      <c r="W291" s="85"/>
      <c r="X291" s="85"/>
      <c r="Y291" s="85"/>
      <c r="Z291" s="85"/>
      <c r="AA291" s="85"/>
      <c r="AB291" s="85"/>
      <c r="AC291" s="85"/>
      <c r="AD291" s="85"/>
      <c r="AE291" s="85"/>
      <c r="AF291" s="85"/>
      <c r="AG291" s="85"/>
    </row>
    <row r="292">
      <c r="A292" s="85"/>
      <c r="B292" s="85"/>
      <c r="C292" s="87"/>
      <c r="D292" s="87"/>
      <c r="E292" s="85"/>
      <c r="F292" s="85"/>
      <c r="G292" s="85"/>
      <c r="H292" s="85"/>
      <c r="I292" s="85"/>
      <c r="J292" s="85"/>
      <c r="K292" s="85"/>
      <c r="L292" s="85"/>
      <c r="M292" s="85"/>
      <c r="N292" s="85"/>
      <c r="O292" s="85"/>
      <c r="P292" s="85"/>
      <c r="Q292" s="85"/>
      <c r="R292" s="85"/>
      <c r="S292" s="85"/>
      <c r="T292" s="85"/>
      <c r="U292" s="85"/>
      <c r="V292" s="85"/>
      <c r="W292" s="85"/>
      <c r="X292" s="85"/>
      <c r="Y292" s="85"/>
      <c r="Z292" s="85"/>
      <c r="AA292" s="85"/>
      <c r="AB292" s="85"/>
      <c r="AC292" s="85"/>
      <c r="AD292" s="85"/>
      <c r="AE292" s="85"/>
      <c r="AF292" s="85"/>
      <c r="AG292" s="85"/>
    </row>
    <row r="293">
      <c r="A293" s="85"/>
      <c r="B293" s="85"/>
      <c r="C293" s="87"/>
      <c r="D293" s="87"/>
      <c r="E293" s="85"/>
      <c r="F293" s="85"/>
      <c r="G293" s="85"/>
      <c r="H293" s="85"/>
      <c r="I293" s="85"/>
      <c r="J293" s="85"/>
      <c r="K293" s="85"/>
      <c r="L293" s="85"/>
      <c r="M293" s="85"/>
      <c r="N293" s="85"/>
      <c r="O293" s="85"/>
      <c r="P293" s="85"/>
      <c r="Q293" s="85"/>
      <c r="R293" s="85"/>
      <c r="S293" s="85"/>
      <c r="T293" s="85"/>
      <c r="U293" s="85"/>
      <c r="V293" s="85"/>
      <c r="W293" s="85"/>
      <c r="X293" s="85"/>
      <c r="Y293" s="85"/>
      <c r="Z293" s="85"/>
      <c r="AA293" s="85"/>
      <c r="AB293" s="85"/>
      <c r="AC293" s="85"/>
      <c r="AD293" s="85"/>
      <c r="AE293" s="85"/>
      <c r="AF293" s="85"/>
      <c r="AG293" s="85"/>
    </row>
    <row r="294">
      <c r="A294" s="85"/>
      <c r="B294" s="85"/>
      <c r="C294" s="87"/>
      <c r="D294" s="87"/>
      <c r="E294" s="85"/>
      <c r="F294" s="85"/>
      <c r="G294" s="85"/>
      <c r="H294" s="85"/>
      <c r="I294" s="85"/>
      <c r="J294" s="85"/>
      <c r="K294" s="85"/>
      <c r="L294" s="85"/>
      <c r="M294" s="85"/>
      <c r="N294" s="85"/>
      <c r="O294" s="85"/>
      <c r="P294" s="85"/>
      <c r="Q294" s="85"/>
      <c r="R294" s="85"/>
      <c r="S294" s="85"/>
      <c r="T294" s="85"/>
      <c r="U294" s="85"/>
      <c r="V294" s="85"/>
      <c r="W294" s="85"/>
      <c r="X294" s="85"/>
      <c r="Y294" s="85"/>
      <c r="Z294" s="85"/>
      <c r="AA294" s="85"/>
      <c r="AB294" s="85"/>
      <c r="AC294" s="85"/>
      <c r="AD294" s="85"/>
      <c r="AE294" s="85"/>
      <c r="AF294" s="85"/>
      <c r="AG294" s="85"/>
    </row>
    <row r="295">
      <c r="A295" s="85"/>
      <c r="B295" s="85"/>
      <c r="C295" s="87"/>
      <c r="D295" s="87"/>
      <c r="E295" s="85"/>
      <c r="F295" s="85"/>
      <c r="G295" s="85"/>
      <c r="H295" s="85"/>
      <c r="I295" s="85"/>
      <c r="J295" s="85"/>
      <c r="K295" s="85"/>
      <c r="L295" s="85"/>
      <c r="M295" s="85"/>
      <c r="N295" s="85"/>
      <c r="O295" s="85"/>
      <c r="P295" s="85"/>
      <c r="Q295" s="85"/>
      <c r="R295" s="85"/>
      <c r="S295" s="85"/>
      <c r="T295" s="85"/>
      <c r="U295" s="85"/>
      <c r="V295" s="85"/>
      <c r="W295" s="85"/>
      <c r="X295" s="85"/>
      <c r="Y295" s="85"/>
      <c r="Z295" s="85"/>
      <c r="AA295" s="85"/>
      <c r="AB295" s="85"/>
      <c r="AC295" s="85"/>
      <c r="AD295" s="85"/>
      <c r="AE295" s="85"/>
      <c r="AF295" s="85"/>
      <c r="AG295" s="85"/>
    </row>
    <row r="296">
      <c r="A296" s="85"/>
      <c r="B296" s="85"/>
      <c r="C296" s="87"/>
      <c r="D296" s="87"/>
      <c r="E296" s="85"/>
      <c r="F296" s="85"/>
      <c r="G296" s="85"/>
      <c r="H296" s="85"/>
      <c r="I296" s="85"/>
      <c r="J296" s="85"/>
      <c r="K296" s="85"/>
      <c r="L296" s="85"/>
      <c r="M296" s="85"/>
      <c r="N296" s="85"/>
      <c r="O296" s="85"/>
      <c r="P296" s="85"/>
      <c r="Q296" s="85"/>
      <c r="R296" s="85"/>
      <c r="S296" s="85"/>
      <c r="T296" s="85"/>
      <c r="U296" s="85"/>
      <c r="V296" s="85"/>
      <c r="W296" s="85"/>
      <c r="X296" s="85"/>
      <c r="Y296" s="85"/>
      <c r="Z296" s="85"/>
      <c r="AA296" s="85"/>
      <c r="AB296" s="85"/>
      <c r="AC296" s="85"/>
      <c r="AD296" s="85"/>
      <c r="AE296" s="85"/>
      <c r="AF296" s="85"/>
      <c r="AG296" s="85"/>
    </row>
    <row r="297">
      <c r="A297" s="85"/>
      <c r="B297" s="85"/>
      <c r="C297" s="87"/>
      <c r="D297" s="87"/>
      <c r="E297" s="85"/>
      <c r="F297" s="85"/>
      <c r="G297" s="85"/>
      <c r="H297" s="85"/>
      <c r="I297" s="85"/>
      <c r="J297" s="85"/>
      <c r="K297" s="85"/>
      <c r="L297" s="85"/>
      <c r="M297" s="85"/>
      <c r="N297" s="85"/>
      <c r="O297" s="85"/>
      <c r="P297" s="85"/>
      <c r="Q297" s="85"/>
      <c r="R297" s="85"/>
      <c r="S297" s="85"/>
      <c r="T297" s="85"/>
      <c r="U297" s="85"/>
      <c r="V297" s="85"/>
      <c r="W297" s="85"/>
      <c r="X297" s="85"/>
      <c r="Y297" s="85"/>
      <c r="Z297" s="85"/>
      <c r="AA297" s="85"/>
      <c r="AB297" s="85"/>
      <c r="AC297" s="85"/>
      <c r="AD297" s="85"/>
      <c r="AE297" s="85"/>
      <c r="AF297" s="85"/>
      <c r="AG297" s="85"/>
    </row>
    <row r="298">
      <c r="A298" s="85"/>
      <c r="B298" s="85"/>
      <c r="C298" s="87"/>
      <c r="D298" s="87"/>
      <c r="E298" s="85"/>
      <c r="F298" s="85"/>
      <c r="G298" s="85"/>
      <c r="H298" s="85"/>
      <c r="I298" s="85"/>
      <c r="J298" s="85"/>
      <c r="K298" s="85"/>
      <c r="L298" s="85"/>
      <c r="M298" s="85"/>
      <c r="N298" s="85"/>
      <c r="O298" s="85"/>
      <c r="P298" s="85"/>
      <c r="Q298" s="85"/>
      <c r="R298" s="85"/>
      <c r="S298" s="85"/>
      <c r="T298" s="85"/>
      <c r="U298" s="85"/>
      <c r="V298" s="85"/>
      <c r="W298" s="85"/>
      <c r="X298" s="85"/>
      <c r="Y298" s="85"/>
      <c r="Z298" s="85"/>
      <c r="AA298" s="85"/>
      <c r="AB298" s="85"/>
      <c r="AC298" s="85"/>
      <c r="AD298" s="85"/>
      <c r="AE298" s="85"/>
      <c r="AF298" s="85"/>
      <c r="AG298" s="85"/>
    </row>
    <row r="299">
      <c r="A299" s="85"/>
      <c r="B299" s="85"/>
      <c r="C299" s="87"/>
      <c r="D299" s="87"/>
      <c r="E299" s="85"/>
      <c r="F299" s="85"/>
      <c r="G299" s="85"/>
      <c r="H299" s="85"/>
      <c r="I299" s="85"/>
      <c r="J299" s="85"/>
      <c r="K299" s="85"/>
      <c r="L299" s="85"/>
      <c r="M299" s="85"/>
      <c r="N299" s="85"/>
      <c r="O299" s="85"/>
      <c r="P299" s="85"/>
      <c r="Q299" s="85"/>
      <c r="R299" s="85"/>
      <c r="S299" s="85"/>
      <c r="T299" s="85"/>
      <c r="U299" s="85"/>
      <c r="V299" s="85"/>
      <c r="W299" s="85"/>
      <c r="X299" s="85"/>
      <c r="Y299" s="85"/>
      <c r="Z299" s="85"/>
      <c r="AA299" s="85"/>
      <c r="AB299" s="85"/>
      <c r="AC299" s="85"/>
      <c r="AD299" s="85"/>
      <c r="AE299" s="85"/>
      <c r="AF299" s="85"/>
      <c r="AG299" s="85"/>
    </row>
    <row r="300">
      <c r="A300" s="85"/>
      <c r="B300" s="85"/>
      <c r="C300" s="87"/>
      <c r="D300" s="87"/>
      <c r="E300" s="85"/>
      <c r="F300" s="85"/>
      <c r="G300" s="85"/>
      <c r="H300" s="85"/>
      <c r="I300" s="85"/>
      <c r="J300" s="85"/>
      <c r="K300" s="85"/>
      <c r="L300" s="85"/>
      <c r="M300" s="85"/>
      <c r="N300" s="85"/>
      <c r="O300" s="85"/>
      <c r="P300" s="85"/>
      <c r="Q300" s="85"/>
      <c r="R300" s="85"/>
      <c r="S300" s="85"/>
      <c r="T300" s="85"/>
      <c r="U300" s="85"/>
      <c r="V300" s="85"/>
      <c r="W300" s="85"/>
      <c r="X300" s="85"/>
      <c r="Y300" s="85"/>
      <c r="Z300" s="85"/>
      <c r="AA300" s="85"/>
      <c r="AB300" s="85"/>
      <c r="AC300" s="85"/>
      <c r="AD300" s="85"/>
      <c r="AE300" s="85"/>
      <c r="AF300" s="85"/>
      <c r="AG300" s="85"/>
    </row>
    <row r="301">
      <c r="A301" s="85"/>
      <c r="B301" s="85"/>
      <c r="C301" s="87"/>
      <c r="D301" s="87"/>
      <c r="E301" s="85"/>
      <c r="F301" s="85"/>
      <c r="G301" s="85"/>
      <c r="H301" s="85"/>
      <c r="I301" s="85"/>
      <c r="J301" s="85"/>
      <c r="K301" s="85"/>
      <c r="L301" s="85"/>
      <c r="M301" s="85"/>
      <c r="N301" s="85"/>
      <c r="O301" s="85"/>
      <c r="P301" s="85"/>
      <c r="Q301" s="85"/>
      <c r="R301" s="85"/>
      <c r="S301" s="85"/>
      <c r="T301" s="85"/>
      <c r="U301" s="85"/>
      <c r="V301" s="85"/>
      <c r="W301" s="85"/>
      <c r="X301" s="85"/>
      <c r="Y301" s="85"/>
      <c r="Z301" s="85"/>
      <c r="AA301" s="85"/>
      <c r="AB301" s="85"/>
      <c r="AC301" s="85"/>
      <c r="AD301" s="85"/>
      <c r="AE301" s="85"/>
      <c r="AF301" s="85"/>
      <c r="AG301" s="85"/>
    </row>
    <row r="302">
      <c r="A302" s="85"/>
      <c r="B302" s="85"/>
      <c r="C302" s="87"/>
      <c r="D302" s="87"/>
      <c r="E302" s="85"/>
      <c r="F302" s="85"/>
      <c r="G302" s="85"/>
      <c r="H302" s="85"/>
      <c r="I302" s="85"/>
      <c r="J302" s="85"/>
      <c r="K302" s="85"/>
      <c r="L302" s="85"/>
      <c r="M302" s="85"/>
      <c r="N302" s="85"/>
      <c r="O302" s="85"/>
      <c r="P302" s="85"/>
      <c r="Q302" s="85"/>
      <c r="R302" s="85"/>
      <c r="S302" s="85"/>
      <c r="T302" s="85"/>
      <c r="U302" s="85"/>
      <c r="V302" s="85"/>
      <c r="W302" s="85"/>
      <c r="X302" s="85"/>
      <c r="Y302" s="85"/>
      <c r="Z302" s="85"/>
      <c r="AA302" s="85"/>
      <c r="AB302" s="85"/>
      <c r="AC302" s="85"/>
      <c r="AD302" s="85"/>
      <c r="AE302" s="85"/>
      <c r="AF302" s="85"/>
      <c r="AG302" s="85"/>
    </row>
    <row r="303">
      <c r="A303" s="85"/>
      <c r="B303" s="85"/>
      <c r="C303" s="87"/>
      <c r="D303" s="87"/>
      <c r="E303" s="85"/>
      <c r="F303" s="85"/>
      <c r="G303" s="85"/>
      <c r="H303" s="85"/>
      <c r="I303" s="85"/>
      <c r="J303" s="85"/>
      <c r="K303" s="85"/>
      <c r="L303" s="85"/>
      <c r="M303" s="85"/>
      <c r="N303" s="85"/>
      <c r="O303" s="85"/>
      <c r="P303" s="85"/>
      <c r="Q303" s="85"/>
      <c r="R303" s="85"/>
      <c r="S303" s="85"/>
      <c r="T303" s="85"/>
      <c r="U303" s="85"/>
      <c r="V303" s="85"/>
      <c r="W303" s="85"/>
      <c r="X303" s="85"/>
      <c r="Y303" s="85"/>
      <c r="Z303" s="85"/>
      <c r="AA303" s="85"/>
      <c r="AB303" s="85"/>
      <c r="AC303" s="85"/>
      <c r="AD303" s="85"/>
      <c r="AE303" s="85"/>
      <c r="AF303" s="85"/>
      <c r="AG303" s="85"/>
    </row>
    <row r="304">
      <c r="A304" s="85"/>
      <c r="B304" s="85"/>
      <c r="C304" s="87"/>
      <c r="D304" s="87"/>
      <c r="E304" s="85"/>
      <c r="F304" s="85"/>
      <c r="G304" s="85"/>
      <c r="H304" s="85"/>
      <c r="I304" s="85"/>
      <c r="J304" s="85"/>
      <c r="K304" s="85"/>
      <c r="L304" s="85"/>
      <c r="M304" s="85"/>
      <c r="N304" s="85"/>
      <c r="O304" s="85"/>
      <c r="P304" s="85"/>
      <c r="Q304" s="85"/>
      <c r="R304" s="85"/>
      <c r="S304" s="85"/>
      <c r="T304" s="85"/>
      <c r="U304" s="85"/>
      <c r="V304" s="85"/>
      <c r="W304" s="85"/>
      <c r="X304" s="85"/>
      <c r="Y304" s="85"/>
      <c r="Z304" s="85"/>
      <c r="AA304" s="85"/>
      <c r="AB304" s="85"/>
      <c r="AC304" s="85"/>
      <c r="AD304" s="85"/>
      <c r="AE304" s="85"/>
      <c r="AF304" s="85"/>
      <c r="AG304" s="85"/>
    </row>
    <row r="305">
      <c r="A305" s="85"/>
      <c r="B305" s="85"/>
      <c r="C305" s="87"/>
      <c r="D305" s="87"/>
      <c r="E305" s="85"/>
      <c r="F305" s="85"/>
      <c r="G305" s="85"/>
      <c r="H305" s="85"/>
      <c r="I305" s="85"/>
      <c r="J305" s="85"/>
      <c r="K305" s="85"/>
      <c r="L305" s="85"/>
      <c r="M305" s="85"/>
      <c r="N305" s="85"/>
      <c r="O305" s="85"/>
      <c r="P305" s="85"/>
      <c r="Q305" s="85"/>
      <c r="R305" s="85"/>
      <c r="S305" s="85"/>
      <c r="T305" s="85"/>
      <c r="U305" s="85"/>
      <c r="V305" s="85"/>
      <c r="W305" s="85"/>
      <c r="X305" s="85"/>
      <c r="Y305" s="85"/>
      <c r="Z305" s="85"/>
      <c r="AA305" s="85"/>
      <c r="AB305" s="85"/>
      <c r="AC305" s="85"/>
      <c r="AD305" s="85"/>
      <c r="AE305" s="85"/>
      <c r="AF305" s="85"/>
      <c r="AG305" s="85"/>
    </row>
    <row r="306">
      <c r="A306" s="85"/>
      <c r="B306" s="85"/>
      <c r="C306" s="87"/>
      <c r="D306" s="87"/>
      <c r="E306" s="85"/>
      <c r="F306" s="85"/>
      <c r="G306" s="85"/>
      <c r="H306" s="85"/>
      <c r="I306" s="85"/>
      <c r="J306" s="85"/>
      <c r="K306" s="85"/>
      <c r="L306" s="85"/>
      <c r="M306" s="85"/>
      <c r="N306" s="85"/>
      <c r="O306" s="85"/>
      <c r="P306" s="85"/>
      <c r="Q306" s="85"/>
      <c r="R306" s="85"/>
      <c r="S306" s="85"/>
      <c r="T306" s="85"/>
      <c r="U306" s="85"/>
      <c r="V306" s="85"/>
      <c r="W306" s="85"/>
      <c r="X306" s="85"/>
      <c r="Y306" s="85"/>
      <c r="Z306" s="85"/>
      <c r="AA306" s="85"/>
      <c r="AB306" s="85"/>
      <c r="AC306" s="85"/>
      <c r="AD306" s="85"/>
      <c r="AE306" s="85"/>
      <c r="AF306" s="85"/>
      <c r="AG306" s="85"/>
    </row>
    <row r="307">
      <c r="A307" s="85"/>
      <c r="B307" s="85"/>
      <c r="C307" s="87"/>
      <c r="D307" s="87"/>
      <c r="E307" s="85"/>
      <c r="F307" s="85"/>
      <c r="G307" s="85"/>
      <c r="H307" s="85"/>
      <c r="I307" s="85"/>
      <c r="J307" s="85"/>
      <c r="K307" s="85"/>
      <c r="L307" s="85"/>
      <c r="M307" s="85"/>
      <c r="N307" s="85"/>
      <c r="O307" s="85"/>
      <c r="P307" s="85"/>
      <c r="Q307" s="85"/>
      <c r="R307" s="85"/>
      <c r="S307" s="85"/>
      <c r="T307" s="85"/>
      <c r="U307" s="85"/>
      <c r="V307" s="85"/>
      <c r="W307" s="85"/>
      <c r="X307" s="85"/>
      <c r="Y307" s="85"/>
      <c r="Z307" s="85"/>
      <c r="AA307" s="85"/>
      <c r="AB307" s="85"/>
      <c r="AC307" s="85"/>
      <c r="AD307" s="85"/>
      <c r="AE307" s="85"/>
      <c r="AF307" s="85"/>
      <c r="AG307" s="85"/>
    </row>
    <row r="308">
      <c r="A308" s="85"/>
      <c r="B308" s="85"/>
      <c r="C308" s="87"/>
      <c r="D308" s="87"/>
      <c r="E308" s="85"/>
      <c r="F308" s="85"/>
      <c r="G308" s="85"/>
      <c r="H308" s="85"/>
      <c r="I308" s="85"/>
      <c r="J308" s="85"/>
      <c r="K308" s="85"/>
      <c r="L308" s="85"/>
      <c r="M308" s="85"/>
      <c r="N308" s="85"/>
      <c r="O308" s="85"/>
      <c r="P308" s="85"/>
      <c r="Q308" s="85"/>
      <c r="R308" s="85"/>
      <c r="S308" s="85"/>
      <c r="T308" s="85"/>
      <c r="U308" s="85"/>
      <c r="V308" s="85"/>
      <c r="W308" s="85"/>
      <c r="X308" s="85"/>
      <c r="Y308" s="85"/>
      <c r="Z308" s="85"/>
      <c r="AA308" s="85"/>
      <c r="AB308" s="85"/>
      <c r="AC308" s="85"/>
      <c r="AD308" s="85"/>
      <c r="AE308" s="85"/>
      <c r="AF308" s="85"/>
      <c r="AG308" s="85"/>
    </row>
    <row r="309">
      <c r="A309" s="85"/>
      <c r="B309" s="85"/>
      <c r="C309" s="87"/>
      <c r="D309" s="87"/>
      <c r="E309" s="85"/>
      <c r="F309" s="85"/>
      <c r="G309" s="85"/>
      <c r="H309" s="85"/>
      <c r="I309" s="85"/>
      <c r="J309" s="85"/>
      <c r="K309" s="85"/>
      <c r="L309" s="85"/>
      <c r="M309" s="85"/>
      <c r="N309" s="85"/>
      <c r="O309" s="85"/>
      <c r="P309" s="85"/>
      <c r="Q309" s="85"/>
      <c r="R309" s="85"/>
      <c r="S309" s="85"/>
      <c r="T309" s="85"/>
      <c r="U309" s="85"/>
      <c r="V309" s="85"/>
      <c r="W309" s="85"/>
      <c r="X309" s="85"/>
      <c r="Y309" s="85"/>
      <c r="Z309" s="85"/>
      <c r="AA309" s="85"/>
      <c r="AB309" s="85"/>
      <c r="AC309" s="85"/>
      <c r="AD309" s="85"/>
      <c r="AE309" s="85"/>
      <c r="AF309" s="85"/>
      <c r="AG309" s="85"/>
    </row>
    <row r="310">
      <c r="A310" s="85"/>
      <c r="B310" s="85"/>
      <c r="C310" s="87"/>
      <c r="D310" s="87"/>
      <c r="E310" s="85"/>
      <c r="F310" s="85"/>
      <c r="G310" s="85"/>
      <c r="H310" s="85"/>
      <c r="I310" s="85"/>
      <c r="J310" s="85"/>
      <c r="K310" s="85"/>
      <c r="L310" s="85"/>
      <c r="M310" s="85"/>
      <c r="N310" s="85"/>
      <c r="O310" s="85"/>
      <c r="P310" s="85"/>
      <c r="Q310" s="85"/>
      <c r="R310" s="85"/>
      <c r="S310" s="85"/>
      <c r="T310" s="85"/>
      <c r="U310" s="85"/>
      <c r="V310" s="85"/>
      <c r="W310" s="85"/>
      <c r="X310" s="85"/>
      <c r="Y310" s="85"/>
      <c r="Z310" s="85"/>
      <c r="AA310" s="85"/>
      <c r="AB310" s="85"/>
      <c r="AC310" s="85"/>
      <c r="AD310" s="85"/>
      <c r="AE310" s="85"/>
      <c r="AF310" s="85"/>
      <c r="AG310" s="85"/>
    </row>
    <row r="311">
      <c r="A311" s="85"/>
      <c r="B311" s="85"/>
      <c r="C311" s="87"/>
      <c r="D311" s="87"/>
      <c r="E311" s="85"/>
      <c r="F311" s="85"/>
      <c r="G311" s="85"/>
      <c r="H311" s="85"/>
      <c r="I311" s="85"/>
      <c r="J311" s="85"/>
      <c r="K311" s="85"/>
      <c r="L311" s="85"/>
      <c r="M311" s="85"/>
      <c r="N311" s="85"/>
      <c r="O311" s="85"/>
      <c r="P311" s="85"/>
      <c r="Q311" s="85"/>
      <c r="R311" s="85"/>
      <c r="S311" s="85"/>
      <c r="T311" s="85"/>
      <c r="U311" s="85"/>
      <c r="V311" s="85"/>
      <c r="W311" s="85"/>
      <c r="X311" s="85"/>
      <c r="Y311" s="85"/>
      <c r="Z311" s="85"/>
      <c r="AA311" s="85"/>
      <c r="AB311" s="85"/>
      <c r="AC311" s="85"/>
      <c r="AD311" s="85"/>
      <c r="AE311" s="85"/>
      <c r="AF311" s="85"/>
      <c r="AG311" s="85"/>
    </row>
    <row r="312">
      <c r="A312" s="85"/>
      <c r="B312" s="85"/>
      <c r="C312" s="87"/>
      <c r="D312" s="87"/>
      <c r="E312" s="85"/>
      <c r="F312" s="85"/>
      <c r="G312" s="85"/>
      <c r="H312" s="85"/>
      <c r="I312" s="85"/>
      <c r="J312" s="85"/>
      <c r="K312" s="85"/>
      <c r="L312" s="85"/>
      <c r="M312" s="85"/>
      <c r="N312" s="85"/>
      <c r="O312" s="85"/>
      <c r="P312" s="85"/>
      <c r="Q312" s="85"/>
      <c r="R312" s="85"/>
      <c r="S312" s="85"/>
      <c r="T312" s="85"/>
      <c r="U312" s="85"/>
      <c r="V312" s="85"/>
      <c r="W312" s="85"/>
      <c r="X312" s="85"/>
      <c r="Y312" s="85"/>
      <c r="Z312" s="85"/>
      <c r="AA312" s="85"/>
      <c r="AB312" s="85"/>
      <c r="AC312" s="85"/>
      <c r="AD312" s="85"/>
      <c r="AE312" s="85"/>
      <c r="AF312" s="85"/>
      <c r="AG312" s="85"/>
    </row>
    <row r="313">
      <c r="A313" s="85"/>
      <c r="B313" s="85"/>
      <c r="C313" s="87"/>
      <c r="D313" s="87"/>
      <c r="E313" s="85"/>
      <c r="F313" s="85"/>
      <c r="G313" s="85"/>
      <c r="H313" s="85"/>
      <c r="I313" s="85"/>
      <c r="J313" s="85"/>
      <c r="K313" s="85"/>
      <c r="L313" s="85"/>
      <c r="M313" s="85"/>
      <c r="N313" s="85"/>
      <c r="O313" s="85"/>
      <c r="P313" s="85"/>
      <c r="Q313" s="85"/>
      <c r="R313" s="85"/>
      <c r="S313" s="85"/>
      <c r="T313" s="85"/>
      <c r="U313" s="85"/>
      <c r="V313" s="85"/>
      <c r="W313" s="85"/>
      <c r="X313" s="85"/>
      <c r="Y313" s="85"/>
      <c r="Z313" s="85"/>
      <c r="AA313" s="85"/>
      <c r="AB313" s="85"/>
      <c r="AC313" s="85"/>
      <c r="AD313" s="85"/>
      <c r="AE313" s="85"/>
      <c r="AF313" s="85"/>
      <c r="AG313" s="85"/>
    </row>
    <row r="314">
      <c r="A314" s="85"/>
      <c r="B314" s="85"/>
      <c r="C314" s="87"/>
      <c r="D314" s="87"/>
      <c r="E314" s="85"/>
      <c r="F314" s="85"/>
      <c r="G314" s="85"/>
      <c r="H314" s="85"/>
      <c r="I314" s="85"/>
      <c r="J314" s="85"/>
      <c r="K314" s="85"/>
      <c r="L314" s="85"/>
      <c r="M314" s="85"/>
      <c r="N314" s="85"/>
      <c r="O314" s="85"/>
      <c r="P314" s="85"/>
      <c r="Q314" s="85"/>
      <c r="R314" s="85"/>
      <c r="S314" s="85"/>
      <c r="T314" s="85"/>
      <c r="U314" s="85"/>
      <c r="V314" s="85"/>
      <c r="W314" s="85"/>
      <c r="X314" s="85"/>
      <c r="Y314" s="85"/>
      <c r="Z314" s="85"/>
      <c r="AA314" s="85"/>
      <c r="AB314" s="85"/>
      <c r="AC314" s="85"/>
      <c r="AD314" s="85"/>
      <c r="AE314" s="85"/>
      <c r="AF314" s="85"/>
      <c r="AG314" s="85"/>
    </row>
    <row r="315">
      <c r="A315" s="85"/>
      <c r="B315" s="85"/>
      <c r="C315" s="87"/>
      <c r="D315" s="87"/>
      <c r="E315" s="85"/>
      <c r="F315" s="85"/>
      <c r="G315" s="85"/>
      <c r="H315" s="85"/>
      <c r="I315" s="85"/>
      <c r="J315" s="85"/>
      <c r="K315" s="85"/>
      <c r="L315" s="85"/>
      <c r="M315" s="85"/>
      <c r="N315" s="85"/>
      <c r="O315" s="85"/>
      <c r="P315" s="85"/>
      <c r="Q315" s="85"/>
      <c r="R315" s="85"/>
      <c r="S315" s="85"/>
      <c r="T315" s="85"/>
      <c r="U315" s="85"/>
      <c r="V315" s="85"/>
      <c r="W315" s="85"/>
      <c r="X315" s="85"/>
      <c r="Y315" s="85"/>
      <c r="Z315" s="85"/>
      <c r="AA315" s="85"/>
      <c r="AB315" s="85"/>
      <c r="AC315" s="85"/>
      <c r="AD315" s="85"/>
      <c r="AE315" s="85"/>
      <c r="AF315" s="85"/>
      <c r="AG315" s="85"/>
    </row>
    <row r="316">
      <c r="A316" s="85"/>
      <c r="B316" s="85"/>
      <c r="C316" s="87"/>
      <c r="D316" s="87"/>
      <c r="E316" s="85"/>
      <c r="F316" s="85"/>
      <c r="G316" s="85"/>
      <c r="H316" s="85"/>
      <c r="I316" s="85"/>
      <c r="J316" s="85"/>
      <c r="K316" s="85"/>
      <c r="L316" s="85"/>
      <c r="M316" s="85"/>
      <c r="N316" s="85"/>
      <c r="O316" s="85"/>
      <c r="P316" s="85"/>
      <c r="Q316" s="85"/>
      <c r="R316" s="85"/>
      <c r="S316" s="85"/>
      <c r="T316" s="85"/>
      <c r="U316" s="85"/>
      <c r="V316" s="85"/>
      <c r="W316" s="85"/>
      <c r="X316" s="85"/>
      <c r="Y316" s="85"/>
      <c r="Z316" s="85"/>
      <c r="AA316" s="85"/>
      <c r="AB316" s="85"/>
      <c r="AC316" s="85"/>
      <c r="AD316" s="85"/>
      <c r="AE316" s="85"/>
      <c r="AF316" s="85"/>
      <c r="AG316" s="85"/>
    </row>
    <row r="317">
      <c r="A317" s="85"/>
      <c r="B317" s="85"/>
      <c r="C317" s="87"/>
      <c r="D317" s="87"/>
      <c r="E317" s="85"/>
      <c r="F317" s="85"/>
      <c r="G317" s="85"/>
      <c r="H317" s="85"/>
      <c r="I317" s="85"/>
      <c r="J317" s="85"/>
      <c r="K317" s="85"/>
      <c r="L317" s="85"/>
      <c r="M317" s="85"/>
      <c r="N317" s="85"/>
      <c r="O317" s="85"/>
      <c r="P317" s="85"/>
      <c r="Q317" s="85"/>
      <c r="R317" s="85"/>
      <c r="S317" s="85"/>
      <c r="T317" s="85"/>
      <c r="U317" s="85"/>
      <c r="V317" s="85"/>
      <c r="W317" s="85"/>
      <c r="X317" s="85"/>
      <c r="Y317" s="85"/>
      <c r="Z317" s="85"/>
      <c r="AA317" s="85"/>
      <c r="AB317" s="85"/>
      <c r="AC317" s="85"/>
      <c r="AD317" s="85"/>
      <c r="AE317" s="85"/>
      <c r="AF317" s="85"/>
      <c r="AG317" s="85"/>
    </row>
    <row r="318">
      <c r="A318" s="85"/>
      <c r="B318" s="85"/>
      <c r="C318" s="87"/>
      <c r="D318" s="87"/>
      <c r="E318" s="85"/>
      <c r="F318" s="85"/>
      <c r="G318" s="85"/>
      <c r="H318" s="85"/>
      <c r="I318" s="85"/>
      <c r="J318" s="85"/>
      <c r="K318" s="85"/>
      <c r="L318" s="85"/>
      <c r="M318" s="85"/>
      <c r="N318" s="85"/>
      <c r="O318" s="85"/>
      <c r="P318" s="85"/>
      <c r="Q318" s="85"/>
      <c r="R318" s="85"/>
      <c r="S318" s="85"/>
      <c r="T318" s="85"/>
      <c r="U318" s="85"/>
      <c r="V318" s="85"/>
      <c r="W318" s="85"/>
      <c r="X318" s="85"/>
      <c r="Y318" s="85"/>
      <c r="Z318" s="85"/>
      <c r="AA318" s="85"/>
      <c r="AB318" s="85"/>
      <c r="AC318" s="85"/>
      <c r="AD318" s="85"/>
      <c r="AE318" s="85"/>
      <c r="AF318" s="85"/>
      <c r="AG318" s="85"/>
    </row>
    <row r="319">
      <c r="A319" s="85"/>
      <c r="B319" s="85"/>
      <c r="C319" s="87"/>
      <c r="D319" s="87"/>
      <c r="E319" s="85"/>
      <c r="F319" s="85"/>
      <c r="G319" s="85"/>
      <c r="H319" s="85"/>
      <c r="I319" s="85"/>
      <c r="J319" s="85"/>
      <c r="K319" s="85"/>
      <c r="L319" s="85"/>
      <c r="M319" s="85"/>
      <c r="N319" s="85"/>
      <c r="O319" s="85"/>
      <c r="P319" s="85"/>
      <c r="Q319" s="85"/>
      <c r="R319" s="85"/>
      <c r="S319" s="85"/>
      <c r="T319" s="85"/>
      <c r="U319" s="85"/>
      <c r="V319" s="85"/>
      <c r="W319" s="85"/>
      <c r="X319" s="85"/>
      <c r="Y319" s="85"/>
      <c r="Z319" s="85"/>
      <c r="AA319" s="85"/>
      <c r="AB319" s="85"/>
      <c r="AC319" s="85"/>
      <c r="AD319" s="85"/>
      <c r="AE319" s="85"/>
      <c r="AF319" s="85"/>
      <c r="AG319" s="85"/>
    </row>
    <row r="320">
      <c r="A320" s="85"/>
      <c r="B320" s="85"/>
      <c r="C320" s="87"/>
      <c r="D320" s="87"/>
      <c r="E320" s="85"/>
      <c r="F320" s="85"/>
      <c r="G320" s="85"/>
      <c r="H320" s="85"/>
      <c r="I320" s="85"/>
      <c r="J320" s="85"/>
      <c r="K320" s="85"/>
      <c r="L320" s="85"/>
      <c r="M320" s="85"/>
      <c r="N320" s="85"/>
      <c r="O320" s="85"/>
      <c r="P320" s="85"/>
      <c r="Q320" s="85"/>
      <c r="R320" s="85"/>
      <c r="S320" s="85"/>
      <c r="T320" s="85"/>
      <c r="U320" s="85"/>
      <c r="V320" s="85"/>
      <c r="W320" s="85"/>
      <c r="X320" s="85"/>
      <c r="Y320" s="85"/>
      <c r="Z320" s="85"/>
      <c r="AA320" s="85"/>
      <c r="AB320" s="85"/>
      <c r="AC320" s="85"/>
      <c r="AD320" s="85"/>
      <c r="AE320" s="85"/>
      <c r="AF320" s="85"/>
      <c r="AG320" s="85"/>
    </row>
    <row r="321">
      <c r="A321" s="85"/>
      <c r="B321" s="85"/>
      <c r="C321" s="87"/>
      <c r="D321" s="87"/>
      <c r="E321" s="85"/>
      <c r="F321" s="85"/>
      <c r="G321" s="85"/>
      <c r="H321" s="85"/>
      <c r="I321" s="85"/>
      <c r="J321" s="85"/>
      <c r="K321" s="85"/>
      <c r="L321" s="85"/>
      <c r="M321" s="85"/>
      <c r="N321" s="85"/>
      <c r="O321" s="85"/>
      <c r="P321" s="85"/>
      <c r="Q321" s="85"/>
      <c r="R321" s="85"/>
      <c r="S321" s="85"/>
      <c r="T321" s="85"/>
      <c r="U321" s="85"/>
      <c r="V321" s="85"/>
      <c r="W321" s="85"/>
      <c r="X321" s="85"/>
      <c r="Y321" s="85"/>
      <c r="Z321" s="85"/>
      <c r="AA321" s="85"/>
      <c r="AB321" s="85"/>
      <c r="AC321" s="85"/>
      <c r="AD321" s="85"/>
      <c r="AE321" s="85"/>
      <c r="AF321" s="85"/>
      <c r="AG321" s="85"/>
    </row>
    <row r="322">
      <c r="A322" s="85"/>
      <c r="B322" s="85"/>
      <c r="C322" s="87"/>
      <c r="D322" s="87"/>
      <c r="E322" s="85"/>
      <c r="F322" s="85"/>
      <c r="G322" s="85"/>
      <c r="H322" s="85"/>
      <c r="I322" s="85"/>
      <c r="J322" s="85"/>
      <c r="K322" s="85"/>
      <c r="L322" s="85"/>
      <c r="M322" s="85"/>
      <c r="N322" s="85"/>
      <c r="O322" s="85"/>
      <c r="P322" s="85"/>
      <c r="Q322" s="85"/>
      <c r="R322" s="85"/>
      <c r="S322" s="85"/>
      <c r="T322" s="85"/>
      <c r="U322" s="85"/>
      <c r="V322" s="85"/>
      <c r="W322" s="85"/>
      <c r="X322" s="85"/>
      <c r="Y322" s="85"/>
      <c r="Z322" s="85"/>
      <c r="AA322" s="85"/>
      <c r="AB322" s="85"/>
      <c r="AC322" s="85"/>
      <c r="AD322" s="85"/>
      <c r="AE322" s="85"/>
      <c r="AF322" s="85"/>
      <c r="AG322" s="85"/>
    </row>
    <row r="323">
      <c r="A323" s="85"/>
      <c r="B323" s="85"/>
      <c r="C323" s="87"/>
      <c r="D323" s="87"/>
      <c r="E323" s="85"/>
      <c r="F323" s="85"/>
      <c r="G323" s="85"/>
      <c r="H323" s="85"/>
      <c r="I323" s="85"/>
      <c r="J323" s="85"/>
      <c r="K323" s="85"/>
      <c r="L323" s="85"/>
      <c r="M323" s="85"/>
      <c r="N323" s="85"/>
      <c r="O323" s="85"/>
      <c r="P323" s="85"/>
      <c r="Q323" s="85"/>
      <c r="R323" s="85"/>
      <c r="S323" s="85"/>
      <c r="T323" s="85"/>
      <c r="U323" s="85"/>
      <c r="V323" s="85"/>
      <c r="W323" s="85"/>
      <c r="X323" s="85"/>
      <c r="Y323" s="85"/>
      <c r="Z323" s="85"/>
      <c r="AA323" s="85"/>
      <c r="AB323" s="85"/>
      <c r="AC323" s="85"/>
      <c r="AD323" s="85"/>
      <c r="AE323" s="85"/>
      <c r="AF323" s="85"/>
      <c r="AG323" s="85"/>
    </row>
    <row r="324">
      <c r="A324" s="85"/>
      <c r="B324" s="85"/>
      <c r="C324" s="87"/>
      <c r="D324" s="87"/>
      <c r="E324" s="85"/>
      <c r="F324" s="85"/>
      <c r="G324" s="85"/>
      <c r="H324" s="85"/>
      <c r="I324" s="85"/>
      <c r="J324" s="85"/>
      <c r="K324" s="85"/>
      <c r="L324" s="85"/>
      <c r="M324" s="85"/>
      <c r="N324" s="85"/>
      <c r="O324" s="85"/>
      <c r="P324" s="85"/>
      <c r="Q324" s="85"/>
      <c r="R324" s="85"/>
      <c r="S324" s="85"/>
      <c r="T324" s="85"/>
      <c r="U324" s="85"/>
      <c r="V324" s="85"/>
      <c r="W324" s="85"/>
      <c r="X324" s="85"/>
      <c r="Y324" s="85"/>
      <c r="Z324" s="85"/>
      <c r="AA324" s="85"/>
      <c r="AB324" s="85"/>
      <c r="AC324" s="85"/>
      <c r="AD324" s="85"/>
      <c r="AE324" s="85"/>
      <c r="AF324" s="85"/>
      <c r="AG324" s="85"/>
    </row>
    <row r="325">
      <c r="A325" s="85"/>
      <c r="B325" s="85"/>
      <c r="C325" s="87"/>
      <c r="D325" s="87"/>
      <c r="E325" s="85"/>
      <c r="F325" s="85"/>
      <c r="G325" s="85"/>
      <c r="H325" s="85"/>
      <c r="I325" s="85"/>
      <c r="J325" s="85"/>
      <c r="K325" s="85"/>
      <c r="L325" s="85"/>
      <c r="M325" s="85"/>
      <c r="N325" s="85"/>
      <c r="O325" s="85"/>
      <c r="P325" s="85"/>
      <c r="Q325" s="85"/>
      <c r="R325" s="85"/>
      <c r="S325" s="85"/>
      <c r="T325" s="85"/>
      <c r="U325" s="85"/>
      <c r="V325" s="85"/>
      <c r="W325" s="85"/>
      <c r="X325" s="85"/>
      <c r="Y325" s="85"/>
      <c r="Z325" s="85"/>
      <c r="AA325" s="85"/>
      <c r="AB325" s="85"/>
      <c r="AC325" s="85"/>
      <c r="AD325" s="85"/>
      <c r="AE325" s="85"/>
      <c r="AF325" s="85"/>
      <c r="AG325" s="85"/>
    </row>
    <row r="326">
      <c r="A326" s="85"/>
      <c r="B326" s="85"/>
      <c r="C326" s="87"/>
      <c r="D326" s="87"/>
      <c r="E326" s="85"/>
      <c r="F326" s="85"/>
      <c r="G326" s="85"/>
      <c r="H326" s="85"/>
      <c r="I326" s="85"/>
      <c r="J326" s="85"/>
      <c r="K326" s="85"/>
      <c r="L326" s="85"/>
      <c r="M326" s="85"/>
      <c r="N326" s="85"/>
      <c r="O326" s="85"/>
      <c r="P326" s="85"/>
      <c r="Q326" s="85"/>
      <c r="R326" s="85"/>
      <c r="S326" s="85"/>
      <c r="T326" s="85"/>
      <c r="U326" s="85"/>
      <c r="V326" s="85"/>
      <c r="W326" s="85"/>
      <c r="X326" s="85"/>
      <c r="Y326" s="85"/>
      <c r="Z326" s="85"/>
      <c r="AA326" s="85"/>
      <c r="AB326" s="85"/>
      <c r="AC326" s="85"/>
      <c r="AD326" s="85"/>
      <c r="AE326" s="85"/>
      <c r="AF326" s="85"/>
      <c r="AG326" s="85"/>
    </row>
    <row r="327">
      <c r="A327" s="85"/>
      <c r="B327" s="85"/>
      <c r="C327" s="87"/>
      <c r="D327" s="87"/>
      <c r="E327" s="85"/>
      <c r="F327" s="85"/>
      <c r="G327" s="85"/>
      <c r="H327" s="85"/>
      <c r="I327" s="85"/>
      <c r="J327" s="85"/>
      <c r="K327" s="85"/>
      <c r="L327" s="85"/>
      <c r="M327" s="85"/>
      <c r="N327" s="85"/>
      <c r="O327" s="85"/>
      <c r="P327" s="85"/>
      <c r="Q327" s="85"/>
      <c r="R327" s="85"/>
      <c r="S327" s="85"/>
      <c r="T327" s="85"/>
      <c r="U327" s="85"/>
      <c r="V327" s="85"/>
      <c r="W327" s="85"/>
      <c r="X327" s="85"/>
      <c r="Y327" s="85"/>
      <c r="Z327" s="85"/>
      <c r="AA327" s="85"/>
      <c r="AB327" s="85"/>
      <c r="AC327" s="85"/>
      <c r="AD327" s="85"/>
      <c r="AE327" s="85"/>
      <c r="AF327" s="85"/>
      <c r="AG327" s="85"/>
    </row>
    <row r="328">
      <c r="A328" s="85"/>
      <c r="B328" s="85"/>
      <c r="C328" s="87"/>
      <c r="D328" s="87"/>
      <c r="E328" s="85"/>
      <c r="F328" s="85"/>
      <c r="G328" s="85"/>
      <c r="H328" s="85"/>
      <c r="I328" s="85"/>
      <c r="J328" s="85"/>
      <c r="K328" s="85"/>
      <c r="L328" s="85"/>
      <c r="M328" s="85"/>
      <c r="N328" s="85"/>
      <c r="O328" s="85"/>
      <c r="P328" s="85"/>
      <c r="Q328" s="85"/>
      <c r="R328" s="85"/>
      <c r="S328" s="85"/>
      <c r="T328" s="85"/>
      <c r="U328" s="85"/>
      <c r="V328" s="85"/>
      <c r="W328" s="85"/>
      <c r="X328" s="85"/>
      <c r="Y328" s="85"/>
      <c r="Z328" s="85"/>
      <c r="AA328" s="85"/>
      <c r="AB328" s="85"/>
      <c r="AC328" s="85"/>
      <c r="AD328" s="85"/>
      <c r="AE328" s="85"/>
      <c r="AF328" s="85"/>
      <c r="AG328" s="85"/>
    </row>
    <row r="329">
      <c r="A329" s="85"/>
      <c r="B329" s="85"/>
      <c r="C329" s="87"/>
      <c r="D329" s="87"/>
      <c r="E329" s="85"/>
      <c r="F329" s="85"/>
      <c r="G329" s="85"/>
      <c r="H329" s="85"/>
      <c r="I329" s="85"/>
      <c r="J329" s="85"/>
      <c r="K329" s="85"/>
      <c r="L329" s="85"/>
      <c r="M329" s="85"/>
      <c r="N329" s="85"/>
      <c r="O329" s="85"/>
      <c r="P329" s="85"/>
      <c r="Q329" s="85"/>
      <c r="R329" s="85"/>
      <c r="S329" s="85"/>
      <c r="T329" s="85"/>
      <c r="U329" s="85"/>
      <c r="V329" s="85"/>
      <c r="W329" s="85"/>
      <c r="X329" s="85"/>
      <c r="Y329" s="85"/>
      <c r="Z329" s="85"/>
      <c r="AA329" s="85"/>
      <c r="AB329" s="85"/>
      <c r="AC329" s="85"/>
      <c r="AD329" s="85"/>
      <c r="AE329" s="85"/>
      <c r="AF329" s="85"/>
      <c r="AG329" s="85"/>
    </row>
    <row r="330">
      <c r="A330" s="85"/>
      <c r="B330" s="85"/>
      <c r="C330" s="87"/>
      <c r="D330" s="87"/>
      <c r="E330" s="85"/>
      <c r="F330" s="85"/>
      <c r="G330" s="85"/>
      <c r="H330" s="85"/>
      <c r="I330" s="85"/>
      <c r="J330" s="85"/>
      <c r="K330" s="85"/>
      <c r="L330" s="85"/>
      <c r="M330" s="85"/>
      <c r="N330" s="85"/>
      <c r="O330" s="85"/>
      <c r="P330" s="85"/>
      <c r="Q330" s="85"/>
      <c r="R330" s="85"/>
      <c r="S330" s="85"/>
      <c r="T330" s="85"/>
      <c r="U330" s="85"/>
      <c r="V330" s="85"/>
      <c r="W330" s="85"/>
      <c r="X330" s="85"/>
      <c r="Y330" s="85"/>
      <c r="Z330" s="85"/>
      <c r="AA330" s="85"/>
      <c r="AB330" s="85"/>
      <c r="AC330" s="85"/>
      <c r="AD330" s="85"/>
      <c r="AE330" s="85"/>
      <c r="AF330" s="85"/>
      <c r="AG330" s="85"/>
    </row>
    <row r="331">
      <c r="A331" s="85"/>
      <c r="B331" s="85"/>
      <c r="C331" s="87"/>
      <c r="D331" s="87"/>
      <c r="E331" s="85"/>
      <c r="F331" s="85"/>
      <c r="G331" s="85"/>
      <c r="H331" s="85"/>
      <c r="I331" s="85"/>
      <c r="J331" s="85"/>
      <c r="K331" s="85"/>
      <c r="L331" s="85"/>
      <c r="M331" s="85"/>
      <c r="N331" s="85"/>
      <c r="O331" s="85"/>
      <c r="P331" s="85"/>
      <c r="Q331" s="85"/>
      <c r="R331" s="85"/>
      <c r="S331" s="85"/>
      <c r="T331" s="85"/>
      <c r="U331" s="85"/>
      <c r="V331" s="85"/>
      <c r="W331" s="85"/>
      <c r="X331" s="85"/>
      <c r="Y331" s="85"/>
      <c r="Z331" s="85"/>
      <c r="AA331" s="85"/>
      <c r="AB331" s="85"/>
      <c r="AC331" s="85"/>
      <c r="AD331" s="85"/>
      <c r="AE331" s="85"/>
      <c r="AF331" s="85"/>
      <c r="AG331" s="85"/>
    </row>
    <row r="332">
      <c r="A332" s="85"/>
      <c r="B332" s="85"/>
      <c r="C332" s="87"/>
      <c r="D332" s="87"/>
      <c r="E332" s="85"/>
      <c r="F332" s="85"/>
      <c r="G332" s="85"/>
      <c r="H332" s="85"/>
      <c r="I332" s="85"/>
      <c r="J332" s="85"/>
      <c r="K332" s="85"/>
      <c r="L332" s="85"/>
      <c r="M332" s="85"/>
      <c r="N332" s="85"/>
      <c r="O332" s="85"/>
      <c r="P332" s="85"/>
      <c r="Q332" s="85"/>
      <c r="R332" s="85"/>
      <c r="S332" s="85"/>
      <c r="T332" s="85"/>
      <c r="U332" s="85"/>
      <c r="V332" s="85"/>
      <c r="W332" s="85"/>
      <c r="X332" s="85"/>
      <c r="Y332" s="85"/>
      <c r="Z332" s="85"/>
      <c r="AA332" s="85"/>
      <c r="AB332" s="85"/>
      <c r="AC332" s="85"/>
      <c r="AD332" s="85"/>
      <c r="AE332" s="85"/>
      <c r="AF332" s="85"/>
      <c r="AG332" s="85"/>
    </row>
    <row r="333">
      <c r="A333" s="85"/>
      <c r="B333" s="85"/>
      <c r="C333" s="87"/>
      <c r="D333" s="87"/>
      <c r="E333" s="85"/>
      <c r="F333" s="85"/>
      <c r="G333" s="85"/>
      <c r="H333" s="85"/>
      <c r="I333" s="85"/>
      <c r="J333" s="85"/>
      <c r="K333" s="85"/>
      <c r="L333" s="85"/>
      <c r="M333" s="85"/>
      <c r="N333" s="85"/>
      <c r="O333" s="85"/>
      <c r="P333" s="85"/>
      <c r="Q333" s="85"/>
      <c r="R333" s="85"/>
      <c r="S333" s="85"/>
      <c r="T333" s="85"/>
      <c r="U333" s="85"/>
      <c r="V333" s="85"/>
      <c r="W333" s="85"/>
      <c r="X333" s="85"/>
      <c r="Y333" s="85"/>
      <c r="Z333" s="85"/>
      <c r="AA333" s="85"/>
      <c r="AB333" s="85"/>
      <c r="AC333" s="85"/>
      <c r="AD333" s="85"/>
      <c r="AE333" s="85"/>
      <c r="AF333" s="85"/>
      <c r="AG333" s="85"/>
    </row>
    <row r="334">
      <c r="A334" s="85"/>
      <c r="B334" s="85"/>
      <c r="C334" s="87"/>
      <c r="D334" s="87"/>
      <c r="E334" s="85"/>
      <c r="F334" s="85"/>
      <c r="G334" s="85"/>
      <c r="H334" s="85"/>
      <c r="I334" s="85"/>
      <c r="J334" s="85"/>
      <c r="K334" s="85"/>
      <c r="L334" s="85"/>
      <c r="M334" s="85"/>
      <c r="N334" s="85"/>
      <c r="O334" s="85"/>
      <c r="P334" s="85"/>
      <c r="Q334" s="85"/>
      <c r="R334" s="85"/>
      <c r="S334" s="85"/>
      <c r="T334" s="85"/>
      <c r="U334" s="85"/>
      <c r="V334" s="85"/>
      <c r="W334" s="85"/>
      <c r="X334" s="85"/>
      <c r="Y334" s="85"/>
      <c r="Z334" s="85"/>
      <c r="AA334" s="85"/>
      <c r="AB334" s="85"/>
      <c r="AC334" s="85"/>
      <c r="AD334" s="85"/>
      <c r="AE334" s="85"/>
      <c r="AF334" s="85"/>
      <c r="AG334" s="85"/>
    </row>
    <row r="335">
      <c r="A335" s="85"/>
      <c r="B335" s="85"/>
      <c r="C335" s="87"/>
      <c r="D335" s="87"/>
      <c r="E335" s="85"/>
      <c r="F335" s="85"/>
      <c r="G335" s="85"/>
      <c r="H335" s="85"/>
      <c r="I335" s="85"/>
      <c r="J335" s="85"/>
      <c r="K335" s="85"/>
      <c r="L335" s="85"/>
      <c r="M335" s="85"/>
      <c r="N335" s="85"/>
      <c r="O335" s="85"/>
      <c r="P335" s="85"/>
      <c r="Q335" s="85"/>
      <c r="R335" s="85"/>
      <c r="S335" s="85"/>
      <c r="T335" s="85"/>
      <c r="U335" s="85"/>
      <c r="V335" s="85"/>
      <c r="W335" s="85"/>
      <c r="X335" s="85"/>
      <c r="Y335" s="85"/>
      <c r="Z335" s="85"/>
      <c r="AA335" s="85"/>
      <c r="AB335" s="85"/>
      <c r="AC335" s="85"/>
      <c r="AD335" s="85"/>
      <c r="AE335" s="85"/>
      <c r="AF335" s="85"/>
      <c r="AG335" s="85"/>
    </row>
    <row r="336">
      <c r="A336" s="85"/>
      <c r="B336" s="85"/>
      <c r="C336" s="87"/>
      <c r="D336" s="87"/>
      <c r="E336" s="85"/>
      <c r="F336" s="85"/>
      <c r="G336" s="85"/>
      <c r="H336" s="85"/>
      <c r="I336" s="85"/>
      <c r="J336" s="85"/>
      <c r="K336" s="85"/>
      <c r="L336" s="85"/>
      <c r="M336" s="85"/>
      <c r="N336" s="85"/>
      <c r="O336" s="85"/>
      <c r="P336" s="85"/>
      <c r="Q336" s="85"/>
      <c r="R336" s="85"/>
      <c r="S336" s="85"/>
      <c r="T336" s="85"/>
      <c r="U336" s="85"/>
      <c r="V336" s="85"/>
      <c r="W336" s="85"/>
      <c r="X336" s="85"/>
      <c r="Y336" s="85"/>
      <c r="Z336" s="85"/>
      <c r="AA336" s="85"/>
      <c r="AB336" s="85"/>
      <c r="AC336" s="85"/>
      <c r="AD336" s="85"/>
      <c r="AE336" s="85"/>
      <c r="AF336" s="85"/>
      <c r="AG336" s="85"/>
    </row>
    <row r="337">
      <c r="A337" s="85"/>
      <c r="B337" s="85"/>
      <c r="C337" s="87"/>
      <c r="D337" s="87"/>
      <c r="E337" s="85"/>
      <c r="F337" s="85"/>
      <c r="G337" s="85"/>
      <c r="H337" s="85"/>
      <c r="I337" s="85"/>
      <c r="J337" s="85"/>
      <c r="K337" s="85"/>
      <c r="L337" s="85"/>
      <c r="M337" s="85"/>
      <c r="N337" s="85"/>
      <c r="O337" s="85"/>
      <c r="P337" s="85"/>
      <c r="Q337" s="85"/>
      <c r="R337" s="85"/>
      <c r="S337" s="85"/>
      <c r="T337" s="85"/>
      <c r="U337" s="85"/>
      <c r="V337" s="85"/>
      <c r="W337" s="85"/>
      <c r="X337" s="85"/>
      <c r="Y337" s="85"/>
      <c r="Z337" s="85"/>
      <c r="AA337" s="85"/>
      <c r="AB337" s="85"/>
      <c r="AC337" s="85"/>
      <c r="AD337" s="85"/>
      <c r="AE337" s="85"/>
      <c r="AF337" s="85"/>
      <c r="AG337" s="85"/>
    </row>
    <row r="338">
      <c r="A338" s="85"/>
      <c r="B338" s="85"/>
      <c r="C338" s="87"/>
      <c r="D338" s="87"/>
      <c r="E338" s="85"/>
      <c r="F338" s="85"/>
      <c r="G338" s="85"/>
      <c r="H338" s="85"/>
      <c r="I338" s="85"/>
      <c r="J338" s="85"/>
      <c r="K338" s="85"/>
      <c r="L338" s="85"/>
      <c r="M338" s="85"/>
      <c r="N338" s="85"/>
      <c r="O338" s="85"/>
      <c r="P338" s="85"/>
      <c r="Q338" s="85"/>
      <c r="R338" s="85"/>
      <c r="S338" s="85"/>
      <c r="T338" s="85"/>
      <c r="U338" s="85"/>
      <c r="V338" s="85"/>
      <c r="W338" s="85"/>
      <c r="X338" s="85"/>
      <c r="Y338" s="85"/>
      <c r="Z338" s="85"/>
      <c r="AA338" s="85"/>
      <c r="AB338" s="85"/>
      <c r="AC338" s="85"/>
      <c r="AD338" s="85"/>
      <c r="AE338" s="85"/>
      <c r="AF338" s="85"/>
      <c r="AG338" s="85"/>
    </row>
    <row r="339">
      <c r="A339" s="85"/>
      <c r="B339" s="85"/>
      <c r="C339" s="87"/>
      <c r="D339" s="87"/>
      <c r="E339" s="85"/>
      <c r="F339" s="85"/>
      <c r="G339" s="85"/>
      <c r="H339" s="85"/>
      <c r="I339" s="85"/>
      <c r="J339" s="85"/>
      <c r="K339" s="85"/>
      <c r="L339" s="85"/>
      <c r="M339" s="85"/>
      <c r="N339" s="85"/>
      <c r="O339" s="85"/>
      <c r="P339" s="85"/>
      <c r="Q339" s="85"/>
      <c r="R339" s="85"/>
      <c r="S339" s="85"/>
      <c r="T339" s="85"/>
      <c r="U339" s="85"/>
      <c r="V339" s="85"/>
      <c r="W339" s="85"/>
      <c r="X339" s="85"/>
      <c r="Y339" s="85"/>
      <c r="Z339" s="85"/>
      <c r="AA339" s="85"/>
      <c r="AB339" s="85"/>
      <c r="AC339" s="85"/>
      <c r="AD339" s="85"/>
      <c r="AE339" s="85"/>
      <c r="AF339" s="85"/>
      <c r="AG339" s="85"/>
    </row>
    <row r="340">
      <c r="A340" s="85"/>
      <c r="B340" s="85"/>
      <c r="C340" s="87"/>
      <c r="D340" s="87"/>
      <c r="E340" s="85"/>
      <c r="F340" s="85"/>
      <c r="G340" s="85"/>
      <c r="H340" s="85"/>
      <c r="I340" s="85"/>
      <c r="J340" s="85"/>
      <c r="K340" s="85"/>
      <c r="L340" s="85"/>
      <c r="M340" s="85"/>
      <c r="N340" s="85"/>
      <c r="O340" s="85"/>
      <c r="P340" s="85"/>
      <c r="Q340" s="85"/>
      <c r="R340" s="85"/>
      <c r="S340" s="85"/>
      <c r="T340" s="85"/>
      <c r="U340" s="85"/>
      <c r="V340" s="85"/>
      <c r="W340" s="85"/>
      <c r="X340" s="85"/>
      <c r="Y340" s="85"/>
      <c r="Z340" s="85"/>
      <c r="AA340" s="85"/>
      <c r="AB340" s="85"/>
      <c r="AC340" s="85"/>
      <c r="AD340" s="85"/>
      <c r="AE340" s="85"/>
      <c r="AF340" s="85"/>
      <c r="AG340" s="85"/>
    </row>
    <row r="341">
      <c r="A341" s="85"/>
      <c r="B341" s="85"/>
      <c r="C341" s="87"/>
      <c r="D341" s="87"/>
      <c r="E341" s="85"/>
      <c r="F341" s="85"/>
      <c r="G341" s="85"/>
      <c r="H341" s="85"/>
      <c r="I341" s="85"/>
      <c r="J341" s="85"/>
      <c r="K341" s="85"/>
      <c r="L341" s="85"/>
      <c r="M341" s="85"/>
      <c r="N341" s="85"/>
      <c r="O341" s="85"/>
      <c r="P341" s="85"/>
      <c r="Q341" s="85"/>
      <c r="R341" s="85"/>
      <c r="S341" s="85"/>
      <c r="T341" s="85"/>
      <c r="U341" s="85"/>
      <c r="V341" s="85"/>
      <c r="W341" s="85"/>
      <c r="X341" s="85"/>
      <c r="Y341" s="85"/>
      <c r="Z341" s="85"/>
      <c r="AA341" s="85"/>
      <c r="AB341" s="85"/>
      <c r="AC341" s="85"/>
      <c r="AD341" s="85"/>
      <c r="AE341" s="85"/>
      <c r="AF341" s="85"/>
      <c r="AG341" s="85"/>
    </row>
    <row r="342">
      <c r="A342" s="85"/>
      <c r="B342" s="85"/>
      <c r="C342" s="87"/>
      <c r="D342" s="87"/>
      <c r="E342" s="85"/>
      <c r="F342" s="85"/>
      <c r="G342" s="85"/>
      <c r="H342" s="85"/>
      <c r="I342" s="85"/>
      <c r="J342" s="85"/>
      <c r="K342" s="85"/>
      <c r="L342" s="85"/>
      <c r="M342" s="85"/>
      <c r="N342" s="85"/>
      <c r="O342" s="85"/>
      <c r="P342" s="85"/>
      <c r="Q342" s="85"/>
      <c r="R342" s="85"/>
      <c r="S342" s="85"/>
      <c r="T342" s="85"/>
      <c r="U342" s="85"/>
      <c r="V342" s="85"/>
      <c r="W342" s="85"/>
      <c r="X342" s="85"/>
      <c r="Y342" s="85"/>
      <c r="Z342" s="85"/>
      <c r="AA342" s="85"/>
      <c r="AB342" s="85"/>
      <c r="AC342" s="85"/>
      <c r="AD342" s="85"/>
      <c r="AE342" s="85"/>
      <c r="AF342" s="85"/>
      <c r="AG342" s="85"/>
    </row>
    <row r="343">
      <c r="A343" s="85"/>
      <c r="B343" s="85"/>
      <c r="C343" s="87"/>
      <c r="D343" s="87"/>
      <c r="E343" s="85"/>
      <c r="F343" s="85"/>
      <c r="G343" s="85"/>
      <c r="H343" s="85"/>
      <c r="I343" s="85"/>
      <c r="J343" s="85"/>
      <c r="K343" s="85"/>
      <c r="L343" s="85"/>
      <c r="M343" s="85"/>
      <c r="N343" s="85"/>
      <c r="O343" s="85"/>
      <c r="P343" s="85"/>
      <c r="Q343" s="85"/>
      <c r="R343" s="85"/>
      <c r="S343" s="85"/>
      <c r="T343" s="85"/>
      <c r="U343" s="85"/>
      <c r="V343" s="85"/>
      <c r="W343" s="85"/>
      <c r="X343" s="85"/>
      <c r="Y343" s="85"/>
      <c r="Z343" s="85"/>
      <c r="AA343" s="85"/>
      <c r="AB343" s="85"/>
      <c r="AC343" s="85"/>
      <c r="AD343" s="85"/>
      <c r="AE343" s="85"/>
      <c r="AF343" s="85"/>
      <c r="AG343" s="85"/>
    </row>
    <row r="344">
      <c r="A344" s="85"/>
      <c r="B344" s="85"/>
      <c r="C344" s="87"/>
      <c r="D344" s="87"/>
      <c r="E344" s="85"/>
      <c r="F344" s="85"/>
      <c r="G344" s="85"/>
      <c r="H344" s="85"/>
      <c r="I344" s="85"/>
      <c r="J344" s="85"/>
      <c r="K344" s="85"/>
      <c r="L344" s="85"/>
      <c r="M344" s="85"/>
      <c r="N344" s="85"/>
      <c r="O344" s="85"/>
      <c r="P344" s="85"/>
      <c r="Q344" s="85"/>
      <c r="R344" s="85"/>
      <c r="S344" s="85"/>
      <c r="T344" s="85"/>
      <c r="U344" s="85"/>
      <c r="V344" s="85"/>
      <c r="W344" s="85"/>
      <c r="X344" s="85"/>
      <c r="Y344" s="85"/>
      <c r="Z344" s="85"/>
      <c r="AA344" s="85"/>
      <c r="AB344" s="85"/>
      <c r="AC344" s="85"/>
      <c r="AD344" s="85"/>
      <c r="AE344" s="85"/>
      <c r="AF344" s="85"/>
      <c r="AG344" s="85"/>
    </row>
    <row r="345">
      <c r="A345" s="85"/>
      <c r="B345" s="85"/>
      <c r="C345" s="87"/>
      <c r="D345" s="87"/>
      <c r="E345" s="85"/>
      <c r="F345" s="85"/>
      <c r="G345" s="85"/>
      <c r="H345" s="85"/>
      <c r="I345" s="85"/>
      <c r="J345" s="85"/>
      <c r="K345" s="85"/>
      <c r="L345" s="85"/>
      <c r="M345" s="85"/>
      <c r="N345" s="85"/>
      <c r="O345" s="85"/>
      <c r="P345" s="85"/>
      <c r="Q345" s="85"/>
      <c r="R345" s="85"/>
      <c r="S345" s="85"/>
      <c r="T345" s="85"/>
      <c r="U345" s="85"/>
      <c r="V345" s="85"/>
      <c r="W345" s="85"/>
      <c r="X345" s="85"/>
      <c r="Y345" s="85"/>
      <c r="Z345" s="85"/>
      <c r="AA345" s="85"/>
      <c r="AB345" s="85"/>
      <c r="AC345" s="85"/>
      <c r="AD345" s="85"/>
      <c r="AE345" s="85"/>
      <c r="AF345" s="85"/>
      <c r="AG345" s="85"/>
    </row>
    <row r="346">
      <c r="A346" s="85"/>
      <c r="B346" s="85"/>
      <c r="C346" s="87"/>
      <c r="D346" s="87"/>
      <c r="E346" s="85"/>
      <c r="F346" s="85"/>
      <c r="G346" s="85"/>
      <c r="H346" s="85"/>
      <c r="I346" s="85"/>
      <c r="J346" s="85"/>
      <c r="K346" s="85"/>
      <c r="L346" s="85"/>
      <c r="M346" s="85"/>
      <c r="N346" s="85"/>
      <c r="O346" s="85"/>
      <c r="P346" s="85"/>
      <c r="Q346" s="85"/>
      <c r="R346" s="85"/>
      <c r="S346" s="85"/>
      <c r="T346" s="85"/>
      <c r="U346" s="85"/>
      <c r="V346" s="85"/>
      <c r="W346" s="85"/>
      <c r="X346" s="85"/>
      <c r="Y346" s="85"/>
      <c r="Z346" s="85"/>
      <c r="AA346" s="85"/>
      <c r="AB346" s="85"/>
      <c r="AC346" s="85"/>
      <c r="AD346" s="85"/>
      <c r="AE346" s="85"/>
      <c r="AF346" s="85"/>
      <c r="AG346" s="85"/>
    </row>
    <row r="347">
      <c r="A347" s="85"/>
      <c r="B347" s="85"/>
      <c r="C347" s="87"/>
      <c r="D347" s="87"/>
      <c r="E347" s="85"/>
      <c r="F347" s="85"/>
      <c r="G347" s="85"/>
      <c r="H347" s="85"/>
      <c r="I347" s="85"/>
      <c r="J347" s="85"/>
      <c r="K347" s="85"/>
      <c r="L347" s="85"/>
      <c r="M347" s="85"/>
      <c r="N347" s="85"/>
      <c r="O347" s="85"/>
      <c r="P347" s="85"/>
      <c r="Q347" s="85"/>
      <c r="R347" s="85"/>
      <c r="S347" s="85"/>
      <c r="T347" s="85"/>
      <c r="U347" s="85"/>
      <c r="V347" s="85"/>
      <c r="W347" s="85"/>
      <c r="X347" s="85"/>
      <c r="Y347" s="85"/>
      <c r="Z347" s="85"/>
      <c r="AA347" s="85"/>
      <c r="AB347" s="85"/>
      <c r="AC347" s="85"/>
      <c r="AD347" s="85"/>
      <c r="AE347" s="85"/>
      <c r="AF347" s="85"/>
      <c r="AG347" s="85"/>
    </row>
    <row r="348">
      <c r="A348" s="85"/>
      <c r="B348" s="85"/>
      <c r="C348" s="87"/>
      <c r="D348" s="87"/>
      <c r="E348" s="85"/>
      <c r="F348" s="85"/>
      <c r="G348" s="85"/>
      <c r="H348" s="85"/>
      <c r="I348" s="85"/>
      <c r="J348" s="85"/>
      <c r="K348" s="85"/>
      <c r="L348" s="85"/>
      <c r="M348" s="85"/>
      <c r="N348" s="85"/>
      <c r="O348" s="85"/>
      <c r="P348" s="85"/>
      <c r="Q348" s="85"/>
      <c r="R348" s="85"/>
      <c r="S348" s="85"/>
      <c r="T348" s="85"/>
      <c r="U348" s="85"/>
      <c r="V348" s="85"/>
      <c r="W348" s="85"/>
      <c r="X348" s="85"/>
      <c r="Y348" s="85"/>
      <c r="Z348" s="85"/>
      <c r="AA348" s="85"/>
      <c r="AB348" s="85"/>
      <c r="AC348" s="85"/>
      <c r="AD348" s="85"/>
      <c r="AE348" s="85"/>
      <c r="AF348" s="85"/>
      <c r="AG348" s="85"/>
    </row>
    <row r="349">
      <c r="A349" s="85"/>
      <c r="B349" s="85"/>
      <c r="C349" s="87"/>
      <c r="D349" s="87"/>
      <c r="E349" s="85"/>
      <c r="F349" s="85"/>
      <c r="G349" s="85"/>
      <c r="H349" s="85"/>
      <c r="I349" s="85"/>
      <c r="J349" s="85"/>
      <c r="K349" s="85"/>
      <c r="L349" s="85"/>
      <c r="M349" s="85"/>
      <c r="N349" s="85"/>
      <c r="O349" s="85"/>
      <c r="P349" s="85"/>
      <c r="Q349" s="85"/>
      <c r="R349" s="85"/>
      <c r="S349" s="85"/>
      <c r="T349" s="85"/>
      <c r="U349" s="85"/>
      <c r="V349" s="85"/>
      <c r="W349" s="85"/>
      <c r="X349" s="85"/>
      <c r="Y349" s="85"/>
      <c r="Z349" s="85"/>
      <c r="AA349" s="85"/>
      <c r="AB349" s="85"/>
      <c r="AC349" s="85"/>
      <c r="AD349" s="85"/>
      <c r="AE349" s="85"/>
      <c r="AF349" s="85"/>
      <c r="AG349" s="85"/>
    </row>
    <row r="350">
      <c r="A350" s="85"/>
      <c r="B350" s="85"/>
      <c r="C350" s="87"/>
      <c r="D350" s="87"/>
      <c r="E350" s="85"/>
      <c r="F350" s="85"/>
      <c r="G350" s="85"/>
      <c r="H350" s="85"/>
      <c r="I350" s="85"/>
      <c r="J350" s="85"/>
      <c r="K350" s="85"/>
      <c r="L350" s="85"/>
      <c r="M350" s="85"/>
      <c r="N350" s="85"/>
      <c r="O350" s="85"/>
      <c r="P350" s="85"/>
      <c r="Q350" s="85"/>
      <c r="R350" s="85"/>
      <c r="S350" s="85"/>
      <c r="T350" s="85"/>
      <c r="U350" s="85"/>
      <c r="V350" s="85"/>
      <c r="W350" s="85"/>
      <c r="X350" s="85"/>
      <c r="Y350" s="85"/>
      <c r="Z350" s="85"/>
      <c r="AA350" s="85"/>
      <c r="AB350" s="85"/>
      <c r="AC350" s="85"/>
      <c r="AD350" s="85"/>
      <c r="AE350" s="85"/>
      <c r="AF350" s="85"/>
      <c r="AG350" s="85"/>
    </row>
    <row r="351">
      <c r="A351" s="85"/>
      <c r="B351" s="85"/>
      <c r="C351" s="87"/>
      <c r="D351" s="87"/>
      <c r="E351" s="85"/>
      <c r="F351" s="85"/>
      <c r="G351" s="85"/>
      <c r="H351" s="85"/>
      <c r="I351" s="85"/>
      <c r="J351" s="85"/>
      <c r="K351" s="85"/>
      <c r="L351" s="85"/>
      <c r="M351" s="85"/>
      <c r="N351" s="85"/>
      <c r="O351" s="85"/>
      <c r="P351" s="85"/>
      <c r="Q351" s="85"/>
      <c r="R351" s="85"/>
      <c r="S351" s="85"/>
      <c r="T351" s="85"/>
      <c r="U351" s="85"/>
      <c r="V351" s="85"/>
      <c r="W351" s="85"/>
      <c r="X351" s="85"/>
      <c r="Y351" s="85"/>
      <c r="Z351" s="85"/>
      <c r="AA351" s="85"/>
      <c r="AB351" s="85"/>
      <c r="AC351" s="85"/>
      <c r="AD351" s="85"/>
      <c r="AE351" s="85"/>
      <c r="AF351" s="85"/>
      <c r="AG351" s="85"/>
    </row>
    <row r="352">
      <c r="A352" s="85"/>
      <c r="B352" s="85"/>
      <c r="C352" s="87"/>
      <c r="D352" s="87"/>
      <c r="E352" s="85"/>
      <c r="F352" s="85"/>
      <c r="G352" s="85"/>
      <c r="H352" s="85"/>
      <c r="I352" s="85"/>
      <c r="J352" s="85"/>
      <c r="K352" s="85"/>
      <c r="L352" s="85"/>
      <c r="M352" s="85"/>
      <c r="N352" s="85"/>
      <c r="O352" s="85"/>
      <c r="P352" s="85"/>
      <c r="Q352" s="85"/>
      <c r="R352" s="85"/>
      <c r="S352" s="85"/>
      <c r="T352" s="85"/>
      <c r="U352" s="85"/>
      <c r="V352" s="85"/>
      <c r="W352" s="85"/>
      <c r="X352" s="85"/>
      <c r="Y352" s="85"/>
      <c r="Z352" s="85"/>
      <c r="AA352" s="85"/>
      <c r="AB352" s="85"/>
      <c r="AC352" s="85"/>
      <c r="AD352" s="85"/>
      <c r="AE352" s="85"/>
      <c r="AF352" s="85"/>
      <c r="AG352" s="85"/>
    </row>
    <row r="353">
      <c r="A353" s="85"/>
      <c r="B353" s="85"/>
      <c r="C353" s="87"/>
      <c r="D353" s="87"/>
      <c r="E353" s="85"/>
      <c r="F353" s="85"/>
      <c r="G353" s="85"/>
      <c r="H353" s="85"/>
      <c r="I353" s="85"/>
      <c r="J353" s="85"/>
      <c r="K353" s="85"/>
      <c r="L353" s="85"/>
      <c r="M353" s="85"/>
      <c r="N353" s="85"/>
      <c r="O353" s="85"/>
      <c r="P353" s="85"/>
      <c r="Q353" s="85"/>
      <c r="R353" s="85"/>
      <c r="S353" s="85"/>
      <c r="T353" s="85"/>
      <c r="U353" s="85"/>
      <c r="V353" s="85"/>
      <c r="W353" s="85"/>
      <c r="X353" s="85"/>
      <c r="Y353" s="85"/>
      <c r="Z353" s="85"/>
      <c r="AA353" s="85"/>
      <c r="AB353" s="85"/>
      <c r="AC353" s="85"/>
      <c r="AD353" s="85"/>
      <c r="AE353" s="85"/>
      <c r="AF353" s="85"/>
      <c r="AG353" s="85"/>
    </row>
    <row r="354">
      <c r="A354" s="85"/>
      <c r="B354" s="85"/>
      <c r="C354" s="87"/>
      <c r="D354" s="87"/>
      <c r="E354" s="85"/>
      <c r="F354" s="85"/>
      <c r="G354" s="85"/>
      <c r="H354" s="85"/>
      <c r="I354" s="85"/>
      <c r="J354" s="85"/>
      <c r="K354" s="85"/>
      <c r="L354" s="85"/>
      <c r="M354" s="85"/>
      <c r="N354" s="85"/>
      <c r="O354" s="85"/>
      <c r="P354" s="85"/>
      <c r="Q354" s="85"/>
      <c r="R354" s="85"/>
      <c r="S354" s="85"/>
      <c r="T354" s="85"/>
      <c r="U354" s="85"/>
      <c r="V354" s="85"/>
      <c r="W354" s="85"/>
      <c r="X354" s="85"/>
      <c r="Y354" s="85"/>
      <c r="Z354" s="85"/>
      <c r="AA354" s="85"/>
      <c r="AB354" s="85"/>
      <c r="AC354" s="85"/>
      <c r="AD354" s="85"/>
      <c r="AE354" s="85"/>
      <c r="AF354" s="85"/>
      <c r="AG354" s="85"/>
    </row>
    <row r="355">
      <c r="A355" s="85"/>
      <c r="B355" s="85"/>
      <c r="C355" s="87"/>
      <c r="D355" s="87"/>
      <c r="E355" s="85"/>
      <c r="F355" s="85"/>
      <c r="G355" s="85"/>
      <c r="H355" s="85"/>
      <c r="I355" s="85"/>
      <c r="J355" s="85"/>
      <c r="K355" s="85"/>
      <c r="L355" s="85"/>
      <c r="M355" s="85"/>
      <c r="N355" s="85"/>
      <c r="O355" s="85"/>
      <c r="P355" s="85"/>
      <c r="Q355" s="85"/>
      <c r="R355" s="85"/>
      <c r="S355" s="85"/>
      <c r="T355" s="85"/>
      <c r="U355" s="85"/>
      <c r="V355" s="85"/>
      <c r="W355" s="85"/>
      <c r="X355" s="85"/>
      <c r="Y355" s="85"/>
      <c r="Z355" s="85"/>
      <c r="AA355" s="85"/>
      <c r="AB355" s="85"/>
      <c r="AC355" s="85"/>
      <c r="AD355" s="85"/>
      <c r="AE355" s="85"/>
      <c r="AF355" s="85"/>
      <c r="AG355" s="85"/>
    </row>
    <row r="356">
      <c r="A356" s="85"/>
      <c r="B356" s="85"/>
      <c r="C356" s="87"/>
      <c r="D356" s="87"/>
      <c r="E356" s="85"/>
      <c r="F356" s="85"/>
      <c r="G356" s="85"/>
      <c r="H356" s="85"/>
      <c r="I356" s="85"/>
      <c r="J356" s="85"/>
      <c r="K356" s="85"/>
      <c r="L356" s="85"/>
      <c r="M356" s="85"/>
      <c r="N356" s="85"/>
      <c r="O356" s="85"/>
      <c r="P356" s="85"/>
      <c r="Q356" s="85"/>
      <c r="R356" s="85"/>
      <c r="S356" s="85"/>
      <c r="T356" s="85"/>
      <c r="U356" s="85"/>
      <c r="V356" s="85"/>
      <c r="W356" s="85"/>
      <c r="X356" s="85"/>
      <c r="Y356" s="85"/>
      <c r="Z356" s="85"/>
      <c r="AA356" s="85"/>
      <c r="AB356" s="85"/>
      <c r="AC356" s="85"/>
      <c r="AD356" s="85"/>
      <c r="AE356" s="85"/>
      <c r="AF356" s="85"/>
      <c r="AG356" s="85"/>
    </row>
    <row r="357">
      <c r="A357" s="85"/>
      <c r="B357" s="85"/>
      <c r="C357" s="87"/>
      <c r="D357" s="87"/>
      <c r="E357" s="85"/>
      <c r="F357" s="85"/>
      <c r="G357" s="85"/>
      <c r="H357" s="85"/>
      <c r="I357" s="85"/>
      <c r="J357" s="85"/>
      <c r="K357" s="85"/>
      <c r="L357" s="85"/>
      <c r="M357" s="85"/>
      <c r="N357" s="85"/>
      <c r="O357" s="85"/>
      <c r="P357" s="85"/>
      <c r="Q357" s="85"/>
      <c r="R357" s="85"/>
      <c r="S357" s="85"/>
      <c r="T357" s="85"/>
      <c r="U357" s="85"/>
      <c r="V357" s="85"/>
      <c r="W357" s="85"/>
      <c r="X357" s="85"/>
      <c r="Y357" s="85"/>
      <c r="Z357" s="85"/>
      <c r="AA357" s="85"/>
      <c r="AB357" s="85"/>
      <c r="AC357" s="85"/>
      <c r="AD357" s="85"/>
      <c r="AE357" s="85"/>
      <c r="AF357" s="85"/>
      <c r="AG357" s="85"/>
    </row>
    <row r="358">
      <c r="A358" s="85"/>
      <c r="B358" s="85"/>
      <c r="C358" s="87"/>
      <c r="D358" s="87"/>
      <c r="E358" s="85"/>
      <c r="F358" s="85"/>
      <c r="G358" s="85"/>
      <c r="H358" s="85"/>
      <c r="I358" s="85"/>
      <c r="J358" s="85"/>
      <c r="K358" s="85"/>
      <c r="L358" s="85"/>
      <c r="M358" s="85"/>
      <c r="N358" s="85"/>
      <c r="O358" s="85"/>
      <c r="P358" s="85"/>
      <c r="Q358" s="85"/>
      <c r="R358" s="85"/>
      <c r="S358" s="85"/>
      <c r="T358" s="85"/>
      <c r="U358" s="85"/>
      <c r="V358" s="85"/>
      <c r="W358" s="85"/>
      <c r="X358" s="85"/>
      <c r="Y358" s="85"/>
      <c r="Z358" s="85"/>
      <c r="AA358" s="85"/>
      <c r="AB358" s="85"/>
      <c r="AC358" s="85"/>
      <c r="AD358" s="85"/>
      <c r="AE358" s="85"/>
      <c r="AF358" s="85"/>
      <c r="AG358" s="85"/>
    </row>
    <row r="359">
      <c r="A359" s="85"/>
      <c r="B359" s="85"/>
      <c r="C359" s="87"/>
      <c r="D359" s="87"/>
      <c r="E359" s="85"/>
      <c r="F359" s="85"/>
      <c r="G359" s="85"/>
      <c r="H359" s="85"/>
      <c r="I359" s="85"/>
      <c r="J359" s="85"/>
      <c r="K359" s="85"/>
      <c r="L359" s="85"/>
      <c r="M359" s="85"/>
      <c r="N359" s="85"/>
      <c r="O359" s="85"/>
      <c r="P359" s="85"/>
      <c r="Q359" s="85"/>
      <c r="R359" s="85"/>
      <c r="S359" s="85"/>
      <c r="T359" s="85"/>
      <c r="U359" s="85"/>
      <c r="V359" s="85"/>
      <c r="W359" s="85"/>
      <c r="X359" s="85"/>
      <c r="Y359" s="85"/>
      <c r="Z359" s="85"/>
      <c r="AA359" s="85"/>
      <c r="AB359" s="85"/>
      <c r="AC359" s="85"/>
      <c r="AD359" s="85"/>
      <c r="AE359" s="85"/>
      <c r="AF359" s="85"/>
      <c r="AG359" s="85"/>
    </row>
    <row r="360">
      <c r="A360" s="85"/>
      <c r="B360" s="85"/>
      <c r="C360" s="87"/>
      <c r="D360" s="87"/>
      <c r="E360" s="85"/>
      <c r="F360" s="85"/>
      <c r="G360" s="85"/>
      <c r="H360" s="85"/>
      <c r="I360" s="85"/>
      <c r="J360" s="85"/>
      <c r="K360" s="85"/>
      <c r="L360" s="85"/>
      <c r="M360" s="85"/>
      <c r="N360" s="85"/>
      <c r="O360" s="85"/>
      <c r="P360" s="85"/>
      <c r="Q360" s="85"/>
      <c r="R360" s="85"/>
      <c r="S360" s="85"/>
      <c r="T360" s="85"/>
      <c r="U360" s="85"/>
      <c r="V360" s="85"/>
      <c r="W360" s="85"/>
      <c r="X360" s="85"/>
      <c r="Y360" s="85"/>
      <c r="Z360" s="85"/>
      <c r="AA360" s="85"/>
      <c r="AB360" s="85"/>
      <c r="AC360" s="85"/>
      <c r="AD360" s="85"/>
      <c r="AE360" s="85"/>
      <c r="AF360" s="85"/>
      <c r="AG360" s="85"/>
    </row>
    <row r="361">
      <c r="A361" s="85"/>
      <c r="B361" s="85"/>
      <c r="C361" s="87"/>
      <c r="D361" s="87"/>
      <c r="E361" s="85"/>
      <c r="F361" s="85"/>
      <c r="G361" s="85"/>
      <c r="H361" s="85"/>
      <c r="I361" s="85"/>
      <c r="J361" s="85"/>
      <c r="K361" s="85"/>
      <c r="L361" s="85"/>
      <c r="M361" s="85"/>
      <c r="N361" s="85"/>
      <c r="O361" s="85"/>
      <c r="P361" s="85"/>
      <c r="Q361" s="85"/>
      <c r="R361" s="85"/>
      <c r="S361" s="85"/>
      <c r="T361" s="85"/>
      <c r="U361" s="85"/>
      <c r="V361" s="85"/>
      <c r="W361" s="85"/>
      <c r="X361" s="85"/>
      <c r="Y361" s="85"/>
      <c r="Z361" s="85"/>
      <c r="AA361" s="85"/>
      <c r="AB361" s="85"/>
      <c r="AC361" s="85"/>
      <c r="AD361" s="85"/>
      <c r="AE361" s="85"/>
      <c r="AF361" s="85"/>
      <c r="AG361" s="85"/>
    </row>
    <row r="362">
      <c r="A362" s="85"/>
      <c r="B362" s="85"/>
      <c r="C362" s="87"/>
      <c r="D362" s="87"/>
      <c r="E362" s="85"/>
      <c r="F362" s="85"/>
      <c r="G362" s="85"/>
      <c r="H362" s="85"/>
      <c r="I362" s="85"/>
      <c r="J362" s="85"/>
      <c r="K362" s="85"/>
      <c r="L362" s="85"/>
      <c r="M362" s="85"/>
      <c r="N362" s="85"/>
      <c r="O362" s="85"/>
      <c r="P362" s="85"/>
      <c r="Q362" s="85"/>
      <c r="R362" s="85"/>
      <c r="S362" s="85"/>
      <c r="T362" s="85"/>
      <c r="U362" s="85"/>
      <c r="V362" s="85"/>
      <c r="W362" s="85"/>
      <c r="X362" s="85"/>
      <c r="Y362" s="85"/>
      <c r="Z362" s="85"/>
      <c r="AA362" s="85"/>
      <c r="AB362" s="85"/>
      <c r="AC362" s="85"/>
      <c r="AD362" s="85"/>
      <c r="AE362" s="85"/>
      <c r="AF362" s="85"/>
      <c r="AG362" s="85"/>
    </row>
    <row r="363">
      <c r="A363" s="85"/>
      <c r="B363" s="85"/>
      <c r="C363" s="87"/>
      <c r="D363" s="87"/>
      <c r="E363" s="85"/>
      <c r="F363" s="85"/>
      <c r="G363" s="85"/>
      <c r="H363" s="85"/>
      <c r="I363" s="85"/>
      <c r="J363" s="85"/>
      <c r="K363" s="85"/>
      <c r="L363" s="85"/>
      <c r="M363" s="85"/>
      <c r="N363" s="85"/>
      <c r="O363" s="85"/>
      <c r="P363" s="85"/>
      <c r="Q363" s="85"/>
      <c r="R363" s="85"/>
      <c r="S363" s="85"/>
      <c r="T363" s="85"/>
      <c r="U363" s="85"/>
      <c r="V363" s="85"/>
      <c r="W363" s="85"/>
      <c r="X363" s="85"/>
      <c r="Y363" s="85"/>
      <c r="Z363" s="85"/>
      <c r="AA363" s="85"/>
      <c r="AB363" s="85"/>
      <c r="AC363" s="85"/>
      <c r="AD363" s="85"/>
      <c r="AE363" s="85"/>
      <c r="AF363" s="85"/>
      <c r="AG363" s="85"/>
    </row>
    <row r="364">
      <c r="A364" s="85"/>
      <c r="B364" s="85"/>
      <c r="C364" s="87"/>
      <c r="D364" s="87"/>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c r="AF364" s="85"/>
      <c r="AG364" s="85"/>
    </row>
    <row r="365">
      <c r="A365" s="85"/>
      <c r="B365" s="85"/>
      <c r="C365" s="87"/>
      <c r="D365" s="87"/>
      <c r="E365" s="85"/>
      <c r="F365" s="85"/>
      <c r="G365" s="85"/>
      <c r="H365" s="85"/>
      <c r="I365" s="85"/>
      <c r="J365" s="85"/>
      <c r="K365" s="85"/>
      <c r="L365" s="85"/>
      <c r="M365" s="85"/>
      <c r="N365" s="85"/>
      <c r="O365" s="85"/>
      <c r="P365" s="85"/>
      <c r="Q365" s="85"/>
      <c r="R365" s="85"/>
      <c r="S365" s="85"/>
      <c r="T365" s="85"/>
      <c r="U365" s="85"/>
      <c r="V365" s="85"/>
      <c r="W365" s="85"/>
      <c r="X365" s="85"/>
      <c r="Y365" s="85"/>
      <c r="Z365" s="85"/>
      <c r="AA365" s="85"/>
      <c r="AB365" s="85"/>
      <c r="AC365" s="85"/>
      <c r="AD365" s="85"/>
      <c r="AE365" s="85"/>
      <c r="AF365" s="85"/>
      <c r="AG365" s="85"/>
    </row>
    <row r="366">
      <c r="A366" s="85"/>
      <c r="B366" s="85"/>
      <c r="C366" s="87"/>
      <c r="D366" s="87"/>
      <c r="E366" s="85"/>
      <c r="F366" s="85"/>
      <c r="G366" s="85"/>
      <c r="H366" s="85"/>
      <c r="I366" s="85"/>
      <c r="J366" s="85"/>
      <c r="K366" s="85"/>
      <c r="L366" s="85"/>
      <c r="M366" s="85"/>
      <c r="N366" s="85"/>
      <c r="O366" s="85"/>
      <c r="P366" s="85"/>
      <c r="Q366" s="85"/>
      <c r="R366" s="85"/>
      <c r="S366" s="85"/>
      <c r="T366" s="85"/>
      <c r="U366" s="85"/>
      <c r="V366" s="85"/>
      <c r="W366" s="85"/>
      <c r="X366" s="85"/>
      <c r="Y366" s="85"/>
      <c r="Z366" s="85"/>
      <c r="AA366" s="85"/>
      <c r="AB366" s="85"/>
      <c r="AC366" s="85"/>
      <c r="AD366" s="85"/>
      <c r="AE366" s="85"/>
      <c r="AF366" s="85"/>
      <c r="AG366" s="85"/>
    </row>
    <row r="367">
      <c r="A367" s="85"/>
      <c r="B367" s="85"/>
      <c r="C367" s="87"/>
      <c r="D367" s="87"/>
      <c r="E367" s="85"/>
      <c r="F367" s="85"/>
      <c r="G367" s="85"/>
      <c r="H367" s="85"/>
      <c r="I367" s="85"/>
      <c r="J367" s="85"/>
      <c r="K367" s="85"/>
      <c r="L367" s="85"/>
      <c r="M367" s="85"/>
      <c r="N367" s="85"/>
      <c r="O367" s="85"/>
      <c r="P367" s="85"/>
      <c r="Q367" s="85"/>
      <c r="R367" s="85"/>
      <c r="S367" s="85"/>
      <c r="T367" s="85"/>
      <c r="U367" s="85"/>
      <c r="V367" s="85"/>
      <c r="W367" s="85"/>
      <c r="X367" s="85"/>
      <c r="Y367" s="85"/>
      <c r="Z367" s="85"/>
      <c r="AA367" s="85"/>
      <c r="AB367" s="85"/>
      <c r="AC367" s="85"/>
      <c r="AD367" s="85"/>
      <c r="AE367" s="85"/>
      <c r="AF367" s="85"/>
      <c r="AG367" s="85"/>
    </row>
    <row r="368">
      <c r="A368" s="85"/>
      <c r="B368" s="85"/>
      <c r="C368" s="87"/>
      <c r="D368" s="87"/>
      <c r="E368" s="85"/>
      <c r="F368" s="85"/>
      <c r="G368" s="85"/>
      <c r="H368" s="85"/>
      <c r="I368" s="85"/>
      <c r="J368" s="85"/>
      <c r="K368" s="85"/>
      <c r="L368" s="85"/>
      <c r="M368" s="85"/>
      <c r="N368" s="85"/>
      <c r="O368" s="85"/>
      <c r="P368" s="85"/>
      <c r="Q368" s="85"/>
      <c r="R368" s="85"/>
      <c r="S368" s="85"/>
      <c r="T368" s="85"/>
      <c r="U368" s="85"/>
      <c r="V368" s="85"/>
      <c r="W368" s="85"/>
      <c r="X368" s="85"/>
      <c r="Y368" s="85"/>
      <c r="Z368" s="85"/>
      <c r="AA368" s="85"/>
      <c r="AB368" s="85"/>
      <c r="AC368" s="85"/>
      <c r="AD368" s="85"/>
      <c r="AE368" s="85"/>
      <c r="AF368" s="85"/>
      <c r="AG368" s="85"/>
    </row>
    <row r="369">
      <c r="A369" s="85"/>
      <c r="B369" s="85"/>
      <c r="C369" s="87"/>
      <c r="D369" s="87"/>
      <c r="E369" s="85"/>
      <c r="F369" s="85"/>
      <c r="G369" s="85"/>
      <c r="H369" s="85"/>
      <c r="I369" s="85"/>
      <c r="J369" s="85"/>
      <c r="K369" s="85"/>
      <c r="L369" s="85"/>
      <c r="M369" s="85"/>
      <c r="N369" s="85"/>
      <c r="O369" s="85"/>
      <c r="P369" s="85"/>
      <c r="Q369" s="85"/>
      <c r="R369" s="85"/>
      <c r="S369" s="85"/>
      <c r="T369" s="85"/>
      <c r="U369" s="85"/>
      <c r="V369" s="85"/>
      <c r="W369" s="85"/>
      <c r="X369" s="85"/>
      <c r="Y369" s="85"/>
      <c r="Z369" s="85"/>
      <c r="AA369" s="85"/>
      <c r="AB369" s="85"/>
      <c r="AC369" s="85"/>
      <c r="AD369" s="85"/>
      <c r="AE369" s="85"/>
      <c r="AF369" s="85"/>
      <c r="AG369" s="85"/>
    </row>
    <row r="370">
      <c r="A370" s="85"/>
      <c r="B370" s="85"/>
      <c r="C370" s="87"/>
      <c r="D370" s="87"/>
      <c r="E370" s="85"/>
      <c r="F370" s="85"/>
      <c r="G370" s="85"/>
      <c r="H370" s="85"/>
      <c r="I370" s="85"/>
      <c r="J370" s="85"/>
      <c r="K370" s="85"/>
      <c r="L370" s="85"/>
      <c r="M370" s="85"/>
      <c r="N370" s="85"/>
      <c r="O370" s="85"/>
      <c r="P370" s="85"/>
      <c r="Q370" s="85"/>
      <c r="R370" s="85"/>
      <c r="S370" s="85"/>
      <c r="T370" s="85"/>
      <c r="U370" s="85"/>
      <c r="V370" s="85"/>
      <c r="W370" s="85"/>
      <c r="X370" s="85"/>
      <c r="Y370" s="85"/>
      <c r="Z370" s="85"/>
      <c r="AA370" s="85"/>
      <c r="AB370" s="85"/>
      <c r="AC370" s="85"/>
      <c r="AD370" s="85"/>
      <c r="AE370" s="85"/>
      <c r="AF370" s="85"/>
      <c r="AG370" s="85"/>
    </row>
    <row r="371">
      <c r="A371" s="85"/>
      <c r="B371" s="85"/>
      <c r="C371" s="87"/>
      <c r="D371" s="87"/>
      <c r="E371" s="85"/>
      <c r="F371" s="85"/>
      <c r="G371" s="85"/>
      <c r="H371" s="85"/>
      <c r="I371" s="85"/>
      <c r="J371" s="85"/>
      <c r="K371" s="85"/>
      <c r="L371" s="85"/>
      <c r="M371" s="85"/>
      <c r="N371" s="85"/>
      <c r="O371" s="85"/>
      <c r="P371" s="85"/>
      <c r="Q371" s="85"/>
      <c r="R371" s="85"/>
      <c r="S371" s="85"/>
      <c r="T371" s="85"/>
      <c r="U371" s="85"/>
      <c r="V371" s="85"/>
      <c r="W371" s="85"/>
      <c r="X371" s="85"/>
      <c r="Y371" s="85"/>
      <c r="Z371" s="85"/>
      <c r="AA371" s="85"/>
      <c r="AB371" s="85"/>
      <c r="AC371" s="85"/>
      <c r="AD371" s="85"/>
      <c r="AE371" s="85"/>
      <c r="AF371" s="85"/>
      <c r="AG371" s="85"/>
    </row>
    <row r="372">
      <c r="A372" s="85"/>
      <c r="B372" s="85"/>
      <c r="C372" s="87"/>
      <c r="D372" s="87"/>
      <c r="E372" s="85"/>
      <c r="F372" s="85"/>
      <c r="G372" s="85"/>
      <c r="H372" s="85"/>
      <c r="I372" s="85"/>
      <c r="J372" s="85"/>
      <c r="K372" s="85"/>
      <c r="L372" s="85"/>
      <c r="M372" s="85"/>
      <c r="N372" s="85"/>
      <c r="O372" s="85"/>
      <c r="P372" s="85"/>
      <c r="Q372" s="85"/>
      <c r="R372" s="85"/>
      <c r="S372" s="85"/>
      <c r="T372" s="85"/>
      <c r="U372" s="85"/>
      <c r="V372" s="85"/>
      <c r="W372" s="85"/>
      <c r="X372" s="85"/>
      <c r="Y372" s="85"/>
      <c r="Z372" s="85"/>
      <c r="AA372" s="85"/>
      <c r="AB372" s="85"/>
      <c r="AC372" s="85"/>
      <c r="AD372" s="85"/>
      <c r="AE372" s="85"/>
      <c r="AF372" s="85"/>
      <c r="AG372" s="85"/>
    </row>
    <row r="373">
      <c r="A373" s="85"/>
      <c r="B373" s="85"/>
      <c r="C373" s="87"/>
      <c r="D373" s="87"/>
      <c r="E373" s="85"/>
      <c r="F373" s="85"/>
      <c r="G373" s="85"/>
      <c r="H373" s="85"/>
      <c r="I373" s="85"/>
      <c r="J373" s="85"/>
      <c r="K373" s="85"/>
      <c r="L373" s="85"/>
      <c r="M373" s="85"/>
      <c r="N373" s="85"/>
      <c r="O373" s="85"/>
      <c r="P373" s="85"/>
      <c r="Q373" s="85"/>
      <c r="R373" s="85"/>
      <c r="S373" s="85"/>
      <c r="T373" s="85"/>
      <c r="U373" s="85"/>
      <c r="V373" s="85"/>
      <c r="W373" s="85"/>
      <c r="X373" s="85"/>
      <c r="Y373" s="85"/>
      <c r="Z373" s="85"/>
      <c r="AA373" s="85"/>
      <c r="AB373" s="85"/>
      <c r="AC373" s="85"/>
      <c r="AD373" s="85"/>
      <c r="AE373" s="85"/>
      <c r="AF373" s="85"/>
      <c r="AG373" s="85"/>
    </row>
    <row r="374">
      <c r="A374" s="85"/>
      <c r="B374" s="85"/>
      <c r="C374" s="87"/>
      <c r="D374" s="87"/>
      <c r="E374" s="85"/>
      <c r="F374" s="85"/>
      <c r="G374" s="85"/>
      <c r="H374" s="85"/>
      <c r="I374" s="85"/>
      <c r="J374" s="85"/>
      <c r="K374" s="85"/>
      <c r="L374" s="85"/>
      <c r="M374" s="85"/>
      <c r="N374" s="85"/>
      <c r="O374" s="85"/>
      <c r="P374" s="85"/>
      <c r="Q374" s="85"/>
      <c r="R374" s="85"/>
      <c r="S374" s="85"/>
      <c r="T374" s="85"/>
      <c r="U374" s="85"/>
      <c r="V374" s="85"/>
      <c r="W374" s="85"/>
      <c r="X374" s="85"/>
      <c r="Y374" s="85"/>
      <c r="Z374" s="85"/>
      <c r="AA374" s="85"/>
      <c r="AB374" s="85"/>
      <c r="AC374" s="85"/>
      <c r="AD374" s="85"/>
      <c r="AE374" s="85"/>
      <c r="AF374" s="85"/>
      <c r="AG374" s="85"/>
    </row>
    <row r="375">
      <c r="A375" s="85"/>
      <c r="B375" s="85"/>
      <c r="C375" s="87"/>
      <c r="D375" s="87"/>
      <c r="E375" s="85"/>
      <c r="F375" s="85"/>
      <c r="G375" s="85"/>
      <c r="H375" s="85"/>
      <c r="I375" s="85"/>
      <c r="J375" s="85"/>
      <c r="K375" s="85"/>
      <c r="L375" s="85"/>
      <c r="M375" s="85"/>
      <c r="N375" s="85"/>
      <c r="O375" s="85"/>
      <c r="P375" s="85"/>
      <c r="Q375" s="85"/>
      <c r="R375" s="85"/>
      <c r="S375" s="85"/>
      <c r="T375" s="85"/>
      <c r="U375" s="85"/>
      <c r="V375" s="85"/>
      <c r="W375" s="85"/>
      <c r="X375" s="85"/>
      <c r="Y375" s="85"/>
      <c r="Z375" s="85"/>
      <c r="AA375" s="85"/>
      <c r="AB375" s="85"/>
      <c r="AC375" s="85"/>
      <c r="AD375" s="85"/>
      <c r="AE375" s="85"/>
      <c r="AF375" s="85"/>
      <c r="AG375" s="85"/>
    </row>
    <row r="376">
      <c r="A376" s="85"/>
      <c r="B376" s="85"/>
      <c r="C376" s="87"/>
      <c r="D376" s="87"/>
      <c r="E376" s="85"/>
      <c r="F376" s="85"/>
      <c r="G376" s="85"/>
      <c r="H376" s="85"/>
      <c r="I376" s="85"/>
      <c r="J376" s="85"/>
      <c r="K376" s="85"/>
      <c r="L376" s="85"/>
      <c r="M376" s="85"/>
      <c r="N376" s="85"/>
      <c r="O376" s="85"/>
      <c r="P376" s="85"/>
      <c r="Q376" s="85"/>
      <c r="R376" s="85"/>
      <c r="S376" s="85"/>
      <c r="T376" s="85"/>
      <c r="U376" s="85"/>
      <c r="V376" s="85"/>
      <c r="W376" s="85"/>
      <c r="X376" s="85"/>
      <c r="Y376" s="85"/>
      <c r="Z376" s="85"/>
      <c r="AA376" s="85"/>
      <c r="AB376" s="85"/>
      <c r="AC376" s="85"/>
      <c r="AD376" s="85"/>
      <c r="AE376" s="85"/>
      <c r="AF376" s="85"/>
      <c r="AG376" s="85"/>
    </row>
    <row r="377">
      <c r="A377" s="85"/>
      <c r="B377" s="85"/>
      <c r="C377" s="87"/>
      <c r="D377" s="87"/>
      <c r="E377" s="85"/>
      <c r="F377" s="85"/>
      <c r="G377" s="85"/>
      <c r="H377" s="85"/>
      <c r="I377" s="85"/>
      <c r="J377" s="85"/>
      <c r="K377" s="85"/>
      <c r="L377" s="85"/>
      <c r="M377" s="85"/>
      <c r="N377" s="85"/>
      <c r="O377" s="85"/>
      <c r="P377" s="85"/>
      <c r="Q377" s="85"/>
      <c r="R377" s="85"/>
      <c r="S377" s="85"/>
      <c r="T377" s="85"/>
      <c r="U377" s="85"/>
      <c r="V377" s="85"/>
      <c r="W377" s="85"/>
      <c r="X377" s="85"/>
      <c r="Y377" s="85"/>
      <c r="Z377" s="85"/>
      <c r="AA377" s="85"/>
      <c r="AB377" s="85"/>
      <c r="AC377" s="85"/>
      <c r="AD377" s="85"/>
      <c r="AE377" s="85"/>
      <c r="AF377" s="85"/>
      <c r="AG377" s="85"/>
    </row>
    <row r="378">
      <c r="A378" s="85"/>
      <c r="B378" s="85"/>
      <c r="C378" s="87"/>
      <c r="D378" s="87"/>
      <c r="E378" s="85"/>
      <c r="F378" s="85"/>
      <c r="G378" s="85"/>
      <c r="H378" s="85"/>
      <c r="I378" s="85"/>
      <c r="J378" s="85"/>
      <c r="K378" s="85"/>
      <c r="L378" s="85"/>
      <c r="M378" s="85"/>
      <c r="N378" s="85"/>
      <c r="O378" s="85"/>
      <c r="P378" s="85"/>
      <c r="Q378" s="85"/>
      <c r="R378" s="85"/>
      <c r="S378" s="85"/>
      <c r="T378" s="85"/>
      <c r="U378" s="85"/>
      <c r="V378" s="85"/>
      <c r="W378" s="85"/>
      <c r="X378" s="85"/>
      <c r="Y378" s="85"/>
      <c r="Z378" s="85"/>
      <c r="AA378" s="85"/>
      <c r="AB378" s="85"/>
      <c r="AC378" s="85"/>
      <c r="AD378" s="85"/>
      <c r="AE378" s="85"/>
      <c r="AF378" s="85"/>
      <c r="AG378" s="85"/>
    </row>
    <row r="379">
      <c r="A379" s="85"/>
      <c r="B379" s="85"/>
      <c r="C379" s="87"/>
      <c r="D379" s="87"/>
      <c r="E379" s="85"/>
      <c r="F379" s="85"/>
      <c r="G379" s="85"/>
      <c r="H379" s="85"/>
      <c r="I379" s="85"/>
      <c r="J379" s="85"/>
      <c r="K379" s="85"/>
      <c r="L379" s="85"/>
      <c r="M379" s="85"/>
      <c r="N379" s="85"/>
      <c r="O379" s="85"/>
      <c r="P379" s="85"/>
      <c r="Q379" s="85"/>
      <c r="R379" s="85"/>
      <c r="S379" s="85"/>
      <c r="T379" s="85"/>
      <c r="U379" s="85"/>
      <c r="V379" s="85"/>
      <c r="W379" s="85"/>
      <c r="X379" s="85"/>
      <c r="Y379" s="85"/>
      <c r="Z379" s="85"/>
      <c r="AA379" s="85"/>
      <c r="AB379" s="85"/>
      <c r="AC379" s="85"/>
      <c r="AD379" s="85"/>
      <c r="AE379" s="85"/>
      <c r="AF379" s="85"/>
      <c r="AG379" s="85"/>
    </row>
    <row r="380">
      <c r="A380" s="85"/>
      <c r="B380" s="85"/>
      <c r="C380" s="87"/>
      <c r="D380" s="87"/>
      <c r="E380" s="85"/>
      <c r="F380" s="85"/>
      <c r="G380" s="85"/>
      <c r="H380" s="85"/>
      <c r="I380" s="85"/>
      <c r="J380" s="85"/>
      <c r="K380" s="85"/>
      <c r="L380" s="85"/>
      <c r="M380" s="85"/>
      <c r="N380" s="85"/>
      <c r="O380" s="85"/>
      <c r="P380" s="85"/>
      <c r="Q380" s="85"/>
      <c r="R380" s="85"/>
      <c r="S380" s="85"/>
      <c r="T380" s="85"/>
      <c r="U380" s="85"/>
      <c r="V380" s="85"/>
      <c r="W380" s="85"/>
      <c r="X380" s="85"/>
      <c r="Y380" s="85"/>
      <c r="Z380" s="85"/>
      <c r="AA380" s="85"/>
      <c r="AB380" s="85"/>
      <c r="AC380" s="85"/>
      <c r="AD380" s="85"/>
      <c r="AE380" s="85"/>
      <c r="AF380" s="85"/>
      <c r="AG380" s="85"/>
    </row>
    <row r="381">
      <c r="A381" s="85"/>
      <c r="B381" s="85"/>
      <c r="C381" s="87"/>
      <c r="D381" s="87"/>
      <c r="E381" s="85"/>
      <c r="F381" s="85"/>
      <c r="G381" s="85"/>
      <c r="H381" s="85"/>
      <c r="I381" s="85"/>
      <c r="J381" s="85"/>
      <c r="K381" s="85"/>
      <c r="L381" s="85"/>
      <c r="M381" s="85"/>
      <c r="N381" s="85"/>
      <c r="O381" s="85"/>
      <c r="P381" s="85"/>
      <c r="Q381" s="85"/>
      <c r="R381" s="85"/>
      <c r="S381" s="85"/>
      <c r="T381" s="85"/>
      <c r="U381" s="85"/>
      <c r="V381" s="85"/>
      <c r="W381" s="85"/>
      <c r="X381" s="85"/>
      <c r="Y381" s="85"/>
      <c r="Z381" s="85"/>
      <c r="AA381" s="85"/>
      <c r="AB381" s="85"/>
      <c r="AC381" s="85"/>
      <c r="AD381" s="85"/>
      <c r="AE381" s="85"/>
      <c r="AF381" s="85"/>
      <c r="AG381" s="85"/>
    </row>
    <row r="382">
      <c r="A382" s="85"/>
      <c r="B382" s="85"/>
      <c r="C382" s="87"/>
      <c r="D382" s="87"/>
      <c r="E382" s="85"/>
      <c r="F382" s="85"/>
      <c r="G382" s="85"/>
      <c r="H382" s="85"/>
      <c r="I382" s="85"/>
      <c r="J382" s="85"/>
      <c r="K382" s="85"/>
      <c r="L382" s="85"/>
      <c r="M382" s="85"/>
      <c r="N382" s="85"/>
      <c r="O382" s="85"/>
      <c r="P382" s="85"/>
      <c r="Q382" s="85"/>
      <c r="R382" s="85"/>
      <c r="S382" s="85"/>
      <c r="T382" s="85"/>
      <c r="U382" s="85"/>
      <c r="V382" s="85"/>
      <c r="W382" s="85"/>
      <c r="X382" s="85"/>
      <c r="Y382" s="85"/>
      <c r="Z382" s="85"/>
      <c r="AA382" s="85"/>
      <c r="AB382" s="85"/>
      <c r="AC382" s="85"/>
      <c r="AD382" s="85"/>
      <c r="AE382" s="85"/>
      <c r="AF382" s="85"/>
      <c r="AG382" s="85"/>
    </row>
    <row r="383">
      <c r="A383" s="85"/>
      <c r="B383" s="85"/>
      <c r="C383" s="87"/>
      <c r="D383" s="87"/>
      <c r="E383" s="85"/>
      <c r="F383" s="85"/>
      <c r="G383" s="85"/>
      <c r="H383" s="85"/>
      <c r="I383" s="85"/>
      <c r="J383" s="85"/>
      <c r="K383" s="85"/>
      <c r="L383" s="85"/>
      <c r="M383" s="85"/>
      <c r="N383" s="85"/>
      <c r="O383" s="85"/>
      <c r="P383" s="85"/>
      <c r="Q383" s="85"/>
      <c r="R383" s="85"/>
      <c r="S383" s="85"/>
      <c r="T383" s="85"/>
      <c r="U383" s="85"/>
      <c r="V383" s="85"/>
      <c r="W383" s="85"/>
      <c r="X383" s="85"/>
      <c r="Y383" s="85"/>
      <c r="Z383" s="85"/>
      <c r="AA383" s="85"/>
      <c r="AB383" s="85"/>
      <c r="AC383" s="85"/>
      <c r="AD383" s="85"/>
      <c r="AE383" s="85"/>
      <c r="AF383" s="85"/>
      <c r="AG383" s="85"/>
    </row>
    <row r="384">
      <c r="A384" s="85"/>
      <c r="B384" s="85"/>
      <c r="C384" s="87"/>
      <c r="D384" s="87"/>
      <c r="E384" s="85"/>
      <c r="F384" s="85"/>
      <c r="G384" s="85"/>
      <c r="H384" s="85"/>
      <c r="I384" s="85"/>
      <c r="J384" s="85"/>
      <c r="K384" s="85"/>
      <c r="L384" s="85"/>
      <c r="M384" s="85"/>
      <c r="N384" s="85"/>
      <c r="O384" s="85"/>
      <c r="P384" s="85"/>
      <c r="Q384" s="85"/>
      <c r="R384" s="85"/>
      <c r="S384" s="85"/>
      <c r="T384" s="85"/>
      <c r="U384" s="85"/>
      <c r="V384" s="85"/>
      <c r="W384" s="85"/>
      <c r="X384" s="85"/>
      <c r="Y384" s="85"/>
      <c r="Z384" s="85"/>
      <c r="AA384" s="85"/>
      <c r="AB384" s="85"/>
      <c r="AC384" s="85"/>
      <c r="AD384" s="85"/>
      <c r="AE384" s="85"/>
      <c r="AF384" s="85"/>
      <c r="AG384" s="85"/>
    </row>
    <row r="385">
      <c r="A385" s="85"/>
      <c r="B385" s="85"/>
      <c r="C385" s="87"/>
      <c r="D385" s="87"/>
      <c r="E385" s="85"/>
      <c r="F385" s="85"/>
      <c r="G385" s="85"/>
      <c r="H385" s="85"/>
      <c r="I385" s="85"/>
      <c r="J385" s="85"/>
      <c r="K385" s="85"/>
      <c r="L385" s="85"/>
      <c r="M385" s="85"/>
      <c r="N385" s="85"/>
      <c r="O385" s="85"/>
      <c r="P385" s="85"/>
      <c r="Q385" s="85"/>
      <c r="R385" s="85"/>
      <c r="S385" s="85"/>
      <c r="T385" s="85"/>
      <c r="U385" s="85"/>
      <c r="V385" s="85"/>
      <c r="W385" s="85"/>
      <c r="X385" s="85"/>
      <c r="Y385" s="85"/>
      <c r="Z385" s="85"/>
      <c r="AA385" s="85"/>
      <c r="AB385" s="85"/>
      <c r="AC385" s="85"/>
      <c r="AD385" s="85"/>
      <c r="AE385" s="85"/>
      <c r="AF385" s="85"/>
      <c r="AG385" s="85"/>
    </row>
    <row r="386">
      <c r="A386" s="85"/>
      <c r="B386" s="85"/>
      <c r="C386" s="87"/>
      <c r="D386" s="87"/>
      <c r="E386" s="85"/>
      <c r="F386" s="85"/>
      <c r="G386" s="85"/>
      <c r="H386" s="85"/>
      <c r="I386" s="85"/>
      <c r="J386" s="85"/>
      <c r="K386" s="85"/>
      <c r="L386" s="85"/>
      <c r="M386" s="85"/>
      <c r="N386" s="85"/>
      <c r="O386" s="85"/>
      <c r="P386" s="85"/>
      <c r="Q386" s="85"/>
      <c r="R386" s="85"/>
      <c r="S386" s="85"/>
      <c r="T386" s="85"/>
      <c r="U386" s="85"/>
      <c r="V386" s="85"/>
      <c r="W386" s="85"/>
      <c r="X386" s="85"/>
      <c r="Y386" s="85"/>
      <c r="Z386" s="85"/>
      <c r="AA386" s="85"/>
      <c r="AB386" s="85"/>
      <c r="AC386" s="85"/>
      <c r="AD386" s="85"/>
      <c r="AE386" s="85"/>
      <c r="AF386" s="85"/>
      <c r="AG386" s="85"/>
    </row>
    <row r="387">
      <c r="A387" s="85"/>
      <c r="B387" s="85"/>
      <c r="C387" s="87"/>
      <c r="D387" s="87"/>
      <c r="E387" s="85"/>
      <c r="F387" s="85"/>
      <c r="G387" s="85"/>
      <c r="H387" s="85"/>
      <c r="I387" s="85"/>
      <c r="J387" s="85"/>
      <c r="K387" s="85"/>
      <c r="L387" s="85"/>
      <c r="M387" s="85"/>
      <c r="N387" s="85"/>
      <c r="O387" s="85"/>
      <c r="P387" s="85"/>
      <c r="Q387" s="85"/>
      <c r="R387" s="85"/>
      <c r="S387" s="85"/>
      <c r="T387" s="85"/>
      <c r="U387" s="85"/>
      <c r="V387" s="85"/>
      <c r="W387" s="85"/>
      <c r="X387" s="85"/>
      <c r="Y387" s="85"/>
      <c r="Z387" s="85"/>
      <c r="AA387" s="85"/>
      <c r="AB387" s="85"/>
      <c r="AC387" s="85"/>
      <c r="AD387" s="85"/>
      <c r="AE387" s="85"/>
      <c r="AF387" s="85"/>
      <c r="AG387" s="85"/>
    </row>
    <row r="388">
      <c r="A388" s="85"/>
      <c r="B388" s="85"/>
      <c r="C388" s="87"/>
      <c r="D388" s="87"/>
      <c r="E388" s="85"/>
      <c r="F388" s="85"/>
      <c r="G388" s="85"/>
      <c r="H388" s="85"/>
      <c r="I388" s="85"/>
      <c r="J388" s="85"/>
      <c r="K388" s="85"/>
      <c r="L388" s="85"/>
      <c r="M388" s="85"/>
      <c r="N388" s="85"/>
      <c r="O388" s="85"/>
      <c r="P388" s="85"/>
      <c r="Q388" s="85"/>
      <c r="R388" s="85"/>
      <c r="S388" s="85"/>
      <c r="T388" s="85"/>
      <c r="U388" s="85"/>
      <c r="V388" s="85"/>
      <c r="W388" s="85"/>
      <c r="X388" s="85"/>
      <c r="Y388" s="85"/>
      <c r="Z388" s="85"/>
      <c r="AA388" s="85"/>
      <c r="AB388" s="85"/>
      <c r="AC388" s="85"/>
      <c r="AD388" s="85"/>
      <c r="AE388" s="85"/>
      <c r="AF388" s="85"/>
      <c r="AG388" s="85"/>
    </row>
    <row r="389">
      <c r="A389" s="85"/>
      <c r="B389" s="85"/>
      <c r="C389" s="87"/>
      <c r="D389" s="87"/>
      <c r="E389" s="85"/>
      <c r="F389" s="85"/>
      <c r="G389" s="85"/>
      <c r="H389" s="85"/>
      <c r="I389" s="85"/>
      <c r="J389" s="85"/>
      <c r="K389" s="85"/>
      <c r="L389" s="85"/>
      <c r="M389" s="85"/>
      <c r="N389" s="85"/>
      <c r="O389" s="85"/>
      <c r="P389" s="85"/>
      <c r="Q389" s="85"/>
      <c r="R389" s="85"/>
      <c r="S389" s="85"/>
      <c r="T389" s="85"/>
      <c r="U389" s="85"/>
      <c r="V389" s="85"/>
      <c r="W389" s="85"/>
      <c r="X389" s="85"/>
      <c r="Y389" s="85"/>
      <c r="Z389" s="85"/>
      <c r="AA389" s="85"/>
      <c r="AB389" s="85"/>
      <c r="AC389" s="85"/>
      <c r="AD389" s="85"/>
      <c r="AE389" s="85"/>
      <c r="AF389" s="85"/>
      <c r="AG389" s="85"/>
    </row>
    <row r="390">
      <c r="A390" s="85"/>
      <c r="B390" s="85"/>
      <c r="C390" s="87"/>
      <c r="D390" s="87"/>
      <c r="E390" s="85"/>
      <c r="F390" s="85"/>
      <c r="G390" s="85"/>
      <c r="H390" s="85"/>
      <c r="I390" s="85"/>
      <c r="J390" s="85"/>
      <c r="K390" s="85"/>
      <c r="L390" s="85"/>
      <c r="M390" s="85"/>
      <c r="N390" s="85"/>
      <c r="O390" s="85"/>
      <c r="P390" s="85"/>
      <c r="Q390" s="85"/>
      <c r="R390" s="85"/>
      <c r="S390" s="85"/>
      <c r="T390" s="85"/>
      <c r="U390" s="85"/>
      <c r="V390" s="85"/>
      <c r="W390" s="85"/>
      <c r="X390" s="85"/>
      <c r="Y390" s="85"/>
      <c r="Z390" s="85"/>
      <c r="AA390" s="85"/>
      <c r="AB390" s="85"/>
      <c r="AC390" s="85"/>
      <c r="AD390" s="85"/>
      <c r="AE390" s="85"/>
      <c r="AF390" s="85"/>
      <c r="AG390" s="85"/>
    </row>
    <row r="391">
      <c r="A391" s="85"/>
      <c r="B391" s="85"/>
      <c r="C391" s="87"/>
      <c r="D391" s="87"/>
      <c r="E391" s="85"/>
      <c r="F391" s="85"/>
      <c r="G391" s="85"/>
      <c r="H391" s="85"/>
      <c r="I391" s="85"/>
      <c r="J391" s="85"/>
      <c r="K391" s="85"/>
      <c r="L391" s="85"/>
      <c r="M391" s="85"/>
      <c r="N391" s="85"/>
      <c r="O391" s="85"/>
      <c r="P391" s="85"/>
      <c r="Q391" s="85"/>
      <c r="R391" s="85"/>
      <c r="S391" s="85"/>
      <c r="T391" s="85"/>
      <c r="U391" s="85"/>
      <c r="V391" s="85"/>
      <c r="W391" s="85"/>
      <c r="X391" s="85"/>
      <c r="Y391" s="85"/>
      <c r="Z391" s="85"/>
      <c r="AA391" s="85"/>
      <c r="AB391" s="85"/>
      <c r="AC391" s="85"/>
      <c r="AD391" s="85"/>
      <c r="AE391" s="85"/>
      <c r="AF391" s="85"/>
      <c r="AG391" s="85"/>
    </row>
    <row r="392">
      <c r="A392" s="85"/>
      <c r="B392" s="85"/>
      <c r="C392" s="87"/>
      <c r="D392" s="87"/>
      <c r="E392" s="85"/>
      <c r="F392" s="85"/>
      <c r="G392" s="85"/>
      <c r="H392" s="85"/>
      <c r="I392" s="85"/>
      <c r="J392" s="85"/>
      <c r="K392" s="85"/>
      <c r="L392" s="85"/>
      <c r="M392" s="85"/>
      <c r="N392" s="85"/>
      <c r="O392" s="85"/>
      <c r="P392" s="85"/>
      <c r="Q392" s="85"/>
      <c r="R392" s="85"/>
      <c r="S392" s="85"/>
      <c r="T392" s="85"/>
      <c r="U392" s="85"/>
      <c r="V392" s="85"/>
      <c r="W392" s="85"/>
      <c r="X392" s="85"/>
      <c r="Y392" s="85"/>
      <c r="Z392" s="85"/>
      <c r="AA392" s="85"/>
      <c r="AB392" s="85"/>
      <c r="AC392" s="85"/>
      <c r="AD392" s="85"/>
      <c r="AE392" s="85"/>
      <c r="AF392" s="85"/>
      <c r="AG392" s="85"/>
    </row>
    <row r="393">
      <c r="A393" s="85"/>
      <c r="B393" s="85"/>
      <c r="C393" s="87"/>
      <c r="D393" s="87"/>
      <c r="E393" s="85"/>
      <c r="F393" s="85"/>
      <c r="G393" s="85"/>
      <c r="H393" s="85"/>
      <c r="I393" s="85"/>
      <c r="J393" s="85"/>
      <c r="K393" s="85"/>
      <c r="L393" s="85"/>
      <c r="M393" s="85"/>
      <c r="N393" s="85"/>
      <c r="O393" s="85"/>
      <c r="P393" s="85"/>
      <c r="Q393" s="85"/>
      <c r="R393" s="85"/>
      <c r="S393" s="85"/>
      <c r="T393" s="85"/>
      <c r="U393" s="85"/>
      <c r="V393" s="85"/>
      <c r="W393" s="85"/>
      <c r="X393" s="85"/>
      <c r="Y393" s="85"/>
      <c r="Z393" s="85"/>
      <c r="AA393" s="85"/>
      <c r="AB393" s="85"/>
      <c r="AC393" s="85"/>
      <c r="AD393" s="85"/>
      <c r="AE393" s="85"/>
      <c r="AF393" s="85"/>
      <c r="AG393" s="85"/>
    </row>
    <row r="394">
      <c r="A394" s="85"/>
      <c r="B394" s="85"/>
      <c r="C394" s="87"/>
      <c r="D394" s="87"/>
      <c r="E394" s="85"/>
      <c r="F394" s="85"/>
      <c r="G394" s="85"/>
      <c r="H394" s="85"/>
      <c r="I394" s="85"/>
      <c r="J394" s="85"/>
      <c r="K394" s="85"/>
      <c r="L394" s="85"/>
      <c r="M394" s="85"/>
      <c r="N394" s="85"/>
      <c r="O394" s="85"/>
      <c r="P394" s="85"/>
      <c r="Q394" s="85"/>
      <c r="R394" s="85"/>
      <c r="S394" s="85"/>
      <c r="T394" s="85"/>
      <c r="U394" s="85"/>
      <c r="V394" s="85"/>
      <c r="W394" s="85"/>
      <c r="X394" s="85"/>
      <c r="Y394" s="85"/>
      <c r="Z394" s="85"/>
      <c r="AA394" s="85"/>
      <c r="AB394" s="85"/>
      <c r="AC394" s="85"/>
      <c r="AD394" s="85"/>
      <c r="AE394" s="85"/>
      <c r="AF394" s="85"/>
      <c r="AG394" s="85"/>
    </row>
    <row r="395">
      <c r="A395" s="85"/>
      <c r="B395" s="85"/>
      <c r="C395" s="87"/>
      <c r="D395" s="87"/>
      <c r="E395" s="85"/>
      <c r="F395" s="85"/>
      <c r="G395" s="85"/>
      <c r="H395" s="85"/>
      <c r="I395" s="85"/>
      <c r="J395" s="85"/>
      <c r="K395" s="85"/>
      <c r="L395" s="85"/>
      <c r="M395" s="85"/>
      <c r="N395" s="85"/>
      <c r="O395" s="85"/>
      <c r="P395" s="85"/>
      <c r="Q395" s="85"/>
      <c r="R395" s="85"/>
      <c r="S395" s="85"/>
      <c r="T395" s="85"/>
      <c r="U395" s="85"/>
      <c r="V395" s="85"/>
      <c r="W395" s="85"/>
      <c r="X395" s="85"/>
      <c r="Y395" s="85"/>
      <c r="Z395" s="85"/>
      <c r="AA395" s="85"/>
      <c r="AB395" s="85"/>
      <c r="AC395" s="85"/>
      <c r="AD395" s="85"/>
      <c r="AE395" s="85"/>
      <c r="AF395" s="85"/>
      <c r="AG395" s="85"/>
    </row>
    <row r="396">
      <c r="A396" s="85"/>
      <c r="B396" s="85"/>
      <c r="C396" s="87"/>
      <c r="D396" s="87"/>
      <c r="E396" s="85"/>
      <c r="F396" s="85"/>
      <c r="G396" s="85"/>
      <c r="H396" s="85"/>
      <c r="I396" s="85"/>
      <c r="J396" s="85"/>
      <c r="K396" s="85"/>
      <c r="L396" s="85"/>
      <c r="M396" s="85"/>
      <c r="N396" s="85"/>
      <c r="O396" s="85"/>
      <c r="P396" s="85"/>
      <c r="Q396" s="85"/>
      <c r="R396" s="85"/>
      <c r="S396" s="85"/>
      <c r="T396" s="85"/>
      <c r="U396" s="85"/>
      <c r="V396" s="85"/>
      <c r="W396" s="85"/>
      <c r="X396" s="85"/>
      <c r="Y396" s="85"/>
      <c r="Z396" s="85"/>
      <c r="AA396" s="85"/>
      <c r="AB396" s="85"/>
      <c r="AC396" s="85"/>
      <c r="AD396" s="85"/>
      <c r="AE396" s="85"/>
      <c r="AF396" s="85"/>
      <c r="AG396" s="85"/>
    </row>
    <row r="397">
      <c r="A397" s="85"/>
      <c r="B397" s="85"/>
      <c r="C397" s="87"/>
      <c r="D397" s="87"/>
      <c r="E397" s="85"/>
      <c r="F397" s="85"/>
      <c r="G397" s="85"/>
      <c r="H397" s="85"/>
      <c r="I397" s="85"/>
      <c r="J397" s="85"/>
      <c r="K397" s="85"/>
      <c r="L397" s="85"/>
      <c r="M397" s="85"/>
      <c r="N397" s="85"/>
      <c r="O397" s="85"/>
      <c r="P397" s="85"/>
      <c r="Q397" s="85"/>
      <c r="R397" s="85"/>
      <c r="S397" s="85"/>
      <c r="T397" s="85"/>
      <c r="U397" s="85"/>
      <c r="V397" s="85"/>
      <c r="W397" s="85"/>
      <c r="X397" s="85"/>
      <c r="Y397" s="85"/>
      <c r="Z397" s="85"/>
      <c r="AA397" s="85"/>
      <c r="AB397" s="85"/>
      <c r="AC397" s="85"/>
      <c r="AD397" s="85"/>
      <c r="AE397" s="85"/>
      <c r="AF397" s="85"/>
      <c r="AG397" s="85"/>
    </row>
    <row r="398">
      <c r="A398" s="85"/>
      <c r="B398" s="85"/>
      <c r="C398" s="87"/>
      <c r="D398" s="87"/>
      <c r="E398" s="85"/>
      <c r="F398" s="85"/>
      <c r="G398" s="85"/>
      <c r="H398" s="85"/>
      <c r="I398" s="85"/>
      <c r="J398" s="85"/>
      <c r="K398" s="85"/>
      <c r="L398" s="85"/>
      <c r="M398" s="85"/>
      <c r="N398" s="85"/>
      <c r="O398" s="85"/>
      <c r="P398" s="85"/>
      <c r="Q398" s="85"/>
      <c r="R398" s="85"/>
      <c r="S398" s="85"/>
      <c r="T398" s="85"/>
      <c r="U398" s="85"/>
      <c r="V398" s="85"/>
      <c r="W398" s="85"/>
      <c r="X398" s="85"/>
      <c r="Y398" s="85"/>
      <c r="Z398" s="85"/>
      <c r="AA398" s="85"/>
      <c r="AB398" s="85"/>
      <c r="AC398" s="85"/>
      <c r="AD398" s="85"/>
      <c r="AE398" s="85"/>
      <c r="AF398" s="85"/>
      <c r="AG398" s="85"/>
    </row>
    <row r="399">
      <c r="A399" s="85"/>
      <c r="B399" s="85"/>
      <c r="C399" s="87"/>
      <c r="D399" s="87"/>
      <c r="E399" s="85"/>
      <c r="F399" s="85"/>
      <c r="G399" s="85"/>
      <c r="H399" s="85"/>
      <c r="I399" s="85"/>
      <c r="J399" s="85"/>
      <c r="K399" s="85"/>
      <c r="L399" s="85"/>
      <c r="M399" s="85"/>
      <c r="N399" s="85"/>
      <c r="O399" s="85"/>
      <c r="P399" s="85"/>
      <c r="Q399" s="85"/>
      <c r="R399" s="85"/>
      <c r="S399" s="85"/>
      <c r="T399" s="85"/>
      <c r="U399" s="85"/>
      <c r="V399" s="85"/>
      <c r="W399" s="85"/>
      <c r="X399" s="85"/>
      <c r="Y399" s="85"/>
      <c r="Z399" s="85"/>
      <c r="AA399" s="85"/>
      <c r="AB399" s="85"/>
      <c r="AC399" s="85"/>
      <c r="AD399" s="85"/>
      <c r="AE399" s="85"/>
      <c r="AF399" s="85"/>
      <c r="AG399" s="85"/>
    </row>
    <row r="400">
      <c r="A400" s="85"/>
      <c r="B400" s="85"/>
      <c r="C400" s="87"/>
      <c r="D400" s="87"/>
      <c r="E400" s="85"/>
      <c r="F400" s="85"/>
      <c r="G400" s="85"/>
      <c r="H400" s="85"/>
      <c r="I400" s="85"/>
      <c r="J400" s="85"/>
      <c r="K400" s="85"/>
      <c r="L400" s="85"/>
      <c r="M400" s="85"/>
      <c r="N400" s="85"/>
      <c r="O400" s="85"/>
      <c r="P400" s="85"/>
      <c r="Q400" s="85"/>
      <c r="R400" s="85"/>
      <c r="S400" s="85"/>
      <c r="T400" s="85"/>
      <c r="U400" s="85"/>
      <c r="V400" s="85"/>
      <c r="W400" s="85"/>
      <c r="X400" s="85"/>
      <c r="Y400" s="85"/>
      <c r="Z400" s="85"/>
      <c r="AA400" s="85"/>
      <c r="AB400" s="85"/>
      <c r="AC400" s="85"/>
      <c r="AD400" s="85"/>
      <c r="AE400" s="85"/>
      <c r="AF400" s="85"/>
      <c r="AG400" s="85"/>
    </row>
    <row r="401">
      <c r="A401" s="85"/>
      <c r="B401" s="85"/>
      <c r="C401" s="87"/>
      <c r="D401" s="87"/>
      <c r="E401" s="85"/>
      <c r="F401" s="85"/>
      <c r="G401" s="85"/>
      <c r="H401" s="85"/>
      <c r="I401" s="85"/>
      <c r="J401" s="85"/>
      <c r="K401" s="85"/>
      <c r="L401" s="85"/>
      <c r="M401" s="85"/>
      <c r="N401" s="85"/>
      <c r="O401" s="85"/>
      <c r="P401" s="85"/>
      <c r="Q401" s="85"/>
      <c r="R401" s="85"/>
      <c r="S401" s="85"/>
      <c r="T401" s="85"/>
      <c r="U401" s="85"/>
      <c r="V401" s="85"/>
      <c r="W401" s="85"/>
      <c r="X401" s="85"/>
      <c r="Y401" s="85"/>
      <c r="Z401" s="85"/>
      <c r="AA401" s="85"/>
      <c r="AB401" s="85"/>
      <c r="AC401" s="85"/>
      <c r="AD401" s="85"/>
      <c r="AE401" s="85"/>
      <c r="AF401" s="85"/>
      <c r="AG401" s="85"/>
    </row>
    <row r="402">
      <c r="A402" s="85"/>
      <c r="B402" s="85"/>
      <c r="C402" s="87"/>
      <c r="D402" s="87"/>
      <c r="E402" s="85"/>
      <c r="F402" s="85"/>
      <c r="G402" s="85"/>
      <c r="H402" s="85"/>
      <c r="I402" s="85"/>
      <c r="J402" s="85"/>
      <c r="K402" s="85"/>
      <c r="L402" s="85"/>
      <c r="M402" s="85"/>
      <c r="N402" s="85"/>
      <c r="O402" s="85"/>
      <c r="P402" s="85"/>
      <c r="Q402" s="85"/>
      <c r="R402" s="85"/>
      <c r="S402" s="85"/>
      <c r="T402" s="85"/>
      <c r="U402" s="85"/>
      <c r="V402" s="85"/>
      <c r="W402" s="85"/>
      <c r="X402" s="85"/>
      <c r="Y402" s="85"/>
      <c r="Z402" s="85"/>
      <c r="AA402" s="85"/>
      <c r="AB402" s="85"/>
      <c r="AC402" s="85"/>
      <c r="AD402" s="85"/>
      <c r="AE402" s="85"/>
      <c r="AF402" s="85"/>
      <c r="AG402" s="85"/>
    </row>
    <row r="403">
      <c r="A403" s="85"/>
      <c r="B403" s="85"/>
      <c r="C403" s="87"/>
      <c r="D403" s="87"/>
      <c r="E403" s="85"/>
      <c r="F403" s="85"/>
      <c r="G403" s="85"/>
      <c r="H403" s="85"/>
      <c r="I403" s="85"/>
      <c r="J403" s="85"/>
      <c r="K403" s="85"/>
      <c r="L403" s="85"/>
      <c r="M403" s="85"/>
      <c r="N403" s="85"/>
      <c r="O403" s="85"/>
      <c r="P403" s="85"/>
      <c r="Q403" s="85"/>
      <c r="R403" s="85"/>
      <c r="S403" s="85"/>
      <c r="T403" s="85"/>
      <c r="U403" s="85"/>
      <c r="V403" s="85"/>
      <c r="W403" s="85"/>
      <c r="X403" s="85"/>
      <c r="Y403" s="85"/>
      <c r="Z403" s="85"/>
      <c r="AA403" s="85"/>
      <c r="AB403" s="85"/>
      <c r="AC403" s="85"/>
      <c r="AD403" s="85"/>
      <c r="AE403" s="85"/>
      <c r="AF403" s="85"/>
      <c r="AG403" s="85"/>
    </row>
    <row r="404">
      <c r="A404" s="85"/>
      <c r="B404" s="85"/>
      <c r="C404" s="87"/>
      <c r="D404" s="87"/>
      <c r="E404" s="85"/>
      <c r="F404" s="85"/>
      <c r="G404" s="85"/>
      <c r="H404" s="85"/>
      <c r="I404" s="85"/>
      <c r="J404" s="85"/>
      <c r="K404" s="85"/>
      <c r="L404" s="85"/>
      <c r="M404" s="85"/>
      <c r="N404" s="85"/>
      <c r="O404" s="85"/>
      <c r="P404" s="85"/>
      <c r="Q404" s="85"/>
      <c r="R404" s="85"/>
      <c r="S404" s="85"/>
      <c r="T404" s="85"/>
      <c r="U404" s="85"/>
      <c r="V404" s="85"/>
      <c r="W404" s="85"/>
      <c r="X404" s="85"/>
      <c r="Y404" s="85"/>
      <c r="Z404" s="85"/>
      <c r="AA404" s="85"/>
      <c r="AB404" s="85"/>
      <c r="AC404" s="85"/>
      <c r="AD404" s="85"/>
      <c r="AE404" s="85"/>
      <c r="AF404" s="85"/>
      <c r="AG404" s="85"/>
    </row>
    <row r="405">
      <c r="A405" s="85"/>
      <c r="B405" s="85"/>
      <c r="C405" s="87"/>
      <c r="D405" s="87"/>
      <c r="E405" s="85"/>
      <c r="F405" s="85"/>
      <c r="G405" s="85"/>
      <c r="H405" s="85"/>
      <c r="I405" s="85"/>
      <c r="J405" s="85"/>
      <c r="K405" s="85"/>
      <c r="L405" s="85"/>
      <c r="M405" s="85"/>
      <c r="N405" s="85"/>
      <c r="O405" s="85"/>
      <c r="P405" s="85"/>
      <c r="Q405" s="85"/>
      <c r="R405" s="85"/>
      <c r="S405" s="85"/>
      <c r="T405" s="85"/>
      <c r="U405" s="85"/>
      <c r="V405" s="85"/>
      <c r="W405" s="85"/>
      <c r="X405" s="85"/>
      <c r="Y405" s="85"/>
      <c r="Z405" s="85"/>
      <c r="AA405" s="85"/>
      <c r="AB405" s="85"/>
      <c r="AC405" s="85"/>
      <c r="AD405" s="85"/>
      <c r="AE405" s="85"/>
      <c r="AF405" s="85"/>
      <c r="AG405" s="85"/>
    </row>
    <row r="406">
      <c r="A406" s="85"/>
      <c r="B406" s="85"/>
      <c r="C406" s="87"/>
      <c r="D406" s="87"/>
      <c r="E406" s="85"/>
      <c r="F406" s="85"/>
      <c r="G406" s="85"/>
      <c r="H406" s="85"/>
      <c r="I406" s="85"/>
      <c r="J406" s="85"/>
      <c r="K406" s="85"/>
      <c r="L406" s="85"/>
      <c r="M406" s="85"/>
      <c r="N406" s="85"/>
      <c r="O406" s="85"/>
      <c r="P406" s="85"/>
      <c r="Q406" s="85"/>
      <c r="R406" s="85"/>
      <c r="S406" s="85"/>
      <c r="T406" s="85"/>
      <c r="U406" s="85"/>
      <c r="V406" s="85"/>
      <c r="W406" s="85"/>
      <c r="X406" s="85"/>
      <c r="Y406" s="85"/>
      <c r="Z406" s="85"/>
      <c r="AA406" s="85"/>
      <c r="AB406" s="85"/>
      <c r="AC406" s="85"/>
      <c r="AD406" s="85"/>
      <c r="AE406" s="85"/>
      <c r="AF406" s="85"/>
      <c r="AG406" s="85"/>
    </row>
    <row r="407">
      <c r="A407" s="85"/>
      <c r="B407" s="85"/>
      <c r="C407" s="87"/>
      <c r="D407" s="87"/>
      <c r="E407" s="85"/>
      <c r="F407" s="85"/>
      <c r="G407" s="85"/>
      <c r="H407" s="85"/>
      <c r="I407" s="85"/>
      <c r="J407" s="85"/>
      <c r="K407" s="85"/>
      <c r="L407" s="85"/>
      <c r="M407" s="85"/>
      <c r="N407" s="85"/>
      <c r="O407" s="85"/>
      <c r="P407" s="85"/>
      <c r="Q407" s="85"/>
      <c r="R407" s="85"/>
      <c r="S407" s="85"/>
      <c r="T407" s="85"/>
      <c r="U407" s="85"/>
      <c r="V407" s="85"/>
      <c r="W407" s="85"/>
      <c r="X407" s="85"/>
      <c r="Y407" s="85"/>
      <c r="Z407" s="85"/>
      <c r="AA407" s="85"/>
      <c r="AB407" s="85"/>
      <c r="AC407" s="85"/>
      <c r="AD407" s="85"/>
      <c r="AE407" s="85"/>
      <c r="AF407" s="85"/>
      <c r="AG407" s="85"/>
    </row>
    <row r="408">
      <c r="A408" s="85"/>
      <c r="B408" s="85"/>
      <c r="C408" s="87"/>
      <c r="D408" s="87"/>
      <c r="E408" s="85"/>
      <c r="F408" s="85"/>
      <c r="G408" s="85"/>
      <c r="H408" s="85"/>
      <c r="I408" s="85"/>
      <c r="J408" s="85"/>
      <c r="K408" s="85"/>
      <c r="L408" s="85"/>
      <c r="M408" s="85"/>
      <c r="N408" s="85"/>
      <c r="O408" s="85"/>
      <c r="P408" s="85"/>
      <c r="Q408" s="85"/>
      <c r="R408" s="85"/>
      <c r="S408" s="85"/>
      <c r="T408" s="85"/>
      <c r="U408" s="85"/>
      <c r="V408" s="85"/>
      <c r="W408" s="85"/>
      <c r="X408" s="85"/>
      <c r="Y408" s="85"/>
      <c r="Z408" s="85"/>
      <c r="AA408" s="85"/>
      <c r="AB408" s="85"/>
      <c r="AC408" s="85"/>
      <c r="AD408" s="85"/>
      <c r="AE408" s="85"/>
      <c r="AF408" s="85"/>
      <c r="AG408" s="85"/>
    </row>
    <row r="409">
      <c r="A409" s="85"/>
      <c r="B409" s="85"/>
      <c r="C409" s="87"/>
      <c r="D409" s="87"/>
      <c r="E409" s="85"/>
      <c r="F409" s="85"/>
      <c r="G409" s="85"/>
      <c r="H409" s="85"/>
      <c r="I409" s="85"/>
      <c r="J409" s="85"/>
      <c r="K409" s="85"/>
      <c r="L409" s="85"/>
      <c r="M409" s="85"/>
      <c r="N409" s="85"/>
      <c r="O409" s="85"/>
      <c r="P409" s="85"/>
      <c r="Q409" s="85"/>
      <c r="R409" s="85"/>
      <c r="S409" s="85"/>
      <c r="T409" s="85"/>
      <c r="U409" s="85"/>
      <c r="V409" s="85"/>
      <c r="W409" s="85"/>
      <c r="X409" s="85"/>
      <c r="Y409" s="85"/>
      <c r="Z409" s="85"/>
      <c r="AA409" s="85"/>
      <c r="AB409" s="85"/>
      <c r="AC409" s="85"/>
      <c r="AD409" s="85"/>
      <c r="AE409" s="85"/>
      <c r="AF409" s="85"/>
      <c r="AG409" s="85"/>
    </row>
    <row r="410">
      <c r="A410" s="85"/>
      <c r="B410" s="85"/>
      <c r="C410" s="87"/>
      <c r="D410" s="87"/>
      <c r="E410" s="85"/>
      <c r="F410" s="85"/>
      <c r="G410" s="85"/>
      <c r="H410" s="85"/>
      <c r="I410" s="85"/>
      <c r="J410" s="85"/>
      <c r="K410" s="85"/>
      <c r="L410" s="85"/>
      <c r="M410" s="85"/>
      <c r="N410" s="85"/>
      <c r="O410" s="85"/>
      <c r="P410" s="85"/>
      <c r="Q410" s="85"/>
      <c r="R410" s="85"/>
      <c r="S410" s="85"/>
      <c r="T410" s="85"/>
      <c r="U410" s="85"/>
      <c r="V410" s="85"/>
      <c r="W410" s="85"/>
      <c r="X410" s="85"/>
      <c r="Y410" s="85"/>
      <c r="Z410" s="85"/>
      <c r="AA410" s="85"/>
      <c r="AB410" s="85"/>
      <c r="AC410" s="85"/>
      <c r="AD410" s="85"/>
      <c r="AE410" s="85"/>
      <c r="AF410" s="85"/>
      <c r="AG410" s="85"/>
    </row>
    <row r="411">
      <c r="A411" s="85"/>
      <c r="B411" s="85"/>
      <c r="C411" s="87"/>
      <c r="D411" s="87"/>
      <c r="E411" s="85"/>
      <c r="F411" s="85"/>
      <c r="G411" s="85"/>
      <c r="H411" s="85"/>
      <c r="I411" s="85"/>
      <c r="J411" s="85"/>
      <c r="K411" s="85"/>
      <c r="L411" s="85"/>
      <c r="M411" s="85"/>
      <c r="N411" s="85"/>
      <c r="O411" s="85"/>
      <c r="P411" s="85"/>
      <c r="Q411" s="85"/>
      <c r="R411" s="85"/>
      <c r="S411" s="85"/>
      <c r="T411" s="85"/>
      <c r="U411" s="85"/>
      <c r="V411" s="85"/>
      <c r="W411" s="85"/>
      <c r="X411" s="85"/>
      <c r="Y411" s="85"/>
      <c r="Z411" s="85"/>
      <c r="AA411" s="85"/>
      <c r="AB411" s="85"/>
      <c r="AC411" s="85"/>
      <c r="AD411" s="85"/>
      <c r="AE411" s="85"/>
      <c r="AF411" s="85"/>
      <c r="AG411" s="85"/>
    </row>
    <row r="412">
      <c r="A412" s="85"/>
      <c r="B412" s="85"/>
      <c r="C412" s="87"/>
      <c r="D412" s="87"/>
      <c r="E412" s="85"/>
      <c r="F412" s="85"/>
      <c r="G412" s="85"/>
      <c r="H412" s="85"/>
      <c r="I412" s="85"/>
      <c r="J412" s="85"/>
      <c r="K412" s="85"/>
      <c r="L412" s="85"/>
      <c r="M412" s="85"/>
      <c r="N412" s="85"/>
      <c r="O412" s="85"/>
      <c r="P412" s="85"/>
      <c r="Q412" s="85"/>
      <c r="R412" s="85"/>
      <c r="S412" s="85"/>
      <c r="T412" s="85"/>
      <c r="U412" s="85"/>
      <c r="V412" s="85"/>
      <c r="W412" s="85"/>
      <c r="X412" s="85"/>
      <c r="Y412" s="85"/>
      <c r="Z412" s="85"/>
      <c r="AA412" s="85"/>
      <c r="AB412" s="85"/>
      <c r="AC412" s="85"/>
      <c r="AD412" s="85"/>
      <c r="AE412" s="85"/>
      <c r="AF412" s="85"/>
      <c r="AG412" s="85"/>
    </row>
    <row r="413">
      <c r="A413" s="85"/>
      <c r="B413" s="85"/>
      <c r="C413" s="87"/>
      <c r="D413" s="87"/>
      <c r="E413" s="85"/>
      <c r="F413" s="85"/>
      <c r="G413" s="85"/>
      <c r="H413" s="85"/>
      <c r="I413" s="85"/>
      <c r="J413" s="85"/>
      <c r="K413" s="85"/>
      <c r="L413" s="85"/>
      <c r="M413" s="85"/>
      <c r="N413" s="85"/>
      <c r="O413" s="85"/>
      <c r="P413" s="85"/>
      <c r="Q413" s="85"/>
      <c r="R413" s="85"/>
      <c r="S413" s="85"/>
      <c r="T413" s="85"/>
      <c r="U413" s="85"/>
      <c r="V413" s="85"/>
      <c r="W413" s="85"/>
      <c r="X413" s="85"/>
      <c r="Y413" s="85"/>
      <c r="Z413" s="85"/>
      <c r="AA413" s="85"/>
      <c r="AB413" s="85"/>
      <c r="AC413" s="85"/>
      <c r="AD413" s="85"/>
      <c r="AE413" s="85"/>
      <c r="AF413" s="85"/>
      <c r="AG413" s="85"/>
    </row>
    <row r="414">
      <c r="A414" s="85"/>
      <c r="B414" s="85"/>
      <c r="C414" s="87"/>
      <c r="D414" s="87"/>
      <c r="E414" s="85"/>
      <c r="F414" s="85"/>
      <c r="G414" s="85"/>
      <c r="H414" s="85"/>
      <c r="I414" s="85"/>
      <c r="J414" s="85"/>
      <c r="K414" s="85"/>
      <c r="L414" s="85"/>
      <c r="M414" s="85"/>
      <c r="N414" s="85"/>
      <c r="O414" s="85"/>
      <c r="P414" s="85"/>
      <c r="Q414" s="85"/>
      <c r="R414" s="85"/>
      <c r="S414" s="85"/>
      <c r="T414" s="85"/>
      <c r="U414" s="85"/>
      <c r="V414" s="85"/>
      <c r="W414" s="85"/>
      <c r="X414" s="85"/>
      <c r="Y414" s="85"/>
      <c r="Z414" s="85"/>
      <c r="AA414" s="85"/>
      <c r="AB414" s="85"/>
      <c r="AC414" s="85"/>
      <c r="AD414" s="85"/>
      <c r="AE414" s="85"/>
      <c r="AF414" s="85"/>
      <c r="AG414" s="85"/>
    </row>
    <row r="415">
      <c r="A415" s="85"/>
      <c r="B415" s="85"/>
      <c r="C415" s="87"/>
      <c r="D415" s="87"/>
      <c r="E415" s="85"/>
      <c r="F415" s="85"/>
      <c r="G415" s="85"/>
      <c r="H415" s="85"/>
      <c r="I415" s="85"/>
      <c r="J415" s="85"/>
      <c r="K415" s="85"/>
      <c r="L415" s="85"/>
      <c r="M415" s="85"/>
      <c r="N415" s="85"/>
      <c r="O415" s="85"/>
      <c r="P415" s="85"/>
      <c r="Q415" s="85"/>
      <c r="R415" s="85"/>
      <c r="S415" s="85"/>
      <c r="T415" s="85"/>
      <c r="U415" s="85"/>
      <c r="V415" s="85"/>
      <c r="W415" s="85"/>
      <c r="X415" s="85"/>
      <c r="Y415" s="85"/>
      <c r="Z415" s="85"/>
      <c r="AA415" s="85"/>
      <c r="AB415" s="85"/>
      <c r="AC415" s="85"/>
      <c r="AD415" s="85"/>
      <c r="AE415" s="85"/>
      <c r="AF415" s="85"/>
      <c r="AG415" s="85"/>
    </row>
    <row r="416">
      <c r="A416" s="85"/>
      <c r="B416" s="85"/>
      <c r="C416" s="87"/>
      <c r="D416" s="87"/>
      <c r="E416" s="85"/>
      <c r="F416" s="85"/>
      <c r="G416" s="85"/>
      <c r="H416" s="85"/>
      <c r="I416" s="85"/>
      <c r="J416" s="85"/>
      <c r="K416" s="85"/>
      <c r="L416" s="85"/>
      <c r="M416" s="85"/>
      <c r="N416" s="85"/>
      <c r="O416" s="85"/>
      <c r="P416" s="85"/>
      <c r="Q416" s="85"/>
      <c r="R416" s="85"/>
      <c r="S416" s="85"/>
      <c r="T416" s="85"/>
      <c r="U416" s="85"/>
      <c r="V416" s="85"/>
      <c r="W416" s="85"/>
      <c r="X416" s="85"/>
      <c r="Y416" s="85"/>
      <c r="Z416" s="85"/>
      <c r="AA416" s="85"/>
      <c r="AB416" s="85"/>
      <c r="AC416" s="85"/>
      <c r="AD416" s="85"/>
      <c r="AE416" s="85"/>
      <c r="AF416" s="85"/>
      <c r="AG416" s="85"/>
    </row>
    <row r="417">
      <c r="A417" s="85"/>
      <c r="B417" s="85"/>
      <c r="C417" s="87"/>
      <c r="D417" s="87"/>
      <c r="E417" s="85"/>
      <c r="F417" s="85"/>
      <c r="G417" s="85"/>
      <c r="H417" s="85"/>
      <c r="I417" s="85"/>
      <c r="J417" s="85"/>
      <c r="K417" s="85"/>
      <c r="L417" s="85"/>
      <c r="M417" s="85"/>
      <c r="N417" s="85"/>
      <c r="O417" s="85"/>
      <c r="P417" s="85"/>
      <c r="Q417" s="85"/>
      <c r="R417" s="85"/>
      <c r="S417" s="85"/>
      <c r="T417" s="85"/>
      <c r="U417" s="85"/>
      <c r="V417" s="85"/>
      <c r="W417" s="85"/>
      <c r="X417" s="85"/>
      <c r="Y417" s="85"/>
      <c r="Z417" s="85"/>
      <c r="AA417" s="85"/>
      <c r="AB417" s="85"/>
      <c r="AC417" s="85"/>
      <c r="AD417" s="85"/>
      <c r="AE417" s="85"/>
      <c r="AF417" s="85"/>
      <c r="AG417" s="85"/>
    </row>
    <row r="418">
      <c r="A418" s="85"/>
      <c r="B418" s="85"/>
      <c r="C418" s="87"/>
      <c r="D418" s="87"/>
      <c r="E418" s="85"/>
      <c r="F418" s="85"/>
      <c r="G418" s="85"/>
      <c r="H418" s="85"/>
      <c r="I418" s="85"/>
      <c r="J418" s="85"/>
      <c r="K418" s="85"/>
      <c r="L418" s="85"/>
      <c r="M418" s="85"/>
      <c r="N418" s="85"/>
      <c r="O418" s="85"/>
      <c r="P418" s="85"/>
      <c r="Q418" s="85"/>
      <c r="R418" s="85"/>
      <c r="S418" s="85"/>
      <c r="T418" s="85"/>
      <c r="U418" s="85"/>
      <c r="V418" s="85"/>
      <c r="W418" s="85"/>
      <c r="X418" s="85"/>
      <c r="Y418" s="85"/>
      <c r="Z418" s="85"/>
      <c r="AA418" s="85"/>
      <c r="AB418" s="85"/>
      <c r="AC418" s="85"/>
      <c r="AD418" s="85"/>
      <c r="AE418" s="85"/>
      <c r="AF418" s="85"/>
      <c r="AG418" s="85"/>
    </row>
    <row r="419">
      <c r="A419" s="85"/>
      <c r="B419" s="85"/>
      <c r="C419" s="87"/>
      <c r="D419" s="87"/>
      <c r="E419" s="85"/>
      <c r="F419" s="85"/>
      <c r="G419" s="85"/>
      <c r="H419" s="85"/>
      <c r="I419" s="85"/>
      <c r="J419" s="85"/>
      <c r="K419" s="85"/>
      <c r="L419" s="85"/>
      <c r="M419" s="85"/>
      <c r="N419" s="85"/>
      <c r="O419" s="85"/>
      <c r="P419" s="85"/>
      <c r="Q419" s="85"/>
      <c r="R419" s="85"/>
      <c r="S419" s="85"/>
      <c r="T419" s="85"/>
      <c r="U419" s="85"/>
      <c r="V419" s="85"/>
      <c r="W419" s="85"/>
      <c r="X419" s="85"/>
      <c r="Y419" s="85"/>
      <c r="Z419" s="85"/>
      <c r="AA419" s="85"/>
      <c r="AB419" s="85"/>
      <c r="AC419" s="85"/>
      <c r="AD419" s="85"/>
      <c r="AE419" s="85"/>
      <c r="AF419" s="85"/>
      <c r="AG419" s="85"/>
    </row>
    <row r="420">
      <c r="A420" s="85"/>
      <c r="B420" s="85"/>
      <c r="C420" s="87"/>
      <c r="D420" s="87"/>
      <c r="E420" s="85"/>
      <c r="F420" s="85"/>
      <c r="G420" s="85"/>
      <c r="H420" s="85"/>
      <c r="I420" s="85"/>
      <c r="J420" s="85"/>
      <c r="K420" s="85"/>
      <c r="L420" s="85"/>
      <c r="M420" s="85"/>
      <c r="N420" s="85"/>
      <c r="O420" s="85"/>
      <c r="P420" s="85"/>
      <c r="Q420" s="85"/>
      <c r="R420" s="85"/>
      <c r="S420" s="85"/>
      <c r="T420" s="85"/>
      <c r="U420" s="85"/>
      <c r="V420" s="85"/>
      <c r="W420" s="85"/>
      <c r="X420" s="85"/>
      <c r="Y420" s="85"/>
      <c r="Z420" s="85"/>
      <c r="AA420" s="85"/>
      <c r="AB420" s="85"/>
      <c r="AC420" s="85"/>
      <c r="AD420" s="85"/>
      <c r="AE420" s="85"/>
      <c r="AF420" s="85"/>
      <c r="AG420" s="85"/>
    </row>
    <row r="421">
      <c r="A421" s="85"/>
      <c r="B421" s="85"/>
      <c r="C421" s="87"/>
      <c r="D421" s="87"/>
      <c r="E421" s="85"/>
      <c r="F421" s="85"/>
      <c r="G421" s="85"/>
      <c r="H421" s="85"/>
      <c r="I421" s="85"/>
      <c r="J421" s="85"/>
      <c r="K421" s="85"/>
      <c r="L421" s="85"/>
      <c r="M421" s="85"/>
      <c r="N421" s="85"/>
      <c r="O421" s="85"/>
      <c r="P421" s="85"/>
      <c r="Q421" s="85"/>
      <c r="R421" s="85"/>
      <c r="S421" s="85"/>
      <c r="T421" s="85"/>
      <c r="U421" s="85"/>
      <c r="V421" s="85"/>
      <c r="W421" s="85"/>
      <c r="X421" s="85"/>
      <c r="Y421" s="85"/>
      <c r="Z421" s="85"/>
      <c r="AA421" s="85"/>
      <c r="AB421" s="85"/>
      <c r="AC421" s="85"/>
      <c r="AD421" s="85"/>
      <c r="AE421" s="85"/>
      <c r="AF421" s="85"/>
      <c r="AG421" s="85"/>
    </row>
    <row r="422">
      <c r="A422" s="85"/>
      <c r="B422" s="85"/>
      <c r="C422" s="87"/>
      <c r="D422" s="87"/>
      <c r="E422" s="85"/>
      <c r="F422" s="85"/>
      <c r="G422" s="85"/>
      <c r="H422" s="85"/>
      <c r="I422" s="85"/>
      <c r="J422" s="85"/>
      <c r="K422" s="85"/>
      <c r="L422" s="85"/>
      <c r="M422" s="85"/>
      <c r="N422" s="85"/>
      <c r="O422" s="85"/>
      <c r="P422" s="85"/>
      <c r="Q422" s="85"/>
      <c r="R422" s="85"/>
      <c r="S422" s="85"/>
      <c r="T422" s="85"/>
      <c r="U422" s="85"/>
      <c r="V422" s="85"/>
      <c r="W422" s="85"/>
      <c r="X422" s="85"/>
      <c r="Y422" s="85"/>
      <c r="Z422" s="85"/>
      <c r="AA422" s="85"/>
      <c r="AB422" s="85"/>
      <c r="AC422" s="85"/>
      <c r="AD422" s="85"/>
      <c r="AE422" s="85"/>
      <c r="AF422" s="85"/>
      <c r="AG422" s="85"/>
    </row>
    <row r="423">
      <c r="A423" s="85"/>
      <c r="B423" s="85"/>
      <c r="C423" s="87"/>
      <c r="D423" s="87"/>
      <c r="E423" s="85"/>
      <c r="F423" s="85"/>
      <c r="G423" s="85"/>
      <c r="H423" s="85"/>
      <c r="I423" s="85"/>
      <c r="J423" s="85"/>
      <c r="K423" s="85"/>
      <c r="L423" s="85"/>
      <c r="M423" s="85"/>
      <c r="N423" s="85"/>
      <c r="O423" s="85"/>
      <c r="P423" s="85"/>
      <c r="Q423" s="85"/>
      <c r="R423" s="85"/>
      <c r="S423" s="85"/>
      <c r="T423" s="85"/>
      <c r="U423" s="85"/>
      <c r="V423" s="85"/>
      <c r="W423" s="85"/>
      <c r="X423" s="85"/>
      <c r="Y423" s="85"/>
      <c r="Z423" s="85"/>
      <c r="AA423" s="85"/>
      <c r="AB423" s="85"/>
      <c r="AC423" s="85"/>
      <c r="AD423" s="85"/>
      <c r="AE423" s="85"/>
      <c r="AF423" s="85"/>
      <c r="AG423" s="85"/>
    </row>
    <row r="424">
      <c r="A424" s="85"/>
      <c r="B424" s="85"/>
      <c r="C424" s="87"/>
      <c r="D424" s="87"/>
      <c r="E424" s="85"/>
      <c r="F424" s="85"/>
      <c r="G424" s="85"/>
      <c r="H424" s="85"/>
      <c r="I424" s="85"/>
      <c r="J424" s="85"/>
      <c r="K424" s="85"/>
      <c r="L424" s="85"/>
      <c r="M424" s="85"/>
      <c r="N424" s="85"/>
      <c r="O424" s="85"/>
      <c r="P424" s="85"/>
      <c r="Q424" s="85"/>
      <c r="R424" s="85"/>
      <c r="S424" s="85"/>
      <c r="T424" s="85"/>
      <c r="U424" s="85"/>
      <c r="V424" s="85"/>
      <c r="W424" s="85"/>
      <c r="X424" s="85"/>
      <c r="Y424" s="85"/>
      <c r="Z424" s="85"/>
      <c r="AA424" s="85"/>
      <c r="AB424" s="85"/>
      <c r="AC424" s="85"/>
      <c r="AD424" s="85"/>
      <c r="AE424" s="85"/>
      <c r="AF424" s="85"/>
      <c r="AG424" s="85"/>
    </row>
    <row r="425">
      <c r="A425" s="85"/>
      <c r="B425" s="85"/>
      <c r="C425" s="87"/>
      <c r="D425" s="87"/>
      <c r="E425" s="85"/>
      <c r="F425" s="85"/>
      <c r="G425" s="85"/>
      <c r="H425" s="85"/>
      <c r="I425" s="85"/>
      <c r="J425" s="85"/>
      <c r="K425" s="85"/>
      <c r="L425" s="85"/>
      <c r="M425" s="85"/>
      <c r="N425" s="85"/>
      <c r="O425" s="85"/>
      <c r="P425" s="85"/>
      <c r="Q425" s="85"/>
      <c r="R425" s="85"/>
      <c r="S425" s="85"/>
      <c r="T425" s="85"/>
      <c r="U425" s="85"/>
      <c r="V425" s="85"/>
      <c r="W425" s="85"/>
      <c r="X425" s="85"/>
      <c r="Y425" s="85"/>
      <c r="Z425" s="85"/>
      <c r="AA425" s="85"/>
      <c r="AB425" s="85"/>
      <c r="AC425" s="85"/>
      <c r="AD425" s="85"/>
      <c r="AE425" s="85"/>
      <c r="AF425" s="85"/>
      <c r="AG425" s="85"/>
    </row>
    <row r="426">
      <c r="A426" s="85"/>
      <c r="B426" s="85"/>
      <c r="C426" s="87"/>
      <c r="D426" s="87"/>
      <c r="E426" s="85"/>
      <c r="F426" s="85"/>
      <c r="G426" s="85"/>
      <c r="H426" s="85"/>
      <c r="I426" s="85"/>
      <c r="J426" s="85"/>
      <c r="K426" s="85"/>
      <c r="L426" s="85"/>
      <c r="M426" s="85"/>
      <c r="N426" s="85"/>
      <c r="O426" s="85"/>
      <c r="P426" s="85"/>
      <c r="Q426" s="85"/>
      <c r="R426" s="85"/>
      <c r="S426" s="85"/>
      <c r="T426" s="85"/>
      <c r="U426" s="85"/>
      <c r="V426" s="85"/>
      <c r="W426" s="85"/>
      <c r="X426" s="85"/>
      <c r="Y426" s="85"/>
      <c r="Z426" s="85"/>
      <c r="AA426" s="85"/>
      <c r="AB426" s="85"/>
      <c r="AC426" s="85"/>
      <c r="AD426" s="85"/>
      <c r="AE426" s="85"/>
      <c r="AF426" s="85"/>
      <c r="AG426" s="85"/>
    </row>
    <row r="427">
      <c r="A427" s="85"/>
      <c r="B427" s="85"/>
      <c r="C427" s="87"/>
      <c r="D427" s="87"/>
      <c r="E427" s="85"/>
      <c r="F427" s="85"/>
      <c r="G427" s="85"/>
      <c r="H427" s="85"/>
      <c r="I427" s="85"/>
      <c r="J427" s="85"/>
      <c r="K427" s="85"/>
      <c r="L427" s="85"/>
      <c r="M427" s="85"/>
      <c r="N427" s="85"/>
      <c r="O427" s="85"/>
      <c r="P427" s="85"/>
      <c r="Q427" s="85"/>
      <c r="R427" s="85"/>
      <c r="S427" s="85"/>
      <c r="T427" s="85"/>
      <c r="U427" s="85"/>
      <c r="V427" s="85"/>
      <c r="W427" s="85"/>
      <c r="X427" s="85"/>
      <c r="Y427" s="85"/>
      <c r="Z427" s="85"/>
      <c r="AA427" s="85"/>
      <c r="AB427" s="85"/>
      <c r="AC427" s="85"/>
      <c r="AD427" s="85"/>
      <c r="AE427" s="85"/>
      <c r="AF427" s="85"/>
      <c r="AG427" s="85"/>
    </row>
    <row r="428">
      <c r="A428" s="85"/>
      <c r="B428" s="85"/>
      <c r="C428" s="87"/>
      <c r="D428" s="87"/>
      <c r="E428" s="85"/>
      <c r="F428" s="85"/>
      <c r="G428" s="85"/>
      <c r="H428" s="85"/>
      <c r="I428" s="85"/>
      <c r="J428" s="85"/>
      <c r="K428" s="85"/>
      <c r="L428" s="85"/>
      <c r="M428" s="85"/>
      <c r="N428" s="85"/>
      <c r="O428" s="85"/>
      <c r="P428" s="85"/>
      <c r="Q428" s="85"/>
      <c r="R428" s="85"/>
      <c r="S428" s="85"/>
      <c r="T428" s="85"/>
      <c r="U428" s="85"/>
      <c r="V428" s="85"/>
      <c r="W428" s="85"/>
      <c r="X428" s="85"/>
      <c r="Y428" s="85"/>
      <c r="Z428" s="85"/>
      <c r="AA428" s="85"/>
      <c r="AB428" s="85"/>
      <c r="AC428" s="85"/>
      <c r="AD428" s="85"/>
      <c r="AE428" s="85"/>
      <c r="AF428" s="85"/>
      <c r="AG428" s="85"/>
    </row>
    <row r="429">
      <c r="A429" s="85"/>
      <c r="B429" s="85"/>
      <c r="C429" s="87"/>
      <c r="D429" s="87"/>
      <c r="E429" s="85"/>
      <c r="F429" s="85"/>
      <c r="G429" s="85"/>
      <c r="H429" s="85"/>
      <c r="I429" s="85"/>
      <c r="J429" s="85"/>
      <c r="K429" s="85"/>
      <c r="L429" s="85"/>
      <c r="M429" s="85"/>
      <c r="N429" s="85"/>
      <c r="O429" s="85"/>
      <c r="P429" s="85"/>
      <c r="Q429" s="85"/>
      <c r="R429" s="85"/>
      <c r="S429" s="85"/>
      <c r="T429" s="85"/>
      <c r="U429" s="85"/>
      <c r="V429" s="85"/>
      <c r="W429" s="85"/>
      <c r="X429" s="85"/>
      <c r="Y429" s="85"/>
      <c r="Z429" s="85"/>
      <c r="AA429" s="85"/>
      <c r="AB429" s="85"/>
      <c r="AC429" s="85"/>
      <c r="AD429" s="85"/>
      <c r="AE429" s="85"/>
      <c r="AF429" s="85"/>
      <c r="AG429" s="85"/>
    </row>
    <row r="430">
      <c r="A430" s="85"/>
      <c r="B430" s="85"/>
      <c r="C430" s="87"/>
      <c r="D430" s="87"/>
      <c r="E430" s="85"/>
      <c r="F430" s="85"/>
      <c r="G430" s="85"/>
      <c r="H430" s="85"/>
      <c r="I430" s="85"/>
      <c r="J430" s="85"/>
      <c r="K430" s="85"/>
      <c r="L430" s="85"/>
      <c r="M430" s="85"/>
      <c r="N430" s="85"/>
      <c r="O430" s="85"/>
      <c r="P430" s="85"/>
      <c r="Q430" s="85"/>
      <c r="R430" s="85"/>
      <c r="S430" s="85"/>
      <c r="T430" s="85"/>
      <c r="U430" s="85"/>
      <c r="V430" s="85"/>
      <c r="W430" s="85"/>
      <c r="X430" s="85"/>
      <c r="Y430" s="85"/>
      <c r="Z430" s="85"/>
      <c r="AA430" s="85"/>
      <c r="AB430" s="85"/>
      <c r="AC430" s="85"/>
      <c r="AD430" s="85"/>
      <c r="AE430" s="85"/>
      <c r="AF430" s="85"/>
      <c r="AG430" s="85"/>
    </row>
    <row r="431">
      <c r="A431" s="85"/>
      <c r="B431" s="85"/>
      <c r="C431" s="87"/>
      <c r="D431" s="87"/>
      <c r="E431" s="85"/>
      <c r="F431" s="85"/>
      <c r="G431" s="85"/>
      <c r="H431" s="85"/>
      <c r="I431" s="85"/>
      <c r="J431" s="85"/>
      <c r="K431" s="85"/>
      <c r="L431" s="85"/>
      <c r="M431" s="85"/>
      <c r="N431" s="85"/>
      <c r="O431" s="85"/>
      <c r="P431" s="85"/>
      <c r="Q431" s="85"/>
      <c r="R431" s="85"/>
      <c r="S431" s="85"/>
      <c r="T431" s="85"/>
      <c r="U431" s="85"/>
      <c r="V431" s="85"/>
      <c r="W431" s="85"/>
      <c r="X431" s="85"/>
      <c r="Y431" s="85"/>
      <c r="Z431" s="85"/>
      <c r="AA431" s="85"/>
      <c r="AB431" s="85"/>
      <c r="AC431" s="85"/>
      <c r="AD431" s="85"/>
      <c r="AE431" s="85"/>
      <c r="AF431" s="85"/>
      <c r="AG431" s="85"/>
    </row>
    <row r="432">
      <c r="A432" s="85"/>
      <c r="B432" s="85"/>
      <c r="C432" s="87"/>
      <c r="D432" s="87"/>
      <c r="E432" s="85"/>
      <c r="F432" s="85"/>
      <c r="G432" s="85"/>
      <c r="H432" s="85"/>
      <c r="I432" s="85"/>
      <c r="J432" s="85"/>
      <c r="K432" s="85"/>
      <c r="L432" s="85"/>
      <c r="M432" s="85"/>
      <c r="N432" s="85"/>
      <c r="O432" s="85"/>
      <c r="P432" s="85"/>
      <c r="Q432" s="85"/>
      <c r="R432" s="85"/>
      <c r="S432" s="85"/>
      <c r="T432" s="85"/>
      <c r="U432" s="85"/>
      <c r="V432" s="85"/>
      <c r="W432" s="85"/>
      <c r="X432" s="85"/>
      <c r="Y432" s="85"/>
      <c r="Z432" s="85"/>
      <c r="AA432" s="85"/>
      <c r="AB432" s="85"/>
      <c r="AC432" s="85"/>
      <c r="AD432" s="85"/>
      <c r="AE432" s="85"/>
      <c r="AF432" s="85"/>
      <c r="AG432" s="85"/>
    </row>
    <row r="433">
      <c r="A433" s="85"/>
      <c r="B433" s="85"/>
      <c r="C433" s="87"/>
      <c r="D433" s="87"/>
      <c r="E433" s="85"/>
      <c r="F433" s="85"/>
      <c r="G433" s="85"/>
      <c r="H433" s="85"/>
      <c r="I433" s="85"/>
      <c r="J433" s="85"/>
      <c r="K433" s="85"/>
      <c r="L433" s="85"/>
      <c r="M433" s="85"/>
      <c r="N433" s="85"/>
      <c r="O433" s="85"/>
      <c r="P433" s="85"/>
      <c r="Q433" s="85"/>
      <c r="R433" s="85"/>
      <c r="S433" s="85"/>
      <c r="T433" s="85"/>
      <c r="U433" s="85"/>
      <c r="V433" s="85"/>
      <c r="W433" s="85"/>
      <c r="X433" s="85"/>
      <c r="Y433" s="85"/>
      <c r="Z433" s="85"/>
      <c r="AA433" s="85"/>
      <c r="AB433" s="85"/>
      <c r="AC433" s="85"/>
      <c r="AD433" s="85"/>
      <c r="AE433" s="85"/>
      <c r="AF433" s="85"/>
      <c r="AG433" s="85"/>
    </row>
    <row r="434">
      <c r="A434" s="85"/>
      <c r="B434" s="85"/>
      <c r="C434" s="87"/>
      <c r="D434" s="87"/>
      <c r="E434" s="85"/>
      <c r="F434" s="85"/>
      <c r="G434" s="85"/>
      <c r="H434" s="85"/>
      <c r="I434" s="85"/>
      <c r="J434" s="85"/>
      <c r="K434" s="85"/>
      <c r="L434" s="85"/>
      <c r="M434" s="85"/>
      <c r="N434" s="85"/>
      <c r="O434" s="85"/>
      <c r="P434" s="85"/>
      <c r="Q434" s="85"/>
      <c r="R434" s="85"/>
      <c r="S434" s="85"/>
      <c r="T434" s="85"/>
      <c r="U434" s="85"/>
      <c r="V434" s="85"/>
      <c r="W434" s="85"/>
      <c r="X434" s="85"/>
      <c r="Y434" s="85"/>
      <c r="Z434" s="85"/>
      <c r="AA434" s="85"/>
      <c r="AB434" s="85"/>
      <c r="AC434" s="85"/>
      <c r="AD434" s="85"/>
      <c r="AE434" s="85"/>
      <c r="AF434" s="85"/>
      <c r="AG434" s="85"/>
    </row>
    <row r="435">
      <c r="A435" s="85"/>
      <c r="B435" s="85"/>
      <c r="C435" s="87"/>
      <c r="D435" s="87"/>
      <c r="E435" s="85"/>
      <c r="F435" s="85"/>
      <c r="G435" s="85"/>
      <c r="H435" s="85"/>
      <c r="I435" s="85"/>
      <c r="J435" s="85"/>
      <c r="K435" s="85"/>
      <c r="L435" s="85"/>
      <c r="M435" s="85"/>
      <c r="N435" s="85"/>
      <c r="O435" s="85"/>
      <c r="P435" s="85"/>
      <c r="Q435" s="85"/>
      <c r="R435" s="85"/>
      <c r="S435" s="85"/>
      <c r="T435" s="85"/>
      <c r="U435" s="85"/>
      <c r="V435" s="85"/>
      <c r="W435" s="85"/>
      <c r="X435" s="85"/>
      <c r="Y435" s="85"/>
      <c r="Z435" s="85"/>
      <c r="AA435" s="85"/>
      <c r="AB435" s="85"/>
      <c r="AC435" s="85"/>
      <c r="AD435" s="85"/>
      <c r="AE435" s="85"/>
      <c r="AF435" s="85"/>
      <c r="AG435" s="85"/>
    </row>
    <row r="436">
      <c r="A436" s="85"/>
      <c r="B436" s="85"/>
      <c r="C436" s="87"/>
      <c r="D436" s="87"/>
      <c r="E436" s="85"/>
      <c r="F436" s="85"/>
      <c r="G436" s="85"/>
      <c r="H436" s="85"/>
      <c r="I436" s="85"/>
      <c r="J436" s="85"/>
      <c r="K436" s="85"/>
      <c r="L436" s="85"/>
      <c r="M436" s="85"/>
      <c r="N436" s="85"/>
      <c r="O436" s="85"/>
      <c r="P436" s="85"/>
      <c r="Q436" s="85"/>
      <c r="R436" s="85"/>
      <c r="S436" s="85"/>
      <c r="T436" s="85"/>
      <c r="U436" s="85"/>
      <c r="V436" s="85"/>
      <c r="W436" s="85"/>
      <c r="X436" s="85"/>
      <c r="Y436" s="85"/>
      <c r="Z436" s="85"/>
      <c r="AA436" s="85"/>
      <c r="AB436" s="85"/>
      <c r="AC436" s="85"/>
      <c r="AD436" s="85"/>
      <c r="AE436" s="85"/>
      <c r="AF436" s="85"/>
      <c r="AG436" s="85"/>
    </row>
    <row r="437">
      <c r="A437" s="85"/>
      <c r="B437" s="85"/>
      <c r="C437" s="87"/>
      <c r="D437" s="87"/>
      <c r="E437" s="85"/>
      <c r="F437" s="85"/>
      <c r="G437" s="85"/>
      <c r="H437" s="85"/>
      <c r="I437" s="85"/>
      <c r="J437" s="85"/>
      <c r="K437" s="85"/>
      <c r="L437" s="85"/>
      <c r="M437" s="85"/>
      <c r="N437" s="85"/>
      <c r="O437" s="85"/>
      <c r="P437" s="85"/>
      <c r="Q437" s="85"/>
      <c r="R437" s="85"/>
      <c r="S437" s="85"/>
      <c r="T437" s="85"/>
      <c r="U437" s="85"/>
      <c r="V437" s="85"/>
      <c r="W437" s="85"/>
      <c r="X437" s="85"/>
      <c r="Y437" s="85"/>
      <c r="Z437" s="85"/>
      <c r="AA437" s="85"/>
      <c r="AB437" s="85"/>
      <c r="AC437" s="85"/>
      <c r="AD437" s="85"/>
      <c r="AE437" s="85"/>
      <c r="AF437" s="85"/>
      <c r="AG437" s="85"/>
    </row>
    <row r="438">
      <c r="A438" s="85"/>
      <c r="B438" s="85"/>
      <c r="C438" s="87"/>
      <c r="D438" s="87"/>
      <c r="E438" s="85"/>
      <c r="F438" s="85"/>
      <c r="G438" s="85"/>
      <c r="H438" s="85"/>
      <c r="I438" s="85"/>
      <c r="J438" s="85"/>
      <c r="K438" s="85"/>
      <c r="L438" s="85"/>
      <c r="M438" s="85"/>
      <c r="N438" s="85"/>
      <c r="O438" s="85"/>
      <c r="P438" s="85"/>
      <c r="Q438" s="85"/>
      <c r="R438" s="85"/>
      <c r="S438" s="85"/>
      <c r="T438" s="85"/>
      <c r="U438" s="85"/>
      <c r="V438" s="85"/>
      <c r="W438" s="85"/>
      <c r="X438" s="85"/>
      <c r="Y438" s="85"/>
      <c r="Z438" s="85"/>
      <c r="AA438" s="85"/>
      <c r="AB438" s="85"/>
      <c r="AC438" s="85"/>
      <c r="AD438" s="85"/>
      <c r="AE438" s="85"/>
      <c r="AF438" s="85"/>
      <c r="AG438" s="85"/>
    </row>
    <row r="439">
      <c r="A439" s="85"/>
      <c r="B439" s="85"/>
      <c r="C439" s="87"/>
      <c r="D439" s="87"/>
      <c r="E439" s="85"/>
      <c r="F439" s="85"/>
      <c r="G439" s="85"/>
      <c r="H439" s="85"/>
      <c r="I439" s="85"/>
      <c r="J439" s="85"/>
      <c r="K439" s="85"/>
      <c r="L439" s="85"/>
      <c r="M439" s="85"/>
      <c r="N439" s="85"/>
      <c r="O439" s="85"/>
      <c r="P439" s="85"/>
      <c r="Q439" s="85"/>
      <c r="R439" s="85"/>
      <c r="S439" s="85"/>
      <c r="T439" s="85"/>
      <c r="U439" s="85"/>
      <c r="V439" s="85"/>
      <c r="W439" s="85"/>
      <c r="X439" s="85"/>
      <c r="Y439" s="85"/>
      <c r="Z439" s="85"/>
      <c r="AA439" s="85"/>
      <c r="AB439" s="85"/>
      <c r="AC439" s="85"/>
      <c r="AD439" s="85"/>
      <c r="AE439" s="85"/>
      <c r="AF439" s="85"/>
      <c r="AG439" s="85"/>
    </row>
    <row r="440">
      <c r="A440" s="85"/>
      <c r="B440" s="85"/>
      <c r="C440" s="87"/>
      <c r="D440" s="87"/>
      <c r="E440" s="85"/>
      <c r="F440" s="85"/>
      <c r="G440" s="85"/>
      <c r="H440" s="85"/>
      <c r="I440" s="85"/>
      <c r="J440" s="85"/>
      <c r="K440" s="85"/>
      <c r="L440" s="85"/>
      <c r="M440" s="85"/>
      <c r="N440" s="85"/>
      <c r="O440" s="85"/>
      <c r="P440" s="85"/>
      <c r="Q440" s="85"/>
      <c r="R440" s="85"/>
      <c r="S440" s="85"/>
      <c r="T440" s="85"/>
      <c r="U440" s="85"/>
      <c r="V440" s="85"/>
      <c r="W440" s="85"/>
      <c r="X440" s="85"/>
      <c r="Y440" s="85"/>
      <c r="Z440" s="85"/>
      <c r="AA440" s="85"/>
      <c r="AB440" s="85"/>
      <c r="AC440" s="85"/>
      <c r="AD440" s="85"/>
      <c r="AE440" s="85"/>
      <c r="AF440" s="85"/>
      <c r="AG440" s="85"/>
    </row>
    <row r="441">
      <c r="A441" s="85"/>
      <c r="B441" s="85"/>
      <c r="C441" s="87"/>
      <c r="D441" s="87"/>
      <c r="E441" s="85"/>
      <c r="F441" s="85"/>
      <c r="G441" s="85"/>
      <c r="H441" s="85"/>
      <c r="I441" s="85"/>
      <c r="J441" s="85"/>
      <c r="K441" s="85"/>
      <c r="L441" s="85"/>
      <c r="M441" s="85"/>
      <c r="N441" s="85"/>
      <c r="O441" s="85"/>
      <c r="P441" s="85"/>
      <c r="Q441" s="85"/>
      <c r="R441" s="85"/>
      <c r="S441" s="85"/>
      <c r="T441" s="85"/>
      <c r="U441" s="85"/>
      <c r="V441" s="85"/>
      <c r="W441" s="85"/>
      <c r="X441" s="85"/>
      <c r="Y441" s="85"/>
      <c r="Z441" s="85"/>
      <c r="AA441" s="85"/>
      <c r="AB441" s="85"/>
      <c r="AC441" s="85"/>
      <c r="AD441" s="85"/>
      <c r="AE441" s="85"/>
      <c r="AF441" s="85"/>
      <c r="AG441" s="85"/>
    </row>
    <row r="442">
      <c r="A442" s="85"/>
      <c r="B442" s="85"/>
      <c r="C442" s="87"/>
      <c r="D442" s="87"/>
      <c r="E442" s="85"/>
      <c r="F442" s="85"/>
      <c r="G442" s="85"/>
      <c r="H442" s="85"/>
      <c r="I442" s="85"/>
      <c r="J442" s="85"/>
      <c r="K442" s="85"/>
      <c r="L442" s="85"/>
      <c r="M442" s="85"/>
      <c r="N442" s="85"/>
      <c r="O442" s="85"/>
      <c r="P442" s="85"/>
      <c r="Q442" s="85"/>
      <c r="R442" s="85"/>
      <c r="S442" s="85"/>
      <c r="T442" s="85"/>
      <c r="U442" s="85"/>
      <c r="V442" s="85"/>
      <c r="W442" s="85"/>
      <c r="X442" s="85"/>
      <c r="Y442" s="85"/>
      <c r="Z442" s="85"/>
      <c r="AA442" s="85"/>
      <c r="AB442" s="85"/>
      <c r="AC442" s="85"/>
      <c r="AD442" s="85"/>
      <c r="AE442" s="85"/>
      <c r="AF442" s="85"/>
      <c r="AG442" s="85"/>
    </row>
    <row r="443">
      <c r="A443" s="85"/>
      <c r="B443" s="85"/>
      <c r="C443" s="87"/>
      <c r="D443" s="87"/>
      <c r="E443" s="85"/>
      <c r="F443" s="85"/>
      <c r="G443" s="85"/>
      <c r="H443" s="85"/>
      <c r="I443" s="85"/>
      <c r="J443" s="85"/>
      <c r="K443" s="85"/>
      <c r="L443" s="85"/>
      <c r="M443" s="85"/>
      <c r="N443" s="85"/>
      <c r="O443" s="85"/>
      <c r="P443" s="85"/>
      <c r="Q443" s="85"/>
      <c r="R443" s="85"/>
      <c r="S443" s="85"/>
      <c r="T443" s="85"/>
      <c r="U443" s="85"/>
      <c r="V443" s="85"/>
      <c r="W443" s="85"/>
      <c r="X443" s="85"/>
      <c r="Y443" s="85"/>
      <c r="Z443" s="85"/>
      <c r="AA443" s="85"/>
      <c r="AB443" s="85"/>
      <c r="AC443" s="85"/>
      <c r="AD443" s="85"/>
      <c r="AE443" s="85"/>
      <c r="AF443" s="85"/>
      <c r="AG443" s="85"/>
    </row>
    <row r="444">
      <c r="A444" s="85"/>
      <c r="B444" s="85"/>
      <c r="C444" s="87"/>
      <c r="D444" s="87"/>
      <c r="E444" s="85"/>
      <c r="F444" s="85"/>
      <c r="G444" s="85"/>
      <c r="H444" s="85"/>
      <c r="I444" s="85"/>
      <c r="J444" s="85"/>
      <c r="K444" s="85"/>
      <c r="L444" s="85"/>
      <c r="M444" s="85"/>
      <c r="N444" s="85"/>
      <c r="O444" s="85"/>
      <c r="P444" s="85"/>
      <c r="Q444" s="85"/>
      <c r="R444" s="85"/>
      <c r="S444" s="85"/>
      <c r="T444" s="85"/>
      <c r="U444" s="85"/>
      <c r="V444" s="85"/>
      <c r="W444" s="85"/>
      <c r="X444" s="85"/>
      <c r="Y444" s="85"/>
      <c r="Z444" s="85"/>
      <c r="AA444" s="85"/>
      <c r="AB444" s="85"/>
      <c r="AC444" s="85"/>
      <c r="AD444" s="85"/>
      <c r="AE444" s="85"/>
      <c r="AF444" s="85"/>
      <c r="AG444" s="85"/>
    </row>
    <row r="445">
      <c r="A445" s="85"/>
      <c r="B445" s="85"/>
      <c r="C445" s="87"/>
      <c r="D445" s="87"/>
      <c r="E445" s="85"/>
      <c r="F445" s="85"/>
      <c r="G445" s="85"/>
      <c r="H445" s="85"/>
      <c r="I445" s="85"/>
      <c r="J445" s="85"/>
      <c r="K445" s="85"/>
      <c r="L445" s="85"/>
      <c r="M445" s="85"/>
      <c r="N445" s="85"/>
      <c r="O445" s="85"/>
      <c r="P445" s="85"/>
      <c r="Q445" s="85"/>
      <c r="R445" s="85"/>
      <c r="S445" s="85"/>
      <c r="T445" s="85"/>
      <c r="U445" s="85"/>
      <c r="V445" s="85"/>
      <c r="W445" s="85"/>
      <c r="X445" s="85"/>
      <c r="Y445" s="85"/>
      <c r="Z445" s="85"/>
      <c r="AA445" s="85"/>
      <c r="AB445" s="85"/>
      <c r="AC445" s="85"/>
      <c r="AD445" s="85"/>
      <c r="AE445" s="85"/>
      <c r="AF445" s="85"/>
      <c r="AG445" s="85"/>
    </row>
    <row r="446">
      <c r="A446" s="85"/>
      <c r="B446" s="85"/>
      <c r="C446" s="87"/>
      <c r="D446" s="87"/>
      <c r="E446" s="85"/>
      <c r="F446" s="85"/>
      <c r="G446" s="85"/>
      <c r="H446" s="85"/>
      <c r="I446" s="85"/>
      <c r="J446" s="85"/>
      <c r="K446" s="85"/>
      <c r="L446" s="85"/>
      <c r="M446" s="85"/>
      <c r="N446" s="85"/>
      <c r="O446" s="85"/>
      <c r="P446" s="85"/>
      <c r="Q446" s="85"/>
      <c r="R446" s="85"/>
      <c r="S446" s="85"/>
      <c r="T446" s="85"/>
      <c r="U446" s="85"/>
      <c r="V446" s="85"/>
      <c r="W446" s="85"/>
      <c r="X446" s="85"/>
      <c r="Y446" s="85"/>
      <c r="Z446" s="85"/>
      <c r="AA446" s="85"/>
      <c r="AB446" s="85"/>
      <c r="AC446" s="85"/>
      <c r="AD446" s="85"/>
      <c r="AE446" s="85"/>
      <c r="AF446" s="85"/>
      <c r="AG446" s="85"/>
    </row>
    <row r="447">
      <c r="A447" s="85"/>
      <c r="B447" s="85"/>
      <c r="C447" s="87"/>
      <c r="D447" s="87"/>
      <c r="E447" s="85"/>
      <c r="F447" s="85"/>
      <c r="G447" s="85"/>
      <c r="H447" s="85"/>
      <c r="I447" s="85"/>
      <c r="J447" s="85"/>
      <c r="K447" s="85"/>
      <c r="L447" s="85"/>
      <c r="M447" s="85"/>
      <c r="N447" s="85"/>
      <c r="O447" s="85"/>
      <c r="P447" s="85"/>
      <c r="Q447" s="85"/>
      <c r="R447" s="85"/>
      <c r="S447" s="85"/>
      <c r="T447" s="85"/>
      <c r="U447" s="85"/>
      <c r="V447" s="85"/>
      <c r="W447" s="85"/>
      <c r="X447" s="85"/>
      <c r="Y447" s="85"/>
      <c r="Z447" s="85"/>
      <c r="AA447" s="85"/>
      <c r="AB447" s="85"/>
      <c r="AC447" s="85"/>
      <c r="AD447" s="85"/>
      <c r="AE447" s="85"/>
      <c r="AF447" s="85"/>
      <c r="AG447" s="85"/>
    </row>
    <row r="448">
      <c r="A448" s="85"/>
      <c r="B448" s="85"/>
      <c r="C448" s="87"/>
      <c r="D448" s="87"/>
      <c r="E448" s="85"/>
      <c r="F448" s="85"/>
      <c r="G448" s="85"/>
      <c r="H448" s="85"/>
      <c r="I448" s="85"/>
      <c r="J448" s="85"/>
      <c r="K448" s="85"/>
      <c r="L448" s="85"/>
      <c r="M448" s="85"/>
      <c r="N448" s="85"/>
      <c r="O448" s="85"/>
      <c r="P448" s="85"/>
      <c r="Q448" s="85"/>
      <c r="R448" s="85"/>
      <c r="S448" s="85"/>
      <c r="T448" s="85"/>
      <c r="U448" s="85"/>
      <c r="V448" s="85"/>
      <c r="W448" s="85"/>
      <c r="X448" s="85"/>
      <c r="Y448" s="85"/>
      <c r="Z448" s="85"/>
      <c r="AA448" s="85"/>
      <c r="AB448" s="85"/>
      <c r="AC448" s="85"/>
      <c r="AD448" s="85"/>
      <c r="AE448" s="85"/>
      <c r="AF448" s="85"/>
      <c r="AG448" s="85"/>
    </row>
    <row r="449">
      <c r="A449" s="85"/>
      <c r="B449" s="85"/>
      <c r="C449" s="87"/>
      <c r="D449" s="87"/>
      <c r="E449" s="85"/>
      <c r="F449" s="85"/>
      <c r="G449" s="85"/>
      <c r="H449" s="85"/>
      <c r="I449" s="85"/>
      <c r="J449" s="85"/>
      <c r="K449" s="85"/>
      <c r="L449" s="85"/>
      <c r="M449" s="85"/>
      <c r="N449" s="85"/>
      <c r="O449" s="85"/>
      <c r="P449" s="85"/>
      <c r="Q449" s="85"/>
      <c r="R449" s="85"/>
      <c r="S449" s="85"/>
      <c r="T449" s="85"/>
      <c r="U449" s="85"/>
      <c r="V449" s="85"/>
      <c r="W449" s="85"/>
      <c r="X449" s="85"/>
      <c r="Y449" s="85"/>
      <c r="Z449" s="85"/>
      <c r="AA449" s="85"/>
      <c r="AB449" s="85"/>
      <c r="AC449" s="85"/>
      <c r="AD449" s="85"/>
      <c r="AE449" s="85"/>
      <c r="AF449" s="85"/>
      <c r="AG449" s="85"/>
    </row>
    <row r="450">
      <c r="A450" s="85"/>
      <c r="B450" s="85"/>
      <c r="C450" s="87"/>
      <c r="D450" s="87"/>
      <c r="E450" s="85"/>
      <c r="F450" s="85"/>
      <c r="G450" s="85"/>
      <c r="H450" s="85"/>
      <c r="I450" s="85"/>
      <c r="J450" s="85"/>
      <c r="K450" s="85"/>
      <c r="L450" s="85"/>
      <c r="M450" s="85"/>
      <c r="N450" s="85"/>
      <c r="O450" s="85"/>
      <c r="P450" s="85"/>
      <c r="Q450" s="85"/>
      <c r="R450" s="85"/>
      <c r="S450" s="85"/>
      <c r="T450" s="85"/>
      <c r="U450" s="85"/>
      <c r="V450" s="85"/>
      <c r="W450" s="85"/>
      <c r="X450" s="85"/>
      <c r="Y450" s="85"/>
      <c r="Z450" s="85"/>
      <c r="AA450" s="85"/>
      <c r="AB450" s="85"/>
      <c r="AC450" s="85"/>
      <c r="AD450" s="85"/>
      <c r="AE450" s="85"/>
      <c r="AF450" s="85"/>
      <c r="AG450" s="85"/>
    </row>
    <row r="451">
      <c r="A451" s="85"/>
      <c r="B451" s="85"/>
      <c r="C451" s="87"/>
      <c r="D451" s="87"/>
      <c r="E451" s="85"/>
      <c r="F451" s="85"/>
      <c r="G451" s="85"/>
      <c r="H451" s="85"/>
      <c r="I451" s="85"/>
      <c r="J451" s="85"/>
      <c r="K451" s="85"/>
      <c r="L451" s="85"/>
      <c r="M451" s="85"/>
      <c r="N451" s="85"/>
      <c r="O451" s="85"/>
      <c r="P451" s="85"/>
      <c r="Q451" s="85"/>
      <c r="R451" s="85"/>
      <c r="S451" s="85"/>
      <c r="T451" s="85"/>
      <c r="U451" s="85"/>
      <c r="V451" s="85"/>
      <c r="W451" s="85"/>
      <c r="X451" s="85"/>
      <c r="Y451" s="85"/>
      <c r="Z451" s="85"/>
      <c r="AA451" s="85"/>
      <c r="AB451" s="85"/>
      <c r="AC451" s="85"/>
      <c r="AD451" s="85"/>
      <c r="AE451" s="85"/>
      <c r="AF451" s="85"/>
      <c r="AG451" s="85"/>
    </row>
    <row r="452">
      <c r="A452" s="85"/>
      <c r="B452" s="85"/>
      <c r="C452" s="87"/>
      <c r="D452" s="87"/>
      <c r="E452" s="85"/>
      <c r="F452" s="85"/>
      <c r="G452" s="85"/>
      <c r="H452" s="85"/>
      <c r="I452" s="85"/>
      <c r="J452" s="85"/>
      <c r="K452" s="85"/>
      <c r="L452" s="85"/>
      <c r="M452" s="85"/>
      <c r="N452" s="85"/>
      <c r="O452" s="85"/>
      <c r="P452" s="85"/>
      <c r="Q452" s="85"/>
      <c r="R452" s="85"/>
      <c r="S452" s="85"/>
      <c r="T452" s="85"/>
      <c r="U452" s="85"/>
      <c r="V452" s="85"/>
      <c r="W452" s="85"/>
      <c r="X452" s="85"/>
      <c r="Y452" s="85"/>
      <c r="Z452" s="85"/>
      <c r="AA452" s="85"/>
      <c r="AB452" s="85"/>
      <c r="AC452" s="85"/>
      <c r="AD452" s="85"/>
      <c r="AE452" s="85"/>
      <c r="AF452" s="85"/>
      <c r="AG452" s="85"/>
    </row>
    <row r="453">
      <c r="A453" s="85"/>
      <c r="B453" s="85"/>
      <c r="C453" s="87"/>
      <c r="D453" s="87"/>
      <c r="E453" s="85"/>
      <c r="F453" s="85"/>
      <c r="G453" s="85"/>
      <c r="H453" s="85"/>
      <c r="I453" s="85"/>
      <c r="J453" s="85"/>
      <c r="K453" s="85"/>
      <c r="L453" s="85"/>
      <c r="M453" s="85"/>
      <c r="N453" s="85"/>
      <c r="O453" s="85"/>
      <c r="P453" s="85"/>
      <c r="Q453" s="85"/>
      <c r="R453" s="85"/>
      <c r="S453" s="85"/>
      <c r="T453" s="85"/>
      <c r="U453" s="85"/>
      <c r="V453" s="85"/>
      <c r="W453" s="85"/>
      <c r="X453" s="85"/>
      <c r="Y453" s="85"/>
      <c r="Z453" s="85"/>
      <c r="AA453" s="85"/>
      <c r="AB453" s="85"/>
      <c r="AC453" s="85"/>
      <c r="AD453" s="85"/>
      <c r="AE453" s="85"/>
      <c r="AF453" s="85"/>
      <c r="AG453" s="85"/>
    </row>
    <row r="454">
      <c r="A454" s="85"/>
      <c r="B454" s="85"/>
      <c r="C454" s="87"/>
      <c r="D454" s="87"/>
      <c r="E454" s="85"/>
      <c r="F454" s="85"/>
      <c r="G454" s="85"/>
      <c r="H454" s="85"/>
      <c r="I454" s="85"/>
      <c r="J454" s="85"/>
      <c r="K454" s="85"/>
      <c r="L454" s="85"/>
      <c r="M454" s="85"/>
      <c r="N454" s="85"/>
      <c r="O454" s="85"/>
      <c r="P454" s="85"/>
      <c r="Q454" s="85"/>
      <c r="R454" s="85"/>
      <c r="S454" s="85"/>
      <c r="T454" s="85"/>
      <c r="U454" s="85"/>
      <c r="V454" s="85"/>
      <c r="W454" s="85"/>
      <c r="X454" s="85"/>
      <c r="Y454" s="85"/>
      <c r="Z454" s="85"/>
      <c r="AA454" s="85"/>
      <c r="AB454" s="85"/>
      <c r="AC454" s="85"/>
      <c r="AD454" s="85"/>
      <c r="AE454" s="85"/>
      <c r="AF454" s="85"/>
      <c r="AG454" s="85"/>
    </row>
    <row r="455">
      <c r="A455" s="85"/>
      <c r="B455" s="85"/>
      <c r="C455" s="87"/>
      <c r="D455" s="87"/>
      <c r="E455" s="85"/>
      <c r="F455" s="85"/>
      <c r="G455" s="85"/>
      <c r="H455" s="85"/>
      <c r="I455" s="85"/>
      <c r="J455" s="85"/>
      <c r="K455" s="85"/>
      <c r="L455" s="85"/>
      <c r="M455" s="85"/>
      <c r="N455" s="85"/>
      <c r="O455" s="85"/>
      <c r="P455" s="85"/>
      <c r="Q455" s="85"/>
      <c r="R455" s="85"/>
      <c r="S455" s="85"/>
      <c r="T455" s="85"/>
      <c r="U455" s="85"/>
      <c r="V455" s="85"/>
      <c r="W455" s="85"/>
      <c r="X455" s="85"/>
      <c r="Y455" s="85"/>
      <c r="Z455" s="85"/>
      <c r="AA455" s="85"/>
      <c r="AB455" s="85"/>
      <c r="AC455" s="85"/>
      <c r="AD455" s="85"/>
      <c r="AE455" s="85"/>
      <c r="AF455" s="85"/>
      <c r="AG455" s="85"/>
    </row>
    <row r="456">
      <c r="A456" s="85"/>
      <c r="B456" s="85"/>
      <c r="C456" s="87"/>
      <c r="D456" s="87"/>
      <c r="E456" s="85"/>
      <c r="F456" s="85"/>
      <c r="G456" s="85"/>
      <c r="H456" s="85"/>
      <c r="I456" s="85"/>
      <c r="J456" s="85"/>
      <c r="K456" s="85"/>
      <c r="L456" s="85"/>
      <c r="M456" s="85"/>
      <c r="N456" s="85"/>
      <c r="O456" s="85"/>
      <c r="P456" s="85"/>
      <c r="Q456" s="85"/>
      <c r="R456" s="85"/>
      <c r="S456" s="85"/>
      <c r="T456" s="85"/>
      <c r="U456" s="85"/>
      <c r="V456" s="85"/>
      <c r="W456" s="85"/>
      <c r="X456" s="85"/>
      <c r="Y456" s="85"/>
      <c r="Z456" s="85"/>
      <c r="AA456" s="85"/>
      <c r="AB456" s="85"/>
      <c r="AC456" s="85"/>
      <c r="AD456" s="85"/>
      <c r="AE456" s="85"/>
      <c r="AF456" s="85"/>
      <c r="AG456" s="85"/>
    </row>
    <row r="457">
      <c r="A457" s="85"/>
      <c r="B457" s="85"/>
      <c r="C457" s="87"/>
      <c r="D457" s="87"/>
      <c r="E457" s="85"/>
      <c r="F457" s="85"/>
      <c r="G457" s="85"/>
      <c r="H457" s="85"/>
      <c r="I457" s="85"/>
      <c r="J457" s="85"/>
      <c r="K457" s="85"/>
      <c r="L457" s="85"/>
      <c r="M457" s="85"/>
      <c r="N457" s="85"/>
      <c r="O457" s="85"/>
      <c r="P457" s="85"/>
      <c r="Q457" s="85"/>
      <c r="R457" s="85"/>
      <c r="S457" s="85"/>
      <c r="T457" s="85"/>
      <c r="U457" s="85"/>
      <c r="V457" s="85"/>
      <c r="W457" s="85"/>
      <c r="X457" s="85"/>
      <c r="Y457" s="85"/>
      <c r="Z457" s="85"/>
      <c r="AA457" s="85"/>
      <c r="AB457" s="85"/>
      <c r="AC457" s="85"/>
      <c r="AD457" s="85"/>
      <c r="AE457" s="85"/>
      <c r="AF457" s="85"/>
      <c r="AG457" s="85"/>
    </row>
    <row r="458">
      <c r="A458" s="85"/>
      <c r="B458" s="85"/>
      <c r="C458" s="87"/>
      <c r="D458" s="87"/>
      <c r="E458" s="85"/>
      <c r="F458" s="85"/>
      <c r="G458" s="85"/>
      <c r="H458" s="85"/>
      <c r="I458" s="85"/>
      <c r="J458" s="85"/>
      <c r="K458" s="85"/>
      <c r="L458" s="85"/>
      <c r="M458" s="85"/>
      <c r="N458" s="85"/>
      <c r="O458" s="85"/>
      <c r="P458" s="85"/>
      <c r="Q458" s="85"/>
      <c r="R458" s="85"/>
      <c r="S458" s="85"/>
      <c r="T458" s="85"/>
      <c r="U458" s="85"/>
      <c r="V458" s="85"/>
      <c r="W458" s="85"/>
      <c r="X458" s="85"/>
      <c r="Y458" s="85"/>
      <c r="Z458" s="85"/>
      <c r="AA458" s="85"/>
      <c r="AB458" s="85"/>
      <c r="AC458" s="85"/>
      <c r="AD458" s="85"/>
      <c r="AE458" s="85"/>
      <c r="AF458" s="85"/>
      <c r="AG458" s="85"/>
    </row>
    <row r="459">
      <c r="A459" s="85"/>
      <c r="B459" s="85"/>
      <c r="C459" s="87"/>
      <c r="D459" s="87"/>
      <c r="E459" s="85"/>
      <c r="F459" s="85"/>
      <c r="G459" s="85"/>
      <c r="H459" s="85"/>
      <c r="I459" s="85"/>
      <c r="J459" s="85"/>
      <c r="K459" s="85"/>
      <c r="L459" s="85"/>
      <c r="M459" s="85"/>
      <c r="N459" s="85"/>
      <c r="O459" s="85"/>
      <c r="P459" s="85"/>
      <c r="Q459" s="85"/>
      <c r="R459" s="85"/>
      <c r="S459" s="85"/>
      <c r="T459" s="85"/>
      <c r="U459" s="85"/>
      <c r="V459" s="85"/>
      <c r="W459" s="85"/>
      <c r="X459" s="85"/>
      <c r="Y459" s="85"/>
      <c r="Z459" s="85"/>
      <c r="AA459" s="85"/>
      <c r="AB459" s="85"/>
      <c r="AC459" s="85"/>
      <c r="AD459" s="85"/>
      <c r="AE459" s="85"/>
      <c r="AF459" s="85"/>
      <c r="AG459" s="85"/>
    </row>
    <row r="460">
      <c r="A460" s="85"/>
      <c r="B460" s="85"/>
      <c r="C460" s="87"/>
      <c r="D460" s="87"/>
      <c r="E460" s="85"/>
      <c r="F460" s="85"/>
      <c r="G460" s="85"/>
      <c r="H460" s="85"/>
      <c r="I460" s="85"/>
      <c r="J460" s="85"/>
      <c r="K460" s="85"/>
      <c r="L460" s="85"/>
      <c r="M460" s="85"/>
      <c r="N460" s="85"/>
      <c r="O460" s="85"/>
      <c r="P460" s="85"/>
      <c r="Q460" s="85"/>
      <c r="R460" s="85"/>
      <c r="S460" s="85"/>
      <c r="T460" s="85"/>
      <c r="U460" s="85"/>
      <c r="V460" s="85"/>
      <c r="W460" s="85"/>
      <c r="X460" s="85"/>
      <c r="Y460" s="85"/>
      <c r="Z460" s="85"/>
      <c r="AA460" s="85"/>
      <c r="AB460" s="85"/>
      <c r="AC460" s="85"/>
      <c r="AD460" s="85"/>
      <c r="AE460" s="85"/>
      <c r="AF460" s="85"/>
      <c r="AG460" s="85"/>
    </row>
    <row r="461">
      <c r="A461" s="85"/>
      <c r="B461" s="85"/>
      <c r="C461" s="87"/>
      <c r="D461" s="87"/>
      <c r="E461" s="85"/>
      <c r="F461" s="85"/>
      <c r="G461" s="85"/>
      <c r="H461" s="85"/>
      <c r="I461" s="85"/>
      <c r="J461" s="85"/>
      <c r="K461" s="85"/>
      <c r="L461" s="85"/>
      <c r="M461" s="85"/>
      <c r="N461" s="85"/>
      <c r="O461" s="85"/>
      <c r="P461" s="85"/>
      <c r="Q461" s="85"/>
      <c r="R461" s="85"/>
      <c r="S461" s="85"/>
      <c r="T461" s="85"/>
      <c r="U461" s="85"/>
      <c r="V461" s="85"/>
      <c r="W461" s="85"/>
      <c r="X461" s="85"/>
      <c r="Y461" s="85"/>
      <c r="Z461" s="85"/>
      <c r="AA461" s="85"/>
      <c r="AB461" s="85"/>
      <c r="AC461" s="85"/>
      <c r="AD461" s="85"/>
      <c r="AE461" s="85"/>
      <c r="AF461" s="85"/>
      <c r="AG461" s="85"/>
    </row>
    <row r="462">
      <c r="A462" s="85"/>
      <c r="B462" s="85"/>
      <c r="C462" s="87"/>
      <c r="D462" s="87"/>
      <c r="E462" s="85"/>
      <c r="F462" s="85"/>
      <c r="G462" s="85"/>
      <c r="H462" s="85"/>
      <c r="I462" s="85"/>
      <c r="J462" s="85"/>
      <c r="K462" s="85"/>
      <c r="L462" s="85"/>
      <c r="M462" s="85"/>
      <c r="N462" s="85"/>
      <c r="O462" s="85"/>
      <c r="P462" s="85"/>
      <c r="Q462" s="85"/>
      <c r="R462" s="85"/>
      <c r="S462" s="85"/>
      <c r="T462" s="85"/>
      <c r="U462" s="85"/>
      <c r="V462" s="85"/>
      <c r="W462" s="85"/>
      <c r="X462" s="85"/>
      <c r="Y462" s="85"/>
      <c r="Z462" s="85"/>
      <c r="AA462" s="85"/>
      <c r="AB462" s="85"/>
      <c r="AC462" s="85"/>
      <c r="AD462" s="85"/>
      <c r="AE462" s="85"/>
      <c r="AF462" s="85"/>
      <c r="AG462" s="85"/>
    </row>
    <row r="463">
      <c r="A463" s="85"/>
      <c r="B463" s="85"/>
      <c r="C463" s="87"/>
      <c r="D463" s="87"/>
      <c r="E463" s="85"/>
      <c r="F463" s="85"/>
      <c r="G463" s="85"/>
      <c r="H463" s="85"/>
      <c r="I463" s="85"/>
      <c r="J463" s="85"/>
      <c r="K463" s="85"/>
      <c r="L463" s="85"/>
      <c r="M463" s="85"/>
      <c r="N463" s="85"/>
      <c r="O463" s="85"/>
      <c r="P463" s="85"/>
      <c r="Q463" s="85"/>
      <c r="R463" s="85"/>
      <c r="S463" s="85"/>
      <c r="T463" s="85"/>
      <c r="U463" s="85"/>
      <c r="V463" s="85"/>
      <c r="W463" s="85"/>
      <c r="X463" s="85"/>
      <c r="Y463" s="85"/>
      <c r="Z463" s="85"/>
      <c r="AA463" s="85"/>
      <c r="AB463" s="85"/>
      <c r="AC463" s="85"/>
      <c r="AD463" s="85"/>
      <c r="AE463" s="85"/>
      <c r="AF463" s="85"/>
      <c r="AG463" s="85"/>
    </row>
    <row r="464">
      <c r="A464" s="85"/>
      <c r="B464" s="85"/>
      <c r="C464" s="87"/>
      <c r="D464" s="87"/>
      <c r="E464" s="85"/>
      <c r="F464" s="85"/>
      <c r="G464" s="85"/>
      <c r="H464" s="85"/>
      <c r="I464" s="85"/>
      <c r="J464" s="85"/>
      <c r="K464" s="85"/>
      <c r="L464" s="85"/>
      <c r="M464" s="85"/>
      <c r="N464" s="85"/>
      <c r="O464" s="85"/>
      <c r="P464" s="85"/>
      <c r="Q464" s="85"/>
      <c r="R464" s="85"/>
      <c r="S464" s="85"/>
      <c r="T464" s="85"/>
      <c r="U464" s="85"/>
      <c r="V464" s="85"/>
      <c r="W464" s="85"/>
      <c r="X464" s="85"/>
      <c r="Y464" s="85"/>
      <c r="Z464" s="85"/>
      <c r="AA464" s="85"/>
      <c r="AB464" s="85"/>
      <c r="AC464" s="85"/>
      <c r="AD464" s="85"/>
      <c r="AE464" s="85"/>
      <c r="AF464" s="85"/>
      <c r="AG464" s="85"/>
    </row>
    <row r="465">
      <c r="A465" s="85"/>
      <c r="B465" s="85"/>
      <c r="C465" s="87"/>
      <c r="D465" s="87"/>
      <c r="E465" s="85"/>
      <c r="F465" s="85"/>
      <c r="G465" s="85"/>
      <c r="H465" s="85"/>
      <c r="I465" s="85"/>
      <c r="J465" s="85"/>
      <c r="K465" s="85"/>
      <c r="L465" s="85"/>
      <c r="M465" s="85"/>
      <c r="N465" s="85"/>
      <c r="O465" s="85"/>
      <c r="P465" s="85"/>
      <c r="Q465" s="85"/>
      <c r="R465" s="85"/>
      <c r="S465" s="85"/>
      <c r="T465" s="85"/>
      <c r="U465" s="85"/>
      <c r="V465" s="85"/>
      <c r="W465" s="85"/>
      <c r="X465" s="85"/>
      <c r="Y465" s="85"/>
      <c r="Z465" s="85"/>
      <c r="AA465" s="85"/>
      <c r="AB465" s="85"/>
      <c r="AC465" s="85"/>
      <c r="AD465" s="85"/>
      <c r="AE465" s="85"/>
      <c r="AF465" s="85"/>
      <c r="AG465" s="85"/>
    </row>
    <row r="466">
      <c r="A466" s="85"/>
      <c r="B466" s="85"/>
      <c r="C466" s="87"/>
      <c r="D466" s="87"/>
      <c r="E466" s="85"/>
      <c r="F466" s="85"/>
      <c r="G466" s="85"/>
      <c r="H466" s="85"/>
      <c r="I466" s="85"/>
      <c r="J466" s="85"/>
      <c r="K466" s="85"/>
      <c r="L466" s="85"/>
      <c r="M466" s="85"/>
      <c r="N466" s="85"/>
      <c r="O466" s="85"/>
      <c r="P466" s="85"/>
      <c r="Q466" s="85"/>
      <c r="R466" s="85"/>
      <c r="S466" s="85"/>
      <c r="T466" s="85"/>
      <c r="U466" s="85"/>
      <c r="V466" s="85"/>
      <c r="W466" s="85"/>
      <c r="X466" s="85"/>
      <c r="Y466" s="85"/>
      <c r="Z466" s="85"/>
      <c r="AA466" s="85"/>
      <c r="AB466" s="85"/>
      <c r="AC466" s="85"/>
      <c r="AD466" s="85"/>
      <c r="AE466" s="85"/>
      <c r="AF466" s="85"/>
      <c r="AG466" s="85"/>
    </row>
    <row r="467">
      <c r="A467" s="85"/>
      <c r="B467" s="85"/>
      <c r="C467" s="87"/>
      <c r="D467" s="87"/>
      <c r="E467" s="85"/>
      <c r="F467" s="85"/>
      <c r="G467" s="85"/>
      <c r="H467" s="85"/>
      <c r="I467" s="85"/>
      <c r="J467" s="85"/>
      <c r="K467" s="85"/>
      <c r="L467" s="85"/>
      <c r="M467" s="85"/>
      <c r="N467" s="85"/>
      <c r="O467" s="85"/>
      <c r="P467" s="85"/>
      <c r="Q467" s="85"/>
      <c r="R467" s="85"/>
      <c r="S467" s="85"/>
      <c r="T467" s="85"/>
      <c r="U467" s="85"/>
      <c r="V467" s="85"/>
      <c r="W467" s="85"/>
      <c r="X467" s="85"/>
      <c r="Y467" s="85"/>
      <c r="Z467" s="85"/>
      <c r="AA467" s="85"/>
      <c r="AB467" s="85"/>
      <c r="AC467" s="85"/>
      <c r="AD467" s="85"/>
      <c r="AE467" s="85"/>
      <c r="AF467" s="85"/>
      <c r="AG467" s="85"/>
    </row>
    <row r="468">
      <c r="A468" s="85"/>
      <c r="B468" s="85"/>
      <c r="C468" s="87"/>
      <c r="D468" s="87"/>
      <c r="E468" s="85"/>
      <c r="F468" s="85"/>
      <c r="G468" s="85"/>
      <c r="H468" s="85"/>
      <c r="I468" s="85"/>
      <c r="J468" s="85"/>
      <c r="K468" s="85"/>
      <c r="L468" s="85"/>
      <c r="M468" s="85"/>
      <c r="N468" s="85"/>
      <c r="O468" s="85"/>
      <c r="P468" s="85"/>
      <c r="Q468" s="85"/>
      <c r="R468" s="85"/>
      <c r="S468" s="85"/>
      <c r="T468" s="85"/>
      <c r="U468" s="85"/>
      <c r="V468" s="85"/>
      <c r="W468" s="85"/>
      <c r="X468" s="85"/>
      <c r="Y468" s="85"/>
      <c r="Z468" s="85"/>
      <c r="AA468" s="85"/>
      <c r="AB468" s="85"/>
      <c r="AC468" s="85"/>
      <c r="AD468" s="85"/>
      <c r="AE468" s="85"/>
      <c r="AF468" s="85"/>
      <c r="AG468" s="85"/>
    </row>
    <row r="469">
      <c r="A469" s="85"/>
      <c r="B469" s="85"/>
      <c r="C469" s="87"/>
      <c r="D469" s="87"/>
      <c r="E469" s="85"/>
      <c r="F469" s="85"/>
      <c r="G469" s="85"/>
      <c r="H469" s="85"/>
      <c r="I469" s="85"/>
      <c r="J469" s="85"/>
      <c r="K469" s="85"/>
      <c r="L469" s="85"/>
      <c r="M469" s="85"/>
      <c r="N469" s="85"/>
      <c r="O469" s="85"/>
      <c r="P469" s="85"/>
      <c r="Q469" s="85"/>
      <c r="R469" s="85"/>
      <c r="S469" s="85"/>
      <c r="T469" s="85"/>
      <c r="U469" s="85"/>
      <c r="V469" s="85"/>
      <c r="W469" s="85"/>
      <c r="X469" s="85"/>
      <c r="Y469" s="85"/>
      <c r="Z469" s="85"/>
      <c r="AA469" s="85"/>
      <c r="AB469" s="85"/>
      <c r="AC469" s="85"/>
      <c r="AD469" s="85"/>
      <c r="AE469" s="85"/>
      <c r="AF469" s="85"/>
      <c r="AG469" s="85"/>
    </row>
    <row r="470">
      <c r="A470" s="85"/>
      <c r="B470" s="85"/>
      <c r="C470" s="87"/>
      <c r="D470" s="87"/>
      <c r="E470" s="85"/>
      <c r="F470" s="85"/>
      <c r="G470" s="85"/>
      <c r="H470" s="85"/>
      <c r="I470" s="85"/>
      <c r="J470" s="85"/>
      <c r="K470" s="85"/>
      <c r="L470" s="85"/>
      <c r="M470" s="85"/>
      <c r="N470" s="85"/>
      <c r="O470" s="85"/>
      <c r="P470" s="85"/>
      <c r="Q470" s="85"/>
      <c r="R470" s="85"/>
      <c r="S470" s="85"/>
      <c r="T470" s="85"/>
      <c r="U470" s="85"/>
      <c r="V470" s="85"/>
      <c r="W470" s="85"/>
      <c r="X470" s="85"/>
      <c r="Y470" s="85"/>
      <c r="Z470" s="85"/>
      <c r="AA470" s="85"/>
      <c r="AB470" s="85"/>
      <c r="AC470" s="85"/>
      <c r="AD470" s="85"/>
      <c r="AE470" s="85"/>
      <c r="AF470" s="85"/>
      <c r="AG470" s="85"/>
    </row>
    <row r="471">
      <c r="A471" s="85"/>
      <c r="B471" s="85"/>
      <c r="C471" s="87"/>
      <c r="D471" s="87"/>
      <c r="E471" s="85"/>
      <c r="F471" s="85"/>
      <c r="G471" s="85"/>
      <c r="H471" s="85"/>
      <c r="I471" s="85"/>
      <c r="J471" s="85"/>
      <c r="K471" s="85"/>
      <c r="L471" s="85"/>
      <c r="M471" s="85"/>
      <c r="N471" s="85"/>
      <c r="O471" s="85"/>
      <c r="P471" s="85"/>
      <c r="Q471" s="85"/>
      <c r="R471" s="85"/>
      <c r="S471" s="85"/>
      <c r="T471" s="85"/>
      <c r="U471" s="85"/>
      <c r="V471" s="85"/>
      <c r="W471" s="85"/>
      <c r="X471" s="85"/>
      <c r="Y471" s="85"/>
      <c r="Z471" s="85"/>
      <c r="AA471" s="85"/>
      <c r="AB471" s="85"/>
      <c r="AC471" s="85"/>
      <c r="AD471" s="85"/>
      <c r="AE471" s="85"/>
      <c r="AF471" s="85"/>
      <c r="AG471" s="85"/>
    </row>
    <row r="472">
      <c r="A472" s="85"/>
      <c r="B472" s="85"/>
      <c r="C472" s="87"/>
      <c r="D472" s="87"/>
      <c r="E472" s="85"/>
      <c r="F472" s="85"/>
      <c r="G472" s="85"/>
      <c r="H472" s="85"/>
      <c r="I472" s="85"/>
      <c r="J472" s="85"/>
      <c r="K472" s="85"/>
      <c r="L472" s="85"/>
      <c r="M472" s="85"/>
      <c r="N472" s="85"/>
      <c r="O472" s="85"/>
      <c r="P472" s="85"/>
      <c r="Q472" s="85"/>
      <c r="R472" s="85"/>
      <c r="S472" s="85"/>
      <c r="T472" s="85"/>
      <c r="U472" s="85"/>
      <c r="V472" s="85"/>
      <c r="W472" s="85"/>
      <c r="X472" s="85"/>
      <c r="Y472" s="85"/>
      <c r="Z472" s="85"/>
      <c r="AA472" s="85"/>
      <c r="AB472" s="85"/>
      <c r="AC472" s="85"/>
      <c r="AD472" s="85"/>
      <c r="AE472" s="85"/>
      <c r="AF472" s="85"/>
      <c r="AG472" s="85"/>
    </row>
    <row r="473">
      <c r="A473" s="85"/>
      <c r="B473" s="85"/>
      <c r="C473" s="87"/>
      <c r="D473" s="87"/>
      <c r="E473" s="85"/>
      <c r="F473" s="85"/>
      <c r="G473" s="85"/>
      <c r="H473" s="85"/>
      <c r="I473" s="85"/>
      <c r="J473" s="85"/>
      <c r="K473" s="85"/>
      <c r="L473" s="85"/>
      <c r="M473" s="85"/>
      <c r="N473" s="85"/>
      <c r="O473" s="85"/>
      <c r="P473" s="85"/>
      <c r="Q473" s="85"/>
      <c r="R473" s="85"/>
      <c r="S473" s="85"/>
      <c r="T473" s="85"/>
      <c r="U473" s="85"/>
      <c r="V473" s="85"/>
      <c r="W473" s="85"/>
      <c r="X473" s="85"/>
      <c r="Y473" s="85"/>
      <c r="Z473" s="85"/>
      <c r="AA473" s="85"/>
      <c r="AB473" s="85"/>
      <c r="AC473" s="85"/>
      <c r="AD473" s="85"/>
      <c r="AE473" s="85"/>
      <c r="AF473" s="85"/>
      <c r="AG473" s="85"/>
    </row>
    <row r="474">
      <c r="A474" s="85"/>
      <c r="B474" s="85"/>
      <c r="C474" s="87"/>
      <c r="D474" s="87"/>
      <c r="E474" s="85"/>
      <c r="F474" s="85"/>
      <c r="G474" s="85"/>
      <c r="H474" s="85"/>
      <c r="I474" s="85"/>
      <c r="J474" s="85"/>
      <c r="K474" s="85"/>
      <c r="L474" s="85"/>
      <c r="M474" s="85"/>
      <c r="N474" s="85"/>
      <c r="O474" s="85"/>
      <c r="P474" s="85"/>
      <c r="Q474" s="85"/>
      <c r="R474" s="85"/>
      <c r="S474" s="85"/>
      <c r="T474" s="85"/>
      <c r="U474" s="85"/>
      <c r="V474" s="85"/>
      <c r="W474" s="85"/>
      <c r="X474" s="85"/>
      <c r="Y474" s="85"/>
      <c r="Z474" s="85"/>
      <c r="AA474" s="85"/>
      <c r="AB474" s="85"/>
      <c r="AC474" s="85"/>
      <c r="AD474" s="85"/>
      <c r="AE474" s="85"/>
      <c r="AF474" s="85"/>
      <c r="AG474" s="85"/>
    </row>
    <row r="475">
      <c r="A475" s="85"/>
      <c r="B475" s="85"/>
      <c r="C475" s="87"/>
      <c r="D475" s="87"/>
      <c r="E475" s="85"/>
      <c r="F475" s="85"/>
      <c r="G475" s="85"/>
      <c r="H475" s="85"/>
      <c r="I475" s="85"/>
      <c r="J475" s="85"/>
      <c r="K475" s="85"/>
      <c r="L475" s="85"/>
      <c r="M475" s="85"/>
      <c r="N475" s="85"/>
      <c r="O475" s="85"/>
      <c r="P475" s="85"/>
      <c r="Q475" s="85"/>
      <c r="R475" s="85"/>
      <c r="S475" s="85"/>
      <c r="T475" s="85"/>
      <c r="U475" s="85"/>
      <c r="V475" s="85"/>
      <c r="W475" s="85"/>
      <c r="X475" s="85"/>
      <c r="Y475" s="85"/>
      <c r="Z475" s="85"/>
      <c r="AA475" s="85"/>
      <c r="AB475" s="85"/>
      <c r="AC475" s="85"/>
      <c r="AD475" s="85"/>
      <c r="AE475" s="85"/>
      <c r="AF475" s="85"/>
      <c r="AG475" s="85"/>
    </row>
    <row r="476">
      <c r="A476" s="85"/>
      <c r="B476" s="85"/>
      <c r="C476" s="87"/>
      <c r="D476" s="87"/>
      <c r="E476" s="85"/>
      <c r="F476" s="85"/>
      <c r="G476" s="85"/>
      <c r="H476" s="85"/>
      <c r="I476" s="85"/>
      <c r="J476" s="85"/>
      <c r="K476" s="85"/>
      <c r="L476" s="85"/>
      <c r="M476" s="85"/>
      <c r="N476" s="85"/>
      <c r="O476" s="85"/>
      <c r="P476" s="85"/>
      <c r="Q476" s="85"/>
      <c r="R476" s="85"/>
      <c r="S476" s="85"/>
      <c r="T476" s="85"/>
      <c r="U476" s="85"/>
      <c r="V476" s="85"/>
      <c r="W476" s="85"/>
      <c r="X476" s="85"/>
      <c r="Y476" s="85"/>
      <c r="Z476" s="85"/>
      <c r="AA476" s="85"/>
      <c r="AB476" s="85"/>
      <c r="AC476" s="85"/>
      <c r="AD476" s="85"/>
      <c r="AE476" s="85"/>
      <c r="AF476" s="85"/>
      <c r="AG476" s="85"/>
    </row>
    <row r="477">
      <c r="A477" s="85"/>
      <c r="B477" s="85"/>
      <c r="C477" s="87"/>
      <c r="D477" s="87"/>
      <c r="E477" s="85"/>
      <c r="F477" s="85"/>
      <c r="G477" s="85"/>
      <c r="H477" s="85"/>
      <c r="I477" s="85"/>
      <c r="J477" s="85"/>
      <c r="K477" s="85"/>
      <c r="L477" s="85"/>
      <c r="M477" s="85"/>
      <c r="N477" s="85"/>
      <c r="O477" s="85"/>
      <c r="P477" s="85"/>
      <c r="Q477" s="85"/>
      <c r="R477" s="85"/>
      <c r="S477" s="85"/>
      <c r="T477" s="85"/>
      <c r="U477" s="85"/>
      <c r="V477" s="85"/>
      <c r="W477" s="85"/>
      <c r="X477" s="85"/>
      <c r="Y477" s="85"/>
      <c r="Z477" s="85"/>
      <c r="AA477" s="85"/>
      <c r="AB477" s="85"/>
      <c r="AC477" s="85"/>
      <c r="AD477" s="85"/>
      <c r="AE477" s="85"/>
      <c r="AF477" s="85"/>
      <c r="AG477" s="85"/>
    </row>
    <row r="478">
      <c r="A478" s="85"/>
      <c r="B478" s="85"/>
      <c r="C478" s="87"/>
      <c r="D478" s="87"/>
      <c r="E478" s="85"/>
      <c r="F478" s="85"/>
      <c r="G478" s="85"/>
      <c r="H478" s="85"/>
      <c r="I478" s="85"/>
      <c r="J478" s="85"/>
      <c r="K478" s="85"/>
      <c r="L478" s="85"/>
      <c r="M478" s="85"/>
      <c r="N478" s="85"/>
      <c r="O478" s="85"/>
      <c r="P478" s="85"/>
      <c r="Q478" s="85"/>
      <c r="R478" s="85"/>
      <c r="S478" s="85"/>
      <c r="T478" s="85"/>
      <c r="U478" s="85"/>
      <c r="V478" s="85"/>
      <c r="W478" s="85"/>
      <c r="X478" s="85"/>
      <c r="Y478" s="85"/>
      <c r="Z478" s="85"/>
      <c r="AA478" s="85"/>
      <c r="AB478" s="85"/>
      <c r="AC478" s="85"/>
      <c r="AD478" s="85"/>
      <c r="AE478" s="85"/>
      <c r="AF478" s="85"/>
      <c r="AG478" s="85"/>
    </row>
    <row r="479">
      <c r="A479" s="85"/>
      <c r="B479" s="85"/>
      <c r="C479" s="87"/>
      <c r="D479" s="87"/>
      <c r="E479" s="85"/>
      <c r="F479" s="85"/>
      <c r="G479" s="85"/>
      <c r="H479" s="85"/>
      <c r="I479" s="85"/>
      <c r="J479" s="85"/>
      <c r="K479" s="85"/>
      <c r="L479" s="85"/>
      <c r="M479" s="85"/>
      <c r="N479" s="85"/>
      <c r="O479" s="85"/>
      <c r="P479" s="85"/>
      <c r="Q479" s="85"/>
      <c r="R479" s="85"/>
      <c r="S479" s="85"/>
      <c r="T479" s="85"/>
      <c r="U479" s="85"/>
      <c r="V479" s="85"/>
      <c r="W479" s="85"/>
      <c r="X479" s="85"/>
      <c r="Y479" s="85"/>
      <c r="Z479" s="85"/>
      <c r="AA479" s="85"/>
      <c r="AB479" s="85"/>
      <c r="AC479" s="85"/>
      <c r="AD479" s="85"/>
      <c r="AE479" s="85"/>
      <c r="AF479" s="85"/>
      <c r="AG479" s="85"/>
    </row>
    <row r="480">
      <c r="A480" s="85"/>
      <c r="B480" s="85"/>
      <c r="C480" s="87"/>
      <c r="D480" s="87"/>
      <c r="E480" s="85"/>
      <c r="F480" s="85"/>
      <c r="G480" s="85"/>
      <c r="H480" s="85"/>
      <c r="I480" s="85"/>
      <c r="J480" s="85"/>
      <c r="K480" s="85"/>
      <c r="L480" s="85"/>
      <c r="M480" s="85"/>
      <c r="N480" s="85"/>
      <c r="O480" s="85"/>
      <c r="P480" s="85"/>
      <c r="Q480" s="85"/>
      <c r="R480" s="85"/>
      <c r="S480" s="85"/>
      <c r="T480" s="85"/>
      <c r="U480" s="85"/>
      <c r="V480" s="85"/>
      <c r="W480" s="85"/>
      <c r="X480" s="85"/>
      <c r="Y480" s="85"/>
      <c r="Z480" s="85"/>
      <c r="AA480" s="85"/>
      <c r="AB480" s="85"/>
      <c r="AC480" s="85"/>
      <c r="AD480" s="85"/>
      <c r="AE480" s="85"/>
      <c r="AF480" s="85"/>
      <c r="AG480" s="85"/>
    </row>
    <row r="481">
      <c r="A481" s="85"/>
      <c r="B481" s="85"/>
      <c r="C481" s="87"/>
      <c r="D481" s="87"/>
      <c r="E481" s="85"/>
      <c r="F481" s="85"/>
      <c r="G481" s="85"/>
      <c r="H481" s="85"/>
      <c r="I481" s="85"/>
      <c r="J481" s="85"/>
      <c r="K481" s="85"/>
      <c r="L481" s="85"/>
      <c r="M481" s="85"/>
      <c r="N481" s="85"/>
      <c r="O481" s="85"/>
      <c r="P481" s="85"/>
      <c r="Q481" s="85"/>
      <c r="R481" s="85"/>
      <c r="S481" s="85"/>
      <c r="T481" s="85"/>
      <c r="U481" s="85"/>
      <c r="V481" s="85"/>
      <c r="W481" s="85"/>
      <c r="X481" s="85"/>
      <c r="Y481" s="85"/>
      <c r="Z481" s="85"/>
      <c r="AA481" s="85"/>
      <c r="AB481" s="85"/>
      <c r="AC481" s="85"/>
      <c r="AD481" s="85"/>
      <c r="AE481" s="85"/>
      <c r="AF481" s="85"/>
      <c r="AG481" s="85"/>
    </row>
    <row r="482">
      <c r="A482" s="85"/>
      <c r="B482" s="85"/>
      <c r="C482" s="87"/>
      <c r="D482" s="87"/>
      <c r="E482" s="85"/>
      <c r="F482" s="85"/>
      <c r="G482" s="85"/>
      <c r="H482" s="85"/>
      <c r="I482" s="85"/>
      <c r="J482" s="85"/>
      <c r="K482" s="85"/>
      <c r="L482" s="85"/>
      <c r="M482" s="85"/>
      <c r="N482" s="85"/>
      <c r="O482" s="85"/>
      <c r="P482" s="85"/>
      <c r="Q482" s="85"/>
      <c r="R482" s="85"/>
      <c r="S482" s="85"/>
      <c r="T482" s="85"/>
      <c r="U482" s="85"/>
      <c r="V482" s="85"/>
      <c r="W482" s="85"/>
      <c r="X482" s="85"/>
      <c r="Y482" s="85"/>
      <c r="Z482" s="85"/>
      <c r="AA482" s="85"/>
      <c r="AB482" s="85"/>
      <c r="AC482" s="85"/>
      <c r="AD482" s="85"/>
      <c r="AE482" s="85"/>
      <c r="AF482" s="85"/>
      <c r="AG482" s="85"/>
    </row>
    <row r="483">
      <c r="A483" s="85"/>
      <c r="B483" s="85"/>
      <c r="C483" s="87"/>
      <c r="D483" s="87"/>
      <c r="E483" s="85"/>
      <c r="F483" s="85"/>
      <c r="G483" s="85"/>
      <c r="H483" s="85"/>
      <c r="I483" s="85"/>
      <c r="J483" s="85"/>
      <c r="K483" s="85"/>
      <c r="L483" s="85"/>
      <c r="M483" s="85"/>
      <c r="N483" s="85"/>
      <c r="O483" s="85"/>
      <c r="P483" s="85"/>
      <c r="Q483" s="85"/>
      <c r="R483" s="85"/>
      <c r="S483" s="85"/>
      <c r="T483" s="85"/>
      <c r="U483" s="85"/>
      <c r="V483" s="85"/>
      <c r="W483" s="85"/>
      <c r="X483" s="85"/>
      <c r="Y483" s="85"/>
      <c r="Z483" s="85"/>
      <c r="AA483" s="85"/>
      <c r="AB483" s="85"/>
      <c r="AC483" s="85"/>
      <c r="AD483" s="85"/>
      <c r="AE483" s="85"/>
      <c r="AF483" s="85"/>
      <c r="AG483" s="85"/>
    </row>
    <row r="484">
      <c r="A484" s="85"/>
      <c r="B484" s="85"/>
      <c r="C484" s="87"/>
      <c r="D484" s="87"/>
      <c r="E484" s="85"/>
      <c r="F484" s="85"/>
      <c r="G484" s="85"/>
      <c r="H484" s="85"/>
      <c r="I484" s="85"/>
      <c r="J484" s="85"/>
      <c r="K484" s="85"/>
      <c r="L484" s="85"/>
      <c r="M484" s="85"/>
      <c r="N484" s="85"/>
      <c r="O484" s="85"/>
      <c r="P484" s="85"/>
      <c r="Q484" s="85"/>
      <c r="R484" s="85"/>
      <c r="S484" s="85"/>
      <c r="T484" s="85"/>
      <c r="U484" s="85"/>
      <c r="V484" s="85"/>
      <c r="W484" s="85"/>
      <c r="X484" s="85"/>
      <c r="Y484" s="85"/>
      <c r="Z484" s="85"/>
      <c r="AA484" s="85"/>
      <c r="AB484" s="85"/>
      <c r="AC484" s="85"/>
      <c r="AD484" s="85"/>
      <c r="AE484" s="85"/>
      <c r="AF484" s="85"/>
      <c r="AG484" s="85"/>
    </row>
    <row r="485">
      <c r="A485" s="85"/>
      <c r="B485" s="85"/>
      <c r="C485" s="87"/>
      <c r="D485" s="87"/>
      <c r="E485" s="85"/>
      <c r="F485" s="85"/>
      <c r="G485" s="85"/>
      <c r="H485" s="85"/>
      <c r="I485" s="85"/>
      <c r="J485" s="85"/>
      <c r="K485" s="85"/>
      <c r="L485" s="85"/>
      <c r="M485" s="85"/>
      <c r="N485" s="85"/>
      <c r="O485" s="85"/>
      <c r="P485" s="85"/>
      <c r="Q485" s="85"/>
      <c r="R485" s="85"/>
      <c r="S485" s="85"/>
      <c r="T485" s="85"/>
      <c r="U485" s="85"/>
      <c r="V485" s="85"/>
      <c r="W485" s="85"/>
      <c r="X485" s="85"/>
      <c r="Y485" s="85"/>
      <c r="Z485" s="85"/>
      <c r="AA485" s="85"/>
      <c r="AB485" s="85"/>
      <c r="AC485" s="85"/>
      <c r="AD485" s="85"/>
      <c r="AE485" s="85"/>
      <c r="AF485" s="85"/>
      <c r="AG485" s="85"/>
    </row>
    <row r="486">
      <c r="A486" s="85"/>
      <c r="B486" s="85"/>
      <c r="C486" s="87"/>
      <c r="D486" s="87"/>
      <c r="E486" s="85"/>
      <c r="F486" s="85"/>
      <c r="G486" s="85"/>
      <c r="H486" s="85"/>
      <c r="I486" s="85"/>
      <c r="J486" s="85"/>
      <c r="K486" s="85"/>
      <c r="L486" s="85"/>
      <c r="M486" s="85"/>
      <c r="N486" s="85"/>
      <c r="O486" s="85"/>
      <c r="P486" s="85"/>
      <c r="Q486" s="85"/>
      <c r="R486" s="85"/>
      <c r="S486" s="85"/>
      <c r="T486" s="85"/>
      <c r="U486" s="85"/>
      <c r="V486" s="85"/>
      <c r="W486" s="85"/>
      <c r="X486" s="85"/>
      <c r="Y486" s="85"/>
      <c r="Z486" s="85"/>
      <c r="AA486" s="85"/>
      <c r="AB486" s="85"/>
      <c r="AC486" s="85"/>
      <c r="AD486" s="85"/>
      <c r="AE486" s="85"/>
      <c r="AF486" s="85"/>
      <c r="AG486" s="85"/>
    </row>
    <row r="487">
      <c r="A487" s="85"/>
      <c r="B487" s="85"/>
      <c r="C487" s="87"/>
      <c r="D487" s="87"/>
      <c r="E487" s="85"/>
      <c r="F487" s="85"/>
      <c r="G487" s="85"/>
      <c r="H487" s="85"/>
      <c r="I487" s="85"/>
      <c r="J487" s="85"/>
      <c r="K487" s="85"/>
      <c r="L487" s="85"/>
      <c r="M487" s="85"/>
      <c r="N487" s="85"/>
      <c r="O487" s="85"/>
      <c r="P487" s="85"/>
      <c r="Q487" s="85"/>
      <c r="R487" s="85"/>
      <c r="S487" s="85"/>
      <c r="T487" s="85"/>
      <c r="U487" s="85"/>
      <c r="V487" s="85"/>
      <c r="W487" s="85"/>
      <c r="X487" s="85"/>
      <c r="Y487" s="85"/>
      <c r="Z487" s="85"/>
      <c r="AA487" s="85"/>
      <c r="AB487" s="85"/>
      <c r="AC487" s="85"/>
      <c r="AD487" s="85"/>
      <c r="AE487" s="85"/>
      <c r="AF487" s="85"/>
      <c r="AG487" s="85"/>
    </row>
    <row r="488">
      <c r="A488" s="85"/>
      <c r="B488" s="85"/>
      <c r="C488" s="87"/>
      <c r="D488" s="87"/>
      <c r="E488" s="85"/>
      <c r="F488" s="85"/>
      <c r="G488" s="85"/>
      <c r="H488" s="85"/>
      <c r="I488" s="85"/>
      <c r="J488" s="85"/>
      <c r="K488" s="85"/>
      <c r="L488" s="85"/>
      <c r="M488" s="85"/>
      <c r="N488" s="85"/>
      <c r="O488" s="85"/>
      <c r="P488" s="85"/>
      <c r="Q488" s="85"/>
      <c r="R488" s="85"/>
      <c r="S488" s="85"/>
      <c r="T488" s="85"/>
      <c r="U488" s="85"/>
      <c r="V488" s="85"/>
      <c r="W488" s="85"/>
      <c r="X488" s="85"/>
      <c r="Y488" s="85"/>
      <c r="Z488" s="85"/>
      <c r="AA488" s="85"/>
      <c r="AB488" s="85"/>
      <c r="AC488" s="85"/>
      <c r="AD488" s="85"/>
      <c r="AE488" s="85"/>
      <c r="AF488" s="85"/>
      <c r="AG488" s="85"/>
    </row>
    <row r="489">
      <c r="A489" s="85"/>
      <c r="B489" s="85"/>
      <c r="C489" s="87"/>
      <c r="D489" s="87"/>
      <c r="E489" s="85"/>
      <c r="F489" s="85"/>
      <c r="G489" s="85"/>
      <c r="H489" s="85"/>
      <c r="I489" s="85"/>
      <c r="J489" s="85"/>
      <c r="K489" s="85"/>
      <c r="L489" s="85"/>
      <c r="M489" s="85"/>
      <c r="N489" s="85"/>
      <c r="O489" s="85"/>
      <c r="P489" s="85"/>
      <c r="Q489" s="85"/>
      <c r="R489" s="85"/>
      <c r="S489" s="85"/>
      <c r="T489" s="85"/>
      <c r="U489" s="85"/>
      <c r="V489" s="85"/>
      <c r="W489" s="85"/>
      <c r="X489" s="85"/>
      <c r="Y489" s="85"/>
      <c r="Z489" s="85"/>
      <c r="AA489" s="85"/>
      <c r="AB489" s="85"/>
      <c r="AC489" s="85"/>
      <c r="AD489" s="85"/>
      <c r="AE489" s="85"/>
      <c r="AF489" s="85"/>
      <c r="AG489" s="85"/>
    </row>
    <row r="490">
      <c r="A490" s="85"/>
      <c r="B490" s="85"/>
      <c r="C490" s="87"/>
      <c r="D490" s="87"/>
      <c r="E490" s="85"/>
      <c r="F490" s="85"/>
      <c r="G490" s="85"/>
      <c r="H490" s="85"/>
      <c r="I490" s="85"/>
      <c r="J490" s="85"/>
      <c r="K490" s="85"/>
      <c r="L490" s="85"/>
      <c r="M490" s="85"/>
      <c r="N490" s="85"/>
      <c r="O490" s="85"/>
      <c r="P490" s="85"/>
      <c r="Q490" s="85"/>
      <c r="R490" s="85"/>
      <c r="S490" s="85"/>
      <c r="T490" s="85"/>
      <c r="U490" s="85"/>
      <c r="V490" s="85"/>
      <c r="W490" s="85"/>
      <c r="X490" s="85"/>
      <c r="Y490" s="85"/>
      <c r="Z490" s="85"/>
      <c r="AA490" s="85"/>
      <c r="AB490" s="85"/>
      <c r="AC490" s="85"/>
      <c r="AD490" s="85"/>
      <c r="AE490" s="85"/>
      <c r="AF490" s="85"/>
      <c r="AG490" s="85"/>
    </row>
    <row r="491">
      <c r="A491" s="85"/>
      <c r="B491" s="85"/>
      <c r="C491" s="87"/>
      <c r="D491" s="87"/>
      <c r="E491" s="85"/>
      <c r="F491" s="85"/>
      <c r="G491" s="85"/>
      <c r="H491" s="85"/>
      <c r="I491" s="85"/>
      <c r="J491" s="85"/>
      <c r="K491" s="85"/>
      <c r="L491" s="85"/>
      <c r="M491" s="85"/>
      <c r="N491" s="85"/>
      <c r="O491" s="85"/>
      <c r="P491" s="85"/>
      <c r="Q491" s="85"/>
      <c r="R491" s="85"/>
      <c r="S491" s="85"/>
      <c r="T491" s="85"/>
      <c r="U491" s="85"/>
      <c r="V491" s="85"/>
      <c r="W491" s="85"/>
      <c r="X491" s="85"/>
      <c r="Y491" s="85"/>
      <c r="Z491" s="85"/>
      <c r="AA491" s="85"/>
      <c r="AB491" s="85"/>
      <c r="AC491" s="85"/>
      <c r="AD491" s="85"/>
      <c r="AE491" s="85"/>
      <c r="AF491" s="85"/>
      <c r="AG491" s="85"/>
    </row>
    <row r="492">
      <c r="A492" s="85"/>
      <c r="B492" s="85"/>
      <c r="C492" s="87"/>
      <c r="D492" s="87"/>
      <c r="E492" s="85"/>
      <c r="F492" s="85"/>
      <c r="G492" s="85"/>
      <c r="H492" s="85"/>
      <c r="I492" s="85"/>
      <c r="J492" s="85"/>
      <c r="K492" s="85"/>
      <c r="L492" s="85"/>
      <c r="M492" s="85"/>
      <c r="N492" s="85"/>
      <c r="O492" s="85"/>
      <c r="P492" s="85"/>
      <c r="Q492" s="85"/>
      <c r="R492" s="85"/>
      <c r="S492" s="85"/>
      <c r="T492" s="85"/>
      <c r="U492" s="85"/>
      <c r="V492" s="85"/>
      <c r="W492" s="85"/>
      <c r="X492" s="85"/>
      <c r="Y492" s="85"/>
      <c r="Z492" s="85"/>
      <c r="AA492" s="85"/>
      <c r="AB492" s="85"/>
      <c r="AC492" s="85"/>
      <c r="AD492" s="85"/>
      <c r="AE492" s="85"/>
      <c r="AF492" s="85"/>
      <c r="AG492" s="85"/>
    </row>
    <row r="493">
      <c r="A493" s="85"/>
      <c r="B493" s="85"/>
      <c r="C493" s="87"/>
      <c r="D493" s="87"/>
      <c r="E493" s="85"/>
      <c r="F493" s="85"/>
      <c r="G493" s="85"/>
      <c r="H493" s="85"/>
      <c r="I493" s="85"/>
      <c r="J493" s="85"/>
      <c r="K493" s="85"/>
      <c r="L493" s="85"/>
      <c r="M493" s="85"/>
      <c r="N493" s="85"/>
      <c r="O493" s="85"/>
      <c r="P493" s="85"/>
      <c r="Q493" s="85"/>
      <c r="R493" s="85"/>
      <c r="S493" s="85"/>
      <c r="T493" s="85"/>
      <c r="U493" s="85"/>
      <c r="V493" s="85"/>
      <c r="W493" s="85"/>
      <c r="X493" s="85"/>
      <c r="Y493" s="85"/>
      <c r="Z493" s="85"/>
      <c r="AA493" s="85"/>
      <c r="AB493" s="85"/>
      <c r="AC493" s="85"/>
      <c r="AD493" s="85"/>
      <c r="AE493" s="85"/>
      <c r="AF493" s="85"/>
      <c r="AG493" s="85"/>
    </row>
    <row r="494">
      <c r="A494" s="85"/>
      <c r="B494" s="85"/>
      <c r="C494" s="87"/>
      <c r="D494" s="87"/>
      <c r="E494" s="85"/>
      <c r="F494" s="85"/>
      <c r="G494" s="85"/>
      <c r="H494" s="85"/>
      <c r="I494" s="85"/>
      <c r="J494" s="85"/>
      <c r="K494" s="85"/>
      <c r="L494" s="85"/>
      <c r="M494" s="85"/>
      <c r="N494" s="85"/>
      <c r="O494" s="85"/>
      <c r="P494" s="85"/>
      <c r="Q494" s="85"/>
      <c r="R494" s="85"/>
      <c r="S494" s="85"/>
      <c r="T494" s="85"/>
      <c r="U494" s="85"/>
      <c r="V494" s="85"/>
      <c r="W494" s="85"/>
      <c r="X494" s="85"/>
      <c r="Y494" s="85"/>
      <c r="Z494" s="85"/>
      <c r="AA494" s="85"/>
      <c r="AB494" s="85"/>
      <c r="AC494" s="85"/>
      <c r="AD494" s="85"/>
      <c r="AE494" s="85"/>
      <c r="AF494" s="85"/>
      <c r="AG494" s="85"/>
    </row>
    <row r="495">
      <c r="A495" s="85"/>
      <c r="B495" s="85"/>
      <c r="C495" s="87"/>
      <c r="D495" s="87"/>
      <c r="E495" s="85"/>
      <c r="F495" s="85"/>
      <c r="G495" s="85"/>
      <c r="H495" s="85"/>
      <c r="I495" s="85"/>
      <c r="J495" s="85"/>
      <c r="K495" s="85"/>
      <c r="L495" s="85"/>
      <c r="M495" s="85"/>
      <c r="N495" s="85"/>
      <c r="O495" s="85"/>
      <c r="P495" s="85"/>
      <c r="Q495" s="85"/>
      <c r="R495" s="85"/>
      <c r="S495" s="85"/>
      <c r="T495" s="85"/>
      <c r="U495" s="85"/>
      <c r="V495" s="85"/>
      <c r="W495" s="85"/>
      <c r="X495" s="85"/>
      <c r="Y495" s="85"/>
      <c r="Z495" s="85"/>
      <c r="AA495" s="85"/>
      <c r="AB495" s="85"/>
      <c r="AC495" s="85"/>
      <c r="AD495" s="85"/>
      <c r="AE495" s="85"/>
      <c r="AF495" s="85"/>
      <c r="AG495" s="85"/>
    </row>
    <row r="496">
      <c r="A496" s="85"/>
      <c r="B496" s="85"/>
      <c r="C496" s="87"/>
      <c r="D496" s="87"/>
      <c r="E496" s="85"/>
      <c r="F496" s="85"/>
      <c r="G496" s="85"/>
      <c r="H496" s="85"/>
      <c r="I496" s="85"/>
      <c r="J496" s="85"/>
      <c r="K496" s="85"/>
      <c r="L496" s="85"/>
      <c r="M496" s="85"/>
      <c r="N496" s="85"/>
      <c r="O496" s="85"/>
      <c r="P496" s="85"/>
      <c r="Q496" s="85"/>
      <c r="R496" s="85"/>
      <c r="S496" s="85"/>
      <c r="T496" s="85"/>
      <c r="U496" s="85"/>
      <c r="V496" s="85"/>
      <c r="W496" s="85"/>
      <c r="X496" s="85"/>
      <c r="Y496" s="85"/>
      <c r="Z496" s="85"/>
      <c r="AA496" s="85"/>
      <c r="AB496" s="85"/>
      <c r="AC496" s="85"/>
      <c r="AD496" s="85"/>
      <c r="AE496" s="85"/>
      <c r="AF496" s="85"/>
      <c r="AG496" s="85"/>
    </row>
    <row r="497">
      <c r="A497" s="85"/>
      <c r="B497" s="85"/>
      <c r="C497" s="87"/>
      <c r="D497" s="87"/>
      <c r="E497" s="85"/>
      <c r="F497" s="85"/>
      <c r="G497" s="85"/>
      <c r="H497" s="85"/>
      <c r="I497" s="85"/>
      <c r="J497" s="85"/>
      <c r="K497" s="85"/>
      <c r="L497" s="85"/>
      <c r="M497" s="85"/>
      <c r="N497" s="85"/>
      <c r="O497" s="85"/>
      <c r="P497" s="85"/>
      <c r="Q497" s="85"/>
      <c r="R497" s="85"/>
      <c r="S497" s="85"/>
      <c r="T497" s="85"/>
      <c r="U497" s="85"/>
      <c r="V497" s="85"/>
      <c r="W497" s="85"/>
      <c r="X497" s="85"/>
      <c r="Y497" s="85"/>
      <c r="Z497" s="85"/>
      <c r="AA497" s="85"/>
      <c r="AB497" s="85"/>
      <c r="AC497" s="85"/>
      <c r="AD497" s="85"/>
      <c r="AE497" s="85"/>
      <c r="AF497" s="85"/>
      <c r="AG497" s="85"/>
    </row>
    <row r="498">
      <c r="A498" s="85"/>
      <c r="B498" s="85"/>
      <c r="C498" s="87"/>
      <c r="D498" s="87"/>
      <c r="E498" s="85"/>
      <c r="F498" s="85"/>
      <c r="G498" s="85"/>
      <c r="H498" s="85"/>
      <c r="I498" s="85"/>
      <c r="J498" s="85"/>
      <c r="K498" s="85"/>
      <c r="L498" s="85"/>
      <c r="M498" s="85"/>
      <c r="N498" s="85"/>
      <c r="O498" s="85"/>
      <c r="P498" s="85"/>
      <c r="Q498" s="85"/>
      <c r="R498" s="85"/>
      <c r="S498" s="85"/>
      <c r="T498" s="85"/>
      <c r="U498" s="85"/>
      <c r="V498" s="85"/>
      <c r="W498" s="85"/>
      <c r="X498" s="85"/>
      <c r="Y498" s="85"/>
      <c r="Z498" s="85"/>
      <c r="AA498" s="85"/>
      <c r="AB498" s="85"/>
      <c r="AC498" s="85"/>
      <c r="AD498" s="85"/>
      <c r="AE498" s="85"/>
      <c r="AF498" s="85"/>
      <c r="AG498" s="85"/>
    </row>
    <row r="499">
      <c r="A499" s="85"/>
      <c r="B499" s="85"/>
      <c r="C499" s="87"/>
      <c r="D499" s="87"/>
      <c r="E499" s="85"/>
      <c r="F499" s="85"/>
      <c r="G499" s="85"/>
      <c r="H499" s="85"/>
      <c r="I499" s="85"/>
      <c r="J499" s="85"/>
      <c r="K499" s="85"/>
      <c r="L499" s="85"/>
      <c r="M499" s="85"/>
      <c r="N499" s="85"/>
      <c r="O499" s="85"/>
      <c r="P499" s="85"/>
      <c r="Q499" s="85"/>
      <c r="R499" s="85"/>
      <c r="S499" s="85"/>
      <c r="T499" s="85"/>
      <c r="U499" s="85"/>
      <c r="V499" s="85"/>
      <c r="W499" s="85"/>
      <c r="X499" s="85"/>
      <c r="Y499" s="85"/>
      <c r="Z499" s="85"/>
      <c r="AA499" s="85"/>
      <c r="AB499" s="85"/>
      <c r="AC499" s="85"/>
      <c r="AD499" s="85"/>
      <c r="AE499" s="85"/>
      <c r="AF499" s="85"/>
      <c r="AG499" s="85"/>
    </row>
    <row r="500">
      <c r="A500" s="85"/>
      <c r="B500" s="85"/>
      <c r="C500" s="87"/>
      <c r="D500" s="87"/>
      <c r="E500" s="85"/>
      <c r="F500" s="85"/>
      <c r="G500" s="85"/>
      <c r="H500" s="85"/>
      <c r="I500" s="85"/>
      <c r="J500" s="85"/>
      <c r="K500" s="85"/>
      <c r="L500" s="85"/>
      <c r="M500" s="85"/>
      <c r="N500" s="85"/>
      <c r="O500" s="85"/>
      <c r="P500" s="85"/>
      <c r="Q500" s="85"/>
      <c r="R500" s="85"/>
      <c r="S500" s="85"/>
      <c r="T500" s="85"/>
      <c r="U500" s="85"/>
      <c r="V500" s="85"/>
      <c r="W500" s="85"/>
      <c r="X500" s="85"/>
      <c r="Y500" s="85"/>
      <c r="Z500" s="85"/>
      <c r="AA500" s="85"/>
      <c r="AB500" s="85"/>
      <c r="AC500" s="85"/>
      <c r="AD500" s="85"/>
      <c r="AE500" s="85"/>
      <c r="AF500" s="85"/>
      <c r="AG500" s="85"/>
    </row>
    <row r="501">
      <c r="A501" s="85"/>
      <c r="B501" s="85"/>
      <c r="C501" s="87"/>
      <c r="D501" s="87"/>
      <c r="E501" s="85"/>
      <c r="F501" s="85"/>
      <c r="G501" s="85"/>
      <c r="H501" s="85"/>
      <c r="I501" s="85"/>
      <c r="J501" s="85"/>
      <c r="K501" s="85"/>
      <c r="L501" s="85"/>
      <c r="M501" s="85"/>
      <c r="N501" s="85"/>
      <c r="O501" s="85"/>
      <c r="P501" s="85"/>
      <c r="Q501" s="85"/>
      <c r="R501" s="85"/>
      <c r="S501" s="85"/>
      <c r="T501" s="85"/>
      <c r="U501" s="85"/>
      <c r="V501" s="85"/>
      <c r="W501" s="85"/>
      <c r="X501" s="85"/>
      <c r="Y501" s="85"/>
      <c r="Z501" s="85"/>
      <c r="AA501" s="85"/>
      <c r="AB501" s="85"/>
      <c r="AC501" s="85"/>
      <c r="AD501" s="85"/>
      <c r="AE501" s="85"/>
      <c r="AF501" s="85"/>
      <c r="AG501" s="85"/>
    </row>
    <row r="502">
      <c r="A502" s="85"/>
      <c r="B502" s="85"/>
      <c r="C502" s="87"/>
      <c r="D502" s="87"/>
      <c r="E502" s="85"/>
      <c r="F502" s="85"/>
      <c r="G502" s="85"/>
      <c r="H502" s="85"/>
      <c r="I502" s="85"/>
      <c r="J502" s="85"/>
      <c r="K502" s="85"/>
      <c r="L502" s="85"/>
      <c r="M502" s="85"/>
      <c r="N502" s="85"/>
      <c r="O502" s="85"/>
      <c r="P502" s="85"/>
      <c r="Q502" s="85"/>
      <c r="R502" s="85"/>
      <c r="S502" s="85"/>
      <c r="T502" s="85"/>
      <c r="U502" s="85"/>
      <c r="V502" s="85"/>
      <c r="W502" s="85"/>
      <c r="X502" s="85"/>
      <c r="Y502" s="85"/>
      <c r="Z502" s="85"/>
      <c r="AA502" s="85"/>
      <c r="AB502" s="85"/>
      <c r="AC502" s="85"/>
      <c r="AD502" s="85"/>
      <c r="AE502" s="85"/>
      <c r="AF502" s="85"/>
      <c r="AG502" s="85"/>
    </row>
    <row r="503">
      <c r="A503" s="85"/>
      <c r="B503" s="85"/>
      <c r="C503" s="87"/>
      <c r="D503" s="87"/>
      <c r="E503" s="85"/>
      <c r="F503" s="85"/>
      <c r="G503" s="85"/>
      <c r="H503" s="85"/>
      <c r="I503" s="85"/>
      <c r="J503" s="85"/>
      <c r="K503" s="85"/>
      <c r="L503" s="85"/>
      <c r="M503" s="85"/>
      <c r="N503" s="85"/>
      <c r="O503" s="85"/>
      <c r="P503" s="85"/>
      <c r="Q503" s="85"/>
      <c r="R503" s="85"/>
      <c r="S503" s="85"/>
      <c r="T503" s="85"/>
      <c r="U503" s="85"/>
      <c r="V503" s="85"/>
      <c r="W503" s="85"/>
      <c r="X503" s="85"/>
      <c r="Y503" s="85"/>
      <c r="Z503" s="85"/>
      <c r="AA503" s="85"/>
      <c r="AB503" s="85"/>
      <c r="AC503" s="85"/>
      <c r="AD503" s="85"/>
      <c r="AE503" s="85"/>
      <c r="AF503" s="85"/>
      <c r="AG503" s="85"/>
    </row>
    <row r="504">
      <c r="A504" s="85"/>
      <c r="B504" s="85"/>
      <c r="C504" s="87"/>
      <c r="D504" s="87"/>
      <c r="E504" s="85"/>
      <c r="F504" s="85"/>
      <c r="G504" s="85"/>
      <c r="H504" s="85"/>
      <c r="I504" s="85"/>
      <c r="J504" s="85"/>
      <c r="K504" s="85"/>
      <c r="L504" s="85"/>
      <c r="M504" s="85"/>
      <c r="N504" s="85"/>
      <c r="O504" s="85"/>
      <c r="P504" s="85"/>
      <c r="Q504" s="85"/>
      <c r="R504" s="85"/>
      <c r="S504" s="85"/>
      <c r="T504" s="85"/>
      <c r="U504" s="85"/>
      <c r="V504" s="85"/>
      <c r="W504" s="85"/>
      <c r="X504" s="85"/>
      <c r="Y504" s="85"/>
      <c r="Z504" s="85"/>
      <c r="AA504" s="85"/>
      <c r="AB504" s="85"/>
      <c r="AC504" s="85"/>
      <c r="AD504" s="85"/>
      <c r="AE504" s="85"/>
      <c r="AF504" s="85"/>
      <c r="AG504" s="85"/>
    </row>
    <row r="505">
      <c r="A505" s="85"/>
      <c r="B505" s="85"/>
      <c r="C505" s="87"/>
      <c r="D505" s="87"/>
      <c r="E505" s="85"/>
      <c r="F505" s="85"/>
      <c r="G505" s="85"/>
      <c r="H505" s="85"/>
      <c r="I505" s="85"/>
      <c r="J505" s="85"/>
      <c r="K505" s="85"/>
      <c r="L505" s="85"/>
      <c r="M505" s="85"/>
      <c r="N505" s="85"/>
      <c r="O505" s="85"/>
      <c r="P505" s="85"/>
      <c r="Q505" s="85"/>
      <c r="R505" s="85"/>
      <c r="S505" s="85"/>
      <c r="T505" s="85"/>
      <c r="U505" s="85"/>
      <c r="V505" s="85"/>
      <c r="W505" s="85"/>
      <c r="X505" s="85"/>
      <c r="Y505" s="85"/>
      <c r="Z505" s="85"/>
      <c r="AA505" s="85"/>
      <c r="AB505" s="85"/>
      <c r="AC505" s="85"/>
      <c r="AD505" s="85"/>
      <c r="AE505" s="85"/>
      <c r="AF505" s="85"/>
      <c r="AG505" s="85"/>
    </row>
    <row r="506">
      <c r="A506" s="85"/>
      <c r="B506" s="85"/>
      <c r="C506" s="87"/>
      <c r="D506" s="87"/>
      <c r="E506" s="85"/>
      <c r="F506" s="85"/>
      <c r="G506" s="85"/>
      <c r="H506" s="85"/>
      <c r="I506" s="85"/>
      <c r="J506" s="85"/>
      <c r="K506" s="85"/>
      <c r="L506" s="85"/>
      <c r="M506" s="85"/>
      <c r="N506" s="85"/>
      <c r="O506" s="85"/>
      <c r="P506" s="85"/>
      <c r="Q506" s="85"/>
      <c r="R506" s="85"/>
      <c r="S506" s="85"/>
      <c r="T506" s="85"/>
      <c r="U506" s="85"/>
      <c r="V506" s="85"/>
      <c r="W506" s="85"/>
      <c r="X506" s="85"/>
      <c r="Y506" s="85"/>
      <c r="Z506" s="85"/>
      <c r="AA506" s="85"/>
      <c r="AB506" s="85"/>
      <c r="AC506" s="85"/>
      <c r="AD506" s="85"/>
      <c r="AE506" s="85"/>
      <c r="AF506" s="85"/>
      <c r="AG506" s="85"/>
    </row>
    <row r="507">
      <c r="A507" s="85"/>
      <c r="B507" s="85"/>
      <c r="C507" s="87"/>
      <c r="D507" s="87"/>
      <c r="E507" s="85"/>
      <c r="F507" s="85"/>
      <c r="G507" s="85"/>
      <c r="H507" s="85"/>
      <c r="I507" s="85"/>
      <c r="J507" s="85"/>
      <c r="K507" s="85"/>
      <c r="L507" s="85"/>
      <c r="M507" s="85"/>
      <c r="N507" s="85"/>
      <c r="O507" s="85"/>
      <c r="P507" s="85"/>
      <c r="Q507" s="85"/>
      <c r="R507" s="85"/>
      <c r="S507" s="85"/>
      <c r="T507" s="85"/>
      <c r="U507" s="85"/>
      <c r="V507" s="85"/>
      <c r="W507" s="85"/>
      <c r="X507" s="85"/>
      <c r="Y507" s="85"/>
      <c r="Z507" s="85"/>
      <c r="AA507" s="85"/>
      <c r="AB507" s="85"/>
      <c r="AC507" s="85"/>
      <c r="AD507" s="85"/>
      <c r="AE507" s="85"/>
      <c r="AF507" s="85"/>
      <c r="AG507" s="85"/>
    </row>
    <row r="508">
      <c r="A508" s="85"/>
      <c r="B508" s="85"/>
      <c r="C508" s="87"/>
      <c r="D508" s="87"/>
      <c r="E508" s="85"/>
      <c r="F508" s="85"/>
      <c r="G508" s="85"/>
      <c r="H508" s="85"/>
      <c r="I508" s="85"/>
      <c r="J508" s="85"/>
      <c r="K508" s="85"/>
      <c r="L508" s="85"/>
      <c r="M508" s="85"/>
      <c r="N508" s="85"/>
      <c r="O508" s="85"/>
      <c r="P508" s="85"/>
      <c r="Q508" s="85"/>
      <c r="R508" s="85"/>
      <c r="S508" s="85"/>
      <c r="T508" s="85"/>
      <c r="U508" s="85"/>
      <c r="V508" s="85"/>
      <c r="W508" s="85"/>
      <c r="X508" s="85"/>
      <c r="Y508" s="85"/>
      <c r="Z508" s="85"/>
      <c r="AA508" s="85"/>
      <c r="AB508" s="85"/>
      <c r="AC508" s="85"/>
      <c r="AD508" s="85"/>
      <c r="AE508" s="85"/>
      <c r="AF508" s="85"/>
      <c r="AG508" s="85"/>
    </row>
    <row r="509">
      <c r="A509" s="85"/>
      <c r="B509" s="85"/>
      <c r="C509" s="87"/>
      <c r="D509" s="87"/>
      <c r="E509" s="85"/>
      <c r="F509" s="85"/>
      <c r="G509" s="85"/>
      <c r="H509" s="85"/>
      <c r="I509" s="85"/>
      <c r="J509" s="85"/>
      <c r="K509" s="85"/>
      <c r="L509" s="85"/>
      <c r="M509" s="85"/>
      <c r="N509" s="85"/>
      <c r="O509" s="85"/>
      <c r="P509" s="85"/>
      <c r="Q509" s="85"/>
      <c r="R509" s="85"/>
      <c r="S509" s="85"/>
      <c r="T509" s="85"/>
      <c r="U509" s="85"/>
      <c r="V509" s="85"/>
      <c r="W509" s="85"/>
      <c r="X509" s="85"/>
      <c r="Y509" s="85"/>
      <c r="Z509" s="85"/>
      <c r="AA509" s="85"/>
      <c r="AB509" s="85"/>
      <c r="AC509" s="85"/>
      <c r="AD509" s="85"/>
      <c r="AE509" s="85"/>
      <c r="AF509" s="85"/>
      <c r="AG509" s="85"/>
    </row>
    <row r="510">
      <c r="A510" s="85"/>
      <c r="B510" s="85"/>
      <c r="C510" s="87"/>
      <c r="D510" s="87"/>
      <c r="E510" s="85"/>
      <c r="F510" s="85"/>
      <c r="G510" s="85"/>
      <c r="H510" s="85"/>
      <c r="I510" s="85"/>
      <c r="J510" s="85"/>
      <c r="K510" s="85"/>
      <c r="L510" s="85"/>
      <c r="M510" s="85"/>
      <c r="N510" s="85"/>
      <c r="O510" s="85"/>
      <c r="P510" s="85"/>
      <c r="Q510" s="85"/>
      <c r="R510" s="85"/>
      <c r="S510" s="85"/>
      <c r="T510" s="85"/>
      <c r="U510" s="85"/>
      <c r="V510" s="85"/>
      <c r="W510" s="85"/>
      <c r="X510" s="85"/>
      <c r="Y510" s="85"/>
      <c r="Z510" s="85"/>
      <c r="AA510" s="85"/>
      <c r="AB510" s="85"/>
      <c r="AC510" s="85"/>
      <c r="AD510" s="85"/>
      <c r="AE510" s="85"/>
      <c r="AF510" s="85"/>
      <c r="AG510" s="85"/>
    </row>
    <row r="511">
      <c r="A511" s="85"/>
      <c r="B511" s="85"/>
      <c r="C511" s="87"/>
      <c r="D511" s="87"/>
      <c r="E511" s="85"/>
      <c r="F511" s="85"/>
      <c r="G511" s="85"/>
      <c r="H511" s="85"/>
      <c r="I511" s="85"/>
      <c r="J511" s="85"/>
      <c r="K511" s="85"/>
      <c r="L511" s="85"/>
      <c r="M511" s="85"/>
      <c r="N511" s="85"/>
      <c r="O511" s="85"/>
      <c r="P511" s="85"/>
      <c r="Q511" s="85"/>
      <c r="R511" s="85"/>
      <c r="S511" s="85"/>
      <c r="T511" s="85"/>
      <c r="U511" s="85"/>
      <c r="V511" s="85"/>
      <c r="W511" s="85"/>
      <c r="X511" s="85"/>
      <c r="Y511" s="85"/>
      <c r="Z511" s="85"/>
      <c r="AA511" s="85"/>
      <c r="AB511" s="85"/>
      <c r="AC511" s="85"/>
      <c r="AD511" s="85"/>
      <c r="AE511" s="85"/>
      <c r="AF511" s="85"/>
      <c r="AG511" s="85"/>
    </row>
    <row r="512">
      <c r="A512" s="85"/>
      <c r="B512" s="85"/>
      <c r="C512" s="87"/>
      <c r="D512" s="87"/>
      <c r="E512" s="85"/>
      <c r="F512" s="85"/>
      <c r="G512" s="85"/>
      <c r="H512" s="85"/>
      <c r="I512" s="85"/>
      <c r="J512" s="85"/>
      <c r="K512" s="85"/>
      <c r="L512" s="85"/>
      <c r="M512" s="85"/>
      <c r="N512" s="85"/>
      <c r="O512" s="85"/>
      <c r="P512" s="85"/>
      <c r="Q512" s="85"/>
      <c r="R512" s="85"/>
      <c r="S512" s="85"/>
      <c r="T512" s="85"/>
      <c r="U512" s="85"/>
      <c r="V512" s="85"/>
      <c r="W512" s="85"/>
      <c r="X512" s="85"/>
      <c r="Y512" s="85"/>
      <c r="Z512" s="85"/>
      <c r="AA512" s="85"/>
      <c r="AB512" s="85"/>
      <c r="AC512" s="85"/>
      <c r="AD512" s="85"/>
      <c r="AE512" s="85"/>
      <c r="AF512" s="85"/>
      <c r="AG512" s="85"/>
    </row>
    <row r="513">
      <c r="A513" s="85"/>
      <c r="B513" s="85"/>
      <c r="C513" s="87"/>
      <c r="D513" s="87"/>
      <c r="E513" s="85"/>
      <c r="F513" s="85"/>
      <c r="G513" s="85"/>
      <c r="H513" s="85"/>
      <c r="I513" s="85"/>
      <c r="J513" s="85"/>
      <c r="K513" s="85"/>
      <c r="L513" s="85"/>
      <c r="M513" s="85"/>
      <c r="N513" s="85"/>
      <c r="O513" s="85"/>
      <c r="P513" s="85"/>
      <c r="Q513" s="85"/>
      <c r="R513" s="85"/>
      <c r="S513" s="85"/>
      <c r="T513" s="85"/>
      <c r="U513" s="85"/>
      <c r="V513" s="85"/>
      <c r="W513" s="85"/>
      <c r="X513" s="85"/>
      <c r="Y513" s="85"/>
      <c r="Z513" s="85"/>
      <c r="AA513" s="85"/>
      <c r="AB513" s="85"/>
      <c r="AC513" s="85"/>
      <c r="AD513" s="85"/>
      <c r="AE513" s="85"/>
      <c r="AF513" s="85"/>
      <c r="AG513" s="85"/>
    </row>
    <row r="514">
      <c r="A514" s="85"/>
      <c r="B514" s="85"/>
      <c r="C514" s="87"/>
      <c r="D514" s="87"/>
      <c r="E514" s="85"/>
      <c r="F514" s="85"/>
      <c r="G514" s="85"/>
      <c r="H514" s="85"/>
      <c r="I514" s="85"/>
      <c r="J514" s="85"/>
      <c r="K514" s="85"/>
      <c r="L514" s="85"/>
      <c r="M514" s="85"/>
      <c r="N514" s="85"/>
      <c r="O514" s="85"/>
      <c r="P514" s="85"/>
      <c r="Q514" s="85"/>
      <c r="R514" s="85"/>
      <c r="S514" s="85"/>
      <c r="T514" s="85"/>
      <c r="U514" s="85"/>
      <c r="V514" s="85"/>
      <c r="W514" s="85"/>
      <c r="X514" s="85"/>
      <c r="Y514" s="85"/>
      <c r="Z514" s="85"/>
      <c r="AA514" s="85"/>
      <c r="AB514" s="85"/>
      <c r="AC514" s="85"/>
      <c r="AD514" s="85"/>
      <c r="AE514" s="85"/>
      <c r="AF514" s="85"/>
      <c r="AG514" s="85"/>
    </row>
    <row r="515">
      <c r="A515" s="85"/>
      <c r="B515" s="85"/>
      <c r="C515" s="87"/>
      <c r="D515" s="87"/>
      <c r="E515" s="85"/>
      <c r="F515" s="85"/>
      <c r="G515" s="85"/>
      <c r="H515" s="85"/>
      <c r="I515" s="85"/>
      <c r="J515" s="85"/>
      <c r="K515" s="85"/>
      <c r="L515" s="85"/>
      <c r="M515" s="85"/>
      <c r="N515" s="85"/>
      <c r="O515" s="85"/>
      <c r="P515" s="85"/>
      <c r="Q515" s="85"/>
      <c r="R515" s="85"/>
      <c r="S515" s="85"/>
      <c r="T515" s="85"/>
      <c r="U515" s="85"/>
      <c r="V515" s="85"/>
      <c r="W515" s="85"/>
      <c r="X515" s="85"/>
      <c r="Y515" s="85"/>
      <c r="Z515" s="85"/>
      <c r="AA515" s="85"/>
      <c r="AB515" s="85"/>
      <c r="AC515" s="85"/>
      <c r="AD515" s="85"/>
      <c r="AE515" s="85"/>
      <c r="AF515" s="85"/>
      <c r="AG515" s="85"/>
    </row>
    <row r="516">
      <c r="A516" s="85"/>
      <c r="B516" s="85"/>
      <c r="C516" s="87"/>
      <c r="D516" s="87"/>
      <c r="E516" s="85"/>
      <c r="F516" s="85"/>
      <c r="G516" s="85"/>
      <c r="H516" s="85"/>
      <c r="I516" s="85"/>
      <c r="J516" s="85"/>
      <c r="K516" s="85"/>
      <c r="L516" s="85"/>
      <c r="M516" s="85"/>
      <c r="N516" s="85"/>
      <c r="O516" s="85"/>
      <c r="P516" s="85"/>
      <c r="Q516" s="85"/>
      <c r="R516" s="85"/>
      <c r="S516" s="85"/>
      <c r="T516" s="85"/>
      <c r="U516" s="85"/>
      <c r="V516" s="85"/>
      <c r="W516" s="85"/>
      <c r="X516" s="85"/>
      <c r="Y516" s="85"/>
      <c r="Z516" s="85"/>
      <c r="AA516" s="85"/>
      <c r="AB516" s="85"/>
      <c r="AC516" s="85"/>
      <c r="AD516" s="85"/>
      <c r="AE516" s="85"/>
      <c r="AF516" s="85"/>
      <c r="AG516" s="85"/>
    </row>
    <row r="517">
      <c r="A517" s="85"/>
      <c r="B517" s="85"/>
      <c r="C517" s="87"/>
      <c r="D517" s="87"/>
      <c r="E517" s="85"/>
      <c r="F517" s="85"/>
      <c r="G517" s="85"/>
      <c r="H517" s="85"/>
      <c r="I517" s="85"/>
      <c r="J517" s="85"/>
      <c r="K517" s="85"/>
      <c r="L517" s="85"/>
      <c r="M517" s="85"/>
      <c r="N517" s="85"/>
      <c r="O517" s="85"/>
      <c r="P517" s="85"/>
      <c r="Q517" s="85"/>
      <c r="R517" s="85"/>
      <c r="S517" s="85"/>
      <c r="T517" s="85"/>
      <c r="U517" s="85"/>
      <c r="V517" s="85"/>
      <c r="W517" s="85"/>
      <c r="X517" s="85"/>
      <c r="Y517" s="85"/>
      <c r="Z517" s="85"/>
      <c r="AA517" s="85"/>
      <c r="AB517" s="85"/>
      <c r="AC517" s="85"/>
      <c r="AD517" s="85"/>
      <c r="AE517" s="85"/>
      <c r="AF517" s="85"/>
      <c r="AG517" s="85"/>
    </row>
    <row r="518">
      <c r="A518" s="85"/>
      <c r="B518" s="85"/>
      <c r="C518" s="87"/>
      <c r="D518" s="87"/>
      <c r="E518" s="85"/>
      <c r="F518" s="85"/>
      <c r="G518" s="85"/>
      <c r="H518" s="85"/>
      <c r="I518" s="85"/>
      <c r="J518" s="85"/>
      <c r="K518" s="85"/>
      <c r="L518" s="85"/>
      <c r="M518" s="85"/>
      <c r="N518" s="85"/>
      <c r="O518" s="85"/>
      <c r="P518" s="85"/>
      <c r="Q518" s="85"/>
      <c r="R518" s="85"/>
      <c r="S518" s="85"/>
      <c r="T518" s="85"/>
      <c r="U518" s="85"/>
      <c r="V518" s="85"/>
      <c r="W518" s="85"/>
      <c r="X518" s="85"/>
      <c r="Y518" s="85"/>
      <c r="Z518" s="85"/>
      <c r="AA518" s="85"/>
      <c r="AB518" s="85"/>
      <c r="AC518" s="85"/>
      <c r="AD518" s="85"/>
      <c r="AE518" s="85"/>
      <c r="AF518" s="85"/>
      <c r="AG518" s="85"/>
    </row>
    <row r="519">
      <c r="A519" s="85"/>
      <c r="B519" s="85"/>
      <c r="C519" s="87"/>
      <c r="D519" s="87"/>
      <c r="E519" s="85"/>
      <c r="F519" s="85"/>
      <c r="G519" s="85"/>
      <c r="H519" s="85"/>
      <c r="I519" s="85"/>
      <c r="J519" s="85"/>
      <c r="K519" s="85"/>
      <c r="L519" s="85"/>
      <c r="M519" s="85"/>
      <c r="N519" s="85"/>
      <c r="O519" s="85"/>
      <c r="P519" s="85"/>
      <c r="Q519" s="85"/>
      <c r="R519" s="85"/>
      <c r="S519" s="85"/>
      <c r="T519" s="85"/>
      <c r="U519" s="85"/>
      <c r="V519" s="85"/>
      <c r="W519" s="85"/>
      <c r="X519" s="85"/>
      <c r="Y519" s="85"/>
      <c r="Z519" s="85"/>
      <c r="AA519" s="85"/>
      <c r="AB519" s="85"/>
      <c r="AC519" s="85"/>
      <c r="AD519" s="85"/>
      <c r="AE519" s="85"/>
      <c r="AF519" s="85"/>
      <c r="AG519" s="85"/>
    </row>
    <row r="520">
      <c r="A520" s="85"/>
      <c r="B520" s="85"/>
      <c r="C520" s="87"/>
      <c r="D520" s="87"/>
      <c r="E520" s="85"/>
      <c r="F520" s="85"/>
      <c r="G520" s="85"/>
      <c r="H520" s="85"/>
      <c r="I520" s="85"/>
      <c r="J520" s="85"/>
      <c r="K520" s="85"/>
      <c r="L520" s="85"/>
      <c r="M520" s="85"/>
      <c r="N520" s="85"/>
      <c r="O520" s="85"/>
      <c r="P520" s="85"/>
      <c r="Q520" s="85"/>
      <c r="R520" s="85"/>
      <c r="S520" s="85"/>
      <c r="T520" s="85"/>
      <c r="U520" s="85"/>
      <c r="V520" s="85"/>
      <c r="W520" s="85"/>
      <c r="X520" s="85"/>
      <c r="Y520" s="85"/>
      <c r="Z520" s="85"/>
      <c r="AA520" s="85"/>
      <c r="AB520" s="85"/>
      <c r="AC520" s="85"/>
      <c r="AD520" s="85"/>
      <c r="AE520" s="85"/>
      <c r="AF520" s="85"/>
      <c r="AG520" s="85"/>
    </row>
    <row r="521">
      <c r="A521" s="85"/>
      <c r="B521" s="85"/>
      <c r="C521" s="87"/>
      <c r="D521" s="87"/>
      <c r="E521" s="85"/>
      <c r="F521" s="85"/>
      <c r="G521" s="85"/>
      <c r="H521" s="85"/>
      <c r="I521" s="85"/>
      <c r="J521" s="85"/>
      <c r="K521" s="85"/>
      <c r="L521" s="85"/>
      <c r="M521" s="85"/>
      <c r="N521" s="85"/>
      <c r="O521" s="85"/>
      <c r="P521" s="85"/>
      <c r="Q521" s="85"/>
      <c r="R521" s="85"/>
      <c r="S521" s="85"/>
      <c r="T521" s="85"/>
      <c r="U521" s="85"/>
      <c r="V521" s="85"/>
      <c r="W521" s="85"/>
      <c r="X521" s="85"/>
      <c r="Y521" s="85"/>
      <c r="Z521" s="85"/>
      <c r="AA521" s="85"/>
      <c r="AB521" s="85"/>
      <c r="AC521" s="85"/>
      <c r="AD521" s="85"/>
      <c r="AE521" s="85"/>
      <c r="AF521" s="85"/>
      <c r="AG521" s="85"/>
    </row>
    <row r="522">
      <c r="A522" s="85"/>
      <c r="B522" s="85"/>
      <c r="C522" s="87"/>
      <c r="D522" s="87"/>
      <c r="E522" s="85"/>
      <c r="F522" s="85"/>
      <c r="G522" s="85"/>
      <c r="H522" s="85"/>
      <c r="I522" s="85"/>
      <c r="J522" s="85"/>
      <c r="K522" s="85"/>
      <c r="L522" s="85"/>
      <c r="M522" s="85"/>
      <c r="N522" s="85"/>
      <c r="O522" s="85"/>
      <c r="P522" s="85"/>
      <c r="Q522" s="85"/>
      <c r="R522" s="85"/>
      <c r="S522" s="85"/>
      <c r="T522" s="85"/>
      <c r="U522" s="85"/>
      <c r="V522" s="85"/>
      <c r="W522" s="85"/>
      <c r="X522" s="85"/>
      <c r="Y522" s="85"/>
      <c r="Z522" s="85"/>
      <c r="AA522" s="85"/>
      <c r="AB522" s="85"/>
      <c r="AC522" s="85"/>
      <c r="AD522" s="85"/>
      <c r="AE522" s="85"/>
      <c r="AF522" s="85"/>
      <c r="AG522" s="85"/>
    </row>
    <row r="523">
      <c r="A523" s="85"/>
      <c r="B523" s="85"/>
      <c r="C523" s="87"/>
      <c r="D523" s="87"/>
      <c r="E523" s="85"/>
      <c r="F523" s="85"/>
      <c r="G523" s="85"/>
      <c r="H523" s="85"/>
      <c r="I523" s="85"/>
      <c r="J523" s="85"/>
      <c r="K523" s="85"/>
      <c r="L523" s="85"/>
      <c r="M523" s="85"/>
      <c r="N523" s="85"/>
      <c r="O523" s="85"/>
      <c r="P523" s="85"/>
      <c r="Q523" s="85"/>
      <c r="R523" s="85"/>
      <c r="S523" s="85"/>
      <c r="T523" s="85"/>
      <c r="U523" s="85"/>
      <c r="V523" s="85"/>
      <c r="W523" s="85"/>
      <c r="X523" s="85"/>
      <c r="Y523" s="85"/>
      <c r="Z523" s="85"/>
      <c r="AA523" s="85"/>
      <c r="AB523" s="85"/>
      <c r="AC523" s="85"/>
      <c r="AD523" s="85"/>
      <c r="AE523" s="85"/>
      <c r="AF523" s="85"/>
      <c r="AG523" s="85"/>
    </row>
    <row r="524">
      <c r="A524" s="85"/>
      <c r="B524" s="85"/>
      <c r="C524" s="87"/>
      <c r="D524" s="87"/>
      <c r="E524" s="85"/>
      <c r="F524" s="85"/>
      <c r="G524" s="85"/>
      <c r="H524" s="85"/>
      <c r="I524" s="85"/>
      <c r="J524" s="85"/>
      <c r="K524" s="85"/>
      <c r="L524" s="85"/>
      <c r="M524" s="85"/>
      <c r="N524" s="85"/>
      <c r="O524" s="85"/>
      <c r="P524" s="85"/>
      <c r="Q524" s="85"/>
      <c r="R524" s="85"/>
      <c r="S524" s="85"/>
      <c r="T524" s="85"/>
      <c r="U524" s="85"/>
      <c r="V524" s="85"/>
      <c r="W524" s="85"/>
      <c r="X524" s="85"/>
      <c r="Y524" s="85"/>
      <c r="Z524" s="85"/>
      <c r="AA524" s="85"/>
      <c r="AB524" s="85"/>
      <c r="AC524" s="85"/>
      <c r="AD524" s="85"/>
      <c r="AE524" s="85"/>
      <c r="AF524" s="85"/>
      <c r="AG524" s="85"/>
    </row>
    <row r="525">
      <c r="A525" s="85"/>
      <c r="B525" s="85"/>
      <c r="C525" s="87"/>
      <c r="D525" s="87"/>
      <c r="E525" s="85"/>
      <c r="F525" s="85"/>
      <c r="G525" s="85"/>
      <c r="H525" s="85"/>
      <c r="I525" s="85"/>
      <c r="J525" s="85"/>
      <c r="K525" s="85"/>
      <c r="L525" s="85"/>
      <c r="M525" s="85"/>
      <c r="N525" s="85"/>
      <c r="O525" s="85"/>
      <c r="P525" s="85"/>
      <c r="Q525" s="85"/>
      <c r="R525" s="85"/>
      <c r="S525" s="85"/>
      <c r="T525" s="85"/>
      <c r="U525" s="85"/>
      <c r="V525" s="85"/>
      <c r="W525" s="85"/>
      <c r="X525" s="85"/>
      <c r="Y525" s="85"/>
      <c r="Z525" s="85"/>
      <c r="AA525" s="85"/>
      <c r="AB525" s="85"/>
      <c r="AC525" s="85"/>
      <c r="AD525" s="85"/>
      <c r="AE525" s="85"/>
      <c r="AF525" s="85"/>
      <c r="AG525" s="85"/>
    </row>
    <row r="526">
      <c r="A526" s="85"/>
      <c r="B526" s="85"/>
      <c r="C526" s="87"/>
      <c r="D526" s="87"/>
      <c r="E526" s="85"/>
      <c r="F526" s="85"/>
      <c r="G526" s="85"/>
      <c r="H526" s="85"/>
      <c r="I526" s="85"/>
      <c r="J526" s="85"/>
      <c r="K526" s="85"/>
      <c r="L526" s="85"/>
      <c r="M526" s="85"/>
      <c r="N526" s="85"/>
      <c r="O526" s="85"/>
      <c r="P526" s="85"/>
      <c r="Q526" s="85"/>
      <c r="R526" s="85"/>
      <c r="S526" s="85"/>
      <c r="T526" s="85"/>
      <c r="U526" s="85"/>
      <c r="V526" s="85"/>
      <c r="W526" s="85"/>
      <c r="X526" s="85"/>
      <c r="Y526" s="85"/>
      <c r="Z526" s="85"/>
      <c r="AA526" s="85"/>
      <c r="AB526" s="85"/>
      <c r="AC526" s="85"/>
      <c r="AD526" s="85"/>
      <c r="AE526" s="85"/>
      <c r="AF526" s="85"/>
      <c r="AG526" s="85"/>
    </row>
    <row r="527">
      <c r="A527" s="85"/>
      <c r="B527" s="85"/>
      <c r="C527" s="87"/>
      <c r="D527" s="87"/>
      <c r="E527" s="85"/>
      <c r="F527" s="85"/>
      <c r="G527" s="85"/>
      <c r="H527" s="85"/>
      <c r="I527" s="85"/>
      <c r="J527" s="85"/>
      <c r="K527" s="85"/>
      <c r="L527" s="85"/>
      <c r="M527" s="85"/>
      <c r="N527" s="85"/>
      <c r="O527" s="85"/>
      <c r="P527" s="85"/>
      <c r="Q527" s="85"/>
      <c r="R527" s="85"/>
      <c r="S527" s="85"/>
      <c r="T527" s="85"/>
      <c r="U527" s="85"/>
      <c r="V527" s="85"/>
      <c r="W527" s="85"/>
      <c r="X527" s="85"/>
      <c r="Y527" s="85"/>
      <c r="Z527" s="85"/>
      <c r="AA527" s="85"/>
      <c r="AB527" s="85"/>
      <c r="AC527" s="85"/>
      <c r="AD527" s="85"/>
      <c r="AE527" s="85"/>
      <c r="AF527" s="85"/>
      <c r="AG527" s="85"/>
    </row>
    <row r="528">
      <c r="A528" s="85"/>
      <c r="B528" s="85"/>
      <c r="C528" s="87"/>
      <c r="D528" s="87"/>
      <c r="E528" s="85"/>
      <c r="F528" s="85"/>
      <c r="G528" s="85"/>
      <c r="H528" s="85"/>
      <c r="I528" s="85"/>
      <c r="J528" s="85"/>
      <c r="K528" s="85"/>
      <c r="L528" s="85"/>
      <c r="M528" s="85"/>
      <c r="N528" s="85"/>
      <c r="O528" s="85"/>
      <c r="P528" s="85"/>
      <c r="Q528" s="85"/>
      <c r="R528" s="85"/>
      <c r="S528" s="85"/>
      <c r="T528" s="85"/>
      <c r="U528" s="85"/>
      <c r="V528" s="85"/>
      <c r="W528" s="85"/>
      <c r="X528" s="85"/>
      <c r="Y528" s="85"/>
      <c r="Z528" s="85"/>
      <c r="AA528" s="85"/>
      <c r="AB528" s="85"/>
      <c r="AC528" s="85"/>
      <c r="AD528" s="85"/>
      <c r="AE528" s="85"/>
      <c r="AF528" s="85"/>
      <c r="AG528" s="85"/>
    </row>
    <row r="529">
      <c r="A529" s="85"/>
      <c r="B529" s="85"/>
      <c r="C529" s="87"/>
      <c r="D529" s="87"/>
      <c r="E529" s="85"/>
      <c r="F529" s="85"/>
      <c r="G529" s="85"/>
      <c r="H529" s="85"/>
      <c r="I529" s="85"/>
      <c r="J529" s="85"/>
      <c r="K529" s="85"/>
      <c r="L529" s="85"/>
      <c r="M529" s="85"/>
      <c r="N529" s="85"/>
      <c r="O529" s="85"/>
      <c r="P529" s="85"/>
      <c r="Q529" s="85"/>
      <c r="R529" s="85"/>
      <c r="S529" s="85"/>
      <c r="T529" s="85"/>
      <c r="U529" s="85"/>
      <c r="V529" s="85"/>
      <c r="W529" s="85"/>
      <c r="X529" s="85"/>
      <c r="Y529" s="85"/>
      <c r="Z529" s="85"/>
      <c r="AA529" s="85"/>
      <c r="AB529" s="85"/>
      <c r="AC529" s="85"/>
      <c r="AD529" s="85"/>
      <c r="AE529" s="85"/>
      <c r="AF529" s="85"/>
      <c r="AG529" s="85"/>
    </row>
    <row r="530">
      <c r="A530" s="85"/>
      <c r="B530" s="85"/>
      <c r="C530" s="87"/>
      <c r="D530" s="87"/>
      <c r="E530" s="85"/>
      <c r="F530" s="85"/>
      <c r="G530" s="85"/>
      <c r="H530" s="85"/>
      <c r="I530" s="85"/>
      <c r="J530" s="85"/>
      <c r="K530" s="85"/>
      <c r="L530" s="85"/>
      <c r="M530" s="85"/>
      <c r="N530" s="85"/>
      <c r="O530" s="85"/>
      <c r="P530" s="85"/>
      <c r="Q530" s="85"/>
      <c r="R530" s="85"/>
      <c r="S530" s="85"/>
      <c r="T530" s="85"/>
      <c r="U530" s="85"/>
      <c r="V530" s="85"/>
      <c r="W530" s="85"/>
      <c r="X530" s="85"/>
      <c r="Y530" s="85"/>
      <c r="Z530" s="85"/>
      <c r="AA530" s="85"/>
      <c r="AB530" s="85"/>
      <c r="AC530" s="85"/>
      <c r="AD530" s="85"/>
      <c r="AE530" s="85"/>
      <c r="AF530" s="85"/>
      <c r="AG530" s="85"/>
    </row>
    <row r="531">
      <c r="A531" s="85"/>
      <c r="B531" s="85"/>
      <c r="C531" s="87"/>
      <c r="D531" s="87"/>
      <c r="E531" s="85"/>
      <c r="F531" s="85"/>
      <c r="G531" s="85"/>
      <c r="H531" s="85"/>
      <c r="I531" s="85"/>
      <c r="J531" s="85"/>
      <c r="K531" s="85"/>
      <c r="L531" s="85"/>
      <c r="M531" s="85"/>
      <c r="N531" s="85"/>
      <c r="O531" s="85"/>
      <c r="P531" s="85"/>
      <c r="Q531" s="85"/>
      <c r="R531" s="85"/>
      <c r="S531" s="85"/>
      <c r="T531" s="85"/>
      <c r="U531" s="85"/>
      <c r="V531" s="85"/>
      <c r="W531" s="85"/>
      <c r="X531" s="85"/>
      <c r="Y531" s="85"/>
      <c r="Z531" s="85"/>
      <c r="AA531" s="85"/>
      <c r="AB531" s="85"/>
      <c r="AC531" s="85"/>
      <c r="AD531" s="85"/>
      <c r="AE531" s="85"/>
      <c r="AF531" s="85"/>
      <c r="AG531" s="85"/>
    </row>
    <row r="532">
      <c r="A532" s="85"/>
      <c r="B532" s="85"/>
      <c r="C532" s="87"/>
      <c r="D532" s="87"/>
      <c r="E532" s="85"/>
      <c r="F532" s="85"/>
      <c r="G532" s="85"/>
      <c r="H532" s="85"/>
      <c r="I532" s="85"/>
      <c r="J532" s="85"/>
      <c r="K532" s="85"/>
      <c r="L532" s="85"/>
      <c r="M532" s="85"/>
      <c r="N532" s="85"/>
      <c r="O532" s="85"/>
      <c r="P532" s="85"/>
      <c r="Q532" s="85"/>
      <c r="R532" s="85"/>
      <c r="S532" s="85"/>
      <c r="T532" s="85"/>
      <c r="U532" s="85"/>
      <c r="V532" s="85"/>
      <c r="W532" s="85"/>
      <c r="X532" s="85"/>
      <c r="Y532" s="85"/>
      <c r="Z532" s="85"/>
      <c r="AA532" s="85"/>
      <c r="AB532" s="85"/>
      <c r="AC532" s="85"/>
      <c r="AD532" s="85"/>
      <c r="AE532" s="85"/>
      <c r="AF532" s="85"/>
      <c r="AG532" s="85"/>
    </row>
    <row r="533">
      <c r="A533" s="85"/>
      <c r="B533" s="85"/>
      <c r="C533" s="87"/>
      <c r="D533" s="87"/>
      <c r="E533" s="85"/>
      <c r="F533" s="85"/>
      <c r="G533" s="85"/>
      <c r="H533" s="85"/>
      <c r="I533" s="85"/>
      <c r="J533" s="85"/>
      <c r="K533" s="85"/>
      <c r="L533" s="85"/>
      <c r="M533" s="85"/>
      <c r="N533" s="85"/>
      <c r="O533" s="85"/>
      <c r="P533" s="85"/>
      <c r="Q533" s="85"/>
      <c r="R533" s="85"/>
      <c r="S533" s="85"/>
      <c r="T533" s="85"/>
      <c r="U533" s="85"/>
      <c r="V533" s="85"/>
      <c r="W533" s="85"/>
      <c r="X533" s="85"/>
      <c r="Y533" s="85"/>
      <c r="Z533" s="85"/>
      <c r="AA533" s="85"/>
      <c r="AB533" s="85"/>
      <c r="AC533" s="85"/>
      <c r="AD533" s="85"/>
      <c r="AE533" s="85"/>
      <c r="AF533" s="85"/>
      <c r="AG533" s="85"/>
    </row>
    <row r="534">
      <c r="A534" s="85"/>
      <c r="B534" s="85"/>
      <c r="C534" s="87"/>
      <c r="D534" s="87"/>
      <c r="E534" s="85"/>
      <c r="F534" s="85"/>
      <c r="G534" s="85"/>
      <c r="H534" s="85"/>
      <c r="I534" s="85"/>
      <c r="J534" s="85"/>
      <c r="K534" s="85"/>
      <c r="L534" s="85"/>
      <c r="M534" s="85"/>
      <c r="N534" s="85"/>
      <c r="O534" s="85"/>
      <c r="P534" s="85"/>
      <c r="Q534" s="85"/>
      <c r="R534" s="85"/>
      <c r="S534" s="85"/>
      <c r="T534" s="85"/>
      <c r="U534" s="85"/>
      <c r="V534" s="85"/>
      <c r="W534" s="85"/>
      <c r="X534" s="85"/>
      <c r="Y534" s="85"/>
      <c r="Z534" s="85"/>
      <c r="AA534" s="85"/>
      <c r="AB534" s="85"/>
      <c r="AC534" s="85"/>
      <c r="AD534" s="85"/>
      <c r="AE534" s="85"/>
      <c r="AF534" s="85"/>
      <c r="AG534" s="85"/>
    </row>
    <row r="535">
      <c r="A535" s="85"/>
      <c r="B535" s="85"/>
      <c r="C535" s="87"/>
      <c r="D535" s="87"/>
      <c r="E535" s="85"/>
      <c r="F535" s="85"/>
      <c r="G535" s="85"/>
      <c r="H535" s="85"/>
      <c r="I535" s="85"/>
      <c r="J535" s="85"/>
      <c r="K535" s="85"/>
      <c r="L535" s="85"/>
      <c r="M535" s="85"/>
      <c r="N535" s="85"/>
      <c r="O535" s="85"/>
      <c r="P535" s="85"/>
      <c r="Q535" s="85"/>
      <c r="R535" s="85"/>
      <c r="S535" s="85"/>
      <c r="T535" s="85"/>
      <c r="U535" s="85"/>
      <c r="V535" s="85"/>
      <c r="W535" s="85"/>
      <c r="X535" s="85"/>
      <c r="Y535" s="85"/>
      <c r="Z535" s="85"/>
      <c r="AA535" s="85"/>
      <c r="AB535" s="85"/>
      <c r="AC535" s="85"/>
      <c r="AD535" s="85"/>
      <c r="AE535" s="85"/>
      <c r="AF535" s="85"/>
      <c r="AG535" s="85"/>
    </row>
    <row r="536">
      <c r="A536" s="85"/>
      <c r="B536" s="85"/>
      <c r="C536" s="87"/>
      <c r="D536" s="87"/>
      <c r="E536" s="85"/>
      <c r="F536" s="85"/>
      <c r="G536" s="85"/>
      <c r="H536" s="85"/>
      <c r="I536" s="85"/>
      <c r="J536" s="85"/>
      <c r="K536" s="85"/>
      <c r="L536" s="85"/>
      <c r="M536" s="85"/>
      <c r="N536" s="85"/>
      <c r="O536" s="85"/>
      <c r="P536" s="85"/>
      <c r="Q536" s="85"/>
      <c r="R536" s="85"/>
      <c r="S536" s="85"/>
      <c r="T536" s="85"/>
      <c r="U536" s="85"/>
      <c r="V536" s="85"/>
      <c r="W536" s="85"/>
      <c r="X536" s="85"/>
      <c r="Y536" s="85"/>
      <c r="Z536" s="85"/>
      <c r="AA536" s="85"/>
      <c r="AB536" s="85"/>
      <c r="AC536" s="85"/>
      <c r="AD536" s="85"/>
      <c r="AE536" s="85"/>
      <c r="AF536" s="85"/>
      <c r="AG536" s="85"/>
    </row>
    <row r="537">
      <c r="A537" s="85"/>
      <c r="B537" s="85"/>
      <c r="C537" s="87"/>
      <c r="D537" s="87"/>
      <c r="E537" s="85"/>
      <c r="F537" s="85"/>
      <c r="G537" s="85"/>
      <c r="H537" s="85"/>
      <c r="I537" s="85"/>
      <c r="J537" s="85"/>
      <c r="K537" s="85"/>
      <c r="L537" s="85"/>
      <c r="M537" s="85"/>
      <c r="N537" s="85"/>
      <c r="O537" s="85"/>
      <c r="P537" s="85"/>
      <c r="Q537" s="85"/>
      <c r="R537" s="85"/>
      <c r="S537" s="85"/>
      <c r="T537" s="85"/>
      <c r="U537" s="85"/>
      <c r="V537" s="85"/>
      <c r="W537" s="85"/>
      <c r="X537" s="85"/>
      <c r="Y537" s="85"/>
      <c r="Z537" s="85"/>
      <c r="AA537" s="85"/>
      <c r="AB537" s="85"/>
      <c r="AC537" s="85"/>
      <c r="AD537" s="85"/>
      <c r="AE537" s="85"/>
      <c r="AF537" s="85"/>
      <c r="AG537" s="85"/>
    </row>
    <row r="538">
      <c r="A538" s="85"/>
      <c r="B538" s="85"/>
      <c r="C538" s="87"/>
      <c r="D538" s="87"/>
      <c r="E538" s="85"/>
      <c r="F538" s="85"/>
      <c r="G538" s="85"/>
      <c r="H538" s="85"/>
      <c r="I538" s="85"/>
      <c r="J538" s="85"/>
      <c r="K538" s="85"/>
      <c r="L538" s="85"/>
      <c r="M538" s="85"/>
      <c r="N538" s="85"/>
      <c r="O538" s="85"/>
      <c r="P538" s="85"/>
      <c r="Q538" s="85"/>
      <c r="R538" s="85"/>
      <c r="S538" s="85"/>
      <c r="T538" s="85"/>
      <c r="U538" s="85"/>
      <c r="V538" s="85"/>
      <c r="W538" s="85"/>
      <c r="X538" s="85"/>
      <c r="Y538" s="85"/>
      <c r="Z538" s="85"/>
      <c r="AA538" s="85"/>
      <c r="AB538" s="85"/>
      <c r="AC538" s="85"/>
      <c r="AD538" s="85"/>
      <c r="AE538" s="85"/>
      <c r="AF538" s="85"/>
      <c r="AG538" s="85"/>
    </row>
    <row r="539">
      <c r="A539" s="85"/>
      <c r="B539" s="85"/>
      <c r="C539" s="87"/>
      <c r="D539" s="87"/>
      <c r="E539" s="85"/>
      <c r="F539" s="85"/>
      <c r="G539" s="85"/>
      <c r="H539" s="85"/>
      <c r="I539" s="85"/>
      <c r="J539" s="85"/>
      <c r="K539" s="85"/>
      <c r="L539" s="85"/>
      <c r="M539" s="85"/>
      <c r="N539" s="85"/>
      <c r="O539" s="85"/>
      <c r="P539" s="85"/>
      <c r="Q539" s="85"/>
      <c r="R539" s="85"/>
      <c r="S539" s="85"/>
      <c r="T539" s="85"/>
      <c r="U539" s="85"/>
      <c r="V539" s="85"/>
      <c r="W539" s="85"/>
      <c r="X539" s="85"/>
      <c r="Y539" s="85"/>
      <c r="Z539" s="85"/>
      <c r="AA539" s="85"/>
      <c r="AB539" s="85"/>
      <c r="AC539" s="85"/>
      <c r="AD539" s="85"/>
      <c r="AE539" s="85"/>
      <c r="AF539" s="85"/>
      <c r="AG539" s="85"/>
    </row>
    <row r="540">
      <c r="A540" s="85"/>
      <c r="B540" s="85"/>
      <c r="C540" s="87"/>
      <c r="D540" s="87"/>
      <c r="E540" s="85"/>
      <c r="F540" s="85"/>
      <c r="G540" s="85"/>
      <c r="H540" s="85"/>
      <c r="I540" s="85"/>
      <c r="J540" s="85"/>
      <c r="K540" s="85"/>
      <c r="L540" s="85"/>
      <c r="M540" s="85"/>
      <c r="N540" s="85"/>
      <c r="O540" s="85"/>
      <c r="P540" s="85"/>
      <c r="Q540" s="85"/>
      <c r="R540" s="85"/>
      <c r="S540" s="85"/>
      <c r="T540" s="85"/>
      <c r="U540" s="85"/>
      <c r="V540" s="85"/>
      <c r="W540" s="85"/>
      <c r="X540" s="85"/>
      <c r="Y540" s="85"/>
      <c r="Z540" s="85"/>
      <c r="AA540" s="85"/>
      <c r="AB540" s="85"/>
      <c r="AC540" s="85"/>
      <c r="AD540" s="85"/>
      <c r="AE540" s="85"/>
      <c r="AF540" s="85"/>
      <c r="AG540" s="85"/>
    </row>
    <row r="541">
      <c r="A541" s="85"/>
      <c r="B541" s="85"/>
      <c r="C541" s="87"/>
      <c r="D541" s="87"/>
      <c r="E541" s="85"/>
      <c r="F541" s="85"/>
      <c r="G541" s="85"/>
      <c r="H541" s="85"/>
      <c r="I541" s="85"/>
      <c r="J541" s="85"/>
      <c r="K541" s="85"/>
      <c r="L541" s="85"/>
      <c r="M541" s="85"/>
      <c r="N541" s="85"/>
      <c r="O541" s="85"/>
      <c r="P541" s="85"/>
      <c r="Q541" s="85"/>
      <c r="R541" s="85"/>
      <c r="S541" s="85"/>
      <c r="T541" s="85"/>
      <c r="U541" s="85"/>
      <c r="V541" s="85"/>
      <c r="W541" s="85"/>
      <c r="X541" s="85"/>
      <c r="Y541" s="85"/>
      <c r="Z541" s="85"/>
      <c r="AA541" s="85"/>
      <c r="AB541" s="85"/>
      <c r="AC541" s="85"/>
      <c r="AD541" s="85"/>
      <c r="AE541" s="85"/>
      <c r="AF541" s="85"/>
      <c r="AG541" s="85"/>
    </row>
    <row r="542">
      <c r="A542" s="85"/>
      <c r="B542" s="85"/>
      <c r="C542" s="87"/>
      <c r="D542" s="87"/>
      <c r="E542" s="85"/>
      <c r="F542" s="85"/>
      <c r="G542" s="85"/>
      <c r="H542" s="85"/>
      <c r="I542" s="85"/>
      <c r="J542" s="85"/>
      <c r="K542" s="85"/>
      <c r="L542" s="85"/>
      <c r="M542" s="85"/>
      <c r="N542" s="85"/>
      <c r="O542" s="85"/>
      <c r="P542" s="85"/>
      <c r="Q542" s="85"/>
      <c r="R542" s="85"/>
      <c r="S542" s="85"/>
      <c r="T542" s="85"/>
      <c r="U542" s="85"/>
      <c r="V542" s="85"/>
      <c r="W542" s="85"/>
      <c r="X542" s="85"/>
      <c r="Y542" s="85"/>
      <c r="Z542" s="85"/>
      <c r="AA542" s="85"/>
      <c r="AB542" s="85"/>
      <c r="AC542" s="85"/>
      <c r="AD542" s="85"/>
      <c r="AE542" s="85"/>
      <c r="AF542" s="85"/>
      <c r="AG542" s="85"/>
    </row>
    <row r="543">
      <c r="A543" s="85"/>
      <c r="B543" s="85"/>
      <c r="C543" s="87"/>
      <c r="D543" s="87"/>
      <c r="E543" s="85"/>
      <c r="F543" s="85"/>
      <c r="G543" s="85"/>
      <c r="H543" s="85"/>
      <c r="I543" s="85"/>
      <c r="J543" s="85"/>
      <c r="K543" s="85"/>
      <c r="L543" s="85"/>
      <c r="M543" s="85"/>
      <c r="N543" s="85"/>
      <c r="O543" s="85"/>
      <c r="P543" s="85"/>
      <c r="Q543" s="85"/>
      <c r="R543" s="85"/>
      <c r="S543" s="85"/>
      <c r="T543" s="85"/>
      <c r="U543" s="85"/>
      <c r="V543" s="85"/>
      <c r="W543" s="85"/>
      <c r="X543" s="85"/>
      <c r="Y543" s="85"/>
      <c r="Z543" s="85"/>
      <c r="AA543" s="85"/>
      <c r="AB543" s="85"/>
      <c r="AC543" s="85"/>
      <c r="AD543" s="85"/>
      <c r="AE543" s="85"/>
      <c r="AF543" s="85"/>
      <c r="AG543" s="85"/>
    </row>
    <row r="544">
      <c r="A544" s="85"/>
      <c r="B544" s="85"/>
      <c r="C544" s="87"/>
      <c r="D544" s="87"/>
      <c r="E544" s="85"/>
      <c r="F544" s="85"/>
      <c r="G544" s="85"/>
      <c r="H544" s="85"/>
      <c r="I544" s="85"/>
      <c r="J544" s="85"/>
      <c r="K544" s="85"/>
      <c r="L544" s="85"/>
      <c r="M544" s="85"/>
      <c r="N544" s="85"/>
      <c r="O544" s="85"/>
      <c r="P544" s="85"/>
      <c r="Q544" s="85"/>
      <c r="R544" s="85"/>
      <c r="S544" s="85"/>
      <c r="T544" s="85"/>
      <c r="U544" s="85"/>
      <c r="V544" s="85"/>
      <c r="W544" s="85"/>
      <c r="X544" s="85"/>
      <c r="Y544" s="85"/>
      <c r="Z544" s="85"/>
      <c r="AA544" s="85"/>
      <c r="AB544" s="85"/>
      <c r="AC544" s="85"/>
      <c r="AD544" s="85"/>
      <c r="AE544" s="85"/>
      <c r="AF544" s="85"/>
      <c r="AG544" s="85"/>
    </row>
    <row r="545">
      <c r="A545" s="85"/>
      <c r="B545" s="85"/>
      <c r="C545" s="87"/>
      <c r="D545" s="87"/>
      <c r="E545" s="85"/>
      <c r="F545" s="85"/>
      <c r="G545" s="85"/>
      <c r="H545" s="85"/>
      <c r="I545" s="85"/>
      <c r="J545" s="85"/>
      <c r="K545" s="85"/>
      <c r="L545" s="85"/>
      <c r="M545" s="85"/>
      <c r="N545" s="85"/>
      <c r="O545" s="85"/>
      <c r="P545" s="85"/>
      <c r="Q545" s="85"/>
      <c r="R545" s="85"/>
      <c r="S545" s="85"/>
      <c r="T545" s="85"/>
      <c r="U545" s="85"/>
      <c r="V545" s="85"/>
      <c r="W545" s="85"/>
      <c r="X545" s="85"/>
      <c r="Y545" s="85"/>
      <c r="Z545" s="85"/>
      <c r="AA545" s="85"/>
      <c r="AB545" s="85"/>
      <c r="AC545" s="85"/>
      <c r="AD545" s="85"/>
      <c r="AE545" s="85"/>
      <c r="AF545" s="85"/>
      <c r="AG545" s="85"/>
    </row>
    <row r="546">
      <c r="A546" s="85"/>
      <c r="B546" s="85"/>
      <c r="C546" s="87"/>
      <c r="D546" s="87"/>
      <c r="E546" s="85"/>
      <c r="F546" s="85"/>
      <c r="G546" s="85"/>
      <c r="H546" s="85"/>
      <c r="I546" s="85"/>
      <c r="J546" s="85"/>
      <c r="K546" s="85"/>
      <c r="L546" s="85"/>
      <c r="M546" s="85"/>
      <c r="N546" s="85"/>
      <c r="O546" s="85"/>
      <c r="P546" s="85"/>
      <c r="Q546" s="85"/>
      <c r="R546" s="85"/>
      <c r="S546" s="85"/>
      <c r="T546" s="85"/>
      <c r="U546" s="85"/>
      <c r="V546" s="85"/>
      <c r="W546" s="85"/>
      <c r="X546" s="85"/>
      <c r="Y546" s="85"/>
      <c r="Z546" s="85"/>
      <c r="AA546" s="85"/>
      <c r="AB546" s="85"/>
      <c r="AC546" s="85"/>
      <c r="AD546" s="85"/>
      <c r="AE546" s="85"/>
      <c r="AF546" s="85"/>
      <c r="AG546" s="85"/>
    </row>
    <row r="547">
      <c r="A547" s="85"/>
      <c r="B547" s="85"/>
      <c r="C547" s="87"/>
      <c r="D547" s="87"/>
      <c r="E547" s="85"/>
      <c r="F547" s="85"/>
      <c r="G547" s="85"/>
      <c r="H547" s="85"/>
      <c r="I547" s="85"/>
      <c r="J547" s="85"/>
      <c r="K547" s="85"/>
      <c r="L547" s="85"/>
      <c r="M547" s="85"/>
      <c r="N547" s="85"/>
      <c r="O547" s="85"/>
      <c r="P547" s="85"/>
      <c r="Q547" s="85"/>
      <c r="R547" s="85"/>
      <c r="S547" s="85"/>
      <c r="T547" s="85"/>
      <c r="U547" s="85"/>
      <c r="V547" s="85"/>
      <c r="W547" s="85"/>
      <c r="X547" s="85"/>
      <c r="Y547" s="85"/>
      <c r="Z547" s="85"/>
      <c r="AA547" s="85"/>
      <c r="AB547" s="85"/>
      <c r="AC547" s="85"/>
      <c r="AD547" s="85"/>
      <c r="AE547" s="85"/>
      <c r="AF547" s="85"/>
      <c r="AG547" s="85"/>
    </row>
    <row r="548">
      <c r="A548" s="85"/>
      <c r="B548" s="85"/>
      <c r="C548" s="87"/>
      <c r="D548" s="87"/>
      <c r="E548" s="85"/>
      <c r="F548" s="85"/>
      <c r="G548" s="85"/>
      <c r="H548" s="85"/>
      <c r="I548" s="85"/>
      <c r="J548" s="85"/>
      <c r="K548" s="85"/>
      <c r="L548" s="85"/>
      <c r="M548" s="85"/>
      <c r="N548" s="85"/>
      <c r="O548" s="85"/>
      <c r="P548" s="85"/>
      <c r="Q548" s="85"/>
      <c r="R548" s="85"/>
      <c r="S548" s="85"/>
      <c r="T548" s="85"/>
      <c r="U548" s="85"/>
      <c r="V548" s="85"/>
      <c r="W548" s="85"/>
      <c r="X548" s="85"/>
      <c r="Y548" s="85"/>
      <c r="Z548" s="85"/>
      <c r="AA548" s="85"/>
      <c r="AB548" s="85"/>
      <c r="AC548" s="85"/>
      <c r="AD548" s="85"/>
      <c r="AE548" s="85"/>
      <c r="AF548" s="85"/>
      <c r="AG548" s="85"/>
    </row>
    <row r="549">
      <c r="A549" s="85"/>
      <c r="B549" s="85"/>
      <c r="C549" s="87"/>
      <c r="D549" s="87"/>
      <c r="E549" s="85"/>
      <c r="F549" s="85"/>
      <c r="G549" s="85"/>
      <c r="H549" s="85"/>
      <c r="I549" s="85"/>
      <c r="J549" s="85"/>
      <c r="K549" s="85"/>
      <c r="L549" s="85"/>
      <c r="M549" s="85"/>
      <c r="N549" s="85"/>
      <c r="O549" s="85"/>
      <c r="P549" s="85"/>
      <c r="Q549" s="85"/>
      <c r="R549" s="85"/>
      <c r="S549" s="85"/>
      <c r="T549" s="85"/>
      <c r="U549" s="85"/>
      <c r="V549" s="85"/>
      <c r="W549" s="85"/>
      <c r="X549" s="85"/>
      <c r="Y549" s="85"/>
      <c r="Z549" s="85"/>
      <c r="AA549" s="85"/>
      <c r="AB549" s="85"/>
      <c r="AC549" s="85"/>
      <c r="AD549" s="85"/>
      <c r="AE549" s="85"/>
      <c r="AF549" s="85"/>
      <c r="AG549" s="85"/>
    </row>
    <row r="550">
      <c r="A550" s="85"/>
      <c r="B550" s="85"/>
      <c r="C550" s="87"/>
      <c r="D550" s="87"/>
      <c r="E550" s="85"/>
      <c r="F550" s="85"/>
      <c r="G550" s="85"/>
      <c r="H550" s="85"/>
      <c r="I550" s="85"/>
      <c r="J550" s="85"/>
      <c r="K550" s="85"/>
      <c r="L550" s="85"/>
      <c r="M550" s="85"/>
      <c r="N550" s="85"/>
      <c r="O550" s="85"/>
      <c r="P550" s="85"/>
      <c r="Q550" s="85"/>
      <c r="R550" s="85"/>
      <c r="S550" s="85"/>
      <c r="T550" s="85"/>
      <c r="U550" s="85"/>
      <c r="V550" s="85"/>
      <c r="W550" s="85"/>
      <c r="X550" s="85"/>
      <c r="Y550" s="85"/>
      <c r="Z550" s="85"/>
      <c r="AA550" s="85"/>
      <c r="AB550" s="85"/>
      <c r="AC550" s="85"/>
      <c r="AD550" s="85"/>
      <c r="AE550" s="85"/>
      <c r="AF550" s="85"/>
      <c r="AG550" s="85"/>
    </row>
    <row r="551">
      <c r="A551" s="85"/>
      <c r="B551" s="85"/>
      <c r="C551" s="87"/>
      <c r="D551" s="87"/>
      <c r="E551" s="85"/>
      <c r="F551" s="85"/>
      <c r="G551" s="85"/>
      <c r="H551" s="85"/>
      <c r="I551" s="85"/>
      <c r="J551" s="85"/>
      <c r="K551" s="85"/>
      <c r="L551" s="85"/>
      <c r="M551" s="85"/>
      <c r="N551" s="85"/>
      <c r="O551" s="85"/>
      <c r="P551" s="85"/>
      <c r="Q551" s="85"/>
      <c r="R551" s="85"/>
      <c r="S551" s="85"/>
      <c r="T551" s="85"/>
      <c r="U551" s="85"/>
      <c r="V551" s="85"/>
      <c r="W551" s="85"/>
      <c r="X551" s="85"/>
      <c r="Y551" s="85"/>
      <c r="Z551" s="85"/>
      <c r="AA551" s="85"/>
      <c r="AB551" s="85"/>
      <c r="AC551" s="85"/>
      <c r="AD551" s="85"/>
      <c r="AE551" s="85"/>
      <c r="AF551" s="85"/>
      <c r="AG551" s="85"/>
    </row>
    <row r="552">
      <c r="A552" s="85"/>
      <c r="B552" s="85"/>
      <c r="C552" s="87"/>
      <c r="D552" s="87"/>
      <c r="E552" s="85"/>
      <c r="F552" s="85"/>
      <c r="G552" s="85"/>
      <c r="H552" s="85"/>
      <c r="I552" s="85"/>
      <c r="J552" s="85"/>
      <c r="K552" s="85"/>
      <c r="L552" s="85"/>
      <c r="M552" s="85"/>
      <c r="N552" s="85"/>
      <c r="O552" s="85"/>
      <c r="P552" s="85"/>
      <c r="Q552" s="85"/>
      <c r="R552" s="85"/>
      <c r="S552" s="85"/>
      <c r="T552" s="85"/>
      <c r="U552" s="85"/>
      <c r="V552" s="85"/>
      <c r="W552" s="85"/>
      <c r="X552" s="85"/>
      <c r="Y552" s="85"/>
      <c r="Z552" s="85"/>
      <c r="AA552" s="85"/>
      <c r="AB552" s="85"/>
      <c r="AC552" s="85"/>
      <c r="AD552" s="85"/>
      <c r="AE552" s="85"/>
      <c r="AF552" s="85"/>
      <c r="AG552" s="85"/>
    </row>
    <row r="553">
      <c r="A553" s="85"/>
      <c r="B553" s="85"/>
      <c r="C553" s="87"/>
      <c r="D553" s="87"/>
      <c r="E553" s="85"/>
      <c r="F553" s="85"/>
      <c r="G553" s="85"/>
      <c r="H553" s="85"/>
      <c r="I553" s="85"/>
      <c r="J553" s="85"/>
      <c r="K553" s="85"/>
      <c r="L553" s="85"/>
      <c r="M553" s="85"/>
      <c r="N553" s="85"/>
      <c r="O553" s="85"/>
      <c r="P553" s="85"/>
      <c r="Q553" s="85"/>
      <c r="R553" s="85"/>
      <c r="S553" s="85"/>
      <c r="T553" s="85"/>
      <c r="U553" s="85"/>
      <c r="V553" s="85"/>
      <c r="W553" s="85"/>
      <c r="X553" s="85"/>
      <c r="Y553" s="85"/>
      <c r="Z553" s="85"/>
      <c r="AA553" s="85"/>
      <c r="AB553" s="85"/>
      <c r="AC553" s="85"/>
      <c r="AD553" s="85"/>
      <c r="AE553" s="85"/>
      <c r="AF553" s="85"/>
      <c r="AG553" s="85"/>
    </row>
    <row r="554">
      <c r="A554" s="85"/>
      <c r="B554" s="85"/>
      <c r="C554" s="87"/>
      <c r="D554" s="87"/>
      <c r="E554" s="85"/>
      <c r="F554" s="85"/>
      <c r="G554" s="85"/>
      <c r="H554" s="85"/>
      <c r="I554" s="85"/>
      <c r="J554" s="85"/>
      <c r="K554" s="85"/>
      <c r="L554" s="85"/>
      <c r="M554" s="85"/>
      <c r="N554" s="85"/>
      <c r="O554" s="85"/>
      <c r="P554" s="85"/>
      <c r="Q554" s="85"/>
      <c r="R554" s="85"/>
      <c r="S554" s="85"/>
      <c r="T554" s="85"/>
      <c r="U554" s="85"/>
      <c r="V554" s="85"/>
      <c r="W554" s="85"/>
      <c r="X554" s="85"/>
      <c r="Y554" s="85"/>
      <c r="Z554" s="85"/>
      <c r="AA554" s="85"/>
      <c r="AB554" s="85"/>
      <c r="AC554" s="85"/>
      <c r="AD554" s="85"/>
      <c r="AE554" s="85"/>
      <c r="AF554" s="85"/>
      <c r="AG554" s="85"/>
    </row>
    <row r="555">
      <c r="A555" s="85"/>
      <c r="B555" s="85"/>
      <c r="C555" s="87"/>
      <c r="D555" s="87"/>
      <c r="E555" s="85"/>
      <c r="F555" s="85"/>
      <c r="G555" s="85"/>
      <c r="H555" s="85"/>
      <c r="I555" s="85"/>
      <c r="J555" s="85"/>
      <c r="K555" s="85"/>
      <c r="L555" s="85"/>
      <c r="M555" s="85"/>
      <c r="N555" s="85"/>
      <c r="O555" s="85"/>
      <c r="P555" s="85"/>
      <c r="Q555" s="85"/>
      <c r="R555" s="85"/>
      <c r="S555" s="85"/>
      <c r="T555" s="85"/>
      <c r="U555" s="85"/>
      <c r="V555" s="85"/>
      <c r="W555" s="85"/>
      <c r="X555" s="85"/>
      <c r="Y555" s="85"/>
      <c r="Z555" s="85"/>
      <c r="AA555" s="85"/>
      <c r="AB555" s="85"/>
      <c r="AC555" s="85"/>
      <c r="AD555" s="85"/>
      <c r="AE555" s="85"/>
      <c r="AF555" s="85"/>
      <c r="AG555" s="85"/>
    </row>
    <row r="556">
      <c r="A556" s="85"/>
      <c r="B556" s="85"/>
      <c r="C556" s="87"/>
      <c r="D556" s="87"/>
      <c r="E556" s="85"/>
      <c r="F556" s="85"/>
      <c r="G556" s="85"/>
      <c r="H556" s="85"/>
      <c r="I556" s="85"/>
      <c r="J556" s="85"/>
      <c r="K556" s="85"/>
      <c r="L556" s="85"/>
      <c r="M556" s="85"/>
      <c r="N556" s="85"/>
      <c r="O556" s="85"/>
      <c r="P556" s="85"/>
      <c r="Q556" s="85"/>
      <c r="R556" s="85"/>
      <c r="S556" s="85"/>
      <c r="T556" s="85"/>
      <c r="U556" s="85"/>
      <c r="V556" s="85"/>
      <c r="W556" s="85"/>
      <c r="X556" s="85"/>
      <c r="Y556" s="85"/>
      <c r="Z556" s="85"/>
      <c r="AA556" s="85"/>
      <c r="AB556" s="85"/>
      <c r="AC556" s="85"/>
      <c r="AD556" s="85"/>
      <c r="AE556" s="85"/>
      <c r="AF556" s="85"/>
      <c r="AG556" s="85"/>
    </row>
    <row r="557">
      <c r="A557" s="85"/>
      <c r="B557" s="85"/>
      <c r="C557" s="87"/>
      <c r="D557" s="87"/>
      <c r="E557" s="85"/>
      <c r="F557" s="85"/>
      <c r="G557" s="85"/>
      <c r="H557" s="85"/>
      <c r="I557" s="85"/>
      <c r="J557" s="85"/>
      <c r="K557" s="85"/>
      <c r="L557" s="85"/>
      <c r="M557" s="85"/>
      <c r="N557" s="85"/>
      <c r="O557" s="85"/>
      <c r="P557" s="85"/>
      <c r="Q557" s="85"/>
      <c r="R557" s="85"/>
      <c r="S557" s="85"/>
      <c r="T557" s="85"/>
      <c r="U557" s="85"/>
      <c r="V557" s="85"/>
      <c r="W557" s="85"/>
      <c r="X557" s="85"/>
      <c r="Y557" s="85"/>
      <c r="Z557" s="85"/>
      <c r="AA557" s="85"/>
      <c r="AB557" s="85"/>
      <c r="AC557" s="85"/>
      <c r="AD557" s="85"/>
      <c r="AE557" s="85"/>
      <c r="AF557" s="85"/>
      <c r="AG557" s="85"/>
    </row>
    <row r="558">
      <c r="A558" s="85"/>
      <c r="B558" s="85"/>
      <c r="C558" s="87"/>
      <c r="D558" s="87"/>
      <c r="E558" s="85"/>
      <c r="F558" s="85"/>
      <c r="G558" s="85"/>
      <c r="H558" s="85"/>
      <c r="I558" s="85"/>
      <c r="J558" s="85"/>
      <c r="K558" s="85"/>
      <c r="L558" s="85"/>
      <c r="M558" s="85"/>
      <c r="N558" s="85"/>
      <c r="O558" s="85"/>
      <c r="P558" s="85"/>
      <c r="Q558" s="85"/>
      <c r="R558" s="85"/>
      <c r="S558" s="85"/>
      <c r="T558" s="85"/>
      <c r="U558" s="85"/>
      <c r="V558" s="85"/>
      <c r="W558" s="85"/>
      <c r="X558" s="85"/>
      <c r="Y558" s="85"/>
      <c r="Z558" s="85"/>
      <c r="AA558" s="85"/>
      <c r="AB558" s="85"/>
      <c r="AC558" s="85"/>
      <c r="AD558" s="85"/>
      <c r="AE558" s="85"/>
      <c r="AF558" s="85"/>
      <c r="AG558" s="85"/>
    </row>
    <row r="559">
      <c r="A559" s="85"/>
      <c r="B559" s="85"/>
      <c r="C559" s="87"/>
      <c r="D559" s="87"/>
      <c r="E559" s="85"/>
      <c r="F559" s="85"/>
      <c r="G559" s="85"/>
      <c r="H559" s="85"/>
      <c r="I559" s="85"/>
      <c r="J559" s="85"/>
      <c r="K559" s="85"/>
      <c r="L559" s="85"/>
      <c r="M559" s="85"/>
      <c r="N559" s="85"/>
      <c r="O559" s="85"/>
      <c r="P559" s="85"/>
      <c r="Q559" s="85"/>
      <c r="R559" s="85"/>
      <c r="S559" s="85"/>
      <c r="T559" s="85"/>
      <c r="U559" s="85"/>
      <c r="V559" s="85"/>
      <c r="W559" s="85"/>
      <c r="X559" s="85"/>
      <c r="Y559" s="85"/>
      <c r="Z559" s="85"/>
      <c r="AA559" s="85"/>
      <c r="AB559" s="85"/>
      <c r="AC559" s="85"/>
      <c r="AD559" s="85"/>
      <c r="AE559" s="85"/>
      <c r="AF559" s="85"/>
      <c r="AG559" s="85"/>
    </row>
    <row r="560">
      <c r="A560" s="85"/>
      <c r="B560" s="85"/>
      <c r="C560" s="87"/>
      <c r="D560" s="87"/>
      <c r="E560" s="85"/>
      <c r="F560" s="85"/>
      <c r="G560" s="85"/>
      <c r="H560" s="85"/>
      <c r="I560" s="85"/>
      <c r="J560" s="85"/>
      <c r="K560" s="85"/>
      <c r="L560" s="85"/>
      <c r="M560" s="85"/>
      <c r="N560" s="85"/>
      <c r="O560" s="85"/>
      <c r="P560" s="85"/>
      <c r="Q560" s="85"/>
      <c r="R560" s="85"/>
      <c r="S560" s="85"/>
      <c r="T560" s="85"/>
      <c r="U560" s="85"/>
      <c r="V560" s="85"/>
      <c r="W560" s="85"/>
      <c r="X560" s="85"/>
      <c r="Y560" s="85"/>
      <c r="Z560" s="85"/>
      <c r="AA560" s="85"/>
      <c r="AB560" s="85"/>
      <c r="AC560" s="85"/>
      <c r="AD560" s="85"/>
      <c r="AE560" s="85"/>
      <c r="AF560" s="85"/>
      <c r="AG560" s="85"/>
    </row>
    <row r="561">
      <c r="A561" s="85"/>
      <c r="B561" s="85"/>
      <c r="C561" s="87"/>
      <c r="D561" s="87"/>
      <c r="E561" s="85"/>
      <c r="F561" s="85"/>
      <c r="G561" s="85"/>
      <c r="H561" s="85"/>
      <c r="I561" s="85"/>
      <c r="J561" s="85"/>
      <c r="K561" s="85"/>
      <c r="L561" s="85"/>
      <c r="M561" s="85"/>
      <c r="N561" s="85"/>
      <c r="O561" s="85"/>
      <c r="P561" s="85"/>
      <c r="Q561" s="85"/>
      <c r="R561" s="85"/>
      <c r="S561" s="85"/>
      <c r="T561" s="85"/>
      <c r="U561" s="85"/>
      <c r="V561" s="85"/>
      <c r="W561" s="85"/>
      <c r="X561" s="85"/>
      <c r="Y561" s="85"/>
      <c r="Z561" s="85"/>
      <c r="AA561" s="85"/>
      <c r="AB561" s="85"/>
      <c r="AC561" s="85"/>
      <c r="AD561" s="85"/>
      <c r="AE561" s="85"/>
      <c r="AF561" s="85"/>
      <c r="AG561" s="85"/>
    </row>
    <row r="562">
      <c r="A562" s="85"/>
      <c r="B562" s="85"/>
      <c r="C562" s="87"/>
      <c r="D562" s="87"/>
      <c r="E562" s="85"/>
      <c r="F562" s="85"/>
      <c r="G562" s="85"/>
      <c r="H562" s="85"/>
      <c r="I562" s="85"/>
      <c r="J562" s="85"/>
      <c r="K562" s="85"/>
      <c r="L562" s="85"/>
      <c r="M562" s="85"/>
      <c r="N562" s="85"/>
      <c r="O562" s="85"/>
      <c r="P562" s="85"/>
      <c r="Q562" s="85"/>
      <c r="R562" s="85"/>
      <c r="S562" s="85"/>
      <c r="T562" s="85"/>
      <c r="U562" s="85"/>
      <c r="V562" s="85"/>
      <c r="W562" s="85"/>
      <c r="X562" s="85"/>
      <c r="Y562" s="85"/>
      <c r="Z562" s="85"/>
      <c r="AA562" s="85"/>
      <c r="AB562" s="85"/>
      <c r="AC562" s="85"/>
      <c r="AD562" s="85"/>
      <c r="AE562" s="85"/>
      <c r="AF562" s="85"/>
      <c r="AG562" s="85"/>
    </row>
    <row r="563">
      <c r="A563" s="85"/>
      <c r="B563" s="85"/>
      <c r="C563" s="87"/>
      <c r="D563" s="87"/>
      <c r="E563" s="85"/>
      <c r="F563" s="85"/>
      <c r="G563" s="85"/>
      <c r="H563" s="85"/>
      <c r="I563" s="85"/>
      <c r="J563" s="85"/>
      <c r="K563" s="85"/>
      <c r="L563" s="85"/>
      <c r="M563" s="85"/>
      <c r="N563" s="85"/>
      <c r="O563" s="85"/>
      <c r="P563" s="85"/>
      <c r="Q563" s="85"/>
      <c r="R563" s="85"/>
      <c r="S563" s="85"/>
      <c r="T563" s="85"/>
      <c r="U563" s="85"/>
      <c r="V563" s="85"/>
      <c r="W563" s="85"/>
      <c r="X563" s="85"/>
      <c r="Y563" s="85"/>
      <c r="Z563" s="85"/>
      <c r="AA563" s="85"/>
      <c r="AB563" s="85"/>
      <c r="AC563" s="85"/>
      <c r="AD563" s="85"/>
      <c r="AE563" s="85"/>
      <c r="AF563" s="85"/>
      <c r="AG563" s="85"/>
    </row>
    <row r="564">
      <c r="A564" s="85"/>
      <c r="B564" s="85"/>
      <c r="C564" s="87"/>
      <c r="D564" s="87"/>
      <c r="E564" s="85"/>
      <c r="F564" s="85"/>
      <c r="G564" s="85"/>
      <c r="H564" s="85"/>
      <c r="I564" s="85"/>
      <c r="J564" s="85"/>
      <c r="K564" s="85"/>
      <c r="L564" s="85"/>
      <c r="M564" s="85"/>
      <c r="N564" s="85"/>
      <c r="O564" s="85"/>
      <c r="P564" s="85"/>
      <c r="Q564" s="85"/>
      <c r="R564" s="85"/>
      <c r="S564" s="85"/>
      <c r="T564" s="85"/>
      <c r="U564" s="85"/>
      <c r="V564" s="85"/>
      <c r="W564" s="85"/>
      <c r="X564" s="85"/>
      <c r="Y564" s="85"/>
      <c r="Z564" s="85"/>
      <c r="AA564" s="85"/>
      <c r="AB564" s="85"/>
      <c r="AC564" s="85"/>
      <c r="AD564" s="85"/>
      <c r="AE564" s="85"/>
      <c r="AF564" s="85"/>
      <c r="AG564" s="85"/>
    </row>
    <row r="565">
      <c r="A565" s="85"/>
      <c r="B565" s="85"/>
      <c r="C565" s="87"/>
      <c r="D565" s="87"/>
      <c r="E565" s="85"/>
      <c r="F565" s="85"/>
      <c r="G565" s="85"/>
      <c r="H565" s="85"/>
      <c r="I565" s="85"/>
      <c r="J565" s="85"/>
      <c r="K565" s="85"/>
      <c r="L565" s="85"/>
      <c r="M565" s="85"/>
      <c r="N565" s="85"/>
      <c r="O565" s="85"/>
      <c r="P565" s="85"/>
      <c r="Q565" s="85"/>
      <c r="R565" s="85"/>
      <c r="S565" s="85"/>
      <c r="T565" s="85"/>
      <c r="U565" s="85"/>
      <c r="V565" s="85"/>
      <c r="W565" s="85"/>
      <c r="X565" s="85"/>
      <c r="Y565" s="85"/>
      <c r="Z565" s="85"/>
      <c r="AA565" s="85"/>
      <c r="AB565" s="85"/>
      <c r="AC565" s="85"/>
      <c r="AD565" s="85"/>
      <c r="AE565" s="85"/>
      <c r="AF565" s="85"/>
      <c r="AG565" s="85"/>
    </row>
    <row r="566">
      <c r="A566" s="85"/>
      <c r="B566" s="85"/>
      <c r="C566" s="87"/>
      <c r="D566" s="87"/>
      <c r="E566" s="85"/>
      <c r="F566" s="85"/>
      <c r="G566" s="85"/>
      <c r="H566" s="85"/>
      <c r="I566" s="85"/>
      <c r="J566" s="85"/>
      <c r="K566" s="85"/>
      <c r="L566" s="85"/>
      <c r="M566" s="85"/>
      <c r="N566" s="85"/>
      <c r="O566" s="85"/>
      <c r="P566" s="85"/>
      <c r="Q566" s="85"/>
      <c r="R566" s="85"/>
      <c r="S566" s="85"/>
      <c r="T566" s="85"/>
      <c r="U566" s="85"/>
      <c r="V566" s="85"/>
      <c r="W566" s="85"/>
      <c r="X566" s="85"/>
      <c r="Y566" s="85"/>
      <c r="Z566" s="85"/>
      <c r="AA566" s="85"/>
      <c r="AB566" s="85"/>
      <c r="AC566" s="85"/>
      <c r="AD566" s="85"/>
      <c r="AE566" s="85"/>
      <c r="AF566" s="85"/>
      <c r="AG566" s="85"/>
    </row>
    <row r="567">
      <c r="A567" s="85"/>
      <c r="B567" s="85"/>
      <c r="C567" s="87"/>
      <c r="D567" s="87"/>
      <c r="E567" s="85"/>
      <c r="F567" s="85"/>
      <c r="G567" s="85"/>
      <c r="H567" s="85"/>
      <c r="I567" s="85"/>
      <c r="J567" s="85"/>
      <c r="K567" s="85"/>
      <c r="L567" s="85"/>
      <c r="M567" s="85"/>
      <c r="N567" s="85"/>
      <c r="O567" s="85"/>
      <c r="P567" s="85"/>
      <c r="Q567" s="85"/>
      <c r="R567" s="85"/>
      <c r="S567" s="85"/>
      <c r="T567" s="85"/>
      <c r="U567" s="85"/>
      <c r="V567" s="85"/>
      <c r="W567" s="85"/>
      <c r="X567" s="85"/>
      <c r="Y567" s="85"/>
      <c r="Z567" s="85"/>
      <c r="AA567" s="85"/>
      <c r="AB567" s="85"/>
      <c r="AC567" s="85"/>
      <c r="AD567" s="85"/>
      <c r="AE567" s="85"/>
      <c r="AF567" s="85"/>
      <c r="AG567" s="85"/>
    </row>
    <row r="568">
      <c r="A568" s="85"/>
      <c r="B568" s="85"/>
      <c r="C568" s="87"/>
      <c r="D568" s="87"/>
      <c r="E568" s="85"/>
      <c r="F568" s="85"/>
      <c r="G568" s="85"/>
      <c r="H568" s="85"/>
      <c r="I568" s="85"/>
      <c r="J568" s="85"/>
      <c r="K568" s="85"/>
      <c r="L568" s="85"/>
      <c r="M568" s="85"/>
      <c r="N568" s="85"/>
      <c r="O568" s="85"/>
      <c r="P568" s="85"/>
      <c r="Q568" s="85"/>
      <c r="R568" s="85"/>
      <c r="S568" s="85"/>
      <c r="T568" s="85"/>
      <c r="U568" s="85"/>
      <c r="V568" s="85"/>
      <c r="W568" s="85"/>
      <c r="X568" s="85"/>
      <c r="Y568" s="85"/>
      <c r="Z568" s="85"/>
      <c r="AA568" s="85"/>
      <c r="AB568" s="85"/>
      <c r="AC568" s="85"/>
      <c r="AD568" s="85"/>
      <c r="AE568" s="85"/>
      <c r="AF568" s="85"/>
      <c r="AG568" s="85"/>
    </row>
    <row r="569">
      <c r="A569" s="85"/>
      <c r="B569" s="85"/>
      <c r="C569" s="87"/>
      <c r="D569" s="87"/>
      <c r="E569" s="85"/>
      <c r="F569" s="85"/>
      <c r="G569" s="85"/>
      <c r="H569" s="85"/>
      <c r="I569" s="85"/>
      <c r="J569" s="85"/>
      <c r="K569" s="85"/>
      <c r="L569" s="85"/>
      <c r="M569" s="85"/>
      <c r="N569" s="85"/>
      <c r="O569" s="85"/>
      <c r="P569" s="85"/>
      <c r="Q569" s="85"/>
      <c r="R569" s="85"/>
      <c r="S569" s="85"/>
      <c r="T569" s="85"/>
      <c r="U569" s="85"/>
      <c r="V569" s="85"/>
      <c r="W569" s="85"/>
      <c r="X569" s="85"/>
      <c r="Y569" s="85"/>
      <c r="Z569" s="85"/>
      <c r="AA569" s="85"/>
      <c r="AB569" s="85"/>
      <c r="AC569" s="85"/>
      <c r="AD569" s="85"/>
      <c r="AE569" s="85"/>
      <c r="AF569" s="85"/>
      <c r="AG569" s="85"/>
    </row>
    <row r="570">
      <c r="A570" s="85"/>
      <c r="B570" s="85"/>
      <c r="C570" s="87"/>
      <c r="D570" s="87"/>
      <c r="E570" s="85"/>
      <c r="F570" s="85"/>
      <c r="G570" s="85"/>
      <c r="H570" s="85"/>
      <c r="I570" s="85"/>
      <c r="J570" s="85"/>
      <c r="K570" s="85"/>
      <c r="L570" s="85"/>
      <c r="M570" s="85"/>
      <c r="N570" s="85"/>
      <c r="O570" s="85"/>
      <c r="P570" s="85"/>
      <c r="Q570" s="85"/>
      <c r="R570" s="85"/>
      <c r="S570" s="85"/>
      <c r="T570" s="85"/>
      <c r="U570" s="85"/>
      <c r="V570" s="85"/>
      <c r="W570" s="85"/>
      <c r="X570" s="85"/>
      <c r="Y570" s="85"/>
      <c r="Z570" s="85"/>
      <c r="AA570" s="85"/>
      <c r="AB570" s="85"/>
      <c r="AC570" s="85"/>
      <c r="AD570" s="85"/>
      <c r="AE570" s="85"/>
      <c r="AF570" s="85"/>
      <c r="AG570" s="85"/>
    </row>
    <row r="571">
      <c r="A571" s="85"/>
      <c r="B571" s="85"/>
      <c r="C571" s="87"/>
      <c r="D571" s="87"/>
      <c r="E571" s="85"/>
      <c r="F571" s="85"/>
      <c r="G571" s="85"/>
      <c r="H571" s="85"/>
      <c r="I571" s="85"/>
      <c r="J571" s="85"/>
      <c r="K571" s="85"/>
      <c r="L571" s="85"/>
      <c r="M571" s="85"/>
      <c r="N571" s="85"/>
      <c r="O571" s="85"/>
      <c r="P571" s="85"/>
      <c r="Q571" s="85"/>
      <c r="R571" s="85"/>
      <c r="S571" s="85"/>
      <c r="T571" s="85"/>
      <c r="U571" s="85"/>
      <c r="V571" s="85"/>
      <c r="W571" s="85"/>
      <c r="X571" s="85"/>
      <c r="Y571" s="85"/>
      <c r="Z571" s="85"/>
      <c r="AA571" s="85"/>
      <c r="AB571" s="85"/>
      <c r="AC571" s="85"/>
      <c r="AD571" s="85"/>
      <c r="AE571" s="85"/>
      <c r="AF571" s="85"/>
      <c r="AG571" s="85"/>
    </row>
    <row r="572">
      <c r="A572" s="85"/>
      <c r="B572" s="85"/>
      <c r="C572" s="87"/>
      <c r="D572" s="87"/>
      <c r="E572" s="85"/>
      <c r="F572" s="85"/>
      <c r="G572" s="85"/>
      <c r="H572" s="85"/>
      <c r="I572" s="85"/>
      <c r="J572" s="85"/>
      <c r="K572" s="85"/>
      <c r="L572" s="85"/>
      <c r="M572" s="85"/>
      <c r="N572" s="85"/>
      <c r="O572" s="85"/>
      <c r="P572" s="85"/>
      <c r="Q572" s="85"/>
      <c r="R572" s="85"/>
      <c r="S572" s="85"/>
      <c r="T572" s="85"/>
      <c r="U572" s="85"/>
      <c r="V572" s="85"/>
      <c r="W572" s="85"/>
      <c r="X572" s="85"/>
      <c r="Y572" s="85"/>
      <c r="Z572" s="85"/>
      <c r="AA572" s="85"/>
      <c r="AB572" s="85"/>
      <c r="AC572" s="85"/>
      <c r="AD572" s="85"/>
      <c r="AE572" s="85"/>
      <c r="AF572" s="85"/>
      <c r="AG572" s="85"/>
    </row>
    <row r="573">
      <c r="A573" s="85"/>
      <c r="B573" s="85"/>
      <c r="C573" s="87"/>
      <c r="D573" s="87"/>
      <c r="E573" s="85"/>
      <c r="F573" s="85"/>
      <c r="G573" s="85"/>
      <c r="H573" s="85"/>
      <c r="I573" s="85"/>
      <c r="J573" s="85"/>
      <c r="K573" s="85"/>
      <c r="L573" s="85"/>
      <c r="M573" s="85"/>
      <c r="N573" s="85"/>
      <c r="O573" s="85"/>
      <c r="P573" s="85"/>
      <c r="Q573" s="85"/>
      <c r="R573" s="85"/>
      <c r="S573" s="85"/>
      <c r="T573" s="85"/>
      <c r="U573" s="85"/>
      <c r="V573" s="85"/>
      <c r="W573" s="85"/>
      <c r="X573" s="85"/>
      <c r="Y573" s="85"/>
      <c r="Z573" s="85"/>
      <c r="AA573" s="85"/>
      <c r="AB573" s="85"/>
      <c r="AC573" s="85"/>
      <c r="AD573" s="85"/>
      <c r="AE573" s="85"/>
      <c r="AF573" s="85"/>
      <c r="AG573" s="85"/>
    </row>
    <row r="574">
      <c r="A574" s="85"/>
      <c r="B574" s="85"/>
      <c r="C574" s="87"/>
      <c r="D574" s="87"/>
      <c r="E574" s="85"/>
      <c r="F574" s="85"/>
      <c r="G574" s="85"/>
      <c r="H574" s="85"/>
      <c r="I574" s="85"/>
      <c r="J574" s="85"/>
      <c r="K574" s="85"/>
      <c r="L574" s="85"/>
      <c r="M574" s="85"/>
      <c r="N574" s="85"/>
      <c r="O574" s="85"/>
      <c r="P574" s="85"/>
      <c r="Q574" s="85"/>
      <c r="R574" s="85"/>
      <c r="S574" s="85"/>
      <c r="T574" s="85"/>
      <c r="U574" s="85"/>
      <c r="V574" s="85"/>
      <c r="W574" s="85"/>
      <c r="X574" s="85"/>
      <c r="Y574" s="85"/>
      <c r="Z574" s="85"/>
      <c r="AA574" s="85"/>
      <c r="AB574" s="85"/>
      <c r="AC574" s="85"/>
      <c r="AD574" s="85"/>
      <c r="AE574" s="85"/>
      <c r="AF574" s="85"/>
      <c r="AG574" s="85"/>
    </row>
    <row r="575">
      <c r="A575" s="85"/>
      <c r="B575" s="85"/>
      <c r="C575" s="87"/>
      <c r="D575" s="87"/>
      <c r="E575" s="85"/>
      <c r="F575" s="85"/>
      <c r="G575" s="85"/>
      <c r="H575" s="85"/>
      <c r="I575" s="85"/>
      <c r="J575" s="85"/>
      <c r="K575" s="85"/>
      <c r="L575" s="85"/>
      <c r="M575" s="85"/>
      <c r="N575" s="85"/>
      <c r="O575" s="85"/>
      <c r="P575" s="85"/>
      <c r="Q575" s="85"/>
      <c r="R575" s="85"/>
      <c r="S575" s="85"/>
      <c r="T575" s="85"/>
      <c r="U575" s="85"/>
      <c r="V575" s="85"/>
      <c r="W575" s="85"/>
      <c r="X575" s="85"/>
      <c r="Y575" s="85"/>
      <c r="Z575" s="85"/>
      <c r="AA575" s="85"/>
      <c r="AB575" s="85"/>
      <c r="AC575" s="85"/>
      <c r="AD575" s="85"/>
      <c r="AE575" s="85"/>
      <c r="AF575" s="85"/>
      <c r="AG575" s="85"/>
    </row>
    <row r="576">
      <c r="A576" s="85"/>
      <c r="B576" s="85"/>
      <c r="C576" s="87"/>
      <c r="D576" s="87"/>
      <c r="E576" s="85"/>
      <c r="F576" s="85"/>
      <c r="G576" s="85"/>
      <c r="H576" s="85"/>
      <c r="I576" s="85"/>
      <c r="J576" s="85"/>
      <c r="K576" s="85"/>
      <c r="L576" s="85"/>
      <c r="M576" s="85"/>
      <c r="N576" s="85"/>
      <c r="O576" s="85"/>
      <c r="P576" s="85"/>
      <c r="Q576" s="85"/>
      <c r="R576" s="85"/>
      <c r="S576" s="85"/>
      <c r="T576" s="85"/>
      <c r="U576" s="85"/>
      <c r="V576" s="85"/>
      <c r="W576" s="85"/>
      <c r="X576" s="85"/>
      <c r="Y576" s="85"/>
      <c r="Z576" s="85"/>
      <c r="AA576" s="85"/>
      <c r="AB576" s="85"/>
      <c r="AC576" s="85"/>
      <c r="AD576" s="85"/>
      <c r="AE576" s="85"/>
      <c r="AF576" s="85"/>
      <c r="AG576" s="85"/>
    </row>
    <row r="577">
      <c r="A577" s="85"/>
      <c r="B577" s="85"/>
      <c r="C577" s="87"/>
      <c r="D577" s="87"/>
      <c r="E577" s="85"/>
      <c r="F577" s="85"/>
      <c r="G577" s="85"/>
      <c r="H577" s="85"/>
      <c r="I577" s="85"/>
      <c r="J577" s="85"/>
      <c r="K577" s="85"/>
      <c r="L577" s="85"/>
      <c r="M577" s="85"/>
      <c r="N577" s="85"/>
      <c r="O577" s="85"/>
      <c r="P577" s="85"/>
      <c r="Q577" s="85"/>
      <c r="R577" s="85"/>
      <c r="S577" s="85"/>
      <c r="T577" s="85"/>
      <c r="U577" s="85"/>
      <c r="V577" s="85"/>
      <c r="W577" s="85"/>
      <c r="X577" s="85"/>
      <c r="Y577" s="85"/>
      <c r="Z577" s="85"/>
      <c r="AA577" s="85"/>
      <c r="AB577" s="85"/>
      <c r="AC577" s="85"/>
      <c r="AD577" s="85"/>
      <c r="AE577" s="85"/>
      <c r="AF577" s="85"/>
      <c r="AG577" s="85"/>
    </row>
    <row r="578">
      <c r="A578" s="85"/>
      <c r="B578" s="85"/>
      <c r="C578" s="87"/>
      <c r="D578" s="87"/>
      <c r="E578" s="85"/>
      <c r="F578" s="85"/>
      <c r="G578" s="85"/>
      <c r="H578" s="85"/>
      <c r="I578" s="85"/>
      <c r="J578" s="85"/>
      <c r="K578" s="85"/>
      <c r="L578" s="85"/>
      <c r="M578" s="85"/>
      <c r="N578" s="85"/>
      <c r="O578" s="85"/>
      <c r="P578" s="85"/>
      <c r="Q578" s="85"/>
      <c r="R578" s="85"/>
      <c r="S578" s="85"/>
      <c r="T578" s="85"/>
      <c r="U578" s="85"/>
      <c r="V578" s="85"/>
      <c r="W578" s="85"/>
      <c r="X578" s="85"/>
      <c r="Y578" s="85"/>
      <c r="Z578" s="85"/>
      <c r="AA578" s="85"/>
      <c r="AB578" s="85"/>
      <c r="AC578" s="85"/>
      <c r="AD578" s="85"/>
      <c r="AE578" s="85"/>
      <c r="AF578" s="85"/>
      <c r="AG578" s="85"/>
    </row>
    <row r="579">
      <c r="A579" s="85"/>
      <c r="B579" s="85"/>
      <c r="C579" s="87"/>
      <c r="D579" s="87"/>
      <c r="E579" s="85"/>
      <c r="F579" s="85"/>
      <c r="G579" s="85"/>
      <c r="H579" s="85"/>
      <c r="I579" s="85"/>
      <c r="J579" s="85"/>
      <c r="K579" s="85"/>
      <c r="L579" s="85"/>
      <c r="M579" s="85"/>
      <c r="N579" s="85"/>
      <c r="O579" s="85"/>
      <c r="P579" s="85"/>
      <c r="Q579" s="85"/>
      <c r="R579" s="85"/>
      <c r="S579" s="85"/>
      <c r="T579" s="85"/>
      <c r="U579" s="85"/>
      <c r="V579" s="85"/>
      <c r="W579" s="85"/>
      <c r="X579" s="85"/>
      <c r="Y579" s="85"/>
      <c r="Z579" s="85"/>
      <c r="AA579" s="85"/>
      <c r="AB579" s="85"/>
      <c r="AC579" s="85"/>
      <c r="AD579" s="85"/>
      <c r="AE579" s="85"/>
      <c r="AF579" s="85"/>
      <c r="AG579" s="85"/>
    </row>
    <row r="580">
      <c r="A580" s="85"/>
      <c r="B580" s="85"/>
      <c r="C580" s="87"/>
      <c r="D580" s="87"/>
      <c r="E580" s="85"/>
      <c r="F580" s="85"/>
      <c r="G580" s="85"/>
      <c r="H580" s="85"/>
      <c r="I580" s="85"/>
      <c r="J580" s="85"/>
      <c r="K580" s="85"/>
      <c r="L580" s="85"/>
      <c r="M580" s="85"/>
      <c r="N580" s="85"/>
      <c r="O580" s="85"/>
      <c r="P580" s="85"/>
      <c r="Q580" s="85"/>
      <c r="R580" s="85"/>
      <c r="S580" s="85"/>
      <c r="T580" s="85"/>
      <c r="U580" s="85"/>
      <c r="V580" s="85"/>
      <c r="W580" s="85"/>
      <c r="X580" s="85"/>
      <c r="Y580" s="85"/>
      <c r="Z580" s="85"/>
      <c r="AA580" s="85"/>
      <c r="AB580" s="85"/>
      <c r="AC580" s="85"/>
      <c r="AD580" s="85"/>
      <c r="AE580" s="85"/>
      <c r="AF580" s="85"/>
      <c r="AG580" s="85"/>
    </row>
    <row r="581">
      <c r="A581" s="85"/>
      <c r="B581" s="85"/>
      <c r="C581" s="87"/>
      <c r="D581" s="87"/>
      <c r="E581" s="85"/>
      <c r="F581" s="85"/>
      <c r="G581" s="85"/>
      <c r="H581" s="85"/>
      <c r="I581" s="85"/>
      <c r="J581" s="85"/>
      <c r="K581" s="85"/>
      <c r="L581" s="85"/>
      <c r="M581" s="85"/>
      <c r="N581" s="85"/>
      <c r="O581" s="85"/>
      <c r="P581" s="85"/>
      <c r="Q581" s="85"/>
      <c r="R581" s="85"/>
      <c r="S581" s="85"/>
      <c r="T581" s="85"/>
      <c r="U581" s="85"/>
      <c r="V581" s="85"/>
      <c r="W581" s="85"/>
      <c r="X581" s="85"/>
      <c r="Y581" s="85"/>
      <c r="Z581" s="85"/>
      <c r="AA581" s="85"/>
      <c r="AB581" s="85"/>
      <c r="AC581" s="85"/>
      <c r="AD581" s="85"/>
      <c r="AE581" s="85"/>
      <c r="AF581" s="85"/>
      <c r="AG581" s="85"/>
    </row>
    <row r="582">
      <c r="A582" s="85"/>
      <c r="B582" s="85"/>
      <c r="C582" s="87"/>
      <c r="D582" s="87"/>
      <c r="E582" s="85"/>
      <c r="F582" s="85"/>
      <c r="G582" s="85"/>
      <c r="H582" s="85"/>
      <c r="I582" s="85"/>
      <c r="J582" s="85"/>
      <c r="K582" s="85"/>
      <c r="L582" s="85"/>
      <c r="M582" s="85"/>
      <c r="N582" s="85"/>
      <c r="O582" s="85"/>
      <c r="P582" s="85"/>
      <c r="Q582" s="85"/>
      <c r="R582" s="85"/>
      <c r="S582" s="85"/>
      <c r="T582" s="85"/>
      <c r="U582" s="85"/>
      <c r="V582" s="85"/>
      <c r="W582" s="85"/>
      <c r="X582" s="85"/>
      <c r="Y582" s="85"/>
      <c r="Z582" s="85"/>
      <c r="AA582" s="85"/>
      <c r="AB582" s="85"/>
      <c r="AC582" s="85"/>
      <c r="AD582" s="85"/>
      <c r="AE582" s="85"/>
      <c r="AF582" s="85"/>
      <c r="AG582" s="85"/>
    </row>
    <row r="583">
      <c r="A583" s="85"/>
      <c r="B583" s="85"/>
      <c r="C583" s="87"/>
      <c r="D583" s="87"/>
      <c r="E583" s="85"/>
      <c r="F583" s="85"/>
      <c r="G583" s="85"/>
      <c r="H583" s="85"/>
      <c r="I583" s="85"/>
      <c r="J583" s="85"/>
      <c r="K583" s="85"/>
      <c r="L583" s="85"/>
      <c r="M583" s="85"/>
      <c r="N583" s="85"/>
      <c r="O583" s="85"/>
      <c r="P583" s="85"/>
      <c r="Q583" s="85"/>
      <c r="R583" s="85"/>
      <c r="S583" s="85"/>
      <c r="T583" s="85"/>
      <c r="U583" s="85"/>
      <c r="V583" s="85"/>
      <c r="W583" s="85"/>
      <c r="X583" s="85"/>
      <c r="Y583" s="85"/>
      <c r="Z583" s="85"/>
      <c r="AA583" s="85"/>
      <c r="AB583" s="85"/>
      <c r="AC583" s="85"/>
      <c r="AD583" s="85"/>
      <c r="AE583" s="85"/>
      <c r="AF583" s="85"/>
      <c r="AG583" s="85"/>
    </row>
    <row r="584">
      <c r="A584" s="85"/>
      <c r="B584" s="85"/>
      <c r="C584" s="87"/>
      <c r="D584" s="87"/>
      <c r="E584" s="85"/>
      <c r="F584" s="85"/>
      <c r="G584" s="85"/>
      <c r="H584" s="85"/>
      <c r="I584" s="85"/>
      <c r="J584" s="85"/>
      <c r="K584" s="85"/>
      <c r="L584" s="85"/>
      <c r="M584" s="85"/>
      <c r="N584" s="85"/>
      <c r="O584" s="85"/>
      <c r="P584" s="85"/>
      <c r="Q584" s="85"/>
      <c r="R584" s="85"/>
      <c r="S584" s="85"/>
      <c r="T584" s="85"/>
      <c r="U584" s="85"/>
      <c r="V584" s="85"/>
      <c r="W584" s="85"/>
      <c r="X584" s="85"/>
      <c r="Y584" s="85"/>
      <c r="Z584" s="85"/>
      <c r="AA584" s="85"/>
      <c r="AB584" s="85"/>
      <c r="AC584" s="85"/>
      <c r="AD584" s="85"/>
      <c r="AE584" s="85"/>
      <c r="AF584" s="85"/>
      <c r="AG584" s="85"/>
    </row>
    <row r="585">
      <c r="A585" s="85"/>
      <c r="B585" s="85"/>
      <c r="C585" s="87"/>
      <c r="D585" s="87"/>
      <c r="E585" s="85"/>
      <c r="F585" s="85"/>
      <c r="G585" s="85"/>
      <c r="H585" s="85"/>
      <c r="I585" s="85"/>
      <c r="J585" s="85"/>
      <c r="K585" s="85"/>
      <c r="L585" s="85"/>
      <c r="M585" s="85"/>
      <c r="N585" s="85"/>
      <c r="O585" s="85"/>
      <c r="P585" s="85"/>
      <c r="Q585" s="85"/>
      <c r="R585" s="85"/>
      <c r="S585" s="85"/>
      <c r="T585" s="85"/>
      <c r="U585" s="85"/>
      <c r="V585" s="85"/>
      <c r="W585" s="85"/>
      <c r="X585" s="85"/>
      <c r="Y585" s="85"/>
      <c r="Z585" s="85"/>
      <c r="AA585" s="85"/>
      <c r="AB585" s="85"/>
      <c r="AC585" s="85"/>
      <c r="AD585" s="85"/>
      <c r="AE585" s="85"/>
      <c r="AF585" s="85"/>
      <c r="AG585" s="85"/>
    </row>
    <row r="586">
      <c r="A586" s="85"/>
      <c r="B586" s="85"/>
      <c r="C586" s="87"/>
      <c r="D586" s="87"/>
      <c r="E586" s="85"/>
      <c r="F586" s="85"/>
      <c r="G586" s="85"/>
      <c r="H586" s="85"/>
      <c r="I586" s="85"/>
      <c r="J586" s="85"/>
      <c r="K586" s="85"/>
      <c r="L586" s="85"/>
      <c r="M586" s="85"/>
      <c r="N586" s="85"/>
      <c r="O586" s="85"/>
      <c r="P586" s="85"/>
      <c r="Q586" s="85"/>
      <c r="R586" s="85"/>
      <c r="S586" s="85"/>
      <c r="T586" s="85"/>
      <c r="U586" s="85"/>
      <c r="V586" s="85"/>
      <c r="W586" s="85"/>
      <c r="X586" s="85"/>
      <c r="Y586" s="85"/>
      <c r="Z586" s="85"/>
      <c r="AA586" s="85"/>
      <c r="AB586" s="85"/>
      <c r="AC586" s="85"/>
      <c r="AD586" s="85"/>
      <c r="AE586" s="85"/>
      <c r="AF586" s="85"/>
      <c r="AG586" s="85"/>
    </row>
    <row r="587">
      <c r="A587" s="85"/>
      <c r="B587" s="85"/>
      <c r="C587" s="87"/>
      <c r="D587" s="87"/>
      <c r="E587" s="85"/>
      <c r="F587" s="85"/>
      <c r="G587" s="85"/>
      <c r="H587" s="85"/>
      <c r="I587" s="85"/>
      <c r="J587" s="85"/>
      <c r="K587" s="85"/>
      <c r="L587" s="85"/>
      <c r="M587" s="85"/>
      <c r="N587" s="85"/>
      <c r="O587" s="85"/>
      <c r="P587" s="85"/>
      <c r="Q587" s="85"/>
      <c r="R587" s="85"/>
      <c r="S587" s="85"/>
      <c r="T587" s="85"/>
      <c r="U587" s="85"/>
      <c r="V587" s="85"/>
      <c r="W587" s="85"/>
      <c r="X587" s="85"/>
      <c r="Y587" s="85"/>
      <c r="Z587" s="85"/>
      <c r="AA587" s="85"/>
      <c r="AB587" s="85"/>
      <c r="AC587" s="85"/>
      <c r="AD587" s="85"/>
      <c r="AE587" s="85"/>
      <c r="AF587" s="85"/>
      <c r="AG587" s="85"/>
    </row>
    <row r="588">
      <c r="A588" s="85"/>
      <c r="B588" s="85"/>
      <c r="C588" s="87"/>
      <c r="D588" s="87"/>
      <c r="E588" s="85"/>
      <c r="F588" s="85"/>
      <c r="G588" s="85"/>
      <c r="H588" s="85"/>
      <c r="I588" s="85"/>
      <c r="J588" s="85"/>
      <c r="K588" s="85"/>
      <c r="L588" s="85"/>
      <c r="M588" s="85"/>
      <c r="N588" s="85"/>
      <c r="O588" s="85"/>
      <c r="P588" s="85"/>
      <c r="Q588" s="85"/>
      <c r="R588" s="85"/>
      <c r="S588" s="85"/>
      <c r="T588" s="85"/>
      <c r="U588" s="85"/>
      <c r="V588" s="85"/>
      <c r="W588" s="85"/>
      <c r="X588" s="85"/>
      <c r="Y588" s="85"/>
      <c r="Z588" s="85"/>
      <c r="AA588" s="85"/>
      <c r="AB588" s="85"/>
      <c r="AC588" s="85"/>
      <c r="AD588" s="85"/>
      <c r="AE588" s="85"/>
      <c r="AF588" s="85"/>
      <c r="AG588" s="85"/>
    </row>
    <row r="589">
      <c r="A589" s="85"/>
      <c r="B589" s="85"/>
      <c r="C589" s="87"/>
      <c r="D589" s="87"/>
      <c r="E589" s="85"/>
      <c r="F589" s="85"/>
      <c r="G589" s="85"/>
      <c r="H589" s="85"/>
      <c r="I589" s="85"/>
      <c r="J589" s="85"/>
      <c r="K589" s="85"/>
      <c r="L589" s="85"/>
      <c r="M589" s="85"/>
      <c r="N589" s="85"/>
      <c r="O589" s="85"/>
      <c r="P589" s="85"/>
      <c r="Q589" s="85"/>
      <c r="R589" s="85"/>
      <c r="S589" s="85"/>
      <c r="T589" s="85"/>
      <c r="U589" s="85"/>
      <c r="V589" s="85"/>
      <c r="W589" s="85"/>
      <c r="X589" s="85"/>
      <c r="Y589" s="85"/>
      <c r="Z589" s="85"/>
      <c r="AA589" s="85"/>
      <c r="AB589" s="85"/>
      <c r="AC589" s="85"/>
      <c r="AD589" s="85"/>
      <c r="AE589" s="85"/>
      <c r="AF589" s="85"/>
      <c r="AG589" s="85"/>
    </row>
    <row r="590">
      <c r="A590" s="85"/>
      <c r="B590" s="85"/>
      <c r="C590" s="87"/>
      <c r="D590" s="87"/>
      <c r="E590" s="85"/>
      <c r="F590" s="85"/>
      <c r="G590" s="85"/>
      <c r="H590" s="85"/>
      <c r="I590" s="85"/>
      <c r="J590" s="85"/>
      <c r="K590" s="85"/>
      <c r="L590" s="85"/>
      <c r="M590" s="85"/>
      <c r="N590" s="85"/>
      <c r="O590" s="85"/>
      <c r="P590" s="85"/>
      <c r="Q590" s="85"/>
      <c r="R590" s="85"/>
      <c r="S590" s="85"/>
      <c r="T590" s="85"/>
      <c r="U590" s="85"/>
      <c r="V590" s="85"/>
      <c r="W590" s="85"/>
      <c r="X590" s="85"/>
      <c r="Y590" s="85"/>
      <c r="Z590" s="85"/>
      <c r="AA590" s="85"/>
      <c r="AB590" s="85"/>
      <c r="AC590" s="85"/>
      <c r="AD590" s="85"/>
      <c r="AE590" s="85"/>
      <c r="AF590" s="85"/>
      <c r="AG590" s="85"/>
    </row>
    <row r="591">
      <c r="A591" s="85"/>
      <c r="B591" s="85"/>
      <c r="C591" s="87"/>
      <c r="D591" s="87"/>
      <c r="E591" s="85"/>
      <c r="F591" s="85"/>
      <c r="G591" s="85"/>
      <c r="H591" s="85"/>
      <c r="I591" s="85"/>
      <c r="J591" s="85"/>
      <c r="K591" s="85"/>
      <c r="L591" s="85"/>
      <c r="M591" s="85"/>
      <c r="N591" s="85"/>
      <c r="O591" s="85"/>
      <c r="P591" s="85"/>
      <c r="Q591" s="85"/>
      <c r="R591" s="85"/>
      <c r="S591" s="85"/>
      <c r="T591" s="85"/>
      <c r="U591" s="85"/>
      <c r="V591" s="85"/>
      <c r="W591" s="85"/>
      <c r="X591" s="85"/>
      <c r="Y591" s="85"/>
      <c r="Z591" s="85"/>
      <c r="AA591" s="85"/>
      <c r="AB591" s="85"/>
      <c r="AC591" s="85"/>
      <c r="AD591" s="85"/>
      <c r="AE591" s="85"/>
      <c r="AF591" s="85"/>
      <c r="AG591" s="85"/>
    </row>
    <row r="592">
      <c r="A592" s="85"/>
      <c r="B592" s="85"/>
      <c r="C592" s="87"/>
      <c r="D592" s="87"/>
      <c r="E592" s="85"/>
      <c r="F592" s="85"/>
      <c r="G592" s="85"/>
      <c r="H592" s="85"/>
      <c r="I592" s="85"/>
      <c r="J592" s="85"/>
      <c r="K592" s="85"/>
      <c r="L592" s="85"/>
      <c r="M592" s="85"/>
      <c r="N592" s="85"/>
      <c r="O592" s="85"/>
      <c r="P592" s="85"/>
      <c r="Q592" s="85"/>
      <c r="R592" s="85"/>
      <c r="S592" s="85"/>
      <c r="T592" s="85"/>
      <c r="U592" s="85"/>
      <c r="V592" s="85"/>
      <c r="W592" s="85"/>
      <c r="X592" s="85"/>
      <c r="Y592" s="85"/>
      <c r="Z592" s="85"/>
      <c r="AA592" s="85"/>
      <c r="AB592" s="85"/>
      <c r="AC592" s="85"/>
      <c r="AD592" s="85"/>
      <c r="AE592" s="85"/>
      <c r="AF592" s="85"/>
      <c r="AG592" s="85"/>
    </row>
    <row r="593">
      <c r="A593" s="85"/>
      <c r="B593" s="85"/>
      <c r="C593" s="87"/>
      <c r="D593" s="87"/>
      <c r="E593" s="85"/>
      <c r="F593" s="85"/>
      <c r="G593" s="85"/>
      <c r="H593" s="85"/>
      <c r="I593" s="85"/>
      <c r="J593" s="85"/>
      <c r="K593" s="85"/>
      <c r="L593" s="85"/>
      <c r="M593" s="85"/>
      <c r="N593" s="85"/>
      <c r="O593" s="85"/>
      <c r="P593" s="85"/>
      <c r="Q593" s="85"/>
      <c r="R593" s="85"/>
      <c r="S593" s="85"/>
      <c r="T593" s="85"/>
      <c r="U593" s="85"/>
      <c r="V593" s="85"/>
      <c r="W593" s="85"/>
      <c r="X593" s="85"/>
      <c r="Y593" s="85"/>
      <c r="Z593" s="85"/>
      <c r="AA593" s="85"/>
      <c r="AB593" s="85"/>
      <c r="AC593" s="85"/>
      <c r="AD593" s="85"/>
      <c r="AE593" s="85"/>
      <c r="AF593" s="85"/>
      <c r="AG593" s="85"/>
    </row>
    <row r="594">
      <c r="A594" s="85"/>
      <c r="B594" s="85"/>
      <c r="C594" s="87"/>
      <c r="D594" s="87"/>
      <c r="E594" s="85"/>
      <c r="F594" s="85"/>
      <c r="G594" s="85"/>
      <c r="H594" s="85"/>
      <c r="I594" s="85"/>
      <c r="J594" s="85"/>
      <c r="K594" s="85"/>
      <c r="L594" s="85"/>
      <c r="M594" s="85"/>
      <c r="N594" s="85"/>
      <c r="O594" s="85"/>
      <c r="P594" s="85"/>
      <c r="Q594" s="85"/>
      <c r="R594" s="85"/>
      <c r="S594" s="85"/>
      <c r="T594" s="85"/>
      <c r="U594" s="85"/>
      <c r="V594" s="85"/>
      <c r="W594" s="85"/>
      <c r="X594" s="85"/>
      <c r="Y594" s="85"/>
      <c r="Z594" s="85"/>
      <c r="AA594" s="85"/>
      <c r="AB594" s="85"/>
      <c r="AC594" s="85"/>
      <c r="AD594" s="85"/>
      <c r="AE594" s="85"/>
      <c r="AF594" s="85"/>
      <c r="AG594" s="85"/>
    </row>
    <row r="595">
      <c r="A595" s="85"/>
      <c r="B595" s="85"/>
      <c r="C595" s="87"/>
      <c r="D595" s="87"/>
      <c r="E595" s="85"/>
      <c r="F595" s="85"/>
      <c r="G595" s="85"/>
      <c r="H595" s="85"/>
      <c r="I595" s="85"/>
      <c r="J595" s="85"/>
      <c r="K595" s="85"/>
      <c r="L595" s="85"/>
      <c r="M595" s="85"/>
      <c r="N595" s="85"/>
      <c r="O595" s="85"/>
      <c r="P595" s="85"/>
      <c r="Q595" s="85"/>
      <c r="R595" s="85"/>
      <c r="S595" s="85"/>
      <c r="T595" s="85"/>
      <c r="U595" s="85"/>
      <c r="V595" s="85"/>
      <c r="W595" s="85"/>
      <c r="X595" s="85"/>
      <c r="Y595" s="85"/>
      <c r="Z595" s="85"/>
      <c r="AA595" s="85"/>
      <c r="AB595" s="85"/>
      <c r="AC595" s="85"/>
      <c r="AD595" s="85"/>
      <c r="AE595" s="85"/>
      <c r="AF595" s="85"/>
      <c r="AG595" s="85"/>
    </row>
    <row r="596">
      <c r="A596" s="85"/>
      <c r="B596" s="85"/>
      <c r="C596" s="87"/>
      <c r="D596" s="87"/>
      <c r="E596" s="85"/>
      <c r="F596" s="85"/>
      <c r="G596" s="85"/>
      <c r="H596" s="85"/>
      <c r="I596" s="85"/>
      <c r="J596" s="85"/>
      <c r="K596" s="85"/>
      <c r="L596" s="85"/>
      <c r="M596" s="85"/>
      <c r="N596" s="85"/>
      <c r="O596" s="85"/>
      <c r="P596" s="85"/>
      <c r="Q596" s="85"/>
      <c r="R596" s="85"/>
      <c r="S596" s="85"/>
      <c r="T596" s="85"/>
      <c r="U596" s="85"/>
      <c r="V596" s="85"/>
      <c r="W596" s="85"/>
      <c r="X596" s="85"/>
      <c r="Y596" s="85"/>
      <c r="Z596" s="85"/>
      <c r="AA596" s="85"/>
      <c r="AB596" s="85"/>
      <c r="AC596" s="85"/>
      <c r="AD596" s="85"/>
      <c r="AE596" s="85"/>
      <c r="AF596" s="85"/>
      <c r="AG596" s="85"/>
    </row>
    <row r="597">
      <c r="A597" s="85"/>
      <c r="B597" s="85"/>
      <c r="C597" s="87"/>
      <c r="D597" s="87"/>
      <c r="E597" s="85"/>
      <c r="F597" s="85"/>
      <c r="G597" s="85"/>
      <c r="H597" s="85"/>
      <c r="I597" s="85"/>
      <c r="J597" s="85"/>
      <c r="K597" s="85"/>
      <c r="L597" s="85"/>
      <c r="M597" s="85"/>
      <c r="N597" s="85"/>
      <c r="O597" s="85"/>
      <c r="P597" s="85"/>
      <c r="Q597" s="85"/>
      <c r="R597" s="85"/>
      <c r="S597" s="85"/>
      <c r="T597" s="85"/>
      <c r="U597" s="85"/>
      <c r="V597" s="85"/>
      <c r="W597" s="85"/>
      <c r="X597" s="85"/>
      <c r="Y597" s="85"/>
      <c r="Z597" s="85"/>
      <c r="AA597" s="85"/>
      <c r="AB597" s="85"/>
      <c r="AC597" s="85"/>
      <c r="AD597" s="85"/>
      <c r="AE597" s="85"/>
      <c r="AF597" s="85"/>
      <c r="AG597" s="85"/>
    </row>
    <row r="598">
      <c r="A598" s="85"/>
      <c r="B598" s="85"/>
      <c r="C598" s="87"/>
      <c r="D598" s="87"/>
      <c r="E598" s="85"/>
      <c r="F598" s="85"/>
      <c r="G598" s="85"/>
      <c r="H598" s="85"/>
      <c r="I598" s="85"/>
      <c r="J598" s="85"/>
      <c r="K598" s="85"/>
      <c r="L598" s="85"/>
      <c r="M598" s="85"/>
      <c r="N598" s="85"/>
      <c r="O598" s="85"/>
      <c r="P598" s="85"/>
      <c r="Q598" s="85"/>
      <c r="R598" s="85"/>
      <c r="S598" s="85"/>
      <c r="T598" s="85"/>
      <c r="U598" s="85"/>
      <c r="V598" s="85"/>
      <c r="W598" s="85"/>
      <c r="X598" s="85"/>
      <c r="Y598" s="85"/>
      <c r="Z598" s="85"/>
      <c r="AA598" s="85"/>
      <c r="AB598" s="85"/>
      <c r="AC598" s="85"/>
      <c r="AD598" s="85"/>
      <c r="AE598" s="85"/>
      <c r="AF598" s="85"/>
      <c r="AG598" s="85"/>
    </row>
    <row r="599">
      <c r="A599" s="85"/>
      <c r="B599" s="85"/>
      <c r="C599" s="87"/>
      <c r="D599" s="87"/>
      <c r="E599" s="85"/>
      <c r="F599" s="85"/>
      <c r="G599" s="85"/>
      <c r="H599" s="85"/>
      <c r="I599" s="85"/>
      <c r="J599" s="85"/>
      <c r="K599" s="85"/>
      <c r="L599" s="85"/>
      <c r="M599" s="85"/>
      <c r="N599" s="85"/>
      <c r="O599" s="85"/>
      <c r="P599" s="85"/>
      <c r="Q599" s="85"/>
      <c r="R599" s="85"/>
      <c r="S599" s="85"/>
      <c r="T599" s="85"/>
      <c r="U599" s="85"/>
      <c r="V599" s="85"/>
      <c r="W599" s="85"/>
      <c r="X599" s="85"/>
      <c r="Y599" s="85"/>
      <c r="Z599" s="85"/>
      <c r="AA599" s="85"/>
      <c r="AB599" s="85"/>
      <c r="AC599" s="85"/>
      <c r="AD599" s="85"/>
      <c r="AE599" s="85"/>
      <c r="AF599" s="85"/>
      <c r="AG599" s="85"/>
    </row>
    <row r="600">
      <c r="A600" s="85"/>
      <c r="B600" s="85"/>
      <c r="C600" s="87"/>
      <c r="D600" s="87"/>
      <c r="E600" s="85"/>
      <c r="F600" s="85"/>
      <c r="G600" s="85"/>
      <c r="H600" s="85"/>
      <c r="I600" s="85"/>
      <c r="J600" s="85"/>
      <c r="K600" s="85"/>
      <c r="L600" s="85"/>
      <c r="M600" s="85"/>
      <c r="N600" s="85"/>
      <c r="O600" s="85"/>
      <c r="P600" s="85"/>
      <c r="Q600" s="85"/>
      <c r="R600" s="85"/>
      <c r="S600" s="85"/>
      <c r="T600" s="85"/>
      <c r="U600" s="85"/>
      <c r="V600" s="85"/>
      <c r="W600" s="85"/>
      <c r="X600" s="85"/>
      <c r="Y600" s="85"/>
      <c r="Z600" s="85"/>
      <c r="AA600" s="85"/>
      <c r="AB600" s="85"/>
      <c r="AC600" s="85"/>
      <c r="AD600" s="85"/>
      <c r="AE600" s="85"/>
      <c r="AF600" s="85"/>
      <c r="AG600" s="85"/>
    </row>
    <row r="601">
      <c r="A601" s="85"/>
      <c r="B601" s="85"/>
      <c r="C601" s="87"/>
      <c r="D601" s="87"/>
      <c r="E601" s="85"/>
      <c r="F601" s="85"/>
      <c r="G601" s="85"/>
      <c r="H601" s="85"/>
      <c r="I601" s="85"/>
      <c r="J601" s="85"/>
      <c r="K601" s="85"/>
      <c r="L601" s="85"/>
      <c r="M601" s="85"/>
      <c r="N601" s="85"/>
      <c r="O601" s="85"/>
      <c r="P601" s="85"/>
      <c r="Q601" s="85"/>
      <c r="R601" s="85"/>
      <c r="S601" s="85"/>
      <c r="T601" s="85"/>
      <c r="U601" s="85"/>
      <c r="V601" s="85"/>
      <c r="W601" s="85"/>
      <c r="X601" s="85"/>
      <c r="Y601" s="85"/>
      <c r="Z601" s="85"/>
      <c r="AA601" s="85"/>
      <c r="AB601" s="85"/>
      <c r="AC601" s="85"/>
      <c r="AD601" s="85"/>
      <c r="AE601" s="85"/>
      <c r="AF601" s="85"/>
      <c r="AG601" s="85"/>
    </row>
    <row r="602">
      <c r="A602" s="85"/>
      <c r="B602" s="85"/>
      <c r="C602" s="87"/>
      <c r="D602" s="87"/>
      <c r="E602" s="85"/>
      <c r="F602" s="85"/>
      <c r="G602" s="85"/>
      <c r="H602" s="85"/>
      <c r="I602" s="85"/>
      <c r="J602" s="85"/>
      <c r="K602" s="85"/>
      <c r="L602" s="85"/>
      <c r="M602" s="85"/>
      <c r="N602" s="85"/>
      <c r="O602" s="85"/>
      <c r="P602" s="85"/>
      <c r="Q602" s="85"/>
      <c r="R602" s="85"/>
      <c r="S602" s="85"/>
      <c r="T602" s="85"/>
      <c r="U602" s="85"/>
      <c r="V602" s="85"/>
      <c r="W602" s="85"/>
      <c r="X602" s="85"/>
      <c r="Y602" s="85"/>
      <c r="Z602" s="85"/>
      <c r="AA602" s="85"/>
      <c r="AB602" s="85"/>
      <c r="AC602" s="85"/>
      <c r="AD602" s="85"/>
      <c r="AE602" s="85"/>
      <c r="AF602" s="85"/>
      <c r="AG602" s="85"/>
    </row>
    <row r="603">
      <c r="A603" s="85"/>
      <c r="B603" s="85"/>
      <c r="C603" s="87"/>
      <c r="D603" s="87"/>
      <c r="E603" s="85"/>
      <c r="F603" s="85"/>
      <c r="G603" s="85"/>
      <c r="H603" s="85"/>
      <c r="I603" s="85"/>
      <c r="J603" s="85"/>
      <c r="K603" s="85"/>
      <c r="L603" s="85"/>
      <c r="M603" s="85"/>
      <c r="N603" s="85"/>
      <c r="O603" s="85"/>
      <c r="P603" s="85"/>
      <c r="Q603" s="85"/>
      <c r="R603" s="85"/>
      <c r="S603" s="85"/>
      <c r="T603" s="85"/>
      <c r="U603" s="85"/>
      <c r="V603" s="85"/>
      <c r="W603" s="85"/>
      <c r="X603" s="85"/>
      <c r="Y603" s="85"/>
      <c r="Z603" s="85"/>
      <c r="AA603" s="85"/>
      <c r="AB603" s="85"/>
      <c r="AC603" s="85"/>
      <c r="AD603" s="85"/>
      <c r="AE603" s="85"/>
      <c r="AF603" s="85"/>
      <c r="AG603" s="85"/>
    </row>
    <row r="604">
      <c r="A604" s="85"/>
      <c r="B604" s="85"/>
      <c r="C604" s="87"/>
      <c r="D604" s="87"/>
      <c r="E604" s="85"/>
      <c r="F604" s="85"/>
      <c r="G604" s="85"/>
      <c r="H604" s="85"/>
      <c r="I604" s="85"/>
      <c r="J604" s="85"/>
      <c r="K604" s="85"/>
      <c r="L604" s="85"/>
      <c r="M604" s="85"/>
      <c r="N604" s="85"/>
      <c r="O604" s="85"/>
      <c r="P604" s="85"/>
      <c r="Q604" s="85"/>
      <c r="R604" s="85"/>
      <c r="S604" s="85"/>
      <c r="T604" s="85"/>
      <c r="U604" s="85"/>
      <c r="V604" s="85"/>
      <c r="W604" s="85"/>
      <c r="X604" s="85"/>
      <c r="Y604" s="85"/>
      <c r="Z604" s="85"/>
      <c r="AA604" s="85"/>
      <c r="AB604" s="85"/>
      <c r="AC604" s="85"/>
      <c r="AD604" s="85"/>
      <c r="AE604" s="85"/>
      <c r="AF604" s="85"/>
      <c r="AG604" s="85"/>
    </row>
    <row r="605">
      <c r="A605" s="85"/>
      <c r="B605" s="85"/>
      <c r="C605" s="87"/>
      <c r="D605" s="87"/>
      <c r="E605" s="85"/>
      <c r="F605" s="85"/>
      <c r="G605" s="85"/>
      <c r="H605" s="85"/>
      <c r="I605" s="85"/>
      <c r="J605" s="85"/>
      <c r="K605" s="85"/>
      <c r="L605" s="85"/>
      <c r="M605" s="85"/>
      <c r="N605" s="85"/>
      <c r="O605" s="85"/>
      <c r="P605" s="85"/>
      <c r="Q605" s="85"/>
      <c r="R605" s="85"/>
      <c r="S605" s="85"/>
      <c r="T605" s="85"/>
      <c r="U605" s="85"/>
      <c r="V605" s="85"/>
      <c r="W605" s="85"/>
      <c r="X605" s="85"/>
      <c r="Y605" s="85"/>
      <c r="Z605" s="85"/>
      <c r="AA605" s="85"/>
      <c r="AB605" s="85"/>
      <c r="AC605" s="85"/>
      <c r="AD605" s="85"/>
      <c r="AE605" s="85"/>
      <c r="AF605" s="85"/>
      <c r="AG605" s="85"/>
    </row>
    <row r="606">
      <c r="A606" s="85"/>
      <c r="B606" s="85"/>
      <c r="C606" s="87"/>
      <c r="D606" s="87"/>
      <c r="E606" s="85"/>
      <c r="F606" s="85"/>
      <c r="G606" s="85"/>
      <c r="H606" s="85"/>
      <c r="I606" s="85"/>
      <c r="J606" s="85"/>
      <c r="K606" s="85"/>
      <c r="L606" s="85"/>
      <c r="M606" s="85"/>
      <c r="N606" s="85"/>
      <c r="O606" s="85"/>
      <c r="P606" s="85"/>
      <c r="Q606" s="85"/>
      <c r="R606" s="85"/>
      <c r="S606" s="85"/>
      <c r="T606" s="85"/>
      <c r="U606" s="85"/>
      <c r="V606" s="85"/>
      <c r="W606" s="85"/>
      <c r="X606" s="85"/>
      <c r="Y606" s="85"/>
      <c r="Z606" s="85"/>
      <c r="AA606" s="85"/>
      <c r="AB606" s="85"/>
      <c r="AC606" s="85"/>
      <c r="AD606" s="85"/>
      <c r="AE606" s="85"/>
      <c r="AF606" s="85"/>
      <c r="AG606" s="85"/>
    </row>
    <row r="607">
      <c r="A607" s="85"/>
      <c r="B607" s="85"/>
      <c r="C607" s="87"/>
      <c r="D607" s="87"/>
      <c r="E607" s="85"/>
      <c r="F607" s="85"/>
      <c r="G607" s="85"/>
      <c r="H607" s="85"/>
      <c r="I607" s="85"/>
      <c r="J607" s="85"/>
      <c r="K607" s="85"/>
      <c r="L607" s="85"/>
      <c r="M607" s="85"/>
      <c r="N607" s="85"/>
      <c r="O607" s="85"/>
      <c r="P607" s="85"/>
      <c r="Q607" s="85"/>
      <c r="R607" s="85"/>
      <c r="S607" s="85"/>
      <c r="T607" s="85"/>
      <c r="U607" s="85"/>
      <c r="V607" s="85"/>
      <c r="W607" s="85"/>
      <c r="X607" s="85"/>
      <c r="Y607" s="85"/>
      <c r="Z607" s="85"/>
      <c r="AA607" s="85"/>
      <c r="AB607" s="85"/>
      <c r="AC607" s="85"/>
      <c r="AD607" s="85"/>
      <c r="AE607" s="85"/>
      <c r="AF607" s="85"/>
      <c r="AG607" s="85"/>
    </row>
    <row r="608">
      <c r="A608" s="85"/>
      <c r="B608" s="85"/>
      <c r="C608" s="87"/>
      <c r="D608" s="87"/>
      <c r="E608" s="85"/>
      <c r="F608" s="85"/>
      <c r="G608" s="85"/>
      <c r="H608" s="85"/>
      <c r="I608" s="85"/>
      <c r="J608" s="85"/>
      <c r="K608" s="85"/>
      <c r="L608" s="85"/>
      <c r="M608" s="85"/>
      <c r="N608" s="85"/>
      <c r="O608" s="85"/>
      <c r="P608" s="85"/>
      <c r="Q608" s="85"/>
      <c r="R608" s="85"/>
      <c r="S608" s="85"/>
      <c r="T608" s="85"/>
      <c r="U608" s="85"/>
      <c r="V608" s="85"/>
      <c r="W608" s="85"/>
      <c r="X608" s="85"/>
      <c r="Y608" s="85"/>
      <c r="Z608" s="85"/>
      <c r="AA608" s="85"/>
      <c r="AB608" s="85"/>
      <c r="AC608" s="85"/>
      <c r="AD608" s="85"/>
      <c r="AE608" s="85"/>
      <c r="AF608" s="85"/>
      <c r="AG608" s="85"/>
    </row>
    <row r="609">
      <c r="A609" s="85"/>
      <c r="B609" s="85"/>
      <c r="C609" s="87"/>
      <c r="D609" s="87"/>
      <c r="E609" s="85"/>
      <c r="F609" s="85"/>
      <c r="G609" s="85"/>
      <c r="H609" s="85"/>
      <c r="I609" s="85"/>
      <c r="J609" s="85"/>
      <c r="K609" s="85"/>
      <c r="L609" s="85"/>
      <c r="M609" s="85"/>
      <c r="N609" s="85"/>
      <c r="O609" s="85"/>
      <c r="P609" s="85"/>
      <c r="Q609" s="85"/>
      <c r="R609" s="85"/>
      <c r="S609" s="85"/>
      <c r="T609" s="85"/>
      <c r="U609" s="85"/>
      <c r="V609" s="85"/>
      <c r="W609" s="85"/>
      <c r="X609" s="85"/>
      <c r="Y609" s="85"/>
      <c r="Z609" s="85"/>
      <c r="AA609" s="85"/>
      <c r="AB609" s="85"/>
      <c r="AC609" s="85"/>
      <c r="AD609" s="85"/>
      <c r="AE609" s="85"/>
      <c r="AF609" s="85"/>
      <c r="AG609" s="85"/>
    </row>
    <row r="610">
      <c r="A610" s="85"/>
      <c r="B610" s="85"/>
      <c r="C610" s="87"/>
      <c r="D610" s="87"/>
      <c r="E610" s="85"/>
      <c r="F610" s="85"/>
      <c r="G610" s="85"/>
      <c r="H610" s="85"/>
      <c r="I610" s="85"/>
      <c r="J610" s="85"/>
      <c r="K610" s="85"/>
      <c r="L610" s="85"/>
      <c r="M610" s="85"/>
      <c r="N610" s="85"/>
      <c r="O610" s="85"/>
      <c r="P610" s="85"/>
      <c r="Q610" s="85"/>
      <c r="R610" s="85"/>
      <c r="S610" s="85"/>
      <c r="T610" s="85"/>
      <c r="U610" s="85"/>
      <c r="V610" s="85"/>
      <c r="W610" s="85"/>
      <c r="X610" s="85"/>
      <c r="Y610" s="85"/>
      <c r="Z610" s="85"/>
      <c r="AA610" s="85"/>
      <c r="AB610" s="85"/>
      <c r="AC610" s="85"/>
      <c r="AD610" s="85"/>
      <c r="AE610" s="85"/>
      <c r="AF610" s="85"/>
      <c r="AG610" s="85"/>
    </row>
    <row r="611">
      <c r="A611" s="85"/>
      <c r="B611" s="85"/>
      <c r="C611" s="87"/>
      <c r="D611" s="87"/>
      <c r="E611" s="85"/>
      <c r="F611" s="85"/>
      <c r="G611" s="85"/>
      <c r="H611" s="85"/>
      <c r="I611" s="85"/>
      <c r="J611" s="85"/>
      <c r="K611" s="85"/>
      <c r="L611" s="85"/>
      <c r="M611" s="85"/>
      <c r="N611" s="85"/>
      <c r="O611" s="85"/>
      <c r="P611" s="85"/>
      <c r="Q611" s="85"/>
      <c r="R611" s="85"/>
      <c r="S611" s="85"/>
      <c r="T611" s="85"/>
      <c r="U611" s="85"/>
      <c r="V611" s="85"/>
      <c r="W611" s="85"/>
      <c r="X611" s="85"/>
      <c r="Y611" s="85"/>
      <c r="Z611" s="85"/>
      <c r="AA611" s="85"/>
      <c r="AB611" s="85"/>
      <c r="AC611" s="85"/>
      <c r="AD611" s="85"/>
      <c r="AE611" s="85"/>
      <c r="AF611" s="85"/>
      <c r="AG611" s="85"/>
    </row>
    <row r="612">
      <c r="A612" s="85"/>
      <c r="B612" s="85"/>
      <c r="C612" s="87"/>
      <c r="D612" s="87"/>
      <c r="E612" s="85"/>
      <c r="F612" s="85"/>
      <c r="G612" s="85"/>
      <c r="H612" s="85"/>
      <c r="I612" s="85"/>
      <c r="J612" s="85"/>
      <c r="K612" s="85"/>
      <c r="L612" s="85"/>
      <c r="M612" s="85"/>
      <c r="N612" s="85"/>
      <c r="O612" s="85"/>
      <c r="P612" s="85"/>
      <c r="Q612" s="85"/>
      <c r="R612" s="85"/>
      <c r="S612" s="85"/>
      <c r="T612" s="85"/>
      <c r="U612" s="85"/>
      <c r="V612" s="85"/>
      <c r="W612" s="85"/>
      <c r="X612" s="85"/>
      <c r="Y612" s="85"/>
      <c r="Z612" s="85"/>
      <c r="AA612" s="85"/>
      <c r="AB612" s="85"/>
      <c r="AC612" s="85"/>
      <c r="AD612" s="85"/>
      <c r="AE612" s="85"/>
      <c r="AF612" s="85"/>
      <c r="AG612" s="85"/>
    </row>
    <row r="613">
      <c r="A613" s="85"/>
      <c r="B613" s="85"/>
      <c r="C613" s="87"/>
      <c r="D613" s="87"/>
      <c r="E613" s="85"/>
      <c r="F613" s="85"/>
      <c r="G613" s="85"/>
      <c r="H613" s="85"/>
      <c r="I613" s="85"/>
      <c r="J613" s="85"/>
      <c r="K613" s="85"/>
      <c r="L613" s="85"/>
      <c r="M613" s="85"/>
      <c r="N613" s="85"/>
      <c r="O613" s="85"/>
      <c r="P613" s="85"/>
      <c r="Q613" s="85"/>
      <c r="R613" s="85"/>
      <c r="S613" s="85"/>
      <c r="T613" s="85"/>
      <c r="U613" s="85"/>
      <c r="V613" s="85"/>
      <c r="W613" s="85"/>
      <c r="X613" s="85"/>
      <c r="Y613" s="85"/>
      <c r="Z613" s="85"/>
      <c r="AA613" s="85"/>
      <c r="AB613" s="85"/>
      <c r="AC613" s="85"/>
      <c r="AD613" s="85"/>
      <c r="AE613" s="85"/>
      <c r="AF613" s="85"/>
      <c r="AG613" s="85"/>
    </row>
    <row r="614">
      <c r="A614" s="85"/>
      <c r="B614" s="85"/>
      <c r="C614" s="87"/>
      <c r="D614" s="87"/>
      <c r="E614" s="85"/>
      <c r="F614" s="85"/>
      <c r="G614" s="85"/>
      <c r="H614" s="85"/>
      <c r="I614" s="85"/>
      <c r="J614" s="85"/>
      <c r="K614" s="85"/>
      <c r="L614" s="85"/>
      <c r="M614" s="85"/>
      <c r="N614" s="85"/>
      <c r="O614" s="85"/>
      <c r="P614" s="85"/>
      <c r="Q614" s="85"/>
      <c r="R614" s="85"/>
      <c r="S614" s="85"/>
      <c r="T614" s="85"/>
      <c r="U614" s="85"/>
      <c r="V614" s="85"/>
      <c r="W614" s="85"/>
      <c r="X614" s="85"/>
      <c r="Y614" s="85"/>
      <c r="Z614" s="85"/>
      <c r="AA614" s="85"/>
      <c r="AB614" s="85"/>
      <c r="AC614" s="85"/>
      <c r="AD614" s="85"/>
      <c r="AE614" s="85"/>
      <c r="AF614" s="85"/>
      <c r="AG614" s="85"/>
    </row>
    <row r="615">
      <c r="A615" s="85"/>
      <c r="B615" s="85"/>
      <c r="C615" s="87"/>
      <c r="D615" s="87"/>
      <c r="E615" s="85"/>
      <c r="F615" s="85"/>
      <c r="G615" s="85"/>
      <c r="H615" s="85"/>
      <c r="I615" s="85"/>
      <c r="J615" s="85"/>
      <c r="K615" s="85"/>
      <c r="L615" s="85"/>
      <c r="M615" s="85"/>
      <c r="N615" s="85"/>
      <c r="O615" s="85"/>
      <c r="P615" s="85"/>
      <c r="Q615" s="85"/>
      <c r="R615" s="85"/>
      <c r="S615" s="85"/>
      <c r="T615" s="85"/>
      <c r="U615" s="85"/>
      <c r="V615" s="85"/>
      <c r="W615" s="85"/>
      <c r="X615" s="85"/>
      <c r="Y615" s="85"/>
      <c r="Z615" s="85"/>
      <c r="AA615" s="85"/>
      <c r="AB615" s="85"/>
      <c r="AC615" s="85"/>
      <c r="AD615" s="85"/>
      <c r="AE615" s="85"/>
      <c r="AF615" s="85"/>
      <c r="AG615" s="85"/>
    </row>
    <row r="616">
      <c r="A616" s="85"/>
      <c r="B616" s="85"/>
      <c r="C616" s="87"/>
      <c r="D616" s="87"/>
      <c r="E616" s="85"/>
      <c r="F616" s="85"/>
      <c r="G616" s="85"/>
      <c r="H616" s="85"/>
      <c r="I616" s="85"/>
      <c r="J616" s="85"/>
      <c r="K616" s="85"/>
      <c r="L616" s="85"/>
      <c r="M616" s="85"/>
      <c r="N616" s="85"/>
      <c r="O616" s="85"/>
      <c r="P616" s="85"/>
      <c r="Q616" s="85"/>
      <c r="R616" s="85"/>
      <c r="S616" s="85"/>
      <c r="T616" s="85"/>
      <c r="U616" s="85"/>
      <c r="V616" s="85"/>
      <c r="W616" s="85"/>
      <c r="X616" s="85"/>
      <c r="Y616" s="85"/>
      <c r="Z616" s="85"/>
      <c r="AA616" s="85"/>
      <c r="AB616" s="85"/>
      <c r="AC616" s="85"/>
      <c r="AD616" s="85"/>
      <c r="AE616" s="85"/>
      <c r="AF616" s="85"/>
      <c r="AG616" s="85"/>
    </row>
    <row r="617">
      <c r="A617" s="85"/>
      <c r="B617" s="85"/>
      <c r="C617" s="87"/>
      <c r="D617" s="87"/>
      <c r="E617" s="85"/>
      <c r="F617" s="85"/>
      <c r="G617" s="85"/>
      <c r="H617" s="85"/>
      <c r="I617" s="85"/>
      <c r="J617" s="85"/>
      <c r="K617" s="85"/>
      <c r="L617" s="85"/>
      <c r="M617" s="85"/>
      <c r="N617" s="85"/>
      <c r="O617" s="85"/>
      <c r="P617" s="85"/>
      <c r="Q617" s="85"/>
      <c r="R617" s="85"/>
      <c r="S617" s="85"/>
      <c r="T617" s="85"/>
      <c r="U617" s="85"/>
      <c r="V617" s="85"/>
      <c r="W617" s="85"/>
      <c r="X617" s="85"/>
      <c r="Y617" s="85"/>
      <c r="Z617" s="85"/>
      <c r="AA617" s="85"/>
      <c r="AB617" s="85"/>
      <c r="AC617" s="85"/>
      <c r="AD617" s="85"/>
      <c r="AE617" s="85"/>
      <c r="AF617" s="85"/>
      <c r="AG617" s="85"/>
    </row>
    <row r="618">
      <c r="A618" s="85"/>
      <c r="B618" s="85"/>
      <c r="C618" s="87"/>
      <c r="D618" s="87"/>
      <c r="E618" s="85"/>
      <c r="F618" s="85"/>
      <c r="G618" s="85"/>
      <c r="H618" s="85"/>
      <c r="I618" s="85"/>
      <c r="J618" s="85"/>
      <c r="K618" s="85"/>
      <c r="L618" s="85"/>
      <c r="M618" s="85"/>
      <c r="N618" s="85"/>
      <c r="O618" s="85"/>
      <c r="P618" s="85"/>
      <c r="Q618" s="85"/>
      <c r="R618" s="85"/>
      <c r="S618" s="85"/>
      <c r="T618" s="85"/>
      <c r="U618" s="85"/>
      <c r="V618" s="85"/>
      <c r="W618" s="85"/>
      <c r="X618" s="85"/>
      <c r="Y618" s="85"/>
      <c r="Z618" s="85"/>
      <c r="AA618" s="85"/>
      <c r="AB618" s="85"/>
      <c r="AC618" s="85"/>
      <c r="AD618" s="85"/>
      <c r="AE618" s="85"/>
      <c r="AF618" s="85"/>
      <c r="AG618" s="85"/>
    </row>
    <row r="619">
      <c r="A619" s="85"/>
      <c r="B619" s="85"/>
      <c r="C619" s="87"/>
      <c r="D619" s="87"/>
      <c r="E619" s="85"/>
      <c r="F619" s="85"/>
      <c r="G619" s="85"/>
      <c r="H619" s="85"/>
      <c r="I619" s="85"/>
      <c r="J619" s="85"/>
      <c r="K619" s="85"/>
      <c r="L619" s="85"/>
      <c r="M619" s="85"/>
      <c r="N619" s="85"/>
      <c r="O619" s="85"/>
      <c r="P619" s="85"/>
      <c r="Q619" s="85"/>
      <c r="R619" s="85"/>
      <c r="S619" s="85"/>
      <c r="T619" s="85"/>
      <c r="U619" s="85"/>
      <c r="V619" s="85"/>
      <c r="W619" s="85"/>
      <c r="X619" s="85"/>
      <c r="Y619" s="85"/>
      <c r="Z619" s="85"/>
      <c r="AA619" s="85"/>
      <c r="AB619" s="85"/>
      <c r="AC619" s="85"/>
      <c r="AD619" s="85"/>
      <c r="AE619" s="85"/>
      <c r="AF619" s="85"/>
      <c r="AG619" s="85"/>
    </row>
    <row r="620">
      <c r="A620" s="85"/>
      <c r="B620" s="85"/>
      <c r="C620" s="87"/>
      <c r="D620" s="87"/>
      <c r="E620" s="85"/>
      <c r="F620" s="85"/>
      <c r="G620" s="85"/>
      <c r="H620" s="85"/>
      <c r="I620" s="85"/>
      <c r="J620" s="85"/>
      <c r="K620" s="85"/>
      <c r="L620" s="85"/>
      <c r="M620" s="85"/>
      <c r="N620" s="85"/>
      <c r="O620" s="85"/>
      <c r="P620" s="85"/>
      <c r="Q620" s="85"/>
      <c r="R620" s="85"/>
      <c r="S620" s="85"/>
      <c r="T620" s="85"/>
      <c r="U620" s="85"/>
      <c r="V620" s="85"/>
      <c r="W620" s="85"/>
      <c r="X620" s="85"/>
      <c r="Y620" s="85"/>
      <c r="Z620" s="85"/>
      <c r="AA620" s="85"/>
      <c r="AB620" s="85"/>
      <c r="AC620" s="85"/>
      <c r="AD620" s="85"/>
      <c r="AE620" s="85"/>
      <c r="AF620" s="85"/>
      <c r="AG620" s="85"/>
    </row>
    <row r="621">
      <c r="A621" s="85"/>
      <c r="B621" s="85"/>
      <c r="C621" s="87"/>
      <c r="D621" s="87"/>
      <c r="E621" s="85"/>
      <c r="F621" s="85"/>
      <c r="G621" s="85"/>
      <c r="H621" s="85"/>
      <c r="I621" s="85"/>
      <c r="J621" s="85"/>
      <c r="K621" s="85"/>
      <c r="L621" s="85"/>
      <c r="M621" s="85"/>
      <c r="N621" s="85"/>
      <c r="O621" s="85"/>
      <c r="P621" s="85"/>
      <c r="Q621" s="85"/>
      <c r="R621" s="85"/>
      <c r="S621" s="85"/>
      <c r="T621" s="85"/>
      <c r="U621" s="85"/>
      <c r="V621" s="85"/>
      <c r="W621" s="85"/>
      <c r="X621" s="85"/>
      <c r="Y621" s="85"/>
      <c r="Z621" s="85"/>
      <c r="AA621" s="85"/>
      <c r="AB621" s="85"/>
      <c r="AC621" s="85"/>
      <c r="AD621" s="85"/>
      <c r="AE621" s="85"/>
      <c r="AF621" s="85"/>
      <c r="AG621" s="85"/>
    </row>
    <row r="622">
      <c r="A622" s="85"/>
      <c r="B622" s="85"/>
      <c r="C622" s="87"/>
      <c r="D622" s="87"/>
      <c r="E622" s="85"/>
      <c r="F622" s="85"/>
      <c r="G622" s="85"/>
      <c r="H622" s="85"/>
      <c r="I622" s="85"/>
      <c r="J622" s="85"/>
      <c r="K622" s="85"/>
      <c r="L622" s="85"/>
      <c r="M622" s="85"/>
      <c r="N622" s="85"/>
      <c r="O622" s="85"/>
      <c r="P622" s="85"/>
      <c r="Q622" s="85"/>
      <c r="R622" s="85"/>
      <c r="S622" s="85"/>
      <c r="T622" s="85"/>
      <c r="U622" s="85"/>
      <c r="V622" s="85"/>
      <c r="W622" s="85"/>
      <c r="X622" s="85"/>
      <c r="Y622" s="85"/>
      <c r="Z622" s="85"/>
      <c r="AA622" s="85"/>
      <c r="AB622" s="85"/>
      <c r="AC622" s="85"/>
      <c r="AD622" s="85"/>
      <c r="AE622" s="85"/>
      <c r="AF622" s="85"/>
      <c r="AG622" s="85"/>
    </row>
    <row r="623">
      <c r="A623" s="85"/>
      <c r="B623" s="85"/>
      <c r="C623" s="87"/>
      <c r="D623" s="87"/>
      <c r="E623" s="85"/>
      <c r="F623" s="85"/>
      <c r="G623" s="85"/>
      <c r="H623" s="85"/>
      <c r="I623" s="85"/>
      <c r="J623" s="85"/>
      <c r="K623" s="85"/>
      <c r="L623" s="85"/>
      <c r="M623" s="85"/>
      <c r="N623" s="85"/>
      <c r="O623" s="85"/>
      <c r="P623" s="85"/>
      <c r="Q623" s="85"/>
      <c r="R623" s="85"/>
      <c r="S623" s="85"/>
      <c r="T623" s="85"/>
      <c r="U623" s="85"/>
      <c r="V623" s="85"/>
      <c r="W623" s="85"/>
      <c r="X623" s="85"/>
      <c r="Y623" s="85"/>
      <c r="Z623" s="85"/>
      <c r="AA623" s="85"/>
      <c r="AB623" s="85"/>
      <c r="AC623" s="85"/>
      <c r="AD623" s="85"/>
      <c r="AE623" s="85"/>
      <c r="AF623" s="85"/>
      <c r="AG623" s="85"/>
    </row>
    <row r="624">
      <c r="A624" s="85"/>
      <c r="B624" s="85"/>
      <c r="C624" s="87"/>
      <c r="D624" s="87"/>
      <c r="E624" s="85"/>
      <c r="F624" s="85"/>
      <c r="G624" s="85"/>
      <c r="H624" s="85"/>
      <c r="I624" s="85"/>
      <c r="J624" s="85"/>
      <c r="K624" s="85"/>
      <c r="L624" s="85"/>
      <c r="M624" s="85"/>
      <c r="N624" s="85"/>
      <c r="O624" s="85"/>
      <c r="P624" s="85"/>
      <c r="Q624" s="85"/>
      <c r="R624" s="85"/>
      <c r="S624" s="85"/>
      <c r="T624" s="85"/>
      <c r="U624" s="85"/>
      <c r="V624" s="85"/>
      <c r="W624" s="85"/>
      <c r="X624" s="85"/>
      <c r="Y624" s="85"/>
      <c r="Z624" s="85"/>
      <c r="AA624" s="85"/>
      <c r="AB624" s="85"/>
      <c r="AC624" s="85"/>
      <c r="AD624" s="85"/>
      <c r="AE624" s="85"/>
      <c r="AF624" s="85"/>
      <c r="AG624" s="85"/>
    </row>
    <row r="625">
      <c r="A625" s="85"/>
      <c r="B625" s="85"/>
      <c r="C625" s="87"/>
      <c r="D625" s="87"/>
      <c r="E625" s="85"/>
      <c r="F625" s="85"/>
      <c r="G625" s="85"/>
      <c r="H625" s="85"/>
      <c r="I625" s="85"/>
      <c r="J625" s="85"/>
      <c r="K625" s="85"/>
      <c r="L625" s="85"/>
      <c r="M625" s="85"/>
      <c r="N625" s="85"/>
      <c r="O625" s="85"/>
      <c r="P625" s="85"/>
      <c r="Q625" s="85"/>
      <c r="R625" s="85"/>
      <c r="S625" s="85"/>
      <c r="T625" s="85"/>
      <c r="U625" s="85"/>
      <c r="V625" s="85"/>
      <c r="W625" s="85"/>
      <c r="X625" s="85"/>
      <c r="Y625" s="85"/>
      <c r="Z625" s="85"/>
      <c r="AA625" s="85"/>
      <c r="AB625" s="85"/>
      <c r="AC625" s="85"/>
      <c r="AD625" s="85"/>
      <c r="AE625" s="85"/>
      <c r="AF625" s="85"/>
      <c r="AG625" s="85"/>
    </row>
    <row r="626">
      <c r="A626" s="85"/>
      <c r="B626" s="85"/>
      <c r="C626" s="87"/>
      <c r="D626" s="87"/>
      <c r="E626" s="85"/>
      <c r="F626" s="85"/>
      <c r="G626" s="85"/>
      <c r="H626" s="85"/>
      <c r="I626" s="85"/>
      <c r="J626" s="85"/>
      <c r="K626" s="85"/>
      <c r="L626" s="85"/>
      <c r="M626" s="85"/>
      <c r="N626" s="85"/>
      <c r="O626" s="85"/>
      <c r="P626" s="85"/>
      <c r="Q626" s="85"/>
      <c r="R626" s="85"/>
      <c r="S626" s="85"/>
      <c r="T626" s="85"/>
      <c r="U626" s="85"/>
      <c r="V626" s="85"/>
      <c r="W626" s="85"/>
      <c r="X626" s="85"/>
      <c r="Y626" s="85"/>
      <c r="Z626" s="85"/>
      <c r="AA626" s="85"/>
      <c r="AB626" s="85"/>
      <c r="AC626" s="85"/>
      <c r="AD626" s="85"/>
      <c r="AE626" s="85"/>
      <c r="AF626" s="85"/>
      <c r="AG626" s="85"/>
    </row>
    <row r="627">
      <c r="A627" s="85"/>
      <c r="B627" s="85"/>
      <c r="C627" s="87"/>
      <c r="D627" s="87"/>
      <c r="E627" s="85"/>
      <c r="F627" s="85"/>
      <c r="G627" s="85"/>
      <c r="H627" s="85"/>
      <c r="I627" s="85"/>
      <c r="J627" s="85"/>
      <c r="K627" s="85"/>
      <c r="L627" s="85"/>
      <c r="M627" s="85"/>
      <c r="N627" s="85"/>
      <c r="O627" s="85"/>
      <c r="P627" s="85"/>
      <c r="Q627" s="85"/>
      <c r="R627" s="85"/>
      <c r="S627" s="85"/>
      <c r="T627" s="85"/>
      <c r="U627" s="85"/>
      <c r="V627" s="85"/>
      <c r="W627" s="85"/>
      <c r="X627" s="85"/>
      <c r="Y627" s="85"/>
      <c r="Z627" s="85"/>
      <c r="AA627" s="85"/>
      <c r="AB627" s="85"/>
      <c r="AC627" s="85"/>
      <c r="AD627" s="85"/>
      <c r="AE627" s="85"/>
      <c r="AF627" s="85"/>
      <c r="AG627" s="85"/>
    </row>
    <row r="628">
      <c r="A628" s="85"/>
      <c r="B628" s="85"/>
      <c r="C628" s="87"/>
      <c r="D628" s="87"/>
      <c r="E628" s="85"/>
      <c r="F628" s="85"/>
      <c r="G628" s="85"/>
      <c r="H628" s="85"/>
      <c r="I628" s="85"/>
      <c r="J628" s="85"/>
      <c r="K628" s="85"/>
      <c r="L628" s="85"/>
      <c r="M628" s="85"/>
      <c r="N628" s="85"/>
      <c r="O628" s="85"/>
      <c r="P628" s="85"/>
      <c r="Q628" s="85"/>
      <c r="R628" s="85"/>
      <c r="S628" s="85"/>
      <c r="T628" s="85"/>
      <c r="U628" s="85"/>
      <c r="V628" s="85"/>
      <c r="W628" s="85"/>
      <c r="X628" s="85"/>
      <c r="Y628" s="85"/>
      <c r="Z628" s="85"/>
      <c r="AA628" s="85"/>
      <c r="AB628" s="85"/>
      <c r="AC628" s="85"/>
      <c r="AD628" s="85"/>
      <c r="AE628" s="85"/>
      <c r="AF628" s="85"/>
      <c r="AG628" s="85"/>
    </row>
    <row r="629">
      <c r="A629" s="85"/>
      <c r="B629" s="85"/>
      <c r="C629" s="87"/>
      <c r="D629" s="87"/>
      <c r="E629" s="85"/>
      <c r="F629" s="85"/>
      <c r="G629" s="85"/>
      <c r="H629" s="85"/>
      <c r="I629" s="85"/>
      <c r="J629" s="85"/>
      <c r="K629" s="85"/>
      <c r="L629" s="85"/>
      <c r="M629" s="85"/>
      <c r="N629" s="85"/>
      <c r="O629" s="85"/>
      <c r="P629" s="85"/>
      <c r="Q629" s="85"/>
      <c r="R629" s="85"/>
      <c r="S629" s="85"/>
      <c r="T629" s="85"/>
      <c r="U629" s="85"/>
      <c r="V629" s="85"/>
      <c r="W629" s="85"/>
      <c r="X629" s="85"/>
      <c r="Y629" s="85"/>
      <c r="Z629" s="85"/>
      <c r="AA629" s="85"/>
      <c r="AB629" s="85"/>
      <c r="AC629" s="85"/>
      <c r="AD629" s="85"/>
      <c r="AE629" s="85"/>
      <c r="AF629" s="85"/>
      <c r="AG629" s="85"/>
    </row>
    <row r="630">
      <c r="A630" s="85"/>
      <c r="B630" s="85"/>
      <c r="C630" s="87"/>
      <c r="D630" s="87"/>
      <c r="E630" s="85"/>
      <c r="F630" s="85"/>
      <c r="G630" s="85"/>
      <c r="H630" s="85"/>
      <c r="I630" s="85"/>
      <c r="J630" s="85"/>
      <c r="K630" s="85"/>
      <c r="L630" s="85"/>
      <c r="M630" s="85"/>
      <c r="N630" s="85"/>
      <c r="O630" s="85"/>
      <c r="P630" s="85"/>
      <c r="Q630" s="85"/>
      <c r="R630" s="85"/>
      <c r="S630" s="85"/>
      <c r="T630" s="85"/>
      <c r="U630" s="85"/>
      <c r="V630" s="85"/>
      <c r="W630" s="85"/>
      <c r="X630" s="85"/>
      <c r="Y630" s="85"/>
      <c r="Z630" s="85"/>
      <c r="AA630" s="85"/>
      <c r="AB630" s="85"/>
      <c r="AC630" s="85"/>
      <c r="AD630" s="85"/>
      <c r="AE630" s="85"/>
      <c r="AF630" s="85"/>
      <c r="AG630" s="85"/>
    </row>
    <row r="631">
      <c r="A631" s="85"/>
      <c r="B631" s="85"/>
      <c r="C631" s="87"/>
      <c r="D631" s="87"/>
      <c r="E631" s="85"/>
      <c r="F631" s="85"/>
      <c r="G631" s="85"/>
      <c r="H631" s="85"/>
      <c r="I631" s="85"/>
      <c r="J631" s="85"/>
      <c r="K631" s="85"/>
      <c r="L631" s="85"/>
      <c r="M631" s="85"/>
      <c r="N631" s="85"/>
      <c r="O631" s="85"/>
      <c r="P631" s="85"/>
      <c r="Q631" s="85"/>
      <c r="R631" s="85"/>
      <c r="S631" s="85"/>
      <c r="T631" s="85"/>
      <c r="U631" s="85"/>
      <c r="V631" s="85"/>
      <c r="W631" s="85"/>
      <c r="X631" s="85"/>
      <c r="Y631" s="85"/>
      <c r="Z631" s="85"/>
      <c r="AA631" s="85"/>
      <c r="AB631" s="85"/>
      <c r="AC631" s="85"/>
      <c r="AD631" s="85"/>
      <c r="AE631" s="85"/>
      <c r="AF631" s="85"/>
      <c r="AG631" s="85"/>
    </row>
    <row r="632">
      <c r="A632" s="85"/>
      <c r="B632" s="85"/>
      <c r="C632" s="87"/>
      <c r="D632" s="87"/>
      <c r="E632" s="85"/>
      <c r="F632" s="85"/>
      <c r="G632" s="85"/>
      <c r="H632" s="85"/>
      <c r="I632" s="85"/>
      <c r="J632" s="85"/>
      <c r="K632" s="85"/>
      <c r="L632" s="85"/>
      <c r="M632" s="85"/>
      <c r="N632" s="85"/>
      <c r="O632" s="85"/>
      <c r="P632" s="85"/>
      <c r="Q632" s="85"/>
      <c r="R632" s="85"/>
      <c r="S632" s="85"/>
      <c r="T632" s="85"/>
      <c r="U632" s="85"/>
      <c r="V632" s="85"/>
      <c r="W632" s="85"/>
      <c r="X632" s="85"/>
      <c r="Y632" s="85"/>
      <c r="Z632" s="85"/>
      <c r="AA632" s="85"/>
      <c r="AB632" s="85"/>
      <c r="AC632" s="85"/>
      <c r="AD632" s="85"/>
      <c r="AE632" s="85"/>
      <c r="AF632" s="85"/>
      <c r="AG632" s="85"/>
    </row>
    <row r="633">
      <c r="A633" s="85"/>
      <c r="B633" s="85"/>
      <c r="C633" s="87"/>
      <c r="D633" s="87"/>
      <c r="E633" s="85"/>
      <c r="F633" s="85"/>
      <c r="G633" s="85"/>
      <c r="H633" s="85"/>
      <c r="I633" s="85"/>
      <c r="J633" s="85"/>
      <c r="K633" s="85"/>
      <c r="L633" s="85"/>
      <c r="M633" s="85"/>
      <c r="N633" s="85"/>
      <c r="O633" s="85"/>
      <c r="P633" s="85"/>
      <c r="Q633" s="85"/>
      <c r="R633" s="85"/>
      <c r="S633" s="85"/>
      <c r="T633" s="85"/>
      <c r="U633" s="85"/>
      <c r="V633" s="85"/>
      <c r="W633" s="85"/>
      <c r="X633" s="85"/>
      <c r="Y633" s="85"/>
      <c r="Z633" s="85"/>
      <c r="AA633" s="85"/>
      <c r="AB633" s="85"/>
      <c r="AC633" s="85"/>
      <c r="AD633" s="85"/>
      <c r="AE633" s="85"/>
      <c r="AF633" s="85"/>
      <c r="AG633" s="85"/>
    </row>
    <row r="634">
      <c r="A634" s="85"/>
      <c r="B634" s="85"/>
      <c r="C634" s="87"/>
      <c r="D634" s="87"/>
      <c r="E634" s="85"/>
      <c r="F634" s="85"/>
      <c r="G634" s="85"/>
      <c r="H634" s="85"/>
      <c r="I634" s="85"/>
      <c r="J634" s="85"/>
      <c r="K634" s="85"/>
      <c r="L634" s="85"/>
      <c r="M634" s="85"/>
      <c r="N634" s="85"/>
      <c r="O634" s="85"/>
      <c r="P634" s="85"/>
      <c r="Q634" s="85"/>
      <c r="R634" s="85"/>
      <c r="S634" s="85"/>
      <c r="T634" s="85"/>
      <c r="U634" s="85"/>
      <c r="V634" s="85"/>
      <c r="W634" s="85"/>
      <c r="X634" s="85"/>
      <c r="Y634" s="85"/>
      <c r="Z634" s="85"/>
      <c r="AA634" s="85"/>
      <c r="AB634" s="85"/>
      <c r="AC634" s="85"/>
      <c r="AD634" s="85"/>
      <c r="AE634" s="85"/>
      <c r="AF634" s="85"/>
      <c r="AG634" s="85"/>
    </row>
    <row r="635">
      <c r="A635" s="85"/>
      <c r="B635" s="85"/>
      <c r="C635" s="87"/>
      <c r="D635" s="87"/>
      <c r="E635" s="85"/>
      <c r="F635" s="85"/>
      <c r="G635" s="85"/>
      <c r="H635" s="85"/>
      <c r="I635" s="85"/>
      <c r="J635" s="85"/>
      <c r="K635" s="85"/>
      <c r="L635" s="85"/>
      <c r="M635" s="85"/>
      <c r="N635" s="85"/>
      <c r="O635" s="85"/>
      <c r="P635" s="85"/>
      <c r="Q635" s="85"/>
      <c r="R635" s="85"/>
      <c r="S635" s="85"/>
      <c r="T635" s="85"/>
      <c r="U635" s="85"/>
      <c r="V635" s="85"/>
      <c r="W635" s="85"/>
      <c r="X635" s="85"/>
      <c r="Y635" s="85"/>
      <c r="Z635" s="85"/>
      <c r="AA635" s="85"/>
      <c r="AB635" s="85"/>
      <c r="AC635" s="85"/>
      <c r="AD635" s="85"/>
      <c r="AE635" s="85"/>
      <c r="AF635" s="85"/>
      <c r="AG635" s="85"/>
    </row>
    <row r="636">
      <c r="A636" s="85"/>
      <c r="B636" s="85"/>
      <c r="C636" s="87"/>
      <c r="D636" s="87"/>
      <c r="E636" s="85"/>
      <c r="F636" s="85"/>
      <c r="G636" s="85"/>
      <c r="H636" s="85"/>
      <c r="I636" s="85"/>
      <c r="J636" s="85"/>
      <c r="K636" s="85"/>
      <c r="L636" s="85"/>
      <c r="M636" s="85"/>
      <c r="N636" s="85"/>
      <c r="O636" s="85"/>
      <c r="P636" s="85"/>
      <c r="Q636" s="85"/>
      <c r="R636" s="85"/>
      <c r="S636" s="85"/>
      <c r="T636" s="85"/>
      <c r="U636" s="85"/>
      <c r="V636" s="85"/>
      <c r="W636" s="85"/>
      <c r="X636" s="85"/>
      <c r="Y636" s="85"/>
      <c r="Z636" s="85"/>
      <c r="AA636" s="85"/>
      <c r="AB636" s="85"/>
      <c r="AC636" s="85"/>
      <c r="AD636" s="85"/>
      <c r="AE636" s="85"/>
      <c r="AF636" s="85"/>
      <c r="AG636" s="85"/>
    </row>
    <row r="637">
      <c r="A637" s="85"/>
      <c r="B637" s="85"/>
      <c r="C637" s="87"/>
      <c r="D637" s="87"/>
      <c r="E637" s="85"/>
      <c r="F637" s="85"/>
      <c r="G637" s="85"/>
      <c r="H637" s="85"/>
      <c r="I637" s="85"/>
      <c r="J637" s="85"/>
      <c r="K637" s="85"/>
      <c r="L637" s="85"/>
      <c r="M637" s="85"/>
      <c r="N637" s="85"/>
      <c r="O637" s="85"/>
      <c r="P637" s="85"/>
      <c r="Q637" s="85"/>
      <c r="R637" s="85"/>
      <c r="S637" s="85"/>
      <c r="T637" s="85"/>
      <c r="U637" s="85"/>
      <c r="V637" s="85"/>
      <c r="W637" s="85"/>
      <c r="X637" s="85"/>
      <c r="Y637" s="85"/>
      <c r="Z637" s="85"/>
      <c r="AA637" s="85"/>
      <c r="AB637" s="85"/>
      <c r="AC637" s="85"/>
      <c r="AD637" s="85"/>
      <c r="AE637" s="85"/>
      <c r="AF637" s="85"/>
      <c r="AG637" s="85"/>
    </row>
    <row r="638">
      <c r="A638" s="85"/>
      <c r="B638" s="85"/>
      <c r="C638" s="87"/>
      <c r="D638" s="87"/>
      <c r="E638" s="85"/>
      <c r="F638" s="85"/>
      <c r="G638" s="85"/>
      <c r="H638" s="85"/>
      <c r="I638" s="85"/>
      <c r="J638" s="85"/>
      <c r="K638" s="85"/>
      <c r="L638" s="85"/>
      <c r="M638" s="85"/>
      <c r="N638" s="85"/>
      <c r="O638" s="85"/>
      <c r="P638" s="85"/>
      <c r="Q638" s="85"/>
      <c r="R638" s="85"/>
      <c r="S638" s="85"/>
      <c r="T638" s="85"/>
      <c r="U638" s="85"/>
      <c r="V638" s="85"/>
      <c r="W638" s="85"/>
      <c r="X638" s="85"/>
      <c r="Y638" s="85"/>
      <c r="Z638" s="85"/>
      <c r="AA638" s="85"/>
      <c r="AB638" s="85"/>
      <c r="AC638" s="85"/>
      <c r="AD638" s="85"/>
      <c r="AE638" s="85"/>
      <c r="AF638" s="85"/>
      <c r="AG638" s="85"/>
    </row>
    <row r="639">
      <c r="A639" s="85"/>
      <c r="B639" s="85"/>
      <c r="C639" s="87"/>
      <c r="D639" s="87"/>
      <c r="E639" s="85"/>
      <c r="F639" s="85"/>
      <c r="G639" s="85"/>
      <c r="H639" s="85"/>
      <c r="I639" s="85"/>
      <c r="J639" s="85"/>
      <c r="K639" s="85"/>
      <c r="L639" s="85"/>
      <c r="M639" s="85"/>
      <c r="N639" s="85"/>
      <c r="O639" s="85"/>
      <c r="P639" s="85"/>
      <c r="Q639" s="85"/>
      <c r="R639" s="85"/>
      <c r="S639" s="85"/>
      <c r="T639" s="85"/>
      <c r="U639" s="85"/>
      <c r="V639" s="85"/>
      <c r="W639" s="85"/>
      <c r="X639" s="85"/>
      <c r="Y639" s="85"/>
      <c r="Z639" s="85"/>
      <c r="AA639" s="85"/>
      <c r="AB639" s="85"/>
      <c r="AC639" s="85"/>
      <c r="AD639" s="85"/>
      <c r="AE639" s="85"/>
      <c r="AF639" s="85"/>
      <c r="AG639" s="85"/>
    </row>
    <row r="640">
      <c r="A640" s="85"/>
      <c r="B640" s="85"/>
      <c r="C640" s="87"/>
      <c r="D640" s="87"/>
      <c r="E640" s="85"/>
      <c r="F640" s="85"/>
      <c r="G640" s="85"/>
      <c r="H640" s="85"/>
      <c r="I640" s="85"/>
      <c r="J640" s="85"/>
      <c r="K640" s="85"/>
      <c r="L640" s="85"/>
      <c r="M640" s="85"/>
      <c r="N640" s="85"/>
      <c r="O640" s="85"/>
      <c r="P640" s="85"/>
      <c r="Q640" s="85"/>
      <c r="R640" s="85"/>
      <c r="S640" s="85"/>
      <c r="T640" s="85"/>
      <c r="U640" s="85"/>
      <c r="V640" s="85"/>
      <c r="W640" s="85"/>
      <c r="X640" s="85"/>
      <c r="Y640" s="85"/>
      <c r="Z640" s="85"/>
      <c r="AA640" s="85"/>
      <c r="AB640" s="85"/>
      <c r="AC640" s="85"/>
      <c r="AD640" s="85"/>
      <c r="AE640" s="85"/>
      <c r="AF640" s="85"/>
      <c r="AG640" s="85"/>
    </row>
    <row r="641">
      <c r="A641" s="85"/>
      <c r="B641" s="85"/>
      <c r="C641" s="87"/>
      <c r="D641" s="87"/>
      <c r="E641" s="85"/>
      <c r="F641" s="85"/>
      <c r="G641" s="85"/>
      <c r="H641" s="85"/>
      <c r="I641" s="85"/>
      <c r="J641" s="85"/>
      <c r="K641" s="85"/>
      <c r="L641" s="85"/>
      <c r="M641" s="85"/>
      <c r="N641" s="85"/>
      <c r="O641" s="85"/>
      <c r="P641" s="85"/>
      <c r="Q641" s="85"/>
      <c r="R641" s="85"/>
      <c r="S641" s="85"/>
      <c r="T641" s="85"/>
      <c r="U641" s="85"/>
      <c r="V641" s="85"/>
      <c r="W641" s="85"/>
      <c r="X641" s="85"/>
      <c r="Y641" s="85"/>
      <c r="Z641" s="85"/>
      <c r="AA641" s="85"/>
      <c r="AB641" s="85"/>
      <c r="AC641" s="85"/>
      <c r="AD641" s="85"/>
      <c r="AE641" s="85"/>
      <c r="AF641" s="85"/>
      <c r="AG641" s="85"/>
    </row>
    <row r="642">
      <c r="A642" s="85"/>
      <c r="B642" s="85"/>
      <c r="C642" s="87"/>
      <c r="D642" s="87"/>
      <c r="E642" s="85"/>
      <c r="F642" s="85"/>
      <c r="G642" s="85"/>
      <c r="H642" s="85"/>
      <c r="I642" s="85"/>
      <c r="J642" s="85"/>
      <c r="K642" s="85"/>
      <c r="L642" s="85"/>
      <c r="M642" s="85"/>
      <c r="N642" s="85"/>
      <c r="O642" s="85"/>
      <c r="P642" s="85"/>
      <c r="Q642" s="85"/>
      <c r="R642" s="85"/>
      <c r="S642" s="85"/>
      <c r="T642" s="85"/>
      <c r="U642" s="85"/>
      <c r="V642" s="85"/>
      <c r="W642" s="85"/>
      <c r="X642" s="85"/>
      <c r="Y642" s="85"/>
      <c r="Z642" s="85"/>
      <c r="AA642" s="85"/>
      <c r="AB642" s="85"/>
      <c r="AC642" s="85"/>
      <c r="AD642" s="85"/>
      <c r="AE642" s="85"/>
      <c r="AF642" s="85"/>
      <c r="AG642" s="85"/>
    </row>
    <row r="643">
      <c r="A643" s="85"/>
      <c r="B643" s="85"/>
      <c r="C643" s="87"/>
      <c r="D643" s="87"/>
      <c r="E643" s="85"/>
      <c r="F643" s="85"/>
      <c r="G643" s="85"/>
      <c r="H643" s="85"/>
      <c r="I643" s="85"/>
      <c r="J643" s="85"/>
      <c r="K643" s="85"/>
      <c r="L643" s="85"/>
      <c r="M643" s="85"/>
      <c r="N643" s="85"/>
      <c r="O643" s="85"/>
      <c r="P643" s="85"/>
      <c r="Q643" s="85"/>
      <c r="R643" s="85"/>
      <c r="S643" s="85"/>
      <c r="T643" s="85"/>
      <c r="U643" s="85"/>
      <c r="V643" s="85"/>
      <c r="W643" s="85"/>
      <c r="X643" s="85"/>
      <c r="Y643" s="85"/>
      <c r="Z643" s="85"/>
      <c r="AA643" s="85"/>
      <c r="AB643" s="85"/>
      <c r="AC643" s="85"/>
      <c r="AD643" s="85"/>
      <c r="AE643" s="85"/>
      <c r="AF643" s="85"/>
      <c r="AG643" s="85"/>
    </row>
    <row r="644">
      <c r="A644" s="85"/>
      <c r="B644" s="85"/>
      <c r="C644" s="87"/>
      <c r="D644" s="87"/>
      <c r="E644" s="85"/>
      <c r="F644" s="85"/>
      <c r="G644" s="85"/>
      <c r="H644" s="85"/>
      <c r="I644" s="85"/>
      <c r="J644" s="85"/>
      <c r="K644" s="85"/>
      <c r="L644" s="85"/>
      <c r="M644" s="85"/>
      <c r="N644" s="85"/>
      <c r="O644" s="85"/>
      <c r="P644" s="85"/>
      <c r="Q644" s="85"/>
      <c r="R644" s="85"/>
      <c r="S644" s="85"/>
      <c r="T644" s="85"/>
      <c r="U644" s="85"/>
      <c r="V644" s="85"/>
      <c r="W644" s="85"/>
      <c r="X644" s="85"/>
      <c r="Y644" s="85"/>
      <c r="Z644" s="85"/>
      <c r="AA644" s="85"/>
      <c r="AB644" s="85"/>
      <c r="AC644" s="85"/>
      <c r="AD644" s="85"/>
      <c r="AE644" s="85"/>
      <c r="AF644" s="85"/>
      <c r="AG644" s="85"/>
    </row>
    <row r="645">
      <c r="A645" s="85"/>
      <c r="B645" s="85"/>
      <c r="C645" s="87"/>
      <c r="D645" s="87"/>
      <c r="E645" s="85"/>
      <c r="F645" s="85"/>
      <c r="G645" s="85"/>
      <c r="H645" s="85"/>
      <c r="I645" s="85"/>
      <c r="J645" s="85"/>
      <c r="K645" s="85"/>
      <c r="L645" s="85"/>
      <c r="M645" s="85"/>
      <c r="N645" s="85"/>
      <c r="O645" s="85"/>
      <c r="P645" s="85"/>
      <c r="Q645" s="85"/>
      <c r="R645" s="85"/>
      <c r="S645" s="85"/>
      <c r="T645" s="85"/>
      <c r="U645" s="85"/>
      <c r="V645" s="85"/>
      <c r="W645" s="85"/>
      <c r="X645" s="85"/>
      <c r="Y645" s="85"/>
      <c r="Z645" s="85"/>
      <c r="AA645" s="85"/>
      <c r="AB645" s="85"/>
      <c r="AC645" s="85"/>
      <c r="AD645" s="85"/>
      <c r="AE645" s="85"/>
      <c r="AF645" s="85"/>
      <c r="AG645" s="85"/>
    </row>
    <row r="646">
      <c r="A646" s="85"/>
      <c r="B646" s="85"/>
      <c r="C646" s="87"/>
      <c r="D646" s="87"/>
      <c r="E646" s="85"/>
      <c r="F646" s="85"/>
      <c r="G646" s="85"/>
      <c r="H646" s="85"/>
      <c r="I646" s="85"/>
      <c r="J646" s="85"/>
      <c r="K646" s="85"/>
      <c r="L646" s="85"/>
      <c r="M646" s="85"/>
      <c r="N646" s="85"/>
      <c r="O646" s="85"/>
      <c r="P646" s="85"/>
      <c r="Q646" s="85"/>
      <c r="R646" s="85"/>
      <c r="S646" s="85"/>
      <c r="T646" s="85"/>
      <c r="U646" s="85"/>
      <c r="V646" s="85"/>
      <c r="W646" s="85"/>
      <c r="X646" s="85"/>
      <c r="Y646" s="85"/>
      <c r="Z646" s="85"/>
      <c r="AA646" s="85"/>
      <c r="AB646" s="85"/>
      <c r="AC646" s="85"/>
      <c r="AD646" s="85"/>
      <c r="AE646" s="85"/>
      <c r="AF646" s="85"/>
      <c r="AG646" s="85"/>
    </row>
    <row r="647">
      <c r="A647" s="85"/>
      <c r="B647" s="85"/>
      <c r="C647" s="87"/>
      <c r="D647" s="87"/>
      <c r="E647" s="85"/>
      <c r="F647" s="85"/>
      <c r="G647" s="85"/>
      <c r="H647" s="85"/>
      <c r="I647" s="85"/>
      <c r="J647" s="85"/>
      <c r="K647" s="85"/>
      <c r="L647" s="85"/>
      <c r="M647" s="85"/>
      <c r="N647" s="85"/>
      <c r="O647" s="85"/>
      <c r="P647" s="85"/>
      <c r="Q647" s="85"/>
      <c r="R647" s="85"/>
      <c r="S647" s="85"/>
      <c r="T647" s="85"/>
      <c r="U647" s="85"/>
      <c r="V647" s="85"/>
      <c r="W647" s="85"/>
      <c r="X647" s="85"/>
      <c r="Y647" s="85"/>
      <c r="Z647" s="85"/>
      <c r="AA647" s="85"/>
      <c r="AB647" s="85"/>
      <c r="AC647" s="85"/>
      <c r="AD647" s="85"/>
      <c r="AE647" s="85"/>
      <c r="AF647" s="85"/>
      <c r="AG647" s="85"/>
    </row>
    <row r="648">
      <c r="A648" s="85"/>
      <c r="B648" s="85"/>
      <c r="C648" s="87"/>
      <c r="D648" s="87"/>
      <c r="E648" s="85"/>
      <c r="F648" s="85"/>
      <c r="G648" s="85"/>
      <c r="H648" s="85"/>
      <c r="I648" s="85"/>
      <c r="J648" s="85"/>
      <c r="K648" s="85"/>
      <c r="L648" s="85"/>
      <c r="M648" s="85"/>
      <c r="N648" s="85"/>
      <c r="O648" s="85"/>
      <c r="P648" s="85"/>
      <c r="Q648" s="85"/>
      <c r="R648" s="85"/>
      <c r="S648" s="85"/>
      <c r="T648" s="85"/>
      <c r="U648" s="85"/>
      <c r="V648" s="85"/>
      <c r="W648" s="85"/>
      <c r="X648" s="85"/>
      <c r="Y648" s="85"/>
      <c r="Z648" s="85"/>
      <c r="AA648" s="85"/>
      <c r="AB648" s="85"/>
      <c r="AC648" s="85"/>
      <c r="AD648" s="85"/>
      <c r="AE648" s="85"/>
      <c r="AF648" s="85"/>
      <c r="AG648" s="85"/>
    </row>
    <row r="649">
      <c r="A649" s="85"/>
      <c r="B649" s="85"/>
      <c r="C649" s="87"/>
      <c r="D649" s="87"/>
      <c r="E649" s="85"/>
      <c r="F649" s="85"/>
      <c r="G649" s="85"/>
      <c r="H649" s="85"/>
      <c r="I649" s="85"/>
      <c r="J649" s="85"/>
      <c r="K649" s="85"/>
      <c r="L649" s="85"/>
      <c r="M649" s="85"/>
      <c r="N649" s="85"/>
      <c r="O649" s="85"/>
      <c r="P649" s="85"/>
      <c r="Q649" s="85"/>
      <c r="R649" s="85"/>
      <c r="S649" s="85"/>
      <c r="T649" s="85"/>
      <c r="U649" s="85"/>
      <c r="V649" s="85"/>
      <c r="W649" s="85"/>
      <c r="X649" s="85"/>
      <c r="Y649" s="85"/>
      <c r="Z649" s="85"/>
      <c r="AA649" s="85"/>
      <c r="AB649" s="85"/>
      <c r="AC649" s="85"/>
      <c r="AD649" s="85"/>
      <c r="AE649" s="85"/>
      <c r="AF649" s="85"/>
      <c r="AG649" s="85"/>
    </row>
    <row r="650">
      <c r="A650" s="85"/>
      <c r="B650" s="85"/>
      <c r="C650" s="87"/>
      <c r="D650" s="87"/>
      <c r="E650" s="85"/>
      <c r="F650" s="85"/>
      <c r="G650" s="85"/>
      <c r="H650" s="85"/>
      <c r="I650" s="85"/>
      <c r="J650" s="85"/>
      <c r="K650" s="85"/>
      <c r="L650" s="85"/>
      <c r="M650" s="85"/>
      <c r="N650" s="85"/>
      <c r="O650" s="85"/>
      <c r="P650" s="85"/>
      <c r="Q650" s="85"/>
      <c r="R650" s="85"/>
      <c r="S650" s="85"/>
      <c r="T650" s="85"/>
      <c r="U650" s="85"/>
      <c r="V650" s="85"/>
      <c r="W650" s="85"/>
      <c r="X650" s="85"/>
      <c r="Y650" s="85"/>
      <c r="Z650" s="85"/>
      <c r="AA650" s="85"/>
      <c r="AB650" s="85"/>
      <c r="AC650" s="85"/>
      <c r="AD650" s="85"/>
      <c r="AE650" s="85"/>
      <c r="AF650" s="85"/>
      <c r="AG650" s="85"/>
    </row>
    <row r="651">
      <c r="A651" s="85"/>
      <c r="B651" s="85"/>
      <c r="C651" s="87"/>
      <c r="D651" s="87"/>
      <c r="E651" s="85"/>
      <c r="F651" s="85"/>
      <c r="G651" s="85"/>
      <c r="H651" s="85"/>
      <c r="I651" s="85"/>
      <c r="J651" s="85"/>
      <c r="K651" s="85"/>
      <c r="L651" s="85"/>
      <c r="M651" s="85"/>
      <c r="N651" s="85"/>
      <c r="O651" s="85"/>
      <c r="P651" s="85"/>
      <c r="Q651" s="85"/>
      <c r="R651" s="85"/>
      <c r="S651" s="85"/>
      <c r="T651" s="85"/>
      <c r="U651" s="85"/>
      <c r="V651" s="85"/>
      <c r="W651" s="85"/>
      <c r="X651" s="85"/>
      <c r="Y651" s="85"/>
      <c r="Z651" s="85"/>
      <c r="AA651" s="85"/>
      <c r="AB651" s="85"/>
      <c r="AC651" s="85"/>
      <c r="AD651" s="85"/>
      <c r="AE651" s="85"/>
      <c r="AF651" s="85"/>
      <c r="AG651" s="85"/>
    </row>
    <row r="652">
      <c r="A652" s="85"/>
      <c r="B652" s="85"/>
      <c r="C652" s="87"/>
      <c r="D652" s="87"/>
      <c r="E652" s="85"/>
      <c r="F652" s="85"/>
      <c r="G652" s="85"/>
      <c r="H652" s="85"/>
      <c r="I652" s="85"/>
      <c r="J652" s="85"/>
      <c r="K652" s="85"/>
      <c r="L652" s="85"/>
      <c r="M652" s="85"/>
      <c r="N652" s="85"/>
      <c r="O652" s="85"/>
      <c r="P652" s="85"/>
      <c r="Q652" s="85"/>
      <c r="R652" s="85"/>
      <c r="S652" s="85"/>
      <c r="T652" s="85"/>
      <c r="U652" s="85"/>
      <c r="V652" s="85"/>
      <c r="W652" s="85"/>
      <c r="X652" s="85"/>
      <c r="Y652" s="85"/>
      <c r="Z652" s="85"/>
      <c r="AA652" s="85"/>
      <c r="AB652" s="85"/>
      <c r="AC652" s="85"/>
      <c r="AD652" s="85"/>
      <c r="AE652" s="85"/>
      <c r="AF652" s="85"/>
      <c r="AG652" s="85"/>
    </row>
    <row r="653">
      <c r="A653" s="85"/>
      <c r="B653" s="85"/>
      <c r="C653" s="87"/>
      <c r="D653" s="87"/>
      <c r="E653" s="85"/>
      <c r="F653" s="85"/>
      <c r="G653" s="85"/>
      <c r="H653" s="85"/>
      <c r="I653" s="85"/>
      <c r="J653" s="85"/>
      <c r="K653" s="85"/>
      <c r="L653" s="85"/>
      <c r="M653" s="85"/>
      <c r="N653" s="85"/>
      <c r="O653" s="85"/>
      <c r="P653" s="85"/>
      <c r="Q653" s="85"/>
      <c r="R653" s="85"/>
      <c r="S653" s="85"/>
      <c r="T653" s="85"/>
      <c r="U653" s="85"/>
      <c r="V653" s="85"/>
      <c r="W653" s="85"/>
      <c r="X653" s="85"/>
      <c r="Y653" s="85"/>
      <c r="Z653" s="85"/>
      <c r="AA653" s="85"/>
      <c r="AB653" s="85"/>
      <c r="AC653" s="85"/>
      <c r="AD653" s="85"/>
      <c r="AE653" s="85"/>
      <c r="AF653" s="85"/>
      <c r="AG653" s="85"/>
    </row>
    <row r="654">
      <c r="A654" s="85"/>
      <c r="B654" s="85"/>
      <c r="C654" s="87"/>
      <c r="D654" s="87"/>
      <c r="E654" s="85"/>
      <c r="F654" s="85"/>
      <c r="G654" s="85"/>
      <c r="H654" s="85"/>
      <c r="I654" s="85"/>
      <c r="J654" s="85"/>
      <c r="K654" s="85"/>
      <c r="L654" s="85"/>
      <c r="M654" s="85"/>
      <c r="N654" s="85"/>
      <c r="O654" s="85"/>
      <c r="P654" s="85"/>
      <c r="Q654" s="85"/>
      <c r="R654" s="85"/>
      <c r="S654" s="85"/>
      <c r="T654" s="85"/>
      <c r="U654" s="85"/>
      <c r="V654" s="85"/>
      <c r="W654" s="85"/>
      <c r="X654" s="85"/>
      <c r="Y654" s="85"/>
      <c r="Z654" s="85"/>
      <c r="AA654" s="85"/>
      <c r="AB654" s="85"/>
      <c r="AC654" s="85"/>
      <c r="AD654" s="85"/>
      <c r="AE654" s="85"/>
      <c r="AF654" s="85"/>
      <c r="AG654" s="85"/>
    </row>
    <row r="655">
      <c r="A655" s="85"/>
      <c r="B655" s="85"/>
      <c r="C655" s="87"/>
      <c r="D655" s="87"/>
      <c r="E655" s="85"/>
      <c r="F655" s="85"/>
      <c r="G655" s="85"/>
      <c r="H655" s="85"/>
      <c r="I655" s="85"/>
      <c r="J655" s="85"/>
      <c r="K655" s="85"/>
      <c r="L655" s="85"/>
      <c r="M655" s="85"/>
      <c r="N655" s="85"/>
      <c r="O655" s="85"/>
      <c r="P655" s="85"/>
      <c r="Q655" s="85"/>
      <c r="R655" s="85"/>
      <c r="S655" s="85"/>
      <c r="T655" s="85"/>
      <c r="U655" s="85"/>
      <c r="V655" s="85"/>
      <c r="W655" s="85"/>
      <c r="X655" s="85"/>
      <c r="Y655" s="85"/>
      <c r="Z655" s="85"/>
      <c r="AA655" s="85"/>
      <c r="AB655" s="85"/>
      <c r="AC655" s="85"/>
      <c r="AD655" s="85"/>
      <c r="AE655" s="85"/>
      <c r="AF655" s="85"/>
      <c r="AG655" s="85"/>
    </row>
    <row r="656">
      <c r="A656" s="85"/>
      <c r="B656" s="85"/>
      <c r="C656" s="87"/>
      <c r="D656" s="87"/>
      <c r="E656" s="85"/>
      <c r="F656" s="85"/>
      <c r="G656" s="85"/>
      <c r="H656" s="85"/>
      <c r="I656" s="85"/>
      <c r="J656" s="85"/>
      <c r="K656" s="85"/>
      <c r="L656" s="85"/>
      <c r="M656" s="85"/>
      <c r="N656" s="85"/>
      <c r="O656" s="85"/>
      <c r="P656" s="85"/>
      <c r="Q656" s="85"/>
      <c r="R656" s="85"/>
      <c r="S656" s="85"/>
      <c r="T656" s="85"/>
      <c r="U656" s="85"/>
      <c r="V656" s="85"/>
      <c r="W656" s="85"/>
      <c r="X656" s="85"/>
      <c r="Y656" s="85"/>
      <c r="Z656" s="85"/>
      <c r="AA656" s="85"/>
      <c r="AB656" s="85"/>
      <c r="AC656" s="85"/>
      <c r="AD656" s="85"/>
      <c r="AE656" s="85"/>
      <c r="AF656" s="85"/>
      <c r="AG656" s="85"/>
    </row>
    <row r="657">
      <c r="A657" s="85"/>
      <c r="B657" s="85"/>
      <c r="C657" s="87"/>
      <c r="D657" s="87"/>
      <c r="E657" s="85"/>
      <c r="F657" s="85"/>
      <c r="G657" s="85"/>
      <c r="H657" s="85"/>
      <c r="I657" s="85"/>
      <c r="J657" s="85"/>
      <c r="K657" s="85"/>
      <c r="L657" s="85"/>
      <c r="M657" s="85"/>
      <c r="N657" s="85"/>
      <c r="O657" s="85"/>
      <c r="P657" s="85"/>
      <c r="Q657" s="85"/>
      <c r="R657" s="85"/>
      <c r="S657" s="85"/>
      <c r="T657" s="85"/>
      <c r="U657" s="85"/>
      <c r="V657" s="85"/>
      <c r="W657" s="85"/>
      <c r="X657" s="85"/>
      <c r="Y657" s="85"/>
      <c r="Z657" s="85"/>
      <c r="AA657" s="85"/>
      <c r="AB657" s="85"/>
      <c r="AC657" s="85"/>
      <c r="AD657" s="85"/>
      <c r="AE657" s="85"/>
      <c r="AF657" s="85"/>
      <c r="AG657" s="85"/>
    </row>
    <row r="658">
      <c r="A658" s="85"/>
      <c r="B658" s="85"/>
      <c r="C658" s="87"/>
      <c r="D658" s="87"/>
      <c r="E658" s="85"/>
      <c r="F658" s="85"/>
      <c r="G658" s="85"/>
      <c r="H658" s="85"/>
      <c r="I658" s="85"/>
      <c r="J658" s="85"/>
      <c r="K658" s="85"/>
      <c r="L658" s="85"/>
      <c r="M658" s="85"/>
      <c r="N658" s="85"/>
      <c r="O658" s="85"/>
      <c r="P658" s="85"/>
      <c r="Q658" s="85"/>
      <c r="R658" s="85"/>
      <c r="S658" s="85"/>
      <c r="T658" s="85"/>
      <c r="U658" s="85"/>
      <c r="V658" s="85"/>
      <c r="W658" s="85"/>
      <c r="X658" s="85"/>
      <c r="Y658" s="85"/>
      <c r="Z658" s="85"/>
      <c r="AA658" s="85"/>
      <c r="AB658" s="85"/>
      <c r="AC658" s="85"/>
      <c r="AD658" s="85"/>
      <c r="AE658" s="85"/>
      <c r="AF658" s="85"/>
      <c r="AG658" s="85"/>
    </row>
    <row r="659">
      <c r="A659" s="85"/>
      <c r="B659" s="85"/>
      <c r="C659" s="87"/>
      <c r="D659" s="87"/>
      <c r="E659" s="85"/>
      <c r="F659" s="85"/>
      <c r="G659" s="85"/>
      <c r="H659" s="85"/>
      <c r="I659" s="85"/>
      <c r="J659" s="85"/>
      <c r="K659" s="85"/>
      <c r="L659" s="85"/>
      <c r="M659" s="85"/>
      <c r="N659" s="85"/>
      <c r="O659" s="85"/>
      <c r="P659" s="85"/>
      <c r="Q659" s="85"/>
      <c r="R659" s="85"/>
      <c r="S659" s="85"/>
      <c r="T659" s="85"/>
      <c r="U659" s="85"/>
      <c r="V659" s="85"/>
      <c r="W659" s="85"/>
      <c r="X659" s="85"/>
      <c r="Y659" s="85"/>
      <c r="Z659" s="85"/>
      <c r="AA659" s="85"/>
      <c r="AB659" s="85"/>
      <c r="AC659" s="85"/>
      <c r="AD659" s="85"/>
      <c r="AE659" s="85"/>
      <c r="AF659" s="85"/>
      <c r="AG659" s="85"/>
    </row>
    <row r="660">
      <c r="A660" s="85"/>
      <c r="B660" s="85"/>
      <c r="C660" s="87"/>
      <c r="D660" s="87"/>
      <c r="E660" s="85"/>
      <c r="F660" s="85"/>
      <c r="G660" s="85"/>
      <c r="H660" s="85"/>
      <c r="I660" s="85"/>
      <c r="J660" s="85"/>
      <c r="K660" s="85"/>
      <c r="L660" s="85"/>
      <c r="M660" s="85"/>
      <c r="N660" s="85"/>
      <c r="O660" s="85"/>
      <c r="P660" s="85"/>
      <c r="Q660" s="85"/>
      <c r="R660" s="85"/>
      <c r="S660" s="85"/>
      <c r="T660" s="85"/>
      <c r="U660" s="85"/>
      <c r="V660" s="85"/>
      <c r="W660" s="85"/>
      <c r="X660" s="85"/>
      <c r="Y660" s="85"/>
      <c r="Z660" s="85"/>
      <c r="AA660" s="85"/>
      <c r="AB660" s="85"/>
      <c r="AC660" s="85"/>
      <c r="AD660" s="85"/>
      <c r="AE660" s="85"/>
      <c r="AF660" s="85"/>
      <c r="AG660" s="85"/>
    </row>
    <row r="661">
      <c r="A661" s="85"/>
      <c r="B661" s="85"/>
      <c r="C661" s="87"/>
      <c r="D661" s="87"/>
      <c r="E661" s="85"/>
      <c r="F661" s="85"/>
      <c r="G661" s="85"/>
      <c r="H661" s="85"/>
      <c r="I661" s="85"/>
      <c r="J661" s="85"/>
      <c r="K661" s="85"/>
      <c r="L661" s="85"/>
      <c r="M661" s="85"/>
      <c r="N661" s="85"/>
      <c r="O661" s="85"/>
      <c r="P661" s="85"/>
      <c r="Q661" s="85"/>
      <c r="R661" s="85"/>
      <c r="S661" s="85"/>
      <c r="T661" s="85"/>
      <c r="U661" s="85"/>
      <c r="V661" s="85"/>
      <c r="W661" s="85"/>
      <c r="X661" s="85"/>
      <c r="Y661" s="85"/>
      <c r="Z661" s="85"/>
      <c r="AA661" s="85"/>
      <c r="AB661" s="85"/>
      <c r="AC661" s="85"/>
      <c r="AD661" s="85"/>
      <c r="AE661" s="85"/>
      <c r="AF661" s="85"/>
      <c r="AG661" s="85"/>
    </row>
    <row r="662">
      <c r="A662" s="85"/>
      <c r="B662" s="85"/>
      <c r="C662" s="87"/>
      <c r="D662" s="87"/>
      <c r="E662" s="85"/>
      <c r="F662" s="85"/>
      <c r="G662" s="85"/>
      <c r="H662" s="85"/>
      <c r="I662" s="85"/>
      <c r="J662" s="85"/>
      <c r="K662" s="85"/>
      <c r="L662" s="85"/>
      <c r="M662" s="85"/>
      <c r="N662" s="85"/>
      <c r="O662" s="85"/>
      <c r="P662" s="85"/>
      <c r="Q662" s="85"/>
      <c r="R662" s="85"/>
      <c r="S662" s="85"/>
      <c r="T662" s="85"/>
      <c r="U662" s="85"/>
      <c r="V662" s="85"/>
      <c r="W662" s="85"/>
      <c r="X662" s="85"/>
      <c r="Y662" s="85"/>
      <c r="Z662" s="85"/>
      <c r="AA662" s="85"/>
      <c r="AB662" s="85"/>
      <c r="AC662" s="85"/>
      <c r="AD662" s="85"/>
      <c r="AE662" s="85"/>
      <c r="AF662" s="85"/>
      <c r="AG662" s="85"/>
    </row>
    <row r="663">
      <c r="A663" s="85"/>
      <c r="B663" s="85"/>
      <c r="C663" s="87"/>
      <c r="D663" s="87"/>
      <c r="E663" s="85"/>
      <c r="F663" s="85"/>
      <c r="G663" s="85"/>
      <c r="H663" s="85"/>
      <c r="I663" s="85"/>
      <c r="J663" s="85"/>
      <c r="K663" s="85"/>
      <c r="L663" s="85"/>
      <c r="M663" s="85"/>
      <c r="N663" s="85"/>
      <c r="O663" s="85"/>
      <c r="P663" s="85"/>
      <c r="Q663" s="85"/>
      <c r="R663" s="85"/>
      <c r="S663" s="85"/>
      <c r="T663" s="85"/>
      <c r="U663" s="85"/>
      <c r="V663" s="85"/>
      <c r="W663" s="85"/>
      <c r="X663" s="85"/>
      <c r="Y663" s="85"/>
      <c r="Z663" s="85"/>
      <c r="AA663" s="85"/>
      <c r="AB663" s="85"/>
      <c r="AC663" s="85"/>
      <c r="AD663" s="85"/>
      <c r="AE663" s="85"/>
      <c r="AF663" s="85"/>
      <c r="AG663" s="85"/>
    </row>
    <row r="664">
      <c r="A664" s="85"/>
      <c r="B664" s="85"/>
      <c r="C664" s="87"/>
      <c r="D664" s="87"/>
      <c r="E664" s="85"/>
      <c r="F664" s="85"/>
      <c r="G664" s="85"/>
      <c r="H664" s="85"/>
      <c r="I664" s="85"/>
      <c r="J664" s="85"/>
      <c r="K664" s="85"/>
      <c r="L664" s="85"/>
      <c r="M664" s="85"/>
      <c r="N664" s="85"/>
      <c r="O664" s="85"/>
      <c r="P664" s="85"/>
      <c r="Q664" s="85"/>
      <c r="R664" s="85"/>
      <c r="S664" s="85"/>
      <c r="T664" s="85"/>
      <c r="U664" s="85"/>
      <c r="V664" s="85"/>
      <c r="W664" s="85"/>
      <c r="X664" s="85"/>
      <c r="Y664" s="85"/>
      <c r="Z664" s="85"/>
      <c r="AA664" s="85"/>
      <c r="AB664" s="85"/>
      <c r="AC664" s="85"/>
      <c r="AD664" s="85"/>
      <c r="AE664" s="85"/>
      <c r="AF664" s="85"/>
      <c r="AG664" s="85"/>
    </row>
    <row r="665">
      <c r="A665" s="85"/>
      <c r="B665" s="85"/>
      <c r="C665" s="87"/>
      <c r="D665" s="87"/>
      <c r="E665" s="85"/>
      <c r="F665" s="85"/>
      <c r="G665" s="85"/>
      <c r="H665" s="85"/>
      <c r="I665" s="85"/>
      <c r="J665" s="85"/>
      <c r="K665" s="85"/>
      <c r="L665" s="85"/>
      <c r="M665" s="85"/>
      <c r="N665" s="85"/>
      <c r="O665" s="85"/>
      <c r="P665" s="85"/>
      <c r="Q665" s="85"/>
      <c r="R665" s="85"/>
      <c r="S665" s="85"/>
      <c r="T665" s="85"/>
      <c r="U665" s="85"/>
      <c r="V665" s="85"/>
      <c r="W665" s="85"/>
      <c r="X665" s="85"/>
      <c r="Y665" s="85"/>
      <c r="Z665" s="85"/>
      <c r="AA665" s="85"/>
      <c r="AB665" s="85"/>
      <c r="AC665" s="85"/>
      <c r="AD665" s="85"/>
      <c r="AE665" s="85"/>
      <c r="AF665" s="85"/>
      <c r="AG665" s="85"/>
    </row>
    <row r="666">
      <c r="A666" s="85"/>
      <c r="B666" s="85"/>
      <c r="C666" s="87"/>
      <c r="D666" s="87"/>
      <c r="E666" s="85"/>
      <c r="F666" s="85"/>
      <c r="G666" s="85"/>
      <c r="H666" s="85"/>
      <c r="I666" s="85"/>
      <c r="J666" s="85"/>
      <c r="K666" s="85"/>
      <c r="L666" s="85"/>
      <c r="M666" s="85"/>
      <c r="N666" s="85"/>
      <c r="O666" s="85"/>
      <c r="P666" s="85"/>
      <c r="Q666" s="85"/>
      <c r="R666" s="85"/>
      <c r="S666" s="85"/>
      <c r="T666" s="85"/>
      <c r="U666" s="85"/>
      <c r="V666" s="85"/>
      <c r="W666" s="85"/>
      <c r="X666" s="85"/>
      <c r="Y666" s="85"/>
      <c r="Z666" s="85"/>
      <c r="AA666" s="85"/>
      <c r="AB666" s="85"/>
      <c r="AC666" s="85"/>
      <c r="AD666" s="85"/>
      <c r="AE666" s="85"/>
      <c r="AF666" s="85"/>
      <c r="AG666" s="85"/>
    </row>
    <row r="667">
      <c r="A667" s="85"/>
      <c r="B667" s="85"/>
      <c r="C667" s="87"/>
      <c r="D667" s="87"/>
      <c r="E667" s="85"/>
      <c r="F667" s="85"/>
      <c r="G667" s="85"/>
      <c r="H667" s="85"/>
      <c r="I667" s="85"/>
      <c r="J667" s="85"/>
      <c r="K667" s="85"/>
      <c r="L667" s="85"/>
      <c r="M667" s="85"/>
      <c r="N667" s="85"/>
      <c r="O667" s="85"/>
      <c r="P667" s="85"/>
      <c r="Q667" s="85"/>
      <c r="R667" s="85"/>
      <c r="S667" s="85"/>
      <c r="T667" s="85"/>
      <c r="U667" s="85"/>
      <c r="V667" s="85"/>
      <c r="W667" s="85"/>
      <c r="X667" s="85"/>
      <c r="Y667" s="85"/>
      <c r="Z667" s="85"/>
      <c r="AA667" s="85"/>
      <c r="AB667" s="85"/>
      <c r="AC667" s="85"/>
      <c r="AD667" s="85"/>
      <c r="AE667" s="85"/>
      <c r="AF667" s="85"/>
      <c r="AG667" s="85"/>
    </row>
    <row r="668">
      <c r="A668" s="85"/>
      <c r="B668" s="85"/>
      <c r="C668" s="87"/>
      <c r="D668" s="87"/>
      <c r="E668" s="85"/>
      <c r="F668" s="85"/>
      <c r="G668" s="85"/>
      <c r="H668" s="85"/>
      <c r="I668" s="85"/>
      <c r="J668" s="85"/>
      <c r="K668" s="85"/>
      <c r="L668" s="85"/>
      <c r="M668" s="85"/>
      <c r="N668" s="85"/>
      <c r="O668" s="85"/>
      <c r="P668" s="85"/>
      <c r="Q668" s="85"/>
      <c r="R668" s="85"/>
      <c r="S668" s="85"/>
      <c r="T668" s="85"/>
      <c r="U668" s="85"/>
      <c r="V668" s="85"/>
      <c r="W668" s="85"/>
      <c r="X668" s="85"/>
      <c r="Y668" s="85"/>
      <c r="Z668" s="85"/>
      <c r="AA668" s="85"/>
      <c r="AB668" s="85"/>
      <c r="AC668" s="85"/>
      <c r="AD668" s="85"/>
      <c r="AE668" s="85"/>
      <c r="AF668" s="85"/>
      <c r="AG668" s="85"/>
    </row>
    <row r="669">
      <c r="A669" s="85"/>
      <c r="B669" s="85"/>
      <c r="C669" s="87"/>
      <c r="D669" s="87"/>
      <c r="E669" s="85"/>
      <c r="F669" s="85"/>
      <c r="G669" s="85"/>
      <c r="H669" s="85"/>
      <c r="I669" s="85"/>
      <c r="J669" s="85"/>
      <c r="K669" s="85"/>
      <c r="L669" s="85"/>
      <c r="M669" s="85"/>
      <c r="N669" s="85"/>
      <c r="O669" s="85"/>
      <c r="P669" s="85"/>
      <c r="Q669" s="85"/>
      <c r="R669" s="85"/>
      <c r="S669" s="85"/>
      <c r="T669" s="85"/>
      <c r="U669" s="85"/>
      <c r="V669" s="85"/>
      <c r="W669" s="85"/>
      <c r="X669" s="85"/>
      <c r="Y669" s="85"/>
      <c r="Z669" s="85"/>
      <c r="AA669" s="85"/>
      <c r="AB669" s="85"/>
      <c r="AC669" s="85"/>
      <c r="AD669" s="85"/>
      <c r="AE669" s="85"/>
      <c r="AF669" s="85"/>
      <c r="AG669" s="85"/>
    </row>
    <row r="670">
      <c r="A670" s="85"/>
      <c r="B670" s="85"/>
      <c r="C670" s="87"/>
      <c r="D670" s="87"/>
      <c r="E670" s="85"/>
      <c r="F670" s="85"/>
      <c r="G670" s="85"/>
      <c r="H670" s="85"/>
      <c r="I670" s="85"/>
      <c r="J670" s="85"/>
      <c r="K670" s="85"/>
      <c r="L670" s="85"/>
      <c r="M670" s="85"/>
      <c r="N670" s="85"/>
      <c r="O670" s="85"/>
      <c r="P670" s="85"/>
      <c r="Q670" s="85"/>
      <c r="R670" s="85"/>
      <c r="S670" s="85"/>
      <c r="T670" s="85"/>
      <c r="U670" s="85"/>
      <c r="V670" s="85"/>
      <c r="W670" s="85"/>
      <c r="X670" s="85"/>
      <c r="Y670" s="85"/>
      <c r="Z670" s="85"/>
      <c r="AA670" s="85"/>
      <c r="AB670" s="85"/>
      <c r="AC670" s="85"/>
      <c r="AD670" s="85"/>
      <c r="AE670" s="85"/>
      <c r="AF670" s="85"/>
      <c r="AG670" s="85"/>
    </row>
    <row r="671">
      <c r="A671" s="85"/>
      <c r="B671" s="85"/>
      <c r="C671" s="87"/>
      <c r="D671" s="87"/>
      <c r="E671" s="85"/>
      <c r="F671" s="85"/>
      <c r="G671" s="85"/>
      <c r="H671" s="85"/>
      <c r="I671" s="85"/>
      <c r="J671" s="85"/>
      <c r="K671" s="85"/>
      <c r="L671" s="85"/>
      <c r="M671" s="85"/>
      <c r="N671" s="85"/>
      <c r="O671" s="85"/>
      <c r="P671" s="85"/>
      <c r="Q671" s="85"/>
      <c r="R671" s="85"/>
      <c r="S671" s="85"/>
      <c r="T671" s="85"/>
      <c r="U671" s="85"/>
      <c r="V671" s="85"/>
      <c r="W671" s="85"/>
      <c r="X671" s="85"/>
      <c r="Y671" s="85"/>
      <c r="Z671" s="85"/>
      <c r="AA671" s="85"/>
      <c r="AB671" s="85"/>
      <c r="AC671" s="85"/>
      <c r="AD671" s="85"/>
      <c r="AE671" s="85"/>
      <c r="AF671" s="85"/>
      <c r="AG671" s="85"/>
    </row>
    <row r="672">
      <c r="A672" s="85"/>
      <c r="B672" s="85"/>
      <c r="C672" s="87"/>
      <c r="D672" s="87"/>
      <c r="E672" s="85"/>
      <c r="F672" s="85"/>
      <c r="G672" s="85"/>
      <c r="H672" s="85"/>
      <c r="I672" s="85"/>
      <c r="J672" s="85"/>
      <c r="K672" s="85"/>
      <c r="L672" s="85"/>
      <c r="M672" s="85"/>
      <c r="N672" s="85"/>
      <c r="O672" s="85"/>
      <c r="P672" s="85"/>
      <c r="Q672" s="85"/>
      <c r="R672" s="85"/>
      <c r="S672" s="85"/>
      <c r="T672" s="85"/>
      <c r="U672" s="85"/>
      <c r="V672" s="85"/>
      <c r="W672" s="85"/>
      <c r="X672" s="85"/>
      <c r="Y672" s="85"/>
      <c r="Z672" s="85"/>
      <c r="AA672" s="85"/>
      <c r="AB672" s="85"/>
      <c r="AC672" s="85"/>
      <c r="AD672" s="85"/>
      <c r="AE672" s="85"/>
      <c r="AF672" s="85"/>
      <c r="AG672" s="85"/>
    </row>
    <row r="673">
      <c r="A673" s="85"/>
      <c r="B673" s="85"/>
      <c r="C673" s="87"/>
      <c r="D673" s="87"/>
      <c r="E673" s="85"/>
      <c r="F673" s="85"/>
      <c r="G673" s="85"/>
      <c r="H673" s="85"/>
      <c r="I673" s="85"/>
      <c r="J673" s="85"/>
      <c r="K673" s="85"/>
      <c r="L673" s="85"/>
      <c r="M673" s="85"/>
      <c r="N673" s="85"/>
      <c r="O673" s="85"/>
      <c r="P673" s="85"/>
      <c r="Q673" s="85"/>
      <c r="R673" s="85"/>
      <c r="S673" s="85"/>
      <c r="T673" s="85"/>
      <c r="U673" s="85"/>
      <c r="V673" s="85"/>
      <c r="W673" s="85"/>
      <c r="X673" s="85"/>
      <c r="Y673" s="85"/>
      <c r="Z673" s="85"/>
      <c r="AA673" s="85"/>
      <c r="AB673" s="85"/>
      <c r="AC673" s="85"/>
      <c r="AD673" s="85"/>
      <c r="AE673" s="85"/>
      <c r="AF673" s="85"/>
      <c r="AG673" s="85"/>
    </row>
    <row r="674">
      <c r="A674" s="85"/>
      <c r="B674" s="85"/>
      <c r="C674" s="87"/>
      <c r="D674" s="87"/>
      <c r="E674" s="85"/>
      <c r="F674" s="85"/>
      <c r="G674" s="85"/>
      <c r="H674" s="85"/>
      <c r="I674" s="85"/>
      <c r="J674" s="85"/>
      <c r="K674" s="85"/>
      <c r="L674" s="85"/>
      <c r="M674" s="85"/>
      <c r="N674" s="85"/>
      <c r="O674" s="85"/>
      <c r="P674" s="85"/>
      <c r="Q674" s="85"/>
      <c r="R674" s="85"/>
      <c r="S674" s="85"/>
      <c r="T674" s="85"/>
      <c r="U674" s="85"/>
      <c r="V674" s="85"/>
      <c r="W674" s="85"/>
      <c r="X674" s="85"/>
      <c r="Y674" s="85"/>
      <c r="Z674" s="85"/>
      <c r="AA674" s="85"/>
      <c r="AB674" s="85"/>
      <c r="AC674" s="85"/>
      <c r="AD674" s="85"/>
      <c r="AE674" s="85"/>
      <c r="AF674" s="85"/>
      <c r="AG674" s="85"/>
    </row>
    <row r="675">
      <c r="A675" s="85"/>
      <c r="B675" s="85"/>
      <c r="C675" s="87"/>
      <c r="D675" s="87"/>
      <c r="E675" s="85"/>
      <c r="F675" s="85"/>
      <c r="G675" s="85"/>
      <c r="H675" s="85"/>
      <c r="I675" s="85"/>
      <c r="J675" s="85"/>
      <c r="K675" s="85"/>
      <c r="L675" s="85"/>
      <c r="M675" s="85"/>
      <c r="N675" s="85"/>
      <c r="O675" s="85"/>
      <c r="P675" s="85"/>
      <c r="Q675" s="85"/>
      <c r="R675" s="85"/>
      <c r="S675" s="85"/>
      <c r="T675" s="85"/>
      <c r="U675" s="85"/>
      <c r="V675" s="85"/>
      <c r="W675" s="85"/>
      <c r="X675" s="85"/>
      <c r="Y675" s="85"/>
      <c r="Z675" s="85"/>
      <c r="AA675" s="85"/>
      <c r="AB675" s="85"/>
      <c r="AC675" s="85"/>
      <c r="AD675" s="85"/>
      <c r="AE675" s="85"/>
      <c r="AF675" s="85"/>
      <c r="AG675" s="85"/>
    </row>
    <row r="676">
      <c r="A676" s="85"/>
      <c r="B676" s="85"/>
      <c r="C676" s="87"/>
      <c r="D676" s="87"/>
      <c r="E676" s="85"/>
      <c r="F676" s="85"/>
      <c r="G676" s="85"/>
      <c r="H676" s="85"/>
      <c r="I676" s="85"/>
      <c r="J676" s="85"/>
      <c r="K676" s="85"/>
      <c r="L676" s="85"/>
      <c r="M676" s="85"/>
      <c r="N676" s="85"/>
      <c r="O676" s="85"/>
      <c r="P676" s="85"/>
      <c r="Q676" s="85"/>
      <c r="R676" s="85"/>
      <c r="S676" s="85"/>
      <c r="T676" s="85"/>
      <c r="U676" s="85"/>
      <c r="V676" s="85"/>
      <c r="W676" s="85"/>
      <c r="X676" s="85"/>
      <c r="Y676" s="85"/>
      <c r="Z676" s="85"/>
      <c r="AA676" s="85"/>
      <c r="AB676" s="85"/>
      <c r="AC676" s="85"/>
      <c r="AD676" s="85"/>
      <c r="AE676" s="85"/>
      <c r="AF676" s="85"/>
      <c r="AG676" s="85"/>
    </row>
    <row r="677">
      <c r="A677" s="85"/>
      <c r="B677" s="85"/>
      <c r="C677" s="87"/>
      <c r="D677" s="87"/>
      <c r="E677" s="85"/>
      <c r="F677" s="85"/>
      <c r="G677" s="85"/>
      <c r="H677" s="85"/>
      <c r="I677" s="85"/>
      <c r="J677" s="85"/>
      <c r="K677" s="85"/>
      <c r="L677" s="85"/>
      <c r="M677" s="85"/>
      <c r="N677" s="85"/>
      <c r="O677" s="85"/>
      <c r="P677" s="85"/>
      <c r="Q677" s="85"/>
      <c r="R677" s="85"/>
      <c r="S677" s="85"/>
      <c r="T677" s="85"/>
      <c r="U677" s="85"/>
      <c r="V677" s="85"/>
      <c r="W677" s="85"/>
      <c r="X677" s="85"/>
      <c r="Y677" s="85"/>
      <c r="Z677" s="85"/>
      <c r="AA677" s="85"/>
      <c r="AB677" s="85"/>
      <c r="AC677" s="85"/>
      <c r="AD677" s="85"/>
      <c r="AE677" s="85"/>
      <c r="AF677" s="85"/>
      <c r="AG677" s="85"/>
    </row>
    <row r="678">
      <c r="A678" s="85"/>
      <c r="B678" s="85"/>
      <c r="C678" s="87"/>
      <c r="D678" s="87"/>
      <c r="E678" s="85"/>
      <c r="F678" s="85"/>
      <c r="G678" s="85"/>
      <c r="H678" s="85"/>
      <c r="I678" s="85"/>
      <c r="J678" s="85"/>
      <c r="K678" s="85"/>
      <c r="L678" s="85"/>
      <c r="M678" s="85"/>
      <c r="N678" s="85"/>
      <c r="O678" s="85"/>
      <c r="P678" s="85"/>
      <c r="Q678" s="85"/>
      <c r="R678" s="85"/>
      <c r="S678" s="85"/>
      <c r="T678" s="85"/>
      <c r="U678" s="85"/>
      <c r="V678" s="85"/>
      <c r="W678" s="85"/>
      <c r="X678" s="85"/>
      <c r="Y678" s="85"/>
      <c r="Z678" s="85"/>
      <c r="AA678" s="85"/>
      <c r="AB678" s="85"/>
      <c r="AC678" s="85"/>
      <c r="AD678" s="85"/>
      <c r="AE678" s="85"/>
      <c r="AF678" s="85"/>
      <c r="AG678" s="85"/>
    </row>
    <row r="679">
      <c r="A679" s="85"/>
      <c r="B679" s="85"/>
      <c r="C679" s="87"/>
      <c r="D679" s="87"/>
      <c r="E679" s="85"/>
      <c r="F679" s="85"/>
      <c r="G679" s="85"/>
      <c r="H679" s="85"/>
      <c r="I679" s="85"/>
      <c r="J679" s="85"/>
      <c r="K679" s="85"/>
      <c r="L679" s="85"/>
      <c r="M679" s="85"/>
      <c r="N679" s="85"/>
      <c r="O679" s="85"/>
      <c r="P679" s="85"/>
      <c r="Q679" s="85"/>
      <c r="R679" s="85"/>
      <c r="S679" s="85"/>
      <c r="T679" s="85"/>
      <c r="U679" s="85"/>
      <c r="V679" s="85"/>
      <c r="W679" s="85"/>
      <c r="X679" s="85"/>
      <c r="Y679" s="85"/>
      <c r="Z679" s="85"/>
      <c r="AA679" s="85"/>
      <c r="AB679" s="85"/>
      <c r="AC679" s="85"/>
      <c r="AD679" s="85"/>
      <c r="AE679" s="85"/>
      <c r="AF679" s="85"/>
      <c r="AG679" s="85"/>
    </row>
    <row r="680">
      <c r="A680" s="85"/>
      <c r="B680" s="85"/>
      <c r="C680" s="87"/>
      <c r="D680" s="87"/>
      <c r="E680" s="85"/>
      <c r="F680" s="85"/>
      <c r="G680" s="85"/>
      <c r="H680" s="85"/>
      <c r="I680" s="85"/>
      <c r="J680" s="85"/>
      <c r="K680" s="85"/>
      <c r="L680" s="85"/>
      <c r="M680" s="85"/>
      <c r="N680" s="85"/>
      <c r="O680" s="85"/>
      <c r="P680" s="85"/>
      <c r="Q680" s="85"/>
      <c r="R680" s="85"/>
      <c r="S680" s="85"/>
      <c r="T680" s="85"/>
      <c r="U680" s="85"/>
      <c r="V680" s="85"/>
      <c r="W680" s="85"/>
      <c r="X680" s="85"/>
      <c r="Y680" s="85"/>
      <c r="Z680" s="85"/>
      <c r="AA680" s="85"/>
      <c r="AB680" s="85"/>
      <c r="AC680" s="85"/>
      <c r="AD680" s="85"/>
      <c r="AE680" s="85"/>
      <c r="AF680" s="85"/>
      <c r="AG680" s="85"/>
    </row>
    <row r="681">
      <c r="A681" s="85"/>
      <c r="B681" s="85"/>
      <c r="C681" s="87"/>
      <c r="D681" s="87"/>
      <c r="E681" s="85"/>
      <c r="F681" s="85"/>
      <c r="G681" s="85"/>
      <c r="H681" s="85"/>
      <c r="I681" s="85"/>
      <c r="J681" s="85"/>
      <c r="K681" s="85"/>
      <c r="L681" s="85"/>
      <c r="M681" s="85"/>
      <c r="N681" s="85"/>
      <c r="O681" s="85"/>
      <c r="P681" s="85"/>
      <c r="Q681" s="85"/>
      <c r="R681" s="85"/>
      <c r="S681" s="85"/>
      <c r="T681" s="85"/>
      <c r="U681" s="85"/>
      <c r="V681" s="85"/>
      <c r="W681" s="85"/>
      <c r="X681" s="85"/>
      <c r="Y681" s="85"/>
      <c r="Z681" s="85"/>
      <c r="AA681" s="85"/>
      <c r="AB681" s="85"/>
      <c r="AC681" s="85"/>
      <c r="AD681" s="85"/>
      <c r="AE681" s="85"/>
      <c r="AF681" s="85"/>
      <c r="AG681" s="85"/>
    </row>
    <row r="682">
      <c r="A682" s="85"/>
      <c r="B682" s="85"/>
      <c r="C682" s="87"/>
      <c r="D682" s="87"/>
      <c r="E682" s="85"/>
      <c r="F682" s="85"/>
      <c r="G682" s="85"/>
      <c r="H682" s="85"/>
      <c r="I682" s="85"/>
      <c r="J682" s="85"/>
      <c r="K682" s="85"/>
      <c r="L682" s="85"/>
      <c r="M682" s="85"/>
      <c r="N682" s="85"/>
      <c r="O682" s="85"/>
      <c r="P682" s="85"/>
      <c r="Q682" s="85"/>
      <c r="R682" s="85"/>
      <c r="S682" s="85"/>
      <c r="T682" s="85"/>
      <c r="U682" s="85"/>
      <c r="V682" s="85"/>
      <c r="W682" s="85"/>
      <c r="X682" s="85"/>
      <c r="Y682" s="85"/>
      <c r="Z682" s="85"/>
      <c r="AA682" s="85"/>
      <c r="AB682" s="85"/>
      <c r="AC682" s="85"/>
      <c r="AD682" s="85"/>
      <c r="AE682" s="85"/>
      <c r="AF682" s="85"/>
      <c r="AG682" s="85"/>
    </row>
    <row r="683">
      <c r="A683" s="85"/>
      <c r="B683" s="85"/>
      <c r="C683" s="87"/>
      <c r="D683" s="87"/>
      <c r="E683" s="85"/>
      <c r="F683" s="85"/>
      <c r="G683" s="85"/>
      <c r="H683" s="85"/>
      <c r="I683" s="85"/>
      <c r="J683" s="85"/>
      <c r="K683" s="85"/>
      <c r="L683" s="85"/>
      <c r="M683" s="85"/>
      <c r="N683" s="85"/>
      <c r="O683" s="85"/>
      <c r="P683" s="85"/>
      <c r="Q683" s="85"/>
      <c r="R683" s="85"/>
      <c r="S683" s="85"/>
      <c r="T683" s="85"/>
      <c r="U683" s="85"/>
      <c r="V683" s="85"/>
      <c r="W683" s="85"/>
      <c r="X683" s="85"/>
      <c r="Y683" s="85"/>
      <c r="Z683" s="85"/>
      <c r="AA683" s="85"/>
      <c r="AB683" s="85"/>
      <c r="AC683" s="85"/>
      <c r="AD683" s="85"/>
      <c r="AE683" s="85"/>
      <c r="AF683" s="85"/>
      <c r="AG683" s="85"/>
    </row>
    <row r="684">
      <c r="A684" s="85"/>
      <c r="B684" s="85"/>
      <c r="C684" s="87"/>
      <c r="D684" s="87"/>
      <c r="E684" s="85"/>
      <c r="F684" s="85"/>
      <c r="G684" s="85"/>
      <c r="H684" s="85"/>
      <c r="I684" s="85"/>
      <c r="J684" s="85"/>
      <c r="K684" s="85"/>
      <c r="L684" s="85"/>
      <c r="M684" s="85"/>
      <c r="N684" s="85"/>
      <c r="O684" s="85"/>
      <c r="P684" s="85"/>
      <c r="Q684" s="85"/>
      <c r="R684" s="85"/>
      <c r="S684" s="85"/>
      <c r="T684" s="85"/>
      <c r="U684" s="85"/>
      <c r="V684" s="85"/>
      <c r="W684" s="85"/>
      <c r="X684" s="85"/>
      <c r="Y684" s="85"/>
      <c r="Z684" s="85"/>
      <c r="AA684" s="85"/>
      <c r="AB684" s="85"/>
      <c r="AC684" s="85"/>
      <c r="AD684" s="85"/>
      <c r="AE684" s="85"/>
      <c r="AF684" s="85"/>
      <c r="AG684" s="85"/>
    </row>
    <row r="685">
      <c r="A685" s="85"/>
      <c r="B685" s="85"/>
      <c r="C685" s="87"/>
      <c r="D685" s="87"/>
      <c r="E685" s="85"/>
      <c r="F685" s="85"/>
      <c r="G685" s="85"/>
      <c r="H685" s="85"/>
      <c r="I685" s="85"/>
      <c r="J685" s="85"/>
      <c r="K685" s="85"/>
      <c r="L685" s="85"/>
      <c r="M685" s="85"/>
      <c r="N685" s="85"/>
      <c r="O685" s="85"/>
      <c r="P685" s="85"/>
      <c r="Q685" s="85"/>
      <c r="R685" s="85"/>
      <c r="S685" s="85"/>
      <c r="T685" s="85"/>
      <c r="U685" s="85"/>
      <c r="V685" s="85"/>
      <c r="W685" s="85"/>
      <c r="X685" s="85"/>
      <c r="Y685" s="85"/>
      <c r="Z685" s="85"/>
      <c r="AA685" s="85"/>
      <c r="AB685" s="85"/>
      <c r="AC685" s="85"/>
      <c r="AD685" s="85"/>
      <c r="AE685" s="85"/>
      <c r="AF685" s="85"/>
      <c r="AG685" s="85"/>
    </row>
    <row r="686">
      <c r="A686" s="85"/>
      <c r="B686" s="85"/>
      <c r="C686" s="87"/>
      <c r="D686" s="87"/>
      <c r="E686" s="85"/>
      <c r="F686" s="85"/>
      <c r="G686" s="85"/>
      <c r="H686" s="85"/>
      <c r="I686" s="85"/>
      <c r="J686" s="85"/>
      <c r="K686" s="85"/>
      <c r="L686" s="85"/>
      <c r="M686" s="85"/>
      <c r="N686" s="85"/>
      <c r="O686" s="85"/>
      <c r="P686" s="85"/>
      <c r="Q686" s="85"/>
      <c r="R686" s="85"/>
      <c r="S686" s="85"/>
      <c r="T686" s="85"/>
      <c r="U686" s="85"/>
      <c r="V686" s="85"/>
      <c r="W686" s="85"/>
      <c r="X686" s="85"/>
      <c r="Y686" s="85"/>
      <c r="Z686" s="85"/>
      <c r="AA686" s="85"/>
      <c r="AB686" s="85"/>
      <c r="AC686" s="85"/>
      <c r="AD686" s="85"/>
      <c r="AE686" s="85"/>
      <c r="AF686" s="85"/>
      <c r="AG686" s="85"/>
    </row>
    <row r="687">
      <c r="A687" s="85"/>
      <c r="B687" s="85"/>
      <c r="C687" s="87"/>
      <c r="D687" s="87"/>
      <c r="E687" s="85"/>
      <c r="F687" s="85"/>
      <c r="G687" s="85"/>
      <c r="H687" s="85"/>
      <c r="I687" s="85"/>
      <c r="J687" s="85"/>
      <c r="K687" s="85"/>
      <c r="L687" s="85"/>
      <c r="M687" s="85"/>
      <c r="N687" s="85"/>
      <c r="O687" s="85"/>
      <c r="P687" s="85"/>
      <c r="Q687" s="85"/>
      <c r="R687" s="85"/>
      <c r="S687" s="85"/>
      <c r="T687" s="85"/>
      <c r="U687" s="85"/>
      <c r="V687" s="85"/>
      <c r="W687" s="85"/>
      <c r="X687" s="85"/>
      <c r="Y687" s="85"/>
      <c r="Z687" s="85"/>
      <c r="AA687" s="85"/>
      <c r="AB687" s="85"/>
      <c r="AC687" s="85"/>
      <c r="AD687" s="85"/>
      <c r="AE687" s="85"/>
      <c r="AF687" s="85"/>
      <c r="AG687" s="85"/>
    </row>
    <row r="688">
      <c r="A688" s="85"/>
      <c r="B688" s="85"/>
      <c r="C688" s="87"/>
      <c r="D688" s="87"/>
      <c r="E688" s="85"/>
      <c r="F688" s="85"/>
      <c r="G688" s="85"/>
      <c r="H688" s="85"/>
      <c r="I688" s="85"/>
      <c r="J688" s="85"/>
      <c r="K688" s="85"/>
      <c r="L688" s="85"/>
      <c r="M688" s="85"/>
      <c r="N688" s="85"/>
      <c r="O688" s="85"/>
      <c r="P688" s="85"/>
      <c r="Q688" s="85"/>
      <c r="R688" s="85"/>
      <c r="S688" s="85"/>
      <c r="T688" s="85"/>
      <c r="U688" s="85"/>
      <c r="V688" s="85"/>
      <c r="W688" s="85"/>
      <c r="X688" s="85"/>
      <c r="Y688" s="85"/>
      <c r="Z688" s="85"/>
      <c r="AA688" s="85"/>
      <c r="AB688" s="85"/>
      <c r="AC688" s="85"/>
      <c r="AD688" s="85"/>
      <c r="AE688" s="85"/>
      <c r="AF688" s="85"/>
      <c r="AG688" s="85"/>
    </row>
    <row r="689">
      <c r="A689" s="85"/>
      <c r="B689" s="85"/>
      <c r="C689" s="87"/>
      <c r="D689" s="87"/>
      <c r="E689" s="85"/>
      <c r="F689" s="85"/>
      <c r="G689" s="85"/>
      <c r="H689" s="85"/>
      <c r="I689" s="85"/>
      <c r="J689" s="85"/>
      <c r="K689" s="85"/>
      <c r="L689" s="85"/>
      <c r="M689" s="85"/>
      <c r="N689" s="85"/>
      <c r="O689" s="85"/>
      <c r="P689" s="85"/>
      <c r="Q689" s="85"/>
      <c r="R689" s="85"/>
      <c r="S689" s="85"/>
      <c r="T689" s="85"/>
      <c r="U689" s="85"/>
      <c r="V689" s="85"/>
      <c r="W689" s="85"/>
      <c r="X689" s="85"/>
      <c r="Y689" s="85"/>
      <c r="Z689" s="85"/>
      <c r="AA689" s="85"/>
      <c r="AB689" s="85"/>
      <c r="AC689" s="85"/>
      <c r="AD689" s="85"/>
      <c r="AE689" s="85"/>
      <c r="AF689" s="85"/>
      <c r="AG689" s="85"/>
    </row>
    <row r="690">
      <c r="A690" s="85"/>
      <c r="B690" s="85"/>
      <c r="C690" s="87"/>
      <c r="D690" s="87"/>
      <c r="E690" s="85"/>
      <c r="F690" s="85"/>
      <c r="G690" s="85"/>
      <c r="H690" s="85"/>
      <c r="I690" s="85"/>
      <c r="J690" s="85"/>
      <c r="K690" s="85"/>
      <c r="L690" s="85"/>
      <c r="M690" s="85"/>
      <c r="N690" s="85"/>
      <c r="O690" s="85"/>
      <c r="P690" s="85"/>
      <c r="Q690" s="85"/>
      <c r="R690" s="85"/>
      <c r="S690" s="85"/>
      <c r="T690" s="85"/>
      <c r="U690" s="85"/>
      <c r="V690" s="85"/>
      <c r="W690" s="85"/>
      <c r="X690" s="85"/>
      <c r="Y690" s="85"/>
      <c r="Z690" s="85"/>
      <c r="AA690" s="85"/>
      <c r="AB690" s="85"/>
      <c r="AC690" s="85"/>
      <c r="AD690" s="85"/>
      <c r="AE690" s="85"/>
      <c r="AF690" s="85"/>
      <c r="AG690" s="85"/>
    </row>
    <row r="691">
      <c r="A691" s="85"/>
      <c r="B691" s="85"/>
      <c r="C691" s="87"/>
      <c r="D691" s="87"/>
      <c r="E691" s="85"/>
      <c r="F691" s="85"/>
      <c r="G691" s="85"/>
      <c r="H691" s="85"/>
      <c r="I691" s="85"/>
      <c r="J691" s="85"/>
      <c r="K691" s="85"/>
      <c r="L691" s="85"/>
      <c r="M691" s="85"/>
      <c r="N691" s="85"/>
      <c r="O691" s="85"/>
      <c r="P691" s="85"/>
      <c r="Q691" s="85"/>
      <c r="R691" s="85"/>
      <c r="S691" s="85"/>
      <c r="T691" s="85"/>
      <c r="U691" s="85"/>
      <c r="V691" s="85"/>
      <c r="W691" s="85"/>
      <c r="X691" s="85"/>
      <c r="Y691" s="85"/>
      <c r="Z691" s="85"/>
      <c r="AA691" s="85"/>
      <c r="AB691" s="85"/>
      <c r="AC691" s="85"/>
      <c r="AD691" s="85"/>
      <c r="AE691" s="85"/>
      <c r="AF691" s="85"/>
      <c r="AG691" s="85"/>
    </row>
    <row r="692">
      <c r="A692" s="85"/>
      <c r="B692" s="85"/>
      <c r="C692" s="87"/>
      <c r="D692" s="87"/>
      <c r="E692" s="85"/>
      <c r="F692" s="85"/>
      <c r="G692" s="85"/>
      <c r="H692" s="85"/>
      <c r="I692" s="85"/>
      <c r="J692" s="85"/>
      <c r="K692" s="85"/>
      <c r="L692" s="85"/>
      <c r="M692" s="85"/>
      <c r="N692" s="85"/>
      <c r="O692" s="85"/>
      <c r="P692" s="85"/>
      <c r="Q692" s="85"/>
      <c r="R692" s="85"/>
      <c r="S692" s="85"/>
      <c r="T692" s="85"/>
      <c r="U692" s="85"/>
      <c r="V692" s="85"/>
      <c r="W692" s="85"/>
      <c r="X692" s="85"/>
      <c r="Y692" s="85"/>
      <c r="Z692" s="85"/>
      <c r="AA692" s="85"/>
      <c r="AB692" s="85"/>
      <c r="AC692" s="85"/>
      <c r="AD692" s="85"/>
      <c r="AE692" s="85"/>
      <c r="AF692" s="85"/>
      <c r="AG692" s="85"/>
    </row>
    <row r="693">
      <c r="A693" s="85"/>
      <c r="B693" s="85"/>
      <c r="C693" s="87"/>
      <c r="D693" s="87"/>
      <c r="E693" s="85"/>
      <c r="F693" s="85"/>
      <c r="G693" s="85"/>
      <c r="H693" s="85"/>
      <c r="I693" s="85"/>
      <c r="J693" s="85"/>
      <c r="K693" s="85"/>
      <c r="L693" s="85"/>
      <c r="M693" s="85"/>
      <c r="N693" s="85"/>
      <c r="O693" s="85"/>
      <c r="P693" s="85"/>
      <c r="Q693" s="85"/>
      <c r="R693" s="85"/>
      <c r="S693" s="85"/>
      <c r="T693" s="85"/>
      <c r="U693" s="85"/>
      <c r="V693" s="85"/>
      <c r="W693" s="85"/>
      <c r="X693" s="85"/>
      <c r="Y693" s="85"/>
      <c r="Z693" s="85"/>
      <c r="AA693" s="85"/>
      <c r="AB693" s="85"/>
      <c r="AC693" s="85"/>
      <c r="AD693" s="85"/>
      <c r="AE693" s="85"/>
      <c r="AF693" s="85"/>
      <c r="AG693" s="85"/>
    </row>
    <row r="694">
      <c r="A694" s="85"/>
      <c r="B694" s="85"/>
      <c r="C694" s="87"/>
      <c r="D694" s="87"/>
      <c r="E694" s="85"/>
      <c r="F694" s="85"/>
      <c r="G694" s="85"/>
      <c r="H694" s="85"/>
      <c r="I694" s="85"/>
      <c r="J694" s="85"/>
      <c r="K694" s="85"/>
      <c r="L694" s="85"/>
      <c r="M694" s="85"/>
      <c r="N694" s="85"/>
      <c r="O694" s="85"/>
      <c r="P694" s="85"/>
      <c r="Q694" s="85"/>
      <c r="R694" s="85"/>
      <c r="S694" s="85"/>
      <c r="T694" s="85"/>
      <c r="U694" s="85"/>
      <c r="V694" s="85"/>
      <c r="W694" s="85"/>
      <c r="X694" s="85"/>
      <c r="Y694" s="85"/>
      <c r="Z694" s="85"/>
      <c r="AA694" s="85"/>
      <c r="AB694" s="85"/>
      <c r="AC694" s="85"/>
      <c r="AD694" s="85"/>
      <c r="AE694" s="85"/>
      <c r="AF694" s="85"/>
      <c r="AG694" s="85"/>
    </row>
    <row r="695">
      <c r="A695" s="85"/>
      <c r="B695" s="85"/>
      <c r="C695" s="87"/>
      <c r="D695" s="87"/>
      <c r="E695" s="85"/>
      <c r="F695" s="85"/>
      <c r="G695" s="85"/>
      <c r="H695" s="85"/>
      <c r="I695" s="85"/>
      <c r="J695" s="85"/>
      <c r="K695" s="85"/>
      <c r="L695" s="85"/>
      <c r="M695" s="85"/>
      <c r="N695" s="85"/>
      <c r="O695" s="85"/>
      <c r="P695" s="85"/>
      <c r="Q695" s="85"/>
      <c r="R695" s="85"/>
      <c r="S695" s="85"/>
      <c r="T695" s="85"/>
      <c r="U695" s="85"/>
      <c r="V695" s="85"/>
      <c r="W695" s="85"/>
      <c r="X695" s="85"/>
      <c r="Y695" s="85"/>
      <c r="Z695" s="85"/>
      <c r="AA695" s="85"/>
      <c r="AB695" s="85"/>
      <c r="AC695" s="85"/>
      <c r="AD695" s="85"/>
      <c r="AE695" s="85"/>
      <c r="AF695" s="85"/>
      <c r="AG695" s="85"/>
    </row>
    <row r="696">
      <c r="A696" s="85"/>
      <c r="B696" s="85"/>
      <c r="C696" s="87"/>
      <c r="D696" s="87"/>
      <c r="E696" s="85"/>
      <c r="F696" s="85"/>
      <c r="G696" s="85"/>
      <c r="H696" s="85"/>
      <c r="I696" s="85"/>
      <c r="J696" s="85"/>
      <c r="K696" s="85"/>
      <c r="L696" s="85"/>
      <c r="M696" s="85"/>
      <c r="N696" s="85"/>
      <c r="O696" s="85"/>
      <c r="P696" s="85"/>
      <c r="Q696" s="85"/>
      <c r="R696" s="85"/>
      <c r="S696" s="85"/>
      <c r="T696" s="85"/>
      <c r="U696" s="85"/>
      <c r="V696" s="85"/>
      <c r="W696" s="85"/>
      <c r="X696" s="85"/>
      <c r="Y696" s="85"/>
      <c r="Z696" s="85"/>
      <c r="AA696" s="85"/>
      <c r="AB696" s="85"/>
      <c r="AC696" s="85"/>
      <c r="AD696" s="85"/>
      <c r="AE696" s="85"/>
      <c r="AF696" s="85"/>
      <c r="AG696" s="85"/>
    </row>
    <row r="697">
      <c r="A697" s="85"/>
      <c r="B697" s="85"/>
      <c r="C697" s="87"/>
      <c r="D697" s="87"/>
      <c r="E697" s="85"/>
      <c r="F697" s="85"/>
      <c r="G697" s="85"/>
      <c r="H697" s="85"/>
      <c r="I697" s="85"/>
      <c r="J697" s="85"/>
      <c r="K697" s="85"/>
      <c r="L697" s="85"/>
      <c r="M697" s="85"/>
      <c r="N697" s="85"/>
      <c r="O697" s="85"/>
      <c r="P697" s="85"/>
      <c r="Q697" s="85"/>
      <c r="R697" s="85"/>
      <c r="S697" s="85"/>
      <c r="T697" s="85"/>
      <c r="U697" s="85"/>
      <c r="V697" s="85"/>
      <c r="W697" s="85"/>
      <c r="X697" s="85"/>
      <c r="Y697" s="85"/>
      <c r="Z697" s="85"/>
      <c r="AA697" s="85"/>
      <c r="AB697" s="85"/>
      <c r="AC697" s="85"/>
      <c r="AD697" s="85"/>
      <c r="AE697" s="85"/>
      <c r="AF697" s="85"/>
      <c r="AG697" s="85"/>
    </row>
    <row r="698">
      <c r="A698" s="85"/>
      <c r="B698" s="85"/>
      <c r="C698" s="87"/>
      <c r="D698" s="87"/>
      <c r="E698" s="85"/>
      <c r="F698" s="85"/>
      <c r="G698" s="85"/>
      <c r="H698" s="85"/>
      <c r="I698" s="85"/>
      <c r="J698" s="85"/>
      <c r="K698" s="85"/>
      <c r="L698" s="85"/>
      <c r="M698" s="85"/>
      <c r="N698" s="85"/>
      <c r="O698" s="85"/>
      <c r="P698" s="85"/>
      <c r="Q698" s="85"/>
      <c r="R698" s="85"/>
      <c r="S698" s="85"/>
      <c r="T698" s="85"/>
      <c r="U698" s="85"/>
      <c r="V698" s="85"/>
      <c r="W698" s="85"/>
      <c r="X698" s="85"/>
      <c r="Y698" s="85"/>
      <c r="Z698" s="85"/>
      <c r="AA698" s="85"/>
      <c r="AB698" s="85"/>
      <c r="AC698" s="85"/>
      <c r="AD698" s="85"/>
      <c r="AE698" s="85"/>
      <c r="AF698" s="85"/>
      <c r="AG698" s="85"/>
    </row>
    <row r="699">
      <c r="A699" s="85"/>
      <c r="B699" s="85"/>
      <c r="C699" s="87"/>
      <c r="D699" s="87"/>
      <c r="E699" s="85"/>
      <c r="F699" s="85"/>
      <c r="G699" s="85"/>
      <c r="H699" s="85"/>
      <c r="I699" s="85"/>
      <c r="J699" s="85"/>
      <c r="K699" s="85"/>
      <c r="L699" s="85"/>
      <c r="M699" s="85"/>
      <c r="N699" s="85"/>
      <c r="O699" s="85"/>
      <c r="P699" s="85"/>
      <c r="Q699" s="85"/>
      <c r="R699" s="85"/>
      <c r="S699" s="85"/>
      <c r="T699" s="85"/>
      <c r="U699" s="85"/>
      <c r="V699" s="85"/>
      <c r="W699" s="85"/>
      <c r="X699" s="85"/>
      <c r="Y699" s="85"/>
      <c r="Z699" s="85"/>
      <c r="AA699" s="85"/>
      <c r="AB699" s="85"/>
      <c r="AC699" s="85"/>
      <c r="AD699" s="85"/>
      <c r="AE699" s="85"/>
      <c r="AF699" s="85"/>
      <c r="AG699" s="85"/>
    </row>
    <row r="700">
      <c r="A700" s="85"/>
      <c r="B700" s="85"/>
      <c r="C700" s="87"/>
      <c r="D700" s="87"/>
      <c r="E700" s="85"/>
      <c r="F700" s="85"/>
      <c r="G700" s="85"/>
      <c r="H700" s="85"/>
      <c r="I700" s="85"/>
      <c r="J700" s="85"/>
      <c r="K700" s="85"/>
      <c r="L700" s="85"/>
      <c r="M700" s="85"/>
      <c r="N700" s="85"/>
      <c r="O700" s="85"/>
      <c r="P700" s="85"/>
      <c r="Q700" s="85"/>
      <c r="R700" s="85"/>
      <c r="S700" s="85"/>
      <c r="T700" s="85"/>
      <c r="U700" s="85"/>
      <c r="V700" s="85"/>
      <c r="W700" s="85"/>
      <c r="X700" s="85"/>
      <c r="Y700" s="85"/>
      <c r="Z700" s="85"/>
      <c r="AA700" s="85"/>
      <c r="AB700" s="85"/>
      <c r="AC700" s="85"/>
      <c r="AD700" s="85"/>
      <c r="AE700" s="85"/>
      <c r="AF700" s="85"/>
      <c r="AG700" s="85"/>
    </row>
    <row r="701">
      <c r="A701" s="85"/>
      <c r="B701" s="85"/>
      <c r="C701" s="87"/>
      <c r="D701" s="87"/>
      <c r="E701" s="85"/>
      <c r="F701" s="85"/>
      <c r="G701" s="85"/>
      <c r="H701" s="85"/>
      <c r="I701" s="85"/>
      <c r="J701" s="85"/>
      <c r="K701" s="85"/>
      <c r="L701" s="85"/>
      <c r="M701" s="85"/>
      <c r="N701" s="85"/>
      <c r="O701" s="85"/>
      <c r="P701" s="85"/>
      <c r="Q701" s="85"/>
      <c r="R701" s="85"/>
      <c r="S701" s="85"/>
      <c r="T701" s="85"/>
      <c r="U701" s="85"/>
      <c r="V701" s="85"/>
      <c r="W701" s="85"/>
      <c r="X701" s="85"/>
      <c r="Y701" s="85"/>
      <c r="Z701" s="85"/>
      <c r="AA701" s="85"/>
      <c r="AB701" s="85"/>
      <c r="AC701" s="85"/>
      <c r="AD701" s="85"/>
      <c r="AE701" s="85"/>
      <c r="AF701" s="85"/>
      <c r="AG701" s="85"/>
    </row>
    <row r="702">
      <c r="A702" s="85"/>
      <c r="B702" s="85"/>
      <c r="C702" s="87"/>
      <c r="D702" s="87"/>
      <c r="E702" s="85"/>
      <c r="F702" s="85"/>
      <c r="G702" s="85"/>
      <c r="H702" s="85"/>
      <c r="I702" s="85"/>
      <c r="J702" s="85"/>
      <c r="K702" s="85"/>
      <c r="L702" s="85"/>
      <c r="M702" s="85"/>
      <c r="N702" s="85"/>
      <c r="O702" s="85"/>
      <c r="P702" s="85"/>
      <c r="Q702" s="85"/>
      <c r="R702" s="85"/>
      <c r="S702" s="85"/>
      <c r="T702" s="85"/>
      <c r="U702" s="85"/>
      <c r="V702" s="85"/>
      <c r="W702" s="85"/>
      <c r="X702" s="85"/>
      <c r="Y702" s="85"/>
      <c r="Z702" s="85"/>
      <c r="AA702" s="85"/>
      <c r="AB702" s="85"/>
      <c r="AC702" s="85"/>
      <c r="AD702" s="85"/>
      <c r="AE702" s="85"/>
      <c r="AF702" s="85"/>
      <c r="AG702" s="85"/>
    </row>
    <row r="703">
      <c r="A703" s="85"/>
      <c r="B703" s="85"/>
      <c r="C703" s="87"/>
      <c r="D703" s="87"/>
      <c r="E703" s="85"/>
      <c r="F703" s="85"/>
      <c r="G703" s="85"/>
      <c r="H703" s="85"/>
      <c r="I703" s="85"/>
      <c r="J703" s="85"/>
      <c r="K703" s="85"/>
      <c r="L703" s="85"/>
      <c r="M703" s="85"/>
      <c r="N703" s="85"/>
      <c r="O703" s="85"/>
      <c r="P703" s="85"/>
      <c r="Q703" s="85"/>
      <c r="R703" s="85"/>
      <c r="S703" s="85"/>
      <c r="T703" s="85"/>
      <c r="U703" s="85"/>
      <c r="V703" s="85"/>
      <c r="W703" s="85"/>
      <c r="X703" s="85"/>
      <c r="Y703" s="85"/>
      <c r="Z703" s="85"/>
      <c r="AA703" s="85"/>
      <c r="AB703" s="85"/>
      <c r="AC703" s="85"/>
      <c r="AD703" s="85"/>
      <c r="AE703" s="85"/>
      <c r="AF703" s="85"/>
      <c r="AG703" s="85"/>
    </row>
    <row r="704">
      <c r="A704" s="85"/>
      <c r="B704" s="85"/>
      <c r="C704" s="87"/>
      <c r="D704" s="87"/>
      <c r="E704" s="85"/>
      <c r="F704" s="85"/>
      <c r="G704" s="85"/>
      <c r="H704" s="85"/>
      <c r="I704" s="85"/>
      <c r="J704" s="85"/>
      <c r="K704" s="85"/>
      <c r="L704" s="85"/>
      <c r="M704" s="85"/>
      <c r="N704" s="85"/>
      <c r="O704" s="85"/>
      <c r="P704" s="85"/>
      <c r="Q704" s="85"/>
      <c r="R704" s="85"/>
      <c r="S704" s="85"/>
      <c r="T704" s="85"/>
      <c r="U704" s="85"/>
      <c r="V704" s="85"/>
      <c r="W704" s="85"/>
      <c r="X704" s="85"/>
      <c r="Y704" s="85"/>
      <c r="Z704" s="85"/>
      <c r="AA704" s="85"/>
      <c r="AB704" s="85"/>
      <c r="AC704" s="85"/>
      <c r="AD704" s="85"/>
      <c r="AE704" s="85"/>
      <c r="AF704" s="85"/>
      <c r="AG704" s="85"/>
    </row>
    <row r="705">
      <c r="A705" s="85"/>
      <c r="B705" s="85"/>
      <c r="C705" s="87"/>
      <c r="D705" s="87"/>
      <c r="E705" s="85"/>
      <c r="F705" s="85"/>
      <c r="G705" s="85"/>
      <c r="H705" s="85"/>
      <c r="I705" s="85"/>
      <c r="J705" s="85"/>
      <c r="K705" s="85"/>
      <c r="L705" s="85"/>
      <c r="M705" s="85"/>
      <c r="N705" s="85"/>
      <c r="O705" s="85"/>
      <c r="P705" s="85"/>
      <c r="Q705" s="85"/>
      <c r="R705" s="85"/>
      <c r="S705" s="85"/>
      <c r="T705" s="85"/>
      <c r="U705" s="85"/>
      <c r="V705" s="85"/>
      <c r="W705" s="85"/>
      <c r="X705" s="85"/>
      <c r="Y705" s="85"/>
      <c r="Z705" s="85"/>
      <c r="AA705" s="85"/>
      <c r="AB705" s="85"/>
      <c r="AC705" s="85"/>
      <c r="AD705" s="85"/>
      <c r="AE705" s="85"/>
      <c r="AF705" s="85"/>
      <c r="AG705" s="85"/>
    </row>
    <row r="706">
      <c r="A706" s="85"/>
      <c r="B706" s="85"/>
      <c r="C706" s="87"/>
      <c r="D706" s="87"/>
      <c r="E706" s="85"/>
      <c r="F706" s="85"/>
      <c r="G706" s="85"/>
      <c r="H706" s="85"/>
      <c r="I706" s="85"/>
      <c r="J706" s="85"/>
      <c r="K706" s="85"/>
      <c r="L706" s="85"/>
      <c r="M706" s="85"/>
      <c r="N706" s="85"/>
      <c r="O706" s="85"/>
      <c r="P706" s="85"/>
      <c r="Q706" s="85"/>
      <c r="R706" s="85"/>
      <c r="S706" s="85"/>
      <c r="T706" s="85"/>
      <c r="U706" s="85"/>
      <c r="V706" s="85"/>
      <c r="W706" s="85"/>
      <c r="X706" s="85"/>
      <c r="Y706" s="85"/>
      <c r="Z706" s="85"/>
      <c r="AA706" s="85"/>
      <c r="AB706" s="85"/>
      <c r="AC706" s="85"/>
      <c r="AD706" s="85"/>
      <c r="AE706" s="85"/>
      <c r="AF706" s="85"/>
      <c r="AG706" s="85"/>
    </row>
    <row r="707">
      <c r="A707" s="85"/>
      <c r="B707" s="85"/>
      <c r="C707" s="87"/>
      <c r="D707" s="87"/>
      <c r="E707" s="85"/>
      <c r="F707" s="85"/>
      <c r="G707" s="85"/>
      <c r="H707" s="85"/>
      <c r="I707" s="85"/>
      <c r="J707" s="85"/>
      <c r="K707" s="85"/>
      <c r="L707" s="85"/>
      <c r="M707" s="85"/>
      <c r="N707" s="85"/>
      <c r="O707" s="85"/>
      <c r="P707" s="85"/>
      <c r="Q707" s="85"/>
      <c r="R707" s="85"/>
      <c r="S707" s="85"/>
      <c r="T707" s="85"/>
      <c r="U707" s="85"/>
      <c r="V707" s="85"/>
      <c r="W707" s="85"/>
      <c r="X707" s="85"/>
      <c r="Y707" s="85"/>
      <c r="Z707" s="85"/>
      <c r="AA707" s="85"/>
      <c r="AB707" s="85"/>
      <c r="AC707" s="85"/>
      <c r="AD707" s="85"/>
      <c r="AE707" s="85"/>
      <c r="AF707" s="85"/>
      <c r="AG707" s="85"/>
    </row>
    <row r="708">
      <c r="A708" s="85"/>
      <c r="B708" s="85"/>
      <c r="C708" s="87"/>
      <c r="D708" s="87"/>
      <c r="E708" s="85"/>
      <c r="F708" s="85"/>
      <c r="G708" s="85"/>
      <c r="H708" s="85"/>
      <c r="I708" s="85"/>
      <c r="J708" s="85"/>
      <c r="K708" s="85"/>
      <c r="L708" s="85"/>
      <c r="M708" s="85"/>
      <c r="N708" s="85"/>
      <c r="O708" s="85"/>
      <c r="P708" s="85"/>
      <c r="Q708" s="85"/>
      <c r="R708" s="85"/>
      <c r="S708" s="85"/>
      <c r="T708" s="85"/>
      <c r="U708" s="85"/>
      <c r="V708" s="85"/>
      <c r="W708" s="85"/>
      <c r="X708" s="85"/>
      <c r="Y708" s="85"/>
      <c r="Z708" s="85"/>
      <c r="AA708" s="85"/>
      <c r="AB708" s="85"/>
      <c r="AC708" s="85"/>
      <c r="AD708" s="85"/>
      <c r="AE708" s="85"/>
      <c r="AF708" s="85"/>
      <c r="AG708" s="85"/>
    </row>
    <row r="709">
      <c r="A709" s="85"/>
      <c r="B709" s="85"/>
      <c r="C709" s="87"/>
      <c r="D709" s="87"/>
      <c r="E709" s="85"/>
      <c r="F709" s="85"/>
      <c r="G709" s="85"/>
      <c r="H709" s="85"/>
      <c r="I709" s="85"/>
      <c r="J709" s="85"/>
      <c r="K709" s="85"/>
      <c r="L709" s="85"/>
      <c r="M709" s="85"/>
      <c r="N709" s="85"/>
      <c r="O709" s="85"/>
      <c r="P709" s="85"/>
      <c r="Q709" s="85"/>
      <c r="R709" s="85"/>
      <c r="S709" s="85"/>
      <c r="T709" s="85"/>
      <c r="U709" s="85"/>
      <c r="V709" s="85"/>
      <c r="W709" s="85"/>
      <c r="X709" s="85"/>
      <c r="Y709" s="85"/>
      <c r="Z709" s="85"/>
      <c r="AA709" s="85"/>
      <c r="AB709" s="85"/>
      <c r="AC709" s="85"/>
      <c r="AD709" s="85"/>
      <c r="AE709" s="85"/>
      <c r="AF709" s="85"/>
      <c r="AG709" s="85"/>
    </row>
    <row r="710">
      <c r="A710" s="85"/>
      <c r="B710" s="85"/>
      <c r="C710" s="87"/>
      <c r="D710" s="87"/>
      <c r="E710" s="85"/>
      <c r="F710" s="85"/>
      <c r="G710" s="85"/>
      <c r="H710" s="85"/>
      <c r="I710" s="85"/>
      <c r="J710" s="85"/>
      <c r="K710" s="85"/>
      <c r="L710" s="85"/>
      <c r="M710" s="85"/>
      <c r="N710" s="85"/>
      <c r="O710" s="85"/>
      <c r="P710" s="85"/>
      <c r="Q710" s="85"/>
      <c r="R710" s="85"/>
      <c r="S710" s="85"/>
      <c r="T710" s="85"/>
      <c r="U710" s="85"/>
      <c r="V710" s="85"/>
      <c r="W710" s="85"/>
      <c r="X710" s="85"/>
      <c r="Y710" s="85"/>
      <c r="Z710" s="85"/>
      <c r="AA710" s="85"/>
      <c r="AB710" s="85"/>
      <c r="AC710" s="85"/>
      <c r="AD710" s="85"/>
      <c r="AE710" s="85"/>
      <c r="AF710" s="85"/>
      <c r="AG710" s="85"/>
    </row>
    <row r="711">
      <c r="A711" s="85"/>
      <c r="B711" s="85"/>
      <c r="C711" s="87"/>
      <c r="D711" s="87"/>
      <c r="E711" s="85"/>
      <c r="F711" s="85"/>
      <c r="G711" s="85"/>
      <c r="H711" s="85"/>
      <c r="I711" s="85"/>
      <c r="J711" s="85"/>
      <c r="K711" s="85"/>
      <c r="L711" s="85"/>
      <c r="M711" s="85"/>
      <c r="N711" s="85"/>
      <c r="O711" s="85"/>
      <c r="P711" s="85"/>
      <c r="Q711" s="85"/>
      <c r="R711" s="85"/>
      <c r="S711" s="85"/>
      <c r="T711" s="85"/>
      <c r="U711" s="85"/>
      <c r="V711" s="85"/>
      <c r="W711" s="85"/>
      <c r="X711" s="85"/>
      <c r="Y711" s="85"/>
      <c r="Z711" s="85"/>
      <c r="AA711" s="85"/>
      <c r="AB711" s="85"/>
      <c r="AC711" s="85"/>
      <c r="AD711" s="85"/>
      <c r="AE711" s="85"/>
      <c r="AF711" s="85"/>
      <c r="AG711" s="85"/>
    </row>
    <row r="712">
      <c r="A712" s="85"/>
      <c r="B712" s="85"/>
      <c r="C712" s="87"/>
      <c r="D712" s="87"/>
      <c r="E712" s="85"/>
      <c r="F712" s="85"/>
      <c r="G712" s="85"/>
      <c r="H712" s="85"/>
      <c r="I712" s="85"/>
      <c r="J712" s="85"/>
      <c r="K712" s="85"/>
      <c r="L712" s="85"/>
      <c r="M712" s="85"/>
      <c r="N712" s="85"/>
      <c r="O712" s="85"/>
      <c r="P712" s="85"/>
      <c r="Q712" s="85"/>
      <c r="R712" s="85"/>
      <c r="S712" s="85"/>
      <c r="T712" s="85"/>
      <c r="U712" s="85"/>
      <c r="V712" s="85"/>
      <c r="W712" s="85"/>
      <c r="X712" s="85"/>
      <c r="Y712" s="85"/>
      <c r="Z712" s="85"/>
      <c r="AA712" s="85"/>
      <c r="AB712" s="85"/>
      <c r="AC712" s="85"/>
      <c r="AD712" s="85"/>
      <c r="AE712" s="85"/>
      <c r="AF712" s="85"/>
      <c r="AG712" s="85"/>
    </row>
    <row r="713">
      <c r="A713" s="85"/>
      <c r="B713" s="85"/>
      <c r="C713" s="87"/>
      <c r="D713" s="87"/>
      <c r="E713" s="85"/>
      <c r="F713" s="85"/>
      <c r="G713" s="85"/>
      <c r="H713" s="85"/>
      <c r="I713" s="85"/>
      <c r="J713" s="85"/>
      <c r="K713" s="85"/>
      <c r="L713" s="85"/>
      <c r="M713" s="85"/>
      <c r="N713" s="85"/>
      <c r="O713" s="85"/>
      <c r="P713" s="85"/>
      <c r="Q713" s="85"/>
      <c r="R713" s="85"/>
      <c r="S713" s="85"/>
      <c r="T713" s="85"/>
      <c r="U713" s="85"/>
      <c r="V713" s="85"/>
      <c r="W713" s="85"/>
      <c r="X713" s="85"/>
      <c r="Y713" s="85"/>
      <c r="Z713" s="85"/>
      <c r="AA713" s="85"/>
      <c r="AB713" s="85"/>
      <c r="AC713" s="85"/>
      <c r="AD713" s="85"/>
      <c r="AE713" s="85"/>
      <c r="AF713" s="85"/>
      <c r="AG713" s="85"/>
    </row>
    <row r="714">
      <c r="A714" s="85"/>
      <c r="B714" s="85"/>
      <c r="C714" s="87"/>
      <c r="D714" s="87"/>
      <c r="E714" s="85"/>
      <c r="F714" s="85"/>
      <c r="G714" s="85"/>
      <c r="H714" s="85"/>
      <c r="I714" s="85"/>
      <c r="J714" s="85"/>
      <c r="K714" s="85"/>
      <c r="L714" s="85"/>
      <c r="M714" s="85"/>
      <c r="N714" s="85"/>
      <c r="O714" s="85"/>
      <c r="P714" s="85"/>
      <c r="Q714" s="85"/>
      <c r="R714" s="85"/>
      <c r="S714" s="85"/>
      <c r="T714" s="85"/>
      <c r="U714" s="85"/>
      <c r="V714" s="85"/>
      <c r="W714" s="85"/>
      <c r="X714" s="85"/>
      <c r="Y714" s="85"/>
      <c r="Z714" s="85"/>
      <c r="AA714" s="85"/>
      <c r="AB714" s="85"/>
      <c r="AC714" s="85"/>
      <c r="AD714" s="85"/>
      <c r="AE714" s="85"/>
      <c r="AF714" s="85"/>
      <c r="AG714" s="85"/>
    </row>
    <row r="715">
      <c r="A715" s="85"/>
      <c r="B715" s="85"/>
      <c r="C715" s="87"/>
      <c r="D715" s="87"/>
      <c r="E715" s="85"/>
      <c r="F715" s="85"/>
      <c r="G715" s="85"/>
      <c r="H715" s="85"/>
      <c r="I715" s="85"/>
      <c r="J715" s="85"/>
      <c r="K715" s="85"/>
      <c r="L715" s="85"/>
      <c r="M715" s="85"/>
      <c r="N715" s="85"/>
      <c r="O715" s="85"/>
      <c r="P715" s="85"/>
      <c r="Q715" s="85"/>
      <c r="R715" s="85"/>
      <c r="S715" s="85"/>
      <c r="T715" s="85"/>
      <c r="U715" s="85"/>
      <c r="V715" s="85"/>
      <c r="W715" s="85"/>
      <c r="X715" s="85"/>
      <c r="Y715" s="85"/>
      <c r="Z715" s="85"/>
      <c r="AA715" s="85"/>
      <c r="AB715" s="85"/>
      <c r="AC715" s="85"/>
      <c r="AD715" s="85"/>
      <c r="AE715" s="85"/>
      <c r="AF715" s="85"/>
      <c r="AG715" s="85"/>
    </row>
    <row r="716">
      <c r="A716" s="85"/>
      <c r="B716" s="85"/>
      <c r="C716" s="87"/>
      <c r="D716" s="87"/>
      <c r="E716" s="85"/>
      <c r="F716" s="85"/>
      <c r="G716" s="85"/>
      <c r="H716" s="85"/>
      <c r="I716" s="85"/>
      <c r="J716" s="85"/>
      <c r="K716" s="85"/>
      <c r="L716" s="85"/>
      <c r="M716" s="85"/>
      <c r="N716" s="85"/>
      <c r="O716" s="85"/>
      <c r="P716" s="85"/>
      <c r="Q716" s="85"/>
      <c r="R716" s="85"/>
      <c r="S716" s="85"/>
      <c r="T716" s="85"/>
      <c r="U716" s="85"/>
      <c r="V716" s="85"/>
      <c r="W716" s="85"/>
      <c r="X716" s="85"/>
      <c r="Y716" s="85"/>
      <c r="Z716" s="85"/>
      <c r="AA716" s="85"/>
      <c r="AB716" s="85"/>
      <c r="AC716" s="85"/>
      <c r="AD716" s="85"/>
      <c r="AE716" s="85"/>
      <c r="AF716" s="85"/>
      <c r="AG716" s="85"/>
    </row>
    <row r="717">
      <c r="A717" s="85"/>
      <c r="B717" s="85"/>
      <c r="C717" s="87"/>
      <c r="D717" s="87"/>
      <c r="E717" s="85"/>
      <c r="F717" s="85"/>
      <c r="G717" s="85"/>
      <c r="H717" s="85"/>
      <c r="I717" s="85"/>
      <c r="J717" s="85"/>
      <c r="K717" s="85"/>
      <c r="L717" s="85"/>
      <c r="M717" s="85"/>
      <c r="N717" s="85"/>
      <c r="O717" s="85"/>
      <c r="P717" s="85"/>
      <c r="Q717" s="85"/>
      <c r="R717" s="85"/>
      <c r="S717" s="85"/>
      <c r="T717" s="85"/>
      <c r="U717" s="85"/>
      <c r="V717" s="85"/>
      <c r="W717" s="85"/>
      <c r="X717" s="85"/>
      <c r="Y717" s="85"/>
      <c r="Z717" s="85"/>
      <c r="AA717" s="85"/>
      <c r="AB717" s="85"/>
      <c r="AC717" s="85"/>
      <c r="AD717" s="85"/>
      <c r="AE717" s="85"/>
      <c r="AF717" s="85"/>
      <c r="AG717" s="85"/>
    </row>
    <row r="718">
      <c r="A718" s="85"/>
      <c r="B718" s="85"/>
      <c r="C718" s="87"/>
      <c r="D718" s="87"/>
      <c r="E718" s="85"/>
      <c r="F718" s="85"/>
      <c r="G718" s="85"/>
      <c r="H718" s="85"/>
      <c r="I718" s="85"/>
      <c r="J718" s="85"/>
      <c r="K718" s="85"/>
      <c r="L718" s="85"/>
      <c r="M718" s="85"/>
      <c r="N718" s="85"/>
      <c r="O718" s="85"/>
      <c r="P718" s="85"/>
      <c r="Q718" s="85"/>
      <c r="R718" s="85"/>
      <c r="S718" s="85"/>
      <c r="T718" s="85"/>
      <c r="U718" s="85"/>
      <c r="V718" s="85"/>
      <c r="W718" s="85"/>
      <c r="X718" s="85"/>
      <c r="Y718" s="85"/>
      <c r="Z718" s="85"/>
      <c r="AA718" s="85"/>
      <c r="AB718" s="85"/>
      <c r="AC718" s="85"/>
      <c r="AD718" s="85"/>
      <c r="AE718" s="85"/>
      <c r="AF718" s="85"/>
      <c r="AG718" s="85"/>
    </row>
    <row r="719">
      <c r="A719" s="85"/>
      <c r="B719" s="85"/>
      <c r="C719" s="87"/>
      <c r="D719" s="87"/>
      <c r="E719" s="85"/>
      <c r="F719" s="85"/>
      <c r="G719" s="85"/>
      <c r="H719" s="85"/>
      <c r="I719" s="85"/>
      <c r="J719" s="85"/>
      <c r="K719" s="85"/>
      <c r="L719" s="85"/>
      <c r="M719" s="85"/>
      <c r="N719" s="85"/>
      <c r="O719" s="85"/>
      <c r="P719" s="85"/>
      <c r="Q719" s="85"/>
      <c r="R719" s="85"/>
      <c r="S719" s="85"/>
      <c r="T719" s="85"/>
      <c r="U719" s="85"/>
      <c r="V719" s="85"/>
      <c r="W719" s="85"/>
      <c r="X719" s="85"/>
      <c r="Y719" s="85"/>
      <c r="Z719" s="85"/>
      <c r="AA719" s="85"/>
      <c r="AB719" s="85"/>
      <c r="AC719" s="85"/>
      <c r="AD719" s="85"/>
      <c r="AE719" s="85"/>
      <c r="AF719" s="85"/>
      <c r="AG719" s="85"/>
    </row>
    <row r="720">
      <c r="A720" s="85"/>
      <c r="B720" s="85"/>
      <c r="C720" s="87"/>
      <c r="D720" s="87"/>
      <c r="E720" s="85"/>
      <c r="F720" s="85"/>
      <c r="G720" s="85"/>
      <c r="H720" s="85"/>
      <c r="I720" s="85"/>
      <c r="J720" s="85"/>
      <c r="K720" s="85"/>
      <c r="L720" s="85"/>
      <c r="M720" s="85"/>
      <c r="N720" s="85"/>
      <c r="O720" s="85"/>
      <c r="P720" s="85"/>
      <c r="Q720" s="85"/>
      <c r="R720" s="85"/>
      <c r="S720" s="85"/>
      <c r="T720" s="85"/>
      <c r="U720" s="85"/>
      <c r="V720" s="85"/>
      <c r="W720" s="85"/>
      <c r="X720" s="85"/>
      <c r="Y720" s="85"/>
      <c r="Z720" s="85"/>
      <c r="AA720" s="85"/>
      <c r="AB720" s="85"/>
      <c r="AC720" s="85"/>
      <c r="AD720" s="85"/>
      <c r="AE720" s="85"/>
      <c r="AF720" s="85"/>
      <c r="AG720" s="85"/>
    </row>
    <row r="721">
      <c r="A721" s="85"/>
      <c r="B721" s="85"/>
      <c r="C721" s="87"/>
      <c r="D721" s="87"/>
      <c r="E721" s="85"/>
      <c r="F721" s="85"/>
      <c r="G721" s="85"/>
      <c r="H721" s="85"/>
      <c r="I721" s="85"/>
      <c r="J721" s="85"/>
      <c r="K721" s="85"/>
      <c r="L721" s="85"/>
      <c r="M721" s="85"/>
      <c r="N721" s="85"/>
      <c r="O721" s="85"/>
      <c r="P721" s="85"/>
      <c r="Q721" s="85"/>
      <c r="R721" s="85"/>
      <c r="S721" s="85"/>
      <c r="T721" s="85"/>
      <c r="U721" s="85"/>
      <c r="V721" s="85"/>
      <c r="W721" s="85"/>
      <c r="X721" s="85"/>
      <c r="Y721" s="85"/>
      <c r="Z721" s="85"/>
      <c r="AA721" s="85"/>
      <c r="AB721" s="85"/>
      <c r="AC721" s="85"/>
      <c r="AD721" s="85"/>
      <c r="AE721" s="85"/>
      <c r="AF721" s="85"/>
      <c r="AG721" s="85"/>
    </row>
    <row r="722">
      <c r="A722" s="85"/>
      <c r="B722" s="85"/>
      <c r="C722" s="87"/>
      <c r="D722" s="87"/>
      <c r="E722" s="85"/>
      <c r="F722" s="85"/>
      <c r="G722" s="85"/>
      <c r="H722" s="85"/>
      <c r="I722" s="85"/>
      <c r="J722" s="85"/>
      <c r="K722" s="85"/>
      <c r="L722" s="85"/>
      <c r="M722" s="85"/>
      <c r="N722" s="85"/>
      <c r="O722" s="85"/>
      <c r="P722" s="85"/>
      <c r="Q722" s="85"/>
      <c r="R722" s="85"/>
      <c r="S722" s="85"/>
      <c r="T722" s="85"/>
      <c r="U722" s="85"/>
      <c r="V722" s="85"/>
      <c r="W722" s="85"/>
      <c r="X722" s="85"/>
      <c r="Y722" s="85"/>
      <c r="Z722" s="85"/>
      <c r="AA722" s="85"/>
      <c r="AB722" s="85"/>
      <c r="AC722" s="85"/>
      <c r="AD722" s="85"/>
      <c r="AE722" s="85"/>
      <c r="AF722" s="85"/>
      <c r="AG722" s="85"/>
    </row>
    <row r="723">
      <c r="A723" s="85"/>
      <c r="B723" s="85"/>
      <c r="C723" s="87"/>
      <c r="D723" s="87"/>
      <c r="E723" s="85"/>
      <c r="F723" s="85"/>
      <c r="G723" s="85"/>
      <c r="H723" s="85"/>
      <c r="I723" s="85"/>
      <c r="J723" s="85"/>
      <c r="K723" s="85"/>
      <c r="L723" s="85"/>
      <c r="M723" s="85"/>
      <c r="N723" s="85"/>
      <c r="O723" s="85"/>
      <c r="P723" s="85"/>
      <c r="Q723" s="85"/>
      <c r="R723" s="85"/>
      <c r="S723" s="85"/>
      <c r="T723" s="85"/>
      <c r="U723" s="85"/>
      <c r="V723" s="85"/>
      <c r="W723" s="85"/>
      <c r="X723" s="85"/>
      <c r="Y723" s="85"/>
      <c r="Z723" s="85"/>
      <c r="AA723" s="85"/>
      <c r="AB723" s="85"/>
      <c r="AC723" s="85"/>
      <c r="AD723" s="85"/>
      <c r="AE723" s="85"/>
      <c r="AF723" s="85"/>
      <c r="AG723" s="85"/>
    </row>
    <row r="724">
      <c r="A724" s="85"/>
      <c r="B724" s="85"/>
      <c r="C724" s="87"/>
      <c r="D724" s="87"/>
      <c r="E724" s="85"/>
      <c r="F724" s="85"/>
      <c r="G724" s="85"/>
      <c r="H724" s="85"/>
      <c r="I724" s="85"/>
      <c r="J724" s="85"/>
      <c r="K724" s="85"/>
      <c r="L724" s="85"/>
      <c r="M724" s="85"/>
      <c r="N724" s="85"/>
      <c r="O724" s="85"/>
      <c r="P724" s="85"/>
      <c r="Q724" s="85"/>
      <c r="R724" s="85"/>
      <c r="S724" s="85"/>
      <c r="T724" s="85"/>
      <c r="U724" s="85"/>
      <c r="V724" s="85"/>
      <c r="W724" s="85"/>
      <c r="X724" s="85"/>
      <c r="Y724" s="85"/>
      <c r="Z724" s="85"/>
      <c r="AA724" s="85"/>
      <c r="AB724" s="85"/>
      <c r="AC724" s="85"/>
      <c r="AD724" s="85"/>
      <c r="AE724" s="85"/>
      <c r="AF724" s="85"/>
      <c r="AG724" s="85"/>
    </row>
    <row r="725">
      <c r="A725" s="85"/>
      <c r="B725" s="85"/>
      <c r="C725" s="87"/>
      <c r="D725" s="87"/>
      <c r="E725" s="85"/>
      <c r="F725" s="85"/>
      <c r="G725" s="85"/>
      <c r="H725" s="85"/>
      <c r="I725" s="85"/>
      <c r="J725" s="85"/>
      <c r="K725" s="85"/>
      <c r="L725" s="85"/>
      <c r="M725" s="85"/>
      <c r="N725" s="85"/>
      <c r="O725" s="85"/>
      <c r="P725" s="85"/>
      <c r="Q725" s="85"/>
      <c r="R725" s="85"/>
      <c r="S725" s="85"/>
      <c r="T725" s="85"/>
      <c r="U725" s="85"/>
      <c r="V725" s="85"/>
      <c r="W725" s="85"/>
      <c r="X725" s="85"/>
      <c r="Y725" s="85"/>
      <c r="Z725" s="85"/>
      <c r="AA725" s="85"/>
      <c r="AB725" s="85"/>
      <c r="AC725" s="85"/>
      <c r="AD725" s="85"/>
      <c r="AE725" s="85"/>
      <c r="AF725" s="85"/>
      <c r="AG725" s="85"/>
    </row>
    <row r="726">
      <c r="A726" s="85"/>
      <c r="B726" s="85"/>
      <c r="C726" s="87"/>
      <c r="D726" s="87"/>
      <c r="E726" s="85"/>
      <c r="F726" s="85"/>
      <c r="G726" s="85"/>
      <c r="H726" s="85"/>
      <c r="I726" s="85"/>
      <c r="J726" s="85"/>
      <c r="K726" s="85"/>
      <c r="L726" s="85"/>
      <c r="M726" s="85"/>
      <c r="N726" s="85"/>
      <c r="O726" s="85"/>
      <c r="P726" s="85"/>
      <c r="Q726" s="85"/>
      <c r="R726" s="85"/>
      <c r="S726" s="85"/>
      <c r="T726" s="85"/>
      <c r="U726" s="85"/>
      <c r="V726" s="85"/>
      <c r="W726" s="85"/>
      <c r="X726" s="85"/>
      <c r="Y726" s="85"/>
      <c r="Z726" s="85"/>
      <c r="AA726" s="85"/>
      <c r="AB726" s="85"/>
      <c r="AC726" s="85"/>
      <c r="AD726" s="85"/>
      <c r="AE726" s="85"/>
      <c r="AF726" s="85"/>
      <c r="AG726" s="85"/>
    </row>
    <row r="727">
      <c r="A727" s="85"/>
      <c r="B727" s="85"/>
      <c r="C727" s="87"/>
      <c r="D727" s="87"/>
      <c r="E727" s="85"/>
      <c r="F727" s="85"/>
      <c r="G727" s="85"/>
      <c r="H727" s="85"/>
      <c r="I727" s="85"/>
      <c r="J727" s="85"/>
      <c r="K727" s="85"/>
      <c r="L727" s="85"/>
      <c r="M727" s="85"/>
      <c r="N727" s="85"/>
      <c r="O727" s="85"/>
      <c r="P727" s="85"/>
      <c r="Q727" s="85"/>
      <c r="R727" s="85"/>
      <c r="S727" s="85"/>
      <c r="T727" s="85"/>
      <c r="U727" s="85"/>
      <c r="V727" s="85"/>
      <c r="W727" s="85"/>
      <c r="X727" s="85"/>
      <c r="Y727" s="85"/>
      <c r="Z727" s="85"/>
      <c r="AA727" s="85"/>
      <c r="AB727" s="85"/>
      <c r="AC727" s="85"/>
      <c r="AD727" s="85"/>
      <c r="AE727" s="85"/>
      <c r="AF727" s="85"/>
      <c r="AG727" s="85"/>
    </row>
    <row r="728">
      <c r="A728" s="85"/>
      <c r="B728" s="85"/>
      <c r="C728" s="87"/>
      <c r="D728" s="87"/>
      <c r="E728" s="85"/>
      <c r="F728" s="85"/>
      <c r="G728" s="85"/>
      <c r="H728" s="85"/>
      <c r="I728" s="85"/>
      <c r="J728" s="85"/>
      <c r="K728" s="85"/>
      <c r="L728" s="85"/>
      <c r="M728" s="85"/>
      <c r="N728" s="85"/>
      <c r="O728" s="85"/>
      <c r="P728" s="85"/>
      <c r="Q728" s="85"/>
      <c r="R728" s="85"/>
      <c r="S728" s="85"/>
      <c r="T728" s="85"/>
      <c r="U728" s="85"/>
      <c r="V728" s="85"/>
      <c r="W728" s="85"/>
      <c r="X728" s="85"/>
      <c r="Y728" s="85"/>
      <c r="Z728" s="85"/>
      <c r="AA728" s="85"/>
      <c r="AB728" s="85"/>
      <c r="AC728" s="85"/>
      <c r="AD728" s="85"/>
      <c r="AE728" s="85"/>
      <c r="AF728" s="85"/>
      <c r="AG728" s="85"/>
    </row>
    <row r="729">
      <c r="A729" s="85"/>
      <c r="B729" s="85"/>
      <c r="C729" s="87"/>
      <c r="D729" s="87"/>
      <c r="E729" s="85"/>
      <c r="F729" s="85"/>
      <c r="G729" s="85"/>
      <c r="H729" s="85"/>
      <c r="I729" s="85"/>
      <c r="J729" s="85"/>
      <c r="K729" s="85"/>
      <c r="L729" s="85"/>
      <c r="M729" s="85"/>
      <c r="N729" s="85"/>
      <c r="O729" s="85"/>
      <c r="P729" s="85"/>
      <c r="Q729" s="85"/>
      <c r="R729" s="85"/>
      <c r="S729" s="85"/>
      <c r="T729" s="85"/>
      <c r="U729" s="85"/>
      <c r="V729" s="85"/>
      <c r="W729" s="85"/>
      <c r="X729" s="85"/>
      <c r="Y729" s="85"/>
      <c r="Z729" s="85"/>
      <c r="AA729" s="85"/>
      <c r="AB729" s="85"/>
      <c r="AC729" s="85"/>
      <c r="AD729" s="85"/>
      <c r="AE729" s="85"/>
      <c r="AF729" s="85"/>
      <c r="AG729" s="85"/>
    </row>
    <row r="730">
      <c r="A730" s="85"/>
      <c r="B730" s="85"/>
      <c r="C730" s="87"/>
      <c r="D730" s="87"/>
      <c r="E730" s="85"/>
      <c r="F730" s="85"/>
      <c r="G730" s="85"/>
      <c r="H730" s="85"/>
      <c r="I730" s="85"/>
      <c r="J730" s="85"/>
      <c r="K730" s="85"/>
      <c r="L730" s="85"/>
      <c r="M730" s="85"/>
      <c r="N730" s="85"/>
      <c r="O730" s="85"/>
      <c r="P730" s="85"/>
      <c r="Q730" s="85"/>
      <c r="R730" s="85"/>
      <c r="S730" s="85"/>
      <c r="T730" s="85"/>
      <c r="U730" s="85"/>
      <c r="V730" s="85"/>
      <c r="W730" s="85"/>
      <c r="X730" s="85"/>
      <c r="Y730" s="85"/>
      <c r="Z730" s="85"/>
      <c r="AA730" s="85"/>
      <c r="AB730" s="85"/>
      <c r="AC730" s="85"/>
      <c r="AD730" s="85"/>
      <c r="AE730" s="85"/>
      <c r="AF730" s="85"/>
      <c r="AG730" s="85"/>
    </row>
    <row r="731">
      <c r="A731" s="85"/>
      <c r="B731" s="85"/>
      <c r="C731" s="87"/>
      <c r="D731" s="87"/>
      <c r="E731" s="85"/>
      <c r="F731" s="85"/>
      <c r="G731" s="85"/>
      <c r="H731" s="85"/>
      <c r="I731" s="85"/>
      <c r="J731" s="85"/>
      <c r="K731" s="85"/>
      <c r="L731" s="85"/>
      <c r="M731" s="85"/>
      <c r="N731" s="85"/>
      <c r="O731" s="85"/>
      <c r="P731" s="85"/>
      <c r="Q731" s="85"/>
      <c r="R731" s="85"/>
      <c r="S731" s="85"/>
      <c r="T731" s="85"/>
      <c r="U731" s="85"/>
      <c r="V731" s="85"/>
      <c r="W731" s="85"/>
      <c r="X731" s="85"/>
      <c r="Y731" s="85"/>
      <c r="Z731" s="85"/>
      <c r="AA731" s="85"/>
      <c r="AB731" s="85"/>
      <c r="AC731" s="85"/>
      <c r="AD731" s="85"/>
      <c r="AE731" s="85"/>
      <c r="AF731" s="85"/>
      <c r="AG731" s="85"/>
    </row>
    <row r="732">
      <c r="A732" s="85"/>
      <c r="B732" s="85"/>
      <c r="C732" s="87"/>
      <c r="D732" s="87"/>
      <c r="E732" s="85"/>
      <c r="F732" s="85"/>
      <c r="G732" s="85"/>
      <c r="H732" s="85"/>
      <c r="I732" s="85"/>
      <c r="J732" s="85"/>
      <c r="K732" s="85"/>
      <c r="L732" s="85"/>
      <c r="M732" s="85"/>
      <c r="N732" s="85"/>
      <c r="O732" s="85"/>
      <c r="P732" s="85"/>
      <c r="Q732" s="85"/>
      <c r="R732" s="85"/>
      <c r="S732" s="85"/>
      <c r="T732" s="85"/>
      <c r="U732" s="85"/>
      <c r="V732" s="85"/>
      <c r="W732" s="85"/>
      <c r="X732" s="85"/>
      <c r="Y732" s="85"/>
      <c r="Z732" s="85"/>
      <c r="AA732" s="85"/>
      <c r="AB732" s="85"/>
      <c r="AC732" s="85"/>
      <c r="AD732" s="85"/>
      <c r="AE732" s="85"/>
      <c r="AF732" s="85"/>
      <c r="AG732" s="85"/>
    </row>
    <row r="733">
      <c r="A733" s="85"/>
      <c r="B733" s="85"/>
      <c r="C733" s="87"/>
      <c r="D733" s="87"/>
      <c r="E733" s="85"/>
      <c r="F733" s="85"/>
      <c r="G733" s="85"/>
      <c r="H733" s="85"/>
      <c r="I733" s="85"/>
      <c r="J733" s="85"/>
      <c r="K733" s="85"/>
      <c r="L733" s="85"/>
      <c r="M733" s="85"/>
      <c r="N733" s="85"/>
      <c r="O733" s="85"/>
      <c r="P733" s="85"/>
      <c r="Q733" s="85"/>
      <c r="R733" s="85"/>
      <c r="S733" s="85"/>
      <c r="T733" s="85"/>
      <c r="U733" s="85"/>
      <c r="V733" s="85"/>
      <c r="W733" s="85"/>
      <c r="X733" s="85"/>
      <c r="Y733" s="85"/>
      <c r="Z733" s="85"/>
      <c r="AA733" s="85"/>
      <c r="AB733" s="85"/>
      <c r="AC733" s="85"/>
      <c r="AD733" s="85"/>
      <c r="AE733" s="85"/>
      <c r="AF733" s="85"/>
      <c r="AG733" s="85"/>
    </row>
    <row r="734">
      <c r="A734" s="85"/>
      <c r="B734" s="85"/>
      <c r="C734" s="87"/>
      <c r="D734" s="87"/>
      <c r="E734" s="85"/>
      <c r="F734" s="85"/>
      <c r="G734" s="85"/>
      <c r="H734" s="85"/>
      <c r="I734" s="85"/>
      <c r="J734" s="85"/>
      <c r="K734" s="85"/>
      <c r="L734" s="85"/>
      <c r="M734" s="85"/>
      <c r="N734" s="85"/>
      <c r="O734" s="85"/>
      <c r="P734" s="85"/>
      <c r="Q734" s="85"/>
      <c r="R734" s="85"/>
      <c r="S734" s="85"/>
      <c r="T734" s="85"/>
      <c r="U734" s="85"/>
      <c r="V734" s="85"/>
      <c r="W734" s="85"/>
      <c r="X734" s="85"/>
      <c r="Y734" s="85"/>
      <c r="Z734" s="85"/>
      <c r="AA734" s="85"/>
      <c r="AB734" s="85"/>
      <c r="AC734" s="85"/>
      <c r="AD734" s="85"/>
      <c r="AE734" s="85"/>
      <c r="AF734" s="85"/>
      <c r="AG734" s="85"/>
    </row>
    <row r="735">
      <c r="A735" s="85"/>
      <c r="B735" s="85"/>
      <c r="C735" s="87"/>
      <c r="D735" s="87"/>
      <c r="E735" s="85"/>
      <c r="F735" s="85"/>
      <c r="G735" s="85"/>
      <c r="H735" s="85"/>
      <c r="I735" s="85"/>
      <c r="J735" s="85"/>
      <c r="K735" s="85"/>
      <c r="L735" s="85"/>
      <c r="M735" s="85"/>
      <c r="N735" s="85"/>
      <c r="O735" s="85"/>
      <c r="P735" s="85"/>
      <c r="Q735" s="85"/>
      <c r="R735" s="85"/>
      <c r="S735" s="85"/>
      <c r="T735" s="85"/>
      <c r="U735" s="85"/>
      <c r="V735" s="85"/>
      <c r="W735" s="85"/>
      <c r="X735" s="85"/>
      <c r="Y735" s="85"/>
      <c r="Z735" s="85"/>
      <c r="AA735" s="85"/>
      <c r="AB735" s="85"/>
      <c r="AC735" s="85"/>
      <c r="AD735" s="85"/>
      <c r="AE735" s="85"/>
      <c r="AF735" s="85"/>
      <c r="AG735" s="85"/>
    </row>
    <row r="736">
      <c r="A736" s="85"/>
      <c r="B736" s="85"/>
      <c r="C736" s="87"/>
      <c r="D736" s="87"/>
      <c r="E736" s="85"/>
      <c r="F736" s="85"/>
      <c r="G736" s="85"/>
      <c r="H736" s="85"/>
      <c r="I736" s="85"/>
      <c r="J736" s="85"/>
      <c r="K736" s="85"/>
      <c r="L736" s="85"/>
      <c r="M736" s="85"/>
      <c r="N736" s="85"/>
      <c r="O736" s="85"/>
      <c r="P736" s="85"/>
      <c r="Q736" s="85"/>
      <c r="R736" s="85"/>
      <c r="S736" s="85"/>
      <c r="T736" s="85"/>
      <c r="U736" s="85"/>
      <c r="V736" s="85"/>
      <c r="W736" s="85"/>
      <c r="X736" s="85"/>
      <c r="Y736" s="85"/>
      <c r="Z736" s="85"/>
      <c r="AA736" s="85"/>
      <c r="AB736" s="85"/>
      <c r="AC736" s="85"/>
      <c r="AD736" s="85"/>
      <c r="AE736" s="85"/>
      <c r="AF736" s="85"/>
      <c r="AG736" s="85"/>
    </row>
    <row r="737">
      <c r="A737" s="85"/>
      <c r="B737" s="85"/>
      <c r="C737" s="87"/>
      <c r="D737" s="87"/>
      <c r="E737" s="85"/>
      <c r="F737" s="85"/>
      <c r="G737" s="85"/>
      <c r="H737" s="85"/>
      <c r="I737" s="85"/>
      <c r="J737" s="85"/>
      <c r="K737" s="85"/>
      <c r="L737" s="85"/>
      <c r="M737" s="85"/>
      <c r="N737" s="85"/>
      <c r="O737" s="85"/>
      <c r="P737" s="85"/>
      <c r="Q737" s="85"/>
      <c r="R737" s="85"/>
      <c r="S737" s="85"/>
      <c r="T737" s="85"/>
      <c r="U737" s="85"/>
      <c r="V737" s="85"/>
      <c r="W737" s="85"/>
      <c r="X737" s="85"/>
      <c r="Y737" s="85"/>
      <c r="Z737" s="85"/>
      <c r="AA737" s="85"/>
      <c r="AB737" s="85"/>
      <c r="AC737" s="85"/>
      <c r="AD737" s="85"/>
      <c r="AE737" s="85"/>
      <c r="AF737" s="85"/>
      <c r="AG737" s="85"/>
    </row>
    <row r="738">
      <c r="A738" s="85"/>
      <c r="B738" s="85"/>
      <c r="C738" s="87"/>
      <c r="D738" s="87"/>
      <c r="E738" s="85"/>
      <c r="F738" s="85"/>
      <c r="G738" s="85"/>
      <c r="H738" s="85"/>
      <c r="I738" s="85"/>
      <c r="J738" s="85"/>
      <c r="K738" s="85"/>
      <c r="L738" s="85"/>
      <c r="M738" s="85"/>
      <c r="N738" s="85"/>
      <c r="O738" s="85"/>
      <c r="P738" s="85"/>
      <c r="Q738" s="85"/>
      <c r="R738" s="85"/>
      <c r="S738" s="85"/>
      <c r="T738" s="85"/>
      <c r="U738" s="85"/>
      <c r="V738" s="85"/>
      <c r="W738" s="85"/>
      <c r="X738" s="85"/>
      <c r="Y738" s="85"/>
      <c r="Z738" s="85"/>
      <c r="AA738" s="85"/>
      <c r="AB738" s="85"/>
      <c r="AC738" s="85"/>
      <c r="AD738" s="85"/>
      <c r="AE738" s="85"/>
      <c r="AF738" s="85"/>
      <c r="AG738" s="85"/>
    </row>
    <row r="739">
      <c r="A739" s="85"/>
      <c r="B739" s="85"/>
      <c r="C739" s="87"/>
      <c r="D739" s="87"/>
      <c r="E739" s="85"/>
      <c r="F739" s="85"/>
      <c r="G739" s="85"/>
      <c r="H739" s="85"/>
      <c r="I739" s="85"/>
      <c r="J739" s="85"/>
      <c r="K739" s="85"/>
      <c r="L739" s="85"/>
      <c r="M739" s="85"/>
      <c r="N739" s="85"/>
      <c r="O739" s="85"/>
      <c r="P739" s="85"/>
      <c r="Q739" s="85"/>
      <c r="R739" s="85"/>
      <c r="S739" s="85"/>
      <c r="T739" s="85"/>
      <c r="U739" s="85"/>
      <c r="V739" s="85"/>
      <c r="W739" s="85"/>
      <c r="X739" s="85"/>
      <c r="Y739" s="85"/>
      <c r="Z739" s="85"/>
      <c r="AA739" s="85"/>
      <c r="AB739" s="85"/>
      <c r="AC739" s="85"/>
      <c r="AD739" s="85"/>
      <c r="AE739" s="85"/>
      <c r="AF739" s="85"/>
      <c r="AG739" s="85"/>
    </row>
    <row r="740">
      <c r="A740" s="85"/>
      <c r="B740" s="85"/>
      <c r="C740" s="87"/>
      <c r="D740" s="87"/>
      <c r="E740" s="85"/>
      <c r="F740" s="85"/>
      <c r="G740" s="85"/>
      <c r="H740" s="85"/>
      <c r="I740" s="85"/>
      <c r="J740" s="85"/>
      <c r="K740" s="85"/>
      <c r="L740" s="85"/>
      <c r="M740" s="85"/>
      <c r="N740" s="85"/>
      <c r="O740" s="85"/>
      <c r="P740" s="85"/>
      <c r="Q740" s="85"/>
      <c r="R740" s="85"/>
      <c r="S740" s="85"/>
      <c r="T740" s="85"/>
      <c r="U740" s="85"/>
      <c r="V740" s="85"/>
      <c r="W740" s="85"/>
      <c r="X740" s="85"/>
      <c r="Y740" s="85"/>
      <c r="Z740" s="85"/>
      <c r="AA740" s="85"/>
      <c r="AB740" s="85"/>
      <c r="AC740" s="85"/>
      <c r="AD740" s="85"/>
      <c r="AE740" s="85"/>
      <c r="AF740" s="85"/>
      <c r="AG740" s="85"/>
    </row>
    <row r="741">
      <c r="A741" s="85"/>
      <c r="B741" s="85"/>
      <c r="C741" s="87"/>
      <c r="D741" s="87"/>
      <c r="E741" s="85"/>
      <c r="F741" s="85"/>
      <c r="G741" s="85"/>
      <c r="H741" s="85"/>
      <c r="I741" s="85"/>
      <c r="J741" s="85"/>
      <c r="K741" s="85"/>
      <c r="L741" s="85"/>
      <c r="M741" s="85"/>
      <c r="N741" s="85"/>
      <c r="O741" s="85"/>
      <c r="P741" s="85"/>
      <c r="Q741" s="85"/>
      <c r="R741" s="85"/>
      <c r="S741" s="85"/>
      <c r="T741" s="85"/>
      <c r="U741" s="85"/>
      <c r="V741" s="85"/>
      <c r="W741" s="85"/>
      <c r="X741" s="85"/>
      <c r="Y741" s="85"/>
      <c r="Z741" s="85"/>
      <c r="AA741" s="85"/>
      <c r="AB741" s="85"/>
      <c r="AC741" s="85"/>
      <c r="AD741" s="85"/>
      <c r="AE741" s="85"/>
      <c r="AF741" s="85"/>
      <c r="AG741" s="85"/>
    </row>
    <row r="742">
      <c r="A742" s="85"/>
      <c r="B742" s="85"/>
      <c r="C742" s="87"/>
      <c r="D742" s="87"/>
      <c r="E742" s="85"/>
      <c r="F742" s="85"/>
      <c r="G742" s="85"/>
      <c r="H742" s="85"/>
      <c r="I742" s="85"/>
      <c r="J742" s="85"/>
      <c r="K742" s="85"/>
      <c r="L742" s="85"/>
      <c r="M742" s="85"/>
      <c r="N742" s="85"/>
      <c r="O742" s="85"/>
      <c r="P742" s="85"/>
      <c r="Q742" s="85"/>
      <c r="R742" s="85"/>
      <c r="S742" s="85"/>
      <c r="T742" s="85"/>
      <c r="U742" s="85"/>
      <c r="V742" s="85"/>
      <c r="W742" s="85"/>
      <c r="X742" s="85"/>
      <c r="Y742" s="85"/>
      <c r="Z742" s="85"/>
      <c r="AA742" s="85"/>
      <c r="AB742" s="85"/>
      <c r="AC742" s="85"/>
      <c r="AD742" s="85"/>
      <c r="AE742" s="85"/>
      <c r="AF742" s="85"/>
      <c r="AG742" s="85"/>
    </row>
    <row r="743">
      <c r="A743" s="85"/>
      <c r="B743" s="85"/>
      <c r="C743" s="87"/>
      <c r="D743" s="87"/>
      <c r="E743" s="85"/>
      <c r="F743" s="85"/>
      <c r="G743" s="85"/>
      <c r="H743" s="85"/>
      <c r="I743" s="85"/>
      <c r="J743" s="85"/>
      <c r="K743" s="85"/>
      <c r="L743" s="85"/>
      <c r="M743" s="85"/>
      <c r="N743" s="85"/>
      <c r="O743" s="85"/>
      <c r="P743" s="85"/>
      <c r="Q743" s="85"/>
      <c r="R743" s="85"/>
      <c r="S743" s="85"/>
      <c r="T743" s="85"/>
      <c r="U743" s="85"/>
      <c r="V743" s="85"/>
      <c r="W743" s="85"/>
      <c r="X743" s="85"/>
      <c r="Y743" s="85"/>
      <c r="Z743" s="85"/>
      <c r="AA743" s="85"/>
      <c r="AB743" s="85"/>
      <c r="AC743" s="85"/>
      <c r="AD743" s="85"/>
      <c r="AE743" s="85"/>
      <c r="AF743" s="85"/>
      <c r="AG743" s="85"/>
    </row>
    <row r="744">
      <c r="A744" s="85"/>
      <c r="B744" s="85"/>
      <c r="C744" s="87"/>
      <c r="D744" s="87"/>
      <c r="E744" s="85"/>
      <c r="F744" s="85"/>
      <c r="G744" s="85"/>
      <c r="H744" s="85"/>
      <c r="I744" s="85"/>
      <c r="J744" s="85"/>
      <c r="K744" s="85"/>
      <c r="L744" s="85"/>
      <c r="M744" s="85"/>
      <c r="N744" s="85"/>
      <c r="O744" s="85"/>
      <c r="P744" s="85"/>
      <c r="Q744" s="85"/>
      <c r="R744" s="85"/>
      <c r="S744" s="85"/>
      <c r="T744" s="85"/>
      <c r="U744" s="85"/>
      <c r="V744" s="85"/>
      <c r="W744" s="85"/>
      <c r="X744" s="85"/>
      <c r="Y744" s="85"/>
      <c r="Z744" s="85"/>
      <c r="AA744" s="85"/>
      <c r="AB744" s="85"/>
      <c r="AC744" s="85"/>
      <c r="AD744" s="85"/>
      <c r="AE744" s="85"/>
      <c r="AF744" s="85"/>
      <c r="AG744" s="85"/>
    </row>
    <row r="745">
      <c r="A745" s="85"/>
      <c r="B745" s="85"/>
      <c r="C745" s="87"/>
      <c r="D745" s="87"/>
      <c r="E745" s="85"/>
      <c r="F745" s="85"/>
      <c r="G745" s="85"/>
      <c r="H745" s="85"/>
      <c r="I745" s="85"/>
      <c r="J745" s="85"/>
      <c r="K745" s="85"/>
      <c r="L745" s="85"/>
      <c r="M745" s="85"/>
      <c r="N745" s="85"/>
      <c r="O745" s="85"/>
      <c r="P745" s="85"/>
      <c r="Q745" s="85"/>
      <c r="R745" s="85"/>
      <c r="S745" s="85"/>
      <c r="T745" s="85"/>
      <c r="U745" s="85"/>
      <c r="V745" s="85"/>
      <c r="W745" s="85"/>
      <c r="X745" s="85"/>
      <c r="Y745" s="85"/>
      <c r="Z745" s="85"/>
      <c r="AA745" s="85"/>
      <c r="AB745" s="85"/>
      <c r="AC745" s="85"/>
      <c r="AD745" s="85"/>
      <c r="AE745" s="85"/>
      <c r="AF745" s="85"/>
      <c r="AG745" s="85"/>
    </row>
    <row r="746">
      <c r="A746" s="85"/>
      <c r="B746" s="85"/>
      <c r="C746" s="87"/>
      <c r="D746" s="87"/>
      <c r="E746" s="85"/>
      <c r="F746" s="85"/>
      <c r="G746" s="85"/>
      <c r="H746" s="85"/>
      <c r="I746" s="85"/>
      <c r="J746" s="85"/>
      <c r="K746" s="85"/>
      <c r="L746" s="85"/>
      <c r="M746" s="85"/>
      <c r="N746" s="85"/>
      <c r="O746" s="85"/>
      <c r="P746" s="85"/>
      <c r="Q746" s="85"/>
      <c r="R746" s="85"/>
      <c r="S746" s="85"/>
      <c r="T746" s="85"/>
      <c r="U746" s="85"/>
      <c r="V746" s="85"/>
      <c r="W746" s="85"/>
      <c r="X746" s="85"/>
      <c r="Y746" s="85"/>
      <c r="Z746" s="85"/>
      <c r="AA746" s="85"/>
      <c r="AB746" s="85"/>
      <c r="AC746" s="85"/>
      <c r="AD746" s="85"/>
      <c r="AE746" s="85"/>
      <c r="AF746" s="85"/>
      <c r="AG746" s="85"/>
    </row>
    <row r="747">
      <c r="A747" s="85"/>
      <c r="B747" s="85"/>
      <c r="C747" s="87"/>
      <c r="D747" s="87"/>
      <c r="E747" s="85"/>
      <c r="F747" s="85"/>
      <c r="G747" s="85"/>
      <c r="H747" s="85"/>
      <c r="I747" s="85"/>
      <c r="J747" s="85"/>
      <c r="K747" s="85"/>
      <c r="L747" s="85"/>
      <c r="M747" s="85"/>
      <c r="N747" s="85"/>
      <c r="O747" s="85"/>
      <c r="P747" s="85"/>
      <c r="Q747" s="85"/>
      <c r="R747" s="85"/>
      <c r="S747" s="85"/>
      <c r="T747" s="85"/>
      <c r="U747" s="85"/>
      <c r="V747" s="85"/>
      <c r="W747" s="85"/>
      <c r="X747" s="85"/>
      <c r="Y747" s="85"/>
      <c r="Z747" s="85"/>
      <c r="AA747" s="85"/>
      <c r="AB747" s="85"/>
      <c r="AC747" s="85"/>
      <c r="AD747" s="85"/>
      <c r="AE747" s="85"/>
      <c r="AF747" s="85"/>
      <c r="AG747" s="85"/>
    </row>
    <row r="748">
      <c r="A748" s="85"/>
      <c r="B748" s="85"/>
      <c r="C748" s="87"/>
      <c r="D748" s="87"/>
      <c r="E748" s="85"/>
      <c r="F748" s="85"/>
      <c r="G748" s="85"/>
      <c r="H748" s="85"/>
      <c r="I748" s="85"/>
      <c r="J748" s="85"/>
      <c r="K748" s="85"/>
      <c r="L748" s="85"/>
      <c r="M748" s="85"/>
      <c r="N748" s="85"/>
      <c r="O748" s="85"/>
      <c r="P748" s="85"/>
      <c r="Q748" s="85"/>
      <c r="R748" s="85"/>
      <c r="S748" s="85"/>
      <c r="T748" s="85"/>
      <c r="U748" s="85"/>
      <c r="V748" s="85"/>
      <c r="W748" s="85"/>
      <c r="X748" s="85"/>
      <c r="Y748" s="85"/>
      <c r="Z748" s="85"/>
      <c r="AA748" s="85"/>
      <c r="AB748" s="85"/>
      <c r="AC748" s="85"/>
      <c r="AD748" s="85"/>
      <c r="AE748" s="85"/>
      <c r="AF748" s="85"/>
      <c r="AG748" s="85"/>
    </row>
    <row r="749">
      <c r="A749" s="85"/>
      <c r="B749" s="85"/>
      <c r="C749" s="87"/>
      <c r="D749" s="87"/>
      <c r="E749" s="85"/>
      <c r="F749" s="85"/>
      <c r="G749" s="85"/>
      <c r="H749" s="85"/>
      <c r="I749" s="85"/>
      <c r="J749" s="85"/>
      <c r="K749" s="85"/>
      <c r="L749" s="85"/>
      <c r="M749" s="85"/>
      <c r="N749" s="85"/>
      <c r="O749" s="85"/>
      <c r="P749" s="85"/>
      <c r="Q749" s="85"/>
      <c r="R749" s="85"/>
      <c r="S749" s="85"/>
      <c r="T749" s="85"/>
      <c r="U749" s="85"/>
      <c r="V749" s="85"/>
      <c r="W749" s="85"/>
      <c r="X749" s="85"/>
      <c r="Y749" s="85"/>
      <c r="Z749" s="85"/>
      <c r="AA749" s="85"/>
      <c r="AB749" s="85"/>
      <c r="AC749" s="85"/>
      <c r="AD749" s="85"/>
      <c r="AE749" s="85"/>
      <c r="AF749" s="85"/>
      <c r="AG749" s="85"/>
    </row>
    <row r="750">
      <c r="A750" s="85"/>
      <c r="B750" s="85"/>
      <c r="C750" s="87"/>
      <c r="D750" s="87"/>
      <c r="E750" s="85"/>
      <c r="F750" s="85"/>
      <c r="G750" s="85"/>
      <c r="H750" s="85"/>
      <c r="I750" s="85"/>
      <c r="J750" s="85"/>
      <c r="K750" s="85"/>
      <c r="L750" s="85"/>
      <c r="M750" s="85"/>
      <c r="N750" s="85"/>
      <c r="O750" s="85"/>
      <c r="P750" s="85"/>
      <c r="Q750" s="85"/>
      <c r="R750" s="85"/>
      <c r="S750" s="85"/>
      <c r="T750" s="85"/>
      <c r="U750" s="85"/>
      <c r="V750" s="85"/>
      <c r="W750" s="85"/>
      <c r="X750" s="85"/>
      <c r="Y750" s="85"/>
      <c r="Z750" s="85"/>
      <c r="AA750" s="85"/>
      <c r="AB750" s="85"/>
      <c r="AC750" s="85"/>
      <c r="AD750" s="85"/>
      <c r="AE750" s="85"/>
      <c r="AF750" s="85"/>
      <c r="AG750" s="85"/>
    </row>
    <row r="751">
      <c r="A751" s="85"/>
      <c r="B751" s="85"/>
      <c r="C751" s="87"/>
      <c r="D751" s="87"/>
      <c r="E751" s="85"/>
      <c r="F751" s="85"/>
      <c r="G751" s="85"/>
      <c r="H751" s="85"/>
      <c r="I751" s="85"/>
      <c r="J751" s="85"/>
      <c r="K751" s="85"/>
      <c r="L751" s="85"/>
      <c r="M751" s="85"/>
      <c r="N751" s="85"/>
      <c r="O751" s="85"/>
      <c r="P751" s="85"/>
      <c r="Q751" s="85"/>
      <c r="R751" s="85"/>
      <c r="S751" s="85"/>
      <c r="T751" s="85"/>
      <c r="U751" s="85"/>
      <c r="V751" s="85"/>
      <c r="W751" s="85"/>
      <c r="X751" s="85"/>
      <c r="Y751" s="85"/>
      <c r="Z751" s="85"/>
      <c r="AA751" s="85"/>
      <c r="AB751" s="85"/>
      <c r="AC751" s="85"/>
      <c r="AD751" s="85"/>
      <c r="AE751" s="85"/>
      <c r="AF751" s="85"/>
      <c r="AG751" s="85"/>
    </row>
    <row r="752">
      <c r="A752" s="85"/>
      <c r="B752" s="85"/>
      <c r="C752" s="87"/>
      <c r="D752" s="87"/>
      <c r="E752" s="85"/>
      <c r="F752" s="85"/>
      <c r="G752" s="85"/>
      <c r="H752" s="85"/>
      <c r="I752" s="85"/>
      <c r="J752" s="85"/>
      <c r="K752" s="85"/>
      <c r="L752" s="85"/>
      <c r="M752" s="85"/>
      <c r="N752" s="85"/>
      <c r="O752" s="85"/>
      <c r="P752" s="85"/>
      <c r="Q752" s="85"/>
      <c r="R752" s="85"/>
      <c r="S752" s="85"/>
      <c r="T752" s="85"/>
      <c r="U752" s="85"/>
      <c r="V752" s="85"/>
      <c r="W752" s="85"/>
      <c r="X752" s="85"/>
      <c r="Y752" s="85"/>
      <c r="Z752" s="85"/>
      <c r="AA752" s="85"/>
      <c r="AB752" s="85"/>
      <c r="AC752" s="85"/>
      <c r="AD752" s="85"/>
      <c r="AE752" s="85"/>
      <c r="AF752" s="85"/>
      <c r="AG752" s="85"/>
    </row>
    <row r="753">
      <c r="A753" s="85"/>
      <c r="B753" s="85"/>
      <c r="C753" s="87"/>
      <c r="D753" s="87"/>
      <c r="E753" s="85"/>
      <c r="F753" s="85"/>
      <c r="G753" s="85"/>
      <c r="H753" s="85"/>
      <c r="I753" s="85"/>
      <c r="J753" s="85"/>
      <c r="K753" s="85"/>
      <c r="L753" s="85"/>
      <c r="M753" s="85"/>
      <c r="N753" s="85"/>
      <c r="O753" s="85"/>
      <c r="P753" s="85"/>
      <c r="Q753" s="85"/>
      <c r="R753" s="85"/>
      <c r="S753" s="85"/>
      <c r="T753" s="85"/>
      <c r="U753" s="85"/>
      <c r="V753" s="85"/>
      <c r="W753" s="85"/>
      <c r="X753" s="85"/>
      <c r="Y753" s="85"/>
      <c r="Z753" s="85"/>
      <c r="AA753" s="85"/>
      <c r="AB753" s="85"/>
      <c r="AC753" s="85"/>
      <c r="AD753" s="85"/>
      <c r="AE753" s="85"/>
      <c r="AF753" s="85"/>
      <c r="AG753" s="85"/>
    </row>
    <row r="754">
      <c r="A754" s="85"/>
      <c r="B754" s="85"/>
      <c r="C754" s="87"/>
      <c r="D754" s="87"/>
      <c r="E754" s="85"/>
      <c r="F754" s="85"/>
      <c r="G754" s="85"/>
      <c r="H754" s="85"/>
      <c r="I754" s="85"/>
      <c r="J754" s="85"/>
      <c r="K754" s="85"/>
      <c r="L754" s="85"/>
      <c r="M754" s="85"/>
      <c r="N754" s="85"/>
      <c r="O754" s="85"/>
      <c r="P754" s="85"/>
      <c r="Q754" s="85"/>
      <c r="R754" s="85"/>
      <c r="S754" s="85"/>
      <c r="T754" s="85"/>
      <c r="U754" s="85"/>
      <c r="V754" s="85"/>
      <c r="W754" s="85"/>
      <c r="X754" s="85"/>
      <c r="Y754" s="85"/>
      <c r="Z754" s="85"/>
      <c r="AA754" s="85"/>
      <c r="AB754" s="85"/>
      <c r="AC754" s="85"/>
      <c r="AD754" s="85"/>
      <c r="AE754" s="85"/>
      <c r="AF754" s="85"/>
      <c r="AG754" s="85"/>
    </row>
    <row r="755">
      <c r="A755" s="85"/>
      <c r="B755" s="85"/>
      <c r="C755" s="87"/>
      <c r="D755" s="87"/>
      <c r="E755" s="85"/>
      <c r="F755" s="85"/>
      <c r="G755" s="85"/>
      <c r="H755" s="85"/>
      <c r="I755" s="85"/>
      <c r="J755" s="85"/>
      <c r="K755" s="85"/>
      <c r="L755" s="85"/>
      <c r="M755" s="85"/>
      <c r="N755" s="85"/>
      <c r="O755" s="85"/>
      <c r="P755" s="85"/>
      <c r="Q755" s="85"/>
      <c r="R755" s="85"/>
      <c r="S755" s="85"/>
      <c r="T755" s="85"/>
      <c r="U755" s="85"/>
      <c r="V755" s="85"/>
      <c r="W755" s="85"/>
      <c r="X755" s="85"/>
      <c r="Y755" s="85"/>
      <c r="Z755" s="85"/>
      <c r="AA755" s="85"/>
      <c r="AB755" s="85"/>
      <c r="AC755" s="85"/>
      <c r="AD755" s="85"/>
      <c r="AE755" s="85"/>
      <c r="AF755" s="85"/>
      <c r="AG755" s="85"/>
    </row>
    <row r="756">
      <c r="A756" s="85"/>
      <c r="B756" s="85"/>
      <c r="C756" s="87"/>
      <c r="D756" s="87"/>
      <c r="E756" s="85"/>
      <c r="F756" s="85"/>
      <c r="G756" s="85"/>
      <c r="H756" s="85"/>
      <c r="I756" s="85"/>
      <c r="J756" s="85"/>
      <c r="K756" s="85"/>
      <c r="L756" s="85"/>
      <c r="M756" s="85"/>
      <c r="N756" s="85"/>
      <c r="O756" s="85"/>
      <c r="P756" s="85"/>
      <c r="Q756" s="85"/>
      <c r="R756" s="85"/>
      <c r="S756" s="85"/>
      <c r="T756" s="85"/>
      <c r="U756" s="85"/>
      <c r="V756" s="85"/>
      <c r="W756" s="85"/>
      <c r="X756" s="85"/>
      <c r="Y756" s="85"/>
      <c r="Z756" s="85"/>
      <c r="AA756" s="85"/>
      <c r="AB756" s="85"/>
      <c r="AC756" s="85"/>
      <c r="AD756" s="85"/>
      <c r="AE756" s="85"/>
      <c r="AF756" s="85"/>
      <c r="AG756" s="85"/>
    </row>
    <row r="757">
      <c r="A757" s="85"/>
      <c r="B757" s="85"/>
      <c r="C757" s="87"/>
      <c r="D757" s="87"/>
      <c r="E757" s="85"/>
      <c r="F757" s="85"/>
      <c r="G757" s="85"/>
      <c r="H757" s="85"/>
      <c r="I757" s="85"/>
      <c r="J757" s="85"/>
      <c r="K757" s="85"/>
      <c r="L757" s="85"/>
      <c r="M757" s="85"/>
      <c r="N757" s="85"/>
      <c r="O757" s="85"/>
      <c r="P757" s="85"/>
      <c r="Q757" s="85"/>
      <c r="R757" s="85"/>
      <c r="S757" s="85"/>
      <c r="T757" s="85"/>
      <c r="U757" s="85"/>
      <c r="V757" s="85"/>
      <c r="W757" s="85"/>
      <c r="X757" s="85"/>
      <c r="Y757" s="85"/>
      <c r="Z757" s="85"/>
      <c r="AA757" s="85"/>
      <c r="AB757" s="85"/>
      <c r="AC757" s="85"/>
      <c r="AD757" s="85"/>
      <c r="AE757" s="85"/>
      <c r="AF757" s="85"/>
      <c r="AG757" s="85"/>
    </row>
    <row r="758">
      <c r="A758" s="85"/>
      <c r="B758" s="85"/>
      <c r="C758" s="87"/>
      <c r="D758" s="87"/>
      <c r="E758" s="85"/>
      <c r="F758" s="85"/>
      <c r="G758" s="85"/>
      <c r="H758" s="85"/>
      <c r="I758" s="85"/>
      <c r="J758" s="85"/>
      <c r="K758" s="85"/>
      <c r="L758" s="85"/>
      <c r="M758" s="85"/>
      <c r="N758" s="85"/>
      <c r="O758" s="85"/>
      <c r="P758" s="85"/>
      <c r="Q758" s="85"/>
      <c r="R758" s="85"/>
      <c r="S758" s="85"/>
      <c r="T758" s="85"/>
      <c r="U758" s="85"/>
      <c r="V758" s="85"/>
      <c r="W758" s="85"/>
      <c r="X758" s="85"/>
      <c r="Y758" s="85"/>
      <c r="Z758" s="85"/>
      <c r="AA758" s="85"/>
      <c r="AB758" s="85"/>
      <c r="AC758" s="85"/>
      <c r="AD758" s="85"/>
      <c r="AE758" s="85"/>
      <c r="AF758" s="85"/>
      <c r="AG758" s="85"/>
    </row>
    <row r="759">
      <c r="A759" s="85"/>
      <c r="B759" s="85"/>
      <c r="C759" s="87"/>
      <c r="D759" s="87"/>
      <c r="E759" s="85"/>
      <c r="F759" s="85"/>
      <c r="G759" s="85"/>
      <c r="H759" s="85"/>
      <c r="I759" s="85"/>
      <c r="J759" s="85"/>
      <c r="K759" s="85"/>
      <c r="L759" s="85"/>
      <c r="M759" s="85"/>
      <c r="N759" s="85"/>
      <c r="O759" s="85"/>
      <c r="P759" s="85"/>
      <c r="Q759" s="85"/>
      <c r="R759" s="85"/>
      <c r="S759" s="85"/>
      <c r="T759" s="85"/>
      <c r="U759" s="85"/>
      <c r="V759" s="85"/>
      <c r="W759" s="85"/>
      <c r="X759" s="85"/>
      <c r="Y759" s="85"/>
      <c r="Z759" s="85"/>
      <c r="AA759" s="85"/>
      <c r="AB759" s="85"/>
      <c r="AC759" s="85"/>
      <c r="AD759" s="85"/>
      <c r="AE759" s="85"/>
      <c r="AF759" s="85"/>
      <c r="AG759" s="85"/>
    </row>
    <row r="760">
      <c r="A760" s="85"/>
      <c r="B760" s="85"/>
      <c r="C760" s="87"/>
      <c r="D760" s="87"/>
      <c r="E760" s="85"/>
      <c r="F760" s="85"/>
      <c r="G760" s="85"/>
      <c r="H760" s="85"/>
      <c r="I760" s="85"/>
      <c r="J760" s="85"/>
      <c r="K760" s="85"/>
      <c r="L760" s="85"/>
      <c r="M760" s="85"/>
      <c r="N760" s="85"/>
      <c r="O760" s="85"/>
      <c r="P760" s="85"/>
      <c r="Q760" s="85"/>
      <c r="R760" s="85"/>
      <c r="S760" s="85"/>
      <c r="T760" s="85"/>
      <c r="U760" s="85"/>
      <c r="V760" s="85"/>
      <c r="W760" s="85"/>
      <c r="X760" s="85"/>
      <c r="Y760" s="85"/>
      <c r="Z760" s="85"/>
      <c r="AA760" s="85"/>
      <c r="AB760" s="85"/>
      <c r="AC760" s="85"/>
      <c r="AD760" s="85"/>
      <c r="AE760" s="85"/>
      <c r="AF760" s="85"/>
      <c r="AG760" s="85"/>
    </row>
    <row r="761">
      <c r="A761" s="85"/>
      <c r="B761" s="85"/>
      <c r="C761" s="87"/>
      <c r="D761" s="87"/>
      <c r="E761" s="85"/>
      <c r="F761" s="85"/>
      <c r="G761" s="85"/>
      <c r="H761" s="85"/>
      <c r="I761" s="85"/>
      <c r="J761" s="85"/>
      <c r="K761" s="85"/>
      <c r="L761" s="85"/>
      <c r="M761" s="85"/>
      <c r="N761" s="85"/>
      <c r="O761" s="85"/>
      <c r="P761" s="85"/>
      <c r="Q761" s="85"/>
      <c r="R761" s="85"/>
      <c r="S761" s="85"/>
      <c r="T761" s="85"/>
      <c r="U761" s="85"/>
      <c r="V761" s="85"/>
      <c r="W761" s="85"/>
      <c r="X761" s="85"/>
      <c r="Y761" s="85"/>
      <c r="Z761" s="85"/>
      <c r="AA761" s="85"/>
      <c r="AB761" s="85"/>
      <c r="AC761" s="85"/>
      <c r="AD761" s="85"/>
      <c r="AE761" s="85"/>
      <c r="AF761" s="85"/>
      <c r="AG761" s="85"/>
    </row>
    <row r="762">
      <c r="A762" s="85"/>
      <c r="B762" s="85"/>
      <c r="C762" s="87"/>
      <c r="D762" s="87"/>
      <c r="E762" s="85"/>
      <c r="F762" s="85"/>
      <c r="G762" s="85"/>
      <c r="H762" s="85"/>
      <c r="I762" s="85"/>
      <c r="J762" s="85"/>
      <c r="K762" s="85"/>
      <c r="L762" s="85"/>
      <c r="M762" s="85"/>
      <c r="N762" s="85"/>
      <c r="O762" s="85"/>
      <c r="P762" s="85"/>
      <c r="Q762" s="85"/>
      <c r="R762" s="85"/>
      <c r="S762" s="85"/>
      <c r="T762" s="85"/>
      <c r="U762" s="85"/>
      <c r="V762" s="85"/>
      <c r="W762" s="85"/>
      <c r="X762" s="85"/>
      <c r="Y762" s="85"/>
      <c r="Z762" s="85"/>
      <c r="AA762" s="85"/>
      <c r="AB762" s="85"/>
      <c r="AC762" s="85"/>
      <c r="AD762" s="85"/>
      <c r="AE762" s="85"/>
      <c r="AF762" s="85"/>
      <c r="AG762" s="85"/>
    </row>
    <row r="763">
      <c r="A763" s="85"/>
      <c r="B763" s="85"/>
      <c r="C763" s="87"/>
      <c r="D763" s="87"/>
      <c r="E763" s="85"/>
      <c r="F763" s="85"/>
      <c r="G763" s="85"/>
      <c r="H763" s="85"/>
      <c r="I763" s="85"/>
      <c r="J763" s="85"/>
      <c r="K763" s="85"/>
      <c r="L763" s="85"/>
      <c r="M763" s="85"/>
      <c r="N763" s="85"/>
      <c r="O763" s="85"/>
      <c r="P763" s="85"/>
      <c r="Q763" s="85"/>
      <c r="R763" s="85"/>
      <c r="S763" s="85"/>
      <c r="T763" s="85"/>
      <c r="U763" s="85"/>
      <c r="V763" s="85"/>
      <c r="W763" s="85"/>
      <c r="X763" s="85"/>
      <c r="Y763" s="85"/>
      <c r="Z763" s="85"/>
      <c r="AA763" s="85"/>
      <c r="AB763" s="85"/>
      <c r="AC763" s="85"/>
      <c r="AD763" s="85"/>
      <c r="AE763" s="85"/>
      <c r="AF763" s="85"/>
      <c r="AG763" s="85"/>
    </row>
    <row r="764">
      <c r="A764" s="85"/>
      <c r="B764" s="85"/>
      <c r="C764" s="87"/>
      <c r="D764" s="87"/>
      <c r="E764" s="85"/>
      <c r="F764" s="85"/>
      <c r="G764" s="85"/>
      <c r="H764" s="85"/>
      <c r="I764" s="85"/>
      <c r="J764" s="85"/>
      <c r="K764" s="85"/>
      <c r="L764" s="85"/>
      <c r="M764" s="85"/>
      <c r="N764" s="85"/>
      <c r="O764" s="85"/>
      <c r="P764" s="85"/>
      <c r="Q764" s="85"/>
      <c r="R764" s="85"/>
      <c r="S764" s="85"/>
      <c r="T764" s="85"/>
      <c r="U764" s="85"/>
      <c r="V764" s="85"/>
      <c r="W764" s="85"/>
      <c r="X764" s="85"/>
      <c r="Y764" s="85"/>
      <c r="Z764" s="85"/>
      <c r="AA764" s="85"/>
      <c r="AB764" s="85"/>
      <c r="AC764" s="85"/>
      <c r="AD764" s="85"/>
      <c r="AE764" s="85"/>
      <c r="AF764" s="85"/>
      <c r="AG764" s="85"/>
    </row>
    <row r="765">
      <c r="A765" s="85"/>
      <c r="B765" s="85"/>
      <c r="C765" s="87"/>
      <c r="D765" s="87"/>
      <c r="E765" s="85"/>
      <c r="F765" s="85"/>
      <c r="G765" s="85"/>
      <c r="H765" s="85"/>
      <c r="I765" s="85"/>
      <c r="J765" s="85"/>
      <c r="K765" s="85"/>
      <c r="L765" s="85"/>
      <c r="M765" s="85"/>
      <c r="N765" s="85"/>
      <c r="O765" s="85"/>
      <c r="P765" s="85"/>
      <c r="Q765" s="85"/>
      <c r="R765" s="85"/>
      <c r="S765" s="85"/>
      <c r="T765" s="85"/>
      <c r="U765" s="85"/>
      <c r="V765" s="85"/>
      <c r="W765" s="85"/>
      <c r="X765" s="85"/>
      <c r="Y765" s="85"/>
      <c r="Z765" s="85"/>
      <c r="AA765" s="85"/>
      <c r="AB765" s="85"/>
      <c r="AC765" s="85"/>
      <c r="AD765" s="85"/>
      <c r="AE765" s="85"/>
      <c r="AF765" s="85"/>
      <c r="AG765" s="85"/>
    </row>
    <row r="766">
      <c r="A766" s="85"/>
      <c r="B766" s="85"/>
      <c r="C766" s="87"/>
      <c r="D766" s="87"/>
      <c r="E766" s="85"/>
      <c r="F766" s="85"/>
      <c r="G766" s="85"/>
      <c r="H766" s="85"/>
      <c r="I766" s="85"/>
      <c r="J766" s="85"/>
      <c r="K766" s="85"/>
      <c r="L766" s="85"/>
      <c r="M766" s="85"/>
      <c r="N766" s="85"/>
      <c r="O766" s="85"/>
      <c r="P766" s="85"/>
      <c r="Q766" s="85"/>
      <c r="R766" s="85"/>
      <c r="S766" s="85"/>
      <c r="T766" s="85"/>
      <c r="U766" s="85"/>
      <c r="V766" s="85"/>
      <c r="W766" s="85"/>
      <c r="X766" s="85"/>
      <c r="Y766" s="85"/>
      <c r="Z766" s="85"/>
      <c r="AA766" s="85"/>
      <c r="AB766" s="85"/>
      <c r="AC766" s="85"/>
      <c r="AD766" s="85"/>
      <c r="AE766" s="85"/>
      <c r="AF766" s="85"/>
      <c r="AG766" s="85"/>
    </row>
    <row r="767">
      <c r="A767" s="85"/>
      <c r="B767" s="85"/>
      <c r="C767" s="87"/>
      <c r="D767" s="87"/>
      <c r="E767" s="85"/>
      <c r="F767" s="85"/>
      <c r="G767" s="85"/>
      <c r="H767" s="85"/>
      <c r="I767" s="85"/>
      <c r="J767" s="85"/>
      <c r="K767" s="85"/>
      <c r="L767" s="85"/>
      <c r="M767" s="85"/>
      <c r="N767" s="85"/>
      <c r="O767" s="85"/>
      <c r="P767" s="85"/>
      <c r="Q767" s="85"/>
      <c r="R767" s="85"/>
      <c r="S767" s="85"/>
      <c r="T767" s="85"/>
      <c r="U767" s="85"/>
      <c r="V767" s="85"/>
      <c r="W767" s="85"/>
      <c r="X767" s="85"/>
      <c r="Y767" s="85"/>
      <c r="Z767" s="85"/>
      <c r="AA767" s="85"/>
      <c r="AB767" s="85"/>
      <c r="AC767" s="85"/>
      <c r="AD767" s="85"/>
      <c r="AE767" s="85"/>
      <c r="AF767" s="85"/>
      <c r="AG767" s="85"/>
    </row>
    <row r="768">
      <c r="A768" s="85"/>
      <c r="B768" s="85"/>
      <c r="C768" s="87"/>
      <c r="D768" s="87"/>
      <c r="E768" s="85"/>
      <c r="F768" s="85"/>
      <c r="G768" s="85"/>
      <c r="H768" s="85"/>
      <c r="I768" s="85"/>
      <c r="J768" s="85"/>
      <c r="K768" s="85"/>
      <c r="L768" s="85"/>
      <c r="M768" s="85"/>
      <c r="N768" s="85"/>
      <c r="O768" s="85"/>
      <c r="P768" s="85"/>
      <c r="Q768" s="85"/>
      <c r="R768" s="85"/>
      <c r="S768" s="85"/>
      <c r="T768" s="85"/>
      <c r="U768" s="85"/>
      <c r="V768" s="85"/>
      <c r="W768" s="85"/>
      <c r="X768" s="85"/>
      <c r="Y768" s="85"/>
      <c r="Z768" s="85"/>
      <c r="AA768" s="85"/>
      <c r="AB768" s="85"/>
      <c r="AC768" s="85"/>
      <c r="AD768" s="85"/>
      <c r="AE768" s="85"/>
      <c r="AF768" s="85"/>
      <c r="AG768" s="85"/>
    </row>
    <row r="769">
      <c r="A769" s="85"/>
      <c r="B769" s="85"/>
      <c r="C769" s="87"/>
      <c r="D769" s="87"/>
      <c r="E769" s="85"/>
      <c r="F769" s="85"/>
      <c r="G769" s="85"/>
      <c r="H769" s="85"/>
      <c r="I769" s="85"/>
      <c r="J769" s="85"/>
      <c r="K769" s="85"/>
      <c r="L769" s="85"/>
      <c r="M769" s="85"/>
      <c r="N769" s="85"/>
      <c r="O769" s="85"/>
      <c r="P769" s="85"/>
      <c r="Q769" s="85"/>
      <c r="R769" s="85"/>
      <c r="S769" s="85"/>
      <c r="T769" s="85"/>
      <c r="U769" s="85"/>
      <c r="V769" s="85"/>
      <c r="W769" s="85"/>
      <c r="X769" s="85"/>
      <c r="Y769" s="85"/>
      <c r="Z769" s="85"/>
      <c r="AA769" s="85"/>
      <c r="AB769" s="85"/>
      <c r="AC769" s="85"/>
      <c r="AD769" s="85"/>
      <c r="AE769" s="85"/>
      <c r="AF769" s="85"/>
      <c r="AG769" s="85"/>
    </row>
    <row r="770">
      <c r="A770" s="85"/>
      <c r="B770" s="85"/>
      <c r="C770" s="87"/>
      <c r="D770" s="87"/>
      <c r="E770" s="85"/>
      <c r="F770" s="85"/>
      <c r="G770" s="85"/>
      <c r="H770" s="85"/>
      <c r="I770" s="85"/>
      <c r="J770" s="85"/>
      <c r="K770" s="85"/>
      <c r="L770" s="85"/>
      <c r="M770" s="85"/>
      <c r="N770" s="85"/>
      <c r="O770" s="85"/>
      <c r="P770" s="85"/>
      <c r="Q770" s="85"/>
      <c r="R770" s="85"/>
      <c r="S770" s="85"/>
      <c r="T770" s="85"/>
      <c r="U770" s="85"/>
      <c r="V770" s="85"/>
      <c r="W770" s="85"/>
      <c r="X770" s="85"/>
      <c r="Y770" s="85"/>
      <c r="Z770" s="85"/>
      <c r="AA770" s="85"/>
      <c r="AB770" s="85"/>
      <c r="AC770" s="85"/>
      <c r="AD770" s="85"/>
      <c r="AE770" s="85"/>
      <c r="AF770" s="85"/>
      <c r="AG770" s="85"/>
    </row>
    <row r="771">
      <c r="A771" s="85"/>
      <c r="B771" s="85"/>
      <c r="C771" s="87"/>
      <c r="D771" s="87"/>
      <c r="E771" s="85"/>
      <c r="F771" s="85"/>
      <c r="G771" s="85"/>
      <c r="H771" s="85"/>
      <c r="I771" s="85"/>
      <c r="J771" s="85"/>
      <c r="K771" s="85"/>
      <c r="L771" s="85"/>
      <c r="M771" s="85"/>
      <c r="N771" s="85"/>
      <c r="O771" s="85"/>
      <c r="P771" s="85"/>
      <c r="Q771" s="85"/>
      <c r="R771" s="85"/>
      <c r="S771" s="85"/>
      <c r="T771" s="85"/>
      <c r="U771" s="85"/>
      <c r="V771" s="85"/>
      <c r="W771" s="85"/>
      <c r="X771" s="85"/>
      <c r="Y771" s="85"/>
      <c r="Z771" s="85"/>
      <c r="AA771" s="85"/>
      <c r="AB771" s="85"/>
      <c r="AC771" s="85"/>
      <c r="AD771" s="85"/>
      <c r="AE771" s="85"/>
      <c r="AF771" s="85"/>
      <c r="AG771" s="85"/>
    </row>
    <row r="772">
      <c r="A772" s="85"/>
      <c r="B772" s="85"/>
      <c r="C772" s="87"/>
      <c r="D772" s="87"/>
      <c r="E772" s="85"/>
      <c r="F772" s="85"/>
      <c r="G772" s="85"/>
      <c r="H772" s="85"/>
      <c r="I772" s="85"/>
      <c r="J772" s="85"/>
      <c r="K772" s="85"/>
      <c r="L772" s="85"/>
      <c r="M772" s="85"/>
      <c r="N772" s="85"/>
      <c r="O772" s="85"/>
      <c r="P772" s="85"/>
      <c r="Q772" s="85"/>
      <c r="R772" s="85"/>
      <c r="S772" s="85"/>
      <c r="T772" s="85"/>
      <c r="U772" s="85"/>
      <c r="V772" s="85"/>
      <c r="W772" s="85"/>
      <c r="X772" s="85"/>
      <c r="Y772" s="85"/>
      <c r="Z772" s="85"/>
      <c r="AA772" s="85"/>
      <c r="AB772" s="85"/>
      <c r="AC772" s="85"/>
      <c r="AD772" s="85"/>
      <c r="AE772" s="85"/>
      <c r="AF772" s="85"/>
      <c r="AG772" s="85"/>
    </row>
    <row r="773">
      <c r="A773" s="85"/>
      <c r="B773" s="85"/>
      <c r="C773" s="87"/>
      <c r="D773" s="87"/>
      <c r="E773" s="85"/>
      <c r="F773" s="85"/>
      <c r="G773" s="85"/>
      <c r="H773" s="85"/>
      <c r="I773" s="85"/>
      <c r="J773" s="85"/>
      <c r="K773" s="85"/>
      <c r="L773" s="85"/>
      <c r="M773" s="85"/>
      <c r="N773" s="85"/>
      <c r="O773" s="85"/>
      <c r="P773" s="85"/>
      <c r="Q773" s="85"/>
      <c r="R773" s="85"/>
      <c r="S773" s="85"/>
      <c r="T773" s="85"/>
      <c r="U773" s="85"/>
      <c r="V773" s="85"/>
      <c r="W773" s="85"/>
      <c r="X773" s="85"/>
      <c r="Y773" s="85"/>
      <c r="Z773" s="85"/>
      <c r="AA773" s="85"/>
      <c r="AB773" s="85"/>
      <c r="AC773" s="85"/>
      <c r="AD773" s="85"/>
      <c r="AE773" s="85"/>
      <c r="AF773" s="85"/>
      <c r="AG773" s="85"/>
    </row>
    <row r="774">
      <c r="A774" s="85"/>
      <c r="B774" s="85"/>
      <c r="C774" s="87"/>
      <c r="D774" s="87"/>
      <c r="E774" s="85"/>
      <c r="F774" s="85"/>
      <c r="G774" s="85"/>
      <c r="H774" s="85"/>
      <c r="I774" s="85"/>
      <c r="J774" s="85"/>
      <c r="K774" s="85"/>
      <c r="L774" s="85"/>
      <c r="M774" s="85"/>
      <c r="N774" s="85"/>
      <c r="O774" s="85"/>
      <c r="P774" s="85"/>
      <c r="Q774" s="85"/>
      <c r="R774" s="85"/>
      <c r="S774" s="85"/>
      <c r="T774" s="85"/>
      <c r="U774" s="85"/>
      <c r="V774" s="85"/>
      <c r="W774" s="85"/>
      <c r="X774" s="85"/>
      <c r="Y774" s="85"/>
      <c r="Z774" s="85"/>
      <c r="AA774" s="85"/>
      <c r="AB774" s="85"/>
      <c r="AC774" s="85"/>
      <c r="AD774" s="85"/>
      <c r="AE774" s="85"/>
      <c r="AF774" s="85"/>
      <c r="AG774" s="85"/>
    </row>
    <row r="775">
      <c r="A775" s="85"/>
      <c r="B775" s="85"/>
      <c r="C775" s="87"/>
      <c r="D775" s="87"/>
      <c r="E775" s="85"/>
      <c r="F775" s="85"/>
      <c r="G775" s="85"/>
      <c r="H775" s="85"/>
      <c r="I775" s="85"/>
      <c r="J775" s="85"/>
      <c r="K775" s="85"/>
      <c r="L775" s="85"/>
      <c r="M775" s="85"/>
      <c r="N775" s="85"/>
      <c r="O775" s="85"/>
      <c r="P775" s="85"/>
      <c r="Q775" s="85"/>
      <c r="R775" s="85"/>
      <c r="S775" s="85"/>
      <c r="T775" s="85"/>
      <c r="U775" s="85"/>
      <c r="V775" s="85"/>
      <c r="W775" s="85"/>
      <c r="X775" s="85"/>
      <c r="Y775" s="85"/>
      <c r="Z775" s="85"/>
      <c r="AA775" s="85"/>
      <c r="AB775" s="85"/>
      <c r="AC775" s="85"/>
      <c r="AD775" s="85"/>
      <c r="AE775" s="85"/>
      <c r="AF775" s="85"/>
      <c r="AG775" s="85"/>
    </row>
    <row r="776">
      <c r="A776" s="85"/>
      <c r="B776" s="85"/>
      <c r="C776" s="87"/>
      <c r="D776" s="87"/>
      <c r="E776" s="85"/>
      <c r="F776" s="85"/>
      <c r="G776" s="85"/>
      <c r="H776" s="85"/>
      <c r="I776" s="85"/>
      <c r="J776" s="85"/>
      <c r="K776" s="85"/>
      <c r="L776" s="85"/>
      <c r="M776" s="85"/>
      <c r="N776" s="85"/>
      <c r="O776" s="85"/>
      <c r="P776" s="85"/>
      <c r="Q776" s="85"/>
      <c r="R776" s="85"/>
      <c r="S776" s="85"/>
      <c r="T776" s="85"/>
      <c r="U776" s="85"/>
      <c r="V776" s="85"/>
      <c r="W776" s="85"/>
      <c r="X776" s="85"/>
      <c r="Y776" s="85"/>
      <c r="Z776" s="85"/>
      <c r="AA776" s="85"/>
      <c r="AB776" s="85"/>
      <c r="AC776" s="85"/>
      <c r="AD776" s="85"/>
      <c r="AE776" s="85"/>
      <c r="AF776" s="85"/>
      <c r="AG776" s="85"/>
    </row>
    <row r="777">
      <c r="A777" s="85"/>
      <c r="B777" s="85"/>
      <c r="C777" s="87"/>
      <c r="D777" s="87"/>
      <c r="E777" s="85"/>
      <c r="F777" s="85"/>
      <c r="G777" s="85"/>
      <c r="H777" s="85"/>
      <c r="I777" s="85"/>
      <c r="J777" s="85"/>
      <c r="K777" s="85"/>
      <c r="L777" s="85"/>
      <c r="M777" s="85"/>
      <c r="N777" s="85"/>
      <c r="O777" s="85"/>
      <c r="P777" s="85"/>
      <c r="Q777" s="85"/>
      <c r="R777" s="85"/>
      <c r="S777" s="85"/>
      <c r="T777" s="85"/>
      <c r="U777" s="85"/>
      <c r="V777" s="85"/>
      <c r="W777" s="85"/>
      <c r="X777" s="85"/>
      <c r="Y777" s="85"/>
      <c r="Z777" s="85"/>
      <c r="AA777" s="85"/>
      <c r="AB777" s="85"/>
      <c r="AC777" s="85"/>
      <c r="AD777" s="85"/>
      <c r="AE777" s="85"/>
      <c r="AF777" s="85"/>
      <c r="AG777" s="85"/>
    </row>
    <row r="778">
      <c r="A778" s="85"/>
      <c r="B778" s="85"/>
      <c r="C778" s="87"/>
      <c r="D778" s="87"/>
      <c r="E778" s="85"/>
      <c r="F778" s="85"/>
      <c r="G778" s="85"/>
      <c r="H778" s="85"/>
      <c r="I778" s="85"/>
      <c r="J778" s="85"/>
      <c r="K778" s="85"/>
      <c r="L778" s="85"/>
      <c r="M778" s="85"/>
      <c r="N778" s="85"/>
      <c r="O778" s="85"/>
      <c r="P778" s="85"/>
      <c r="Q778" s="85"/>
      <c r="R778" s="85"/>
      <c r="S778" s="85"/>
      <c r="T778" s="85"/>
      <c r="U778" s="85"/>
      <c r="V778" s="85"/>
      <c r="W778" s="85"/>
      <c r="X778" s="85"/>
      <c r="Y778" s="85"/>
      <c r="Z778" s="85"/>
      <c r="AA778" s="85"/>
      <c r="AB778" s="85"/>
      <c r="AC778" s="85"/>
      <c r="AD778" s="85"/>
      <c r="AE778" s="85"/>
      <c r="AF778" s="85"/>
      <c r="AG778" s="85"/>
    </row>
    <row r="779">
      <c r="A779" s="85"/>
      <c r="B779" s="85"/>
      <c r="C779" s="87"/>
      <c r="D779" s="87"/>
      <c r="E779" s="85"/>
      <c r="F779" s="85"/>
      <c r="G779" s="85"/>
      <c r="H779" s="85"/>
      <c r="I779" s="85"/>
      <c r="J779" s="85"/>
      <c r="K779" s="85"/>
      <c r="L779" s="85"/>
      <c r="M779" s="85"/>
      <c r="N779" s="85"/>
      <c r="O779" s="85"/>
      <c r="P779" s="85"/>
      <c r="Q779" s="85"/>
      <c r="R779" s="85"/>
      <c r="S779" s="85"/>
      <c r="T779" s="85"/>
      <c r="U779" s="85"/>
      <c r="V779" s="85"/>
      <c r="W779" s="85"/>
      <c r="X779" s="85"/>
      <c r="Y779" s="85"/>
      <c r="Z779" s="85"/>
      <c r="AA779" s="85"/>
      <c r="AB779" s="85"/>
      <c r="AC779" s="85"/>
      <c r="AD779" s="85"/>
      <c r="AE779" s="85"/>
      <c r="AF779" s="85"/>
      <c r="AG779" s="85"/>
    </row>
    <row r="780">
      <c r="A780" s="85"/>
      <c r="B780" s="85"/>
      <c r="C780" s="87"/>
      <c r="D780" s="87"/>
      <c r="E780" s="85"/>
      <c r="F780" s="85"/>
      <c r="G780" s="85"/>
      <c r="H780" s="85"/>
      <c r="I780" s="85"/>
      <c r="J780" s="85"/>
      <c r="K780" s="85"/>
      <c r="L780" s="85"/>
      <c r="M780" s="85"/>
      <c r="N780" s="85"/>
      <c r="O780" s="85"/>
      <c r="P780" s="85"/>
      <c r="Q780" s="85"/>
      <c r="R780" s="85"/>
      <c r="S780" s="85"/>
      <c r="T780" s="85"/>
      <c r="U780" s="85"/>
      <c r="V780" s="85"/>
      <c r="W780" s="85"/>
      <c r="X780" s="85"/>
      <c r="Y780" s="85"/>
      <c r="Z780" s="85"/>
      <c r="AA780" s="85"/>
      <c r="AB780" s="85"/>
      <c r="AC780" s="85"/>
      <c r="AD780" s="85"/>
      <c r="AE780" s="85"/>
      <c r="AF780" s="85"/>
      <c r="AG780" s="85"/>
    </row>
    <row r="781">
      <c r="A781" s="85"/>
      <c r="B781" s="85"/>
      <c r="C781" s="87"/>
      <c r="D781" s="87"/>
      <c r="E781" s="85"/>
      <c r="F781" s="85"/>
      <c r="G781" s="85"/>
      <c r="H781" s="85"/>
      <c r="I781" s="85"/>
      <c r="J781" s="85"/>
      <c r="K781" s="85"/>
      <c r="L781" s="85"/>
      <c r="M781" s="85"/>
      <c r="N781" s="85"/>
      <c r="O781" s="85"/>
      <c r="P781" s="85"/>
      <c r="Q781" s="85"/>
      <c r="R781" s="85"/>
      <c r="S781" s="85"/>
      <c r="T781" s="85"/>
      <c r="U781" s="85"/>
      <c r="V781" s="85"/>
      <c r="W781" s="85"/>
      <c r="X781" s="85"/>
      <c r="Y781" s="85"/>
      <c r="Z781" s="85"/>
      <c r="AA781" s="85"/>
      <c r="AB781" s="85"/>
      <c r="AC781" s="85"/>
      <c r="AD781" s="85"/>
      <c r="AE781" s="85"/>
      <c r="AF781" s="85"/>
      <c r="AG781" s="85"/>
    </row>
    <row r="782">
      <c r="A782" s="85"/>
      <c r="B782" s="85"/>
      <c r="C782" s="87"/>
      <c r="D782" s="87"/>
      <c r="E782" s="85"/>
      <c r="F782" s="85"/>
      <c r="G782" s="85"/>
      <c r="H782" s="85"/>
      <c r="I782" s="85"/>
      <c r="J782" s="85"/>
      <c r="K782" s="85"/>
      <c r="L782" s="85"/>
      <c r="M782" s="85"/>
      <c r="N782" s="85"/>
      <c r="O782" s="85"/>
      <c r="P782" s="85"/>
      <c r="Q782" s="85"/>
      <c r="R782" s="85"/>
      <c r="S782" s="85"/>
      <c r="T782" s="85"/>
      <c r="U782" s="85"/>
      <c r="V782" s="85"/>
      <c r="W782" s="85"/>
      <c r="X782" s="85"/>
      <c r="Y782" s="85"/>
      <c r="Z782" s="85"/>
      <c r="AA782" s="85"/>
      <c r="AB782" s="85"/>
      <c r="AC782" s="85"/>
      <c r="AD782" s="85"/>
      <c r="AE782" s="85"/>
      <c r="AF782" s="85"/>
      <c r="AG782" s="85"/>
    </row>
    <row r="783">
      <c r="A783" s="85"/>
      <c r="B783" s="85"/>
      <c r="C783" s="87"/>
      <c r="D783" s="87"/>
      <c r="E783" s="85"/>
      <c r="F783" s="85"/>
      <c r="G783" s="85"/>
      <c r="H783" s="85"/>
      <c r="I783" s="85"/>
      <c r="J783" s="85"/>
      <c r="K783" s="85"/>
      <c r="L783" s="85"/>
      <c r="M783" s="85"/>
      <c r="N783" s="85"/>
      <c r="O783" s="85"/>
      <c r="P783" s="85"/>
      <c r="Q783" s="85"/>
      <c r="R783" s="85"/>
      <c r="S783" s="85"/>
      <c r="T783" s="85"/>
      <c r="U783" s="85"/>
      <c r="V783" s="85"/>
      <c r="W783" s="85"/>
      <c r="X783" s="85"/>
      <c r="Y783" s="85"/>
      <c r="Z783" s="85"/>
      <c r="AA783" s="85"/>
      <c r="AB783" s="85"/>
      <c r="AC783" s="85"/>
      <c r="AD783" s="85"/>
      <c r="AE783" s="85"/>
      <c r="AF783" s="85"/>
      <c r="AG783" s="85"/>
    </row>
    <row r="784">
      <c r="A784" s="85"/>
      <c r="B784" s="85"/>
      <c r="C784" s="87"/>
      <c r="D784" s="87"/>
      <c r="E784" s="85"/>
      <c r="F784" s="85"/>
      <c r="G784" s="85"/>
      <c r="H784" s="85"/>
      <c r="I784" s="85"/>
      <c r="J784" s="85"/>
      <c r="K784" s="85"/>
      <c r="L784" s="85"/>
      <c r="M784" s="85"/>
      <c r="N784" s="85"/>
      <c r="O784" s="85"/>
      <c r="P784" s="85"/>
      <c r="Q784" s="85"/>
      <c r="R784" s="85"/>
      <c r="S784" s="85"/>
      <c r="T784" s="85"/>
      <c r="U784" s="85"/>
      <c r="V784" s="85"/>
      <c r="W784" s="85"/>
      <c r="X784" s="85"/>
      <c r="Y784" s="85"/>
      <c r="Z784" s="85"/>
      <c r="AA784" s="85"/>
      <c r="AB784" s="85"/>
      <c r="AC784" s="85"/>
      <c r="AD784" s="85"/>
      <c r="AE784" s="85"/>
      <c r="AF784" s="85"/>
      <c r="AG784" s="85"/>
    </row>
    <row r="785">
      <c r="A785" s="85"/>
      <c r="B785" s="85"/>
      <c r="C785" s="87"/>
      <c r="D785" s="87"/>
      <c r="E785" s="85"/>
      <c r="F785" s="85"/>
      <c r="G785" s="85"/>
      <c r="H785" s="85"/>
      <c r="I785" s="85"/>
      <c r="J785" s="85"/>
      <c r="K785" s="85"/>
      <c r="L785" s="85"/>
      <c r="M785" s="85"/>
      <c r="N785" s="85"/>
      <c r="O785" s="85"/>
      <c r="P785" s="85"/>
      <c r="Q785" s="85"/>
      <c r="R785" s="85"/>
      <c r="S785" s="85"/>
      <c r="T785" s="85"/>
      <c r="U785" s="85"/>
      <c r="V785" s="85"/>
      <c r="W785" s="85"/>
      <c r="X785" s="85"/>
      <c r="Y785" s="85"/>
      <c r="Z785" s="85"/>
      <c r="AA785" s="85"/>
      <c r="AB785" s="85"/>
      <c r="AC785" s="85"/>
      <c r="AD785" s="85"/>
      <c r="AE785" s="85"/>
      <c r="AF785" s="85"/>
      <c r="AG785" s="85"/>
    </row>
    <row r="786">
      <c r="A786" s="85"/>
      <c r="B786" s="85"/>
      <c r="C786" s="87"/>
      <c r="D786" s="87"/>
      <c r="E786" s="85"/>
      <c r="F786" s="85"/>
      <c r="G786" s="85"/>
      <c r="H786" s="85"/>
      <c r="I786" s="85"/>
      <c r="J786" s="85"/>
      <c r="K786" s="85"/>
      <c r="L786" s="85"/>
      <c r="M786" s="85"/>
      <c r="N786" s="85"/>
      <c r="O786" s="85"/>
      <c r="P786" s="85"/>
      <c r="Q786" s="85"/>
      <c r="R786" s="85"/>
      <c r="S786" s="85"/>
      <c r="T786" s="85"/>
      <c r="U786" s="85"/>
      <c r="V786" s="85"/>
      <c r="W786" s="85"/>
      <c r="X786" s="85"/>
      <c r="Y786" s="85"/>
      <c r="Z786" s="85"/>
      <c r="AA786" s="85"/>
      <c r="AB786" s="85"/>
      <c r="AC786" s="85"/>
      <c r="AD786" s="85"/>
      <c r="AE786" s="85"/>
      <c r="AF786" s="85"/>
      <c r="AG786" s="85"/>
    </row>
    <row r="787">
      <c r="A787" s="85"/>
      <c r="B787" s="85"/>
      <c r="C787" s="87"/>
      <c r="D787" s="87"/>
      <c r="E787" s="85"/>
      <c r="F787" s="85"/>
      <c r="G787" s="85"/>
      <c r="H787" s="85"/>
      <c r="I787" s="85"/>
      <c r="J787" s="85"/>
      <c r="K787" s="85"/>
      <c r="L787" s="85"/>
      <c r="M787" s="85"/>
      <c r="N787" s="85"/>
      <c r="O787" s="85"/>
      <c r="P787" s="85"/>
      <c r="Q787" s="85"/>
      <c r="R787" s="85"/>
      <c r="S787" s="85"/>
      <c r="T787" s="85"/>
      <c r="U787" s="85"/>
      <c r="V787" s="85"/>
      <c r="W787" s="85"/>
      <c r="X787" s="85"/>
      <c r="Y787" s="85"/>
      <c r="Z787" s="85"/>
      <c r="AA787" s="85"/>
      <c r="AB787" s="85"/>
      <c r="AC787" s="85"/>
      <c r="AD787" s="85"/>
      <c r="AE787" s="85"/>
      <c r="AF787" s="85"/>
      <c r="AG787" s="85"/>
    </row>
    <row r="788">
      <c r="A788" s="85"/>
      <c r="B788" s="85"/>
      <c r="C788" s="87"/>
      <c r="D788" s="87"/>
      <c r="E788" s="85"/>
      <c r="F788" s="85"/>
      <c r="G788" s="85"/>
      <c r="H788" s="85"/>
      <c r="I788" s="85"/>
      <c r="J788" s="85"/>
      <c r="K788" s="85"/>
      <c r="L788" s="85"/>
      <c r="M788" s="85"/>
      <c r="N788" s="85"/>
      <c r="O788" s="85"/>
      <c r="P788" s="85"/>
      <c r="Q788" s="85"/>
      <c r="R788" s="85"/>
      <c r="S788" s="85"/>
      <c r="T788" s="85"/>
      <c r="U788" s="85"/>
      <c r="V788" s="85"/>
      <c r="W788" s="85"/>
      <c r="X788" s="85"/>
      <c r="Y788" s="85"/>
      <c r="Z788" s="85"/>
      <c r="AA788" s="85"/>
      <c r="AB788" s="85"/>
      <c r="AC788" s="85"/>
      <c r="AD788" s="85"/>
      <c r="AE788" s="85"/>
      <c r="AF788" s="85"/>
      <c r="AG788" s="85"/>
    </row>
    <row r="789">
      <c r="A789" s="85"/>
      <c r="B789" s="85"/>
      <c r="C789" s="87"/>
      <c r="D789" s="87"/>
      <c r="E789" s="85"/>
      <c r="F789" s="85"/>
      <c r="G789" s="85"/>
      <c r="H789" s="85"/>
      <c r="I789" s="85"/>
      <c r="J789" s="85"/>
      <c r="K789" s="85"/>
      <c r="L789" s="85"/>
      <c r="M789" s="85"/>
      <c r="N789" s="85"/>
      <c r="O789" s="85"/>
      <c r="P789" s="85"/>
      <c r="Q789" s="85"/>
      <c r="R789" s="85"/>
      <c r="S789" s="85"/>
      <c r="T789" s="85"/>
      <c r="U789" s="85"/>
      <c r="V789" s="85"/>
      <c r="W789" s="85"/>
      <c r="X789" s="85"/>
      <c r="Y789" s="85"/>
      <c r="Z789" s="85"/>
      <c r="AA789" s="85"/>
      <c r="AB789" s="85"/>
      <c r="AC789" s="85"/>
      <c r="AD789" s="85"/>
      <c r="AE789" s="85"/>
      <c r="AF789" s="85"/>
      <c r="AG789" s="85"/>
    </row>
    <row r="790">
      <c r="A790" s="85"/>
      <c r="B790" s="85"/>
      <c r="C790" s="87"/>
      <c r="D790" s="87"/>
      <c r="E790" s="85"/>
      <c r="F790" s="85"/>
      <c r="G790" s="85"/>
      <c r="H790" s="85"/>
      <c r="I790" s="85"/>
      <c r="J790" s="85"/>
      <c r="K790" s="85"/>
      <c r="L790" s="85"/>
      <c r="M790" s="85"/>
      <c r="N790" s="85"/>
      <c r="O790" s="85"/>
      <c r="P790" s="85"/>
      <c r="Q790" s="85"/>
      <c r="R790" s="85"/>
      <c r="S790" s="85"/>
      <c r="T790" s="85"/>
      <c r="U790" s="85"/>
      <c r="V790" s="85"/>
      <c r="W790" s="85"/>
      <c r="X790" s="85"/>
      <c r="Y790" s="85"/>
      <c r="Z790" s="85"/>
      <c r="AA790" s="85"/>
      <c r="AB790" s="85"/>
      <c r="AC790" s="85"/>
      <c r="AD790" s="85"/>
      <c r="AE790" s="85"/>
      <c r="AF790" s="85"/>
      <c r="AG790" s="85"/>
    </row>
    <row r="791">
      <c r="A791" s="85"/>
      <c r="B791" s="85"/>
      <c r="C791" s="87"/>
      <c r="D791" s="87"/>
      <c r="E791" s="85"/>
      <c r="F791" s="85"/>
      <c r="G791" s="85"/>
      <c r="H791" s="85"/>
      <c r="I791" s="85"/>
      <c r="J791" s="85"/>
      <c r="K791" s="85"/>
      <c r="L791" s="85"/>
      <c r="M791" s="85"/>
      <c r="N791" s="85"/>
      <c r="O791" s="85"/>
      <c r="P791" s="85"/>
      <c r="Q791" s="85"/>
      <c r="R791" s="85"/>
      <c r="S791" s="85"/>
      <c r="T791" s="85"/>
      <c r="U791" s="85"/>
      <c r="V791" s="85"/>
      <c r="W791" s="85"/>
      <c r="X791" s="85"/>
      <c r="Y791" s="85"/>
      <c r="Z791" s="85"/>
      <c r="AA791" s="85"/>
      <c r="AB791" s="85"/>
      <c r="AC791" s="85"/>
      <c r="AD791" s="85"/>
      <c r="AE791" s="85"/>
      <c r="AF791" s="85"/>
      <c r="AG791" s="85"/>
    </row>
    <row r="792">
      <c r="A792" s="85"/>
      <c r="B792" s="85"/>
      <c r="C792" s="87"/>
      <c r="D792" s="87"/>
      <c r="E792" s="85"/>
      <c r="F792" s="85"/>
      <c r="G792" s="85"/>
      <c r="H792" s="85"/>
      <c r="I792" s="85"/>
      <c r="J792" s="85"/>
      <c r="K792" s="85"/>
      <c r="L792" s="85"/>
      <c r="M792" s="85"/>
      <c r="N792" s="85"/>
      <c r="O792" s="85"/>
      <c r="P792" s="85"/>
      <c r="Q792" s="85"/>
      <c r="R792" s="85"/>
      <c r="S792" s="85"/>
      <c r="T792" s="85"/>
      <c r="U792" s="85"/>
      <c r="V792" s="85"/>
      <c r="W792" s="85"/>
      <c r="X792" s="85"/>
      <c r="Y792" s="85"/>
      <c r="Z792" s="85"/>
      <c r="AA792" s="85"/>
      <c r="AB792" s="85"/>
      <c r="AC792" s="85"/>
      <c r="AD792" s="85"/>
      <c r="AE792" s="85"/>
      <c r="AF792" s="85"/>
      <c r="AG792" s="85"/>
    </row>
    <row r="793">
      <c r="A793" s="85"/>
      <c r="B793" s="85"/>
      <c r="C793" s="87"/>
      <c r="D793" s="87"/>
      <c r="E793" s="85"/>
      <c r="F793" s="85"/>
      <c r="G793" s="85"/>
      <c r="H793" s="85"/>
      <c r="I793" s="85"/>
      <c r="J793" s="85"/>
      <c r="K793" s="85"/>
      <c r="L793" s="85"/>
      <c r="M793" s="85"/>
      <c r="N793" s="85"/>
      <c r="O793" s="85"/>
      <c r="P793" s="85"/>
      <c r="Q793" s="85"/>
      <c r="R793" s="85"/>
      <c r="S793" s="85"/>
      <c r="T793" s="85"/>
      <c r="U793" s="85"/>
      <c r="V793" s="85"/>
      <c r="W793" s="85"/>
      <c r="X793" s="85"/>
      <c r="Y793" s="85"/>
      <c r="Z793" s="85"/>
      <c r="AA793" s="85"/>
      <c r="AB793" s="85"/>
      <c r="AC793" s="85"/>
      <c r="AD793" s="85"/>
      <c r="AE793" s="85"/>
      <c r="AF793" s="85"/>
      <c r="AG793" s="85"/>
    </row>
    <row r="794">
      <c r="A794" s="85"/>
      <c r="B794" s="85"/>
      <c r="C794" s="87"/>
      <c r="D794" s="87"/>
      <c r="E794" s="85"/>
      <c r="F794" s="85"/>
      <c r="G794" s="85"/>
      <c r="H794" s="85"/>
      <c r="I794" s="85"/>
      <c r="J794" s="85"/>
      <c r="K794" s="85"/>
      <c r="L794" s="85"/>
      <c r="M794" s="85"/>
      <c r="N794" s="85"/>
      <c r="O794" s="85"/>
      <c r="P794" s="85"/>
      <c r="Q794" s="85"/>
      <c r="R794" s="85"/>
      <c r="S794" s="85"/>
      <c r="T794" s="85"/>
      <c r="U794" s="85"/>
      <c r="V794" s="85"/>
      <c r="W794" s="85"/>
      <c r="X794" s="85"/>
      <c r="Y794" s="85"/>
      <c r="Z794" s="85"/>
      <c r="AA794" s="85"/>
      <c r="AB794" s="85"/>
      <c r="AC794" s="85"/>
      <c r="AD794" s="85"/>
      <c r="AE794" s="85"/>
      <c r="AF794" s="85"/>
      <c r="AG794" s="85"/>
    </row>
    <row r="795">
      <c r="A795" s="85"/>
      <c r="B795" s="85"/>
      <c r="C795" s="87"/>
      <c r="D795" s="87"/>
      <c r="E795" s="85"/>
      <c r="F795" s="85"/>
      <c r="G795" s="85"/>
      <c r="H795" s="85"/>
      <c r="I795" s="85"/>
      <c r="J795" s="85"/>
      <c r="K795" s="85"/>
      <c r="L795" s="85"/>
      <c r="M795" s="85"/>
      <c r="N795" s="85"/>
      <c r="O795" s="85"/>
      <c r="P795" s="85"/>
      <c r="Q795" s="85"/>
      <c r="R795" s="85"/>
      <c r="S795" s="85"/>
      <c r="T795" s="85"/>
      <c r="U795" s="85"/>
      <c r="V795" s="85"/>
      <c r="W795" s="85"/>
      <c r="X795" s="85"/>
      <c r="Y795" s="85"/>
      <c r="Z795" s="85"/>
      <c r="AA795" s="85"/>
      <c r="AB795" s="85"/>
      <c r="AC795" s="85"/>
      <c r="AD795" s="85"/>
      <c r="AE795" s="85"/>
      <c r="AF795" s="85"/>
      <c r="AG795" s="85"/>
    </row>
    <row r="796">
      <c r="A796" s="85"/>
      <c r="B796" s="85"/>
      <c r="C796" s="87"/>
      <c r="D796" s="87"/>
      <c r="E796" s="85"/>
      <c r="F796" s="85"/>
      <c r="G796" s="85"/>
      <c r="H796" s="85"/>
      <c r="I796" s="85"/>
      <c r="J796" s="85"/>
      <c r="K796" s="85"/>
      <c r="L796" s="85"/>
      <c r="M796" s="85"/>
      <c r="N796" s="85"/>
      <c r="O796" s="85"/>
      <c r="P796" s="85"/>
      <c r="Q796" s="85"/>
      <c r="R796" s="85"/>
      <c r="S796" s="85"/>
      <c r="T796" s="85"/>
      <c r="U796" s="85"/>
      <c r="V796" s="85"/>
      <c r="W796" s="85"/>
      <c r="X796" s="85"/>
      <c r="Y796" s="85"/>
      <c r="Z796" s="85"/>
      <c r="AA796" s="85"/>
      <c r="AB796" s="85"/>
      <c r="AC796" s="85"/>
      <c r="AD796" s="85"/>
      <c r="AE796" s="85"/>
      <c r="AF796" s="85"/>
      <c r="AG796" s="85"/>
    </row>
    <row r="797">
      <c r="A797" s="85"/>
      <c r="B797" s="85"/>
      <c r="C797" s="87"/>
      <c r="D797" s="87"/>
      <c r="E797" s="85"/>
      <c r="F797" s="85"/>
      <c r="G797" s="85"/>
      <c r="H797" s="85"/>
      <c r="I797" s="85"/>
      <c r="J797" s="85"/>
      <c r="K797" s="85"/>
      <c r="L797" s="85"/>
      <c r="M797" s="85"/>
      <c r="N797" s="85"/>
      <c r="O797" s="85"/>
      <c r="P797" s="85"/>
      <c r="Q797" s="85"/>
      <c r="R797" s="85"/>
      <c r="S797" s="85"/>
      <c r="T797" s="85"/>
      <c r="U797" s="85"/>
      <c r="V797" s="85"/>
      <c r="W797" s="85"/>
      <c r="X797" s="85"/>
      <c r="Y797" s="85"/>
      <c r="Z797" s="85"/>
      <c r="AA797" s="85"/>
      <c r="AB797" s="85"/>
      <c r="AC797" s="85"/>
      <c r="AD797" s="85"/>
      <c r="AE797" s="85"/>
      <c r="AF797" s="85"/>
      <c r="AG797" s="85"/>
    </row>
    <row r="798">
      <c r="A798" s="85"/>
      <c r="B798" s="85"/>
      <c r="C798" s="87"/>
      <c r="D798" s="87"/>
      <c r="E798" s="85"/>
      <c r="F798" s="85"/>
      <c r="G798" s="85"/>
      <c r="H798" s="85"/>
      <c r="I798" s="85"/>
      <c r="J798" s="85"/>
      <c r="K798" s="85"/>
      <c r="L798" s="85"/>
      <c r="M798" s="85"/>
      <c r="N798" s="85"/>
      <c r="O798" s="85"/>
      <c r="P798" s="85"/>
      <c r="Q798" s="85"/>
      <c r="R798" s="85"/>
      <c r="S798" s="85"/>
      <c r="T798" s="85"/>
      <c r="U798" s="85"/>
      <c r="V798" s="85"/>
      <c r="W798" s="85"/>
      <c r="X798" s="85"/>
      <c r="Y798" s="85"/>
      <c r="Z798" s="85"/>
      <c r="AA798" s="85"/>
      <c r="AB798" s="85"/>
      <c r="AC798" s="85"/>
      <c r="AD798" s="85"/>
      <c r="AE798" s="85"/>
      <c r="AF798" s="85"/>
      <c r="AG798" s="85"/>
    </row>
    <row r="799">
      <c r="A799" s="85"/>
      <c r="B799" s="85"/>
      <c r="C799" s="87"/>
      <c r="D799" s="87"/>
      <c r="E799" s="85"/>
      <c r="F799" s="85"/>
      <c r="G799" s="85"/>
      <c r="H799" s="85"/>
      <c r="I799" s="85"/>
      <c r="J799" s="85"/>
      <c r="K799" s="85"/>
      <c r="L799" s="85"/>
      <c r="M799" s="85"/>
      <c r="N799" s="85"/>
      <c r="O799" s="85"/>
      <c r="P799" s="85"/>
      <c r="Q799" s="85"/>
      <c r="R799" s="85"/>
      <c r="S799" s="85"/>
      <c r="T799" s="85"/>
      <c r="U799" s="85"/>
      <c r="V799" s="85"/>
      <c r="W799" s="85"/>
      <c r="X799" s="85"/>
      <c r="Y799" s="85"/>
      <c r="Z799" s="85"/>
      <c r="AA799" s="85"/>
      <c r="AB799" s="85"/>
      <c r="AC799" s="85"/>
      <c r="AD799" s="85"/>
      <c r="AE799" s="85"/>
      <c r="AF799" s="85"/>
      <c r="AG799" s="85"/>
    </row>
    <row r="800">
      <c r="A800" s="85"/>
      <c r="B800" s="85"/>
      <c r="C800" s="87"/>
      <c r="D800" s="87"/>
      <c r="E800" s="85"/>
      <c r="F800" s="85"/>
      <c r="G800" s="85"/>
      <c r="H800" s="85"/>
      <c r="I800" s="85"/>
      <c r="J800" s="85"/>
      <c r="K800" s="85"/>
      <c r="L800" s="85"/>
      <c r="M800" s="85"/>
      <c r="N800" s="85"/>
      <c r="O800" s="85"/>
      <c r="P800" s="85"/>
      <c r="Q800" s="85"/>
      <c r="R800" s="85"/>
      <c r="S800" s="85"/>
      <c r="T800" s="85"/>
      <c r="U800" s="85"/>
      <c r="V800" s="85"/>
      <c r="W800" s="85"/>
      <c r="X800" s="85"/>
      <c r="Y800" s="85"/>
      <c r="Z800" s="85"/>
      <c r="AA800" s="85"/>
      <c r="AB800" s="85"/>
      <c r="AC800" s="85"/>
      <c r="AD800" s="85"/>
      <c r="AE800" s="85"/>
      <c r="AF800" s="85"/>
      <c r="AG800" s="85"/>
    </row>
    <row r="801">
      <c r="A801" s="85"/>
      <c r="B801" s="85"/>
      <c r="C801" s="87"/>
      <c r="D801" s="87"/>
      <c r="E801" s="85"/>
      <c r="F801" s="85"/>
      <c r="G801" s="85"/>
      <c r="H801" s="85"/>
      <c r="I801" s="85"/>
      <c r="J801" s="85"/>
      <c r="K801" s="85"/>
      <c r="L801" s="85"/>
      <c r="M801" s="85"/>
      <c r="N801" s="85"/>
      <c r="O801" s="85"/>
      <c r="P801" s="85"/>
      <c r="Q801" s="85"/>
      <c r="R801" s="85"/>
      <c r="S801" s="85"/>
      <c r="T801" s="85"/>
      <c r="U801" s="85"/>
      <c r="V801" s="85"/>
      <c r="W801" s="85"/>
      <c r="X801" s="85"/>
      <c r="Y801" s="85"/>
      <c r="Z801" s="85"/>
      <c r="AA801" s="85"/>
      <c r="AB801" s="85"/>
      <c r="AC801" s="85"/>
      <c r="AD801" s="85"/>
      <c r="AE801" s="85"/>
      <c r="AF801" s="85"/>
      <c r="AG801" s="85"/>
    </row>
    <row r="802">
      <c r="A802" s="85"/>
      <c r="B802" s="85"/>
      <c r="C802" s="87"/>
      <c r="D802" s="87"/>
      <c r="E802" s="85"/>
      <c r="F802" s="85"/>
      <c r="G802" s="85"/>
      <c r="H802" s="85"/>
      <c r="I802" s="85"/>
      <c r="J802" s="85"/>
      <c r="K802" s="85"/>
      <c r="L802" s="85"/>
      <c r="M802" s="85"/>
      <c r="N802" s="85"/>
      <c r="O802" s="85"/>
      <c r="P802" s="85"/>
      <c r="Q802" s="85"/>
      <c r="R802" s="85"/>
      <c r="S802" s="85"/>
      <c r="T802" s="85"/>
      <c r="U802" s="85"/>
      <c r="V802" s="85"/>
      <c r="W802" s="85"/>
      <c r="X802" s="85"/>
      <c r="Y802" s="85"/>
      <c r="Z802" s="85"/>
      <c r="AA802" s="85"/>
      <c r="AB802" s="85"/>
      <c r="AC802" s="85"/>
      <c r="AD802" s="85"/>
      <c r="AE802" s="85"/>
      <c r="AF802" s="85"/>
      <c r="AG802" s="85"/>
    </row>
    <row r="803">
      <c r="A803" s="85"/>
      <c r="B803" s="85"/>
      <c r="C803" s="87"/>
      <c r="D803" s="87"/>
      <c r="E803" s="85"/>
      <c r="F803" s="85"/>
      <c r="G803" s="85"/>
      <c r="H803" s="85"/>
      <c r="I803" s="85"/>
      <c r="J803" s="85"/>
      <c r="K803" s="85"/>
      <c r="L803" s="85"/>
      <c r="M803" s="85"/>
      <c r="N803" s="85"/>
      <c r="O803" s="85"/>
      <c r="P803" s="85"/>
      <c r="Q803" s="85"/>
      <c r="R803" s="85"/>
      <c r="S803" s="85"/>
      <c r="T803" s="85"/>
      <c r="U803" s="85"/>
      <c r="V803" s="85"/>
      <c r="W803" s="85"/>
      <c r="X803" s="85"/>
      <c r="Y803" s="85"/>
      <c r="Z803" s="85"/>
      <c r="AA803" s="85"/>
      <c r="AB803" s="85"/>
      <c r="AC803" s="85"/>
      <c r="AD803" s="85"/>
      <c r="AE803" s="85"/>
      <c r="AF803" s="85"/>
      <c r="AG803" s="85"/>
    </row>
    <row r="804">
      <c r="A804" s="85"/>
      <c r="B804" s="85"/>
      <c r="C804" s="87"/>
      <c r="D804" s="87"/>
      <c r="E804" s="85"/>
      <c r="F804" s="85"/>
      <c r="G804" s="85"/>
      <c r="H804" s="85"/>
      <c r="I804" s="85"/>
      <c r="J804" s="85"/>
      <c r="K804" s="85"/>
      <c r="L804" s="85"/>
      <c r="M804" s="85"/>
      <c r="N804" s="85"/>
      <c r="O804" s="85"/>
      <c r="P804" s="85"/>
      <c r="Q804" s="85"/>
      <c r="R804" s="85"/>
      <c r="S804" s="85"/>
      <c r="T804" s="85"/>
      <c r="U804" s="85"/>
      <c r="V804" s="85"/>
      <c r="W804" s="85"/>
      <c r="X804" s="85"/>
      <c r="Y804" s="85"/>
      <c r="Z804" s="85"/>
      <c r="AA804" s="85"/>
      <c r="AB804" s="85"/>
      <c r="AC804" s="85"/>
      <c r="AD804" s="85"/>
      <c r="AE804" s="85"/>
      <c r="AF804" s="85"/>
      <c r="AG804" s="85"/>
    </row>
    <row r="805">
      <c r="A805" s="85"/>
      <c r="B805" s="85"/>
      <c r="C805" s="87"/>
      <c r="D805" s="87"/>
      <c r="E805" s="85"/>
      <c r="F805" s="85"/>
      <c r="G805" s="85"/>
      <c r="H805" s="85"/>
      <c r="I805" s="85"/>
      <c r="J805" s="85"/>
      <c r="K805" s="85"/>
      <c r="L805" s="85"/>
      <c r="M805" s="85"/>
      <c r="N805" s="85"/>
      <c r="O805" s="85"/>
      <c r="P805" s="85"/>
      <c r="Q805" s="85"/>
      <c r="R805" s="85"/>
      <c r="S805" s="85"/>
      <c r="T805" s="85"/>
      <c r="U805" s="85"/>
      <c r="V805" s="85"/>
      <c r="W805" s="85"/>
      <c r="X805" s="85"/>
      <c r="Y805" s="85"/>
      <c r="Z805" s="85"/>
      <c r="AA805" s="85"/>
      <c r="AB805" s="85"/>
      <c r="AC805" s="85"/>
      <c r="AD805" s="85"/>
      <c r="AE805" s="85"/>
      <c r="AF805" s="85"/>
      <c r="AG805" s="85"/>
    </row>
    <row r="806">
      <c r="A806" s="85"/>
      <c r="B806" s="85"/>
      <c r="C806" s="87"/>
      <c r="D806" s="87"/>
      <c r="E806" s="85"/>
      <c r="F806" s="85"/>
      <c r="G806" s="85"/>
      <c r="H806" s="85"/>
      <c r="I806" s="85"/>
      <c r="J806" s="85"/>
      <c r="K806" s="85"/>
      <c r="L806" s="85"/>
      <c r="M806" s="85"/>
      <c r="N806" s="85"/>
      <c r="O806" s="85"/>
      <c r="P806" s="85"/>
      <c r="Q806" s="85"/>
      <c r="R806" s="85"/>
      <c r="S806" s="85"/>
      <c r="T806" s="85"/>
      <c r="U806" s="85"/>
      <c r="V806" s="85"/>
      <c r="W806" s="85"/>
      <c r="X806" s="85"/>
      <c r="Y806" s="85"/>
      <c r="Z806" s="85"/>
      <c r="AA806" s="85"/>
      <c r="AB806" s="85"/>
      <c r="AC806" s="85"/>
      <c r="AD806" s="85"/>
      <c r="AE806" s="85"/>
      <c r="AF806" s="85"/>
      <c r="AG806" s="85"/>
    </row>
    <row r="807">
      <c r="A807" s="85"/>
      <c r="B807" s="85"/>
      <c r="C807" s="87"/>
      <c r="D807" s="87"/>
      <c r="E807" s="85"/>
      <c r="F807" s="85"/>
      <c r="G807" s="85"/>
      <c r="H807" s="85"/>
      <c r="I807" s="85"/>
      <c r="J807" s="85"/>
      <c r="K807" s="85"/>
      <c r="L807" s="85"/>
      <c r="M807" s="85"/>
      <c r="N807" s="85"/>
      <c r="O807" s="85"/>
      <c r="P807" s="85"/>
      <c r="Q807" s="85"/>
      <c r="R807" s="85"/>
      <c r="S807" s="85"/>
      <c r="T807" s="85"/>
      <c r="U807" s="85"/>
      <c r="V807" s="85"/>
      <c r="W807" s="85"/>
      <c r="X807" s="85"/>
      <c r="Y807" s="85"/>
      <c r="Z807" s="85"/>
      <c r="AA807" s="85"/>
      <c r="AB807" s="85"/>
      <c r="AC807" s="85"/>
      <c r="AD807" s="85"/>
      <c r="AE807" s="85"/>
      <c r="AF807" s="85"/>
      <c r="AG807" s="85"/>
    </row>
    <row r="808">
      <c r="A808" s="85"/>
      <c r="B808" s="85"/>
      <c r="C808" s="87"/>
      <c r="D808" s="87"/>
      <c r="E808" s="85"/>
      <c r="F808" s="85"/>
      <c r="G808" s="85"/>
      <c r="H808" s="85"/>
      <c r="I808" s="85"/>
      <c r="J808" s="85"/>
      <c r="K808" s="85"/>
      <c r="L808" s="85"/>
      <c r="M808" s="85"/>
      <c r="N808" s="85"/>
      <c r="O808" s="85"/>
      <c r="P808" s="85"/>
      <c r="Q808" s="85"/>
      <c r="R808" s="85"/>
      <c r="S808" s="85"/>
      <c r="T808" s="85"/>
      <c r="U808" s="85"/>
      <c r="V808" s="85"/>
      <c r="W808" s="85"/>
      <c r="X808" s="85"/>
      <c r="Y808" s="85"/>
      <c r="Z808" s="85"/>
      <c r="AA808" s="85"/>
      <c r="AB808" s="85"/>
      <c r="AC808" s="85"/>
      <c r="AD808" s="85"/>
      <c r="AE808" s="85"/>
      <c r="AF808" s="85"/>
      <c r="AG808" s="85"/>
    </row>
    <row r="809">
      <c r="A809" s="85"/>
      <c r="B809" s="85"/>
      <c r="C809" s="87"/>
      <c r="D809" s="87"/>
      <c r="E809" s="85"/>
      <c r="F809" s="85"/>
      <c r="G809" s="85"/>
      <c r="H809" s="85"/>
      <c r="I809" s="85"/>
      <c r="J809" s="85"/>
      <c r="K809" s="85"/>
      <c r="L809" s="85"/>
      <c r="M809" s="85"/>
      <c r="N809" s="85"/>
      <c r="O809" s="85"/>
      <c r="P809" s="85"/>
      <c r="Q809" s="85"/>
      <c r="R809" s="85"/>
      <c r="S809" s="85"/>
      <c r="T809" s="85"/>
      <c r="U809" s="85"/>
      <c r="V809" s="85"/>
      <c r="W809" s="85"/>
      <c r="X809" s="85"/>
      <c r="Y809" s="85"/>
      <c r="Z809" s="85"/>
      <c r="AA809" s="85"/>
      <c r="AB809" s="85"/>
      <c r="AC809" s="85"/>
      <c r="AD809" s="85"/>
      <c r="AE809" s="85"/>
      <c r="AF809" s="85"/>
      <c r="AG809" s="85"/>
    </row>
    <row r="810">
      <c r="A810" s="85"/>
      <c r="B810" s="85"/>
      <c r="C810" s="87"/>
      <c r="D810" s="87"/>
      <c r="E810" s="85"/>
      <c r="F810" s="85"/>
      <c r="G810" s="85"/>
      <c r="H810" s="85"/>
      <c r="I810" s="85"/>
      <c r="J810" s="85"/>
      <c r="K810" s="85"/>
      <c r="L810" s="85"/>
      <c r="M810" s="85"/>
      <c r="N810" s="85"/>
      <c r="O810" s="85"/>
      <c r="P810" s="85"/>
      <c r="Q810" s="85"/>
      <c r="R810" s="85"/>
      <c r="S810" s="85"/>
      <c r="T810" s="85"/>
      <c r="U810" s="85"/>
      <c r="V810" s="85"/>
      <c r="W810" s="85"/>
      <c r="X810" s="85"/>
      <c r="Y810" s="85"/>
      <c r="Z810" s="85"/>
      <c r="AA810" s="85"/>
      <c r="AB810" s="85"/>
      <c r="AC810" s="85"/>
      <c r="AD810" s="85"/>
      <c r="AE810" s="85"/>
      <c r="AF810" s="85"/>
      <c r="AG810" s="85"/>
    </row>
    <row r="811">
      <c r="A811" s="85"/>
      <c r="B811" s="85"/>
      <c r="C811" s="87"/>
      <c r="D811" s="87"/>
      <c r="E811" s="85"/>
      <c r="F811" s="85"/>
      <c r="G811" s="85"/>
      <c r="H811" s="85"/>
      <c r="I811" s="85"/>
      <c r="J811" s="85"/>
      <c r="K811" s="85"/>
      <c r="L811" s="85"/>
      <c r="M811" s="85"/>
      <c r="N811" s="85"/>
      <c r="O811" s="85"/>
      <c r="P811" s="85"/>
      <c r="Q811" s="85"/>
      <c r="R811" s="85"/>
      <c r="S811" s="85"/>
      <c r="T811" s="85"/>
      <c r="U811" s="85"/>
      <c r="V811" s="85"/>
      <c r="W811" s="85"/>
      <c r="X811" s="85"/>
      <c r="Y811" s="85"/>
      <c r="Z811" s="85"/>
      <c r="AA811" s="85"/>
      <c r="AB811" s="85"/>
      <c r="AC811" s="85"/>
      <c r="AD811" s="85"/>
      <c r="AE811" s="85"/>
      <c r="AF811" s="85"/>
      <c r="AG811" s="85"/>
    </row>
    <row r="812">
      <c r="A812" s="85"/>
      <c r="B812" s="85"/>
      <c r="C812" s="87"/>
      <c r="D812" s="87"/>
      <c r="E812" s="85"/>
      <c r="F812" s="85"/>
      <c r="G812" s="85"/>
      <c r="H812" s="85"/>
      <c r="I812" s="85"/>
      <c r="J812" s="85"/>
      <c r="K812" s="85"/>
      <c r="L812" s="85"/>
      <c r="M812" s="85"/>
      <c r="N812" s="85"/>
      <c r="O812" s="85"/>
      <c r="P812" s="85"/>
      <c r="Q812" s="85"/>
      <c r="R812" s="85"/>
      <c r="S812" s="85"/>
      <c r="T812" s="85"/>
      <c r="U812" s="85"/>
      <c r="V812" s="85"/>
      <c r="W812" s="85"/>
      <c r="X812" s="85"/>
      <c r="Y812" s="85"/>
      <c r="Z812" s="85"/>
      <c r="AA812" s="85"/>
      <c r="AB812" s="85"/>
      <c r="AC812" s="85"/>
      <c r="AD812" s="85"/>
      <c r="AE812" s="85"/>
      <c r="AF812" s="85"/>
      <c r="AG812" s="85"/>
    </row>
    <row r="813">
      <c r="A813" s="85"/>
      <c r="B813" s="85"/>
      <c r="C813" s="87"/>
      <c r="D813" s="87"/>
      <c r="E813" s="85"/>
      <c r="F813" s="85"/>
      <c r="G813" s="85"/>
      <c r="H813" s="85"/>
      <c r="I813" s="85"/>
      <c r="J813" s="85"/>
      <c r="K813" s="85"/>
      <c r="L813" s="85"/>
      <c r="M813" s="85"/>
      <c r="N813" s="85"/>
      <c r="O813" s="85"/>
      <c r="P813" s="85"/>
      <c r="Q813" s="85"/>
      <c r="R813" s="85"/>
      <c r="S813" s="85"/>
      <c r="T813" s="85"/>
      <c r="U813" s="85"/>
      <c r="V813" s="85"/>
      <c r="W813" s="85"/>
      <c r="X813" s="85"/>
      <c r="Y813" s="85"/>
      <c r="Z813" s="85"/>
      <c r="AA813" s="85"/>
      <c r="AB813" s="85"/>
      <c r="AC813" s="85"/>
      <c r="AD813" s="85"/>
      <c r="AE813" s="85"/>
      <c r="AF813" s="85"/>
      <c r="AG813" s="85"/>
    </row>
    <row r="814">
      <c r="A814" s="85"/>
      <c r="B814" s="85"/>
      <c r="C814" s="87"/>
      <c r="D814" s="87"/>
      <c r="E814" s="85"/>
      <c r="F814" s="85"/>
      <c r="G814" s="85"/>
      <c r="H814" s="85"/>
      <c r="I814" s="85"/>
      <c r="J814" s="85"/>
      <c r="K814" s="85"/>
      <c r="L814" s="85"/>
      <c r="M814" s="85"/>
      <c r="N814" s="85"/>
      <c r="O814" s="85"/>
      <c r="P814" s="85"/>
      <c r="Q814" s="85"/>
      <c r="R814" s="85"/>
      <c r="S814" s="85"/>
      <c r="T814" s="85"/>
      <c r="U814" s="85"/>
      <c r="V814" s="85"/>
      <c r="W814" s="85"/>
      <c r="X814" s="85"/>
      <c r="Y814" s="85"/>
      <c r="Z814" s="85"/>
      <c r="AA814" s="85"/>
      <c r="AB814" s="85"/>
      <c r="AC814" s="85"/>
      <c r="AD814" s="85"/>
      <c r="AE814" s="85"/>
      <c r="AF814" s="85"/>
      <c r="AG814" s="85"/>
    </row>
    <row r="815">
      <c r="A815" s="85"/>
      <c r="B815" s="85"/>
      <c r="C815" s="87"/>
      <c r="D815" s="87"/>
      <c r="E815" s="85"/>
      <c r="F815" s="85"/>
      <c r="G815" s="85"/>
      <c r="H815" s="85"/>
      <c r="I815" s="85"/>
      <c r="J815" s="85"/>
      <c r="K815" s="85"/>
      <c r="L815" s="85"/>
      <c r="M815" s="85"/>
      <c r="N815" s="85"/>
      <c r="O815" s="85"/>
      <c r="P815" s="85"/>
      <c r="Q815" s="85"/>
      <c r="R815" s="85"/>
      <c r="S815" s="85"/>
      <c r="T815" s="85"/>
      <c r="U815" s="85"/>
      <c r="V815" s="85"/>
      <c r="W815" s="85"/>
      <c r="X815" s="85"/>
      <c r="Y815" s="85"/>
      <c r="Z815" s="85"/>
      <c r="AA815" s="85"/>
      <c r="AB815" s="85"/>
      <c r="AC815" s="85"/>
      <c r="AD815" s="85"/>
      <c r="AE815" s="85"/>
      <c r="AF815" s="85"/>
      <c r="AG815" s="85"/>
    </row>
    <row r="816">
      <c r="A816" s="85"/>
      <c r="B816" s="85"/>
      <c r="C816" s="87"/>
      <c r="D816" s="87"/>
      <c r="E816" s="85"/>
      <c r="F816" s="85"/>
      <c r="G816" s="85"/>
      <c r="H816" s="85"/>
      <c r="I816" s="85"/>
      <c r="J816" s="85"/>
      <c r="K816" s="85"/>
      <c r="L816" s="85"/>
      <c r="M816" s="85"/>
      <c r="N816" s="85"/>
      <c r="O816" s="85"/>
      <c r="P816" s="85"/>
      <c r="Q816" s="85"/>
      <c r="R816" s="85"/>
      <c r="S816" s="85"/>
      <c r="T816" s="85"/>
      <c r="U816" s="85"/>
      <c r="V816" s="85"/>
      <c r="W816" s="85"/>
      <c r="X816" s="85"/>
      <c r="Y816" s="85"/>
      <c r="Z816" s="85"/>
      <c r="AA816" s="85"/>
      <c r="AB816" s="85"/>
      <c r="AC816" s="85"/>
      <c r="AD816" s="85"/>
      <c r="AE816" s="85"/>
      <c r="AF816" s="85"/>
      <c r="AG816" s="85"/>
    </row>
    <row r="817">
      <c r="A817" s="85"/>
      <c r="B817" s="85"/>
      <c r="C817" s="87"/>
      <c r="D817" s="87"/>
      <c r="E817" s="85"/>
      <c r="F817" s="85"/>
      <c r="G817" s="85"/>
      <c r="H817" s="85"/>
      <c r="I817" s="85"/>
      <c r="J817" s="85"/>
      <c r="K817" s="85"/>
      <c r="L817" s="85"/>
      <c r="M817" s="85"/>
      <c r="N817" s="85"/>
      <c r="O817" s="85"/>
      <c r="P817" s="85"/>
      <c r="Q817" s="85"/>
      <c r="R817" s="85"/>
      <c r="S817" s="85"/>
      <c r="T817" s="85"/>
      <c r="U817" s="85"/>
      <c r="V817" s="85"/>
      <c r="W817" s="85"/>
      <c r="X817" s="85"/>
      <c r="Y817" s="85"/>
      <c r="Z817" s="85"/>
      <c r="AA817" s="85"/>
      <c r="AB817" s="85"/>
      <c r="AC817" s="85"/>
      <c r="AD817" s="85"/>
      <c r="AE817" s="85"/>
      <c r="AF817" s="85"/>
      <c r="AG817" s="85"/>
    </row>
    <row r="818">
      <c r="A818" s="85"/>
      <c r="B818" s="85"/>
      <c r="C818" s="87"/>
      <c r="D818" s="87"/>
      <c r="E818" s="85"/>
      <c r="F818" s="85"/>
      <c r="G818" s="85"/>
      <c r="H818" s="85"/>
      <c r="I818" s="85"/>
      <c r="J818" s="85"/>
      <c r="K818" s="85"/>
      <c r="L818" s="85"/>
      <c r="M818" s="85"/>
      <c r="N818" s="85"/>
      <c r="O818" s="85"/>
      <c r="P818" s="85"/>
      <c r="Q818" s="85"/>
      <c r="R818" s="85"/>
      <c r="S818" s="85"/>
      <c r="T818" s="85"/>
      <c r="U818" s="85"/>
      <c r="V818" s="85"/>
      <c r="W818" s="85"/>
      <c r="X818" s="85"/>
      <c r="Y818" s="85"/>
      <c r="Z818" s="85"/>
      <c r="AA818" s="85"/>
      <c r="AB818" s="85"/>
      <c r="AC818" s="85"/>
      <c r="AD818" s="85"/>
      <c r="AE818" s="85"/>
      <c r="AF818" s="85"/>
      <c r="AG818" s="85"/>
    </row>
    <row r="819">
      <c r="A819" s="85"/>
      <c r="B819" s="85"/>
      <c r="C819" s="87"/>
      <c r="D819" s="87"/>
      <c r="E819" s="85"/>
      <c r="F819" s="85"/>
      <c r="G819" s="85"/>
      <c r="H819" s="85"/>
      <c r="I819" s="85"/>
      <c r="J819" s="85"/>
      <c r="K819" s="85"/>
      <c r="L819" s="85"/>
      <c r="M819" s="85"/>
      <c r="N819" s="85"/>
      <c r="O819" s="85"/>
      <c r="P819" s="85"/>
      <c r="Q819" s="85"/>
      <c r="R819" s="85"/>
      <c r="S819" s="85"/>
      <c r="T819" s="85"/>
      <c r="U819" s="85"/>
      <c r="V819" s="85"/>
      <c r="W819" s="85"/>
      <c r="X819" s="85"/>
      <c r="Y819" s="85"/>
      <c r="Z819" s="85"/>
      <c r="AA819" s="85"/>
      <c r="AB819" s="85"/>
      <c r="AC819" s="85"/>
      <c r="AD819" s="85"/>
      <c r="AE819" s="85"/>
      <c r="AF819" s="85"/>
      <c r="AG819" s="85"/>
    </row>
    <row r="820">
      <c r="A820" s="85"/>
      <c r="B820" s="85"/>
      <c r="C820" s="87"/>
      <c r="D820" s="87"/>
      <c r="E820" s="85"/>
      <c r="F820" s="85"/>
      <c r="G820" s="85"/>
      <c r="H820" s="85"/>
      <c r="I820" s="85"/>
      <c r="J820" s="85"/>
      <c r="K820" s="85"/>
      <c r="L820" s="85"/>
      <c r="M820" s="85"/>
      <c r="N820" s="85"/>
      <c r="O820" s="85"/>
      <c r="P820" s="85"/>
      <c r="Q820" s="85"/>
      <c r="R820" s="85"/>
      <c r="S820" s="85"/>
      <c r="T820" s="85"/>
      <c r="U820" s="85"/>
      <c r="V820" s="85"/>
      <c r="W820" s="85"/>
      <c r="X820" s="85"/>
      <c r="Y820" s="85"/>
      <c r="Z820" s="85"/>
      <c r="AA820" s="85"/>
      <c r="AB820" s="85"/>
      <c r="AC820" s="85"/>
      <c r="AD820" s="85"/>
      <c r="AE820" s="85"/>
      <c r="AF820" s="85"/>
      <c r="AG820" s="85"/>
    </row>
    <row r="821">
      <c r="A821" s="85"/>
      <c r="B821" s="85"/>
      <c r="C821" s="87"/>
      <c r="D821" s="87"/>
      <c r="E821" s="85"/>
      <c r="F821" s="85"/>
      <c r="G821" s="85"/>
      <c r="H821" s="85"/>
      <c r="I821" s="85"/>
      <c r="J821" s="85"/>
      <c r="K821" s="85"/>
      <c r="L821" s="85"/>
      <c r="M821" s="85"/>
      <c r="N821" s="85"/>
      <c r="O821" s="85"/>
      <c r="P821" s="85"/>
      <c r="Q821" s="85"/>
      <c r="R821" s="85"/>
      <c r="S821" s="85"/>
      <c r="T821" s="85"/>
      <c r="U821" s="85"/>
      <c r="V821" s="85"/>
      <c r="W821" s="85"/>
      <c r="X821" s="85"/>
      <c r="Y821" s="85"/>
      <c r="Z821" s="85"/>
      <c r="AA821" s="85"/>
      <c r="AB821" s="85"/>
      <c r="AC821" s="85"/>
      <c r="AD821" s="85"/>
      <c r="AE821" s="85"/>
      <c r="AF821" s="85"/>
      <c r="AG821" s="85"/>
    </row>
    <row r="822">
      <c r="A822" s="85"/>
      <c r="B822" s="85"/>
      <c r="C822" s="87"/>
      <c r="D822" s="87"/>
      <c r="E822" s="85"/>
      <c r="F822" s="85"/>
      <c r="G822" s="85"/>
      <c r="H822" s="85"/>
      <c r="I822" s="85"/>
      <c r="J822" s="85"/>
      <c r="K822" s="85"/>
      <c r="L822" s="85"/>
      <c r="M822" s="85"/>
      <c r="N822" s="85"/>
      <c r="O822" s="85"/>
      <c r="P822" s="85"/>
      <c r="Q822" s="85"/>
      <c r="R822" s="85"/>
      <c r="S822" s="85"/>
      <c r="T822" s="85"/>
      <c r="U822" s="85"/>
      <c r="V822" s="85"/>
      <c r="W822" s="85"/>
      <c r="X822" s="85"/>
      <c r="Y822" s="85"/>
      <c r="Z822" s="85"/>
      <c r="AA822" s="85"/>
      <c r="AB822" s="85"/>
      <c r="AC822" s="85"/>
      <c r="AD822" s="85"/>
      <c r="AE822" s="85"/>
      <c r="AF822" s="85"/>
      <c r="AG822" s="85"/>
    </row>
    <row r="823">
      <c r="A823" s="85"/>
      <c r="B823" s="85"/>
      <c r="C823" s="87"/>
      <c r="D823" s="87"/>
      <c r="E823" s="85"/>
      <c r="F823" s="85"/>
      <c r="G823" s="85"/>
      <c r="H823" s="85"/>
      <c r="I823" s="85"/>
      <c r="J823" s="85"/>
      <c r="K823" s="85"/>
      <c r="L823" s="85"/>
      <c r="M823" s="85"/>
      <c r="N823" s="85"/>
      <c r="O823" s="85"/>
      <c r="P823" s="85"/>
      <c r="Q823" s="85"/>
      <c r="R823" s="85"/>
      <c r="S823" s="85"/>
      <c r="T823" s="85"/>
      <c r="U823" s="85"/>
      <c r="V823" s="85"/>
      <c r="W823" s="85"/>
      <c r="X823" s="85"/>
      <c r="Y823" s="85"/>
      <c r="Z823" s="85"/>
      <c r="AA823" s="85"/>
      <c r="AB823" s="85"/>
      <c r="AC823" s="85"/>
      <c r="AD823" s="85"/>
      <c r="AE823" s="85"/>
      <c r="AF823" s="85"/>
      <c r="AG823" s="85"/>
    </row>
    <row r="824">
      <c r="A824" s="85"/>
      <c r="B824" s="85"/>
      <c r="C824" s="87"/>
      <c r="D824" s="87"/>
      <c r="E824" s="85"/>
      <c r="F824" s="85"/>
      <c r="G824" s="85"/>
      <c r="H824" s="85"/>
      <c r="I824" s="85"/>
      <c r="J824" s="85"/>
      <c r="K824" s="85"/>
      <c r="L824" s="85"/>
      <c r="M824" s="85"/>
      <c r="N824" s="85"/>
      <c r="O824" s="85"/>
      <c r="P824" s="85"/>
      <c r="Q824" s="85"/>
      <c r="R824" s="85"/>
      <c r="S824" s="85"/>
      <c r="T824" s="85"/>
      <c r="U824" s="85"/>
      <c r="V824" s="85"/>
      <c r="W824" s="85"/>
      <c r="X824" s="85"/>
      <c r="Y824" s="85"/>
      <c r="Z824" s="85"/>
      <c r="AA824" s="85"/>
      <c r="AB824" s="85"/>
      <c r="AC824" s="85"/>
      <c r="AD824" s="85"/>
      <c r="AE824" s="85"/>
      <c r="AF824" s="85"/>
      <c r="AG824" s="85"/>
    </row>
    <row r="825">
      <c r="A825" s="85"/>
      <c r="B825" s="85"/>
      <c r="C825" s="87"/>
      <c r="D825" s="87"/>
      <c r="E825" s="85"/>
      <c r="F825" s="85"/>
      <c r="G825" s="85"/>
      <c r="H825" s="85"/>
      <c r="I825" s="85"/>
      <c r="J825" s="85"/>
      <c r="K825" s="85"/>
      <c r="L825" s="85"/>
      <c r="M825" s="85"/>
      <c r="N825" s="85"/>
      <c r="O825" s="85"/>
      <c r="P825" s="85"/>
      <c r="Q825" s="85"/>
      <c r="R825" s="85"/>
      <c r="S825" s="85"/>
      <c r="T825" s="85"/>
      <c r="U825" s="85"/>
      <c r="V825" s="85"/>
      <c r="W825" s="85"/>
      <c r="X825" s="85"/>
      <c r="Y825" s="85"/>
      <c r="Z825" s="85"/>
      <c r="AA825" s="85"/>
      <c r="AB825" s="85"/>
      <c r="AC825" s="85"/>
      <c r="AD825" s="85"/>
      <c r="AE825" s="85"/>
      <c r="AF825" s="85"/>
      <c r="AG825" s="85"/>
    </row>
    <row r="826">
      <c r="A826" s="85"/>
      <c r="B826" s="85"/>
      <c r="C826" s="87"/>
      <c r="D826" s="87"/>
      <c r="E826" s="85"/>
      <c r="F826" s="85"/>
      <c r="G826" s="85"/>
      <c r="H826" s="85"/>
      <c r="I826" s="85"/>
      <c r="J826" s="85"/>
      <c r="K826" s="85"/>
      <c r="L826" s="85"/>
      <c r="M826" s="85"/>
      <c r="N826" s="85"/>
      <c r="O826" s="85"/>
      <c r="P826" s="85"/>
      <c r="Q826" s="85"/>
      <c r="R826" s="85"/>
      <c r="S826" s="85"/>
      <c r="T826" s="85"/>
      <c r="U826" s="85"/>
      <c r="V826" s="85"/>
      <c r="W826" s="85"/>
      <c r="X826" s="85"/>
      <c r="Y826" s="85"/>
      <c r="Z826" s="85"/>
      <c r="AA826" s="85"/>
      <c r="AB826" s="85"/>
      <c r="AC826" s="85"/>
      <c r="AD826" s="85"/>
      <c r="AE826" s="85"/>
      <c r="AF826" s="85"/>
      <c r="AG826" s="85"/>
    </row>
    <row r="827">
      <c r="A827" s="85"/>
      <c r="B827" s="85"/>
      <c r="C827" s="87"/>
      <c r="D827" s="87"/>
      <c r="E827" s="85"/>
      <c r="F827" s="85"/>
      <c r="G827" s="85"/>
      <c r="H827" s="85"/>
      <c r="I827" s="85"/>
      <c r="J827" s="85"/>
      <c r="K827" s="85"/>
      <c r="L827" s="85"/>
      <c r="M827" s="85"/>
      <c r="N827" s="85"/>
      <c r="O827" s="85"/>
      <c r="P827" s="85"/>
      <c r="Q827" s="85"/>
      <c r="R827" s="85"/>
      <c r="S827" s="85"/>
      <c r="T827" s="85"/>
      <c r="U827" s="85"/>
      <c r="V827" s="85"/>
      <c r="W827" s="85"/>
      <c r="X827" s="85"/>
      <c r="Y827" s="85"/>
      <c r="Z827" s="85"/>
      <c r="AA827" s="85"/>
      <c r="AB827" s="85"/>
      <c r="AC827" s="85"/>
      <c r="AD827" s="85"/>
      <c r="AE827" s="85"/>
      <c r="AF827" s="85"/>
      <c r="AG827" s="85"/>
    </row>
    <row r="828">
      <c r="A828" s="85"/>
      <c r="B828" s="85"/>
      <c r="C828" s="87"/>
      <c r="D828" s="87"/>
      <c r="E828" s="85"/>
      <c r="F828" s="85"/>
      <c r="G828" s="85"/>
      <c r="H828" s="85"/>
      <c r="I828" s="85"/>
      <c r="J828" s="85"/>
      <c r="K828" s="85"/>
      <c r="L828" s="85"/>
      <c r="M828" s="85"/>
      <c r="N828" s="85"/>
      <c r="O828" s="85"/>
      <c r="P828" s="85"/>
      <c r="Q828" s="85"/>
      <c r="R828" s="85"/>
      <c r="S828" s="85"/>
      <c r="T828" s="85"/>
      <c r="U828" s="85"/>
      <c r="V828" s="85"/>
      <c r="W828" s="85"/>
      <c r="X828" s="85"/>
      <c r="Y828" s="85"/>
      <c r="Z828" s="85"/>
      <c r="AA828" s="85"/>
      <c r="AB828" s="85"/>
      <c r="AC828" s="85"/>
      <c r="AD828" s="85"/>
      <c r="AE828" s="85"/>
      <c r="AF828" s="85"/>
      <c r="AG828" s="85"/>
    </row>
    <row r="829">
      <c r="A829" s="85"/>
      <c r="B829" s="85"/>
      <c r="C829" s="87"/>
      <c r="D829" s="87"/>
      <c r="E829" s="85"/>
      <c r="F829" s="85"/>
      <c r="G829" s="85"/>
      <c r="H829" s="85"/>
      <c r="I829" s="85"/>
      <c r="J829" s="85"/>
      <c r="K829" s="85"/>
      <c r="L829" s="85"/>
      <c r="M829" s="85"/>
      <c r="N829" s="85"/>
      <c r="O829" s="85"/>
      <c r="P829" s="85"/>
      <c r="Q829" s="85"/>
      <c r="R829" s="85"/>
      <c r="S829" s="85"/>
      <c r="T829" s="85"/>
      <c r="U829" s="85"/>
      <c r="V829" s="85"/>
      <c r="W829" s="85"/>
      <c r="X829" s="85"/>
      <c r="Y829" s="85"/>
      <c r="Z829" s="85"/>
      <c r="AA829" s="85"/>
      <c r="AB829" s="85"/>
      <c r="AC829" s="85"/>
      <c r="AD829" s="85"/>
      <c r="AE829" s="85"/>
      <c r="AF829" s="85"/>
      <c r="AG829" s="85"/>
    </row>
    <row r="830">
      <c r="A830" s="85"/>
      <c r="B830" s="85"/>
      <c r="C830" s="87"/>
      <c r="D830" s="87"/>
      <c r="E830" s="85"/>
      <c r="F830" s="85"/>
      <c r="G830" s="85"/>
      <c r="H830" s="85"/>
      <c r="I830" s="85"/>
      <c r="J830" s="85"/>
      <c r="K830" s="85"/>
      <c r="L830" s="85"/>
      <c r="M830" s="85"/>
      <c r="N830" s="85"/>
      <c r="O830" s="85"/>
      <c r="P830" s="85"/>
      <c r="Q830" s="85"/>
      <c r="R830" s="85"/>
      <c r="S830" s="85"/>
      <c r="T830" s="85"/>
      <c r="U830" s="85"/>
      <c r="V830" s="85"/>
      <c r="W830" s="85"/>
      <c r="X830" s="85"/>
      <c r="Y830" s="85"/>
      <c r="Z830" s="85"/>
      <c r="AA830" s="85"/>
      <c r="AB830" s="85"/>
      <c r="AC830" s="85"/>
      <c r="AD830" s="85"/>
      <c r="AE830" s="85"/>
      <c r="AF830" s="85"/>
      <c r="AG830" s="85"/>
    </row>
    <row r="831">
      <c r="A831" s="85"/>
      <c r="B831" s="85"/>
      <c r="C831" s="87"/>
      <c r="D831" s="87"/>
      <c r="E831" s="85"/>
      <c r="F831" s="85"/>
      <c r="G831" s="85"/>
      <c r="H831" s="85"/>
      <c r="I831" s="85"/>
      <c r="J831" s="85"/>
      <c r="K831" s="85"/>
      <c r="L831" s="85"/>
      <c r="M831" s="85"/>
      <c r="N831" s="85"/>
      <c r="O831" s="85"/>
      <c r="P831" s="85"/>
      <c r="Q831" s="85"/>
      <c r="R831" s="85"/>
      <c r="S831" s="85"/>
      <c r="T831" s="85"/>
      <c r="U831" s="85"/>
      <c r="V831" s="85"/>
      <c r="W831" s="85"/>
      <c r="X831" s="85"/>
      <c r="Y831" s="85"/>
      <c r="Z831" s="85"/>
      <c r="AA831" s="85"/>
      <c r="AB831" s="85"/>
      <c r="AC831" s="85"/>
      <c r="AD831" s="85"/>
      <c r="AE831" s="85"/>
      <c r="AF831" s="85"/>
      <c r="AG831" s="85"/>
    </row>
    <row r="832">
      <c r="A832" s="85"/>
      <c r="B832" s="85"/>
      <c r="C832" s="87"/>
      <c r="D832" s="87"/>
      <c r="E832" s="85"/>
      <c r="F832" s="85"/>
      <c r="G832" s="85"/>
      <c r="H832" s="85"/>
      <c r="I832" s="85"/>
      <c r="J832" s="85"/>
      <c r="K832" s="85"/>
      <c r="L832" s="85"/>
      <c r="M832" s="85"/>
      <c r="N832" s="85"/>
      <c r="O832" s="85"/>
      <c r="P832" s="85"/>
      <c r="Q832" s="85"/>
      <c r="R832" s="85"/>
      <c r="S832" s="85"/>
      <c r="T832" s="85"/>
      <c r="U832" s="85"/>
      <c r="V832" s="85"/>
      <c r="W832" s="85"/>
      <c r="X832" s="85"/>
      <c r="Y832" s="85"/>
      <c r="Z832" s="85"/>
      <c r="AA832" s="85"/>
      <c r="AB832" s="85"/>
      <c r="AC832" s="85"/>
      <c r="AD832" s="85"/>
      <c r="AE832" s="85"/>
      <c r="AF832" s="85"/>
      <c r="AG832" s="85"/>
    </row>
    <row r="833">
      <c r="A833" s="85"/>
      <c r="B833" s="85"/>
      <c r="C833" s="87"/>
      <c r="D833" s="87"/>
      <c r="E833" s="85"/>
      <c r="F833" s="85"/>
      <c r="G833" s="85"/>
      <c r="H833" s="85"/>
      <c r="I833" s="85"/>
      <c r="J833" s="85"/>
      <c r="K833" s="85"/>
      <c r="L833" s="85"/>
      <c r="M833" s="85"/>
      <c r="N833" s="85"/>
      <c r="O833" s="85"/>
      <c r="P833" s="85"/>
      <c r="Q833" s="85"/>
      <c r="R833" s="85"/>
      <c r="S833" s="85"/>
      <c r="T833" s="85"/>
      <c r="U833" s="85"/>
      <c r="V833" s="85"/>
      <c r="W833" s="85"/>
      <c r="X833" s="85"/>
      <c r="Y833" s="85"/>
      <c r="Z833" s="85"/>
      <c r="AA833" s="85"/>
      <c r="AB833" s="85"/>
      <c r="AC833" s="85"/>
      <c r="AD833" s="85"/>
      <c r="AE833" s="85"/>
      <c r="AF833" s="85"/>
      <c r="AG833" s="85"/>
    </row>
    <row r="834">
      <c r="A834" s="85"/>
      <c r="B834" s="85"/>
      <c r="C834" s="87"/>
      <c r="D834" s="87"/>
      <c r="E834" s="85"/>
      <c r="F834" s="85"/>
      <c r="G834" s="85"/>
      <c r="H834" s="85"/>
      <c r="I834" s="85"/>
      <c r="J834" s="85"/>
      <c r="K834" s="85"/>
      <c r="L834" s="85"/>
      <c r="M834" s="85"/>
      <c r="N834" s="85"/>
      <c r="O834" s="85"/>
      <c r="P834" s="85"/>
      <c r="Q834" s="85"/>
      <c r="R834" s="85"/>
      <c r="S834" s="85"/>
      <c r="T834" s="85"/>
      <c r="U834" s="85"/>
      <c r="V834" s="85"/>
      <c r="W834" s="85"/>
      <c r="X834" s="85"/>
      <c r="Y834" s="85"/>
      <c r="Z834" s="85"/>
      <c r="AA834" s="85"/>
      <c r="AB834" s="85"/>
      <c r="AC834" s="85"/>
      <c r="AD834" s="85"/>
      <c r="AE834" s="85"/>
      <c r="AF834" s="85"/>
      <c r="AG834" s="85"/>
    </row>
    <row r="835">
      <c r="A835" s="85"/>
      <c r="B835" s="85"/>
      <c r="C835" s="87"/>
      <c r="D835" s="87"/>
      <c r="E835" s="85"/>
      <c r="F835" s="85"/>
      <c r="G835" s="85"/>
      <c r="H835" s="85"/>
      <c r="I835" s="85"/>
      <c r="J835" s="85"/>
      <c r="K835" s="85"/>
      <c r="L835" s="85"/>
      <c r="M835" s="85"/>
      <c r="N835" s="85"/>
      <c r="O835" s="85"/>
      <c r="P835" s="85"/>
      <c r="Q835" s="85"/>
      <c r="R835" s="85"/>
      <c r="S835" s="85"/>
      <c r="T835" s="85"/>
      <c r="U835" s="85"/>
      <c r="V835" s="85"/>
      <c r="W835" s="85"/>
      <c r="X835" s="85"/>
      <c r="Y835" s="85"/>
      <c r="Z835" s="85"/>
      <c r="AA835" s="85"/>
      <c r="AB835" s="85"/>
      <c r="AC835" s="85"/>
      <c r="AD835" s="85"/>
      <c r="AE835" s="85"/>
      <c r="AF835" s="85"/>
      <c r="AG835" s="85"/>
    </row>
    <row r="836">
      <c r="A836" s="85"/>
      <c r="B836" s="85"/>
      <c r="C836" s="87"/>
      <c r="D836" s="87"/>
      <c r="E836" s="85"/>
      <c r="F836" s="85"/>
      <c r="G836" s="85"/>
      <c r="H836" s="85"/>
      <c r="I836" s="85"/>
      <c r="J836" s="85"/>
      <c r="K836" s="85"/>
      <c r="L836" s="85"/>
      <c r="M836" s="85"/>
      <c r="N836" s="85"/>
      <c r="O836" s="85"/>
      <c r="P836" s="85"/>
      <c r="Q836" s="85"/>
      <c r="R836" s="85"/>
      <c r="S836" s="85"/>
      <c r="T836" s="85"/>
      <c r="U836" s="85"/>
      <c r="V836" s="85"/>
      <c r="W836" s="85"/>
      <c r="X836" s="85"/>
      <c r="Y836" s="85"/>
      <c r="Z836" s="85"/>
      <c r="AA836" s="85"/>
      <c r="AB836" s="85"/>
      <c r="AC836" s="85"/>
      <c r="AD836" s="85"/>
      <c r="AE836" s="85"/>
      <c r="AF836" s="85"/>
      <c r="AG836" s="85"/>
    </row>
    <row r="837">
      <c r="A837" s="85"/>
      <c r="B837" s="85"/>
      <c r="C837" s="87"/>
      <c r="D837" s="87"/>
      <c r="E837" s="85"/>
      <c r="F837" s="85"/>
      <c r="G837" s="85"/>
      <c r="H837" s="85"/>
      <c r="I837" s="85"/>
      <c r="J837" s="85"/>
      <c r="K837" s="85"/>
      <c r="L837" s="85"/>
      <c r="M837" s="85"/>
      <c r="N837" s="85"/>
      <c r="O837" s="85"/>
      <c r="P837" s="85"/>
      <c r="Q837" s="85"/>
      <c r="R837" s="85"/>
      <c r="S837" s="85"/>
      <c r="T837" s="85"/>
      <c r="U837" s="85"/>
      <c r="V837" s="85"/>
      <c r="W837" s="85"/>
      <c r="X837" s="85"/>
      <c r="Y837" s="85"/>
      <c r="Z837" s="85"/>
      <c r="AA837" s="85"/>
      <c r="AB837" s="85"/>
      <c r="AC837" s="85"/>
      <c r="AD837" s="85"/>
      <c r="AE837" s="85"/>
      <c r="AF837" s="85"/>
      <c r="AG837" s="85"/>
    </row>
    <row r="838">
      <c r="A838" s="85"/>
      <c r="B838" s="85"/>
      <c r="C838" s="87"/>
      <c r="D838" s="87"/>
      <c r="E838" s="85"/>
      <c r="F838" s="85"/>
      <c r="G838" s="85"/>
      <c r="H838" s="85"/>
      <c r="I838" s="85"/>
      <c r="J838" s="85"/>
      <c r="K838" s="85"/>
      <c r="L838" s="85"/>
      <c r="M838" s="85"/>
      <c r="N838" s="85"/>
      <c r="O838" s="85"/>
      <c r="P838" s="85"/>
      <c r="Q838" s="85"/>
      <c r="R838" s="85"/>
      <c r="S838" s="85"/>
      <c r="T838" s="85"/>
      <c r="U838" s="85"/>
      <c r="V838" s="85"/>
      <c r="W838" s="85"/>
      <c r="X838" s="85"/>
      <c r="Y838" s="85"/>
      <c r="Z838" s="85"/>
      <c r="AA838" s="85"/>
      <c r="AB838" s="85"/>
      <c r="AC838" s="85"/>
      <c r="AD838" s="85"/>
      <c r="AE838" s="85"/>
      <c r="AF838" s="85"/>
      <c r="AG838" s="85"/>
    </row>
    <row r="839">
      <c r="A839" s="85"/>
      <c r="B839" s="85"/>
      <c r="C839" s="87"/>
      <c r="D839" s="87"/>
      <c r="E839" s="85"/>
      <c r="F839" s="85"/>
      <c r="G839" s="85"/>
      <c r="H839" s="85"/>
      <c r="I839" s="85"/>
      <c r="J839" s="85"/>
      <c r="K839" s="85"/>
      <c r="L839" s="85"/>
      <c r="M839" s="85"/>
      <c r="N839" s="85"/>
      <c r="O839" s="85"/>
      <c r="P839" s="85"/>
      <c r="Q839" s="85"/>
      <c r="R839" s="85"/>
      <c r="S839" s="85"/>
      <c r="T839" s="85"/>
      <c r="U839" s="85"/>
      <c r="V839" s="85"/>
      <c r="W839" s="85"/>
      <c r="X839" s="85"/>
      <c r="Y839" s="85"/>
      <c r="Z839" s="85"/>
      <c r="AA839" s="85"/>
      <c r="AB839" s="85"/>
      <c r="AC839" s="85"/>
      <c r="AD839" s="85"/>
      <c r="AE839" s="85"/>
      <c r="AF839" s="85"/>
      <c r="AG839" s="85"/>
    </row>
    <row r="840">
      <c r="A840" s="85"/>
      <c r="B840" s="85"/>
      <c r="C840" s="87"/>
      <c r="D840" s="87"/>
      <c r="E840" s="85"/>
      <c r="F840" s="85"/>
      <c r="G840" s="85"/>
      <c r="H840" s="85"/>
      <c r="I840" s="85"/>
      <c r="J840" s="85"/>
      <c r="K840" s="85"/>
      <c r="L840" s="85"/>
      <c r="M840" s="85"/>
      <c r="N840" s="85"/>
      <c r="O840" s="85"/>
      <c r="P840" s="85"/>
      <c r="Q840" s="85"/>
      <c r="R840" s="85"/>
      <c r="S840" s="85"/>
      <c r="T840" s="85"/>
      <c r="U840" s="85"/>
      <c r="V840" s="85"/>
      <c r="W840" s="85"/>
      <c r="X840" s="85"/>
      <c r="Y840" s="85"/>
      <c r="Z840" s="85"/>
      <c r="AA840" s="85"/>
      <c r="AB840" s="85"/>
      <c r="AC840" s="85"/>
      <c r="AD840" s="85"/>
      <c r="AE840" s="85"/>
      <c r="AF840" s="85"/>
      <c r="AG840" s="85"/>
    </row>
    <row r="841">
      <c r="A841" s="85"/>
      <c r="B841" s="85"/>
      <c r="C841" s="87"/>
      <c r="D841" s="87"/>
      <c r="E841" s="85"/>
      <c r="F841" s="85"/>
      <c r="G841" s="85"/>
      <c r="H841" s="85"/>
      <c r="I841" s="85"/>
      <c r="J841" s="85"/>
      <c r="K841" s="85"/>
      <c r="L841" s="85"/>
      <c r="M841" s="85"/>
      <c r="N841" s="85"/>
      <c r="O841" s="85"/>
      <c r="P841" s="85"/>
      <c r="Q841" s="85"/>
      <c r="R841" s="85"/>
      <c r="S841" s="85"/>
      <c r="T841" s="85"/>
      <c r="U841" s="85"/>
      <c r="V841" s="85"/>
      <c r="W841" s="85"/>
      <c r="X841" s="85"/>
      <c r="Y841" s="85"/>
      <c r="Z841" s="85"/>
      <c r="AA841" s="85"/>
      <c r="AB841" s="85"/>
      <c r="AC841" s="85"/>
      <c r="AD841" s="85"/>
      <c r="AE841" s="85"/>
      <c r="AF841" s="85"/>
      <c r="AG841" s="85"/>
    </row>
    <row r="842">
      <c r="A842" s="85"/>
      <c r="B842" s="85"/>
      <c r="C842" s="87"/>
      <c r="D842" s="87"/>
      <c r="E842" s="85"/>
      <c r="F842" s="85"/>
      <c r="G842" s="85"/>
      <c r="H842" s="85"/>
      <c r="I842" s="85"/>
      <c r="J842" s="85"/>
      <c r="K842" s="85"/>
      <c r="L842" s="85"/>
      <c r="M842" s="85"/>
      <c r="N842" s="85"/>
      <c r="O842" s="85"/>
      <c r="P842" s="85"/>
      <c r="Q842" s="85"/>
      <c r="R842" s="85"/>
      <c r="S842" s="85"/>
      <c r="T842" s="85"/>
      <c r="U842" s="85"/>
      <c r="V842" s="85"/>
      <c r="W842" s="85"/>
      <c r="X842" s="85"/>
      <c r="Y842" s="85"/>
      <c r="Z842" s="85"/>
      <c r="AA842" s="85"/>
      <c r="AB842" s="85"/>
      <c r="AC842" s="85"/>
      <c r="AD842" s="85"/>
      <c r="AE842" s="85"/>
      <c r="AF842" s="85"/>
      <c r="AG842" s="85"/>
    </row>
    <row r="843">
      <c r="A843" s="85"/>
      <c r="B843" s="85"/>
      <c r="C843" s="87"/>
      <c r="D843" s="87"/>
      <c r="E843" s="85"/>
      <c r="F843" s="85"/>
      <c r="G843" s="85"/>
      <c r="H843" s="85"/>
      <c r="I843" s="85"/>
      <c r="J843" s="85"/>
      <c r="K843" s="85"/>
      <c r="L843" s="85"/>
      <c r="M843" s="85"/>
      <c r="N843" s="85"/>
      <c r="O843" s="85"/>
      <c r="P843" s="85"/>
      <c r="Q843" s="85"/>
      <c r="R843" s="85"/>
      <c r="S843" s="85"/>
      <c r="T843" s="85"/>
      <c r="U843" s="85"/>
      <c r="V843" s="85"/>
      <c r="W843" s="85"/>
      <c r="X843" s="85"/>
      <c r="Y843" s="85"/>
      <c r="Z843" s="85"/>
      <c r="AA843" s="85"/>
      <c r="AB843" s="85"/>
      <c r="AC843" s="85"/>
      <c r="AD843" s="85"/>
      <c r="AE843" s="85"/>
      <c r="AF843" s="85"/>
      <c r="AG843" s="85"/>
    </row>
    <row r="844">
      <c r="A844" s="85"/>
      <c r="B844" s="85"/>
      <c r="C844" s="87"/>
      <c r="D844" s="87"/>
      <c r="E844" s="85"/>
      <c r="F844" s="85"/>
      <c r="G844" s="85"/>
      <c r="H844" s="85"/>
      <c r="I844" s="85"/>
      <c r="J844" s="85"/>
      <c r="K844" s="85"/>
      <c r="L844" s="85"/>
      <c r="M844" s="85"/>
      <c r="N844" s="85"/>
      <c r="O844" s="85"/>
      <c r="P844" s="85"/>
      <c r="Q844" s="85"/>
      <c r="R844" s="85"/>
      <c r="S844" s="85"/>
      <c r="T844" s="85"/>
      <c r="U844" s="85"/>
      <c r="V844" s="85"/>
      <c r="W844" s="85"/>
      <c r="X844" s="85"/>
      <c r="Y844" s="85"/>
      <c r="Z844" s="85"/>
      <c r="AA844" s="85"/>
      <c r="AB844" s="85"/>
      <c r="AC844" s="85"/>
      <c r="AD844" s="85"/>
      <c r="AE844" s="85"/>
      <c r="AF844" s="85"/>
      <c r="AG844" s="85"/>
    </row>
    <row r="845">
      <c r="A845" s="85"/>
      <c r="B845" s="85"/>
      <c r="C845" s="87"/>
      <c r="D845" s="87"/>
      <c r="E845" s="85"/>
      <c r="F845" s="85"/>
      <c r="G845" s="85"/>
      <c r="H845" s="85"/>
      <c r="I845" s="85"/>
      <c r="J845" s="85"/>
      <c r="K845" s="85"/>
      <c r="L845" s="85"/>
      <c r="M845" s="85"/>
      <c r="N845" s="85"/>
      <c r="O845" s="85"/>
      <c r="P845" s="85"/>
      <c r="Q845" s="85"/>
      <c r="R845" s="85"/>
      <c r="S845" s="85"/>
      <c r="T845" s="85"/>
      <c r="U845" s="85"/>
      <c r="V845" s="85"/>
      <c r="W845" s="85"/>
      <c r="X845" s="85"/>
      <c r="Y845" s="85"/>
      <c r="Z845" s="85"/>
      <c r="AA845" s="85"/>
      <c r="AB845" s="85"/>
      <c r="AC845" s="85"/>
      <c r="AD845" s="85"/>
      <c r="AE845" s="85"/>
      <c r="AF845" s="85"/>
      <c r="AG845" s="85"/>
    </row>
    <row r="846">
      <c r="A846" s="85"/>
      <c r="B846" s="85"/>
      <c r="C846" s="87"/>
      <c r="D846" s="87"/>
      <c r="E846" s="85"/>
      <c r="F846" s="85"/>
      <c r="G846" s="85"/>
      <c r="H846" s="85"/>
      <c r="I846" s="85"/>
      <c r="J846" s="85"/>
      <c r="K846" s="85"/>
      <c r="L846" s="85"/>
      <c r="M846" s="85"/>
      <c r="N846" s="85"/>
      <c r="O846" s="85"/>
      <c r="P846" s="85"/>
      <c r="Q846" s="85"/>
      <c r="R846" s="85"/>
      <c r="S846" s="85"/>
      <c r="T846" s="85"/>
      <c r="U846" s="85"/>
      <c r="V846" s="85"/>
      <c r="W846" s="85"/>
      <c r="X846" s="85"/>
      <c r="Y846" s="85"/>
      <c r="Z846" s="85"/>
      <c r="AA846" s="85"/>
      <c r="AB846" s="85"/>
      <c r="AC846" s="85"/>
      <c r="AD846" s="85"/>
      <c r="AE846" s="85"/>
      <c r="AF846" s="85"/>
      <c r="AG846" s="85"/>
    </row>
    <row r="847">
      <c r="A847" s="85"/>
      <c r="B847" s="85"/>
      <c r="C847" s="87"/>
      <c r="D847" s="87"/>
      <c r="E847" s="85"/>
      <c r="F847" s="85"/>
      <c r="G847" s="85"/>
      <c r="H847" s="85"/>
      <c r="I847" s="85"/>
      <c r="J847" s="85"/>
      <c r="K847" s="85"/>
      <c r="L847" s="85"/>
      <c r="M847" s="85"/>
      <c r="N847" s="85"/>
      <c r="O847" s="85"/>
      <c r="P847" s="85"/>
      <c r="Q847" s="85"/>
      <c r="R847" s="85"/>
      <c r="S847" s="85"/>
      <c r="T847" s="85"/>
      <c r="U847" s="85"/>
      <c r="V847" s="85"/>
      <c r="W847" s="85"/>
      <c r="X847" s="85"/>
      <c r="Y847" s="85"/>
      <c r="Z847" s="85"/>
      <c r="AA847" s="85"/>
      <c r="AB847" s="85"/>
      <c r="AC847" s="85"/>
      <c r="AD847" s="85"/>
      <c r="AE847" s="85"/>
      <c r="AF847" s="85"/>
      <c r="AG847" s="85"/>
    </row>
    <row r="848">
      <c r="A848" s="85"/>
      <c r="B848" s="85"/>
      <c r="C848" s="87"/>
      <c r="D848" s="87"/>
      <c r="E848" s="85"/>
      <c r="F848" s="85"/>
      <c r="G848" s="85"/>
      <c r="H848" s="85"/>
      <c r="I848" s="85"/>
      <c r="J848" s="85"/>
      <c r="K848" s="85"/>
      <c r="L848" s="85"/>
      <c r="M848" s="85"/>
      <c r="N848" s="85"/>
      <c r="O848" s="85"/>
      <c r="P848" s="85"/>
      <c r="Q848" s="85"/>
      <c r="R848" s="85"/>
      <c r="S848" s="85"/>
      <c r="T848" s="85"/>
      <c r="U848" s="85"/>
      <c r="V848" s="85"/>
      <c r="W848" s="85"/>
      <c r="X848" s="85"/>
      <c r="Y848" s="85"/>
      <c r="Z848" s="85"/>
      <c r="AA848" s="85"/>
      <c r="AB848" s="85"/>
      <c r="AC848" s="85"/>
      <c r="AD848" s="85"/>
      <c r="AE848" s="85"/>
      <c r="AF848" s="85"/>
      <c r="AG848" s="85"/>
    </row>
    <row r="849">
      <c r="A849" s="85"/>
      <c r="B849" s="85"/>
      <c r="C849" s="87"/>
      <c r="D849" s="87"/>
      <c r="E849" s="85"/>
      <c r="F849" s="85"/>
      <c r="G849" s="85"/>
      <c r="H849" s="85"/>
      <c r="I849" s="85"/>
      <c r="J849" s="85"/>
      <c r="K849" s="85"/>
      <c r="L849" s="85"/>
      <c r="M849" s="85"/>
      <c r="N849" s="85"/>
      <c r="O849" s="85"/>
      <c r="P849" s="85"/>
      <c r="Q849" s="85"/>
      <c r="R849" s="85"/>
      <c r="S849" s="85"/>
      <c r="T849" s="85"/>
      <c r="U849" s="85"/>
      <c r="V849" s="85"/>
      <c r="W849" s="85"/>
      <c r="X849" s="85"/>
      <c r="Y849" s="85"/>
      <c r="Z849" s="85"/>
      <c r="AA849" s="85"/>
      <c r="AB849" s="85"/>
      <c r="AC849" s="85"/>
      <c r="AD849" s="85"/>
      <c r="AE849" s="85"/>
      <c r="AF849" s="85"/>
      <c r="AG849" s="85"/>
    </row>
    <row r="850">
      <c r="A850" s="85"/>
      <c r="B850" s="85"/>
      <c r="C850" s="87"/>
      <c r="D850" s="87"/>
      <c r="E850" s="85"/>
      <c r="F850" s="85"/>
      <c r="G850" s="85"/>
      <c r="H850" s="85"/>
      <c r="I850" s="85"/>
      <c r="J850" s="85"/>
      <c r="K850" s="85"/>
      <c r="L850" s="85"/>
      <c r="M850" s="85"/>
      <c r="N850" s="85"/>
      <c r="O850" s="85"/>
      <c r="P850" s="85"/>
      <c r="Q850" s="85"/>
      <c r="R850" s="85"/>
      <c r="S850" s="85"/>
      <c r="T850" s="85"/>
      <c r="U850" s="85"/>
      <c r="V850" s="85"/>
      <c r="W850" s="85"/>
      <c r="X850" s="85"/>
      <c r="Y850" s="85"/>
      <c r="Z850" s="85"/>
      <c r="AA850" s="85"/>
      <c r="AB850" s="85"/>
      <c r="AC850" s="85"/>
      <c r="AD850" s="85"/>
      <c r="AE850" s="85"/>
      <c r="AF850" s="85"/>
      <c r="AG850" s="85"/>
    </row>
    <row r="851">
      <c r="A851" s="85"/>
      <c r="B851" s="85"/>
      <c r="C851" s="87"/>
      <c r="D851" s="87"/>
      <c r="E851" s="85"/>
      <c r="F851" s="85"/>
      <c r="G851" s="85"/>
      <c r="H851" s="85"/>
      <c r="I851" s="85"/>
      <c r="J851" s="85"/>
      <c r="K851" s="85"/>
      <c r="L851" s="85"/>
      <c r="M851" s="85"/>
      <c r="N851" s="85"/>
      <c r="O851" s="85"/>
      <c r="P851" s="85"/>
      <c r="Q851" s="85"/>
      <c r="R851" s="85"/>
      <c r="S851" s="85"/>
      <c r="T851" s="85"/>
      <c r="U851" s="85"/>
      <c r="V851" s="85"/>
      <c r="W851" s="85"/>
      <c r="X851" s="85"/>
      <c r="Y851" s="85"/>
      <c r="Z851" s="85"/>
      <c r="AA851" s="85"/>
      <c r="AB851" s="85"/>
      <c r="AC851" s="85"/>
      <c r="AD851" s="85"/>
      <c r="AE851" s="85"/>
      <c r="AF851" s="85"/>
      <c r="AG851" s="85"/>
    </row>
    <row r="852">
      <c r="A852" s="85"/>
      <c r="B852" s="85"/>
      <c r="C852" s="87"/>
      <c r="D852" s="87"/>
      <c r="E852" s="85"/>
      <c r="F852" s="85"/>
      <c r="G852" s="85"/>
      <c r="H852" s="85"/>
      <c r="I852" s="85"/>
      <c r="J852" s="85"/>
      <c r="K852" s="85"/>
      <c r="L852" s="85"/>
      <c r="M852" s="85"/>
      <c r="N852" s="85"/>
      <c r="O852" s="85"/>
      <c r="P852" s="85"/>
      <c r="Q852" s="85"/>
      <c r="R852" s="85"/>
      <c r="S852" s="85"/>
      <c r="T852" s="85"/>
      <c r="U852" s="85"/>
      <c r="V852" s="85"/>
      <c r="W852" s="85"/>
      <c r="X852" s="85"/>
      <c r="Y852" s="85"/>
      <c r="Z852" s="85"/>
      <c r="AA852" s="85"/>
      <c r="AB852" s="85"/>
      <c r="AC852" s="85"/>
      <c r="AD852" s="85"/>
      <c r="AE852" s="85"/>
      <c r="AF852" s="85"/>
      <c r="AG852" s="85"/>
    </row>
    <row r="853">
      <c r="A853" s="85"/>
      <c r="B853" s="85"/>
      <c r="C853" s="87"/>
      <c r="D853" s="87"/>
      <c r="E853" s="85"/>
      <c r="F853" s="85"/>
      <c r="G853" s="85"/>
      <c r="H853" s="85"/>
      <c r="I853" s="85"/>
      <c r="J853" s="85"/>
      <c r="K853" s="85"/>
      <c r="L853" s="85"/>
      <c r="M853" s="85"/>
      <c r="N853" s="85"/>
      <c r="O853" s="85"/>
      <c r="P853" s="85"/>
      <c r="Q853" s="85"/>
      <c r="R853" s="85"/>
      <c r="S853" s="85"/>
      <c r="T853" s="85"/>
      <c r="U853" s="85"/>
      <c r="V853" s="85"/>
      <c r="W853" s="85"/>
      <c r="X853" s="85"/>
      <c r="Y853" s="85"/>
      <c r="Z853" s="85"/>
      <c r="AA853" s="85"/>
      <c r="AB853" s="85"/>
      <c r="AC853" s="85"/>
      <c r="AD853" s="85"/>
      <c r="AE853" s="85"/>
      <c r="AF853" s="85"/>
      <c r="AG853" s="85"/>
    </row>
    <row r="854">
      <c r="A854" s="85"/>
      <c r="B854" s="85"/>
      <c r="C854" s="87"/>
      <c r="D854" s="87"/>
      <c r="E854" s="85"/>
      <c r="F854" s="85"/>
      <c r="G854" s="85"/>
      <c r="H854" s="85"/>
      <c r="I854" s="85"/>
      <c r="J854" s="85"/>
      <c r="K854" s="85"/>
      <c r="L854" s="85"/>
      <c r="M854" s="85"/>
      <c r="N854" s="85"/>
      <c r="O854" s="85"/>
      <c r="P854" s="85"/>
      <c r="Q854" s="85"/>
      <c r="R854" s="85"/>
      <c r="S854" s="85"/>
      <c r="T854" s="85"/>
      <c r="U854" s="85"/>
      <c r="V854" s="85"/>
      <c r="W854" s="85"/>
      <c r="X854" s="85"/>
      <c r="Y854" s="85"/>
      <c r="Z854" s="85"/>
      <c r="AA854" s="85"/>
      <c r="AB854" s="85"/>
      <c r="AC854" s="85"/>
      <c r="AD854" s="85"/>
      <c r="AE854" s="85"/>
      <c r="AF854" s="85"/>
      <c r="AG854" s="85"/>
    </row>
    <row r="855">
      <c r="A855" s="85"/>
      <c r="B855" s="85"/>
      <c r="C855" s="87"/>
      <c r="D855" s="87"/>
      <c r="E855" s="85"/>
      <c r="F855" s="85"/>
      <c r="G855" s="85"/>
      <c r="H855" s="85"/>
      <c r="I855" s="85"/>
      <c r="J855" s="85"/>
      <c r="K855" s="85"/>
      <c r="L855" s="85"/>
      <c r="M855" s="85"/>
      <c r="N855" s="85"/>
      <c r="O855" s="85"/>
      <c r="P855" s="85"/>
      <c r="Q855" s="85"/>
      <c r="R855" s="85"/>
      <c r="S855" s="85"/>
      <c r="T855" s="85"/>
      <c r="U855" s="85"/>
      <c r="V855" s="85"/>
      <c r="W855" s="85"/>
      <c r="X855" s="85"/>
      <c r="Y855" s="85"/>
      <c r="Z855" s="85"/>
      <c r="AA855" s="85"/>
      <c r="AB855" s="85"/>
      <c r="AC855" s="85"/>
      <c r="AD855" s="85"/>
      <c r="AE855" s="85"/>
      <c r="AF855" s="85"/>
      <c r="AG855" s="85"/>
    </row>
    <row r="856">
      <c r="A856" s="85"/>
      <c r="B856" s="85"/>
      <c r="C856" s="87"/>
      <c r="D856" s="87"/>
      <c r="E856" s="85"/>
      <c r="F856" s="85"/>
      <c r="G856" s="85"/>
      <c r="H856" s="85"/>
      <c r="I856" s="85"/>
      <c r="J856" s="85"/>
      <c r="K856" s="85"/>
      <c r="L856" s="85"/>
      <c r="M856" s="85"/>
      <c r="N856" s="85"/>
      <c r="O856" s="85"/>
      <c r="P856" s="85"/>
      <c r="Q856" s="85"/>
      <c r="R856" s="85"/>
      <c r="S856" s="85"/>
      <c r="T856" s="85"/>
      <c r="U856" s="85"/>
      <c r="V856" s="85"/>
      <c r="W856" s="85"/>
      <c r="X856" s="85"/>
      <c r="Y856" s="85"/>
      <c r="Z856" s="85"/>
      <c r="AA856" s="85"/>
      <c r="AB856" s="85"/>
      <c r="AC856" s="85"/>
      <c r="AD856" s="85"/>
      <c r="AE856" s="85"/>
      <c r="AF856" s="85"/>
      <c r="AG856" s="85"/>
    </row>
    <row r="857">
      <c r="A857" s="85"/>
      <c r="B857" s="85"/>
      <c r="C857" s="87"/>
      <c r="D857" s="87"/>
      <c r="E857" s="85"/>
      <c r="F857" s="85"/>
      <c r="G857" s="85"/>
      <c r="H857" s="85"/>
      <c r="I857" s="85"/>
      <c r="J857" s="85"/>
      <c r="K857" s="85"/>
      <c r="L857" s="85"/>
      <c r="M857" s="85"/>
      <c r="N857" s="85"/>
      <c r="O857" s="85"/>
      <c r="P857" s="85"/>
      <c r="Q857" s="85"/>
      <c r="R857" s="85"/>
      <c r="S857" s="85"/>
      <c r="T857" s="85"/>
      <c r="U857" s="85"/>
      <c r="V857" s="85"/>
      <c r="W857" s="85"/>
      <c r="X857" s="85"/>
      <c r="Y857" s="85"/>
      <c r="Z857" s="85"/>
      <c r="AA857" s="85"/>
      <c r="AB857" s="85"/>
      <c r="AC857" s="85"/>
      <c r="AD857" s="85"/>
      <c r="AE857" s="85"/>
      <c r="AF857" s="85"/>
      <c r="AG857" s="85"/>
    </row>
    <row r="858">
      <c r="A858" s="85"/>
      <c r="B858" s="85"/>
      <c r="C858" s="87"/>
      <c r="D858" s="87"/>
      <c r="E858" s="85"/>
      <c r="F858" s="85"/>
      <c r="G858" s="85"/>
      <c r="H858" s="85"/>
      <c r="I858" s="85"/>
      <c r="J858" s="85"/>
      <c r="K858" s="85"/>
      <c r="L858" s="85"/>
      <c r="M858" s="85"/>
      <c r="N858" s="85"/>
      <c r="O858" s="85"/>
      <c r="P858" s="85"/>
      <c r="Q858" s="85"/>
      <c r="R858" s="85"/>
      <c r="S858" s="85"/>
      <c r="T858" s="85"/>
      <c r="U858" s="85"/>
      <c r="V858" s="85"/>
      <c r="W858" s="85"/>
      <c r="X858" s="85"/>
      <c r="Y858" s="85"/>
      <c r="Z858" s="85"/>
      <c r="AA858" s="85"/>
      <c r="AB858" s="85"/>
      <c r="AC858" s="85"/>
      <c r="AD858" s="85"/>
      <c r="AE858" s="85"/>
      <c r="AF858" s="85"/>
      <c r="AG858" s="85"/>
    </row>
    <row r="859">
      <c r="A859" s="85"/>
      <c r="B859" s="85"/>
      <c r="C859" s="87"/>
      <c r="D859" s="87"/>
      <c r="E859" s="85"/>
      <c r="F859" s="85"/>
      <c r="G859" s="85"/>
      <c r="H859" s="85"/>
      <c r="I859" s="85"/>
      <c r="J859" s="85"/>
      <c r="K859" s="85"/>
      <c r="L859" s="85"/>
      <c r="M859" s="85"/>
      <c r="N859" s="85"/>
      <c r="O859" s="85"/>
      <c r="P859" s="85"/>
      <c r="Q859" s="85"/>
      <c r="R859" s="85"/>
      <c r="S859" s="85"/>
      <c r="T859" s="85"/>
      <c r="U859" s="85"/>
      <c r="V859" s="85"/>
      <c r="W859" s="85"/>
      <c r="X859" s="85"/>
      <c r="Y859" s="85"/>
      <c r="Z859" s="85"/>
      <c r="AA859" s="85"/>
      <c r="AB859" s="85"/>
      <c r="AC859" s="85"/>
      <c r="AD859" s="85"/>
      <c r="AE859" s="85"/>
      <c r="AF859" s="85"/>
      <c r="AG859" s="85"/>
    </row>
    <row r="860">
      <c r="A860" s="85"/>
      <c r="B860" s="85"/>
      <c r="C860" s="87"/>
      <c r="D860" s="87"/>
      <c r="E860" s="85"/>
      <c r="F860" s="85"/>
      <c r="G860" s="85"/>
      <c r="H860" s="85"/>
      <c r="I860" s="85"/>
      <c r="J860" s="85"/>
      <c r="K860" s="85"/>
      <c r="L860" s="85"/>
      <c r="M860" s="85"/>
      <c r="N860" s="85"/>
      <c r="O860" s="85"/>
      <c r="P860" s="85"/>
      <c r="Q860" s="85"/>
      <c r="R860" s="85"/>
      <c r="S860" s="85"/>
      <c r="T860" s="85"/>
      <c r="U860" s="85"/>
      <c r="V860" s="85"/>
      <c r="W860" s="85"/>
      <c r="X860" s="85"/>
      <c r="Y860" s="85"/>
      <c r="Z860" s="85"/>
      <c r="AA860" s="85"/>
      <c r="AB860" s="85"/>
      <c r="AC860" s="85"/>
      <c r="AD860" s="85"/>
      <c r="AE860" s="85"/>
      <c r="AF860" s="85"/>
      <c r="AG860" s="85"/>
    </row>
    <row r="861">
      <c r="A861" s="85"/>
      <c r="B861" s="85"/>
      <c r="C861" s="87"/>
      <c r="D861" s="87"/>
      <c r="E861" s="85"/>
      <c r="F861" s="85"/>
      <c r="G861" s="85"/>
      <c r="H861" s="85"/>
      <c r="I861" s="85"/>
      <c r="J861" s="85"/>
      <c r="K861" s="85"/>
      <c r="L861" s="85"/>
      <c r="M861" s="85"/>
      <c r="N861" s="85"/>
      <c r="O861" s="85"/>
      <c r="P861" s="85"/>
      <c r="Q861" s="85"/>
      <c r="R861" s="85"/>
      <c r="S861" s="85"/>
      <c r="T861" s="85"/>
      <c r="U861" s="85"/>
      <c r="V861" s="85"/>
      <c r="W861" s="85"/>
      <c r="X861" s="85"/>
      <c r="Y861" s="85"/>
      <c r="Z861" s="85"/>
      <c r="AA861" s="85"/>
      <c r="AB861" s="85"/>
      <c r="AC861" s="85"/>
      <c r="AD861" s="85"/>
      <c r="AE861" s="85"/>
      <c r="AF861" s="85"/>
      <c r="AG861" s="85"/>
    </row>
    <row r="862">
      <c r="A862" s="85"/>
      <c r="B862" s="85"/>
      <c r="C862" s="87"/>
      <c r="D862" s="87"/>
      <c r="E862" s="85"/>
      <c r="F862" s="85"/>
      <c r="G862" s="85"/>
      <c r="H862" s="85"/>
      <c r="I862" s="85"/>
      <c r="J862" s="85"/>
      <c r="K862" s="85"/>
      <c r="L862" s="85"/>
      <c r="M862" s="85"/>
      <c r="N862" s="85"/>
      <c r="O862" s="85"/>
      <c r="P862" s="85"/>
      <c r="Q862" s="85"/>
      <c r="R862" s="85"/>
      <c r="S862" s="85"/>
      <c r="T862" s="85"/>
      <c r="U862" s="85"/>
      <c r="V862" s="85"/>
      <c r="W862" s="85"/>
      <c r="X862" s="85"/>
      <c r="Y862" s="85"/>
      <c r="Z862" s="85"/>
      <c r="AA862" s="85"/>
      <c r="AB862" s="85"/>
      <c r="AC862" s="85"/>
      <c r="AD862" s="85"/>
      <c r="AE862" s="85"/>
      <c r="AF862" s="85"/>
      <c r="AG862" s="85"/>
    </row>
    <row r="863">
      <c r="A863" s="85"/>
      <c r="B863" s="85"/>
      <c r="C863" s="87"/>
      <c r="D863" s="87"/>
      <c r="E863" s="85"/>
      <c r="F863" s="85"/>
      <c r="G863" s="85"/>
      <c r="H863" s="85"/>
      <c r="I863" s="85"/>
      <c r="J863" s="85"/>
      <c r="K863" s="85"/>
      <c r="L863" s="85"/>
      <c r="M863" s="85"/>
      <c r="N863" s="85"/>
      <c r="O863" s="85"/>
      <c r="P863" s="85"/>
      <c r="Q863" s="85"/>
      <c r="R863" s="85"/>
      <c r="S863" s="85"/>
      <c r="T863" s="85"/>
      <c r="U863" s="85"/>
      <c r="V863" s="85"/>
      <c r="W863" s="85"/>
      <c r="X863" s="85"/>
      <c r="Y863" s="85"/>
      <c r="Z863" s="85"/>
      <c r="AA863" s="85"/>
      <c r="AB863" s="85"/>
      <c r="AC863" s="85"/>
      <c r="AD863" s="85"/>
      <c r="AE863" s="85"/>
      <c r="AF863" s="85"/>
      <c r="AG863" s="85"/>
    </row>
    <row r="864">
      <c r="A864" s="85"/>
      <c r="B864" s="85"/>
      <c r="C864" s="87"/>
      <c r="D864" s="87"/>
      <c r="E864" s="85"/>
      <c r="F864" s="85"/>
      <c r="G864" s="85"/>
      <c r="H864" s="85"/>
      <c r="I864" s="85"/>
      <c r="J864" s="85"/>
      <c r="K864" s="85"/>
      <c r="L864" s="85"/>
      <c r="M864" s="85"/>
      <c r="N864" s="85"/>
      <c r="O864" s="85"/>
      <c r="P864" s="85"/>
      <c r="Q864" s="85"/>
      <c r="R864" s="85"/>
      <c r="S864" s="85"/>
      <c r="T864" s="85"/>
      <c r="U864" s="85"/>
      <c r="V864" s="85"/>
      <c r="W864" s="85"/>
      <c r="X864" s="85"/>
      <c r="Y864" s="85"/>
      <c r="Z864" s="85"/>
      <c r="AA864" s="85"/>
      <c r="AB864" s="85"/>
      <c r="AC864" s="85"/>
      <c r="AD864" s="85"/>
      <c r="AE864" s="85"/>
      <c r="AF864" s="85"/>
      <c r="AG864" s="85"/>
    </row>
    <row r="865">
      <c r="A865" s="85"/>
      <c r="B865" s="85"/>
      <c r="C865" s="87"/>
      <c r="D865" s="87"/>
      <c r="E865" s="85"/>
      <c r="F865" s="85"/>
      <c r="G865" s="85"/>
      <c r="H865" s="85"/>
      <c r="I865" s="85"/>
      <c r="J865" s="85"/>
      <c r="K865" s="85"/>
      <c r="L865" s="85"/>
      <c r="M865" s="85"/>
      <c r="N865" s="85"/>
      <c r="O865" s="85"/>
      <c r="P865" s="85"/>
      <c r="Q865" s="85"/>
      <c r="R865" s="85"/>
      <c r="S865" s="85"/>
      <c r="T865" s="85"/>
      <c r="U865" s="85"/>
      <c r="V865" s="85"/>
      <c r="W865" s="85"/>
      <c r="X865" s="85"/>
      <c r="Y865" s="85"/>
      <c r="Z865" s="85"/>
      <c r="AA865" s="85"/>
      <c r="AB865" s="85"/>
      <c r="AC865" s="85"/>
      <c r="AD865" s="85"/>
      <c r="AE865" s="85"/>
      <c r="AF865" s="85"/>
      <c r="AG865" s="85"/>
    </row>
    <row r="866">
      <c r="A866" s="85"/>
      <c r="B866" s="85"/>
      <c r="C866" s="87"/>
      <c r="D866" s="87"/>
      <c r="E866" s="85"/>
      <c r="F866" s="85"/>
      <c r="G866" s="85"/>
      <c r="H866" s="85"/>
      <c r="I866" s="85"/>
      <c r="J866" s="85"/>
      <c r="K866" s="85"/>
      <c r="L866" s="85"/>
      <c r="M866" s="85"/>
      <c r="N866" s="85"/>
      <c r="O866" s="85"/>
      <c r="P866" s="85"/>
      <c r="Q866" s="85"/>
      <c r="R866" s="85"/>
      <c r="S866" s="85"/>
      <c r="T866" s="85"/>
      <c r="U866" s="85"/>
      <c r="V866" s="85"/>
      <c r="W866" s="85"/>
      <c r="X866" s="85"/>
      <c r="Y866" s="85"/>
      <c r="Z866" s="85"/>
      <c r="AA866" s="85"/>
      <c r="AB866" s="85"/>
      <c r="AC866" s="85"/>
      <c r="AD866" s="85"/>
      <c r="AE866" s="85"/>
      <c r="AF866" s="85"/>
      <c r="AG866" s="85"/>
    </row>
    <row r="867">
      <c r="A867" s="85"/>
      <c r="B867" s="85"/>
      <c r="C867" s="87"/>
      <c r="D867" s="87"/>
      <c r="E867" s="85"/>
      <c r="F867" s="85"/>
      <c r="G867" s="85"/>
      <c r="H867" s="85"/>
      <c r="I867" s="85"/>
      <c r="J867" s="85"/>
      <c r="K867" s="85"/>
      <c r="L867" s="85"/>
      <c r="M867" s="85"/>
      <c r="N867" s="85"/>
      <c r="O867" s="85"/>
      <c r="P867" s="85"/>
      <c r="Q867" s="85"/>
      <c r="R867" s="85"/>
      <c r="S867" s="85"/>
      <c r="T867" s="85"/>
      <c r="U867" s="85"/>
      <c r="V867" s="85"/>
      <c r="W867" s="85"/>
      <c r="X867" s="85"/>
      <c r="Y867" s="85"/>
      <c r="Z867" s="85"/>
      <c r="AA867" s="85"/>
      <c r="AB867" s="85"/>
      <c r="AC867" s="85"/>
      <c r="AD867" s="85"/>
      <c r="AE867" s="85"/>
      <c r="AF867" s="85"/>
      <c r="AG867" s="85"/>
    </row>
    <row r="868">
      <c r="A868" s="85"/>
      <c r="B868" s="85"/>
      <c r="C868" s="87"/>
      <c r="D868" s="87"/>
      <c r="E868" s="85"/>
      <c r="F868" s="85"/>
      <c r="G868" s="85"/>
      <c r="H868" s="85"/>
      <c r="I868" s="85"/>
      <c r="J868" s="85"/>
      <c r="K868" s="85"/>
      <c r="L868" s="85"/>
      <c r="M868" s="85"/>
      <c r="N868" s="85"/>
      <c r="O868" s="85"/>
      <c r="P868" s="85"/>
      <c r="Q868" s="85"/>
      <c r="R868" s="85"/>
      <c r="S868" s="85"/>
      <c r="T868" s="85"/>
      <c r="U868" s="85"/>
      <c r="V868" s="85"/>
      <c r="W868" s="85"/>
      <c r="X868" s="85"/>
      <c r="Y868" s="85"/>
      <c r="Z868" s="85"/>
      <c r="AA868" s="85"/>
      <c r="AB868" s="85"/>
      <c r="AC868" s="85"/>
      <c r="AD868" s="85"/>
      <c r="AE868" s="85"/>
      <c r="AF868" s="85"/>
      <c r="AG868" s="85"/>
    </row>
    <row r="869">
      <c r="A869" s="85"/>
      <c r="B869" s="85"/>
      <c r="C869" s="87"/>
      <c r="D869" s="87"/>
      <c r="E869" s="85"/>
      <c r="F869" s="85"/>
      <c r="G869" s="85"/>
      <c r="H869" s="85"/>
      <c r="I869" s="85"/>
      <c r="J869" s="85"/>
      <c r="K869" s="85"/>
      <c r="L869" s="85"/>
      <c r="M869" s="85"/>
      <c r="N869" s="85"/>
      <c r="O869" s="85"/>
      <c r="P869" s="85"/>
      <c r="Q869" s="85"/>
      <c r="R869" s="85"/>
      <c r="S869" s="85"/>
      <c r="T869" s="85"/>
      <c r="U869" s="85"/>
      <c r="V869" s="85"/>
      <c r="W869" s="85"/>
      <c r="X869" s="85"/>
      <c r="Y869" s="85"/>
      <c r="Z869" s="85"/>
      <c r="AA869" s="85"/>
      <c r="AB869" s="85"/>
      <c r="AC869" s="85"/>
      <c r="AD869" s="85"/>
      <c r="AE869" s="85"/>
      <c r="AF869" s="85"/>
      <c r="AG869" s="85"/>
    </row>
    <row r="870">
      <c r="A870" s="85"/>
      <c r="B870" s="85"/>
      <c r="C870" s="87"/>
      <c r="D870" s="87"/>
      <c r="E870" s="85"/>
      <c r="F870" s="85"/>
      <c r="G870" s="85"/>
      <c r="H870" s="85"/>
      <c r="I870" s="85"/>
      <c r="J870" s="85"/>
      <c r="K870" s="85"/>
      <c r="L870" s="85"/>
      <c r="M870" s="85"/>
      <c r="N870" s="85"/>
      <c r="O870" s="85"/>
      <c r="P870" s="85"/>
      <c r="Q870" s="85"/>
      <c r="R870" s="85"/>
      <c r="S870" s="85"/>
      <c r="T870" s="85"/>
      <c r="U870" s="85"/>
      <c r="V870" s="85"/>
      <c r="W870" s="85"/>
      <c r="X870" s="85"/>
      <c r="Y870" s="85"/>
      <c r="Z870" s="85"/>
      <c r="AA870" s="85"/>
      <c r="AB870" s="85"/>
      <c r="AC870" s="85"/>
      <c r="AD870" s="85"/>
      <c r="AE870" s="85"/>
      <c r="AF870" s="85"/>
      <c r="AG870" s="85"/>
    </row>
    <row r="871">
      <c r="A871" s="85"/>
      <c r="B871" s="85"/>
      <c r="C871" s="87"/>
      <c r="D871" s="87"/>
      <c r="E871" s="85"/>
      <c r="F871" s="85"/>
      <c r="G871" s="85"/>
      <c r="H871" s="85"/>
      <c r="I871" s="85"/>
      <c r="J871" s="85"/>
      <c r="K871" s="85"/>
      <c r="L871" s="85"/>
      <c r="M871" s="85"/>
      <c r="N871" s="85"/>
      <c r="O871" s="85"/>
      <c r="P871" s="85"/>
      <c r="Q871" s="85"/>
      <c r="R871" s="85"/>
      <c r="S871" s="85"/>
      <c r="T871" s="85"/>
      <c r="U871" s="85"/>
      <c r="V871" s="85"/>
      <c r="W871" s="85"/>
      <c r="X871" s="85"/>
      <c r="Y871" s="85"/>
      <c r="Z871" s="85"/>
      <c r="AA871" s="85"/>
      <c r="AB871" s="85"/>
      <c r="AC871" s="85"/>
      <c r="AD871" s="85"/>
      <c r="AE871" s="85"/>
      <c r="AF871" s="85"/>
      <c r="AG871" s="85"/>
    </row>
    <row r="872">
      <c r="A872" s="85"/>
      <c r="B872" s="85"/>
      <c r="C872" s="87"/>
      <c r="D872" s="87"/>
      <c r="E872" s="85"/>
      <c r="F872" s="85"/>
      <c r="G872" s="85"/>
      <c r="H872" s="85"/>
      <c r="I872" s="85"/>
      <c r="J872" s="85"/>
      <c r="K872" s="85"/>
      <c r="L872" s="85"/>
      <c r="M872" s="85"/>
      <c r="N872" s="85"/>
      <c r="O872" s="85"/>
      <c r="P872" s="85"/>
      <c r="Q872" s="85"/>
      <c r="R872" s="85"/>
      <c r="S872" s="85"/>
      <c r="T872" s="85"/>
      <c r="U872" s="85"/>
      <c r="V872" s="85"/>
      <c r="W872" s="85"/>
      <c r="X872" s="85"/>
      <c r="Y872" s="85"/>
      <c r="Z872" s="85"/>
      <c r="AA872" s="85"/>
      <c r="AB872" s="85"/>
      <c r="AC872" s="85"/>
      <c r="AD872" s="85"/>
      <c r="AE872" s="85"/>
      <c r="AF872" s="85"/>
      <c r="AG872" s="85"/>
    </row>
    <row r="873">
      <c r="A873" s="85"/>
      <c r="B873" s="85"/>
      <c r="C873" s="87"/>
      <c r="D873" s="87"/>
      <c r="E873" s="85"/>
      <c r="F873" s="85"/>
      <c r="G873" s="85"/>
      <c r="H873" s="85"/>
      <c r="I873" s="85"/>
      <c r="J873" s="85"/>
      <c r="K873" s="85"/>
      <c r="L873" s="85"/>
      <c r="M873" s="85"/>
      <c r="N873" s="85"/>
      <c r="O873" s="85"/>
      <c r="P873" s="85"/>
      <c r="Q873" s="85"/>
      <c r="R873" s="85"/>
      <c r="S873" s="85"/>
      <c r="T873" s="85"/>
      <c r="U873" s="85"/>
      <c r="V873" s="85"/>
      <c r="W873" s="85"/>
      <c r="X873" s="85"/>
      <c r="Y873" s="85"/>
      <c r="Z873" s="85"/>
      <c r="AA873" s="85"/>
      <c r="AB873" s="85"/>
      <c r="AC873" s="85"/>
      <c r="AD873" s="85"/>
      <c r="AE873" s="85"/>
      <c r="AF873" s="85"/>
      <c r="AG873" s="85"/>
    </row>
    <row r="874">
      <c r="A874" s="85"/>
      <c r="B874" s="85"/>
      <c r="C874" s="87"/>
      <c r="D874" s="87"/>
      <c r="E874" s="85"/>
      <c r="F874" s="85"/>
      <c r="G874" s="85"/>
      <c r="H874" s="85"/>
      <c r="I874" s="85"/>
      <c r="J874" s="85"/>
      <c r="K874" s="85"/>
      <c r="L874" s="85"/>
      <c r="M874" s="85"/>
      <c r="N874" s="85"/>
      <c r="O874" s="85"/>
      <c r="P874" s="85"/>
      <c r="Q874" s="85"/>
      <c r="R874" s="85"/>
      <c r="S874" s="85"/>
      <c r="T874" s="85"/>
      <c r="U874" s="85"/>
      <c r="V874" s="85"/>
      <c r="W874" s="85"/>
      <c r="X874" s="85"/>
      <c r="Y874" s="85"/>
      <c r="Z874" s="85"/>
      <c r="AA874" s="85"/>
      <c r="AB874" s="85"/>
      <c r="AC874" s="85"/>
      <c r="AD874" s="85"/>
      <c r="AE874" s="85"/>
      <c r="AF874" s="85"/>
      <c r="AG874" s="85"/>
    </row>
    <row r="875">
      <c r="A875" s="85"/>
      <c r="B875" s="85"/>
      <c r="C875" s="87"/>
      <c r="D875" s="87"/>
      <c r="E875" s="85"/>
      <c r="F875" s="85"/>
      <c r="G875" s="85"/>
      <c r="H875" s="85"/>
      <c r="I875" s="85"/>
      <c r="J875" s="85"/>
      <c r="K875" s="85"/>
      <c r="L875" s="85"/>
      <c r="M875" s="85"/>
      <c r="N875" s="85"/>
      <c r="O875" s="85"/>
      <c r="P875" s="85"/>
      <c r="Q875" s="85"/>
      <c r="R875" s="85"/>
      <c r="S875" s="85"/>
      <c r="T875" s="85"/>
      <c r="U875" s="85"/>
      <c r="V875" s="85"/>
      <c r="W875" s="85"/>
      <c r="X875" s="85"/>
      <c r="Y875" s="85"/>
      <c r="Z875" s="85"/>
      <c r="AA875" s="85"/>
      <c r="AB875" s="85"/>
      <c r="AC875" s="85"/>
      <c r="AD875" s="85"/>
      <c r="AE875" s="85"/>
      <c r="AF875" s="85"/>
      <c r="AG875" s="85"/>
    </row>
    <row r="876">
      <c r="A876" s="85"/>
      <c r="B876" s="85"/>
      <c r="C876" s="87"/>
      <c r="D876" s="87"/>
      <c r="E876" s="85"/>
      <c r="F876" s="85"/>
      <c r="G876" s="85"/>
      <c r="H876" s="85"/>
      <c r="I876" s="85"/>
      <c r="J876" s="85"/>
      <c r="K876" s="85"/>
      <c r="L876" s="85"/>
      <c r="M876" s="85"/>
      <c r="N876" s="85"/>
      <c r="O876" s="85"/>
      <c r="P876" s="85"/>
      <c r="Q876" s="85"/>
      <c r="R876" s="85"/>
      <c r="S876" s="85"/>
      <c r="T876" s="85"/>
      <c r="U876" s="85"/>
      <c r="V876" s="85"/>
      <c r="W876" s="85"/>
      <c r="X876" s="85"/>
      <c r="Y876" s="85"/>
      <c r="Z876" s="85"/>
      <c r="AA876" s="85"/>
      <c r="AB876" s="85"/>
      <c r="AC876" s="85"/>
      <c r="AD876" s="85"/>
      <c r="AE876" s="85"/>
      <c r="AF876" s="85"/>
      <c r="AG876" s="85"/>
    </row>
    <row r="877">
      <c r="A877" s="85"/>
      <c r="B877" s="85"/>
      <c r="C877" s="87"/>
      <c r="D877" s="87"/>
      <c r="E877" s="85"/>
      <c r="F877" s="85"/>
      <c r="G877" s="85"/>
      <c r="H877" s="85"/>
      <c r="I877" s="85"/>
      <c r="J877" s="85"/>
      <c r="K877" s="85"/>
      <c r="L877" s="85"/>
      <c r="M877" s="85"/>
      <c r="N877" s="85"/>
      <c r="O877" s="85"/>
      <c r="P877" s="85"/>
      <c r="Q877" s="85"/>
      <c r="R877" s="85"/>
      <c r="S877" s="85"/>
      <c r="T877" s="85"/>
      <c r="U877" s="85"/>
      <c r="V877" s="85"/>
      <c r="W877" s="85"/>
      <c r="X877" s="85"/>
      <c r="Y877" s="85"/>
      <c r="Z877" s="85"/>
      <c r="AA877" s="85"/>
      <c r="AB877" s="85"/>
      <c r="AC877" s="85"/>
      <c r="AD877" s="85"/>
      <c r="AE877" s="85"/>
      <c r="AF877" s="85"/>
      <c r="AG877" s="85"/>
    </row>
    <row r="878">
      <c r="A878" s="85"/>
      <c r="B878" s="85"/>
      <c r="C878" s="87"/>
      <c r="D878" s="87"/>
      <c r="E878" s="85"/>
      <c r="F878" s="85"/>
      <c r="G878" s="85"/>
      <c r="H878" s="85"/>
      <c r="I878" s="85"/>
      <c r="J878" s="85"/>
      <c r="K878" s="85"/>
      <c r="L878" s="85"/>
      <c r="M878" s="85"/>
      <c r="N878" s="85"/>
      <c r="O878" s="85"/>
      <c r="P878" s="85"/>
      <c r="Q878" s="85"/>
      <c r="R878" s="85"/>
      <c r="S878" s="85"/>
      <c r="T878" s="85"/>
      <c r="U878" s="85"/>
      <c r="V878" s="85"/>
      <c r="W878" s="85"/>
      <c r="X878" s="85"/>
      <c r="Y878" s="85"/>
      <c r="Z878" s="85"/>
      <c r="AA878" s="85"/>
      <c r="AB878" s="85"/>
      <c r="AC878" s="85"/>
      <c r="AD878" s="85"/>
      <c r="AE878" s="85"/>
      <c r="AF878" s="85"/>
      <c r="AG878" s="85"/>
    </row>
    <row r="879">
      <c r="A879" s="85"/>
      <c r="B879" s="85"/>
      <c r="C879" s="87"/>
      <c r="D879" s="87"/>
      <c r="E879" s="85"/>
      <c r="F879" s="85"/>
      <c r="G879" s="85"/>
      <c r="H879" s="85"/>
      <c r="I879" s="85"/>
      <c r="J879" s="85"/>
      <c r="K879" s="85"/>
      <c r="L879" s="85"/>
      <c r="M879" s="85"/>
      <c r="N879" s="85"/>
      <c r="O879" s="85"/>
      <c r="P879" s="85"/>
      <c r="Q879" s="85"/>
      <c r="R879" s="85"/>
      <c r="S879" s="85"/>
      <c r="T879" s="85"/>
      <c r="U879" s="85"/>
      <c r="V879" s="85"/>
      <c r="W879" s="85"/>
      <c r="X879" s="85"/>
      <c r="Y879" s="85"/>
      <c r="Z879" s="85"/>
      <c r="AA879" s="85"/>
      <c r="AB879" s="85"/>
      <c r="AC879" s="85"/>
      <c r="AD879" s="85"/>
      <c r="AE879" s="85"/>
      <c r="AF879" s="85"/>
      <c r="AG879" s="85"/>
    </row>
    <row r="880">
      <c r="A880" s="85"/>
      <c r="B880" s="85"/>
      <c r="C880" s="87"/>
      <c r="D880" s="87"/>
      <c r="E880" s="85"/>
      <c r="F880" s="85"/>
      <c r="G880" s="85"/>
      <c r="H880" s="85"/>
      <c r="I880" s="85"/>
      <c r="J880" s="85"/>
      <c r="K880" s="85"/>
      <c r="L880" s="85"/>
      <c r="M880" s="85"/>
      <c r="N880" s="85"/>
      <c r="O880" s="85"/>
      <c r="P880" s="85"/>
      <c r="Q880" s="85"/>
      <c r="R880" s="85"/>
      <c r="S880" s="85"/>
      <c r="T880" s="85"/>
      <c r="U880" s="85"/>
      <c r="V880" s="85"/>
      <c r="W880" s="85"/>
      <c r="X880" s="85"/>
      <c r="Y880" s="85"/>
      <c r="Z880" s="85"/>
      <c r="AA880" s="85"/>
      <c r="AB880" s="85"/>
      <c r="AC880" s="85"/>
      <c r="AD880" s="85"/>
      <c r="AE880" s="85"/>
      <c r="AF880" s="85"/>
      <c r="AG880" s="85"/>
    </row>
    <row r="881">
      <c r="A881" s="85"/>
      <c r="B881" s="85"/>
      <c r="C881" s="87"/>
      <c r="D881" s="87"/>
      <c r="E881" s="85"/>
      <c r="F881" s="85"/>
      <c r="G881" s="85"/>
      <c r="H881" s="85"/>
      <c r="I881" s="85"/>
      <c r="J881" s="85"/>
      <c r="K881" s="85"/>
      <c r="L881" s="85"/>
      <c r="M881" s="85"/>
      <c r="N881" s="85"/>
      <c r="O881" s="85"/>
      <c r="P881" s="85"/>
      <c r="Q881" s="85"/>
      <c r="R881" s="85"/>
      <c r="S881" s="85"/>
      <c r="T881" s="85"/>
      <c r="U881" s="85"/>
      <c r="V881" s="85"/>
      <c r="W881" s="85"/>
      <c r="X881" s="85"/>
      <c r="Y881" s="85"/>
      <c r="Z881" s="85"/>
      <c r="AA881" s="85"/>
      <c r="AB881" s="85"/>
      <c r="AC881" s="85"/>
      <c r="AD881" s="85"/>
      <c r="AE881" s="85"/>
      <c r="AF881" s="85"/>
      <c r="AG881" s="85"/>
    </row>
    <row r="882">
      <c r="A882" s="85"/>
      <c r="B882" s="85"/>
      <c r="C882" s="87"/>
      <c r="D882" s="87"/>
      <c r="E882" s="85"/>
      <c r="F882" s="85"/>
      <c r="G882" s="85"/>
      <c r="H882" s="85"/>
      <c r="I882" s="85"/>
      <c r="J882" s="85"/>
      <c r="K882" s="85"/>
      <c r="L882" s="85"/>
      <c r="M882" s="85"/>
      <c r="N882" s="85"/>
      <c r="O882" s="85"/>
      <c r="P882" s="85"/>
      <c r="Q882" s="85"/>
      <c r="R882" s="85"/>
      <c r="S882" s="85"/>
      <c r="T882" s="85"/>
      <c r="U882" s="85"/>
      <c r="V882" s="85"/>
      <c r="W882" s="85"/>
      <c r="X882" s="85"/>
      <c r="Y882" s="85"/>
      <c r="Z882" s="85"/>
      <c r="AA882" s="85"/>
      <c r="AB882" s="85"/>
      <c r="AC882" s="85"/>
      <c r="AD882" s="85"/>
      <c r="AE882" s="85"/>
      <c r="AF882" s="85"/>
      <c r="AG882" s="85"/>
    </row>
    <row r="883">
      <c r="A883" s="85"/>
      <c r="B883" s="85"/>
      <c r="C883" s="87"/>
      <c r="D883" s="87"/>
      <c r="E883" s="85"/>
      <c r="F883" s="85"/>
      <c r="G883" s="85"/>
      <c r="H883" s="85"/>
      <c r="I883" s="85"/>
      <c r="J883" s="85"/>
      <c r="K883" s="85"/>
      <c r="L883" s="85"/>
      <c r="M883" s="85"/>
      <c r="N883" s="85"/>
      <c r="O883" s="85"/>
      <c r="P883" s="85"/>
      <c r="Q883" s="85"/>
      <c r="R883" s="85"/>
      <c r="S883" s="85"/>
      <c r="T883" s="85"/>
      <c r="U883" s="85"/>
      <c r="V883" s="85"/>
      <c r="W883" s="85"/>
      <c r="X883" s="85"/>
      <c r="Y883" s="85"/>
      <c r="Z883" s="85"/>
      <c r="AA883" s="85"/>
      <c r="AB883" s="85"/>
      <c r="AC883" s="85"/>
      <c r="AD883" s="85"/>
      <c r="AE883" s="85"/>
      <c r="AF883" s="85"/>
      <c r="AG883" s="85"/>
    </row>
    <row r="884">
      <c r="A884" s="85"/>
      <c r="B884" s="85"/>
      <c r="C884" s="87"/>
      <c r="D884" s="87"/>
      <c r="E884" s="85"/>
      <c r="F884" s="85"/>
      <c r="G884" s="85"/>
      <c r="H884" s="85"/>
      <c r="I884" s="85"/>
      <c r="J884" s="85"/>
      <c r="K884" s="85"/>
      <c r="L884" s="85"/>
      <c r="M884" s="85"/>
      <c r="N884" s="85"/>
      <c r="O884" s="85"/>
      <c r="P884" s="85"/>
      <c r="Q884" s="85"/>
      <c r="R884" s="85"/>
      <c r="S884" s="85"/>
      <c r="T884" s="85"/>
      <c r="U884" s="85"/>
      <c r="V884" s="85"/>
      <c r="W884" s="85"/>
      <c r="X884" s="85"/>
      <c r="Y884" s="85"/>
      <c r="Z884" s="85"/>
      <c r="AA884" s="85"/>
      <c r="AB884" s="85"/>
      <c r="AC884" s="85"/>
      <c r="AD884" s="85"/>
      <c r="AE884" s="85"/>
      <c r="AF884" s="85"/>
      <c r="AG884" s="85"/>
    </row>
    <row r="885">
      <c r="A885" s="85"/>
      <c r="B885" s="85"/>
      <c r="C885" s="87"/>
      <c r="D885" s="87"/>
      <c r="E885" s="85"/>
      <c r="F885" s="85"/>
      <c r="G885" s="85"/>
      <c r="H885" s="85"/>
      <c r="I885" s="85"/>
      <c r="J885" s="85"/>
      <c r="K885" s="85"/>
      <c r="L885" s="85"/>
      <c r="M885" s="85"/>
      <c r="N885" s="85"/>
      <c r="O885" s="85"/>
      <c r="P885" s="85"/>
      <c r="Q885" s="85"/>
      <c r="R885" s="85"/>
      <c r="S885" s="85"/>
      <c r="T885" s="85"/>
      <c r="U885" s="85"/>
      <c r="V885" s="85"/>
      <c r="W885" s="85"/>
      <c r="X885" s="85"/>
      <c r="Y885" s="85"/>
      <c r="Z885" s="85"/>
      <c r="AA885" s="85"/>
      <c r="AB885" s="85"/>
      <c r="AC885" s="85"/>
      <c r="AD885" s="85"/>
      <c r="AE885" s="85"/>
      <c r="AF885" s="85"/>
      <c r="AG885" s="85"/>
    </row>
    <row r="886">
      <c r="A886" s="85"/>
      <c r="B886" s="85"/>
      <c r="C886" s="87"/>
      <c r="D886" s="87"/>
      <c r="E886" s="85"/>
      <c r="F886" s="85"/>
      <c r="G886" s="85"/>
      <c r="H886" s="85"/>
      <c r="I886" s="85"/>
      <c r="J886" s="85"/>
      <c r="K886" s="85"/>
      <c r="L886" s="85"/>
      <c r="M886" s="85"/>
      <c r="N886" s="85"/>
      <c r="O886" s="85"/>
      <c r="P886" s="85"/>
      <c r="Q886" s="85"/>
      <c r="R886" s="85"/>
      <c r="S886" s="85"/>
      <c r="T886" s="85"/>
      <c r="U886" s="85"/>
      <c r="V886" s="85"/>
      <c r="W886" s="85"/>
      <c r="X886" s="85"/>
      <c r="Y886" s="85"/>
      <c r="Z886" s="85"/>
      <c r="AA886" s="85"/>
      <c r="AB886" s="85"/>
      <c r="AC886" s="85"/>
      <c r="AD886" s="85"/>
      <c r="AE886" s="85"/>
      <c r="AF886" s="85"/>
      <c r="AG886" s="85"/>
    </row>
    <row r="887">
      <c r="A887" s="85"/>
      <c r="B887" s="85"/>
      <c r="C887" s="87"/>
      <c r="D887" s="87"/>
      <c r="E887" s="85"/>
      <c r="F887" s="85"/>
      <c r="G887" s="85"/>
      <c r="H887" s="85"/>
      <c r="I887" s="85"/>
      <c r="J887" s="85"/>
      <c r="K887" s="85"/>
      <c r="L887" s="85"/>
      <c r="M887" s="85"/>
      <c r="N887" s="85"/>
      <c r="O887" s="85"/>
      <c r="P887" s="85"/>
      <c r="Q887" s="85"/>
      <c r="R887" s="85"/>
      <c r="S887" s="85"/>
      <c r="T887" s="85"/>
      <c r="U887" s="85"/>
      <c r="V887" s="85"/>
      <c r="W887" s="85"/>
      <c r="X887" s="85"/>
      <c r="Y887" s="85"/>
      <c r="Z887" s="85"/>
      <c r="AA887" s="85"/>
      <c r="AB887" s="85"/>
      <c r="AC887" s="85"/>
      <c r="AD887" s="85"/>
      <c r="AE887" s="85"/>
      <c r="AF887" s="85"/>
      <c r="AG887" s="85"/>
    </row>
    <row r="888">
      <c r="A888" s="85"/>
      <c r="B888" s="85"/>
      <c r="C888" s="87"/>
      <c r="D888" s="87"/>
      <c r="E888" s="85"/>
      <c r="F888" s="85"/>
      <c r="G888" s="85"/>
      <c r="H888" s="85"/>
      <c r="I888" s="85"/>
      <c r="J888" s="85"/>
      <c r="K888" s="85"/>
      <c r="L888" s="85"/>
      <c r="M888" s="85"/>
      <c r="N888" s="85"/>
      <c r="O888" s="85"/>
      <c r="P888" s="85"/>
      <c r="Q888" s="85"/>
      <c r="R888" s="85"/>
      <c r="S888" s="85"/>
      <c r="T888" s="85"/>
      <c r="U888" s="85"/>
      <c r="V888" s="85"/>
      <c r="W888" s="85"/>
      <c r="X888" s="85"/>
      <c r="Y888" s="85"/>
      <c r="Z888" s="85"/>
      <c r="AA888" s="85"/>
      <c r="AB888" s="85"/>
      <c r="AC888" s="85"/>
      <c r="AD888" s="85"/>
      <c r="AE888" s="85"/>
      <c r="AF888" s="85"/>
      <c r="AG888" s="85"/>
    </row>
    <row r="889">
      <c r="A889" s="85"/>
      <c r="B889" s="85"/>
      <c r="C889" s="87"/>
      <c r="D889" s="87"/>
      <c r="E889" s="85"/>
      <c r="F889" s="85"/>
      <c r="G889" s="85"/>
      <c r="H889" s="85"/>
      <c r="I889" s="85"/>
      <c r="J889" s="85"/>
      <c r="K889" s="85"/>
      <c r="L889" s="85"/>
      <c r="M889" s="85"/>
      <c r="N889" s="85"/>
      <c r="O889" s="85"/>
      <c r="P889" s="85"/>
      <c r="Q889" s="85"/>
      <c r="R889" s="85"/>
      <c r="S889" s="85"/>
      <c r="T889" s="85"/>
      <c r="U889" s="85"/>
      <c r="V889" s="85"/>
      <c r="W889" s="85"/>
      <c r="X889" s="85"/>
      <c r="Y889" s="85"/>
      <c r="Z889" s="85"/>
      <c r="AA889" s="85"/>
      <c r="AB889" s="85"/>
      <c r="AC889" s="85"/>
      <c r="AD889" s="85"/>
      <c r="AE889" s="85"/>
      <c r="AF889" s="85"/>
      <c r="AG889" s="85"/>
    </row>
    <row r="890">
      <c r="A890" s="85"/>
      <c r="B890" s="85"/>
      <c r="C890" s="87"/>
      <c r="D890" s="87"/>
      <c r="E890" s="85"/>
      <c r="F890" s="85"/>
      <c r="G890" s="85"/>
      <c r="H890" s="85"/>
      <c r="I890" s="85"/>
      <c r="J890" s="85"/>
      <c r="K890" s="85"/>
      <c r="L890" s="85"/>
      <c r="M890" s="85"/>
      <c r="N890" s="85"/>
      <c r="O890" s="85"/>
      <c r="P890" s="85"/>
      <c r="Q890" s="85"/>
      <c r="R890" s="85"/>
      <c r="S890" s="85"/>
      <c r="T890" s="85"/>
      <c r="U890" s="85"/>
      <c r="V890" s="85"/>
      <c r="W890" s="85"/>
      <c r="X890" s="85"/>
      <c r="Y890" s="85"/>
      <c r="Z890" s="85"/>
      <c r="AA890" s="85"/>
      <c r="AB890" s="85"/>
      <c r="AC890" s="85"/>
      <c r="AD890" s="85"/>
      <c r="AE890" s="85"/>
      <c r="AF890" s="85"/>
      <c r="AG890" s="85"/>
    </row>
    <row r="891">
      <c r="A891" s="85"/>
      <c r="B891" s="85"/>
      <c r="C891" s="87"/>
      <c r="D891" s="87"/>
      <c r="E891" s="85"/>
      <c r="F891" s="85"/>
      <c r="G891" s="85"/>
      <c r="H891" s="85"/>
      <c r="I891" s="85"/>
      <c r="J891" s="85"/>
      <c r="K891" s="85"/>
      <c r="L891" s="85"/>
      <c r="M891" s="85"/>
      <c r="N891" s="85"/>
      <c r="O891" s="85"/>
      <c r="P891" s="85"/>
      <c r="Q891" s="85"/>
      <c r="R891" s="85"/>
      <c r="S891" s="85"/>
      <c r="T891" s="85"/>
      <c r="U891" s="85"/>
      <c r="V891" s="85"/>
      <c r="W891" s="85"/>
      <c r="X891" s="85"/>
      <c r="Y891" s="85"/>
      <c r="Z891" s="85"/>
      <c r="AA891" s="85"/>
      <c r="AB891" s="85"/>
      <c r="AC891" s="85"/>
      <c r="AD891" s="85"/>
      <c r="AE891" s="85"/>
      <c r="AF891" s="85"/>
      <c r="AG891" s="85"/>
    </row>
    <row r="892">
      <c r="A892" s="85"/>
      <c r="B892" s="85"/>
      <c r="C892" s="87"/>
      <c r="D892" s="87"/>
      <c r="E892" s="85"/>
      <c r="F892" s="85"/>
      <c r="G892" s="85"/>
      <c r="H892" s="85"/>
      <c r="I892" s="85"/>
      <c r="J892" s="85"/>
      <c r="K892" s="85"/>
      <c r="L892" s="85"/>
      <c r="M892" s="85"/>
      <c r="N892" s="85"/>
      <c r="O892" s="85"/>
      <c r="P892" s="85"/>
      <c r="Q892" s="85"/>
      <c r="R892" s="85"/>
      <c r="S892" s="85"/>
      <c r="T892" s="85"/>
      <c r="U892" s="85"/>
      <c r="V892" s="85"/>
      <c r="W892" s="85"/>
      <c r="X892" s="85"/>
      <c r="Y892" s="85"/>
      <c r="Z892" s="85"/>
      <c r="AA892" s="85"/>
      <c r="AB892" s="85"/>
      <c r="AC892" s="85"/>
      <c r="AD892" s="85"/>
      <c r="AE892" s="85"/>
      <c r="AF892" s="85"/>
      <c r="AG892" s="85"/>
    </row>
    <row r="893">
      <c r="A893" s="85"/>
      <c r="B893" s="85"/>
      <c r="C893" s="87"/>
      <c r="D893" s="87"/>
      <c r="E893" s="85"/>
      <c r="F893" s="85"/>
      <c r="G893" s="85"/>
      <c r="H893" s="85"/>
      <c r="I893" s="85"/>
      <c r="J893" s="85"/>
      <c r="K893" s="85"/>
      <c r="L893" s="85"/>
      <c r="M893" s="85"/>
      <c r="N893" s="85"/>
      <c r="O893" s="85"/>
      <c r="P893" s="85"/>
      <c r="Q893" s="85"/>
      <c r="R893" s="85"/>
      <c r="S893" s="85"/>
      <c r="T893" s="85"/>
      <c r="U893" s="85"/>
      <c r="V893" s="85"/>
      <c r="W893" s="85"/>
      <c r="X893" s="85"/>
      <c r="Y893" s="85"/>
      <c r="Z893" s="85"/>
      <c r="AA893" s="85"/>
      <c r="AB893" s="85"/>
      <c r="AC893" s="85"/>
      <c r="AD893" s="85"/>
      <c r="AE893" s="85"/>
      <c r="AF893" s="85"/>
      <c r="AG893" s="85"/>
    </row>
    <row r="894">
      <c r="A894" s="85"/>
      <c r="B894" s="85"/>
      <c r="C894" s="87"/>
      <c r="D894" s="87"/>
      <c r="E894" s="85"/>
      <c r="F894" s="85"/>
      <c r="G894" s="85"/>
      <c r="H894" s="85"/>
      <c r="I894" s="85"/>
      <c r="J894" s="85"/>
      <c r="K894" s="85"/>
      <c r="L894" s="85"/>
      <c r="M894" s="85"/>
      <c r="N894" s="85"/>
      <c r="O894" s="85"/>
      <c r="P894" s="85"/>
      <c r="Q894" s="85"/>
      <c r="R894" s="85"/>
      <c r="S894" s="85"/>
      <c r="T894" s="85"/>
      <c r="U894" s="85"/>
      <c r="V894" s="85"/>
      <c r="W894" s="85"/>
      <c r="X894" s="85"/>
      <c r="Y894" s="85"/>
      <c r="Z894" s="85"/>
      <c r="AA894" s="85"/>
      <c r="AB894" s="85"/>
      <c r="AC894" s="85"/>
      <c r="AD894" s="85"/>
      <c r="AE894" s="85"/>
      <c r="AF894" s="85"/>
      <c r="AG894" s="85"/>
    </row>
    <row r="895">
      <c r="A895" s="85"/>
      <c r="B895" s="85"/>
      <c r="C895" s="87"/>
      <c r="D895" s="87"/>
      <c r="E895" s="85"/>
      <c r="F895" s="85"/>
      <c r="G895" s="85"/>
      <c r="H895" s="85"/>
      <c r="I895" s="85"/>
      <c r="J895" s="85"/>
      <c r="K895" s="85"/>
      <c r="L895" s="85"/>
      <c r="M895" s="85"/>
      <c r="N895" s="85"/>
      <c r="O895" s="85"/>
      <c r="P895" s="85"/>
      <c r="Q895" s="85"/>
      <c r="R895" s="85"/>
      <c r="S895" s="85"/>
      <c r="T895" s="85"/>
      <c r="U895" s="85"/>
      <c r="V895" s="85"/>
      <c r="W895" s="85"/>
      <c r="X895" s="85"/>
      <c r="Y895" s="85"/>
      <c r="Z895" s="85"/>
      <c r="AA895" s="85"/>
      <c r="AB895" s="85"/>
      <c r="AC895" s="85"/>
      <c r="AD895" s="85"/>
      <c r="AE895" s="85"/>
      <c r="AF895" s="85"/>
      <c r="AG895" s="85"/>
    </row>
    <row r="896">
      <c r="A896" s="85"/>
      <c r="B896" s="85"/>
      <c r="C896" s="87"/>
      <c r="D896" s="87"/>
      <c r="E896" s="85"/>
      <c r="F896" s="85"/>
      <c r="G896" s="85"/>
      <c r="H896" s="85"/>
      <c r="I896" s="85"/>
      <c r="J896" s="85"/>
      <c r="K896" s="85"/>
      <c r="L896" s="85"/>
      <c r="M896" s="85"/>
      <c r="N896" s="85"/>
      <c r="O896" s="85"/>
      <c r="P896" s="85"/>
      <c r="Q896" s="85"/>
      <c r="R896" s="85"/>
      <c r="S896" s="85"/>
      <c r="T896" s="85"/>
      <c r="U896" s="85"/>
      <c r="V896" s="85"/>
      <c r="W896" s="85"/>
      <c r="X896" s="85"/>
      <c r="Y896" s="85"/>
      <c r="Z896" s="85"/>
      <c r="AA896" s="85"/>
      <c r="AB896" s="85"/>
      <c r="AC896" s="85"/>
      <c r="AD896" s="85"/>
      <c r="AE896" s="85"/>
      <c r="AF896" s="85"/>
      <c r="AG896" s="85"/>
    </row>
    <row r="897">
      <c r="A897" s="85"/>
      <c r="B897" s="85"/>
      <c r="C897" s="87"/>
      <c r="D897" s="87"/>
      <c r="E897" s="85"/>
      <c r="F897" s="85"/>
      <c r="G897" s="85"/>
      <c r="H897" s="85"/>
      <c r="I897" s="85"/>
      <c r="J897" s="85"/>
      <c r="K897" s="85"/>
      <c r="L897" s="85"/>
      <c r="M897" s="85"/>
      <c r="N897" s="85"/>
      <c r="O897" s="85"/>
      <c r="P897" s="85"/>
      <c r="Q897" s="85"/>
      <c r="R897" s="85"/>
      <c r="S897" s="85"/>
      <c r="T897" s="85"/>
      <c r="U897" s="85"/>
      <c r="V897" s="85"/>
      <c r="W897" s="85"/>
      <c r="X897" s="85"/>
      <c r="Y897" s="85"/>
      <c r="Z897" s="85"/>
      <c r="AA897" s="85"/>
      <c r="AB897" s="85"/>
      <c r="AC897" s="85"/>
      <c r="AD897" s="85"/>
      <c r="AE897" s="85"/>
      <c r="AF897" s="85"/>
      <c r="AG897" s="85"/>
    </row>
    <row r="898">
      <c r="A898" s="85"/>
      <c r="B898" s="85"/>
      <c r="C898" s="87"/>
      <c r="D898" s="87"/>
      <c r="E898" s="85"/>
      <c r="F898" s="85"/>
      <c r="G898" s="85"/>
      <c r="H898" s="85"/>
      <c r="I898" s="85"/>
      <c r="J898" s="85"/>
      <c r="K898" s="85"/>
      <c r="L898" s="85"/>
      <c r="M898" s="85"/>
      <c r="N898" s="85"/>
      <c r="O898" s="85"/>
      <c r="P898" s="85"/>
      <c r="Q898" s="85"/>
      <c r="R898" s="85"/>
      <c r="S898" s="85"/>
      <c r="T898" s="85"/>
      <c r="U898" s="85"/>
      <c r="V898" s="85"/>
      <c r="W898" s="85"/>
      <c r="X898" s="85"/>
      <c r="Y898" s="85"/>
      <c r="Z898" s="85"/>
      <c r="AA898" s="85"/>
      <c r="AB898" s="85"/>
      <c r="AC898" s="85"/>
      <c r="AD898" s="85"/>
      <c r="AE898" s="85"/>
      <c r="AF898" s="85"/>
      <c r="AG898" s="85"/>
    </row>
    <row r="899">
      <c r="A899" s="85"/>
      <c r="B899" s="85"/>
      <c r="C899" s="87"/>
      <c r="D899" s="87"/>
      <c r="E899" s="85"/>
      <c r="F899" s="85"/>
      <c r="G899" s="85"/>
      <c r="H899" s="85"/>
      <c r="I899" s="85"/>
      <c r="J899" s="85"/>
      <c r="K899" s="85"/>
      <c r="L899" s="85"/>
      <c r="M899" s="85"/>
      <c r="N899" s="85"/>
      <c r="O899" s="85"/>
      <c r="P899" s="85"/>
      <c r="Q899" s="85"/>
      <c r="R899" s="85"/>
      <c r="S899" s="85"/>
      <c r="T899" s="85"/>
      <c r="U899" s="85"/>
      <c r="V899" s="85"/>
      <c r="W899" s="85"/>
      <c r="X899" s="85"/>
      <c r="Y899" s="85"/>
      <c r="Z899" s="85"/>
      <c r="AA899" s="85"/>
      <c r="AB899" s="85"/>
      <c r="AC899" s="85"/>
      <c r="AD899" s="85"/>
      <c r="AE899" s="85"/>
      <c r="AF899" s="85"/>
      <c r="AG899" s="85"/>
    </row>
    <row r="900">
      <c r="A900" s="85"/>
      <c r="B900" s="85"/>
      <c r="C900" s="87"/>
      <c r="D900" s="87"/>
      <c r="E900" s="85"/>
      <c r="F900" s="85"/>
      <c r="G900" s="85"/>
      <c r="H900" s="85"/>
      <c r="I900" s="85"/>
      <c r="J900" s="85"/>
      <c r="K900" s="85"/>
      <c r="L900" s="85"/>
      <c r="M900" s="85"/>
      <c r="N900" s="85"/>
      <c r="O900" s="85"/>
      <c r="P900" s="85"/>
      <c r="Q900" s="85"/>
      <c r="R900" s="85"/>
      <c r="S900" s="85"/>
      <c r="T900" s="85"/>
      <c r="U900" s="85"/>
      <c r="V900" s="85"/>
      <c r="W900" s="85"/>
      <c r="X900" s="85"/>
      <c r="Y900" s="85"/>
      <c r="Z900" s="85"/>
      <c r="AA900" s="85"/>
      <c r="AB900" s="85"/>
      <c r="AC900" s="85"/>
      <c r="AD900" s="85"/>
      <c r="AE900" s="85"/>
      <c r="AF900" s="85"/>
      <c r="AG900" s="85"/>
    </row>
    <row r="901">
      <c r="A901" s="85"/>
      <c r="B901" s="85"/>
      <c r="C901" s="87"/>
      <c r="D901" s="87"/>
      <c r="E901" s="85"/>
      <c r="F901" s="85"/>
      <c r="G901" s="85"/>
      <c r="H901" s="85"/>
      <c r="I901" s="85"/>
      <c r="J901" s="85"/>
      <c r="K901" s="85"/>
      <c r="L901" s="85"/>
      <c r="M901" s="85"/>
      <c r="N901" s="85"/>
      <c r="O901" s="85"/>
      <c r="P901" s="85"/>
      <c r="Q901" s="85"/>
      <c r="R901" s="85"/>
      <c r="S901" s="85"/>
      <c r="T901" s="85"/>
      <c r="U901" s="85"/>
      <c r="V901" s="85"/>
      <c r="W901" s="85"/>
      <c r="X901" s="85"/>
      <c r="Y901" s="85"/>
      <c r="Z901" s="85"/>
      <c r="AA901" s="85"/>
      <c r="AB901" s="85"/>
      <c r="AC901" s="85"/>
      <c r="AD901" s="85"/>
      <c r="AE901" s="85"/>
      <c r="AF901" s="85"/>
      <c r="AG901" s="85"/>
    </row>
    <row r="902">
      <c r="A902" s="85"/>
      <c r="B902" s="85"/>
      <c r="C902" s="87"/>
      <c r="D902" s="87"/>
      <c r="E902" s="85"/>
      <c r="F902" s="85"/>
      <c r="G902" s="85"/>
      <c r="H902" s="85"/>
      <c r="I902" s="85"/>
      <c r="J902" s="85"/>
      <c r="K902" s="85"/>
      <c r="L902" s="85"/>
      <c r="M902" s="85"/>
      <c r="N902" s="85"/>
      <c r="O902" s="85"/>
      <c r="P902" s="85"/>
      <c r="Q902" s="85"/>
      <c r="R902" s="85"/>
      <c r="S902" s="85"/>
      <c r="T902" s="85"/>
      <c r="U902" s="85"/>
      <c r="V902" s="85"/>
      <c r="W902" s="85"/>
      <c r="X902" s="85"/>
      <c r="Y902" s="85"/>
      <c r="Z902" s="85"/>
      <c r="AA902" s="85"/>
      <c r="AB902" s="85"/>
      <c r="AC902" s="85"/>
      <c r="AD902" s="85"/>
      <c r="AE902" s="85"/>
      <c r="AF902" s="85"/>
      <c r="AG902" s="85"/>
    </row>
    <row r="903">
      <c r="A903" s="85"/>
      <c r="B903" s="85"/>
      <c r="C903" s="87"/>
      <c r="D903" s="87"/>
      <c r="E903" s="85"/>
      <c r="F903" s="85"/>
      <c r="G903" s="85"/>
      <c r="H903" s="85"/>
      <c r="I903" s="85"/>
      <c r="J903" s="85"/>
      <c r="K903" s="85"/>
      <c r="L903" s="85"/>
      <c r="M903" s="85"/>
      <c r="N903" s="85"/>
      <c r="O903" s="85"/>
      <c r="P903" s="85"/>
      <c r="Q903" s="85"/>
      <c r="R903" s="85"/>
      <c r="S903" s="85"/>
      <c r="T903" s="85"/>
      <c r="U903" s="85"/>
      <c r="V903" s="85"/>
      <c r="W903" s="85"/>
      <c r="X903" s="85"/>
      <c r="Y903" s="85"/>
      <c r="Z903" s="85"/>
      <c r="AA903" s="85"/>
      <c r="AB903" s="85"/>
      <c r="AC903" s="85"/>
      <c r="AD903" s="85"/>
      <c r="AE903" s="85"/>
      <c r="AF903" s="85"/>
      <c r="AG903" s="85"/>
    </row>
    <row r="904">
      <c r="A904" s="85"/>
      <c r="B904" s="85"/>
      <c r="C904" s="87"/>
      <c r="D904" s="87"/>
      <c r="E904" s="85"/>
      <c r="F904" s="85"/>
      <c r="G904" s="85"/>
      <c r="H904" s="85"/>
      <c r="I904" s="85"/>
      <c r="J904" s="85"/>
      <c r="K904" s="85"/>
      <c r="L904" s="85"/>
      <c r="M904" s="85"/>
      <c r="N904" s="85"/>
      <c r="O904" s="85"/>
      <c r="P904" s="85"/>
      <c r="Q904" s="85"/>
      <c r="R904" s="85"/>
      <c r="S904" s="85"/>
      <c r="T904" s="85"/>
      <c r="U904" s="85"/>
      <c r="V904" s="85"/>
      <c r="W904" s="85"/>
      <c r="X904" s="85"/>
      <c r="Y904" s="85"/>
      <c r="Z904" s="85"/>
      <c r="AA904" s="85"/>
      <c r="AB904" s="85"/>
      <c r="AC904" s="85"/>
      <c r="AD904" s="85"/>
      <c r="AE904" s="85"/>
      <c r="AF904" s="85"/>
      <c r="AG904" s="85"/>
    </row>
    <row r="905">
      <c r="A905" s="85"/>
      <c r="B905" s="85"/>
      <c r="C905" s="87"/>
      <c r="D905" s="87"/>
      <c r="E905" s="85"/>
      <c r="F905" s="85"/>
      <c r="G905" s="85"/>
      <c r="H905" s="85"/>
      <c r="I905" s="85"/>
      <c r="J905" s="85"/>
      <c r="K905" s="85"/>
      <c r="L905" s="85"/>
      <c r="M905" s="85"/>
      <c r="N905" s="85"/>
      <c r="O905" s="85"/>
      <c r="P905" s="85"/>
      <c r="Q905" s="85"/>
      <c r="R905" s="85"/>
      <c r="S905" s="85"/>
      <c r="T905" s="85"/>
      <c r="U905" s="85"/>
      <c r="V905" s="85"/>
      <c r="W905" s="85"/>
      <c r="X905" s="85"/>
      <c r="Y905" s="85"/>
      <c r="Z905" s="85"/>
      <c r="AA905" s="85"/>
      <c r="AB905" s="85"/>
      <c r="AC905" s="85"/>
      <c r="AD905" s="85"/>
      <c r="AE905" s="85"/>
      <c r="AF905" s="85"/>
      <c r="AG905" s="85"/>
    </row>
    <row r="906">
      <c r="A906" s="85"/>
      <c r="B906" s="85"/>
      <c r="C906" s="87"/>
      <c r="D906" s="87"/>
      <c r="E906" s="85"/>
      <c r="F906" s="85"/>
      <c r="G906" s="85"/>
      <c r="H906" s="85"/>
      <c r="I906" s="85"/>
      <c r="J906" s="85"/>
      <c r="K906" s="85"/>
      <c r="L906" s="85"/>
      <c r="M906" s="85"/>
      <c r="N906" s="85"/>
      <c r="O906" s="85"/>
      <c r="P906" s="85"/>
      <c r="Q906" s="85"/>
      <c r="R906" s="85"/>
      <c r="S906" s="85"/>
      <c r="T906" s="85"/>
      <c r="U906" s="85"/>
      <c r="V906" s="85"/>
      <c r="W906" s="85"/>
      <c r="X906" s="85"/>
      <c r="Y906" s="85"/>
      <c r="Z906" s="85"/>
      <c r="AA906" s="85"/>
      <c r="AB906" s="85"/>
      <c r="AC906" s="85"/>
      <c r="AD906" s="85"/>
      <c r="AE906" s="85"/>
      <c r="AF906" s="85"/>
      <c r="AG906" s="85"/>
    </row>
    <row r="907">
      <c r="A907" s="85"/>
      <c r="B907" s="85"/>
      <c r="C907" s="87"/>
      <c r="D907" s="87"/>
      <c r="E907" s="85"/>
      <c r="F907" s="85"/>
      <c r="G907" s="85"/>
      <c r="H907" s="85"/>
      <c r="I907" s="85"/>
      <c r="J907" s="85"/>
      <c r="K907" s="85"/>
      <c r="L907" s="85"/>
      <c r="M907" s="85"/>
      <c r="N907" s="85"/>
      <c r="O907" s="85"/>
      <c r="P907" s="85"/>
      <c r="Q907" s="85"/>
      <c r="R907" s="85"/>
      <c r="S907" s="85"/>
      <c r="T907" s="85"/>
      <c r="U907" s="85"/>
      <c r="V907" s="85"/>
      <c r="W907" s="85"/>
      <c r="X907" s="85"/>
      <c r="Y907" s="85"/>
      <c r="Z907" s="85"/>
      <c r="AA907" s="85"/>
      <c r="AB907" s="85"/>
      <c r="AC907" s="85"/>
      <c r="AD907" s="85"/>
      <c r="AE907" s="85"/>
      <c r="AF907" s="85"/>
      <c r="AG907" s="85"/>
    </row>
    <row r="908">
      <c r="A908" s="85"/>
      <c r="B908" s="85"/>
      <c r="C908" s="87"/>
      <c r="D908" s="87"/>
      <c r="E908" s="85"/>
      <c r="F908" s="85"/>
      <c r="G908" s="85"/>
      <c r="H908" s="85"/>
      <c r="I908" s="85"/>
      <c r="J908" s="85"/>
      <c r="K908" s="85"/>
      <c r="L908" s="85"/>
      <c r="M908" s="85"/>
      <c r="N908" s="85"/>
      <c r="O908" s="85"/>
      <c r="P908" s="85"/>
      <c r="Q908" s="85"/>
      <c r="R908" s="85"/>
      <c r="S908" s="85"/>
      <c r="T908" s="85"/>
      <c r="U908" s="85"/>
      <c r="V908" s="85"/>
      <c r="W908" s="85"/>
      <c r="X908" s="85"/>
      <c r="Y908" s="85"/>
      <c r="Z908" s="85"/>
      <c r="AA908" s="85"/>
      <c r="AB908" s="85"/>
      <c r="AC908" s="85"/>
      <c r="AD908" s="85"/>
      <c r="AE908" s="85"/>
      <c r="AF908" s="85"/>
      <c r="AG908" s="85"/>
    </row>
    <row r="909">
      <c r="A909" s="85"/>
      <c r="B909" s="85"/>
      <c r="C909" s="87"/>
      <c r="D909" s="87"/>
      <c r="E909" s="85"/>
      <c r="F909" s="85"/>
      <c r="G909" s="85"/>
      <c r="H909" s="85"/>
      <c r="I909" s="85"/>
      <c r="J909" s="85"/>
      <c r="K909" s="85"/>
      <c r="L909" s="85"/>
      <c r="M909" s="85"/>
      <c r="N909" s="85"/>
      <c r="O909" s="85"/>
      <c r="P909" s="85"/>
      <c r="Q909" s="85"/>
      <c r="R909" s="85"/>
      <c r="S909" s="85"/>
      <c r="T909" s="85"/>
      <c r="U909" s="85"/>
      <c r="V909" s="85"/>
      <c r="W909" s="85"/>
      <c r="X909" s="85"/>
      <c r="Y909" s="85"/>
      <c r="Z909" s="85"/>
      <c r="AA909" s="85"/>
      <c r="AB909" s="85"/>
      <c r="AC909" s="85"/>
      <c r="AD909" s="85"/>
      <c r="AE909" s="85"/>
      <c r="AF909" s="85"/>
      <c r="AG909" s="85"/>
    </row>
    <row r="910">
      <c r="A910" s="85"/>
      <c r="B910" s="85"/>
      <c r="C910" s="87"/>
      <c r="D910" s="87"/>
      <c r="E910" s="85"/>
      <c r="F910" s="85"/>
      <c r="G910" s="85"/>
      <c r="H910" s="85"/>
      <c r="I910" s="85"/>
      <c r="J910" s="85"/>
      <c r="K910" s="85"/>
      <c r="L910" s="85"/>
      <c r="M910" s="85"/>
      <c r="N910" s="85"/>
      <c r="O910" s="85"/>
      <c r="P910" s="85"/>
      <c r="Q910" s="85"/>
      <c r="R910" s="85"/>
      <c r="S910" s="85"/>
      <c r="T910" s="85"/>
      <c r="U910" s="85"/>
      <c r="V910" s="85"/>
      <c r="W910" s="85"/>
      <c r="X910" s="85"/>
      <c r="Y910" s="85"/>
      <c r="Z910" s="85"/>
      <c r="AA910" s="85"/>
      <c r="AB910" s="85"/>
      <c r="AC910" s="85"/>
      <c r="AD910" s="85"/>
      <c r="AE910" s="85"/>
      <c r="AF910" s="85"/>
      <c r="AG910" s="85"/>
    </row>
    <row r="911">
      <c r="A911" s="85"/>
      <c r="B911" s="85"/>
      <c r="C911" s="87"/>
      <c r="D911" s="87"/>
      <c r="E911" s="85"/>
      <c r="F911" s="85"/>
      <c r="G911" s="85"/>
      <c r="H911" s="85"/>
      <c r="I911" s="85"/>
      <c r="J911" s="85"/>
      <c r="K911" s="85"/>
      <c r="L911" s="85"/>
      <c r="M911" s="85"/>
      <c r="N911" s="85"/>
      <c r="O911" s="85"/>
      <c r="P911" s="85"/>
      <c r="Q911" s="85"/>
      <c r="R911" s="85"/>
      <c r="S911" s="85"/>
      <c r="T911" s="85"/>
      <c r="U911" s="85"/>
      <c r="V911" s="85"/>
      <c r="W911" s="85"/>
      <c r="X911" s="85"/>
      <c r="Y911" s="85"/>
      <c r="Z911" s="85"/>
      <c r="AA911" s="85"/>
      <c r="AB911" s="85"/>
      <c r="AC911" s="85"/>
      <c r="AD911" s="85"/>
      <c r="AE911" s="85"/>
      <c r="AF911" s="85"/>
      <c r="AG911" s="85"/>
    </row>
    <row r="912">
      <c r="A912" s="85"/>
      <c r="B912" s="85"/>
      <c r="C912" s="87"/>
      <c r="D912" s="87"/>
      <c r="E912" s="85"/>
      <c r="F912" s="85"/>
      <c r="G912" s="85"/>
      <c r="H912" s="85"/>
      <c r="I912" s="85"/>
      <c r="J912" s="85"/>
      <c r="K912" s="85"/>
      <c r="L912" s="85"/>
      <c r="M912" s="85"/>
      <c r="N912" s="85"/>
      <c r="O912" s="85"/>
      <c r="P912" s="85"/>
      <c r="Q912" s="85"/>
      <c r="R912" s="85"/>
      <c r="S912" s="85"/>
      <c r="T912" s="85"/>
      <c r="U912" s="85"/>
      <c r="V912" s="85"/>
      <c r="W912" s="85"/>
      <c r="X912" s="85"/>
      <c r="Y912" s="85"/>
      <c r="Z912" s="85"/>
      <c r="AA912" s="85"/>
      <c r="AB912" s="85"/>
      <c r="AC912" s="85"/>
      <c r="AD912" s="85"/>
      <c r="AE912" s="85"/>
      <c r="AF912" s="85"/>
      <c r="AG912" s="85"/>
    </row>
    <row r="913">
      <c r="A913" s="85"/>
      <c r="B913" s="85"/>
      <c r="C913" s="87"/>
      <c r="D913" s="87"/>
      <c r="E913" s="85"/>
      <c r="F913" s="85"/>
      <c r="G913" s="85"/>
      <c r="H913" s="85"/>
      <c r="I913" s="85"/>
      <c r="J913" s="85"/>
      <c r="K913" s="85"/>
      <c r="L913" s="85"/>
      <c r="M913" s="85"/>
      <c r="N913" s="85"/>
      <c r="O913" s="85"/>
      <c r="P913" s="85"/>
      <c r="Q913" s="85"/>
      <c r="R913" s="85"/>
      <c r="S913" s="85"/>
      <c r="T913" s="85"/>
      <c r="U913" s="85"/>
      <c r="V913" s="85"/>
      <c r="W913" s="85"/>
      <c r="X913" s="85"/>
      <c r="Y913" s="85"/>
      <c r="Z913" s="85"/>
      <c r="AA913" s="85"/>
      <c r="AB913" s="85"/>
      <c r="AC913" s="85"/>
      <c r="AD913" s="85"/>
      <c r="AE913" s="85"/>
      <c r="AF913" s="85"/>
      <c r="AG913" s="85"/>
    </row>
    <row r="914">
      <c r="A914" s="85"/>
      <c r="B914" s="85"/>
      <c r="C914" s="87"/>
      <c r="D914" s="87"/>
      <c r="E914" s="85"/>
      <c r="F914" s="85"/>
      <c r="G914" s="85"/>
      <c r="H914" s="85"/>
      <c r="I914" s="85"/>
      <c r="J914" s="85"/>
      <c r="K914" s="85"/>
      <c r="L914" s="85"/>
      <c r="M914" s="85"/>
      <c r="N914" s="85"/>
      <c r="O914" s="85"/>
      <c r="P914" s="85"/>
      <c r="Q914" s="85"/>
      <c r="R914" s="85"/>
      <c r="S914" s="85"/>
      <c r="T914" s="85"/>
      <c r="U914" s="85"/>
      <c r="V914" s="85"/>
      <c r="W914" s="85"/>
      <c r="X914" s="85"/>
      <c r="Y914" s="85"/>
      <c r="Z914" s="85"/>
      <c r="AA914" s="85"/>
      <c r="AB914" s="85"/>
      <c r="AC914" s="85"/>
      <c r="AD914" s="85"/>
      <c r="AE914" s="85"/>
      <c r="AF914" s="85"/>
      <c r="AG914" s="85"/>
    </row>
    <row r="915">
      <c r="A915" s="85"/>
      <c r="B915" s="85"/>
      <c r="C915" s="87"/>
      <c r="D915" s="87"/>
      <c r="E915" s="85"/>
      <c r="F915" s="85"/>
      <c r="G915" s="85"/>
      <c r="H915" s="85"/>
      <c r="I915" s="85"/>
      <c r="J915" s="85"/>
      <c r="K915" s="85"/>
      <c r="L915" s="85"/>
      <c r="M915" s="85"/>
      <c r="N915" s="85"/>
      <c r="O915" s="85"/>
      <c r="P915" s="85"/>
      <c r="Q915" s="85"/>
      <c r="R915" s="85"/>
      <c r="S915" s="85"/>
      <c r="T915" s="85"/>
      <c r="U915" s="85"/>
      <c r="V915" s="85"/>
      <c r="W915" s="85"/>
      <c r="X915" s="85"/>
      <c r="Y915" s="85"/>
      <c r="Z915" s="85"/>
      <c r="AA915" s="85"/>
      <c r="AB915" s="85"/>
      <c r="AC915" s="85"/>
      <c r="AD915" s="85"/>
      <c r="AE915" s="85"/>
      <c r="AF915" s="85"/>
      <c r="AG915" s="85"/>
    </row>
    <row r="916">
      <c r="A916" s="85"/>
      <c r="B916" s="85"/>
      <c r="C916" s="87"/>
      <c r="D916" s="87"/>
      <c r="E916" s="85"/>
      <c r="F916" s="85"/>
      <c r="G916" s="85"/>
      <c r="H916" s="85"/>
      <c r="I916" s="85"/>
      <c r="J916" s="85"/>
      <c r="K916" s="85"/>
      <c r="L916" s="85"/>
      <c r="M916" s="85"/>
      <c r="N916" s="85"/>
      <c r="O916" s="85"/>
      <c r="P916" s="85"/>
      <c r="Q916" s="85"/>
      <c r="R916" s="85"/>
      <c r="S916" s="85"/>
      <c r="T916" s="85"/>
      <c r="U916" s="85"/>
      <c r="V916" s="85"/>
      <c r="W916" s="85"/>
      <c r="X916" s="85"/>
      <c r="Y916" s="85"/>
      <c r="Z916" s="85"/>
      <c r="AA916" s="85"/>
      <c r="AB916" s="85"/>
      <c r="AC916" s="85"/>
      <c r="AD916" s="85"/>
      <c r="AE916" s="85"/>
      <c r="AF916" s="85"/>
      <c r="AG916" s="85"/>
    </row>
    <row r="917">
      <c r="A917" s="85"/>
      <c r="B917" s="85"/>
      <c r="C917" s="87"/>
      <c r="D917" s="87"/>
      <c r="E917" s="85"/>
      <c r="F917" s="85"/>
      <c r="G917" s="85"/>
      <c r="H917" s="85"/>
      <c r="I917" s="85"/>
      <c r="J917" s="85"/>
      <c r="K917" s="85"/>
      <c r="L917" s="85"/>
      <c r="M917" s="85"/>
      <c r="N917" s="85"/>
      <c r="O917" s="85"/>
      <c r="P917" s="85"/>
      <c r="Q917" s="85"/>
      <c r="R917" s="85"/>
      <c r="S917" s="85"/>
      <c r="T917" s="85"/>
      <c r="U917" s="85"/>
      <c r="V917" s="85"/>
      <c r="W917" s="85"/>
      <c r="X917" s="85"/>
      <c r="Y917" s="85"/>
      <c r="Z917" s="85"/>
      <c r="AA917" s="85"/>
      <c r="AB917" s="85"/>
      <c r="AC917" s="85"/>
      <c r="AD917" s="85"/>
      <c r="AE917" s="85"/>
      <c r="AF917" s="85"/>
      <c r="AG917" s="85"/>
    </row>
    <row r="918">
      <c r="A918" s="85"/>
      <c r="B918" s="85"/>
      <c r="C918" s="87"/>
      <c r="D918" s="87"/>
      <c r="E918" s="85"/>
      <c r="F918" s="85"/>
      <c r="G918" s="85"/>
      <c r="H918" s="85"/>
      <c r="I918" s="85"/>
      <c r="J918" s="85"/>
      <c r="K918" s="85"/>
      <c r="L918" s="85"/>
      <c r="M918" s="85"/>
      <c r="N918" s="85"/>
      <c r="O918" s="85"/>
      <c r="P918" s="85"/>
      <c r="Q918" s="85"/>
      <c r="R918" s="85"/>
      <c r="S918" s="85"/>
      <c r="T918" s="85"/>
      <c r="U918" s="85"/>
      <c r="V918" s="85"/>
      <c r="W918" s="85"/>
      <c r="X918" s="85"/>
      <c r="Y918" s="85"/>
      <c r="Z918" s="85"/>
      <c r="AA918" s="85"/>
      <c r="AB918" s="85"/>
      <c r="AC918" s="85"/>
      <c r="AD918" s="85"/>
      <c r="AE918" s="85"/>
      <c r="AF918" s="85"/>
      <c r="AG918" s="85"/>
    </row>
    <row r="919">
      <c r="A919" s="85"/>
      <c r="B919" s="85"/>
      <c r="C919" s="87"/>
      <c r="D919" s="87"/>
      <c r="E919" s="85"/>
      <c r="F919" s="85"/>
      <c r="G919" s="85"/>
      <c r="H919" s="85"/>
      <c r="I919" s="85"/>
      <c r="J919" s="85"/>
      <c r="K919" s="85"/>
      <c r="L919" s="85"/>
      <c r="M919" s="85"/>
      <c r="N919" s="85"/>
      <c r="O919" s="85"/>
      <c r="P919" s="85"/>
      <c r="Q919" s="85"/>
      <c r="R919" s="85"/>
      <c r="S919" s="85"/>
      <c r="T919" s="85"/>
      <c r="U919" s="85"/>
      <c r="V919" s="85"/>
      <c r="W919" s="85"/>
      <c r="X919" s="85"/>
      <c r="Y919" s="85"/>
      <c r="Z919" s="85"/>
      <c r="AA919" s="85"/>
      <c r="AB919" s="85"/>
      <c r="AC919" s="85"/>
      <c r="AD919" s="85"/>
      <c r="AE919" s="85"/>
      <c r="AF919" s="85"/>
      <c r="AG919" s="85"/>
    </row>
    <row r="920">
      <c r="A920" s="85"/>
      <c r="B920" s="85"/>
      <c r="C920" s="87"/>
      <c r="D920" s="87"/>
      <c r="E920" s="85"/>
      <c r="F920" s="85"/>
      <c r="G920" s="85"/>
      <c r="H920" s="85"/>
      <c r="I920" s="85"/>
      <c r="J920" s="85"/>
      <c r="K920" s="85"/>
      <c r="L920" s="85"/>
      <c r="M920" s="85"/>
      <c r="N920" s="85"/>
      <c r="O920" s="85"/>
      <c r="P920" s="85"/>
      <c r="Q920" s="85"/>
      <c r="R920" s="85"/>
      <c r="S920" s="85"/>
      <c r="T920" s="85"/>
      <c r="U920" s="85"/>
      <c r="V920" s="85"/>
      <c r="W920" s="85"/>
      <c r="X920" s="85"/>
      <c r="Y920" s="85"/>
      <c r="Z920" s="85"/>
      <c r="AA920" s="85"/>
      <c r="AB920" s="85"/>
      <c r="AC920" s="85"/>
      <c r="AD920" s="85"/>
      <c r="AE920" s="85"/>
      <c r="AF920" s="85"/>
      <c r="AG920" s="85"/>
    </row>
    <row r="921">
      <c r="A921" s="85"/>
      <c r="B921" s="85"/>
      <c r="C921" s="87"/>
      <c r="D921" s="87"/>
      <c r="E921" s="85"/>
      <c r="F921" s="85"/>
      <c r="G921" s="85"/>
      <c r="H921" s="85"/>
      <c r="I921" s="85"/>
      <c r="J921" s="85"/>
      <c r="K921" s="85"/>
      <c r="L921" s="85"/>
      <c r="M921" s="85"/>
      <c r="N921" s="85"/>
      <c r="O921" s="85"/>
      <c r="P921" s="85"/>
      <c r="Q921" s="85"/>
      <c r="R921" s="85"/>
      <c r="S921" s="85"/>
      <c r="T921" s="85"/>
      <c r="U921" s="85"/>
      <c r="V921" s="85"/>
      <c r="W921" s="85"/>
      <c r="X921" s="85"/>
      <c r="Y921" s="85"/>
      <c r="Z921" s="85"/>
      <c r="AA921" s="85"/>
      <c r="AB921" s="85"/>
      <c r="AC921" s="85"/>
      <c r="AD921" s="85"/>
      <c r="AE921" s="85"/>
      <c r="AF921" s="85"/>
      <c r="AG921" s="85"/>
    </row>
    <row r="922">
      <c r="A922" s="85"/>
      <c r="B922" s="85"/>
      <c r="C922" s="87"/>
      <c r="D922" s="87"/>
      <c r="E922" s="85"/>
      <c r="F922" s="85"/>
      <c r="G922" s="85"/>
      <c r="H922" s="85"/>
      <c r="I922" s="85"/>
      <c r="J922" s="85"/>
      <c r="K922" s="85"/>
      <c r="L922" s="85"/>
      <c r="M922" s="85"/>
      <c r="N922" s="85"/>
      <c r="O922" s="85"/>
      <c r="P922" s="85"/>
      <c r="Q922" s="85"/>
      <c r="R922" s="85"/>
      <c r="S922" s="85"/>
      <c r="T922" s="85"/>
      <c r="U922" s="85"/>
      <c r="V922" s="85"/>
      <c r="W922" s="85"/>
      <c r="X922" s="85"/>
      <c r="Y922" s="85"/>
      <c r="Z922" s="85"/>
      <c r="AA922" s="85"/>
      <c r="AB922" s="85"/>
      <c r="AC922" s="85"/>
      <c r="AD922" s="85"/>
      <c r="AE922" s="85"/>
      <c r="AF922" s="85"/>
      <c r="AG922" s="85"/>
    </row>
    <row r="923">
      <c r="A923" s="85"/>
      <c r="B923" s="85"/>
      <c r="C923" s="87"/>
      <c r="D923" s="87"/>
      <c r="E923" s="85"/>
      <c r="F923" s="85"/>
      <c r="G923" s="85"/>
      <c r="H923" s="85"/>
      <c r="I923" s="85"/>
      <c r="J923" s="85"/>
      <c r="K923" s="85"/>
      <c r="L923" s="85"/>
      <c r="M923" s="85"/>
      <c r="N923" s="85"/>
      <c r="O923" s="85"/>
      <c r="P923" s="85"/>
      <c r="Q923" s="85"/>
      <c r="R923" s="85"/>
      <c r="S923" s="85"/>
      <c r="T923" s="85"/>
      <c r="U923" s="85"/>
      <c r="V923" s="85"/>
      <c r="W923" s="85"/>
      <c r="X923" s="85"/>
      <c r="Y923" s="85"/>
      <c r="Z923" s="85"/>
      <c r="AA923" s="85"/>
      <c r="AB923" s="85"/>
      <c r="AC923" s="85"/>
      <c r="AD923" s="85"/>
      <c r="AE923" s="85"/>
      <c r="AF923" s="85"/>
      <c r="AG923" s="85"/>
    </row>
    <row r="924">
      <c r="A924" s="85"/>
      <c r="B924" s="85"/>
      <c r="C924" s="87"/>
      <c r="D924" s="87"/>
      <c r="E924" s="85"/>
      <c r="F924" s="85"/>
      <c r="G924" s="85"/>
      <c r="H924" s="85"/>
      <c r="I924" s="85"/>
      <c r="J924" s="85"/>
      <c r="K924" s="85"/>
      <c r="L924" s="85"/>
      <c r="M924" s="85"/>
      <c r="N924" s="85"/>
      <c r="O924" s="85"/>
      <c r="P924" s="85"/>
      <c r="Q924" s="85"/>
      <c r="R924" s="85"/>
      <c r="S924" s="85"/>
      <c r="T924" s="85"/>
      <c r="U924" s="85"/>
      <c r="V924" s="85"/>
      <c r="W924" s="85"/>
      <c r="X924" s="85"/>
      <c r="Y924" s="85"/>
      <c r="Z924" s="85"/>
      <c r="AA924" s="85"/>
      <c r="AB924" s="85"/>
      <c r="AC924" s="85"/>
      <c r="AD924" s="85"/>
      <c r="AE924" s="85"/>
      <c r="AF924" s="85"/>
      <c r="AG924" s="85"/>
    </row>
    <row r="925">
      <c r="A925" s="85"/>
      <c r="B925" s="85"/>
      <c r="C925" s="87"/>
      <c r="D925" s="87"/>
      <c r="E925" s="85"/>
      <c r="F925" s="85"/>
      <c r="G925" s="85"/>
      <c r="H925" s="85"/>
      <c r="I925" s="85"/>
      <c r="J925" s="85"/>
      <c r="K925" s="85"/>
      <c r="L925" s="85"/>
      <c r="M925" s="85"/>
      <c r="N925" s="85"/>
      <c r="O925" s="85"/>
      <c r="P925" s="85"/>
      <c r="Q925" s="85"/>
      <c r="R925" s="85"/>
      <c r="S925" s="85"/>
      <c r="T925" s="85"/>
      <c r="U925" s="85"/>
      <c r="V925" s="85"/>
      <c r="W925" s="85"/>
      <c r="X925" s="85"/>
      <c r="Y925" s="85"/>
      <c r="Z925" s="85"/>
      <c r="AA925" s="85"/>
      <c r="AB925" s="85"/>
      <c r="AC925" s="85"/>
      <c r="AD925" s="85"/>
      <c r="AE925" s="85"/>
      <c r="AF925" s="85"/>
      <c r="AG925" s="85"/>
    </row>
    <row r="926">
      <c r="A926" s="85"/>
      <c r="B926" s="85"/>
      <c r="C926" s="87"/>
      <c r="D926" s="87"/>
      <c r="E926" s="85"/>
      <c r="F926" s="85"/>
      <c r="G926" s="85"/>
      <c r="H926" s="85"/>
      <c r="I926" s="85"/>
      <c r="J926" s="85"/>
      <c r="K926" s="85"/>
      <c r="L926" s="85"/>
      <c r="M926" s="85"/>
      <c r="N926" s="85"/>
      <c r="O926" s="85"/>
      <c r="P926" s="85"/>
      <c r="Q926" s="85"/>
      <c r="R926" s="85"/>
      <c r="S926" s="85"/>
      <c r="T926" s="85"/>
      <c r="U926" s="85"/>
      <c r="V926" s="85"/>
      <c r="W926" s="85"/>
      <c r="X926" s="85"/>
      <c r="Y926" s="85"/>
      <c r="Z926" s="85"/>
      <c r="AA926" s="85"/>
      <c r="AB926" s="85"/>
      <c r="AC926" s="85"/>
      <c r="AD926" s="85"/>
      <c r="AE926" s="85"/>
      <c r="AF926" s="85"/>
      <c r="AG926" s="85"/>
    </row>
    <row r="927">
      <c r="A927" s="85"/>
      <c r="B927" s="85"/>
      <c r="C927" s="87"/>
      <c r="D927" s="87"/>
      <c r="E927" s="85"/>
      <c r="F927" s="85"/>
      <c r="G927" s="85"/>
      <c r="H927" s="85"/>
      <c r="I927" s="85"/>
      <c r="J927" s="85"/>
      <c r="K927" s="85"/>
      <c r="L927" s="85"/>
      <c r="M927" s="85"/>
      <c r="N927" s="85"/>
      <c r="O927" s="85"/>
      <c r="P927" s="85"/>
      <c r="Q927" s="85"/>
      <c r="R927" s="85"/>
      <c r="S927" s="85"/>
      <c r="T927" s="85"/>
      <c r="U927" s="85"/>
      <c r="V927" s="85"/>
      <c r="W927" s="85"/>
      <c r="X927" s="85"/>
      <c r="Y927" s="85"/>
      <c r="Z927" s="85"/>
      <c r="AA927" s="85"/>
      <c r="AB927" s="85"/>
      <c r="AC927" s="85"/>
      <c r="AD927" s="85"/>
      <c r="AE927" s="85"/>
      <c r="AF927" s="85"/>
      <c r="AG927" s="85"/>
    </row>
    <row r="928">
      <c r="A928" s="85"/>
      <c r="B928" s="85"/>
      <c r="C928" s="87"/>
      <c r="D928" s="87"/>
      <c r="E928" s="85"/>
      <c r="F928" s="85"/>
      <c r="G928" s="85"/>
      <c r="H928" s="85"/>
      <c r="I928" s="85"/>
      <c r="J928" s="85"/>
      <c r="K928" s="85"/>
      <c r="L928" s="85"/>
      <c r="M928" s="85"/>
      <c r="N928" s="85"/>
      <c r="O928" s="85"/>
      <c r="P928" s="85"/>
      <c r="Q928" s="85"/>
      <c r="R928" s="85"/>
      <c r="S928" s="85"/>
      <c r="T928" s="85"/>
      <c r="U928" s="85"/>
      <c r="V928" s="85"/>
      <c r="W928" s="85"/>
      <c r="X928" s="85"/>
      <c r="Y928" s="85"/>
      <c r="Z928" s="85"/>
      <c r="AA928" s="85"/>
      <c r="AB928" s="85"/>
      <c r="AC928" s="85"/>
      <c r="AD928" s="85"/>
      <c r="AE928" s="85"/>
      <c r="AF928" s="85"/>
      <c r="AG928" s="85"/>
    </row>
    <row r="929">
      <c r="A929" s="85"/>
      <c r="B929" s="85"/>
      <c r="C929" s="87"/>
      <c r="D929" s="87"/>
      <c r="E929" s="85"/>
      <c r="F929" s="85"/>
      <c r="G929" s="85"/>
      <c r="H929" s="85"/>
      <c r="I929" s="85"/>
      <c r="J929" s="85"/>
      <c r="K929" s="85"/>
      <c r="L929" s="85"/>
      <c r="M929" s="85"/>
      <c r="N929" s="85"/>
      <c r="O929" s="85"/>
      <c r="P929" s="85"/>
      <c r="Q929" s="85"/>
      <c r="R929" s="85"/>
      <c r="S929" s="85"/>
      <c r="T929" s="85"/>
      <c r="U929" s="85"/>
      <c r="V929" s="85"/>
      <c r="W929" s="85"/>
      <c r="X929" s="85"/>
      <c r="Y929" s="85"/>
      <c r="Z929" s="85"/>
      <c r="AA929" s="85"/>
      <c r="AB929" s="85"/>
      <c r="AC929" s="85"/>
      <c r="AD929" s="85"/>
      <c r="AE929" s="85"/>
      <c r="AF929" s="85"/>
      <c r="AG929" s="85"/>
    </row>
    <row r="930">
      <c r="A930" s="85"/>
      <c r="B930" s="85"/>
      <c r="C930" s="87"/>
      <c r="D930" s="87"/>
      <c r="E930" s="85"/>
      <c r="F930" s="85"/>
      <c r="G930" s="85"/>
      <c r="H930" s="85"/>
      <c r="I930" s="85"/>
      <c r="J930" s="85"/>
      <c r="K930" s="85"/>
      <c r="L930" s="85"/>
      <c r="M930" s="85"/>
      <c r="N930" s="85"/>
      <c r="O930" s="85"/>
      <c r="P930" s="85"/>
      <c r="Q930" s="85"/>
      <c r="R930" s="85"/>
      <c r="S930" s="85"/>
      <c r="T930" s="85"/>
      <c r="U930" s="85"/>
      <c r="V930" s="85"/>
      <c r="W930" s="85"/>
      <c r="X930" s="85"/>
      <c r="Y930" s="85"/>
      <c r="Z930" s="85"/>
      <c r="AA930" s="85"/>
      <c r="AB930" s="85"/>
      <c r="AC930" s="85"/>
      <c r="AD930" s="85"/>
      <c r="AE930" s="85"/>
      <c r="AF930" s="85"/>
      <c r="AG930" s="85"/>
    </row>
    <row r="931">
      <c r="A931" s="85"/>
      <c r="B931" s="85"/>
      <c r="C931" s="87"/>
      <c r="D931" s="87"/>
      <c r="E931" s="85"/>
      <c r="F931" s="85"/>
      <c r="G931" s="85"/>
      <c r="H931" s="85"/>
      <c r="I931" s="85"/>
      <c r="J931" s="85"/>
      <c r="K931" s="85"/>
      <c r="L931" s="85"/>
      <c r="M931" s="85"/>
      <c r="N931" s="85"/>
      <c r="O931" s="85"/>
      <c r="P931" s="85"/>
      <c r="Q931" s="85"/>
      <c r="R931" s="85"/>
      <c r="S931" s="85"/>
      <c r="T931" s="85"/>
      <c r="U931" s="85"/>
      <c r="V931" s="85"/>
      <c r="W931" s="85"/>
      <c r="X931" s="85"/>
      <c r="Y931" s="85"/>
      <c r="Z931" s="85"/>
      <c r="AA931" s="85"/>
      <c r="AB931" s="85"/>
      <c r="AC931" s="85"/>
      <c r="AD931" s="85"/>
      <c r="AE931" s="85"/>
      <c r="AF931" s="85"/>
      <c r="AG931" s="85"/>
    </row>
    <row r="932">
      <c r="A932" s="85"/>
      <c r="B932" s="85"/>
      <c r="C932" s="87"/>
      <c r="D932" s="87"/>
      <c r="E932" s="85"/>
      <c r="F932" s="85"/>
      <c r="G932" s="85"/>
      <c r="H932" s="85"/>
      <c r="I932" s="85"/>
      <c r="J932" s="85"/>
      <c r="K932" s="85"/>
      <c r="L932" s="85"/>
      <c r="M932" s="85"/>
      <c r="N932" s="85"/>
      <c r="O932" s="85"/>
      <c r="P932" s="85"/>
      <c r="Q932" s="85"/>
      <c r="R932" s="85"/>
      <c r="S932" s="85"/>
      <c r="T932" s="85"/>
      <c r="U932" s="85"/>
      <c r="V932" s="85"/>
      <c r="W932" s="85"/>
      <c r="X932" s="85"/>
      <c r="Y932" s="85"/>
      <c r="Z932" s="85"/>
      <c r="AA932" s="85"/>
      <c r="AB932" s="85"/>
      <c r="AC932" s="85"/>
      <c r="AD932" s="85"/>
      <c r="AE932" s="85"/>
      <c r="AF932" s="85"/>
      <c r="AG932" s="85"/>
    </row>
    <row r="933">
      <c r="A933" s="85"/>
      <c r="B933" s="85"/>
      <c r="C933" s="87"/>
      <c r="D933" s="87"/>
      <c r="E933" s="85"/>
      <c r="F933" s="85"/>
      <c r="G933" s="85"/>
      <c r="H933" s="85"/>
      <c r="I933" s="85"/>
      <c r="J933" s="85"/>
      <c r="K933" s="85"/>
      <c r="L933" s="85"/>
      <c r="M933" s="85"/>
      <c r="N933" s="85"/>
      <c r="O933" s="85"/>
      <c r="P933" s="85"/>
      <c r="Q933" s="85"/>
      <c r="R933" s="85"/>
      <c r="S933" s="85"/>
      <c r="T933" s="85"/>
      <c r="U933" s="85"/>
      <c r="V933" s="85"/>
      <c r="W933" s="85"/>
      <c r="X933" s="85"/>
      <c r="Y933" s="85"/>
      <c r="Z933" s="85"/>
      <c r="AA933" s="85"/>
      <c r="AB933" s="85"/>
      <c r="AC933" s="85"/>
      <c r="AD933" s="85"/>
      <c r="AE933" s="85"/>
      <c r="AF933" s="85"/>
      <c r="AG933" s="85"/>
    </row>
    <row r="934">
      <c r="A934" s="85"/>
      <c r="B934" s="85"/>
      <c r="C934" s="87"/>
      <c r="D934" s="87"/>
      <c r="E934" s="85"/>
      <c r="F934" s="85"/>
      <c r="G934" s="85"/>
      <c r="H934" s="85"/>
      <c r="I934" s="85"/>
      <c r="J934" s="85"/>
      <c r="K934" s="85"/>
      <c r="L934" s="85"/>
      <c r="M934" s="85"/>
      <c r="N934" s="85"/>
      <c r="O934" s="85"/>
      <c r="P934" s="85"/>
      <c r="Q934" s="85"/>
      <c r="R934" s="85"/>
      <c r="S934" s="85"/>
      <c r="T934" s="85"/>
      <c r="U934" s="85"/>
      <c r="V934" s="85"/>
      <c r="W934" s="85"/>
      <c r="X934" s="85"/>
      <c r="Y934" s="85"/>
      <c r="Z934" s="85"/>
      <c r="AA934" s="85"/>
      <c r="AB934" s="85"/>
      <c r="AC934" s="85"/>
      <c r="AD934" s="85"/>
      <c r="AE934" s="85"/>
      <c r="AF934" s="85"/>
      <c r="AG934" s="85"/>
    </row>
    <row r="935">
      <c r="A935" s="85"/>
      <c r="B935" s="85"/>
      <c r="C935" s="87"/>
      <c r="D935" s="87"/>
      <c r="E935" s="85"/>
      <c r="F935" s="85"/>
      <c r="G935" s="85"/>
      <c r="H935" s="85"/>
      <c r="I935" s="85"/>
      <c r="J935" s="85"/>
      <c r="K935" s="85"/>
      <c r="L935" s="85"/>
      <c r="M935" s="85"/>
      <c r="N935" s="85"/>
      <c r="O935" s="85"/>
      <c r="P935" s="85"/>
      <c r="Q935" s="85"/>
      <c r="R935" s="85"/>
      <c r="S935" s="85"/>
      <c r="T935" s="85"/>
      <c r="U935" s="85"/>
      <c r="V935" s="85"/>
      <c r="W935" s="85"/>
      <c r="X935" s="85"/>
      <c r="Y935" s="85"/>
      <c r="Z935" s="85"/>
      <c r="AA935" s="85"/>
      <c r="AB935" s="85"/>
      <c r="AC935" s="85"/>
      <c r="AD935" s="85"/>
      <c r="AE935" s="85"/>
      <c r="AF935" s="85"/>
      <c r="AG935" s="85"/>
    </row>
    <row r="936">
      <c r="A936" s="85"/>
      <c r="B936" s="85"/>
      <c r="C936" s="87"/>
      <c r="D936" s="87"/>
      <c r="E936" s="85"/>
      <c r="F936" s="85"/>
      <c r="G936" s="85"/>
      <c r="H936" s="85"/>
      <c r="I936" s="85"/>
      <c r="J936" s="85"/>
      <c r="K936" s="85"/>
      <c r="L936" s="85"/>
      <c r="M936" s="85"/>
      <c r="N936" s="85"/>
      <c r="O936" s="85"/>
      <c r="P936" s="85"/>
      <c r="Q936" s="85"/>
      <c r="R936" s="85"/>
      <c r="S936" s="85"/>
      <c r="T936" s="85"/>
      <c r="U936" s="85"/>
      <c r="V936" s="85"/>
      <c r="W936" s="85"/>
      <c r="X936" s="85"/>
      <c r="Y936" s="85"/>
      <c r="Z936" s="85"/>
      <c r="AA936" s="85"/>
      <c r="AB936" s="85"/>
      <c r="AC936" s="85"/>
      <c r="AD936" s="85"/>
      <c r="AE936" s="85"/>
      <c r="AF936" s="85"/>
      <c r="AG936" s="85"/>
    </row>
    <row r="937">
      <c r="A937" s="85"/>
      <c r="B937" s="85"/>
      <c r="C937" s="87"/>
      <c r="D937" s="87"/>
      <c r="E937" s="85"/>
      <c r="F937" s="85"/>
      <c r="G937" s="85"/>
      <c r="H937" s="85"/>
      <c r="I937" s="85"/>
      <c r="J937" s="85"/>
      <c r="K937" s="85"/>
      <c r="L937" s="85"/>
      <c r="M937" s="85"/>
      <c r="N937" s="85"/>
      <c r="O937" s="85"/>
      <c r="P937" s="85"/>
      <c r="Q937" s="85"/>
      <c r="R937" s="85"/>
      <c r="S937" s="85"/>
      <c r="T937" s="85"/>
      <c r="U937" s="85"/>
      <c r="V937" s="85"/>
      <c r="W937" s="85"/>
      <c r="X937" s="85"/>
      <c r="Y937" s="85"/>
      <c r="Z937" s="85"/>
      <c r="AA937" s="85"/>
      <c r="AB937" s="85"/>
      <c r="AC937" s="85"/>
      <c r="AD937" s="85"/>
      <c r="AE937" s="85"/>
      <c r="AF937" s="85"/>
      <c r="AG937" s="85"/>
    </row>
    <row r="938">
      <c r="A938" s="85"/>
      <c r="B938" s="85"/>
      <c r="C938" s="87"/>
      <c r="D938" s="87"/>
      <c r="E938" s="85"/>
      <c r="F938" s="85"/>
      <c r="G938" s="85"/>
      <c r="H938" s="85"/>
      <c r="I938" s="85"/>
      <c r="J938" s="85"/>
      <c r="K938" s="85"/>
      <c r="L938" s="85"/>
      <c r="M938" s="85"/>
      <c r="N938" s="85"/>
      <c r="O938" s="85"/>
      <c r="P938" s="85"/>
      <c r="Q938" s="85"/>
      <c r="R938" s="85"/>
      <c r="S938" s="85"/>
      <c r="T938" s="85"/>
      <c r="U938" s="85"/>
      <c r="V938" s="85"/>
      <c r="W938" s="85"/>
      <c r="X938" s="85"/>
      <c r="Y938" s="85"/>
      <c r="Z938" s="85"/>
      <c r="AA938" s="85"/>
      <c r="AB938" s="85"/>
      <c r="AC938" s="85"/>
      <c r="AD938" s="85"/>
      <c r="AE938" s="85"/>
      <c r="AF938" s="85"/>
      <c r="AG938" s="85"/>
    </row>
    <row r="939">
      <c r="A939" s="85"/>
      <c r="B939" s="85"/>
      <c r="C939" s="87"/>
      <c r="D939" s="87"/>
      <c r="E939" s="85"/>
      <c r="F939" s="85"/>
      <c r="G939" s="85"/>
      <c r="H939" s="85"/>
      <c r="I939" s="85"/>
      <c r="J939" s="85"/>
      <c r="K939" s="85"/>
      <c r="L939" s="85"/>
      <c r="M939" s="85"/>
      <c r="N939" s="85"/>
      <c r="O939" s="85"/>
      <c r="P939" s="85"/>
      <c r="Q939" s="85"/>
      <c r="R939" s="85"/>
      <c r="S939" s="85"/>
      <c r="T939" s="85"/>
      <c r="U939" s="85"/>
      <c r="V939" s="85"/>
      <c r="W939" s="85"/>
      <c r="X939" s="85"/>
      <c r="Y939" s="85"/>
      <c r="Z939" s="85"/>
      <c r="AA939" s="85"/>
      <c r="AB939" s="85"/>
      <c r="AC939" s="85"/>
      <c r="AD939" s="85"/>
      <c r="AE939" s="85"/>
      <c r="AF939" s="85"/>
      <c r="AG939" s="85"/>
    </row>
    <row r="940">
      <c r="A940" s="85"/>
      <c r="B940" s="85"/>
      <c r="C940" s="87"/>
      <c r="D940" s="87"/>
      <c r="E940" s="85"/>
      <c r="F940" s="85"/>
      <c r="G940" s="85"/>
      <c r="H940" s="85"/>
      <c r="I940" s="85"/>
      <c r="J940" s="85"/>
      <c r="K940" s="85"/>
      <c r="L940" s="85"/>
      <c r="M940" s="85"/>
      <c r="N940" s="85"/>
      <c r="O940" s="85"/>
      <c r="P940" s="85"/>
      <c r="Q940" s="85"/>
      <c r="R940" s="85"/>
      <c r="S940" s="85"/>
      <c r="T940" s="85"/>
      <c r="U940" s="85"/>
      <c r="V940" s="85"/>
      <c r="W940" s="85"/>
      <c r="X940" s="85"/>
      <c r="Y940" s="85"/>
      <c r="Z940" s="85"/>
      <c r="AA940" s="85"/>
      <c r="AB940" s="85"/>
      <c r="AC940" s="85"/>
      <c r="AD940" s="85"/>
      <c r="AE940" s="85"/>
      <c r="AF940" s="85"/>
      <c r="AG940" s="85"/>
    </row>
    <row r="941">
      <c r="A941" s="85"/>
      <c r="B941" s="85"/>
      <c r="C941" s="87"/>
      <c r="D941" s="87"/>
      <c r="E941" s="85"/>
      <c r="F941" s="85"/>
      <c r="G941" s="85"/>
      <c r="H941" s="85"/>
      <c r="I941" s="85"/>
      <c r="J941" s="85"/>
      <c r="K941" s="85"/>
      <c r="L941" s="85"/>
      <c r="M941" s="85"/>
      <c r="N941" s="85"/>
      <c r="O941" s="85"/>
      <c r="P941" s="85"/>
      <c r="Q941" s="85"/>
      <c r="R941" s="85"/>
      <c r="S941" s="85"/>
      <c r="T941" s="85"/>
      <c r="U941" s="85"/>
      <c r="V941" s="85"/>
      <c r="W941" s="85"/>
      <c r="X941" s="85"/>
      <c r="Y941" s="85"/>
      <c r="Z941" s="85"/>
      <c r="AA941" s="85"/>
      <c r="AB941" s="85"/>
      <c r="AC941" s="85"/>
      <c r="AD941" s="85"/>
      <c r="AE941" s="85"/>
      <c r="AF941" s="85"/>
      <c r="AG941" s="85"/>
    </row>
    <row r="942">
      <c r="A942" s="85"/>
      <c r="B942" s="85"/>
      <c r="C942" s="87"/>
      <c r="D942" s="87"/>
      <c r="E942" s="85"/>
      <c r="F942" s="85"/>
      <c r="G942" s="85"/>
      <c r="H942" s="85"/>
      <c r="I942" s="85"/>
      <c r="J942" s="85"/>
      <c r="K942" s="85"/>
      <c r="L942" s="85"/>
      <c r="M942" s="85"/>
      <c r="N942" s="85"/>
      <c r="O942" s="85"/>
      <c r="P942" s="85"/>
      <c r="Q942" s="85"/>
      <c r="R942" s="85"/>
      <c r="S942" s="85"/>
      <c r="T942" s="85"/>
      <c r="U942" s="85"/>
      <c r="V942" s="85"/>
      <c r="W942" s="85"/>
      <c r="X942" s="85"/>
      <c r="Y942" s="85"/>
      <c r="Z942" s="85"/>
      <c r="AA942" s="85"/>
      <c r="AB942" s="85"/>
      <c r="AC942" s="85"/>
      <c r="AD942" s="85"/>
      <c r="AE942" s="85"/>
      <c r="AF942" s="85"/>
      <c r="AG942" s="85"/>
    </row>
    <row r="943">
      <c r="A943" s="85"/>
      <c r="B943" s="85"/>
      <c r="C943" s="87"/>
      <c r="D943" s="87"/>
      <c r="E943" s="85"/>
      <c r="F943" s="85"/>
      <c r="G943" s="85"/>
      <c r="H943" s="85"/>
      <c r="I943" s="85"/>
      <c r="J943" s="85"/>
      <c r="K943" s="85"/>
      <c r="L943" s="85"/>
      <c r="M943" s="85"/>
      <c r="N943" s="85"/>
      <c r="O943" s="85"/>
      <c r="P943" s="85"/>
      <c r="Q943" s="85"/>
      <c r="R943" s="85"/>
      <c r="S943" s="85"/>
      <c r="T943" s="85"/>
      <c r="U943" s="85"/>
      <c r="V943" s="85"/>
      <c r="W943" s="85"/>
      <c r="X943" s="85"/>
      <c r="Y943" s="85"/>
      <c r="Z943" s="85"/>
      <c r="AA943" s="85"/>
      <c r="AB943" s="85"/>
      <c r="AC943" s="85"/>
      <c r="AD943" s="85"/>
      <c r="AE943" s="85"/>
      <c r="AF943" s="85"/>
      <c r="AG943" s="85"/>
    </row>
    <row r="944">
      <c r="A944" s="85"/>
      <c r="B944" s="85"/>
      <c r="C944" s="87"/>
      <c r="D944" s="87"/>
      <c r="E944" s="85"/>
      <c r="F944" s="85"/>
      <c r="G944" s="85"/>
      <c r="H944" s="85"/>
      <c r="I944" s="85"/>
      <c r="J944" s="85"/>
      <c r="K944" s="85"/>
      <c r="L944" s="85"/>
      <c r="M944" s="85"/>
      <c r="N944" s="85"/>
      <c r="O944" s="85"/>
      <c r="P944" s="85"/>
      <c r="Q944" s="85"/>
      <c r="R944" s="85"/>
      <c r="S944" s="85"/>
      <c r="T944" s="85"/>
      <c r="U944" s="85"/>
      <c r="V944" s="85"/>
      <c r="W944" s="85"/>
      <c r="X944" s="85"/>
      <c r="Y944" s="85"/>
      <c r="Z944" s="85"/>
      <c r="AA944" s="85"/>
      <c r="AB944" s="85"/>
      <c r="AC944" s="85"/>
      <c r="AD944" s="85"/>
      <c r="AE944" s="85"/>
      <c r="AF944" s="85"/>
      <c r="AG944" s="85"/>
    </row>
    <row r="945">
      <c r="A945" s="85"/>
      <c r="B945" s="85"/>
      <c r="C945" s="87"/>
      <c r="D945" s="87"/>
      <c r="E945" s="85"/>
      <c r="F945" s="85"/>
      <c r="G945" s="85"/>
      <c r="H945" s="85"/>
      <c r="I945" s="85"/>
      <c r="J945" s="85"/>
      <c r="K945" s="85"/>
      <c r="L945" s="85"/>
      <c r="M945" s="85"/>
      <c r="N945" s="85"/>
      <c r="O945" s="85"/>
      <c r="P945" s="85"/>
      <c r="Q945" s="85"/>
      <c r="R945" s="85"/>
      <c r="S945" s="85"/>
      <c r="T945" s="85"/>
      <c r="U945" s="85"/>
      <c r="V945" s="85"/>
      <c r="W945" s="85"/>
      <c r="X945" s="85"/>
      <c r="Y945" s="85"/>
      <c r="Z945" s="85"/>
      <c r="AA945" s="85"/>
      <c r="AB945" s="85"/>
      <c r="AC945" s="85"/>
      <c r="AD945" s="85"/>
      <c r="AE945" s="85"/>
      <c r="AF945" s="85"/>
      <c r="AG945" s="85"/>
    </row>
    <row r="946">
      <c r="A946" s="85"/>
      <c r="B946" s="85"/>
      <c r="C946" s="87"/>
      <c r="D946" s="87"/>
      <c r="E946" s="85"/>
      <c r="F946" s="85"/>
      <c r="G946" s="85"/>
      <c r="H946" s="85"/>
      <c r="I946" s="85"/>
      <c r="J946" s="85"/>
      <c r="K946" s="85"/>
      <c r="L946" s="85"/>
      <c r="M946" s="85"/>
      <c r="N946" s="85"/>
      <c r="O946" s="85"/>
      <c r="P946" s="85"/>
      <c r="Q946" s="85"/>
      <c r="R946" s="85"/>
      <c r="S946" s="85"/>
      <c r="T946" s="85"/>
      <c r="U946" s="85"/>
      <c r="V946" s="85"/>
      <c r="W946" s="85"/>
      <c r="X946" s="85"/>
      <c r="Y946" s="85"/>
      <c r="Z946" s="85"/>
      <c r="AA946" s="85"/>
      <c r="AB946" s="85"/>
      <c r="AC946" s="85"/>
      <c r="AD946" s="85"/>
      <c r="AE946" s="85"/>
      <c r="AF946" s="85"/>
      <c r="AG946" s="85"/>
    </row>
    <row r="947">
      <c r="A947" s="85"/>
      <c r="B947" s="85"/>
      <c r="C947" s="87"/>
      <c r="D947" s="87"/>
      <c r="E947" s="85"/>
      <c r="F947" s="85"/>
      <c r="G947" s="85"/>
      <c r="H947" s="85"/>
      <c r="I947" s="85"/>
      <c r="J947" s="85"/>
      <c r="K947" s="85"/>
      <c r="L947" s="85"/>
      <c r="M947" s="85"/>
      <c r="N947" s="85"/>
      <c r="O947" s="85"/>
      <c r="P947" s="85"/>
      <c r="Q947" s="85"/>
      <c r="R947" s="85"/>
      <c r="S947" s="85"/>
      <c r="T947" s="85"/>
      <c r="U947" s="85"/>
      <c r="V947" s="85"/>
      <c r="W947" s="85"/>
      <c r="X947" s="85"/>
      <c r="Y947" s="85"/>
      <c r="Z947" s="85"/>
      <c r="AA947" s="85"/>
      <c r="AB947" s="85"/>
      <c r="AC947" s="85"/>
      <c r="AD947" s="85"/>
      <c r="AE947" s="85"/>
      <c r="AF947" s="85"/>
      <c r="AG947" s="85"/>
    </row>
    <row r="948">
      <c r="A948" s="85"/>
      <c r="B948" s="85"/>
      <c r="C948" s="87"/>
      <c r="D948" s="87"/>
      <c r="E948" s="85"/>
      <c r="F948" s="85"/>
      <c r="G948" s="85"/>
      <c r="H948" s="85"/>
      <c r="I948" s="85"/>
      <c r="J948" s="85"/>
      <c r="K948" s="85"/>
      <c r="L948" s="85"/>
      <c r="M948" s="85"/>
      <c r="N948" s="85"/>
      <c r="O948" s="85"/>
      <c r="P948" s="85"/>
      <c r="Q948" s="85"/>
      <c r="R948" s="85"/>
      <c r="S948" s="85"/>
      <c r="T948" s="85"/>
      <c r="U948" s="85"/>
      <c r="V948" s="85"/>
      <c r="W948" s="85"/>
      <c r="X948" s="85"/>
      <c r="Y948" s="85"/>
      <c r="Z948" s="85"/>
      <c r="AA948" s="85"/>
      <c r="AB948" s="85"/>
      <c r="AC948" s="85"/>
      <c r="AD948" s="85"/>
      <c r="AE948" s="85"/>
      <c r="AF948" s="85"/>
      <c r="AG948" s="85"/>
    </row>
    <row r="949">
      <c r="A949" s="85"/>
      <c r="B949" s="85"/>
      <c r="C949" s="87"/>
      <c r="D949" s="87"/>
      <c r="E949" s="85"/>
      <c r="F949" s="85"/>
      <c r="G949" s="85"/>
      <c r="H949" s="85"/>
      <c r="I949" s="85"/>
      <c r="J949" s="85"/>
      <c r="K949" s="85"/>
      <c r="L949" s="85"/>
      <c r="M949" s="85"/>
      <c r="N949" s="85"/>
      <c r="O949" s="85"/>
      <c r="P949" s="85"/>
      <c r="Q949" s="85"/>
      <c r="R949" s="85"/>
      <c r="S949" s="85"/>
      <c r="T949" s="85"/>
      <c r="U949" s="85"/>
      <c r="V949" s="85"/>
      <c r="W949" s="85"/>
      <c r="X949" s="85"/>
      <c r="Y949" s="85"/>
      <c r="Z949" s="85"/>
      <c r="AA949" s="85"/>
      <c r="AB949" s="85"/>
      <c r="AC949" s="85"/>
      <c r="AD949" s="85"/>
      <c r="AE949" s="85"/>
      <c r="AF949" s="85"/>
      <c r="AG949" s="85"/>
    </row>
    <row r="950">
      <c r="A950" s="85"/>
      <c r="B950" s="85"/>
      <c r="C950" s="87"/>
      <c r="D950" s="87"/>
      <c r="E950" s="85"/>
      <c r="F950" s="85"/>
      <c r="G950" s="85"/>
      <c r="H950" s="85"/>
      <c r="I950" s="85"/>
      <c r="J950" s="85"/>
      <c r="K950" s="85"/>
      <c r="L950" s="85"/>
      <c r="M950" s="85"/>
      <c r="N950" s="85"/>
      <c r="O950" s="85"/>
      <c r="P950" s="85"/>
      <c r="Q950" s="85"/>
      <c r="R950" s="85"/>
      <c r="S950" s="85"/>
      <c r="T950" s="85"/>
      <c r="U950" s="85"/>
      <c r="V950" s="85"/>
      <c r="W950" s="85"/>
      <c r="X950" s="85"/>
      <c r="Y950" s="85"/>
      <c r="Z950" s="85"/>
      <c r="AA950" s="85"/>
      <c r="AB950" s="85"/>
      <c r="AC950" s="85"/>
      <c r="AD950" s="85"/>
      <c r="AE950" s="85"/>
      <c r="AF950" s="85"/>
      <c r="AG950" s="85"/>
    </row>
    <row r="951">
      <c r="A951" s="85"/>
      <c r="B951" s="85"/>
      <c r="C951" s="87"/>
      <c r="D951" s="87"/>
      <c r="E951" s="85"/>
      <c r="F951" s="85"/>
      <c r="G951" s="85"/>
      <c r="H951" s="85"/>
      <c r="I951" s="85"/>
      <c r="J951" s="85"/>
      <c r="K951" s="85"/>
      <c r="L951" s="85"/>
      <c r="M951" s="85"/>
      <c r="N951" s="85"/>
      <c r="O951" s="85"/>
      <c r="P951" s="85"/>
      <c r="Q951" s="85"/>
      <c r="R951" s="85"/>
      <c r="S951" s="85"/>
      <c r="T951" s="85"/>
      <c r="U951" s="85"/>
      <c r="V951" s="85"/>
      <c r="W951" s="85"/>
      <c r="X951" s="85"/>
      <c r="Y951" s="85"/>
      <c r="Z951" s="85"/>
      <c r="AA951" s="85"/>
      <c r="AB951" s="85"/>
      <c r="AC951" s="85"/>
      <c r="AD951" s="85"/>
      <c r="AE951" s="85"/>
      <c r="AF951" s="85"/>
      <c r="AG951" s="85"/>
    </row>
    <row r="952">
      <c r="A952" s="85"/>
      <c r="B952" s="85"/>
      <c r="C952" s="87"/>
      <c r="D952" s="87"/>
      <c r="E952" s="85"/>
      <c r="F952" s="85"/>
      <c r="G952" s="85"/>
      <c r="H952" s="85"/>
      <c r="I952" s="85"/>
      <c r="J952" s="85"/>
      <c r="K952" s="85"/>
      <c r="L952" s="85"/>
      <c r="M952" s="85"/>
      <c r="N952" s="85"/>
      <c r="O952" s="85"/>
      <c r="P952" s="85"/>
      <c r="Q952" s="85"/>
      <c r="R952" s="85"/>
      <c r="S952" s="85"/>
      <c r="T952" s="85"/>
      <c r="U952" s="85"/>
      <c r="V952" s="85"/>
      <c r="W952" s="85"/>
      <c r="X952" s="85"/>
      <c r="Y952" s="85"/>
      <c r="Z952" s="85"/>
      <c r="AA952" s="85"/>
      <c r="AB952" s="85"/>
      <c r="AC952" s="85"/>
      <c r="AD952" s="85"/>
      <c r="AE952" s="85"/>
      <c r="AF952" s="85"/>
      <c r="AG952" s="85"/>
    </row>
    <row r="953">
      <c r="A953" s="85"/>
      <c r="B953" s="85"/>
      <c r="C953" s="87"/>
      <c r="D953" s="87"/>
      <c r="E953" s="85"/>
      <c r="F953" s="85"/>
      <c r="G953" s="85"/>
      <c r="H953" s="85"/>
      <c r="I953" s="85"/>
      <c r="J953" s="85"/>
      <c r="K953" s="85"/>
      <c r="L953" s="85"/>
      <c r="M953" s="85"/>
      <c r="N953" s="85"/>
      <c r="O953" s="85"/>
      <c r="P953" s="85"/>
      <c r="Q953" s="85"/>
      <c r="R953" s="85"/>
      <c r="S953" s="85"/>
      <c r="T953" s="85"/>
      <c r="U953" s="85"/>
      <c r="V953" s="85"/>
      <c r="W953" s="85"/>
      <c r="X953" s="85"/>
      <c r="Y953" s="85"/>
      <c r="Z953" s="85"/>
      <c r="AA953" s="85"/>
      <c r="AB953" s="85"/>
      <c r="AC953" s="85"/>
      <c r="AD953" s="85"/>
      <c r="AE953" s="85"/>
      <c r="AF953" s="85"/>
      <c r="AG953" s="85"/>
    </row>
    <row r="954">
      <c r="A954" s="85"/>
      <c r="B954" s="85"/>
      <c r="C954" s="87"/>
      <c r="D954" s="87"/>
      <c r="E954" s="85"/>
      <c r="F954" s="85"/>
      <c r="G954" s="85"/>
      <c r="H954" s="85"/>
      <c r="I954" s="85"/>
      <c r="J954" s="85"/>
      <c r="K954" s="85"/>
      <c r="L954" s="85"/>
      <c r="M954" s="85"/>
      <c r="N954" s="85"/>
      <c r="O954" s="85"/>
      <c r="P954" s="85"/>
      <c r="Q954" s="85"/>
      <c r="R954" s="85"/>
      <c r="S954" s="85"/>
      <c r="T954" s="85"/>
      <c r="U954" s="85"/>
      <c r="V954" s="85"/>
      <c r="W954" s="85"/>
      <c r="X954" s="85"/>
      <c r="Y954" s="85"/>
      <c r="Z954" s="85"/>
      <c r="AA954" s="85"/>
      <c r="AB954" s="85"/>
      <c r="AC954" s="85"/>
      <c r="AD954" s="85"/>
      <c r="AE954" s="85"/>
      <c r="AF954" s="85"/>
      <c r="AG954" s="85"/>
    </row>
    <row r="955">
      <c r="A955" s="85"/>
      <c r="B955" s="85"/>
      <c r="C955" s="87"/>
      <c r="D955" s="87"/>
      <c r="E955" s="85"/>
      <c r="F955" s="85"/>
      <c r="G955" s="85"/>
      <c r="H955" s="85"/>
      <c r="I955" s="85"/>
      <c r="J955" s="85"/>
      <c r="K955" s="85"/>
      <c r="L955" s="85"/>
      <c r="M955" s="85"/>
      <c r="N955" s="85"/>
      <c r="O955" s="85"/>
      <c r="P955" s="85"/>
      <c r="Q955" s="85"/>
      <c r="R955" s="85"/>
      <c r="S955" s="85"/>
      <c r="T955" s="85"/>
      <c r="U955" s="85"/>
      <c r="V955" s="85"/>
      <c r="W955" s="85"/>
      <c r="X955" s="85"/>
      <c r="Y955" s="85"/>
      <c r="Z955" s="85"/>
      <c r="AA955" s="85"/>
      <c r="AB955" s="85"/>
      <c r="AC955" s="85"/>
      <c r="AD955" s="85"/>
      <c r="AE955" s="85"/>
      <c r="AF955" s="85"/>
      <c r="AG955" s="85"/>
    </row>
    <row r="956">
      <c r="A956" s="85"/>
      <c r="B956" s="85"/>
      <c r="C956" s="87"/>
      <c r="D956" s="87"/>
      <c r="E956" s="85"/>
      <c r="F956" s="85"/>
      <c r="G956" s="85"/>
      <c r="H956" s="85"/>
      <c r="I956" s="85"/>
      <c r="J956" s="85"/>
      <c r="K956" s="85"/>
      <c r="L956" s="85"/>
      <c r="M956" s="85"/>
      <c r="N956" s="85"/>
      <c r="O956" s="85"/>
      <c r="P956" s="85"/>
      <c r="Q956" s="85"/>
      <c r="R956" s="85"/>
      <c r="S956" s="85"/>
      <c r="T956" s="85"/>
      <c r="U956" s="85"/>
      <c r="V956" s="85"/>
      <c r="W956" s="85"/>
      <c r="X956" s="85"/>
      <c r="Y956" s="85"/>
      <c r="Z956" s="85"/>
      <c r="AA956" s="85"/>
      <c r="AB956" s="85"/>
      <c r="AC956" s="85"/>
      <c r="AD956" s="85"/>
      <c r="AE956" s="85"/>
      <c r="AF956" s="85"/>
      <c r="AG956" s="85"/>
    </row>
    <row r="957">
      <c r="A957" s="85"/>
      <c r="B957" s="85"/>
      <c r="C957" s="87"/>
      <c r="D957" s="87"/>
      <c r="E957" s="85"/>
      <c r="F957" s="85"/>
      <c r="G957" s="85"/>
      <c r="H957" s="85"/>
      <c r="I957" s="85"/>
      <c r="J957" s="85"/>
      <c r="K957" s="85"/>
      <c r="L957" s="85"/>
      <c r="M957" s="85"/>
      <c r="N957" s="85"/>
      <c r="O957" s="85"/>
      <c r="P957" s="85"/>
      <c r="Q957" s="85"/>
      <c r="R957" s="85"/>
      <c r="S957" s="85"/>
      <c r="T957" s="85"/>
      <c r="U957" s="85"/>
      <c r="V957" s="85"/>
      <c r="W957" s="85"/>
      <c r="X957" s="85"/>
      <c r="Y957" s="85"/>
      <c r="Z957" s="85"/>
      <c r="AA957" s="85"/>
      <c r="AB957" s="85"/>
      <c r="AC957" s="85"/>
      <c r="AD957" s="85"/>
      <c r="AE957" s="85"/>
      <c r="AF957" s="85"/>
      <c r="AG957" s="85"/>
    </row>
    <row r="958">
      <c r="A958" s="85"/>
      <c r="B958" s="85"/>
      <c r="C958" s="87"/>
      <c r="D958" s="87"/>
      <c r="E958" s="85"/>
      <c r="F958" s="85"/>
      <c r="G958" s="85"/>
      <c r="H958" s="85"/>
      <c r="I958" s="85"/>
      <c r="J958" s="85"/>
      <c r="K958" s="85"/>
      <c r="L958" s="85"/>
      <c r="M958" s="85"/>
      <c r="N958" s="85"/>
      <c r="O958" s="85"/>
      <c r="P958" s="85"/>
      <c r="Q958" s="85"/>
      <c r="R958" s="85"/>
      <c r="S958" s="85"/>
      <c r="T958" s="85"/>
      <c r="U958" s="85"/>
      <c r="V958" s="85"/>
      <c r="W958" s="85"/>
      <c r="X958" s="85"/>
      <c r="Y958" s="85"/>
      <c r="Z958" s="85"/>
      <c r="AA958" s="85"/>
      <c r="AB958" s="85"/>
      <c r="AC958" s="85"/>
      <c r="AD958" s="85"/>
      <c r="AE958" s="85"/>
      <c r="AF958" s="85"/>
      <c r="AG958" s="85"/>
    </row>
    <row r="959">
      <c r="A959" s="85"/>
      <c r="B959" s="85"/>
      <c r="C959" s="87"/>
      <c r="D959" s="87"/>
      <c r="E959" s="85"/>
      <c r="F959" s="85"/>
      <c r="G959" s="85"/>
      <c r="H959" s="85"/>
      <c r="I959" s="85"/>
      <c r="J959" s="85"/>
      <c r="K959" s="85"/>
      <c r="L959" s="85"/>
      <c r="M959" s="85"/>
      <c r="N959" s="85"/>
      <c r="O959" s="85"/>
      <c r="P959" s="85"/>
      <c r="Q959" s="85"/>
      <c r="R959" s="85"/>
      <c r="S959" s="85"/>
      <c r="T959" s="85"/>
      <c r="U959" s="85"/>
      <c r="V959" s="85"/>
      <c r="W959" s="85"/>
      <c r="X959" s="85"/>
      <c r="Y959" s="85"/>
      <c r="Z959" s="85"/>
      <c r="AA959" s="85"/>
      <c r="AB959" s="85"/>
      <c r="AC959" s="85"/>
      <c r="AD959" s="85"/>
      <c r="AE959" s="85"/>
      <c r="AF959" s="85"/>
      <c r="AG959" s="85"/>
    </row>
    <row r="960">
      <c r="A960" s="85"/>
      <c r="B960" s="85"/>
      <c r="C960" s="87"/>
      <c r="D960" s="87"/>
      <c r="E960" s="85"/>
      <c r="F960" s="85"/>
      <c r="G960" s="85"/>
      <c r="H960" s="85"/>
      <c r="I960" s="85"/>
      <c r="J960" s="85"/>
      <c r="K960" s="85"/>
      <c r="L960" s="85"/>
      <c r="M960" s="85"/>
      <c r="N960" s="85"/>
      <c r="O960" s="85"/>
      <c r="P960" s="85"/>
      <c r="Q960" s="85"/>
      <c r="R960" s="85"/>
      <c r="S960" s="85"/>
      <c r="T960" s="85"/>
      <c r="U960" s="85"/>
      <c r="V960" s="85"/>
      <c r="W960" s="85"/>
      <c r="X960" s="85"/>
      <c r="Y960" s="85"/>
      <c r="Z960" s="85"/>
      <c r="AA960" s="85"/>
      <c r="AB960" s="85"/>
      <c r="AC960" s="85"/>
      <c r="AD960" s="85"/>
      <c r="AE960" s="85"/>
      <c r="AF960" s="85"/>
      <c r="AG960" s="85"/>
    </row>
    <row r="961">
      <c r="A961" s="85"/>
      <c r="B961" s="85"/>
      <c r="C961" s="87"/>
      <c r="D961" s="87"/>
      <c r="E961" s="85"/>
      <c r="F961" s="85"/>
      <c r="G961" s="85"/>
      <c r="H961" s="85"/>
      <c r="I961" s="85"/>
      <c r="J961" s="85"/>
      <c r="K961" s="85"/>
      <c r="L961" s="85"/>
      <c r="M961" s="85"/>
      <c r="N961" s="85"/>
      <c r="O961" s="85"/>
      <c r="P961" s="85"/>
      <c r="Q961" s="85"/>
      <c r="R961" s="85"/>
      <c r="S961" s="85"/>
      <c r="T961" s="85"/>
      <c r="U961" s="85"/>
      <c r="V961" s="85"/>
      <c r="W961" s="85"/>
      <c r="X961" s="85"/>
      <c r="Y961" s="85"/>
      <c r="Z961" s="85"/>
      <c r="AA961" s="85"/>
      <c r="AB961" s="85"/>
      <c r="AC961" s="85"/>
      <c r="AD961" s="85"/>
      <c r="AE961" s="85"/>
      <c r="AF961" s="85"/>
      <c r="AG961" s="85"/>
    </row>
    <row r="962">
      <c r="A962" s="85"/>
      <c r="B962" s="85"/>
      <c r="C962" s="87"/>
      <c r="D962" s="87"/>
      <c r="E962" s="85"/>
      <c r="F962" s="85"/>
      <c r="G962" s="85"/>
      <c r="H962" s="85"/>
      <c r="I962" s="85"/>
      <c r="J962" s="85"/>
      <c r="K962" s="85"/>
      <c r="L962" s="85"/>
      <c r="M962" s="85"/>
      <c r="N962" s="85"/>
      <c r="O962" s="85"/>
      <c r="P962" s="85"/>
      <c r="Q962" s="85"/>
      <c r="R962" s="85"/>
      <c r="S962" s="85"/>
      <c r="T962" s="85"/>
      <c r="U962" s="85"/>
      <c r="V962" s="85"/>
      <c r="W962" s="85"/>
      <c r="X962" s="85"/>
      <c r="Y962" s="85"/>
      <c r="Z962" s="85"/>
      <c r="AA962" s="85"/>
      <c r="AB962" s="85"/>
      <c r="AC962" s="85"/>
      <c r="AD962" s="85"/>
      <c r="AE962" s="85"/>
      <c r="AF962" s="85"/>
      <c r="AG962" s="85"/>
    </row>
    <row r="963">
      <c r="A963" s="85"/>
      <c r="B963" s="85"/>
      <c r="C963" s="87"/>
      <c r="D963" s="87"/>
      <c r="E963" s="85"/>
      <c r="F963" s="85"/>
      <c r="G963" s="85"/>
      <c r="H963" s="85"/>
      <c r="I963" s="85"/>
      <c r="J963" s="85"/>
      <c r="K963" s="85"/>
      <c r="L963" s="85"/>
      <c r="M963" s="85"/>
      <c r="N963" s="85"/>
      <c r="O963" s="85"/>
      <c r="P963" s="85"/>
      <c r="Q963" s="85"/>
      <c r="R963" s="85"/>
      <c r="S963" s="85"/>
      <c r="T963" s="85"/>
      <c r="U963" s="85"/>
      <c r="V963" s="85"/>
      <c r="W963" s="85"/>
      <c r="X963" s="85"/>
      <c r="Y963" s="85"/>
      <c r="Z963" s="85"/>
      <c r="AA963" s="85"/>
      <c r="AB963" s="85"/>
      <c r="AC963" s="85"/>
      <c r="AD963" s="85"/>
      <c r="AE963" s="85"/>
      <c r="AF963" s="85"/>
      <c r="AG963" s="85"/>
    </row>
    <row r="964">
      <c r="A964" s="85"/>
      <c r="B964" s="85"/>
      <c r="C964" s="87"/>
      <c r="D964" s="87"/>
      <c r="E964" s="85"/>
      <c r="F964" s="85"/>
      <c r="G964" s="85"/>
      <c r="H964" s="85"/>
      <c r="I964" s="85"/>
      <c r="J964" s="85"/>
      <c r="K964" s="85"/>
      <c r="L964" s="85"/>
      <c r="M964" s="85"/>
      <c r="N964" s="85"/>
      <c r="O964" s="85"/>
      <c r="P964" s="85"/>
      <c r="Q964" s="85"/>
      <c r="R964" s="85"/>
      <c r="S964" s="85"/>
      <c r="T964" s="85"/>
      <c r="U964" s="85"/>
      <c r="V964" s="85"/>
      <c r="W964" s="85"/>
      <c r="X964" s="85"/>
      <c r="Y964" s="85"/>
      <c r="Z964" s="85"/>
      <c r="AA964" s="85"/>
      <c r="AB964" s="85"/>
      <c r="AC964" s="85"/>
      <c r="AD964" s="85"/>
      <c r="AE964" s="85"/>
      <c r="AF964" s="85"/>
      <c r="AG964" s="85"/>
    </row>
    <row r="965">
      <c r="A965" s="85"/>
      <c r="B965" s="85"/>
      <c r="C965" s="87"/>
      <c r="D965" s="87"/>
      <c r="E965" s="85"/>
      <c r="F965" s="85"/>
      <c r="G965" s="85"/>
      <c r="H965" s="85"/>
      <c r="I965" s="85"/>
      <c r="J965" s="85"/>
      <c r="K965" s="85"/>
      <c r="L965" s="85"/>
      <c r="M965" s="85"/>
      <c r="N965" s="85"/>
      <c r="O965" s="85"/>
      <c r="P965" s="85"/>
      <c r="Q965" s="85"/>
      <c r="R965" s="85"/>
      <c r="S965" s="85"/>
      <c r="T965" s="85"/>
      <c r="U965" s="85"/>
      <c r="V965" s="85"/>
      <c r="W965" s="85"/>
      <c r="X965" s="85"/>
      <c r="Y965" s="85"/>
      <c r="Z965" s="85"/>
      <c r="AA965" s="85"/>
      <c r="AB965" s="85"/>
      <c r="AC965" s="85"/>
      <c r="AD965" s="85"/>
      <c r="AE965" s="85"/>
      <c r="AF965" s="85"/>
      <c r="AG965" s="85"/>
    </row>
    <row r="966">
      <c r="A966" s="85"/>
      <c r="B966" s="85"/>
      <c r="C966" s="87"/>
      <c r="D966" s="87"/>
      <c r="E966" s="85"/>
      <c r="F966" s="85"/>
      <c r="G966" s="85"/>
      <c r="H966" s="85"/>
      <c r="I966" s="85"/>
      <c r="J966" s="85"/>
      <c r="K966" s="85"/>
      <c r="L966" s="85"/>
      <c r="M966" s="85"/>
      <c r="N966" s="85"/>
      <c r="O966" s="85"/>
      <c r="P966" s="85"/>
      <c r="Q966" s="85"/>
      <c r="R966" s="85"/>
      <c r="S966" s="85"/>
      <c r="T966" s="85"/>
      <c r="U966" s="85"/>
      <c r="V966" s="85"/>
      <c r="W966" s="85"/>
      <c r="X966" s="85"/>
      <c r="Y966" s="85"/>
      <c r="Z966" s="85"/>
      <c r="AA966" s="85"/>
      <c r="AB966" s="85"/>
      <c r="AC966" s="85"/>
      <c r="AD966" s="85"/>
      <c r="AE966" s="85"/>
      <c r="AF966" s="85"/>
      <c r="AG966" s="85"/>
    </row>
    <row r="967">
      <c r="A967" s="85"/>
      <c r="B967" s="85"/>
      <c r="C967" s="87"/>
      <c r="D967" s="87"/>
      <c r="E967" s="85"/>
      <c r="F967" s="85"/>
      <c r="G967" s="85"/>
      <c r="H967" s="85"/>
      <c r="I967" s="85"/>
      <c r="J967" s="85"/>
      <c r="K967" s="85"/>
      <c r="L967" s="85"/>
      <c r="M967" s="85"/>
      <c r="N967" s="85"/>
      <c r="O967" s="85"/>
      <c r="P967" s="85"/>
      <c r="Q967" s="85"/>
      <c r="R967" s="85"/>
      <c r="S967" s="85"/>
      <c r="T967" s="85"/>
      <c r="U967" s="85"/>
      <c r="V967" s="85"/>
      <c r="W967" s="85"/>
      <c r="X967" s="85"/>
      <c r="Y967" s="85"/>
      <c r="Z967" s="85"/>
      <c r="AA967" s="85"/>
      <c r="AB967" s="85"/>
      <c r="AC967" s="85"/>
      <c r="AD967" s="85"/>
      <c r="AE967" s="85"/>
      <c r="AF967" s="85"/>
      <c r="AG967" s="85"/>
    </row>
    <row r="968">
      <c r="A968" s="85"/>
      <c r="B968" s="85"/>
      <c r="C968" s="87"/>
      <c r="D968" s="87"/>
      <c r="E968" s="85"/>
      <c r="F968" s="85"/>
      <c r="G968" s="85"/>
      <c r="H968" s="85"/>
      <c r="I968" s="85"/>
      <c r="J968" s="85"/>
      <c r="K968" s="85"/>
      <c r="L968" s="85"/>
      <c r="M968" s="85"/>
      <c r="N968" s="85"/>
      <c r="O968" s="85"/>
      <c r="P968" s="85"/>
      <c r="Q968" s="85"/>
      <c r="R968" s="85"/>
      <c r="S968" s="85"/>
      <c r="T968" s="85"/>
      <c r="U968" s="85"/>
      <c r="V968" s="85"/>
      <c r="W968" s="85"/>
      <c r="X968" s="85"/>
      <c r="Y968" s="85"/>
      <c r="Z968" s="85"/>
      <c r="AA968" s="85"/>
      <c r="AB968" s="85"/>
      <c r="AC968" s="85"/>
      <c r="AD968" s="85"/>
      <c r="AE968" s="85"/>
      <c r="AF968" s="85"/>
      <c r="AG968" s="85"/>
    </row>
    <row r="969">
      <c r="A969" s="85"/>
      <c r="B969" s="85"/>
      <c r="C969" s="87"/>
      <c r="D969" s="87"/>
      <c r="E969" s="85"/>
      <c r="F969" s="85"/>
      <c r="G969" s="85"/>
      <c r="H969" s="85"/>
      <c r="I969" s="85"/>
      <c r="J969" s="85"/>
      <c r="K969" s="85"/>
      <c r="L969" s="85"/>
      <c r="M969" s="85"/>
      <c r="N969" s="85"/>
      <c r="O969" s="85"/>
      <c r="P969" s="85"/>
      <c r="Q969" s="85"/>
      <c r="R969" s="85"/>
      <c r="S969" s="85"/>
      <c r="T969" s="85"/>
      <c r="U969" s="85"/>
      <c r="V969" s="85"/>
      <c r="W969" s="85"/>
      <c r="X969" s="85"/>
      <c r="Y969" s="85"/>
      <c r="Z969" s="85"/>
      <c r="AA969" s="85"/>
      <c r="AB969" s="85"/>
      <c r="AC969" s="85"/>
      <c r="AD969" s="85"/>
      <c r="AE969" s="85"/>
      <c r="AF969" s="85"/>
      <c r="AG969" s="85"/>
    </row>
    <row r="970">
      <c r="A970" s="85"/>
      <c r="B970" s="85"/>
      <c r="C970" s="87"/>
      <c r="D970" s="87"/>
      <c r="E970" s="85"/>
      <c r="F970" s="85"/>
      <c r="G970" s="85"/>
      <c r="H970" s="85"/>
      <c r="I970" s="85"/>
      <c r="J970" s="85"/>
      <c r="K970" s="85"/>
      <c r="L970" s="85"/>
      <c r="M970" s="85"/>
      <c r="N970" s="85"/>
      <c r="O970" s="85"/>
      <c r="P970" s="85"/>
      <c r="Q970" s="85"/>
      <c r="R970" s="85"/>
      <c r="S970" s="85"/>
      <c r="T970" s="85"/>
      <c r="U970" s="85"/>
      <c r="V970" s="85"/>
      <c r="W970" s="85"/>
      <c r="X970" s="85"/>
      <c r="Y970" s="85"/>
      <c r="Z970" s="85"/>
      <c r="AA970" s="85"/>
      <c r="AB970" s="85"/>
      <c r="AC970" s="85"/>
      <c r="AD970" s="85"/>
      <c r="AE970" s="85"/>
      <c r="AF970" s="85"/>
      <c r="AG970" s="85"/>
    </row>
    <row r="971">
      <c r="A971" s="85"/>
      <c r="B971" s="85"/>
      <c r="C971" s="87"/>
      <c r="D971" s="87"/>
      <c r="E971" s="85"/>
      <c r="F971" s="85"/>
      <c r="G971" s="85"/>
      <c r="H971" s="85"/>
      <c r="I971" s="85"/>
      <c r="J971" s="85"/>
      <c r="K971" s="85"/>
      <c r="L971" s="85"/>
      <c r="M971" s="85"/>
      <c r="N971" s="85"/>
      <c r="O971" s="85"/>
      <c r="P971" s="85"/>
      <c r="Q971" s="85"/>
      <c r="R971" s="85"/>
      <c r="S971" s="85"/>
      <c r="T971" s="85"/>
      <c r="U971" s="85"/>
      <c r="V971" s="85"/>
      <c r="W971" s="85"/>
      <c r="X971" s="85"/>
      <c r="Y971" s="85"/>
      <c r="Z971" s="85"/>
      <c r="AA971" s="85"/>
      <c r="AB971" s="85"/>
      <c r="AC971" s="85"/>
      <c r="AD971" s="85"/>
      <c r="AE971" s="85"/>
      <c r="AF971" s="85"/>
      <c r="AG971" s="85"/>
    </row>
    <row r="972">
      <c r="A972" s="85"/>
      <c r="B972" s="85"/>
      <c r="C972" s="87"/>
      <c r="D972" s="87"/>
      <c r="E972" s="85"/>
      <c r="F972" s="85"/>
      <c r="G972" s="85"/>
      <c r="H972" s="85"/>
      <c r="I972" s="85"/>
      <c r="J972" s="85"/>
      <c r="K972" s="85"/>
      <c r="L972" s="85"/>
      <c r="M972" s="85"/>
      <c r="N972" s="85"/>
      <c r="O972" s="85"/>
      <c r="P972" s="85"/>
      <c r="Q972" s="85"/>
      <c r="R972" s="85"/>
      <c r="S972" s="85"/>
      <c r="T972" s="85"/>
      <c r="U972" s="85"/>
      <c r="V972" s="85"/>
      <c r="W972" s="85"/>
      <c r="X972" s="85"/>
      <c r="Y972" s="85"/>
      <c r="Z972" s="85"/>
      <c r="AA972" s="85"/>
      <c r="AB972" s="85"/>
      <c r="AC972" s="85"/>
      <c r="AD972" s="85"/>
      <c r="AE972" s="85"/>
      <c r="AF972" s="85"/>
      <c r="AG972" s="85"/>
    </row>
    <row r="973">
      <c r="A973" s="85"/>
      <c r="B973" s="85"/>
      <c r="C973" s="87"/>
      <c r="D973" s="87"/>
      <c r="E973" s="85"/>
      <c r="F973" s="85"/>
      <c r="G973" s="85"/>
      <c r="H973" s="85"/>
      <c r="I973" s="85"/>
      <c r="J973" s="85"/>
      <c r="K973" s="85"/>
      <c r="L973" s="85"/>
      <c r="M973" s="85"/>
      <c r="N973" s="85"/>
      <c r="O973" s="85"/>
      <c r="P973" s="85"/>
      <c r="Q973" s="85"/>
      <c r="R973" s="85"/>
      <c r="S973" s="85"/>
      <c r="T973" s="85"/>
      <c r="U973" s="85"/>
      <c r="V973" s="85"/>
      <c r="W973" s="85"/>
      <c r="X973" s="85"/>
      <c r="Y973" s="85"/>
      <c r="Z973" s="85"/>
      <c r="AA973" s="85"/>
      <c r="AB973" s="85"/>
      <c r="AC973" s="85"/>
      <c r="AD973" s="85"/>
      <c r="AE973" s="85"/>
      <c r="AF973" s="85"/>
      <c r="AG973" s="85"/>
    </row>
    <row r="974">
      <c r="A974" s="85"/>
      <c r="B974" s="85"/>
      <c r="C974" s="87"/>
      <c r="D974" s="87"/>
      <c r="E974" s="85"/>
      <c r="F974" s="85"/>
      <c r="G974" s="85"/>
      <c r="H974" s="85"/>
      <c r="I974" s="85"/>
      <c r="J974" s="85"/>
      <c r="K974" s="85"/>
      <c r="L974" s="85"/>
      <c r="M974" s="85"/>
      <c r="N974" s="85"/>
      <c r="O974" s="85"/>
      <c r="P974" s="85"/>
      <c r="Q974" s="85"/>
      <c r="R974" s="85"/>
      <c r="S974" s="85"/>
      <c r="T974" s="85"/>
      <c r="U974" s="85"/>
      <c r="V974" s="85"/>
      <c r="W974" s="85"/>
      <c r="X974" s="85"/>
      <c r="Y974" s="85"/>
      <c r="Z974" s="85"/>
      <c r="AA974" s="85"/>
      <c r="AB974" s="85"/>
      <c r="AC974" s="85"/>
      <c r="AD974" s="85"/>
      <c r="AE974" s="85"/>
      <c r="AF974" s="85"/>
      <c r="AG974" s="85"/>
    </row>
    <row r="975">
      <c r="A975" s="85"/>
      <c r="B975" s="85"/>
      <c r="C975" s="87"/>
      <c r="D975" s="87"/>
      <c r="E975" s="85"/>
      <c r="F975" s="85"/>
      <c r="G975" s="85"/>
      <c r="H975" s="85"/>
      <c r="I975" s="85"/>
      <c r="J975" s="85"/>
      <c r="K975" s="85"/>
      <c r="L975" s="85"/>
      <c r="M975" s="85"/>
      <c r="N975" s="85"/>
      <c r="O975" s="85"/>
      <c r="P975" s="85"/>
      <c r="Q975" s="85"/>
      <c r="R975" s="85"/>
      <c r="S975" s="85"/>
      <c r="T975" s="85"/>
      <c r="U975" s="85"/>
      <c r="V975" s="85"/>
      <c r="W975" s="85"/>
      <c r="X975" s="85"/>
      <c r="Y975" s="85"/>
      <c r="Z975" s="85"/>
      <c r="AA975" s="85"/>
      <c r="AB975" s="85"/>
      <c r="AC975" s="85"/>
      <c r="AD975" s="85"/>
      <c r="AE975" s="85"/>
      <c r="AF975" s="85"/>
      <c r="AG975" s="85"/>
    </row>
    <row r="976">
      <c r="A976" s="85"/>
      <c r="B976" s="85"/>
      <c r="C976" s="87"/>
      <c r="D976" s="87"/>
      <c r="E976" s="85"/>
      <c r="F976" s="85"/>
      <c r="G976" s="85"/>
      <c r="H976" s="85"/>
      <c r="I976" s="85"/>
      <c r="J976" s="85"/>
      <c r="K976" s="85"/>
      <c r="L976" s="85"/>
      <c r="M976" s="85"/>
      <c r="N976" s="85"/>
      <c r="O976" s="85"/>
      <c r="P976" s="85"/>
      <c r="Q976" s="85"/>
      <c r="R976" s="85"/>
      <c r="S976" s="85"/>
      <c r="T976" s="85"/>
      <c r="U976" s="85"/>
      <c r="V976" s="85"/>
      <c r="W976" s="85"/>
      <c r="X976" s="85"/>
      <c r="Y976" s="85"/>
      <c r="Z976" s="85"/>
      <c r="AA976" s="85"/>
      <c r="AB976" s="85"/>
      <c r="AC976" s="85"/>
      <c r="AD976" s="85"/>
      <c r="AE976" s="85"/>
      <c r="AF976" s="85"/>
      <c r="AG976" s="85"/>
    </row>
    <row r="977">
      <c r="A977" s="85"/>
      <c r="B977" s="85"/>
      <c r="C977" s="87"/>
      <c r="D977" s="87"/>
      <c r="E977" s="85"/>
      <c r="F977" s="85"/>
      <c r="G977" s="85"/>
      <c r="H977" s="85"/>
      <c r="I977" s="85"/>
      <c r="J977" s="85"/>
      <c r="K977" s="85"/>
      <c r="L977" s="85"/>
      <c r="M977" s="85"/>
      <c r="N977" s="85"/>
      <c r="O977" s="85"/>
      <c r="P977" s="85"/>
      <c r="Q977" s="85"/>
      <c r="R977" s="85"/>
      <c r="S977" s="85"/>
      <c r="T977" s="85"/>
      <c r="U977" s="85"/>
      <c r="V977" s="85"/>
      <c r="W977" s="85"/>
      <c r="X977" s="85"/>
      <c r="Y977" s="85"/>
      <c r="Z977" s="85"/>
      <c r="AA977" s="85"/>
      <c r="AB977" s="85"/>
      <c r="AC977" s="85"/>
      <c r="AD977" s="85"/>
      <c r="AE977" s="85"/>
      <c r="AF977" s="85"/>
      <c r="AG977" s="85"/>
    </row>
    <row r="978">
      <c r="A978" s="85"/>
      <c r="B978" s="85"/>
      <c r="C978" s="87"/>
      <c r="D978" s="87"/>
      <c r="E978" s="85"/>
      <c r="F978" s="85"/>
      <c r="G978" s="85"/>
      <c r="H978" s="85"/>
      <c r="I978" s="85"/>
      <c r="J978" s="85"/>
      <c r="K978" s="85"/>
      <c r="L978" s="85"/>
      <c r="M978" s="85"/>
      <c r="N978" s="85"/>
      <c r="O978" s="85"/>
      <c r="P978" s="85"/>
      <c r="Q978" s="85"/>
      <c r="R978" s="85"/>
      <c r="S978" s="85"/>
      <c r="T978" s="85"/>
      <c r="U978" s="85"/>
      <c r="V978" s="85"/>
      <c r="W978" s="85"/>
      <c r="X978" s="85"/>
      <c r="Y978" s="85"/>
      <c r="Z978" s="85"/>
      <c r="AA978" s="85"/>
      <c r="AB978" s="85"/>
      <c r="AC978" s="85"/>
      <c r="AD978" s="85"/>
      <c r="AE978" s="85"/>
      <c r="AF978" s="85"/>
      <c r="AG978" s="85"/>
    </row>
    <row r="979">
      <c r="A979" s="85"/>
      <c r="B979" s="85"/>
      <c r="C979" s="87"/>
      <c r="D979" s="87"/>
      <c r="E979" s="85"/>
      <c r="F979" s="85"/>
      <c r="G979" s="85"/>
      <c r="H979" s="85"/>
      <c r="I979" s="85"/>
      <c r="J979" s="85"/>
      <c r="K979" s="85"/>
      <c r="L979" s="85"/>
      <c r="M979" s="85"/>
      <c r="N979" s="85"/>
      <c r="O979" s="85"/>
      <c r="P979" s="85"/>
      <c r="Q979" s="85"/>
      <c r="R979" s="85"/>
      <c r="S979" s="85"/>
      <c r="T979" s="85"/>
      <c r="U979" s="85"/>
      <c r="V979" s="85"/>
      <c r="W979" s="85"/>
      <c r="X979" s="85"/>
      <c r="Y979" s="85"/>
      <c r="Z979" s="85"/>
      <c r="AA979" s="85"/>
      <c r="AB979" s="85"/>
      <c r="AC979" s="85"/>
      <c r="AD979" s="85"/>
      <c r="AE979" s="85"/>
      <c r="AF979" s="85"/>
      <c r="AG979" s="85"/>
    </row>
    <row r="980">
      <c r="A980" s="85"/>
      <c r="B980" s="85"/>
      <c r="C980" s="87"/>
      <c r="D980" s="87"/>
      <c r="E980" s="85"/>
      <c r="F980" s="85"/>
      <c r="G980" s="85"/>
      <c r="H980" s="85"/>
      <c r="I980" s="85"/>
      <c r="J980" s="85"/>
      <c r="K980" s="85"/>
      <c r="L980" s="85"/>
      <c r="M980" s="85"/>
      <c r="N980" s="85"/>
      <c r="O980" s="85"/>
      <c r="P980" s="85"/>
      <c r="Q980" s="85"/>
      <c r="R980" s="85"/>
      <c r="S980" s="85"/>
      <c r="T980" s="85"/>
      <c r="U980" s="85"/>
      <c r="V980" s="85"/>
      <c r="W980" s="85"/>
      <c r="X980" s="85"/>
      <c r="Y980" s="85"/>
      <c r="Z980" s="85"/>
      <c r="AA980" s="85"/>
      <c r="AB980" s="85"/>
      <c r="AC980" s="85"/>
      <c r="AD980" s="85"/>
      <c r="AE980" s="85"/>
      <c r="AF980" s="85"/>
      <c r="AG980" s="85"/>
    </row>
    <row r="981">
      <c r="A981" s="85"/>
      <c r="B981" s="85"/>
      <c r="C981" s="87"/>
      <c r="D981" s="87"/>
      <c r="E981" s="85"/>
      <c r="F981" s="85"/>
      <c r="G981" s="85"/>
      <c r="H981" s="85"/>
      <c r="I981" s="85"/>
      <c r="J981" s="85"/>
      <c r="K981" s="85"/>
      <c r="L981" s="85"/>
      <c r="M981" s="85"/>
      <c r="N981" s="85"/>
      <c r="O981" s="85"/>
      <c r="P981" s="85"/>
      <c r="Q981" s="85"/>
      <c r="R981" s="85"/>
      <c r="S981" s="85"/>
      <c r="T981" s="85"/>
      <c r="U981" s="85"/>
      <c r="V981" s="85"/>
      <c r="W981" s="85"/>
      <c r="X981" s="85"/>
      <c r="Y981" s="85"/>
      <c r="Z981" s="85"/>
      <c r="AA981" s="85"/>
      <c r="AB981" s="85"/>
      <c r="AC981" s="85"/>
      <c r="AD981" s="85"/>
      <c r="AE981" s="85"/>
      <c r="AF981" s="85"/>
      <c r="AG981" s="85"/>
    </row>
    <row r="982">
      <c r="A982" s="85"/>
      <c r="B982" s="85"/>
      <c r="C982" s="87"/>
      <c r="D982" s="87"/>
      <c r="E982" s="85"/>
      <c r="F982" s="85"/>
      <c r="G982" s="85"/>
      <c r="H982" s="85"/>
      <c r="I982" s="85"/>
      <c r="J982" s="85"/>
      <c r="K982" s="85"/>
      <c r="L982" s="85"/>
      <c r="M982" s="85"/>
      <c r="N982" s="85"/>
      <c r="O982" s="85"/>
      <c r="P982" s="85"/>
      <c r="Q982" s="85"/>
      <c r="R982" s="85"/>
      <c r="S982" s="85"/>
      <c r="T982" s="85"/>
      <c r="U982" s="85"/>
      <c r="V982" s="85"/>
      <c r="W982" s="85"/>
      <c r="X982" s="85"/>
      <c r="Y982" s="85"/>
      <c r="Z982" s="85"/>
      <c r="AA982" s="85"/>
      <c r="AB982" s="85"/>
      <c r="AC982" s="85"/>
      <c r="AD982" s="85"/>
      <c r="AE982" s="85"/>
      <c r="AF982" s="85"/>
      <c r="AG982" s="85"/>
    </row>
    <row r="983">
      <c r="A983" s="85"/>
      <c r="B983" s="85"/>
      <c r="C983" s="87"/>
      <c r="D983" s="87"/>
      <c r="E983" s="85"/>
      <c r="F983" s="85"/>
      <c r="G983" s="85"/>
      <c r="H983" s="85"/>
      <c r="I983" s="85"/>
      <c r="J983" s="85"/>
      <c r="K983" s="85"/>
      <c r="L983" s="85"/>
      <c r="M983" s="85"/>
      <c r="N983" s="85"/>
      <c r="O983" s="85"/>
      <c r="P983" s="85"/>
      <c r="Q983" s="85"/>
      <c r="R983" s="85"/>
      <c r="S983" s="85"/>
      <c r="T983" s="85"/>
      <c r="U983" s="85"/>
      <c r="V983" s="85"/>
      <c r="W983" s="85"/>
      <c r="X983" s="85"/>
      <c r="Y983" s="85"/>
      <c r="Z983" s="85"/>
      <c r="AA983" s="85"/>
      <c r="AB983" s="85"/>
      <c r="AC983" s="85"/>
      <c r="AD983" s="85"/>
      <c r="AE983" s="85"/>
      <c r="AF983" s="85"/>
      <c r="AG983" s="85"/>
    </row>
    <row r="984">
      <c r="A984" s="85"/>
      <c r="B984" s="85"/>
      <c r="C984" s="87"/>
      <c r="D984" s="87"/>
      <c r="E984" s="85"/>
      <c r="F984" s="85"/>
      <c r="G984" s="85"/>
      <c r="H984" s="85"/>
      <c r="I984" s="85"/>
      <c r="J984" s="85"/>
      <c r="K984" s="85"/>
      <c r="L984" s="85"/>
      <c r="M984" s="85"/>
      <c r="N984" s="85"/>
      <c r="O984" s="85"/>
      <c r="P984" s="85"/>
      <c r="Q984" s="85"/>
      <c r="R984" s="85"/>
      <c r="S984" s="85"/>
      <c r="T984" s="85"/>
      <c r="U984" s="85"/>
      <c r="V984" s="85"/>
      <c r="W984" s="85"/>
      <c r="X984" s="85"/>
      <c r="Y984" s="85"/>
      <c r="Z984" s="85"/>
      <c r="AA984" s="85"/>
      <c r="AB984" s="85"/>
      <c r="AC984" s="85"/>
      <c r="AD984" s="85"/>
      <c r="AE984" s="85"/>
      <c r="AF984" s="85"/>
      <c r="AG984" s="85"/>
    </row>
    <row r="985">
      <c r="A985" s="85"/>
      <c r="B985" s="85"/>
      <c r="C985" s="87"/>
      <c r="D985" s="87"/>
      <c r="E985" s="85"/>
      <c r="F985" s="85"/>
      <c r="G985" s="85"/>
      <c r="H985" s="85"/>
      <c r="I985" s="85"/>
      <c r="J985" s="85"/>
      <c r="K985" s="85"/>
      <c r="L985" s="85"/>
      <c r="M985" s="85"/>
      <c r="N985" s="85"/>
      <c r="O985" s="85"/>
      <c r="P985" s="85"/>
      <c r="Q985" s="85"/>
      <c r="R985" s="85"/>
      <c r="S985" s="85"/>
      <c r="T985" s="85"/>
      <c r="U985" s="85"/>
      <c r="V985" s="85"/>
      <c r="W985" s="85"/>
      <c r="X985" s="85"/>
      <c r="Y985" s="85"/>
      <c r="Z985" s="85"/>
      <c r="AA985" s="85"/>
      <c r="AB985" s="85"/>
      <c r="AC985" s="85"/>
      <c r="AD985" s="85"/>
      <c r="AE985" s="85"/>
      <c r="AF985" s="85"/>
      <c r="AG985" s="85"/>
    </row>
    <row r="986">
      <c r="A986" s="85"/>
      <c r="B986" s="85"/>
      <c r="C986" s="87"/>
      <c r="D986" s="87"/>
      <c r="E986" s="85"/>
      <c r="F986" s="85"/>
      <c r="G986" s="85"/>
      <c r="H986" s="85"/>
      <c r="I986" s="85"/>
      <c r="J986" s="85"/>
      <c r="K986" s="85"/>
      <c r="L986" s="85"/>
      <c r="M986" s="85"/>
      <c r="N986" s="85"/>
      <c r="O986" s="85"/>
      <c r="P986" s="85"/>
      <c r="Q986" s="85"/>
      <c r="R986" s="85"/>
      <c r="S986" s="85"/>
      <c r="T986" s="85"/>
      <c r="U986" s="85"/>
      <c r="V986" s="85"/>
      <c r="W986" s="85"/>
      <c r="X986" s="85"/>
      <c r="Y986" s="85"/>
      <c r="Z986" s="85"/>
      <c r="AA986" s="85"/>
      <c r="AB986" s="85"/>
      <c r="AC986" s="85"/>
      <c r="AD986" s="85"/>
      <c r="AE986" s="85"/>
      <c r="AF986" s="85"/>
      <c r="AG986" s="85"/>
    </row>
    <row r="987">
      <c r="A987" s="85"/>
      <c r="B987" s="85"/>
      <c r="C987" s="87"/>
      <c r="D987" s="87"/>
      <c r="E987" s="85"/>
      <c r="F987" s="85"/>
      <c r="G987" s="85"/>
      <c r="H987" s="85"/>
      <c r="I987" s="85"/>
      <c r="J987" s="85"/>
      <c r="K987" s="85"/>
      <c r="L987" s="85"/>
      <c r="M987" s="85"/>
      <c r="N987" s="85"/>
      <c r="O987" s="85"/>
      <c r="P987" s="85"/>
      <c r="Q987" s="85"/>
      <c r="R987" s="85"/>
      <c r="S987" s="85"/>
      <c r="T987" s="85"/>
      <c r="U987" s="85"/>
      <c r="V987" s="85"/>
      <c r="W987" s="85"/>
      <c r="X987" s="85"/>
      <c r="Y987" s="85"/>
      <c r="Z987" s="85"/>
      <c r="AA987" s="85"/>
      <c r="AB987" s="85"/>
      <c r="AC987" s="85"/>
      <c r="AD987" s="85"/>
      <c r="AE987" s="85"/>
      <c r="AF987" s="85"/>
      <c r="AG987" s="85"/>
    </row>
    <row r="988">
      <c r="A988" s="85"/>
      <c r="B988" s="85"/>
      <c r="C988" s="87"/>
      <c r="D988" s="87"/>
      <c r="E988" s="85"/>
      <c r="F988" s="85"/>
      <c r="G988" s="85"/>
      <c r="H988" s="85"/>
      <c r="I988" s="85"/>
      <c r="J988" s="85"/>
      <c r="K988" s="85"/>
      <c r="L988" s="85"/>
      <c r="M988" s="85"/>
      <c r="N988" s="85"/>
      <c r="O988" s="85"/>
      <c r="P988" s="85"/>
      <c r="Q988" s="85"/>
      <c r="R988" s="85"/>
      <c r="S988" s="85"/>
      <c r="T988" s="85"/>
      <c r="U988" s="85"/>
      <c r="V988" s="85"/>
      <c r="W988" s="85"/>
      <c r="X988" s="85"/>
      <c r="Y988" s="85"/>
      <c r="Z988" s="85"/>
      <c r="AA988" s="85"/>
      <c r="AB988" s="85"/>
      <c r="AC988" s="85"/>
      <c r="AD988" s="85"/>
      <c r="AE988" s="85"/>
      <c r="AF988" s="85"/>
      <c r="AG988" s="85"/>
    </row>
    <row r="989">
      <c r="A989" s="85"/>
      <c r="B989" s="85"/>
      <c r="C989" s="87"/>
      <c r="D989" s="87"/>
      <c r="E989" s="85"/>
      <c r="F989" s="85"/>
      <c r="G989" s="85"/>
      <c r="H989" s="85"/>
      <c r="I989" s="85"/>
      <c r="J989" s="85"/>
      <c r="K989" s="85"/>
      <c r="L989" s="85"/>
      <c r="M989" s="85"/>
      <c r="N989" s="85"/>
      <c r="O989" s="85"/>
      <c r="P989" s="85"/>
      <c r="Q989" s="85"/>
      <c r="R989" s="85"/>
      <c r="S989" s="85"/>
      <c r="T989" s="85"/>
      <c r="U989" s="85"/>
      <c r="V989" s="85"/>
      <c r="W989" s="85"/>
      <c r="X989" s="85"/>
      <c r="Y989" s="85"/>
      <c r="Z989" s="85"/>
      <c r="AA989" s="85"/>
      <c r="AB989" s="85"/>
      <c r="AC989" s="85"/>
      <c r="AD989" s="85"/>
      <c r="AE989" s="85"/>
      <c r="AF989" s="85"/>
      <c r="AG989" s="85"/>
    </row>
    <row r="990">
      <c r="A990" s="85"/>
      <c r="B990" s="85"/>
      <c r="C990" s="87"/>
      <c r="D990" s="87"/>
      <c r="E990" s="85"/>
      <c r="F990" s="85"/>
      <c r="G990" s="85"/>
      <c r="H990" s="85"/>
      <c r="I990" s="85"/>
      <c r="J990" s="85"/>
      <c r="K990" s="85"/>
      <c r="L990" s="85"/>
      <c r="M990" s="85"/>
      <c r="N990" s="85"/>
      <c r="O990" s="85"/>
      <c r="P990" s="85"/>
      <c r="Q990" s="85"/>
      <c r="R990" s="85"/>
      <c r="S990" s="85"/>
      <c r="T990" s="85"/>
      <c r="U990" s="85"/>
      <c r="V990" s="85"/>
      <c r="W990" s="85"/>
      <c r="X990" s="85"/>
      <c r="Y990" s="85"/>
      <c r="Z990" s="85"/>
      <c r="AA990" s="85"/>
      <c r="AB990" s="85"/>
      <c r="AC990" s="85"/>
      <c r="AD990" s="85"/>
      <c r="AE990" s="85"/>
      <c r="AF990" s="85"/>
      <c r="AG990" s="85"/>
    </row>
    <row r="991">
      <c r="A991" s="85"/>
      <c r="B991" s="85"/>
      <c r="C991" s="87"/>
      <c r="D991" s="87"/>
      <c r="E991" s="85"/>
      <c r="F991" s="85"/>
      <c r="G991" s="85"/>
      <c r="H991" s="85"/>
      <c r="I991" s="85"/>
      <c r="J991" s="85"/>
      <c r="K991" s="85"/>
      <c r="L991" s="85"/>
      <c r="M991" s="85"/>
      <c r="N991" s="85"/>
      <c r="O991" s="85"/>
      <c r="P991" s="85"/>
      <c r="Q991" s="85"/>
      <c r="R991" s="85"/>
      <c r="S991" s="85"/>
      <c r="T991" s="85"/>
      <c r="U991" s="85"/>
      <c r="V991" s="85"/>
      <c r="W991" s="85"/>
      <c r="X991" s="85"/>
      <c r="Y991" s="85"/>
      <c r="Z991" s="85"/>
      <c r="AA991" s="85"/>
      <c r="AB991" s="85"/>
      <c r="AC991" s="85"/>
      <c r="AD991" s="85"/>
      <c r="AE991" s="85"/>
      <c r="AF991" s="85"/>
      <c r="AG991" s="85"/>
    </row>
    <row r="992">
      <c r="A992" s="85"/>
      <c r="B992" s="85"/>
      <c r="C992" s="87"/>
      <c r="D992" s="87"/>
      <c r="E992" s="85"/>
      <c r="F992" s="85"/>
      <c r="G992" s="85"/>
      <c r="H992" s="85"/>
      <c r="I992" s="85"/>
      <c r="J992" s="85"/>
      <c r="K992" s="85"/>
      <c r="L992" s="85"/>
      <c r="M992" s="85"/>
      <c r="N992" s="85"/>
      <c r="O992" s="85"/>
      <c r="P992" s="85"/>
      <c r="Q992" s="85"/>
      <c r="R992" s="85"/>
      <c r="S992" s="85"/>
      <c r="T992" s="85"/>
      <c r="U992" s="85"/>
      <c r="V992" s="85"/>
      <c r="W992" s="85"/>
      <c r="X992" s="85"/>
      <c r="Y992" s="85"/>
      <c r="Z992" s="85"/>
      <c r="AA992" s="85"/>
      <c r="AB992" s="85"/>
      <c r="AC992" s="85"/>
      <c r="AD992" s="85"/>
      <c r="AE992" s="85"/>
      <c r="AF992" s="85"/>
      <c r="AG992" s="85"/>
    </row>
    <row r="993">
      <c r="A993" s="85"/>
      <c r="B993" s="85"/>
      <c r="C993" s="87"/>
      <c r="D993" s="87"/>
      <c r="E993" s="85"/>
      <c r="F993" s="85"/>
      <c r="G993" s="85"/>
      <c r="H993" s="85"/>
      <c r="I993" s="85"/>
      <c r="J993" s="85"/>
      <c r="K993" s="85"/>
      <c r="L993" s="85"/>
      <c r="M993" s="85"/>
      <c r="N993" s="85"/>
      <c r="O993" s="85"/>
      <c r="P993" s="85"/>
      <c r="Q993" s="85"/>
      <c r="R993" s="85"/>
      <c r="S993" s="85"/>
      <c r="T993" s="85"/>
      <c r="U993" s="85"/>
      <c r="V993" s="85"/>
      <c r="W993" s="85"/>
      <c r="X993" s="85"/>
      <c r="Y993" s="85"/>
      <c r="Z993" s="85"/>
      <c r="AA993" s="85"/>
      <c r="AB993" s="85"/>
      <c r="AC993" s="85"/>
      <c r="AD993" s="85"/>
      <c r="AE993" s="85"/>
      <c r="AF993" s="85"/>
      <c r="AG993" s="85"/>
    </row>
    <row r="994">
      <c r="A994" s="85"/>
      <c r="B994" s="85"/>
      <c r="C994" s="87"/>
      <c r="D994" s="87"/>
      <c r="E994" s="85"/>
      <c r="F994" s="85"/>
      <c r="G994" s="85"/>
      <c r="H994" s="85"/>
      <c r="I994" s="85"/>
      <c r="J994" s="85"/>
      <c r="K994" s="85"/>
      <c r="L994" s="85"/>
      <c r="M994" s="85"/>
      <c r="N994" s="85"/>
      <c r="O994" s="85"/>
      <c r="P994" s="85"/>
      <c r="Q994" s="85"/>
      <c r="R994" s="85"/>
      <c r="S994" s="85"/>
      <c r="T994" s="85"/>
      <c r="U994" s="85"/>
      <c r="V994" s="85"/>
      <c r="W994" s="85"/>
      <c r="X994" s="85"/>
      <c r="Y994" s="85"/>
      <c r="Z994" s="85"/>
      <c r="AA994" s="85"/>
      <c r="AB994" s="85"/>
      <c r="AC994" s="85"/>
      <c r="AD994" s="85"/>
      <c r="AE994" s="85"/>
      <c r="AF994" s="85"/>
      <c r="AG994" s="85"/>
    </row>
    <row r="995">
      <c r="A995" s="85"/>
      <c r="B995" s="85"/>
      <c r="C995" s="87"/>
      <c r="D995" s="87"/>
      <c r="E995" s="85"/>
      <c r="F995" s="85"/>
      <c r="G995" s="85"/>
      <c r="H995" s="85"/>
      <c r="I995" s="85"/>
      <c r="J995" s="85"/>
      <c r="K995" s="85"/>
      <c r="L995" s="85"/>
      <c r="M995" s="85"/>
      <c r="N995" s="85"/>
      <c r="O995" s="85"/>
      <c r="P995" s="85"/>
      <c r="Q995" s="85"/>
      <c r="R995" s="85"/>
      <c r="S995" s="85"/>
      <c r="T995" s="85"/>
      <c r="U995" s="85"/>
      <c r="V995" s="85"/>
      <c r="W995" s="85"/>
      <c r="X995" s="85"/>
      <c r="Y995" s="85"/>
      <c r="Z995" s="85"/>
      <c r="AA995" s="85"/>
      <c r="AB995" s="85"/>
      <c r="AC995" s="85"/>
      <c r="AD995" s="85"/>
      <c r="AE995" s="85"/>
      <c r="AF995" s="85"/>
      <c r="AG995" s="85"/>
    </row>
    <row r="996">
      <c r="A996" s="85"/>
      <c r="B996" s="85"/>
      <c r="C996" s="87"/>
      <c r="D996" s="87"/>
      <c r="E996" s="85"/>
      <c r="F996" s="85"/>
      <c r="G996" s="85"/>
      <c r="H996" s="85"/>
      <c r="I996" s="85"/>
      <c r="J996" s="85"/>
      <c r="K996" s="85"/>
      <c r="L996" s="85"/>
      <c r="M996" s="85"/>
      <c r="N996" s="85"/>
      <c r="O996" s="85"/>
      <c r="P996" s="85"/>
      <c r="Q996" s="85"/>
      <c r="R996" s="85"/>
      <c r="S996" s="85"/>
      <c r="T996" s="85"/>
      <c r="U996" s="85"/>
      <c r="V996" s="85"/>
      <c r="W996" s="85"/>
      <c r="X996" s="85"/>
      <c r="Y996" s="85"/>
      <c r="Z996" s="85"/>
      <c r="AA996" s="85"/>
      <c r="AB996" s="85"/>
      <c r="AC996" s="85"/>
      <c r="AD996" s="85"/>
      <c r="AE996" s="85"/>
      <c r="AF996" s="85"/>
      <c r="AG996" s="85"/>
    </row>
    <row r="997">
      <c r="A997" s="85"/>
      <c r="B997" s="85"/>
      <c r="C997" s="87"/>
      <c r="D997" s="87"/>
      <c r="E997" s="85"/>
      <c r="F997" s="85"/>
      <c r="G997" s="85"/>
      <c r="H997" s="85"/>
      <c r="I997" s="85"/>
      <c r="J997" s="85"/>
      <c r="K997" s="85"/>
      <c r="L997" s="85"/>
      <c r="M997" s="85"/>
      <c r="N997" s="85"/>
      <c r="O997" s="85"/>
      <c r="P997" s="85"/>
      <c r="Q997" s="85"/>
      <c r="R997" s="85"/>
      <c r="S997" s="85"/>
      <c r="T997" s="85"/>
      <c r="U997" s="85"/>
      <c r="V997" s="85"/>
      <c r="W997" s="85"/>
      <c r="X997" s="85"/>
      <c r="Y997" s="85"/>
      <c r="Z997" s="85"/>
      <c r="AA997" s="85"/>
      <c r="AB997" s="85"/>
      <c r="AC997" s="85"/>
      <c r="AD997" s="85"/>
      <c r="AE997" s="85"/>
      <c r="AF997" s="85"/>
      <c r="AG997" s="85"/>
    </row>
    <row r="998">
      <c r="A998" s="85"/>
      <c r="B998" s="85"/>
      <c r="C998" s="87"/>
      <c r="D998" s="87"/>
      <c r="E998" s="85"/>
      <c r="F998" s="85"/>
      <c r="G998" s="85"/>
      <c r="H998" s="85"/>
      <c r="I998" s="85"/>
      <c r="J998" s="85"/>
      <c r="K998" s="85"/>
      <c r="L998" s="85"/>
      <c r="M998" s="85"/>
      <c r="N998" s="85"/>
      <c r="O998" s="85"/>
      <c r="P998" s="85"/>
      <c r="Q998" s="85"/>
      <c r="R998" s="85"/>
      <c r="S998" s="85"/>
      <c r="T998" s="85"/>
      <c r="U998" s="85"/>
      <c r="V998" s="85"/>
      <c r="W998" s="85"/>
      <c r="X998" s="85"/>
      <c r="Y998" s="85"/>
      <c r="Z998" s="85"/>
      <c r="AA998" s="85"/>
      <c r="AB998" s="85"/>
      <c r="AC998" s="85"/>
      <c r="AD998" s="85"/>
      <c r="AE998" s="85"/>
      <c r="AF998" s="85"/>
      <c r="AG998" s="85"/>
    </row>
    <row r="999">
      <c r="A999" s="85"/>
      <c r="B999" s="85"/>
      <c r="C999" s="87"/>
      <c r="D999" s="87"/>
      <c r="E999" s="85"/>
      <c r="F999" s="85"/>
      <c r="G999" s="85"/>
      <c r="H999" s="85"/>
      <c r="I999" s="85"/>
      <c r="J999" s="85"/>
      <c r="K999" s="85"/>
      <c r="L999" s="85"/>
      <c r="M999" s="85"/>
      <c r="N999" s="85"/>
      <c r="O999" s="85"/>
      <c r="P999" s="85"/>
      <c r="Q999" s="85"/>
      <c r="R999" s="85"/>
      <c r="S999" s="85"/>
      <c r="T999" s="85"/>
      <c r="U999" s="85"/>
      <c r="V999" s="85"/>
      <c r="W999" s="85"/>
      <c r="X999" s="85"/>
      <c r="Y999" s="85"/>
      <c r="Z999" s="85"/>
      <c r="AA999" s="85"/>
      <c r="AB999" s="85"/>
      <c r="AC999" s="85"/>
      <c r="AD999" s="85"/>
      <c r="AE999" s="85"/>
      <c r="AF999" s="85"/>
      <c r="AG999" s="85"/>
    </row>
    <row r="1000">
      <c r="A1000" s="85"/>
      <c r="B1000" s="85"/>
      <c r="C1000" s="87"/>
      <c r="D1000" s="87"/>
      <c r="E1000" s="85"/>
      <c r="F1000" s="85"/>
      <c r="G1000" s="85"/>
      <c r="H1000" s="85"/>
      <c r="I1000" s="85"/>
      <c r="J1000" s="85"/>
      <c r="K1000" s="85"/>
      <c r="L1000" s="85"/>
      <c r="M1000" s="85"/>
      <c r="N1000" s="85"/>
      <c r="O1000" s="85"/>
      <c r="P1000" s="85"/>
      <c r="Q1000" s="85"/>
      <c r="R1000" s="85"/>
      <c r="S1000" s="85"/>
      <c r="T1000" s="85"/>
      <c r="U1000" s="85"/>
      <c r="V1000" s="85"/>
      <c r="W1000" s="85"/>
      <c r="X1000" s="85"/>
      <c r="Y1000" s="85"/>
      <c r="Z1000" s="85"/>
      <c r="AA1000" s="85"/>
      <c r="AB1000" s="85"/>
      <c r="AC1000" s="85"/>
      <c r="AD1000" s="85"/>
      <c r="AE1000" s="85"/>
      <c r="AF1000" s="85"/>
      <c r="AG1000" s="85"/>
    </row>
    <row r="1001">
      <c r="A1001" s="85"/>
      <c r="B1001" s="85"/>
      <c r="C1001" s="87"/>
      <c r="D1001" s="87"/>
      <c r="E1001" s="85"/>
      <c r="F1001" s="85"/>
      <c r="G1001" s="85"/>
      <c r="H1001" s="85"/>
      <c r="I1001" s="85"/>
      <c r="J1001" s="85"/>
      <c r="K1001" s="85"/>
      <c r="L1001" s="85"/>
      <c r="M1001" s="85"/>
      <c r="N1001" s="85"/>
      <c r="O1001" s="85"/>
      <c r="P1001" s="85"/>
      <c r="Q1001" s="85"/>
      <c r="R1001" s="85"/>
      <c r="S1001" s="85"/>
      <c r="T1001" s="85"/>
      <c r="U1001" s="85"/>
      <c r="V1001" s="85"/>
      <c r="W1001" s="85"/>
      <c r="X1001" s="85"/>
      <c r="Y1001" s="85"/>
      <c r="Z1001" s="85"/>
      <c r="AA1001" s="85"/>
      <c r="AB1001" s="85"/>
      <c r="AC1001" s="85"/>
      <c r="AD1001" s="85"/>
      <c r="AE1001" s="85"/>
      <c r="AF1001" s="85"/>
      <c r="AG1001" s="85"/>
    </row>
    <row r="1002">
      <c r="A1002" s="85"/>
      <c r="B1002" s="85"/>
      <c r="C1002" s="87"/>
      <c r="D1002" s="87"/>
      <c r="E1002" s="85"/>
      <c r="F1002" s="85"/>
      <c r="G1002" s="85"/>
      <c r="H1002" s="85"/>
      <c r="I1002" s="85"/>
      <c r="J1002" s="85"/>
      <c r="K1002" s="85"/>
      <c r="L1002" s="85"/>
      <c r="M1002" s="85"/>
      <c r="N1002" s="85"/>
      <c r="O1002" s="85"/>
      <c r="P1002" s="85"/>
      <c r="Q1002" s="85"/>
      <c r="R1002" s="85"/>
      <c r="S1002" s="85"/>
      <c r="T1002" s="85"/>
      <c r="U1002" s="85"/>
      <c r="V1002" s="85"/>
      <c r="W1002" s="85"/>
      <c r="X1002" s="85"/>
      <c r="Y1002" s="85"/>
      <c r="Z1002" s="85"/>
      <c r="AA1002" s="85"/>
      <c r="AB1002" s="85"/>
      <c r="AC1002" s="85"/>
      <c r="AD1002" s="85"/>
      <c r="AE1002" s="85"/>
      <c r="AF1002" s="85"/>
      <c r="AG1002" s="85"/>
    </row>
    <row r="1003">
      <c r="A1003" s="85"/>
      <c r="B1003" s="85"/>
      <c r="C1003" s="87"/>
      <c r="D1003" s="87"/>
      <c r="E1003" s="85"/>
      <c r="F1003" s="85"/>
      <c r="G1003" s="85"/>
      <c r="H1003" s="85"/>
      <c r="I1003" s="85"/>
      <c r="J1003" s="85"/>
      <c r="K1003" s="85"/>
      <c r="L1003" s="85"/>
      <c r="M1003" s="85"/>
      <c r="N1003" s="85"/>
      <c r="O1003" s="85"/>
      <c r="P1003" s="85"/>
      <c r="Q1003" s="85"/>
      <c r="R1003" s="85"/>
      <c r="S1003" s="85"/>
      <c r="T1003" s="85"/>
      <c r="U1003" s="85"/>
      <c r="V1003" s="85"/>
      <c r="W1003" s="85"/>
      <c r="X1003" s="85"/>
      <c r="Y1003" s="85"/>
      <c r="Z1003" s="85"/>
      <c r="AA1003" s="85"/>
      <c r="AB1003" s="85"/>
      <c r="AC1003" s="85"/>
      <c r="AD1003" s="85"/>
      <c r="AE1003" s="85"/>
      <c r="AF1003" s="85"/>
      <c r="AG1003" s="85"/>
    </row>
  </sheetData>
  <hyperlinks>
    <hyperlink r:id="rId1" ref="A3"/>
    <hyperlink r:id="rId2" ref="A4"/>
    <hyperlink r:id="rId3" ref="A5"/>
    <hyperlink r:id="rId4" ref="A9"/>
    <hyperlink r:id="rId5" ref="A10"/>
    <hyperlink r:id="rId6" ref="A13"/>
    <hyperlink r:id="rId7" ref="A14"/>
    <hyperlink r:id="rId8" ref="A16"/>
    <hyperlink r:id="rId9" ref="A21"/>
    <hyperlink r:id="rId10" ref="A23"/>
    <hyperlink r:id="rId11" ref="A24"/>
    <hyperlink r:id="rId12" ref="A25"/>
    <hyperlink r:id="rId13" ref="A26"/>
    <hyperlink r:id="rId14" ref="A27"/>
    <hyperlink r:id="rId15" ref="A28"/>
    <hyperlink r:id="rId16" ref="A29"/>
    <hyperlink r:id="rId17" ref="A31"/>
    <hyperlink r:id="rId18" ref="A32"/>
    <hyperlink r:id="rId19" ref="A33"/>
    <hyperlink r:id="rId20" ref="A34"/>
  </hyperlinks>
  <drawing r:id="rId21"/>
  <tableParts count="1">
    <tablePart r:id="rId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75"/>
    <col customWidth="1" min="3" max="3" width="15.5"/>
    <col customWidth="1" min="4" max="4" width="17.63"/>
  </cols>
  <sheetData>
    <row r="1">
      <c r="A1" s="119" t="s">
        <v>361</v>
      </c>
      <c r="B1" s="120" t="s">
        <v>362</v>
      </c>
      <c r="C1" s="120" t="s">
        <v>363</v>
      </c>
      <c r="D1" s="120" t="s">
        <v>364</v>
      </c>
      <c r="E1" s="121" t="s">
        <v>365</v>
      </c>
      <c r="F1" s="67"/>
      <c r="G1" s="67"/>
      <c r="H1" s="67"/>
      <c r="I1" s="67"/>
      <c r="J1" s="67"/>
      <c r="K1" s="67"/>
      <c r="L1" s="67"/>
      <c r="M1" s="67"/>
      <c r="N1" s="67"/>
      <c r="O1" s="67"/>
      <c r="P1" s="67"/>
      <c r="Q1" s="67"/>
      <c r="R1" s="67"/>
      <c r="S1" s="67"/>
      <c r="T1" s="67"/>
      <c r="U1" s="67"/>
      <c r="V1" s="67"/>
      <c r="W1" s="67"/>
      <c r="X1" s="67"/>
      <c r="Y1" s="67"/>
      <c r="Z1" s="67"/>
    </row>
    <row r="2">
      <c r="A2" s="122" t="s">
        <v>366</v>
      </c>
      <c r="B2" s="123" t="s">
        <v>102</v>
      </c>
      <c r="C2" s="124" t="s">
        <v>367</v>
      </c>
      <c r="D2" s="125"/>
      <c r="E2" s="126"/>
      <c r="F2" s="67"/>
      <c r="G2" s="67"/>
      <c r="H2" s="67"/>
      <c r="I2" s="67"/>
      <c r="J2" s="67"/>
      <c r="K2" s="67"/>
      <c r="L2" s="67"/>
      <c r="M2" s="67"/>
      <c r="N2" s="67"/>
      <c r="O2" s="67"/>
      <c r="P2" s="67"/>
      <c r="Q2" s="67"/>
      <c r="R2" s="67"/>
      <c r="S2" s="67"/>
      <c r="T2" s="67"/>
      <c r="U2" s="67"/>
      <c r="V2" s="67"/>
      <c r="W2" s="67"/>
      <c r="X2" s="67"/>
      <c r="Y2" s="67"/>
      <c r="Z2" s="67"/>
    </row>
    <row r="3">
      <c r="A3" s="127" t="s">
        <v>368</v>
      </c>
      <c r="B3" s="128" t="s">
        <v>102</v>
      </c>
      <c r="C3" s="129" t="s">
        <v>369</v>
      </c>
      <c r="D3" s="129">
        <v>9.12185739E9</v>
      </c>
      <c r="E3" s="130"/>
      <c r="F3" s="67"/>
      <c r="G3" s="67"/>
      <c r="H3" s="67"/>
      <c r="I3" s="67"/>
      <c r="J3" s="67"/>
      <c r="K3" s="67"/>
      <c r="L3" s="67"/>
      <c r="M3" s="67"/>
      <c r="N3" s="67"/>
      <c r="O3" s="67"/>
      <c r="P3" s="67"/>
      <c r="Q3" s="67"/>
      <c r="R3" s="67"/>
      <c r="S3" s="67"/>
      <c r="T3" s="67"/>
      <c r="U3" s="67"/>
      <c r="V3" s="67"/>
      <c r="W3" s="67"/>
      <c r="X3" s="67"/>
      <c r="Y3" s="67"/>
      <c r="Z3" s="67"/>
    </row>
    <row r="4">
      <c r="A4" s="122" t="s">
        <v>370</v>
      </c>
      <c r="B4" s="123" t="s">
        <v>102</v>
      </c>
      <c r="C4" s="123" t="s">
        <v>371</v>
      </c>
      <c r="D4" s="125"/>
      <c r="E4" s="126"/>
      <c r="F4" s="67"/>
      <c r="G4" s="67"/>
      <c r="H4" s="67"/>
      <c r="I4" s="67"/>
      <c r="J4" s="67"/>
      <c r="K4" s="67"/>
      <c r="L4" s="67"/>
      <c r="M4" s="67"/>
      <c r="N4" s="67"/>
      <c r="O4" s="67"/>
      <c r="P4" s="67"/>
      <c r="Q4" s="67"/>
      <c r="R4" s="67"/>
      <c r="S4" s="67"/>
      <c r="T4" s="67"/>
      <c r="U4" s="67"/>
      <c r="V4" s="67"/>
      <c r="W4" s="67"/>
      <c r="X4" s="67"/>
      <c r="Y4" s="67"/>
      <c r="Z4" s="67"/>
    </row>
    <row r="5">
      <c r="A5" s="127" t="s">
        <v>372</v>
      </c>
      <c r="B5" s="128" t="s">
        <v>27</v>
      </c>
      <c r="C5" s="131"/>
      <c r="D5" s="131"/>
      <c r="E5" s="130"/>
      <c r="F5" s="67"/>
      <c r="G5" s="67"/>
      <c r="H5" s="67"/>
      <c r="I5" s="67"/>
      <c r="J5" s="67"/>
      <c r="K5" s="67"/>
      <c r="L5" s="67"/>
      <c r="M5" s="67"/>
      <c r="N5" s="67"/>
      <c r="O5" s="67"/>
      <c r="P5" s="67"/>
      <c r="Q5" s="67"/>
      <c r="R5" s="67"/>
      <c r="S5" s="67"/>
      <c r="T5" s="67"/>
      <c r="U5" s="67"/>
      <c r="V5" s="67"/>
      <c r="W5" s="67"/>
      <c r="X5" s="67"/>
      <c r="Y5" s="67"/>
      <c r="Z5" s="67"/>
    </row>
    <row r="6">
      <c r="A6" s="122" t="s">
        <v>373</v>
      </c>
      <c r="B6" s="123" t="s">
        <v>53</v>
      </c>
      <c r="C6" s="125"/>
      <c r="D6" s="125"/>
      <c r="E6" s="126"/>
      <c r="F6" s="67"/>
      <c r="G6" s="67"/>
      <c r="H6" s="67"/>
      <c r="I6" s="67"/>
      <c r="J6" s="67"/>
      <c r="K6" s="67"/>
      <c r="L6" s="67"/>
      <c r="M6" s="67"/>
      <c r="N6" s="67"/>
      <c r="O6" s="67"/>
      <c r="P6" s="67"/>
      <c r="Q6" s="67"/>
      <c r="R6" s="67"/>
      <c r="S6" s="67"/>
      <c r="T6" s="67"/>
      <c r="U6" s="67"/>
      <c r="V6" s="67"/>
      <c r="W6" s="67"/>
      <c r="X6" s="67"/>
      <c r="Y6" s="67"/>
      <c r="Z6" s="67"/>
    </row>
    <row r="7">
      <c r="A7" s="127" t="s">
        <v>374</v>
      </c>
      <c r="B7" s="128" t="s">
        <v>102</v>
      </c>
      <c r="C7" s="128" t="s">
        <v>77</v>
      </c>
      <c r="D7" s="131"/>
      <c r="E7" s="130"/>
      <c r="F7" s="67"/>
      <c r="G7" s="67"/>
      <c r="H7" s="67"/>
      <c r="I7" s="67"/>
      <c r="J7" s="67"/>
      <c r="K7" s="67"/>
      <c r="L7" s="67"/>
      <c r="M7" s="67"/>
      <c r="N7" s="67"/>
      <c r="O7" s="67"/>
      <c r="P7" s="67"/>
      <c r="Q7" s="67"/>
      <c r="R7" s="67"/>
      <c r="S7" s="67"/>
      <c r="T7" s="67"/>
      <c r="U7" s="67"/>
      <c r="V7" s="67"/>
      <c r="W7" s="67"/>
      <c r="X7" s="67"/>
      <c r="Y7" s="67"/>
      <c r="Z7" s="67"/>
    </row>
    <row r="8">
      <c r="A8" s="122" t="s">
        <v>375</v>
      </c>
      <c r="B8" s="123" t="s">
        <v>102</v>
      </c>
      <c r="C8" s="123" t="s">
        <v>376</v>
      </c>
      <c r="D8" s="125"/>
      <c r="E8" s="126"/>
      <c r="F8" s="67"/>
      <c r="G8" s="67"/>
      <c r="H8" s="67"/>
      <c r="I8" s="67"/>
      <c r="J8" s="67"/>
      <c r="K8" s="67"/>
      <c r="L8" s="67"/>
      <c r="M8" s="67"/>
      <c r="N8" s="67"/>
      <c r="O8" s="67"/>
      <c r="P8" s="67"/>
      <c r="Q8" s="67"/>
      <c r="R8" s="67"/>
      <c r="S8" s="67"/>
      <c r="T8" s="67"/>
      <c r="U8" s="67"/>
      <c r="V8" s="67"/>
      <c r="W8" s="67"/>
      <c r="X8" s="67"/>
      <c r="Y8" s="67"/>
      <c r="Z8" s="67"/>
    </row>
    <row r="9">
      <c r="A9" s="127" t="s">
        <v>377</v>
      </c>
      <c r="B9" s="128" t="s">
        <v>378</v>
      </c>
      <c r="C9" s="131"/>
      <c r="D9" s="131"/>
      <c r="E9" s="130"/>
      <c r="F9" s="67"/>
      <c r="G9" s="67"/>
      <c r="H9" s="67"/>
      <c r="I9" s="67"/>
      <c r="J9" s="67"/>
      <c r="K9" s="67"/>
      <c r="L9" s="67"/>
      <c r="M9" s="67"/>
      <c r="N9" s="67"/>
      <c r="O9" s="67"/>
      <c r="P9" s="67"/>
      <c r="Q9" s="67"/>
      <c r="R9" s="67"/>
      <c r="S9" s="67"/>
      <c r="T9" s="67"/>
      <c r="U9" s="67"/>
      <c r="V9" s="67"/>
      <c r="W9" s="67"/>
      <c r="X9" s="67"/>
      <c r="Y9" s="67"/>
      <c r="Z9" s="67"/>
    </row>
    <row r="10">
      <c r="A10" s="122" t="s">
        <v>379</v>
      </c>
      <c r="B10" s="123" t="s">
        <v>380</v>
      </c>
      <c r="C10" s="125"/>
      <c r="D10" s="125"/>
      <c r="E10" s="126"/>
      <c r="F10" s="67"/>
      <c r="G10" s="67"/>
      <c r="H10" s="67"/>
      <c r="I10" s="67"/>
      <c r="J10" s="67"/>
      <c r="K10" s="67"/>
      <c r="L10" s="67"/>
      <c r="M10" s="67"/>
      <c r="N10" s="67"/>
      <c r="O10" s="67"/>
      <c r="P10" s="67"/>
      <c r="Q10" s="67"/>
      <c r="R10" s="67"/>
      <c r="S10" s="67"/>
      <c r="T10" s="67"/>
      <c r="U10" s="67"/>
      <c r="V10" s="67"/>
      <c r="W10" s="67"/>
      <c r="X10" s="67"/>
      <c r="Y10" s="67"/>
      <c r="Z10" s="67"/>
    </row>
    <row r="11">
      <c r="A11" s="127" t="s">
        <v>381</v>
      </c>
      <c r="B11" s="131"/>
      <c r="C11" s="131"/>
      <c r="D11" s="131"/>
      <c r="E11" s="130"/>
      <c r="F11" s="67"/>
      <c r="G11" s="67"/>
      <c r="H11" s="67"/>
      <c r="I11" s="67"/>
      <c r="J11" s="67"/>
      <c r="K11" s="67"/>
      <c r="L11" s="67"/>
      <c r="M11" s="67"/>
      <c r="N11" s="67"/>
      <c r="O11" s="67"/>
      <c r="P11" s="67"/>
      <c r="Q11" s="67"/>
      <c r="R11" s="67"/>
      <c r="S11" s="67"/>
      <c r="T11" s="67"/>
      <c r="U11" s="67"/>
      <c r="V11" s="67"/>
      <c r="W11" s="67"/>
      <c r="X11" s="67"/>
      <c r="Y11" s="67"/>
      <c r="Z11" s="67"/>
    </row>
    <row r="12">
      <c r="A12" s="122" t="s">
        <v>382</v>
      </c>
      <c r="B12" s="123" t="s">
        <v>383</v>
      </c>
      <c r="C12" s="123" t="s">
        <v>384</v>
      </c>
      <c r="D12" s="125"/>
      <c r="E12" s="126"/>
      <c r="F12" s="67"/>
      <c r="G12" s="67"/>
      <c r="H12" s="67"/>
      <c r="I12" s="67"/>
      <c r="J12" s="67"/>
      <c r="K12" s="67"/>
      <c r="L12" s="67"/>
      <c r="M12" s="67"/>
      <c r="N12" s="67"/>
      <c r="O12" s="67"/>
      <c r="P12" s="67"/>
      <c r="Q12" s="67"/>
      <c r="R12" s="67"/>
      <c r="S12" s="67"/>
      <c r="T12" s="67"/>
      <c r="U12" s="67"/>
      <c r="V12" s="67"/>
      <c r="W12" s="67"/>
      <c r="X12" s="67"/>
      <c r="Y12" s="67"/>
      <c r="Z12" s="67"/>
    </row>
    <row r="13">
      <c r="A13" s="127" t="s">
        <v>385</v>
      </c>
      <c r="B13" s="128" t="s">
        <v>102</v>
      </c>
      <c r="C13" s="131"/>
      <c r="D13" s="131"/>
      <c r="E13" s="130"/>
      <c r="F13" s="67"/>
      <c r="G13" s="67"/>
      <c r="H13" s="67"/>
      <c r="I13" s="67"/>
      <c r="J13" s="67"/>
      <c r="K13" s="67"/>
      <c r="L13" s="67"/>
      <c r="M13" s="67"/>
      <c r="N13" s="67"/>
      <c r="O13" s="67"/>
      <c r="P13" s="67"/>
      <c r="Q13" s="67"/>
      <c r="R13" s="67"/>
      <c r="S13" s="67"/>
      <c r="T13" s="67"/>
      <c r="U13" s="67"/>
      <c r="V13" s="67"/>
      <c r="W13" s="67"/>
      <c r="X13" s="67"/>
      <c r="Y13" s="67"/>
      <c r="Z13" s="67"/>
    </row>
    <row r="14">
      <c r="A14" s="122" t="s">
        <v>386</v>
      </c>
      <c r="B14" s="123" t="s">
        <v>387</v>
      </c>
      <c r="C14" s="123" t="s">
        <v>388</v>
      </c>
      <c r="D14" s="125"/>
      <c r="E14" s="132" t="s">
        <v>389</v>
      </c>
      <c r="F14" s="67"/>
      <c r="G14" s="67"/>
      <c r="H14" s="67"/>
      <c r="I14" s="67"/>
      <c r="J14" s="67"/>
      <c r="K14" s="67"/>
      <c r="L14" s="67"/>
      <c r="M14" s="67"/>
      <c r="N14" s="67"/>
      <c r="O14" s="67"/>
      <c r="P14" s="67"/>
      <c r="Q14" s="67"/>
      <c r="R14" s="67"/>
      <c r="S14" s="67"/>
      <c r="T14" s="67"/>
      <c r="U14" s="67"/>
      <c r="V14" s="67"/>
      <c r="W14" s="67"/>
      <c r="X14" s="67"/>
      <c r="Y14" s="67"/>
      <c r="Z14" s="67"/>
    </row>
    <row r="15">
      <c r="A15" s="127" t="s">
        <v>390</v>
      </c>
      <c r="B15" s="131"/>
      <c r="C15" s="128"/>
      <c r="D15" s="131"/>
      <c r="E15" s="130"/>
      <c r="F15" s="67"/>
      <c r="G15" s="67"/>
      <c r="H15" s="67"/>
      <c r="I15" s="67"/>
      <c r="J15" s="67"/>
      <c r="K15" s="67"/>
      <c r="L15" s="67"/>
      <c r="M15" s="67"/>
      <c r="N15" s="67"/>
      <c r="O15" s="67"/>
      <c r="P15" s="67"/>
      <c r="Q15" s="67"/>
      <c r="R15" s="67"/>
      <c r="S15" s="67"/>
      <c r="T15" s="67"/>
      <c r="U15" s="67"/>
      <c r="V15" s="67"/>
      <c r="W15" s="67"/>
      <c r="X15" s="67"/>
      <c r="Y15" s="67"/>
      <c r="Z15" s="67"/>
    </row>
    <row r="16">
      <c r="A16" s="133" t="s">
        <v>391</v>
      </c>
      <c r="B16" s="123" t="s">
        <v>392</v>
      </c>
      <c r="C16" s="123" t="s">
        <v>393</v>
      </c>
      <c r="D16" s="125"/>
      <c r="E16" s="132" t="s">
        <v>394</v>
      </c>
      <c r="F16" s="67"/>
      <c r="G16" s="67"/>
      <c r="H16" s="67"/>
      <c r="I16" s="67"/>
      <c r="J16" s="67"/>
      <c r="K16" s="67"/>
      <c r="L16" s="67"/>
      <c r="M16" s="67"/>
      <c r="N16" s="67"/>
      <c r="O16" s="67"/>
      <c r="P16" s="67"/>
      <c r="Q16" s="67"/>
      <c r="R16" s="67"/>
      <c r="S16" s="67"/>
      <c r="T16" s="67"/>
      <c r="U16" s="67"/>
      <c r="V16" s="67"/>
      <c r="W16" s="67"/>
      <c r="X16" s="67"/>
      <c r="Y16" s="67"/>
      <c r="Z16" s="67"/>
    </row>
    <row r="17">
      <c r="A17" s="127" t="s">
        <v>395</v>
      </c>
      <c r="B17" s="128" t="s">
        <v>396</v>
      </c>
      <c r="C17" s="128" t="s">
        <v>397</v>
      </c>
      <c r="D17" s="131"/>
      <c r="E17" s="134" t="s">
        <v>398</v>
      </c>
      <c r="F17" s="67"/>
      <c r="G17" s="67"/>
      <c r="H17" s="67"/>
      <c r="I17" s="67"/>
      <c r="J17" s="67"/>
      <c r="K17" s="67"/>
      <c r="L17" s="67"/>
      <c r="M17" s="67"/>
      <c r="N17" s="67"/>
      <c r="O17" s="67"/>
      <c r="P17" s="67"/>
      <c r="Q17" s="67"/>
      <c r="R17" s="67"/>
      <c r="S17" s="67"/>
      <c r="T17" s="67"/>
      <c r="U17" s="67"/>
      <c r="V17" s="67"/>
      <c r="W17" s="67"/>
      <c r="X17" s="67"/>
      <c r="Y17" s="67"/>
      <c r="Z17" s="67"/>
    </row>
    <row r="18">
      <c r="A18" s="122" t="s">
        <v>399</v>
      </c>
      <c r="B18" s="123" t="s">
        <v>396</v>
      </c>
      <c r="C18" s="123" t="s">
        <v>400</v>
      </c>
      <c r="D18" s="124" t="s">
        <v>401</v>
      </c>
      <c r="E18" s="126"/>
      <c r="F18" s="67"/>
      <c r="G18" s="67"/>
      <c r="H18" s="67"/>
      <c r="I18" s="67"/>
      <c r="J18" s="67"/>
      <c r="K18" s="67"/>
      <c r="L18" s="67"/>
      <c r="M18" s="67"/>
      <c r="N18" s="67"/>
      <c r="O18" s="67"/>
      <c r="P18" s="67"/>
      <c r="Q18" s="67"/>
      <c r="R18" s="67"/>
      <c r="S18" s="67"/>
      <c r="T18" s="67"/>
      <c r="U18" s="67"/>
      <c r="V18" s="67"/>
      <c r="W18" s="67"/>
      <c r="X18" s="67"/>
      <c r="Y18" s="67"/>
      <c r="Z18" s="67"/>
    </row>
    <row r="19">
      <c r="A19" s="127" t="s">
        <v>402</v>
      </c>
      <c r="B19" s="128" t="s">
        <v>387</v>
      </c>
      <c r="C19" s="128" t="s">
        <v>403</v>
      </c>
      <c r="D19" s="129" t="s">
        <v>404</v>
      </c>
      <c r="E19" s="134" t="s">
        <v>405</v>
      </c>
      <c r="F19" s="67"/>
      <c r="G19" s="67"/>
      <c r="H19" s="67"/>
      <c r="I19" s="67"/>
      <c r="J19" s="67"/>
      <c r="K19" s="67"/>
      <c r="L19" s="67"/>
      <c r="M19" s="67"/>
      <c r="N19" s="67"/>
      <c r="O19" s="67"/>
      <c r="P19" s="67"/>
      <c r="Q19" s="67"/>
      <c r="R19" s="67"/>
      <c r="S19" s="67"/>
      <c r="T19" s="67"/>
      <c r="U19" s="67"/>
      <c r="V19" s="67"/>
      <c r="W19" s="67"/>
      <c r="X19" s="67"/>
      <c r="Y19" s="67"/>
      <c r="Z19" s="67"/>
    </row>
    <row r="20">
      <c r="A20" s="122" t="s">
        <v>406</v>
      </c>
      <c r="B20" s="123" t="s">
        <v>387</v>
      </c>
      <c r="C20" s="123" t="s">
        <v>407</v>
      </c>
      <c r="D20" s="124" t="s">
        <v>408</v>
      </c>
      <c r="E20" s="126"/>
      <c r="F20" s="67"/>
      <c r="G20" s="67"/>
      <c r="H20" s="67"/>
      <c r="I20" s="67"/>
      <c r="J20" s="67"/>
      <c r="K20" s="67"/>
      <c r="L20" s="67"/>
      <c r="M20" s="67"/>
      <c r="N20" s="67"/>
      <c r="O20" s="67"/>
      <c r="P20" s="67"/>
      <c r="Q20" s="67"/>
      <c r="R20" s="67"/>
      <c r="S20" s="67"/>
      <c r="T20" s="67"/>
      <c r="U20" s="67"/>
      <c r="V20" s="67"/>
      <c r="W20" s="67"/>
      <c r="X20" s="67"/>
      <c r="Y20" s="67"/>
      <c r="Z20" s="67"/>
    </row>
    <row r="21">
      <c r="A21" s="127" t="s">
        <v>409</v>
      </c>
      <c r="B21" s="128" t="s">
        <v>410</v>
      </c>
      <c r="C21" s="128" t="s">
        <v>411</v>
      </c>
      <c r="D21" s="131"/>
      <c r="E21" s="134" t="s">
        <v>412</v>
      </c>
      <c r="F21" s="67"/>
      <c r="G21" s="67"/>
      <c r="H21" s="67"/>
      <c r="I21" s="67"/>
      <c r="J21" s="67"/>
      <c r="K21" s="67"/>
      <c r="L21" s="67"/>
      <c r="M21" s="67"/>
      <c r="N21" s="67"/>
      <c r="O21" s="67"/>
      <c r="P21" s="67"/>
      <c r="Q21" s="67"/>
      <c r="R21" s="67"/>
      <c r="S21" s="67"/>
      <c r="T21" s="67"/>
      <c r="U21" s="67"/>
      <c r="V21" s="67"/>
      <c r="W21" s="67"/>
      <c r="X21" s="67"/>
      <c r="Y21" s="67"/>
      <c r="Z21" s="67"/>
    </row>
    <row r="22">
      <c r="A22" s="135"/>
      <c r="B22" s="125"/>
      <c r="C22" s="125"/>
      <c r="D22" s="125"/>
      <c r="E22" s="126"/>
      <c r="F22" s="67"/>
      <c r="G22" s="67"/>
      <c r="H22" s="67"/>
      <c r="I22" s="67"/>
      <c r="J22" s="67"/>
      <c r="K22" s="67"/>
      <c r="L22" s="67"/>
      <c r="M22" s="67"/>
      <c r="N22" s="67"/>
      <c r="O22" s="67"/>
      <c r="P22" s="67"/>
      <c r="Q22" s="67"/>
      <c r="R22" s="67"/>
      <c r="S22" s="67"/>
      <c r="T22" s="67"/>
      <c r="U22" s="67"/>
      <c r="V22" s="67"/>
      <c r="W22" s="67"/>
      <c r="X22" s="67"/>
      <c r="Y22" s="67"/>
      <c r="Z22" s="67"/>
    </row>
    <row r="23">
      <c r="A23" s="136"/>
      <c r="B23" s="131"/>
      <c r="C23" s="131"/>
      <c r="D23" s="131"/>
      <c r="E23" s="130"/>
      <c r="F23" s="67"/>
      <c r="G23" s="67"/>
      <c r="H23" s="67"/>
      <c r="I23" s="67"/>
      <c r="J23" s="67"/>
      <c r="K23" s="67"/>
      <c r="L23" s="67"/>
      <c r="M23" s="67"/>
      <c r="N23" s="67"/>
      <c r="O23" s="67"/>
      <c r="P23" s="67"/>
      <c r="Q23" s="67"/>
      <c r="R23" s="67"/>
      <c r="S23" s="67"/>
      <c r="T23" s="67"/>
      <c r="U23" s="67"/>
      <c r="V23" s="67"/>
      <c r="W23" s="67"/>
      <c r="X23" s="67"/>
      <c r="Y23" s="67"/>
      <c r="Z23" s="67"/>
    </row>
    <row r="24">
      <c r="A24" s="135"/>
      <c r="B24" s="125"/>
      <c r="C24" s="125"/>
      <c r="D24" s="125"/>
      <c r="E24" s="126"/>
      <c r="F24" s="67"/>
      <c r="G24" s="67"/>
      <c r="H24" s="67"/>
      <c r="I24" s="67"/>
      <c r="J24" s="67"/>
      <c r="K24" s="67"/>
      <c r="L24" s="67"/>
      <c r="M24" s="67"/>
      <c r="N24" s="67"/>
      <c r="O24" s="67"/>
      <c r="P24" s="67"/>
      <c r="Q24" s="67"/>
      <c r="R24" s="67"/>
      <c r="S24" s="67"/>
      <c r="T24" s="67"/>
      <c r="U24" s="67"/>
      <c r="V24" s="67"/>
      <c r="W24" s="67"/>
      <c r="X24" s="67"/>
      <c r="Y24" s="67"/>
      <c r="Z24" s="67"/>
    </row>
    <row r="25">
      <c r="A25" s="136"/>
      <c r="B25" s="131"/>
      <c r="C25" s="131"/>
      <c r="D25" s="131"/>
      <c r="E25" s="130"/>
      <c r="F25" s="67"/>
      <c r="G25" s="67"/>
      <c r="H25" s="67"/>
      <c r="I25" s="67"/>
      <c r="J25" s="67"/>
      <c r="K25" s="67"/>
      <c r="L25" s="67"/>
      <c r="M25" s="67"/>
      <c r="N25" s="67"/>
      <c r="O25" s="67"/>
      <c r="P25" s="67"/>
      <c r="Q25" s="67"/>
      <c r="R25" s="67"/>
      <c r="S25" s="67"/>
      <c r="T25" s="67"/>
      <c r="U25" s="67"/>
      <c r="V25" s="67"/>
      <c r="W25" s="67"/>
      <c r="X25" s="67"/>
      <c r="Y25" s="67"/>
      <c r="Z25" s="67"/>
    </row>
    <row r="26">
      <c r="A26" s="135"/>
      <c r="B26" s="125"/>
      <c r="C26" s="125"/>
      <c r="D26" s="125"/>
      <c r="E26" s="126"/>
      <c r="F26" s="67"/>
      <c r="G26" s="67"/>
      <c r="H26" s="67"/>
      <c r="I26" s="67"/>
      <c r="J26" s="67"/>
      <c r="K26" s="67"/>
      <c r="L26" s="67"/>
      <c r="M26" s="67"/>
      <c r="N26" s="67"/>
      <c r="O26" s="67"/>
      <c r="P26" s="67"/>
      <c r="Q26" s="67"/>
      <c r="R26" s="67"/>
      <c r="S26" s="67"/>
      <c r="T26" s="67"/>
      <c r="U26" s="67"/>
      <c r="V26" s="67"/>
      <c r="W26" s="67"/>
      <c r="X26" s="67"/>
      <c r="Y26" s="67"/>
      <c r="Z26" s="67"/>
    </row>
    <row r="27">
      <c r="A27" s="136"/>
      <c r="B27" s="131"/>
      <c r="C27" s="131"/>
      <c r="D27" s="131"/>
      <c r="E27" s="130"/>
      <c r="F27" s="67"/>
      <c r="G27" s="67"/>
      <c r="H27" s="67"/>
      <c r="I27" s="67"/>
      <c r="J27" s="67"/>
      <c r="K27" s="67"/>
      <c r="L27" s="67"/>
      <c r="M27" s="67"/>
      <c r="N27" s="67"/>
      <c r="O27" s="67"/>
      <c r="P27" s="67"/>
      <c r="Q27" s="67"/>
      <c r="R27" s="67"/>
      <c r="S27" s="67"/>
      <c r="T27" s="67"/>
      <c r="U27" s="67"/>
      <c r="V27" s="67"/>
      <c r="W27" s="67"/>
      <c r="X27" s="67"/>
      <c r="Y27" s="67"/>
      <c r="Z27" s="67"/>
    </row>
    <row r="28">
      <c r="A28" s="135"/>
      <c r="B28" s="125"/>
      <c r="C28" s="125"/>
      <c r="D28" s="125"/>
      <c r="E28" s="126"/>
      <c r="F28" s="67"/>
      <c r="G28" s="67"/>
      <c r="H28" s="67"/>
      <c r="I28" s="67"/>
      <c r="J28" s="67"/>
      <c r="K28" s="67"/>
      <c r="L28" s="67"/>
      <c r="M28" s="67"/>
      <c r="N28" s="67"/>
      <c r="O28" s="67"/>
      <c r="P28" s="67"/>
      <c r="Q28" s="67"/>
      <c r="R28" s="67"/>
      <c r="S28" s="67"/>
      <c r="T28" s="67"/>
      <c r="U28" s="67"/>
      <c r="V28" s="67"/>
      <c r="W28" s="67"/>
      <c r="X28" s="67"/>
      <c r="Y28" s="67"/>
      <c r="Z28" s="67"/>
    </row>
    <row r="29">
      <c r="A29" s="136"/>
      <c r="B29" s="131"/>
      <c r="C29" s="131"/>
      <c r="D29" s="131"/>
      <c r="E29" s="130"/>
      <c r="F29" s="67"/>
      <c r="G29" s="67"/>
      <c r="H29" s="67"/>
      <c r="I29" s="67"/>
      <c r="J29" s="67"/>
      <c r="K29" s="67"/>
      <c r="L29" s="67"/>
      <c r="M29" s="67"/>
      <c r="N29" s="67"/>
      <c r="O29" s="67"/>
      <c r="P29" s="67"/>
      <c r="Q29" s="67"/>
      <c r="R29" s="67"/>
      <c r="S29" s="67"/>
      <c r="T29" s="67"/>
      <c r="U29" s="67"/>
      <c r="V29" s="67"/>
      <c r="W29" s="67"/>
      <c r="X29" s="67"/>
      <c r="Y29" s="67"/>
      <c r="Z29" s="67"/>
    </row>
    <row r="30">
      <c r="A30" s="135"/>
      <c r="B30" s="125"/>
      <c r="C30" s="125"/>
      <c r="D30" s="125"/>
      <c r="E30" s="126"/>
      <c r="F30" s="67"/>
      <c r="G30" s="67"/>
      <c r="H30" s="67"/>
      <c r="I30" s="67"/>
      <c r="J30" s="67"/>
      <c r="K30" s="67"/>
      <c r="L30" s="67"/>
      <c r="M30" s="67"/>
      <c r="N30" s="67"/>
      <c r="O30" s="67"/>
      <c r="P30" s="67"/>
      <c r="Q30" s="67"/>
      <c r="R30" s="67"/>
      <c r="S30" s="67"/>
      <c r="T30" s="67"/>
      <c r="U30" s="67"/>
      <c r="V30" s="67"/>
      <c r="W30" s="67"/>
      <c r="X30" s="67"/>
      <c r="Y30" s="67"/>
      <c r="Z30" s="67"/>
    </row>
    <row r="31">
      <c r="A31" s="136"/>
      <c r="B31" s="131"/>
      <c r="C31" s="131"/>
      <c r="D31" s="131"/>
      <c r="E31" s="130"/>
      <c r="F31" s="67"/>
      <c r="G31" s="67"/>
      <c r="H31" s="67"/>
      <c r="I31" s="67"/>
      <c r="J31" s="67"/>
      <c r="K31" s="67"/>
      <c r="L31" s="67"/>
      <c r="M31" s="67"/>
      <c r="N31" s="67"/>
      <c r="O31" s="67"/>
      <c r="P31" s="67"/>
      <c r="Q31" s="67"/>
      <c r="R31" s="67"/>
      <c r="S31" s="67"/>
      <c r="T31" s="67"/>
      <c r="U31" s="67"/>
      <c r="V31" s="67"/>
      <c r="W31" s="67"/>
      <c r="X31" s="67"/>
      <c r="Y31" s="67"/>
      <c r="Z31" s="67"/>
    </row>
    <row r="32">
      <c r="A32" s="135"/>
      <c r="B32" s="125"/>
      <c r="C32" s="125"/>
      <c r="D32" s="125"/>
      <c r="E32" s="126"/>
      <c r="F32" s="67"/>
      <c r="G32" s="67"/>
      <c r="H32" s="67"/>
      <c r="I32" s="67"/>
      <c r="J32" s="67"/>
      <c r="K32" s="67"/>
      <c r="L32" s="67"/>
      <c r="M32" s="67"/>
      <c r="N32" s="67"/>
      <c r="O32" s="67"/>
      <c r="P32" s="67"/>
      <c r="Q32" s="67"/>
      <c r="R32" s="67"/>
      <c r="S32" s="67"/>
      <c r="T32" s="67"/>
      <c r="U32" s="67"/>
      <c r="V32" s="67"/>
      <c r="W32" s="67"/>
      <c r="X32" s="67"/>
      <c r="Y32" s="67"/>
      <c r="Z32" s="67"/>
    </row>
    <row r="33">
      <c r="A33" s="136"/>
      <c r="B33" s="131"/>
      <c r="C33" s="131"/>
      <c r="D33" s="131"/>
      <c r="E33" s="130"/>
      <c r="F33" s="67"/>
      <c r="G33" s="67"/>
      <c r="H33" s="67"/>
      <c r="I33" s="67"/>
      <c r="J33" s="67"/>
      <c r="K33" s="67"/>
      <c r="L33" s="67"/>
      <c r="M33" s="67"/>
      <c r="N33" s="67"/>
      <c r="O33" s="67"/>
      <c r="P33" s="67"/>
      <c r="Q33" s="67"/>
      <c r="R33" s="67"/>
      <c r="S33" s="67"/>
      <c r="T33" s="67"/>
      <c r="U33" s="67"/>
      <c r="V33" s="67"/>
      <c r="W33" s="67"/>
      <c r="X33" s="67"/>
      <c r="Y33" s="67"/>
      <c r="Z33" s="67"/>
    </row>
    <row r="34">
      <c r="A34" s="135"/>
      <c r="B34" s="125"/>
      <c r="C34" s="125"/>
      <c r="D34" s="125"/>
      <c r="E34" s="126"/>
      <c r="F34" s="67"/>
      <c r="G34" s="67"/>
      <c r="H34" s="67"/>
      <c r="I34" s="67"/>
      <c r="J34" s="67"/>
      <c r="K34" s="67"/>
      <c r="L34" s="67"/>
      <c r="M34" s="67"/>
      <c r="N34" s="67"/>
      <c r="O34" s="67"/>
      <c r="P34" s="67"/>
      <c r="Q34" s="67"/>
      <c r="R34" s="67"/>
      <c r="S34" s="67"/>
      <c r="T34" s="67"/>
      <c r="U34" s="67"/>
      <c r="V34" s="67"/>
      <c r="W34" s="67"/>
      <c r="X34" s="67"/>
      <c r="Y34" s="67"/>
      <c r="Z34" s="67"/>
    </row>
    <row r="35">
      <c r="A35" s="136"/>
      <c r="B35" s="131"/>
      <c r="C35" s="131"/>
      <c r="D35" s="131"/>
      <c r="E35" s="130"/>
      <c r="F35" s="67"/>
      <c r="G35" s="67"/>
      <c r="H35" s="67"/>
      <c r="I35" s="67"/>
      <c r="J35" s="67"/>
      <c r="K35" s="67"/>
      <c r="L35" s="67"/>
      <c r="M35" s="67"/>
      <c r="N35" s="67"/>
      <c r="O35" s="67"/>
      <c r="P35" s="67"/>
      <c r="Q35" s="67"/>
      <c r="R35" s="67"/>
      <c r="S35" s="67"/>
      <c r="T35" s="67"/>
      <c r="U35" s="67"/>
      <c r="V35" s="67"/>
      <c r="W35" s="67"/>
      <c r="X35" s="67"/>
      <c r="Y35" s="67"/>
      <c r="Z35" s="67"/>
    </row>
    <row r="36">
      <c r="A36" s="135"/>
      <c r="B36" s="125"/>
      <c r="C36" s="125"/>
      <c r="D36" s="125"/>
      <c r="E36" s="126"/>
      <c r="F36" s="67"/>
      <c r="G36" s="67"/>
      <c r="H36" s="67"/>
      <c r="I36" s="67"/>
      <c r="J36" s="67"/>
      <c r="K36" s="67"/>
      <c r="L36" s="67"/>
      <c r="M36" s="67"/>
      <c r="N36" s="67"/>
      <c r="O36" s="67"/>
      <c r="P36" s="67"/>
      <c r="Q36" s="67"/>
      <c r="R36" s="67"/>
      <c r="S36" s="67"/>
      <c r="T36" s="67"/>
      <c r="U36" s="67"/>
      <c r="V36" s="67"/>
      <c r="W36" s="67"/>
      <c r="X36" s="67"/>
      <c r="Y36" s="67"/>
      <c r="Z36" s="67"/>
    </row>
    <row r="37">
      <c r="A37" s="136"/>
      <c r="B37" s="131"/>
      <c r="C37" s="131"/>
      <c r="D37" s="131"/>
      <c r="E37" s="130"/>
      <c r="F37" s="67"/>
      <c r="G37" s="67"/>
      <c r="H37" s="67"/>
      <c r="I37" s="67"/>
      <c r="J37" s="67"/>
      <c r="K37" s="67"/>
      <c r="L37" s="67"/>
      <c r="M37" s="67"/>
      <c r="N37" s="67"/>
      <c r="O37" s="67"/>
      <c r="P37" s="67"/>
      <c r="Q37" s="67"/>
      <c r="R37" s="67"/>
      <c r="S37" s="67"/>
      <c r="T37" s="67"/>
      <c r="U37" s="67"/>
      <c r="V37" s="67"/>
      <c r="W37" s="67"/>
      <c r="X37" s="67"/>
      <c r="Y37" s="67"/>
      <c r="Z37" s="67"/>
    </row>
    <row r="38">
      <c r="A38" s="135"/>
      <c r="B38" s="125"/>
      <c r="C38" s="125"/>
      <c r="D38" s="125"/>
      <c r="E38" s="126"/>
      <c r="F38" s="67"/>
      <c r="G38" s="67"/>
      <c r="H38" s="67"/>
      <c r="I38" s="67"/>
      <c r="J38" s="67"/>
      <c r="K38" s="67"/>
      <c r="L38" s="67"/>
      <c r="M38" s="67"/>
      <c r="N38" s="67"/>
      <c r="O38" s="67"/>
      <c r="P38" s="67"/>
      <c r="Q38" s="67"/>
      <c r="R38" s="67"/>
      <c r="S38" s="67"/>
      <c r="T38" s="67"/>
      <c r="U38" s="67"/>
      <c r="V38" s="67"/>
      <c r="W38" s="67"/>
      <c r="X38" s="67"/>
      <c r="Y38" s="67"/>
      <c r="Z38" s="67"/>
    </row>
    <row r="39">
      <c r="A39" s="136"/>
      <c r="B39" s="131"/>
      <c r="C39" s="131"/>
      <c r="D39" s="131"/>
      <c r="E39" s="130"/>
      <c r="F39" s="67"/>
      <c r="G39" s="67"/>
      <c r="H39" s="67"/>
      <c r="I39" s="67"/>
      <c r="J39" s="67"/>
      <c r="K39" s="67"/>
      <c r="L39" s="67"/>
      <c r="M39" s="67"/>
      <c r="N39" s="67"/>
      <c r="O39" s="67"/>
      <c r="P39" s="67"/>
      <c r="Q39" s="67"/>
      <c r="R39" s="67"/>
      <c r="S39" s="67"/>
      <c r="T39" s="67"/>
      <c r="U39" s="67"/>
      <c r="V39" s="67"/>
      <c r="W39" s="67"/>
      <c r="X39" s="67"/>
      <c r="Y39" s="67"/>
      <c r="Z39" s="67"/>
    </row>
    <row r="40">
      <c r="A40" s="135"/>
      <c r="B40" s="125"/>
      <c r="C40" s="125"/>
      <c r="D40" s="125"/>
      <c r="E40" s="126"/>
      <c r="F40" s="67"/>
      <c r="G40" s="67"/>
      <c r="H40" s="67"/>
      <c r="I40" s="67"/>
      <c r="J40" s="67"/>
      <c r="K40" s="67"/>
      <c r="L40" s="67"/>
      <c r="M40" s="67"/>
      <c r="N40" s="67"/>
      <c r="O40" s="67"/>
      <c r="P40" s="67"/>
      <c r="Q40" s="67"/>
      <c r="R40" s="67"/>
      <c r="S40" s="67"/>
      <c r="T40" s="67"/>
      <c r="U40" s="67"/>
      <c r="V40" s="67"/>
      <c r="W40" s="67"/>
      <c r="X40" s="67"/>
      <c r="Y40" s="67"/>
      <c r="Z40" s="67"/>
    </row>
    <row r="41">
      <c r="A41" s="136"/>
      <c r="B41" s="131"/>
      <c r="C41" s="131"/>
      <c r="D41" s="131"/>
      <c r="E41" s="130"/>
      <c r="F41" s="67"/>
      <c r="G41" s="67"/>
      <c r="H41" s="67"/>
      <c r="I41" s="67"/>
      <c r="J41" s="67"/>
      <c r="K41" s="67"/>
      <c r="L41" s="67"/>
      <c r="M41" s="67"/>
      <c r="N41" s="67"/>
      <c r="O41" s="67"/>
      <c r="P41" s="67"/>
      <c r="Q41" s="67"/>
      <c r="R41" s="67"/>
      <c r="S41" s="67"/>
      <c r="T41" s="67"/>
      <c r="U41" s="67"/>
      <c r="V41" s="67"/>
      <c r="W41" s="67"/>
      <c r="X41" s="67"/>
      <c r="Y41" s="67"/>
      <c r="Z41" s="67"/>
    </row>
    <row r="42">
      <c r="A42" s="135"/>
      <c r="B42" s="125"/>
      <c r="C42" s="125"/>
      <c r="D42" s="125"/>
      <c r="E42" s="126"/>
      <c r="F42" s="67"/>
      <c r="G42" s="67"/>
      <c r="H42" s="67"/>
      <c r="I42" s="67"/>
      <c r="J42" s="67"/>
      <c r="K42" s="67"/>
      <c r="L42" s="67"/>
      <c r="M42" s="67"/>
      <c r="N42" s="67"/>
      <c r="O42" s="67"/>
      <c r="P42" s="67"/>
      <c r="Q42" s="67"/>
      <c r="R42" s="67"/>
      <c r="S42" s="67"/>
      <c r="T42" s="67"/>
      <c r="U42" s="67"/>
      <c r="V42" s="67"/>
      <c r="W42" s="67"/>
      <c r="X42" s="67"/>
      <c r="Y42" s="67"/>
      <c r="Z42" s="67"/>
    </row>
    <row r="43">
      <c r="A43" s="136"/>
      <c r="B43" s="131"/>
      <c r="C43" s="131"/>
      <c r="D43" s="131"/>
      <c r="E43" s="130"/>
      <c r="F43" s="67"/>
      <c r="G43" s="67"/>
      <c r="H43" s="67"/>
      <c r="I43" s="67"/>
      <c r="J43" s="67"/>
      <c r="K43" s="67"/>
      <c r="L43" s="67"/>
      <c r="M43" s="67"/>
      <c r="N43" s="67"/>
      <c r="O43" s="67"/>
      <c r="P43" s="67"/>
      <c r="Q43" s="67"/>
      <c r="R43" s="67"/>
      <c r="S43" s="67"/>
      <c r="T43" s="67"/>
      <c r="U43" s="67"/>
      <c r="V43" s="67"/>
      <c r="W43" s="67"/>
      <c r="X43" s="67"/>
      <c r="Y43" s="67"/>
      <c r="Z43" s="67"/>
    </row>
    <row r="44">
      <c r="A44" s="135"/>
      <c r="B44" s="125"/>
      <c r="C44" s="125"/>
      <c r="D44" s="125"/>
      <c r="E44" s="126"/>
      <c r="F44" s="67"/>
      <c r="G44" s="67"/>
      <c r="H44" s="67"/>
      <c r="I44" s="67"/>
      <c r="J44" s="67"/>
      <c r="K44" s="67"/>
      <c r="L44" s="67"/>
      <c r="M44" s="67"/>
      <c r="N44" s="67"/>
      <c r="O44" s="67"/>
      <c r="P44" s="67"/>
      <c r="Q44" s="67"/>
      <c r="R44" s="67"/>
      <c r="S44" s="67"/>
      <c r="T44" s="67"/>
      <c r="U44" s="67"/>
      <c r="V44" s="67"/>
      <c r="W44" s="67"/>
      <c r="X44" s="67"/>
      <c r="Y44" s="67"/>
      <c r="Z44" s="67"/>
    </row>
    <row r="45">
      <c r="A45" s="136"/>
      <c r="B45" s="131"/>
      <c r="C45" s="131"/>
      <c r="D45" s="131"/>
      <c r="E45" s="130"/>
      <c r="F45" s="67"/>
      <c r="G45" s="67"/>
      <c r="H45" s="67"/>
      <c r="I45" s="67"/>
      <c r="J45" s="67"/>
      <c r="K45" s="67"/>
      <c r="L45" s="67"/>
      <c r="M45" s="67"/>
      <c r="N45" s="67"/>
      <c r="O45" s="67"/>
      <c r="P45" s="67"/>
      <c r="Q45" s="67"/>
      <c r="R45" s="67"/>
      <c r="S45" s="67"/>
      <c r="T45" s="67"/>
      <c r="U45" s="67"/>
      <c r="V45" s="67"/>
      <c r="W45" s="67"/>
      <c r="X45" s="67"/>
      <c r="Y45" s="67"/>
      <c r="Z45" s="67"/>
    </row>
    <row r="46">
      <c r="A46" s="135"/>
      <c r="B46" s="125"/>
      <c r="C46" s="125"/>
      <c r="D46" s="125"/>
      <c r="E46" s="126"/>
      <c r="F46" s="67"/>
      <c r="G46" s="67"/>
      <c r="H46" s="67"/>
      <c r="I46" s="67"/>
      <c r="J46" s="67"/>
      <c r="K46" s="67"/>
      <c r="L46" s="67"/>
      <c r="M46" s="67"/>
      <c r="N46" s="67"/>
      <c r="O46" s="67"/>
      <c r="P46" s="67"/>
      <c r="Q46" s="67"/>
      <c r="R46" s="67"/>
      <c r="S46" s="67"/>
      <c r="T46" s="67"/>
      <c r="U46" s="67"/>
      <c r="V46" s="67"/>
      <c r="W46" s="67"/>
      <c r="X46" s="67"/>
      <c r="Y46" s="67"/>
      <c r="Z46" s="67"/>
    </row>
    <row r="47">
      <c r="A47" s="136"/>
      <c r="B47" s="131"/>
      <c r="C47" s="131"/>
      <c r="D47" s="131"/>
      <c r="E47" s="130"/>
      <c r="F47" s="67"/>
      <c r="G47" s="67"/>
      <c r="H47" s="67"/>
      <c r="I47" s="67"/>
      <c r="J47" s="67"/>
      <c r="K47" s="67"/>
      <c r="L47" s="67"/>
      <c r="M47" s="67"/>
      <c r="N47" s="67"/>
      <c r="O47" s="67"/>
      <c r="P47" s="67"/>
      <c r="Q47" s="67"/>
      <c r="R47" s="67"/>
      <c r="S47" s="67"/>
      <c r="T47" s="67"/>
      <c r="U47" s="67"/>
      <c r="V47" s="67"/>
      <c r="W47" s="67"/>
      <c r="X47" s="67"/>
      <c r="Y47" s="67"/>
      <c r="Z47" s="67"/>
    </row>
    <row r="48">
      <c r="A48" s="135"/>
      <c r="B48" s="125"/>
      <c r="C48" s="125"/>
      <c r="D48" s="125"/>
      <c r="E48" s="126"/>
      <c r="F48" s="67"/>
      <c r="G48" s="67"/>
      <c r="H48" s="67"/>
      <c r="I48" s="67"/>
      <c r="J48" s="67"/>
      <c r="K48" s="67"/>
      <c r="L48" s="67"/>
      <c r="M48" s="67"/>
      <c r="N48" s="67"/>
      <c r="O48" s="67"/>
      <c r="P48" s="67"/>
      <c r="Q48" s="67"/>
      <c r="R48" s="67"/>
      <c r="S48" s="67"/>
      <c r="T48" s="67"/>
      <c r="U48" s="67"/>
      <c r="V48" s="67"/>
      <c r="W48" s="67"/>
      <c r="X48" s="67"/>
      <c r="Y48" s="67"/>
      <c r="Z48" s="67"/>
    </row>
    <row r="49">
      <c r="A49" s="136"/>
      <c r="B49" s="131"/>
      <c r="C49" s="131"/>
      <c r="D49" s="131"/>
      <c r="E49" s="130"/>
      <c r="F49" s="67"/>
      <c r="G49" s="67"/>
      <c r="H49" s="67"/>
      <c r="I49" s="67"/>
      <c r="J49" s="67"/>
      <c r="K49" s="67"/>
      <c r="L49" s="67"/>
      <c r="M49" s="67"/>
      <c r="N49" s="67"/>
      <c r="O49" s="67"/>
      <c r="P49" s="67"/>
      <c r="Q49" s="67"/>
      <c r="R49" s="67"/>
      <c r="S49" s="67"/>
      <c r="T49" s="67"/>
      <c r="U49" s="67"/>
      <c r="V49" s="67"/>
      <c r="W49" s="67"/>
      <c r="X49" s="67"/>
      <c r="Y49" s="67"/>
      <c r="Z49" s="67"/>
    </row>
    <row r="50">
      <c r="A50" s="135"/>
      <c r="B50" s="125"/>
      <c r="C50" s="125"/>
      <c r="D50" s="125"/>
      <c r="E50" s="126"/>
      <c r="F50" s="67"/>
      <c r="G50" s="67"/>
      <c r="H50" s="67"/>
      <c r="I50" s="67"/>
      <c r="J50" s="67"/>
      <c r="K50" s="67"/>
      <c r="L50" s="67"/>
      <c r="M50" s="67"/>
      <c r="N50" s="67"/>
      <c r="O50" s="67"/>
      <c r="P50" s="67"/>
      <c r="Q50" s="67"/>
      <c r="R50" s="67"/>
      <c r="S50" s="67"/>
      <c r="T50" s="67"/>
      <c r="U50" s="67"/>
      <c r="V50" s="67"/>
      <c r="W50" s="67"/>
      <c r="X50" s="67"/>
      <c r="Y50" s="67"/>
      <c r="Z50" s="67"/>
    </row>
    <row r="51">
      <c r="A51" s="136"/>
      <c r="B51" s="131"/>
      <c r="C51" s="131"/>
      <c r="D51" s="131"/>
      <c r="E51" s="130"/>
      <c r="F51" s="67"/>
      <c r="G51" s="67"/>
      <c r="H51" s="67"/>
      <c r="I51" s="67"/>
      <c r="J51" s="67"/>
      <c r="K51" s="67"/>
      <c r="L51" s="67"/>
      <c r="M51" s="67"/>
      <c r="N51" s="67"/>
      <c r="O51" s="67"/>
      <c r="P51" s="67"/>
      <c r="Q51" s="67"/>
      <c r="R51" s="67"/>
      <c r="S51" s="67"/>
      <c r="T51" s="67"/>
      <c r="U51" s="67"/>
      <c r="V51" s="67"/>
      <c r="W51" s="67"/>
      <c r="X51" s="67"/>
      <c r="Y51" s="67"/>
      <c r="Z51" s="67"/>
    </row>
    <row r="52">
      <c r="A52" s="135"/>
      <c r="B52" s="125"/>
      <c r="C52" s="125"/>
      <c r="D52" s="125"/>
      <c r="E52" s="126"/>
      <c r="F52" s="67"/>
      <c r="G52" s="67"/>
      <c r="H52" s="67"/>
      <c r="I52" s="67"/>
      <c r="J52" s="67"/>
      <c r="K52" s="67"/>
      <c r="L52" s="67"/>
      <c r="M52" s="67"/>
      <c r="N52" s="67"/>
      <c r="O52" s="67"/>
      <c r="P52" s="67"/>
      <c r="Q52" s="67"/>
      <c r="R52" s="67"/>
      <c r="S52" s="67"/>
      <c r="T52" s="67"/>
      <c r="U52" s="67"/>
      <c r="V52" s="67"/>
      <c r="W52" s="67"/>
      <c r="X52" s="67"/>
      <c r="Y52" s="67"/>
      <c r="Z52" s="67"/>
    </row>
    <row r="53">
      <c r="A53" s="136"/>
      <c r="B53" s="131"/>
      <c r="C53" s="131"/>
      <c r="D53" s="131"/>
      <c r="E53" s="130"/>
      <c r="F53" s="67"/>
      <c r="G53" s="67"/>
      <c r="H53" s="67"/>
      <c r="I53" s="67"/>
      <c r="J53" s="67"/>
      <c r="K53" s="67"/>
      <c r="L53" s="67"/>
      <c r="M53" s="67"/>
      <c r="N53" s="67"/>
      <c r="O53" s="67"/>
      <c r="P53" s="67"/>
      <c r="Q53" s="67"/>
      <c r="R53" s="67"/>
      <c r="S53" s="67"/>
      <c r="T53" s="67"/>
      <c r="U53" s="67"/>
      <c r="V53" s="67"/>
      <c r="W53" s="67"/>
      <c r="X53" s="67"/>
      <c r="Y53" s="67"/>
      <c r="Z53" s="67"/>
    </row>
    <row r="54">
      <c r="A54" s="135"/>
      <c r="B54" s="125"/>
      <c r="C54" s="125"/>
      <c r="D54" s="125"/>
      <c r="E54" s="126"/>
      <c r="F54" s="67"/>
      <c r="G54" s="67"/>
      <c r="H54" s="67"/>
      <c r="I54" s="67"/>
      <c r="J54" s="67"/>
      <c r="K54" s="67"/>
      <c r="L54" s="67"/>
      <c r="M54" s="67"/>
      <c r="N54" s="67"/>
      <c r="O54" s="67"/>
      <c r="P54" s="67"/>
      <c r="Q54" s="67"/>
      <c r="R54" s="67"/>
      <c r="S54" s="67"/>
      <c r="T54" s="67"/>
      <c r="U54" s="67"/>
      <c r="V54" s="67"/>
      <c r="W54" s="67"/>
      <c r="X54" s="67"/>
      <c r="Y54" s="67"/>
      <c r="Z54" s="67"/>
    </row>
    <row r="55">
      <c r="A55" s="136"/>
      <c r="B55" s="131"/>
      <c r="C55" s="131"/>
      <c r="D55" s="131"/>
      <c r="E55" s="130"/>
      <c r="F55" s="67"/>
      <c r="G55" s="67"/>
      <c r="H55" s="67"/>
      <c r="I55" s="67"/>
      <c r="J55" s="67"/>
      <c r="K55" s="67"/>
      <c r="L55" s="67"/>
      <c r="M55" s="67"/>
      <c r="N55" s="67"/>
      <c r="O55" s="67"/>
      <c r="P55" s="67"/>
      <c r="Q55" s="67"/>
      <c r="R55" s="67"/>
      <c r="S55" s="67"/>
      <c r="T55" s="67"/>
      <c r="U55" s="67"/>
      <c r="V55" s="67"/>
      <c r="W55" s="67"/>
      <c r="X55" s="67"/>
      <c r="Y55" s="67"/>
      <c r="Z55" s="67"/>
    </row>
    <row r="56">
      <c r="A56" s="135"/>
      <c r="B56" s="125"/>
      <c r="C56" s="125"/>
      <c r="D56" s="125"/>
      <c r="E56" s="126"/>
      <c r="F56" s="67"/>
      <c r="G56" s="67"/>
      <c r="H56" s="67"/>
      <c r="I56" s="67"/>
      <c r="J56" s="67"/>
      <c r="K56" s="67"/>
      <c r="L56" s="67"/>
      <c r="M56" s="67"/>
      <c r="N56" s="67"/>
      <c r="O56" s="67"/>
      <c r="P56" s="67"/>
      <c r="Q56" s="67"/>
      <c r="R56" s="67"/>
      <c r="S56" s="67"/>
      <c r="T56" s="67"/>
      <c r="U56" s="67"/>
      <c r="V56" s="67"/>
      <c r="W56" s="67"/>
      <c r="X56" s="67"/>
      <c r="Y56" s="67"/>
      <c r="Z56" s="67"/>
    </row>
    <row r="57">
      <c r="A57" s="136"/>
      <c r="B57" s="131"/>
      <c r="C57" s="131"/>
      <c r="D57" s="131"/>
      <c r="E57" s="130"/>
      <c r="F57" s="67"/>
      <c r="G57" s="67"/>
      <c r="H57" s="67"/>
      <c r="I57" s="67"/>
      <c r="J57" s="67"/>
      <c r="K57" s="67"/>
      <c r="L57" s="67"/>
      <c r="M57" s="67"/>
      <c r="N57" s="67"/>
      <c r="O57" s="67"/>
      <c r="P57" s="67"/>
      <c r="Q57" s="67"/>
      <c r="R57" s="67"/>
      <c r="S57" s="67"/>
      <c r="T57" s="67"/>
      <c r="U57" s="67"/>
      <c r="V57" s="67"/>
      <c r="W57" s="67"/>
      <c r="X57" s="67"/>
      <c r="Y57" s="67"/>
      <c r="Z57" s="67"/>
    </row>
    <row r="58">
      <c r="A58" s="135"/>
      <c r="B58" s="125"/>
      <c r="C58" s="125"/>
      <c r="D58" s="125"/>
      <c r="E58" s="126"/>
      <c r="F58" s="67"/>
      <c r="G58" s="67"/>
      <c r="H58" s="67"/>
      <c r="I58" s="67"/>
      <c r="J58" s="67"/>
      <c r="K58" s="67"/>
      <c r="L58" s="67"/>
      <c r="M58" s="67"/>
      <c r="N58" s="67"/>
      <c r="O58" s="67"/>
      <c r="P58" s="67"/>
      <c r="Q58" s="67"/>
      <c r="R58" s="67"/>
      <c r="S58" s="67"/>
      <c r="T58" s="67"/>
      <c r="U58" s="67"/>
      <c r="V58" s="67"/>
      <c r="W58" s="67"/>
      <c r="X58" s="67"/>
      <c r="Y58" s="67"/>
      <c r="Z58" s="67"/>
    </row>
    <row r="59">
      <c r="A59" s="136"/>
      <c r="B59" s="131"/>
      <c r="C59" s="131"/>
      <c r="D59" s="131"/>
      <c r="E59" s="130"/>
      <c r="F59" s="67"/>
      <c r="G59" s="67"/>
      <c r="H59" s="67"/>
      <c r="I59" s="67"/>
      <c r="J59" s="67"/>
      <c r="K59" s="67"/>
      <c r="L59" s="67"/>
      <c r="M59" s="67"/>
      <c r="N59" s="67"/>
      <c r="O59" s="67"/>
      <c r="P59" s="67"/>
      <c r="Q59" s="67"/>
      <c r="R59" s="67"/>
      <c r="S59" s="67"/>
      <c r="T59" s="67"/>
      <c r="U59" s="67"/>
      <c r="V59" s="67"/>
      <c r="W59" s="67"/>
      <c r="X59" s="67"/>
      <c r="Y59" s="67"/>
      <c r="Z59" s="67"/>
    </row>
    <row r="60">
      <c r="A60" s="135"/>
      <c r="B60" s="125"/>
      <c r="C60" s="125"/>
      <c r="D60" s="125"/>
      <c r="E60" s="126"/>
      <c r="F60" s="67"/>
      <c r="G60" s="67"/>
      <c r="H60" s="67"/>
      <c r="I60" s="67"/>
      <c r="J60" s="67"/>
      <c r="K60" s="67"/>
      <c r="L60" s="67"/>
      <c r="M60" s="67"/>
      <c r="N60" s="67"/>
      <c r="O60" s="67"/>
      <c r="P60" s="67"/>
      <c r="Q60" s="67"/>
      <c r="R60" s="67"/>
      <c r="S60" s="67"/>
      <c r="T60" s="67"/>
      <c r="U60" s="67"/>
      <c r="V60" s="67"/>
      <c r="W60" s="67"/>
      <c r="X60" s="67"/>
      <c r="Y60" s="67"/>
      <c r="Z60" s="67"/>
    </row>
    <row r="61">
      <c r="A61" s="136"/>
      <c r="B61" s="131"/>
      <c r="C61" s="131"/>
      <c r="D61" s="131"/>
      <c r="E61" s="130"/>
      <c r="F61" s="67"/>
      <c r="G61" s="67"/>
      <c r="H61" s="67"/>
      <c r="I61" s="67"/>
      <c r="J61" s="67"/>
      <c r="K61" s="67"/>
      <c r="L61" s="67"/>
      <c r="M61" s="67"/>
      <c r="N61" s="67"/>
      <c r="O61" s="67"/>
      <c r="P61" s="67"/>
      <c r="Q61" s="67"/>
      <c r="R61" s="67"/>
      <c r="S61" s="67"/>
      <c r="T61" s="67"/>
      <c r="U61" s="67"/>
      <c r="V61" s="67"/>
      <c r="W61" s="67"/>
      <c r="X61" s="67"/>
      <c r="Y61" s="67"/>
      <c r="Z61" s="67"/>
    </row>
    <row r="62">
      <c r="A62" s="135"/>
      <c r="B62" s="125"/>
      <c r="C62" s="125"/>
      <c r="D62" s="125"/>
      <c r="E62" s="126"/>
      <c r="F62" s="67"/>
      <c r="G62" s="67"/>
      <c r="H62" s="67"/>
      <c r="I62" s="67"/>
      <c r="J62" s="67"/>
      <c r="K62" s="67"/>
      <c r="L62" s="67"/>
      <c r="M62" s="67"/>
      <c r="N62" s="67"/>
      <c r="O62" s="67"/>
      <c r="P62" s="67"/>
      <c r="Q62" s="67"/>
      <c r="R62" s="67"/>
      <c r="S62" s="67"/>
      <c r="T62" s="67"/>
      <c r="U62" s="67"/>
      <c r="V62" s="67"/>
      <c r="W62" s="67"/>
      <c r="X62" s="67"/>
      <c r="Y62" s="67"/>
      <c r="Z62" s="67"/>
    </row>
    <row r="63">
      <c r="A63" s="136"/>
      <c r="B63" s="131"/>
      <c r="C63" s="131"/>
      <c r="D63" s="131"/>
      <c r="E63" s="130"/>
      <c r="F63" s="67"/>
      <c r="G63" s="67"/>
      <c r="H63" s="67"/>
      <c r="I63" s="67"/>
      <c r="J63" s="67"/>
      <c r="K63" s="67"/>
      <c r="L63" s="67"/>
      <c r="M63" s="67"/>
      <c r="N63" s="67"/>
      <c r="O63" s="67"/>
      <c r="P63" s="67"/>
      <c r="Q63" s="67"/>
      <c r="R63" s="67"/>
      <c r="S63" s="67"/>
      <c r="T63" s="67"/>
      <c r="U63" s="67"/>
      <c r="V63" s="67"/>
      <c r="W63" s="67"/>
      <c r="X63" s="67"/>
      <c r="Y63" s="67"/>
      <c r="Z63" s="67"/>
    </row>
    <row r="64">
      <c r="A64" s="135"/>
      <c r="B64" s="125"/>
      <c r="C64" s="125"/>
      <c r="D64" s="125"/>
      <c r="E64" s="126"/>
      <c r="F64" s="67"/>
      <c r="G64" s="67"/>
      <c r="H64" s="67"/>
      <c r="I64" s="67"/>
      <c r="J64" s="67"/>
      <c r="K64" s="67"/>
      <c r="L64" s="67"/>
      <c r="M64" s="67"/>
      <c r="N64" s="67"/>
      <c r="O64" s="67"/>
      <c r="P64" s="67"/>
      <c r="Q64" s="67"/>
      <c r="R64" s="67"/>
      <c r="S64" s="67"/>
      <c r="T64" s="67"/>
      <c r="U64" s="67"/>
      <c r="V64" s="67"/>
      <c r="W64" s="67"/>
      <c r="X64" s="67"/>
      <c r="Y64" s="67"/>
      <c r="Z64" s="67"/>
    </row>
    <row r="65">
      <c r="A65" s="136"/>
      <c r="B65" s="131"/>
      <c r="C65" s="131"/>
      <c r="D65" s="131"/>
      <c r="E65" s="130"/>
      <c r="F65" s="67"/>
      <c r="G65" s="67"/>
      <c r="H65" s="67"/>
      <c r="I65" s="67"/>
      <c r="J65" s="67"/>
      <c r="K65" s="67"/>
      <c r="L65" s="67"/>
      <c r="M65" s="67"/>
      <c r="N65" s="67"/>
      <c r="O65" s="67"/>
      <c r="P65" s="67"/>
      <c r="Q65" s="67"/>
      <c r="R65" s="67"/>
      <c r="S65" s="67"/>
      <c r="T65" s="67"/>
      <c r="U65" s="67"/>
      <c r="V65" s="67"/>
      <c r="W65" s="67"/>
      <c r="X65" s="67"/>
      <c r="Y65" s="67"/>
      <c r="Z65" s="67"/>
    </row>
    <row r="66">
      <c r="A66" s="135"/>
      <c r="B66" s="125"/>
      <c r="C66" s="125"/>
      <c r="D66" s="125"/>
      <c r="E66" s="126"/>
      <c r="F66" s="67"/>
      <c r="G66" s="67"/>
      <c r="H66" s="67"/>
      <c r="I66" s="67"/>
      <c r="J66" s="67"/>
      <c r="K66" s="67"/>
      <c r="L66" s="67"/>
      <c r="M66" s="67"/>
      <c r="N66" s="67"/>
      <c r="O66" s="67"/>
      <c r="P66" s="67"/>
      <c r="Q66" s="67"/>
      <c r="R66" s="67"/>
      <c r="S66" s="67"/>
      <c r="T66" s="67"/>
      <c r="U66" s="67"/>
      <c r="V66" s="67"/>
      <c r="W66" s="67"/>
      <c r="X66" s="67"/>
      <c r="Y66" s="67"/>
      <c r="Z66" s="67"/>
    </row>
    <row r="67">
      <c r="A67" s="136"/>
      <c r="B67" s="131"/>
      <c r="C67" s="131"/>
      <c r="D67" s="131"/>
      <c r="E67" s="130"/>
      <c r="F67" s="67"/>
      <c r="G67" s="67"/>
      <c r="H67" s="67"/>
      <c r="I67" s="67"/>
      <c r="J67" s="67"/>
      <c r="K67" s="67"/>
      <c r="L67" s="67"/>
      <c r="M67" s="67"/>
      <c r="N67" s="67"/>
      <c r="O67" s="67"/>
      <c r="P67" s="67"/>
      <c r="Q67" s="67"/>
      <c r="R67" s="67"/>
      <c r="S67" s="67"/>
      <c r="T67" s="67"/>
      <c r="U67" s="67"/>
      <c r="V67" s="67"/>
      <c r="W67" s="67"/>
      <c r="X67" s="67"/>
      <c r="Y67" s="67"/>
      <c r="Z67" s="67"/>
    </row>
    <row r="68">
      <c r="A68" s="135"/>
      <c r="B68" s="125"/>
      <c r="C68" s="125"/>
      <c r="D68" s="125"/>
      <c r="E68" s="126"/>
      <c r="F68" s="67"/>
      <c r="G68" s="67"/>
      <c r="H68" s="67"/>
      <c r="I68" s="67"/>
      <c r="J68" s="67"/>
      <c r="K68" s="67"/>
      <c r="L68" s="67"/>
      <c r="M68" s="67"/>
      <c r="N68" s="67"/>
      <c r="O68" s="67"/>
      <c r="P68" s="67"/>
      <c r="Q68" s="67"/>
      <c r="R68" s="67"/>
      <c r="S68" s="67"/>
      <c r="T68" s="67"/>
      <c r="U68" s="67"/>
      <c r="V68" s="67"/>
      <c r="W68" s="67"/>
      <c r="X68" s="67"/>
      <c r="Y68" s="67"/>
      <c r="Z68" s="67"/>
    </row>
    <row r="69">
      <c r="A69" s="136"/>
      <c r="B69" s="131"/>
      <c r="C69" s="131"/>
      <c r="D69" s="131"/>
      <c r="E69" s="130"/>
      <c r="F69" s="67"/>
      <c r="G69" s="67"/>
      <c r="H69" s="67"/>
      <c r="I69" s="67"/>
      <c r="J69" s="67"/>
      <c r="K69" s="67"/>
      <c r="L69" s="67"/>
      <c r="M69" s="67"/>
      <c r="N69" s="67"/>
      <c r="O69" s="67"/>
      <c r="P69" s="67"/>
      <c r="Q69" s="67"/>
      <c r="R69" s="67"/>
      <c r="S69" s="67"/>
      <c r="T69" s="67"/>
      <c r="U69" s="67"/>
      <c r="V69" s="67"/>
      <c r="W69" s="67"/>
      <c r="X69" s="67"/>
      <c r="Y69" s="67"/>
      <c r="Z69" s="67"/>
    </row>
    <row r="70">
      <c r="A70" s="135"/>
      <c r="B70" s="125"/>
      <c r="C70" s="125"/>
      <c r="D70" s="125"/>
      <c r="E70" s="126"/>
      <c r="F70" s="67"/>
      <c r="G70" s="67"/>
      <c r="H70" s="67"/>
      <c r="I70" s="67"/>
      <c r="J70" s="67"/>
      <c r="K70" s="67"/>
      <c r="L70" s="67"/>
      <c r="M70" s="67"/>
      <c r="N70" s="67"/>
      <c r="O70" s="67"/>
      <c r="P70" s="67"/>
      <c r="Q70" s="67"/>
      <c r="R70" s="67"/>
      <c r="S70" s="67"/>
      <c r="T70" s="67"/>
      <c r="U70" s="67"/>
      <c r="V70" s="67"/>
      <c r="W70" s="67"/>
      <c r="X70" s="67"/>
      <c r="Y70" s="67"/>
      <c r="Z70" s="67"/>
    </row>
    <row r="71">
      <c r="A71" s="136"/>
      <c r="B71" s="131"/>
      <c r="C71" s="131"/>
      <c r="D71" s="131"/>
      <c r="E71" s="130"/>
      <c r="F71" s="67"/>
      <c r="G71" s="67"/>
      <c r="H71" s="67"/>
      <c r="I71" s="67"/>
      <c r="J71" s="67"/>
      <c r="K71" s="67"/>
      <c r="L71" s="67"/>
      <c r="M71" s="67"/>
      <c r="N71" s="67"/>
      <c r="O71" s="67"/>
      <c r="P71" s="67"/>
      <c r="Q71" s="67"/>
      <c r="R71" s="67"/>
      <c r="S71" s="67"/>
      <c r="T71" s="67"/>
      <c r="U71" s="67"/>
      <c r="V71" s="67"/>
      <c r="W71" s="67"/>
      <c r="X71" s="67"/>
      <c r="Y71" s="67"/>
      <c r="Z71" s="67"/>
    </row>
    <row r="72">
      <c r="A72" s="135"/>
      <c r="B72" s="125"/>
      <c r="C72" s="125"/>
      <c r="D72" s="125"/>
      <c r="E72" s="126"/>
      <c r="F72" s="67"/>
      <c r="G72" s="67"/>
      <c r="H72" s="67"/>
      <c r="I72" s="67"/>
      <c r="J72" s="67"/>
      <c r="K72" s="67"/>
      <c r="L72" s="67"/>
      <c r="M72" s="67"/>
      <c r="N72" s="67"/>
      <c r="O72" s="67"/>
      <c r="P72" s="67"/>
      <c r="Q72" s="67"/>
      <c r="R72" s="67"/>
      <c r="S72" s="67"/>
      <c r="T72" s="67"/>
      <c r="U72" s="67"/>
      <c r="V72" s="67"/>
      <c r="W72" s="67"/>
      <c r="X72" s="67"/>
      <c r="Y72" s="67"/>
      <c r="Z72" s="67"/>
    </row>
    <row r="73">
      <c r="A73" s="136"/>
      <c r="B73" s="131"/>
      <c r="C73" s="131"/>
      <c r="D73" s="131"/>
      <c r="E73" s="130"/>
      <c r="F73" s="67"/>
      <c r="G73" s="67"/>
      <c r="H73" s="67"/>
      <c r="I73" s="67"/>
      <c r="J73" s="67"/>
      <c r="K73" s="67"/>
      <c r="L73" s="67"/>
      <c r="M73" s="67"/>
      <c r="N73" s="67"/>
      <c r="O73" s="67"/>
      <c r="P73" s="67"/>
      <c r="Q73" s="67"/>
      <c r="R73" s="67"/>
      <c r="S73" s="67"/>
      <c r="T73" s="67"/>
      <c r="U73" s="67"/>
      <c r="V73" s="67"/>
      <c r="W73" s="67"/>
      <c r="X73" s="67"/>
      <c r="Y73" s="67"/>
      <c r="Z73" s="67"/>
    </row>
    <row r="74">
      <c r="A74" s="135"/>
      <c r="B74" s="125"/>
      <c r="C74" s="125"/>
      <c r="D74" s="125"/>
      <c r="E74" s="126"/>
      <c r="F74" s="67"/>
      <c r="G74" s="67"/>
      <c r="H74" s="67"/>
      <c r="I74" s="67"/>
      <c r="J74" s="67"/>
      <c r="K74" s="67"/>
      <c r="L74" s="67"/>
      <c r="M74" s="67"/>
      <c r="N74" s="67"/>
      <c r="O74" s="67"/>
      <c r="P74" s="67"/>
      <c r="Q74" s="67"/>
      <c r="R74" s="67"/>
      <c r="S74" s="67"/>
      <c r="T74" s="67"/>
      <c r="U74" s="67"/>
      <c r="V74" s="67"/>
      <c r="W74" s="67"/>
      <c r="X74" s="67"/>
      <c r="Y74" s="67"/>
      <c r="Z74" s="67"/>
    </row>
    <row r="75">
      <c r="A75" s="136"/>
      <c r="B75" s="131"/>
      <c r="C75" s="131"/>
      <c r="D75" s="131"/>
      <c r="E75" s="130"/>
      <c r="F75" s="67"/>
      <c r="G75" s="67"/>
      <c r="H75" s="67"/>
      <c r="I75" s="67"/>
      <c r="J75" s="67"/>
      <c r="K75" s="67"/>
      <c r="L75" s="67"/>
      <c r="M75" s="67"/>
      <c r="N75" s="67"/>
      <c r="O75" s="67"/>
      <c r="P75" s="67"/>
      <c r="Q75" s="67"/>
      <c r="R75" s="67"/>
      <c r="S75" s="67"/>
      <c r="T75" s="67"/>
      <c r="U75" s="67"/>
      <c r="V75" s="67"/>
      <c r="W75" s="67"/>
      <c r="X75" s="67"/>
      <c r="Y75" s="67"/>
      <c r="Z75" s="67"/>
    </row>
    <row r="76">
      <c r="A76" s="135"/>
      <c r="B76" s="125"/>
      <c r="C76" s="125"/>
      <c r="D76" s="125"/>
      <c r="E76" s="126"/>
      <c r="F76" s="67"/>
      <c r="G76" s="67"/>
      <c r="H76" s="67"/>
      <c r="I76" s="67"/>
      <c r="J76" s="67"/>
      <c r="K76" s="67"/>
      <c r="L76" s="67"/>
      <c r="M76" s="67"/>
      <c r="N76" s="67"/>
      <c r="O76" s="67"/>
      <c r="P76" s="67"/>
      <c r="Q76" s="67"/>
      <c r="R76" s="67"/>
      <c r="S76" s="67"/>
      <c r="T76" s="67"/>
      <c r="U76" s="67"/>
      <c r="V76" s="67"/>
      <c r="W76" s="67"/>
      <c r="X76" s="67"/>
      <c r="Y76" s="67"/>
      <c r="Z76" s="67"/>
    </row>
    <row r="77">
      <c r="A77" s="136"/>
      <c r="B77" s="131"/>
      <c r="C77" s="131"/>
      <c r="D77" s="131"/>
      <c r="E77" s="130"/>
      <c r="F77" s="67"/>
      <c r="G77" s="67"/>
      <c r="H77" s="67"/>
      <c r="I77" s="67"/>
      <c r="J77" s="67"/>
      <c r="K77" s="67"/>
      <c r="L77" s="67"/>
      <c r="M77" s="67"/>
      <c r="N77" s="67"/>
      <c r="O77" s="67"/>
      <c r="P77" s="67"/>
      <c r="Q77" s="67"/>
      <c r="R77" s="67"/>
      <c r="S77" s="67"/>
      <c r="T77" s="67"/>
      <c r="U77" s="67"/>
      <c r="V77" s="67"/>
      <c r="W77" s="67"/>
      <c r="X77" s="67"/>
      <c r="Y77" s="67"/>
      <c r="Z77" s="67"/>
    </row>
    <row r="78">
      <c r="A78" s="135"/>
      <c r="B78" s="125"/>
      <c r="C78" s="125"/>
      <c r="D78" s="125"/>
      <c r="E78" s="126"/>
      <c r="F78" s="67"/>
      <c r="G78" s="67"/>
      <c r="H78" s="67"/>
      <c r="I78" s="67"/>
      <c r="J78" s="67"/>
      <c r="K78" s="67"/>
      <c r="L78" s="67"/>
      <c r="M78" s="67"/>
      <c r="N78" s="67"/>
      <c r="O78" s="67"/>
      <c r="P78" s="67"/>
      <c r="Q78" s="67"/>
      <c r="R78" s="67"/>
      <c r="S78" s="67"/>
      <c r="T78" s="67"/>
      <c r="U78" s="67"/>
      <c r="V78" s="67"/>
      <c r="W78" s="67"/>
      <c r="X78" s="67"/>
      <c r="Y78" s="67"/>
      <c r="Z78" s="67"/>
    </row>
    <row r="79">
      <c r="A79" s="136"/>
      <c r="B79" s="131"/>
      <c r="C79" s="131"/>
      <c r="D79" s="131"/>
      <c r="E79" s="130"/>
      <c r="F79" s="67"/>
      <c r="G79" s="67"/>
      <c r="H79" s="67"/>
      <c r="I79" s="67"/>
      <c r="J79" s="67"/>
      <c r="K79" s="67"/>
      <c r="L79" s="67"/>
      <c r="M79" s="67"/>
      <c r="N79" s="67"/>
      <c r="O79" s="67"/>
      <c r="P79" s="67"/>
      <c r="Q79" s="67"/>
      <c r="R79" s="67"/>
      <c r="S79" s="67"/>
      <c r="T79" s="67"/>
      <c r="U79" s="67"/>
      <c r="V79" s="67"/>
      <c r="W79" s="67"/>
      <c r="X79" s="67"/>
      <c r="Y79" s="67"/>
      <c r="Z79" s="67"/>
    </row>
    <row r="80">
      <c r="A80" s="135"/>
      <c r="B80" s="125"/>
      <c r="C80" s="125"/>
      <c r="D80" s="125"/>
      <c r="E80" s="126"/>
      <c r="F80" s="67"/>
      <c r="G80" s="67"/>
      <c r="H80" s="67"/>
      <c r="I80" s="67"/>
      <c r="J80" s="67"/>
      <c r="K80" s="67"/>
      <c r="L80" s="67"/>
      <c r="M80" s="67"/>
      <c r="N80" s="67"/>
      <c r="O80" s="67"/>
      <c r="P80" s="67"/>
      <c r="Q80" s="67"/>
      <c r="R80" s="67"/>
      <c r="S80" s="67"/>
      <c r="T80" s="67"/>
      <c r="U80" s="67"/>
      <c r="V80" s="67"/>
      <c r="W80" s="67"/>
      <c r="X80" s="67"/>
      <c r="Y80" s="67"/>
      <c r="Z80" s="67"/>
    </row>
    <row r="81">
      <c r="A81" s="136"/>
      <c r="B81" s="131"/>
      <c r="C81" s="131"/>
      <c r="D81" s="131"/>
      <c r="E81" s="130"/>
      <c r="F81" s="67"/>
      <c r="G81" s="67"/>
      <c r="H81" s="67"/>
      <c r="I81" s="67"/>
      <c r="J81" s="67"/>
      <c r="K81" s="67"/>
      <c r="L81" s="67"/>
      <c r="M81" s="67"/>
      <c r="N81" s="67"/>
      <c r="O81" s="67"/>
      <c r="P81" s="67"/>
      <c r="Q81" s="67"/>
      <c r="R81" s="67"/>
      <c r="S81" s="67"/>
      <c r="T81" s="67"/>
      <c r="U81" s="67"/>
      <c r="V81" s="67"/>
      <c r="W81" s="67"/>
      <c r="X81" s="67"/>
      <c r="Y81" s="67"/>
      <c r="Z81" s="67"/>
    </row>
    <row r="82">
      <c r="A82" s="135"/>
      <c r="B82" s="125"/>
      <c r="C82" s="125"/>
      <c r="D82" s="125"/>
      <c r="E82" s="126"/>
      <c r="F82" s="67"/>
      <c r="G82" s="67"/>
      <c r="H82" s="67"/>
      <c r="I82" s="67"/>
      <c r="J82" s="67"/>
      <c r="K82" s="67"/>
      <c r="L82" s="67"/>
      <c r="M82" s="67"/>
      <c r="N82" s="67"/>
      <c r="O82" s="67"/>
      <c r="P82" s="67"/>
      <c r="Q82" s="67"/>
      <c r="R82" s="67"/>
      <c r="S82" s="67"/>
      <c r="T82" s="67"/>
      <c r="U82" s="67"/>
      <c r="V82" s="67"/>
      <c r="W82" s="67"/>
      <c r="X82" s="67"/>
      <c r="Y82" s="67"/>
      <c r="Z82" s="67"/>
    </row>
    <row r="83">
      <c r="A83" s="136"/>
      <c r="B83" s="131"/>
      <c r="C83" s="131"/>
      <c r="D83" s="131"/>
      <c r="E83" s="130"/>
      <c r="F83" s="67"/>
      <c r="G83" s="67"/>
      <c r="H83" s="67"/>
      <c r="I83" s="67"/>
      <c r="J83" s="67"/>
      <c r="K83" s="67"/>
      <c r="L83" s="67"/>
      <c r="M83" s="67"/>
      <c r="N83" s="67"/>
      <c r="O83" s="67"/>
      <c r="P83" s="67"/>
      <c r="Q83" s="67"/>
      <c r="R83" s="67"/>
      <c r="S83" s="67"/>
      <c r="T83" s="67"/>
      <c r="U83" s="67"/>
      <c r="V83" s="67"/>
      <c r="W83" s="67"/>
      <c r="X83" s="67"/>
      <c r="Y83" s="67"/>
      <c r="Z83" s="67"/>
    </row>
    <row r="84">
      <c r="A84" s="135"/>
      <c r="B84" s="125"/>
      <c r="C84" s="125"/>
      <c r="D84" s="125"/>
      <c r="E84" s="126"/>
      <c r="F84" s="67"/>
      <c r="G84" s="67"/>
      <c r="H84" s="67"/>
      <c r="I84" s="67"/>
      <c r="J84" s="67"/>
      <c r="K84" s="67"/>
      <c r="L84" s="67"/>
      <c r="M84" s="67"/>
      <c r="N84" s="67"/>
      <c r="O84" s="67"/>
      <c r="P84" s="67"/>
      <c r="Q84" s="67"/>
      <c r="R84" s="67"/>
      <c r="S84" s="67"/>
      <c r="T84" s="67"/>
      <c r="U84" s="67"/>
      <c r="V84" s="67"/>
      <c r="W84" s="67"/>
      <c r="X84" s="67"/>
      <c r="Y84" s="67"/>
      <c r="Z84" s="67"/>
    </row>
    <row r="85">
      <c r="A85" s="136"/>
      <c r="B85" s="131"/>
      <c r="C85" s="131"/>
      <c r="D85" s="131"/>
      <c r="E85" s="130"/>
      <c r="F85" s="67"/>
      <c r="G85" s="67"/>
      <c r="H85" s="67"/>
      <c r="I85" s="67"/>
      <c r="J85" s="67"/>
      <c r="K85" s="67"/>
      <c r="L85" s="67"/>
      <c r="M85" s="67"/>
      <c r="N85" s="67"/>
      <c r="O85" s="67"/>
      <c r="P85" s="67"/>
      <c r="Q85" s="67"/>
      <c r="R85" s="67"/>
      <c r="S85" s="67"/>
      <c r="T85" s="67"/>
      <c r="U85" s="67"/>
      <c r="V85" s="67"/>
      <c r="W85" s="67"/>
      <c r="X85" s="67"/>
      <c r="Y85" s="67"/>
      <c r="Z85" s="67"/>
    </row>
    <row r="86">
      <c r="A86" s="135"/>
      <c r="B86" s="125"/>
      <c r="C86" s="125"/>
      <c r="D86" s="125"/>
      <c r="E86" s="126"/>
      <c r="F86" s="67"/>
      <c r="G86" s="67"/>
      <c r="H86" s="67"/>
      <c r="I86" s="67"/>
      <c r="J86" s="67"/>
      <c r="K86" s="67"/>
      <c r="L86" s="67"/>
      <c r="M86" s="67"/>
      <c r="N86" s="67"/>
      <c r="O86" s="67"/>
      <c r="P86" s="67"/>
      <c r="Q86" s="67"/>
      <c r="R86" s="67"/>
      <c r="S86" s="67"/>
      <c r="T86" s="67"/>
      <c r="U86" s="67"/>
      <c r="V86" s="67"/>
      <c r="W86" s="67"/>
      <c r="X86" s="67"/>
      <c r="Y86" s="67"/>
      <c r="Z86" s="67"/>
    </row>
    <row r="87">
      <c r="A87" s="136"/>
      <c r="B87" s="131"/>
      <c r="C87" s="131"/>
      <c r="D87" s="131"/>
      <c r="E87" s="130"/>
      <c r="F87" s="67"/>
      <c r="G87" s="67"/>
      <c r="H87" s="67"/>
      <c r="I87" s="67"/>
      <c r="J87" s="67"/>
      <c r="K87" s="67"/>
      <c r="L87" s="67"/>
      <c r="M87" s="67"/>
      <c r="N87" s="67"/>
      <c r="O87" s="67"/>
      <c r="P87" s="67"/>
      <c r="Q87" s="67"/>
      <c r="R87" s="67"/>
      <c r="S87" s="67"/>
      <c r="T87" s="67"/>
      <c r="U87" s="67"/>
      <c r="V87" s="67"/>
      <c r="W87" s="67"/>
      <c r="X87" s="67"/>
      <c r="Y87" s="67"/>
      <c r="Z87" s="67"/>
    </row>
    <row r="88">
      <c r="A88" s="135"/>
      <c r="B88" s="125"/>
      <c r="C88" s="125"/>
      <c r="D88" s="125"/>
      <c r="E88" s="126"/>
      <c r="F88" s="67"/>
      <c r="G88" s="67"/>
      <c r="H88" s="67"/>
      <c r="I88" s="67"/>
      <c r="J88" s="67"/>
      <c r="K88" s="67"/>
      <c r="L88" s="67"/>
      <c r="M88" s="67"/>
      <c r="N88" s="67"/>
      <c r="O88" s="67"/>
      <c r="P88" s="67"/>
      <c r="Q88" s="67"/>
      <c r="R88" s="67"/>
      <c r="S88" s="67"/>
      <c r="T88" s="67"/>
      <c r="U88" s="67"/>
      <c r="V88" s="67"/>
      <c r="W88" s="67"/>
      <c r="X88" s="67"/>
      <c r="Y88" s="67"/>
      <c r="Z88" s="67"/>
    </row>
    <row r="89">
      <c r="A89" s="136"/>
      <c r="B89" s="131"/>
      <c r="C89" s="131"/>
      <c r="D89" s="131"/>
      <c r="E89" s="130"/>
      <c r="F89" s="67"/>
      <c r="G89" s="67"/>
      <c r="H89" s="67"/>
      <c r="I89" s="67"/>
      <c r="J89" s="67"/>
      <c r="K89" s="67"/>
      <c r="L89" s="67"/>
      <c r="M89" s="67"/>
      <c r="N89" s="67"/>
      <c r="O89" s="67"/>
      <c r="P89" s="67"/>
      <c r="Q89" s="67"/>
      <c r="R89" s="67"/>
      <c r="S89" s="67"/>
      <c r="T89" s="67"/>
      <c r="U89" s="67"/>
      <c r="V89" s="67"/>
      <c r="W89" s="67"/>
      <c r="X89" s="67"/>
      <c r="Y89" s="67"/>
      <c r="Z89" s="67"/>
    </row>
    <row r="90">
      <c r="A90" s="135"/>
      <c r="B90" s="125"/>
      <c r="C90" s="125"/>
      <c r="D90" s="125"/>
      <c r="E90" s="126"/>
      <c r="F90" s="67"/>
      <c r="G90" s="67"/>
      <c r="H90" s="67"/>
      <c r="I90" s="67"/>
      <c r="J90" s="67"/>
      <c r="K90" s="67"/>
      <c r="L90" s="67"/>
      <c r="M90" s="67"/>
      <c r="N90" s="67"/>
      <c r="O90" s="67"/>
      <c r="P90" s="67"/>
      <c r="Q90" s="67"/>
      <c r="R90" s="67"/>
      <c r="S90" s="67"/>
      <c r="T90" s="67"/>
      <c r="U90" s="67"/>
      <c r="V90" s="67"/>
      <c r="W90" s="67"/>
      <c r="X90" s="67"/>
      <c r="Y90" s="67"/>
      <c r="Z90" s="67"/>
    </row>
    <row r="91">
      <c r="A91" s="136"/>
      <c r="B91" s="131"/>
      <c r="C91" s="131"/>
      <c r="D91" s="131"/>
      <c r="E91" s="130"/>
      <c r="F91" s="67"/>
      <c r="G91" s="67"/>
      <c r="H91" s="67"/>
      <c r="I91" s="67"/>
      <c r="J91" s="67"/>
      <c r="K91" s="67"/>
      <c r="L91" s="67"/>
      <c r="M91" s="67"/>
      <c r="N91" s="67"/>
      <c r="O91" s="67"/>
      <c r="P91" s="67"/>
      <c r="Q91" s="67"/>
      <c r="R91" s="67"/>
      <c r="S91" s="67"/>
      <c r="T91" s="67"/>
      <c r="U91" s="67"/>
      <c r="V91" s="67"/>
      <c r="W91" s="67"/>
      <c r="X91" s="67"/>
      <c r="Y91" s="67"/>
      <c r="Z91" s="67"/>
    </row>
    <row r="92">
      <c r="A92" s="135"/>
      <c r="B92" s="125"/>
      <c r="C92" s="125"/>
      <c r="D92" s="125"/>
      <c r="E92" s="126"/>
      <c r="F92" s="67"/>
      <c r="G92" s="67"/>
      <c r="H92" s="67"/>
      <c r="I92" s="67"/>
      <c r="J92" s="67"/>
      <c r="K92" s="67"/>
      <c r="L92" s="67"/>
      <c r="M92" s="67"/>
      <c r="N92" s="67"/>
      <c r="O92" s="67"/>
      <c r="P92" s="67"/>
      <c r="Q92" s="67"/>
      <c r="R92" s="67"/>
      <c r="S92" s="67"/>
      <c r="T92" s="67"/>
      <c r="U92" s="67"/>
      <c r="V92" s="67"/>
      <c r="W92" s="67"/>
      <c r="X92" s="67"/>
      <c r="Y92" s="67"/>
      <c r="Z92" s="67"/>
    </row>
    <row r="93">
      <c r="A93" s="136"/>
      <c r="B93" s="131"/>
      <c r="C93" s="131"/>
      <c r="D93" s="131"/>
      <c r="E93" s="130"/>
      <c r="F93" s="67"/>
      <c r="G93" s="67"/>
      <c r="H93" s="67"/>
      <c r="I93" s="67"/>
      <c r="J93" s="67"/>
      <c r="K93" s="67"/>
      <c r="L93" s="67"/>
      <c r="M93" s="67"/>
      <c r="N93" s="67"/>
      <c r="O93" s="67"/>
      <c r="P93" s="67"/>
      <c r="Q93" s="67"/>
      <c r="R93" s="67"/>
      <c r="S93" s="67"/>
      <c r="T93" s="67"/>
      <c r="U93" s="67"/>
      <c r="V93" s="67"/>
      <c r="W93" s="67"/>
      <c r="X93" s="67"/>
      <c r="Y93" s="67"/>
      <c r="Z93" s="67"/>
    </row>
    <row r="94">
      <c r="A94" s="135"/>
      <c r="B94" s="125"/>
      <c r="C94" s="125"/>
      <c r="D94" s="125"/>
      <c r="E94" s="126"/>
      <c r="F94" s="67"/>
      <c r="G94" s="67"/>
      <c r="H94" s="67"/>
      <c r="I94" s="67"/>
      <c r="J94" s="67"/>
      <c r="K94" s="67"/>
      <c r="L94" s="67"/>
      <c r="M94" s="67"/>
      <c r="N94" s="67"/>
      <c r="O94" s="67"/>
      <c r="P94" s="67"/>
      <c r="Q94" s="67"/>
      <c r="R94" s="67"/>
      <c r="S94" s="67"/>
      <c r="T94" s="67"/>
      <c r="U94" s="67"/>
      <c r="V94" s="67"/>
      <c r="W94" s="67"/>
      <c r="X94" s="67"/>
      <c r="Y94" s="67"/>
      <c r="Z94" s="67"/>
    </row>
    <row r="95">
      <c r="A95" s="136"/>
      <c r="B95" s="131"/>
      <c r="C95" s="131"/>
      <c r="D95" s="131"/>
      <c r="E95" s="130"/>
      <c r="F95" s="67"/>
      <c r="G95" s="67"/>
      <c r="H95" s="67"/>
      <c r="I95" s="67"/>
      <c r="J95" s="67"/>
      <c r="K95" s="67"/>
      <c r="L95" s="67"/>
      <c r="M95" s="67"/>
      <c r="N95" s="67"/>
      <c r="O95" s="67"/>
      <c r="P95" s="67"/>
      <c r="Q95" s="67"/>
      <c r="R95" s="67"/>
      <c r="S95" s="67"/>
      <c r="T95" s="67"/>
      <c r="U95" s="67"/>
      <c r="V95" s="67"/>
      <c r="W95" s="67"/>
      <c r="X95" s="67"/>
      <c r="Y95" s="67"/>
      <c r="Z95" s="67"/>
    </row>
    <row r="96">
      <c r="A96" s="135"/>
      <c r="B96" s="125"/>
      <c r="C96" s="125"/>
      <c r="D96" s="125"/>
      <c r="E96" s="126"/>
      <c r="F96" s="67"/>
      <c r="G96" s="67"/>
      <c r="H96" s="67"/>
      <c r="I96" s="67"/>
      <c r="J96" s="67"/>
      <c r="K96" s="67"/>
      <c r="L96" s="67"/>
      <c r="M96" s="67"/>
      <c r="N96" s="67"/>
      <c r="O96" s="67"/>
      <c r="P96" s="67"/>
      <c r="Q96" s="67"/>
      <c r="R96" s="67"/>
      <c r="S96" s="67"/>
      <c r="T96" s="67"/>
      <c r="U96" s="67"/>
      <c r="V96" s="67"/>
      <c r="W96" s="67"/>
      <c r="X96" s="67"/>
      <c r="Y96" s="67"/>
      <c r="Z96" s="67"/>
    </row>
    <row r="97">
      <c r="A97" s="136"/>
      <c r="B97" s="131"/>
      <c r="C97" s="131"/>
      <c r="D97" s="131"/>
      <c r="E97" s="130"/>
      <c r="F97" s="67"/>
      <c r="G97" s="67"/>
      <c r="H97" s="67"/>
      <c r="I97" s="67"/>
      <c r="J97" s="67"/>
      <c r="K97" s="67"/>
      <c r="L97" s="67"/>
      <c r="M97" s="67"/>
      <c r="N97" s="67"/>
      <c r="O97" s="67"/>
      <c r="P97" s="67"/>
      <c r="Q97" s="67"/>
      <c r="R97" s="67"/>
      <c r="S97" s="67"/>
      <c r="T97" s="67"/>
      <c r="U97" s="67"/>
      <c r="V97" s="67"/>
      <c r="W97" s="67"/>
      <c r="X97" s="67"/>
      <c r="Y97" s="67"/>
      <c r="Z97" s="67"/>
    </row>
    <row r="98">
      <c r="A98" s="135"/>
      <c r="B98" s="125"/>
      <c r="C98" s="125"/>
      <c r="D98" s="125"/>
      <c r="E98" s="126"/>
      <c r="F98" s="67"/>
      <c r="G98" s="67"/>
      <c r="H98" s="67"/>
      <c r="I98" s="67"/>
      <c r="J98" s="67"/>
      <c r="K98" s="67"/>
      <c r="L98" s="67"/>
      <c r="M98" s="67"/>
      <c r="N98" s="67"/>
      <c r="O98" s="67"/>
      <c r="P98" s="67"/>
      <c r="Q98" s="67"/>
      <c r="R98" s="67"/>
      <c r="S98" s="67"/>
      <c r="T98" s="67"/>
      <c r="U98" s="67"/>
      <c r="V98" s="67"/>
      <c r="W98" s="67"/>
      <c r="X98" s="67"/>
      <c r="Y98" s="67"/>
      <c r="Z98" s="67"/>
    </row>
    <row r="99">
      <c r="A99" s="136"/>
      <c r="B99" s="131"/>
      <c r="C99" s="131"/>
      <c r="D99" s="131"/>
      <c r="E99" s="130"/>
      <c r="F99" s="67"/>
      <c r="G99" s="67"/>
      <c r="H99" s="67"/>
      <c r="I99" s="67"/>
      <c r="J99" s="67"/>
      <c r="K99" s="67"/>
      <c r="L99" s="67"/>
      <c r="M99" s="67"/>
      <c r="N99" s="67"/>
      <c r="O99" s="67"/>
      <c r="P99" s="67"/>
      <c r="Q99" s="67"/>
      <c r="R99" s="67"/>
      <c r="S99" s="67"/>
      <c r="T99" s="67"/>
      <c r="U99" s="67"/>
      <c r="V99" s="67"/>
      <c r="W99" s="67"/>
      <c r="X99" s="67"/>
      <c r="Y99" s="67"/>
      <c r="Z99" s="67"/>
    </row>
    <row r="100">
      <c r="A100" s="135"/>
      <c r="B100" s="125"/>
      <c r="C100" s="125"/>
      <c r="D100" s="125"/>
      <c r="E100" s="126"/>
      <c r="F100" s="67"/>
      <c r="G100" s="67"/>
      <c r="H100" s="67"/>
      <c r="I100" s="67"/>
      <c r="J100" s="67"/>
      <c r="K100" s="67"/>
      <c r="L100" s="67"/>
      <c r="M100" s="67"/>
      <c r="N100" s="67"/>
      <c r="O100" s="67"/>
      <c r="P100" s="67"/>
      <c r="Q100" s="67"/>
      <c r="R100" s="67"/>
      <c r="S100" s="67"/>
      <c r="T100" s="67"/>
      <c r="U100" s="67"/>
      <c r="V100" s="67"/>
      <c r="W100" s="67"/>
      <c r="X100" s="67"/>
      <c r="Y100" s="67"/>
      <c r="Z100" s="67"/>
    </row>
    <row r="101">
      <c r="A101" s="136"/>
      <c r="B101" s="131"/>
      <c r="C101" s="131"/>
      <c r="D101" s="131"/>
      <c r="E101" s="130"/>
      <c r="F101" s="67"/>
      <c r="G101" s="67"/>
      <c r="H101" s="67"/>
      <c r="I101" s="67"/>
      <c r="J101" s="67"/>
      <c r="K101" s="67"/>
      <c r="L101" s="67"/>
      <c r="M101" s="67"/>
      <c r="N101" s="67"/>
      <c r="O101" s="67"/>
      <c r="P101" s="67"/>
      <c r="Q101" s="67"/>
      <c r="R101" s="67"/>
      <c r="S101" s="67"/>
      <c r="T101" s="67"/>
      <c r="U101" s="67"/>
      <c r="V101" s="67"/>
      <c r="W101" s="67"/>
      <c r="X101" s="67"/>
      <c r="Y101" s="67"/>
      <c r="Z101" s="67"/>
    </row>
    <row r="102">
      <c r="A102" s="135"/>
      <c r="B102" s="125"/>
      <c r="C102" s="125"/>
      <c r="D102" s="125"/>
      <c r="E102" s="126"/>
      <c r="F102" s="67"/>
      <c r="G102" s="67"/>
      <c r="H102" s="67"/>
      <c r="I102" s="67"/>
      <c r="J102" s="67"/>
      <c r="K102" s="67"/>
      <c r="L102" s="67"/>
      <c r="M102" s="67"/>
      <c r="N102" s="67"/>
      <c r="O102" s="67"/>
      <c r="P102" s="67"/>
      <c r="Q102" s="67"/>
      <c r="R102" s="67"/>
      <c r="S102" s="67"/>
      <c r="T102" s="67"/>
      <c r="U102" s="67"/>
      <c r="V102" s="67"/>
      <c r="W102" s="67"/>
      <c r="X102" s="67"/>
      <c r="Y102" s="67"/>
      <c r="Z102" s="67"/>
    </row>
    <row r="103">
      <c r="A103" s="136"/>
      <c r="B103" s="131"/>
      <c r="C103" s="131"/>
      <c r="D103" s="131"/>
      <c r="E103" s="130"/>
      <c r="F103" s="67"/>
      <c r="G103" s="67"/>
      <c r="H103" s="67"/>
      <c r="I103" s="67"/>
      <c r="J103" s="67"/>
      <c r="K103" s="67"/>
      <c r="L103" s="67"/>
      <c r="M103" s="67"/>
      <c r="N103" s="67"/>
      <c r="O103" s="67"/>
      <c r="P103" s="67"/>
      <c r="Q103" s="67"/>
      <c r="R103" s="67"/>
      <c r="S103" s="67"/>
      <c r="T103" s="67"/>
      <c r="U103" s="67"/>
      <c r="V103" s="67"/>
      <c r="W103" s="67"/>
      <c r="X103" s="67"/>
      <c r="Y103" s="67"/>
      <c r="Z103" s="67"/>
    </row>
    <row r="104">
      <c r="A104" s="135"/>
      <c r="B104" s="125"/>
      <c r="C104" s="125"/>
      <c r="D104" s="125"/>
      <c r="E104" s="126"/>
      <c r="F104" s="67"/>
      <c r="G104" s="67"/>
      <c r="H104" s="67"/>
      <c r="I104" s="67"/>
      <c r="J104" s="67"/>
      <c r="K104" s="67"/>
      <c r="L104" s="67"/>
      <c r="M104" s="67"/>
      <c r="N104" s="67"/>
      <c r="O104" s="67"/>
      <c r="P104" s="67"/>
      <c r="Q104" s="67"/>
      <c r="R104" s="67"/>
      <c r="S104" s="67"/>
      <c r="T104" s="67"/>
      <c r="U104" s="67"/>
      <c r="V104" s="67"/>
      <c r="W104" s="67"/>
      <c r="X104" s="67"/>
      <c r="Y104" s="67"/>
      <c r="Z104" s="67"/>
    </row>
    <row r="105">
      <c r="A105" s="136"/>
      <c r="B105" s="131"/>
      <c r="C105" s="131"/>
      <c r="D105" s="131"/>
      <c r="E105" s="130"/>
      <c r="F105" s="67"/>
      <c r="G105" s="67"/>
      <c r="H105" s="67"/>
      <c r="I105" s="67"/>
      <c r="J105" s="67"/>
      <c r="K105" s="67"/>
      <c r="L105" s="67"/>
      <c r="M105" s="67"/>
      <c r="N105" s="67"/>
      <c r="O105" s="67"/>
      <c r="P105" s="67"/>
      <c r="Q105" s="67"/>
      <c r="R105" s="67"/>
      <c r="S105" s="67"/>
      <c r="T105" s="67"/>
      <c r="U105" s="67"/>
      <c r="V105" s="67"/>
      <c r="W105" s="67"/>
      <c r="X105" s="67"/>
      <c r="Y105" s="67"/>
      <c r="Z105" s="67"/>
    </row>
    <row r="106">
      <c r="A106" s="135"/>
      <c r="B106" s="125"/>
      <c r="C106" s="125"/>
      <c r="D106" s="125"/>
      <c r="E106" s="126"/>
      <c r="F106" s="67"/>
      <c r="G106" s="67"/>
      <c r="H106" s="67"/>
      <c r="I106" s="67"/>
      <c r="J106" s="67"/>
      <c r="K106" s="67"/>
      <c r="L106" s="67"/>
      <c r="M106" s="67"/>
      <c r="N106" s="67"/>
      <c r="O106" s="67"/>
      <c r="P106" s="67"/>
      <c r="Q106" s="67"/>
      <c r="R106" s="67"/>
      <c r="S106" s="67"/>
      <c r="T106" s="67"/>
      <c r="U106" s="67"/>
      <c r="V106" s="67"/>
      <c r="W106" s="67"/>
      <c r="X106" s="67"/>
      <c r="Y106" s="67"/>
      <c r="Z106" s="67"/>
    </row>
    <row r="107">
      <c r="A107" s="136"/>
      <c r="B107" s="131"/>
      <c r="C107" s="131"/>
      <c r="D107" s="131"/>
      <c r="E107" s="130"/>
      <c r="F107" s="67"/>
      <c r="G107" s="67"/>
      <c r="H107" s="67"/>
      <c r="I107" s="67"/>
      <c r="J107" s="67"/>
      <c r="K107" s="67"/>
      <c r="L107" s="67"/>
      <c r="M107" s="67"/>
      <c r="N107" s="67"/>
      <c r="O107" s="67"/>
      <c r="P107" s="67"/>
      <c r="Q107" s="67"/>
      <c r="R107" s="67"/>
      <c r="S107" s="67"/>
      <c r="T107" s="67"/>
      <c r="U107" s="67"/>
      <c r="V107" s="67"/>
      <c r="W107" s="67"/>
      <c r="X107" s="67"/>
      <c r="Y107" s="67"/>
      <c r="Z107" s="67"/>
    </row>
    <row r="108">
      <c r="A108" s="135"/>
      <c r="B108" s="125"/>
      <c r="C108" s="125"/>
      <c r="D108" s="125"/>
      <c r="E108" s="126"/>
      <c r="F108" s="67"/>
      <c r="G108" s="67"/>
      <c r="H108" s="67"/>
      <c r="I108" s="67"/>
      <c r="J108" s="67"/>
      <c r="K108" s="67"/>
      <c r="L108" s="67"/>
      <c r="M108" s="67"/>
      <c r="N108" s="67"/>
      <c r="O108" s="67"/>
      <c r="P108" s="67"/>
      <c r="Q108" s="67"/>
      <c r="R108" s="67"/>
      <c r="S108" s="67"/>
      <c r="T108" s="67"/>
      <c r="U108" s="67"/>
      <c r="V108" s="67"/>
      <c r="W108" s="67"/>
      <c r="X108" s="67"/>
      <c r="Y108" s="67"/>
      <c r="Z108" s="67"/>
    </row>
    <row r="109">
      <c r="A109" s="136"/>
      <c r="B109" s="131"/>
      <c r="C109" s="131"/>
      <c r="D109" s="131"/>
      <c r="E109" s="130"/>
      <c r="F109" s="67"/>
      <c r="G109" s="67"/>
      <c r="H109" s="67"/>
      <c r="I109" s="67"/>
      <c r="J109" s="67"/>
      <c r="K109" s="67"/>
      <c r="L109" s="67"/>
      <c r="M109" s="67"/>
      <c r="N109" s="67"/>
      <c r="O109" s="67"/>
      <c r="P109" s="67"/>
      <c r="Q109" s="67"/>
      <c r="R109" s="67"/>
      <c r="S109" s="67"/>
      <c r="T109" s="67"/>
      <c r="U109" s="67"/>
      <c r="V109" s="67"/>
      <c r="W109" s="67"/>
      <c r="X109" s="67"/>
      <c r="Y109" s="67"/>
      <c r="Z109" s="67"/>
    </row>
    <row r="110">
      <c r="A110" s="135"/>
      <c r="B110" s="125"/>
      <c r="C110" s="125"/>
      <c r="D110" s="125"/>
      <c r="E110" s="126"/>
      <c r="F110" s="67"/>
      <c r="G110" s="67"/>
      <c r="H110" s="67"/>
      <c r="I110" s="67"/>
      <c r="J110" s="67"/>
      <c r="K110" s="67"/>
      <c r="L110" s="67"/>
      <c r="M110" s="67"/>
      <c r="N110" s="67"/>
      <c r="O110" s="67"/>
      <c r="P110" s="67"/>
      <c r="Q110" s="67"/>
      <c r="R110" s="67"/>
      <c r="S110" s="67"/>
      <c r="T110" s="67"/>
      <c r="U110" s="67"/>
      <c r="V110" s="67"/>
      <c r="W110" s="67"/>
      <c r="X110" s="67"/>
      <c r="Y110" s="67"/>
      <c r="Z110" s="67"/>
    </row>
    <row r="111">
      <c r="A111" s="136"/>
      <c r="B111" s="131"/>
      <c r="C111" s="131"/>
      <c r="D111" s="131"/>
      <c r="E111" s="130"/>
      <c r="F111" s="67"/>
      <c r="G111" s="67"/>
      <c r="H111" s="67"/>
      <c r="I111" s="67"/>
      <c r="J111" s="67"/>
      <c r="K111" s="67"/>
      <c r="L111" s="67"/>
      <c r="M111" s="67"/>
      <c r="N111" s="67"/>
      <c r="O111" s="67"/>
      <c r="P111" s="67"/>
      <c r="Q111" s="67"/>
      <c r="R111" s="67"/>
      <c r="S111" s="67"/>
      <c r="T111" s="67"/>
      <c r="U111" s="67"/>
      <c r="V111" s="67"/>
      <c r="W111" s="67"/>
      <c r="X111" s="67"/>
      <c r="Y111" s="67"/>
      <c r="Z111" s="67"/>
    </row>
    <row r="112">
      <c r="A112" s="135"/>
      <c r="B112" s="125"/>
      <c r="C112" s="125"/>
      <c r="D112" s="125"/>
      <c r="E112" s="126"/>
      <c r="F112" s="67"/>
      <c r="G112" s="67"/>
      <c r="H112" s="67"/>
      <c r="I112" s="67"/>
      <c r="J112" s="67"/>
      <c r="K112" s="67"/>
      <c r="L112" s="67"/>
      <c r="M112" s="67"/>
      <c r="N112" s="67"/>
      <c r="O112" s="67"/>
      <c r="P112" s="67"/>
      <c r="Q112" s="67"/>
      <c r="R112" s="67"/>
      <c r="S112" s="67"/>
      <c r="T112" s="67"/>
      <c r="U112" s="67"/>
      <c r="V112" s="67"/>
      <c r="W112" s="67"/>
      <c r="X112" s="67"/>
      <c r="Y112" s="67"/>
      <c r="Z112" s="67"/>
    </row>
    <row r="113">
      <c r="A113" s="136"/>
      <c r="B113" s="131"/>
      <c r="C113" s="131"/>
      <c r="D113" s="131"/>
      <c r="E113" s="130"/>
      <c r="F113" s="67"/>
      <c r="G113" s="67"/>
      <c r="H113" s="67"/>
      <c r="I113" s="67"/>
      <c r="J113" s="67"/>
      <c r="K113" s="67"/>
      <c r="L113" s="67"/>
      <c r="M113" s="67"/>
      <c r="N113" s="67"/>
      <c r="O113" s="67"/>
      <c r="P113" s="67"/>
      <c r="Q113" s="67"/>
      <c r="R113" s="67"/>
      <c r="S113" s="67"/>
      <c r="T113" s="67"/>
      <c r="U113" s="67"/>
      <c r="V113" s="67"/>
      <c r="W113" s="67"/>
      <c r="X113" s="67"/>
      <c r="Y113" s="67"/>
      <c r="Z113" s="67"/>
    </row>
    <row r="114">
      <c r="A114" s="135"/>
      <c r="B114" s="125"/>
      <c r="C114" s="125"/>
      <c r="D114" s="125"/>
      <c r="E114" s="126"/>
      <c r="F114" s="67"/>
      <c r="G114" s="67"/>
      <c r="H114" s="67"/>
      <c r="I114" s="67"/>
      <c r="J114" s="67"/>
      <c r="K114" s="67"/>
      <c r="L114" s="67"/>
      <c r="M114" s="67"/>
      <c r="N114" s="67"/>
      <c r="O114" s="67"/>
      <c r="P114" s="67"/>
      <c r="Q114" s="67"/>
      <c r="R114" s="67"/>
      <c r="S114" s="67"/>
      <c r="T114" s="67"/>
      <c r="U114" s="67"/>
      <c r="V114" s="67"/>
      <c r="W114" s="67"/>
      <c r="X114" s="67"/>
      <c r="Y114" s="67"/>
      <c r="Z114" s="67"/>
    </row>
    <row r="115">
      <c r="A115" s="136"/>
      <c r="B115" s="131"/>
      <c r="C115" s="131"/>
      <c r="D115" s="131"/>
      <c r="E115" s="130"/>
      <c r="F115" s="67"/>
      <c r="G115" s="67"/>
      <c r="H115" s="67"/>
      <c r="I115" s="67"/>
      <c r="J115" s="67"/>
      <c r="K115" s="67"/>
      <c r="L115" s="67"/>
      <c r="M115" s="67"/>
      <c r="N115" s="67"/>
      <c r="O115" s="67"/>
      <c r="P115" s="67"/>
      <c r="Q115" s="67"/>
      <c r="R115" s="67"/>
      <c r="S115" s="67"/>
      <c r="T115" s="67"/>
      <c r="U115" s="67"/>
      <c r="V115" s="67"/>
      <c r="W115" s="67"/>
      <c r="X115" s="67"/>
      <c r="Y115" s="67"/>
      <c r="Z115" s="67"/>
    </row>
    <row r="116">
      <c r="A116" s="135"/>
      <c r="B116" s="125"/>
      <c r="C116" s="125"/>
      <c r="D116" s="125"/>
      <c r="E116" s="126"/>
      <c r="F116" s="67"/>
      <c r="G116" s="67"/>
      <c r="H116" s="67"/>
      <c r="I116" s="67"/>
      <c r="J116" s="67"/>
      <c r="K116" s="67"/>
      <c r="L116" s="67"/>
      <c r="M116" s="67"/>
      <c r="N116" s="67"/>
      <c r="O116" s="67"/>
      <c r="P116" s="67"/>
      <c r="Q116" s="67"/>
      <c r="R116" s="67"/>
      <c r="S116" s="67"/>
      <c r="T116" s="67"/>
      <c r="U116" s="67"/>
      <c r="V116" s="67"/>
      <c r="W116" s="67"/>
      <c r="X116" s="67"/>
      <c r="Y116" s="67"/>
      <c r="Z116" s="67"/>
    </row>
    <row r="117">
      <c r="A117" s="136"/>
      <c r="B117" s="131"/>
      <c r="C117" s="131"/>
      <c r="D117" s="131"/>
      <c r="E117" s="130"/>
      <c r="F117" s="67"/>
      <c r="G117" s="67"/>
      <c r="H117" s="67"/>
      <c r="I117" s="67"/>
      <c r="J117" s="67"/>
      <c r="K117" s="67"/>
      <c r="L117" s="67"/>
      <c r="M117" s="67"/>
      <c r="N117" s="67"/>
      <c r="O117" s="67"/>
      <c r="P117" s="67"/>
      <c r="Q117" s="67"/>
      <c r="R117" s="67"/>
      <c r="S117" s="67"/>
      <c r="T117" s="67"/>
      <c r="U117" s="67"/>
      <c r="V117" s="67"/>
      <c r="W117" s="67"/>
      <c r="X117" s="67"/>
      <c r="Y117" s="67"/>
      <c r="Z117" s="67"/>
    </row>
    <row r="118">
      <c r="A118" s="135"/>
      <c r="B118" s="125"/>
      <c r="C118" s="125"/>
      <c r="D118" s="125"/>
      <c r="E118" s="126"/>
      <c r="F118" s="67"/>
      <c r="G118" s="67"/>
      <c r="H118" s="67"/>
      <c r="I118" s="67"/>
      <c r="J118" s="67"/>
      <c r="K118" s="67"/>
      <c r="L118" s="67"/>
      <c r="M118" s="67"/>
      <c r="N118" s="67"/>
      <c r="O118" s="67"/>
      <c r="P118" s="67"/>
      <c r="Q118" s="67"/>
      <c r="R118" s="67"/>
      <c r="S118" s="67"/>
      <c r="T118" s="67"/>
      <c r="U118" s="67"/>
      <c r="V118" s="67"/>
      <c r="W118" s="67"/>
      <c r="X118" s="67"/>
      <c r="Y118" s="67"/>
      <c r="Z118" s="67"/>
    </row>
    <row r="119">
      <c r="A119" s="136"/>
      <c r="B119" s="131"/>
      <c r="C119" s="131"/>
      <c r="D119" s="131"/>
      <c r="E119" s="130"/>
      <c r="F119" s="67"/>
      <c r="G119" s="67"/>
      <c r="H119" s="67"/>
      <c r="I119" s="67"/>
      <c r="J119" s="67"/>
      <c r="K119" s="67"/>
      <c r="L119" s="67"/>
      <c r="M119" s="67"/>
      <c r="N119" s="67"/>
      <c r="O119" s="67"/>
      <c r="P119" s="67"/>
      <c r="Q119" s="67"/>
      <c r="R119" s="67"/>
      <c r="S119" s="67"/>
      <c r="T119" s="67"/>
      <c r="U119" s="67"/>
      <c r="V119" s="67"/>
      <c r="W119" s="67"/>
      <c r="X119" s="67"/>
      <c r="Y119" s="67"/>
      <c r="Z119" s="67"/>
    </row>
    <row r="120">
      <c r="A120" s="135"/>
      <c r="B120" s="125"/>
      <c r="C120" s="125"/>
      <c r="D120" s="125"/>
      <c r="E120" s="126"/>
      <c r="F120" s="67"/>
      <c r="G120" s="67"/>
      <c r="H120" s="67"/>
      <c r="I120" s="67"/>
      <c r="J120" s="67"/>
      <c r="K120" s="67"/>
      <c r="L120" s="67"/>
      <c r="M120" s="67"/>
      <c r="N120" s="67"/>
      <c r="O120" s="67"/>
      <c r="P120" s="67"/>
      <c r="Q120" s="67"/>
      <c r="R120" s="67"/>
      <c r="S120" s="67"/>
      <c r="T120" s="67"/>
      <c r="U120" s="67"/>
      <c r="V120" s="67"/>
      <c r="W120" s="67"/>
      <c r="X120" s="67"/>
      <c r="Y120" s="67"/>
      <c r="Z120" s="67"/>
    </row>
    <row r="121">
      <c r="A121" s="136"/>
      <c r="B121" s="131"/>
      <c r="C121" s="131"/>
      <c r="D121" s="131"/>
      <c r="E121" s="130"/>
      <c r="F121" s="67"/>
      <c r="G121" s="67"/>
      <c r="H121" s="67"/>
      <c r="I121" s="67"/>
      <c r="J121" s="67"/>
      <c r="K121" s="67"/>
      <c r="L121" s="67"/>
      <c r="M121" s="67"/>
      <c r="N121" s="67"/>
      <c r="O121" s="67"/>
      <c r="P121" s="67"/>
      <c r="Q121" s="67"/>
      <c r="R121" s="67"/>
      <c r="S121" s="67"/>
      <c r="T121" s="67"/>
      <c r="U121" s="67"/>
      <c r="V121" s="67"/>
      <c r="W121" s="67"/>
      <c r="X121" s="67"/>
      <c r="Y121" s="67"/>
      <c r="Z121" s="67"/>
    </row>
    <row r="122">
      <c r="A122" s="135"/>
      <c r="B122" s="125"/>
      <c r="C122" s="125"/>
      <c r="D122" s="125"/>
      <c r="E122" s="126"/>
      <c r="F122" s="67"/>
      <c r="G122" s="67"/>
      <c r="H122" s="67"/>
      <c r="I122" s="67"/>
      <c r="J122" s="67"/>
      <c r="K122" s="67"/>
      <c r="L122" s="67"/>
      <c r="M122" s="67"/>
      <c r="N122" s="67"/>
      <c r="O122" s="67"/>
      <c r="P122" s="67"/>
      <c r="Q122" s="67"/>
      <c r="R122" s="67"/>
      <c r="S122" s="67"/>
      <c r="T122" s="67"/>
      <c r="U122" s="67"/>
      <c r="V122" s="67"/>
      <c r="W122" s="67"/>
      <c r="X122" s="67"/>
      <c r="Y122" s="67"/>
      <c r="Z122" s="67"/>
    </row>
    <row r="123">
      <c r="A123" s="136"/>
      <c r="B123" s="131"/>
      <c r="C123" s="131"/>
      <c r="D123" s="131"/>
      <c r="E123" s="130"/>
      <c r="F123" s="67"/>
      <c r="G123" s="67"/>
      <c r="H123" s="67"/>
      <c r="I123" s="67"/>
      <c r="J123" s="67"/>
      <c r="K123" s="67"/>
      <c r="L123" s="67"/>
      <c r="M123" s="67"/>
      <c r="N123" s="67"/>
      <c r="O123" s="67"/>
      <c r="P123" s="67"/>
      <c r="Q123" s="67"/>
      <c r="R123" s="67"/>
      <c r="S123" s="67"/>
      <c r="T123" s="67"/>
      <c r="U123" s="67"/>
      <c r="V123" s="67"/>
      <c r="W123" s="67"/>
      <c r="X123" s="67"/>
      <c r="Y123" s="67"/>
      <c r="Z123" s="67"/>
    </row>
    <row r="124">
      <c r="A124" s="135"/>
      <c r="B124" s="125"/>
      <c r="C124" s="125"/>
      <c r="D124" s="125"/>
      <c r="E124" s="126"/>
      <c r="F124" s="67"/>
      <c r="G124" s="67"/>
      <c r="H124" s="67"/>
      <c r="I124" s="67"/>
      <c r="J124" s="67"/>
      <c r="K124" s="67"/>
      <c r="L124" s="67"/>
      <c r="M124" s="67"/>
      <c r="N124" s="67"/>
      <c r="O124" s="67"/>
      <c r="P124" s="67"/>
      <c r="Q124" s="67"/>
      <c r="R124" s="67"/>
      <c r="S124" s="67"/>
      <c r="T124" s="67"/>
      <c r="U124" s="67"/>
      <c r="V124" s="67"/>
      <c r="W124" s="67"/>
      <c r="X124" s="67"/>
      <c r="Y124" s="67"/>
      <c r="Z124" s="67"/>
    </row>
    <row r="125">
      <c r="A125" s="136"/>
      <c r="B125" s="131"/>
      <c r="C125" s="131"/>
      <c r="D125" s="131"/>
      <c r="E125" s="130"/>
      <c r="F125" s="67"/>
      <c r="G125" s="67"/>
      <c r="H125" s="67"/>
      <c r="I125" s="67"/>
      <c r="J125" s="67"/>
      <c r="K125" s="67"/>
      <c r="L125" s="67"/>
      <c r="M125" s="67"/>
      <c r="N125" s="67"/>
      <c r="O125" s="67"/>
      <c r="P125" s="67"/>
      <c r="Q125" s="67"/>
      <c r="R125" s="67"/>
      <c r="S125" s="67"/>
      <c r="T125" s="67"/>
      <c r="U125" s="67"/>
      <c r="V125" s="67"/>
      <c r="W125" s="67"/>
      <c r="X125" s="67"/>
      <c r="Y125" s="67"/>
      <c r="Z125" s="67"/>
    </row>
    <row r="126">
      <c r="A126" s="135"/>
      <c r="B126" s="125"/>
      <c r="C126" s="125"/>
      <c r="D126" s="125"/>
      <c r="E126" s="126"/>
      <c r="F126" s="67"/>
      <c r="G126" s="67"/>
      <c r="H126" s="67"/>
      <c r="I126" s="67"/>
      <c r="J126" s="67"/>
      <c r="K126" s="67"/>
      <c r="L126" s="67"/>
      <c r="M126" s="67"/>
      <c r="N126" s="67"/>
      <c r="O126" s="67"/>
      <c r="P126" s="67"/>
      <c r="Q126" s="67"/>
      <c r="R126" s="67"/>
      <c r="S126" s="67"/>
      <c r="T126" s="67"/>
      <c r="U126" s="67"/>
      <c r="V126" s="67"/>
      <c r="W126" s="67"/>
      <c r="X126" s="67"/>
      <c r="Y126" s="67"/>
      <c r="Z126" s="67"/>
    </row>
    <row r="127">
      <c r="A127" s="136"/>
      <c r="B127" s="131"/>
      <c r="C127" s="131"/>
      <c r="D127" s="131"/>
      <c r="E127" s="130"/>
      <c r="F127" s="67"/>
      <c r="G127" s="67"/>
      <c r="H127" s="67"/>
      <c r="I127" s="67"/>
      <c r="J127" s="67"/>
      <c r="K127" s="67"/>
      <c r="L127" s="67"/>
      <c r="M127" s="67"/>
      <c r="N127" s="67"/>
      <c r="O127" s="67"/>
      <c r="P127" s="67"/>
      <c r="Q127" s="67"/>
      <c r="R127" s="67"/>
      <c r="S127" s="67"/>
      <c r="T127" s="67"/>
      <c r="U127" s="67"/>
      <c r="V127" s="67"/>
      <c r="W127" s="67"/>
      <c r="X127" s="67"/>
      <c r="Y127" s="67"/>
      <c r="Z127" s="67"/>
    </row>
    <row r="128">
      <c r="A128" s="135"/>
      <c r="B128" s="125"/>
      <c r="C128" s="125"/>
      <c r="D128" s="125"/>
      <c r="E128" s="126"/>
      <c r="F128" s="67"/>
      <c r="G128" s="67"/>
      <c r="H128" s="67"/>
      <c r="I128" s="67"/>
      <c r="J128" s="67"/>
      <c r="K128" s="67"/>
      <c r="L128" s="67"/>
      <c r="M128" s="67"/>
      <c r="N128" s="67"/>
      <c r="O128" s="67"/>
      <c r="P128" s="67"/>
      <c r="Q128" s="67"/>
      <c r="R128" s="67"/>
      <c r="S128" s="67"/>
      <c r="T128" s="67"/>
      <c r="U128" s="67"/>
      <c r="V128" s="67"/>
      <c r="W128" s="67"/>
      <c r="X128" s="67"/>
      <c r="Y128" s="67"/>
      <c r="Z128" s="67"/>
    </row>
    <row r="129">
      <c r="A129" s="136"/>
      <c r="B129" s="131"/>
      <c r="C129" s="131"/>
      <c r="D129" s="131"/>
      <c r="E129" s="130"/>
      <c r="F129" s="67"/>
      <c r="G129" s="67"/>
      <c r="H129" s="67"/>
      <c r="I129" s="67"/>
      <c r="J129" s="67"/>
      <c r="K129" s="67"/>
      <c r="L129" s="67"/>
      <c r="M129" s="67"/>
      <c r="N129" s="67"/>
      <c r="O129" s="67"/>
      <c r="P129" s="67"/>
      <c r="Q129" s="67"/>
      <c r="R129" s="67"/>
      <c r="S129" s="67"/>
      <c r="T129" s="67"/>
      <c r="U129" s="67"/>
      <c r="V129" s="67"/>
      <c r="W129" s="67"/>
      <c r="X129" s="67"/>
      <c r="Y129" s="67"/>
      <c r="Z129" s="67"/>
    </row>
    <row r="130">
      <c r="A130" s="135"/>
      <c r="B130" s="125"/>
      <c r="C130" s="125"/>
      <c r="D130" s="125"/>
      <c r="E130" s="126"/>
      <c r="F130" s="67"/>
      <c r="G130" s="67"/>
      <c r="H130" s="67"/>
      <c r="I130" s="67"/>
      <c r="J130" s="67"/>
      <c r="K130" s="67"/>
      <c r="L130" s="67"/>
      <c r="M130" s="67"/>
      <c r="N130" s="67"/>
      <c r="O130" s="67"/>
      <c r="P130" s="67"/>
      <c r="Q130" s="67"/>
      <c r="R130" s="67"/>
      <c r="S130" s="67"/>
      <c r="T130" s="67"/>
      <c r="U130" s="67"/>
      <c r="V130" s="67"/>
      <c r="W130" s="67"/>
      <c r="X130" s="67"/>
      <c r="Y130" s="67"/>
      <c r="Z130" s="67"/>
    </row>
    <row r="131">
      <c r="A131" s="136"/>
      <c r="B131" s="131"/>
      <c r="C131" s="131"/>
      <c r="D131" s="131"/>
      <c r="E131" s="130"/>
      <c r="F131" s="67"/>
      <c r="G131" s="67"/>
      <c r="H131" s="67"/>
      <c r="I131" s="67"/>
      <c r="J131" s="67"/>
      <c r="K131" s="67"/>
      <c r="L131" s="67"/>
      <c r="M131" s="67"/>
      <c r="N131" s="67"/>
      <c r="O131" s="67"/>
      <c r="P131" s="67"/>
      <c r="Q131" s="67"/>
      <c r="R131" s="67"/>
      <c r="S131" s="67"/>
      <c r="T131" s="67"/>
      <c r="U131" s="67"/>
      <c r="V131" s="67"/>
      <c r="W131" s="67"/>
      <c r="X131" s="67"/>
      <c r="Y131" s="67"/>
      <c r="Z131" s="67"/>
    </row>
    <row r="132">
      <c r="A132" s="135"/>
      <c r="B132" s="125"/>
      <c r="C132" s="125"/>
      <c r="D132" s="125"/>
      <c r="E132" s="126"/>
      <c r="F132" s="67"/>
      <c r="G132" s="67"/>
      <c r="H132" s="67"/>
      <c r="I132" s="67"/>
      <c r="J132" s="67"/>
      <c r="K132" s="67"/>
      <c r="L132" s="67"/>
      <c r="M132" s="67"/>
      <c r="N132" s="67"/>
      <c r="O132" s="67"/>
      <c r="P132" s="67"/>
      <c r="Q132" s="67"/>
      <c r="R132" s="67"/>
      <c r="S132" s="67"/>
      <c r="T132" s="67"/>
      <c r="U132" s="67"/>
      <c r="V132" s="67"/>
      <c r="W132" s="67"/>
      <c r="X132" s="67"/>
      <c r="Y132" s="67"/>
      <c r="Z132" s="67"/>
    </row>
    <row r="133">
      <c r="A133" s="136"/>
      <c r="B133" s="131"/>
      <c r="C133" s="131"/>
      <c r="D133" s="131"/>
      <c r="E133" s="130"/>
      <c r="F133" s="67"/>
      <c r="G133" s="67"/>
      <c r="H133" s="67"/>
      <c r="I133" s="67"/>
      <c r="J133" s="67"/>
      <c r="K133" s="67"/>
      <c r="L133" s="67"/>
      <c r="M133" s="67"/>
      <c r="N133" s="67"/>
      <c r="O133" s="67"/>
      <c r="P133" s="67"/>
      <c r="Q133" s="67"/>
      <c r="R133" s="67"/>
      <c r="S133" s="67"/>
      <c r="T133" s="67"/>
      <c r="U133" s="67"/>
      <c r="V133" s="67"/>
      <c r="W133" s="67"/>
      <c r="X133" s="67"/>
      <c r="Y133" s="67"/>
      <c r="Z133" s="67"/>
    </row>
    <row r="134">
      <c r="A134" s="135"/>
      <c r="B134" s="125"/>
      <c r="C134" s="125"/>
      <c r="D134" s="125"/>
      <c r="E134" s="126"/>
      <c r="F134" s="67"/>
      <c r="G134" s="67"/>
      <c r="H134" s="67"/>
      <c r="I134" s="67"/>
      <c r="J134" s="67"/>
      <c r="K134" s="67"/>
      <c r="L134" s="67"/>
      <c r="M134" s="67"/>
      <c r="N134" s="67"/>
      <c r="O134" s="67"/>
      <c r="P134" s="67"/>
      <c r="Q134" s="67"/>
      <c r="R134" s="67"/>
      <c r="S134" s="67"/>
      <c r="T134" s="67"/>
      <c r="U134" s="67"/>
      <c r="V134" s="67"/>
      <c r="W134" s="67"/>
      <c r="X134" s="67"/>
      <c r="Y134" s="67"/>
      <c r="Z134" s="67"/>
    </row>
    <row r="135">
      <c r="A135" s="136"/>
      <c r="B135" s="131"/>
      <c r="C135" s="131"/>
      <c r="D135" s="131"/>
      <c r="E135" s="130"/>
      <c r="F135" s="67"/>
      <c r="G135" s="67"/>
      <c r="H135" s="67"/>
      <c r="I135" s="67"/>
      <c r="J135" s="67"/>
      <c r="K135" s="67"/>
      <c r="L135" s="67"/>
      <c r="M135" s="67"/>
      <c r="N135" s="67"/>
      <c r="O135" s="67"/>
      <c r="P135" s="67"/>
      <c r="Q135" s="67"/>
      <c r="R135" s="67"/>
      <c r="S135" s="67"/>
      <c r="T135" s="67"/>
      <c r="U135" s="67"/>
      <c r="V135" s="67"/>
      <c r="W135" s="67"/>
      <c r="X135" s="67"/>
      <c r="Y135" s="67"/>
      <c r="Z135" s="67"/>
    </row>
    <row r="136">
      <c r="A136" s="135"/>
      <c r="B136" s="125"/>
      <c r="C136" s="125"/>
      <c r="D136" s="125"/>
      <c r="E136" s="126"/>
      <c r="F136" s="67"/>
      <c r="G136" s="67"/>
      <c r="H136" s="67"/>
      <c r="I136" s="67"/>
      <c r="J136" s="67"/>
      <c r="K136" s="67"/>
      <c r="L136" s="67"/>
      <c r="M136" s="67"/>
      <c r="N136" s="67"/>
      <c r="O136" s="67"/>
      <c r="P136" s="67"/>
      <c r="Q136" s="67"/>
      <c r="R136" s="67"/>
      <c r="S136" s="67"/>
      <c r="T136" s="67"/>
      <c r="U136" s="67"/>
      <c r="V136" s="67"/>
      <c r="W136" s="67"/>
      <c r="X136" s="67"/>
      <c r="Y136" s="67"/>
      <c r="Z136" s="67"/>
    </row>
    <row r="137">
      <c r="A137" s="136"/>
      <c r="B137" s="131"/>
      <c r="C137" s="131"/>
      <c r="D137" s="131"/>
      <c r="E137" s="130"/>
      <c r="F137" s="67"/>
      <c r="G137" s="67"/>
      <c r="H137" s="67"/>
      <c r="I137" s="67"/>
      <c r="J137" s="67"/>
      <c r="K137" s="67"/>
      <c r="L137" s="67"/>
      <c r="M137" s="67"/>
      <c r="N137" s="67"/>
      <c r="O137" s="67"/>
      <c r="P137" s="67"/>
      <c r="Q137" s="67"/>
      <c r="R137" s="67"/>
      <c r="S137" s="67"/>
      <c r="T137" s="67"/>
      <c r="U137" s="67"/>
      <c r="V137" s="67"/>
      <c r="W137" s="67"/>
      <c r="X137" s="67"/>
      <c r="Y137" s="67"/>
      <c r="Z137" s="67"/>
    </row>
    <row r="138">
      <c r="A138" s="135"/>
      <c r="B138" s="125"/>
      <c r="C138" s="125"/>
      <c r="D138" s="125"/>
      <c r="E138" s="126"/>
      <c r="F138" s="67"/>
      <c r="G138" s="67"/>
      <c r="H138" s="67"/>
      <c r="I138" s="67"/>
      <c r="J138" s="67"/>
      <c r="K138" s="67"/>
      <c r="L138" s="67"/>
      <c r="M138" s="67"/>
      <c r="N138" s="67"/>
      <c r="O138" s="67"/>
      <c r="P138" s="67"/>
      <c r="Q138" s="67"/>
      <c r="R138" s="67"/>
      <c r="S138" s="67"/>
      <c r="T138" s="67"/>
      <c r="U138" s="67"/>
      <c r="V138" s="67"/>
      <c r="W138" s="67"/>
      <c r="X138" s="67"/>
      <c r="Y138" s="67"/>
      <c r="Z138" s="67"/>
    </row>
    <row r="139">
      <c r="A139" s="136"/>
      <c r="B139" s="131"/>
      <c r="C139" s="131"/>
      <c r="D139" s="131"/>
      <c r="E139" s="130"/>
      <c r="F139" s="67"/>
      <c r="G139" s="67"/>
      <c r="H139" s="67"/>
      <c r="I139" s="67"/>
      <c r="J139" s="67"/>
      <c r="K139" s="67"/>
      <c r="L139" s="67"/>
      <c r="M139" s="67"/>
      <c r="N139" s="67"/>
      <c r="O139" s="67"/>
      <c r="P139" s="67"/>
      <c r="Q139" s="67"/>
      <c r="R139" s="67"/>
      <c r="S139" s="67"/>
      <c r="T139" s="67"/>
      <c r="U139" s="67"/>
      <c r="V139" s="67"/>
      <c r="W139" s="67"/>
      <c r="X139" s="67"/>
      <c r="Y139" s="67"/>
      <c r="Z139" s="67"/>
    </row>
    <row r="140">
      <c r="A140" s="135"/>
      <c r="B140" s="125"/>
      <c r="C140" s="125"/>
      <c r="D140" s="125"/>
      <c r="E140" s="126"/>
      <c r="F140" s="67"/>
      <c r="G140" s="67"/>
      <c r="H140" s="67"/>
      <c r="I140" s="67"/>
      <c r="J140" s="67"/>
      <c r="K140" s="67"/>
      <c r="L140" s="67"/>
      <c r="M140" s="67"/>
      <c r="N140" s="67"/>
      <c r="O140" s="67"/>
      <c r="P140" s="67"/>
      <c r="Q140" s="67"/>
      <c r="R140" s="67"/>
      <c r="S140" s="67"/>
      <c r="T140" s="67"/>
      <c r="U140" s="67"/>
      <c r="V140" s="67"/>
      <c r="W140" s="67"/>
      <c r="X140" s="67"/>
      <c r="Y140" s="67"/>
      <c r="Z140" s="67"/>
    </row>
    <row r="141">
      <c r="A141" s="136"/>
      <c r="B141" s="131"/>
      <c r="C141" s="131"/>
      <c r="D141" s="131"/>
      <c r="E141" s="130"/>
      <c r="F141" s="67"/>
      <c r="G141" s="67"/>
      <c r="H141" s="67"/>
      <c r="I141" s="67"/>
      <c r="J141" s="67"/>
      <c r="K141" s="67"/>
      <c r="L141" s="67"/>
      <c r="M141" s="67"/>
      <c r="N141" s="67"/>
      <c r="O141" s="67"/>
      <c r="P141" s="67"/>
      <c r="Q141" s="67"/>
      <c r="R141" s="67"/>
      <c r="S141" s="67"/>
      <c r="T141" s="67"/>
      <c r="U141" s="67"/>
      <c r="V141" s="67"/>
      <c r="W141" s="67"/>
      <c r="X141" s="67"/>
      <c r="Y141" s="67"/>
      <c r="Z141" s="67"/>
    </row>
    <row r="142">
      <c r="A142" s="135"/>
      <c r="B142" s="125"/>
      <c r="C142" s="125"/>
      <c r="D142" s="125"/>
      <c r="E142" s="126"/>
      <c r="F142" s="67"/>
      <c r="G142" s="67"/>
      <c r="H142" s="67"/>
      <c r="I142" s="67"/>
      <c r="J142" s="67"/>
      <c r="K142" s="67"/>
      <c r="L142" s="67"/>
      <c r="M142" s="67"/>
      <c r="N142" s="67"/>
      <c r="O142" s="67"/>
      <c r="P142" s="67"/>
      <c r="Q142" s="67"/>
      <c r="R142" s="67"/>
      <c r="S142" s="67"/>
      <c r="T142" s="67"/>
      <c r="U142" s="67"/>
      <c r="V142" s="67"/>
      <c r="W142" s="67"/>
      <c r="X142" s="67"/>
      <c r="Y142" s="67"/>
      <c r="Z142" s="67"/>
    </row>
    <row r="143">
      <c r="A143" s="136"/>
      <c r="B143" s="131"/>
      <c r="C143" s="131"/>
      <c r="D143" s="131"/>
      <c r="E143" s="130"/>
      <c r="F143" s="67"/>
      <c r="G143" s="67"/>
      <c r="H143" s="67"/>
      <c r="I143" s="67"/>
      <c r="J143" s="67"/>
      <c r="K143" s="67"/>
      <c r="L143" s="67"/>
      <c r="M143" s="67"/>
      <c r="N143" s="67"/>
      <c r="O143" s="67"/>
      <c r="P143" s="67"/>
      <c r="Q143" s="67"/>
      <c r="R143" s="67"/>
      <c r="S143" s="67"/>
      <c r="T143" s="67"/>
      <c r="U143" s="67"/>
      <c r="V143" s="67"/>
      <c r="W143" s="67"/>
      <c r="X143" s="67"/>
      <c r="Y143" s="67"/>
      <c r="Z143" s="67"/>
    </row>
    <row r="144">
      <c r="A144" s="135"/>
      <c r="B144" s="125"/>
      <c r="C144" s="125"/>
      <c r="D144" s="125"/>
      <c r="E144" s="126"/>
      <c r="F144" s="67"/>
      <c r="G144" s="67"/>
      <c r="H144" s="67"/>
      <c r="I144" s="67"/>
      <c r="J144" s="67"/>
      <c r="K144" s="67"/>
      <c r="L144" s="67"/>
      <c r="M144" s="67"/>
      <c r="N144" s="67"/>
      <c r="O144" s="67"/>
      <c r="P144" s="67"/>
      <c r="Q144" s="67"/>
      <c r="R144" s="67"/>
      <c r="S144" s="67"/>
      <c r="T144" s="67"/>
      <c r="U144" s="67"/>
      <c r="V144" s="67"/>
      <c r="W144" s="67"/>
      <c r="X144" s="67"/>
      <c r="Y144" s="67"/>
      <c r="Z144" s="67"/>
    </row>
    <row r="145">
      <c r="A145" s="136"/>
      <c r="B145" s="131"/>
      <c r="C145" s="131"/>
      <c r="D145" s="131"/>
      <c r="E145" s="130"/>
      <c r="F145" s="67"/>
      <c r="G145" s="67"/>
      <c r="H145" s="67"/>
      <c r="I145" s="67"/>
      <c r="J145" s="67"/>
      <c r="K145" s="67"/>
      <c r="L145" s="67"/>
      <c r="M145" s="67"/>
      <c r="N145" s="67"/>
      <c r="O145" s="67"/>
      <c r="P145" s="67"/>
      <c r="Q145" s="67"/>
      <c r="R145" s="67"/>
      <c r="S145" s="67"/>
      <c r="T145" s="67"/>
      <c r="U145" s="67"/>
      <c r="V145" s="67"/>
      <c r="W145" s="67"/>
      <c r="X145" s="67"/>
      <c r="Y145" s="67"/>
      <c r="Z145" s="67"/>
    </row>
    <row r="146">
      <c r="A146" s="135"/>
      <c r="B146" s="125"/>
      <c r="C146" s="125"/>
      <c r="D146" s="125"/>
      <c r="E146" s="126"/>
      <c r="F146" s="67"/>
      <c r="G146" s="67"/>
      <c r="H146" s="67"/>
      <c r="I146" s="67"/>
      <c r="J146" s="67"/>
      <c r="K146" s="67"/>
      <c r="L146" s="67"/>
      <c r="M146" s="67"/>
      <c r="N146" s="67"/>
      <c r="O146" s="67"/>
      <c r="P146" s="67"/>
      <c r="Q146" s="67"/>
      <c r="R146" s="67"/>
      <c r="S146" s="67"/>
      <c r="T146" s="67"/>
      <c r="U146" s="67"/>
      <c r="V146" s="67"/>
      <c r="W146" s="67"/>
      <c r="X146" s="67"/>
      <c r="Y146" s="67"/>
      <c r="Z146" s="67"/>
    </row>
    <row r="147">
      <c r="A147" s="136"/>
      <c r="B147" s="131"/>
      <c r="C147" s="131"/>
      <c r="D147" s="131"/>
      <c r="E147" s="130"/>
      <c r="F147" s="67"/>
      <c r="G147" s="67"/>
      <c r="H147" s="67"/>
      <c r="I147" s="67"/>
      <c r="J147" s="67"/>
      <c r="K147" s="67"/>
      <c r="L147" s="67"/>
      <c r="M147" s="67"/>
      <c r="N147" s="67"/>
      <c r="O147" s="67"/>
      <c r="P147" s="67"/>
      <c r="Q147" s="67"/>
      <c r="R147" s="67"/>
      <c r="S147" s="67"/>
      <c r="T147" s="67"/>
      <c r="U147" s="67"/>
      <c r="V147" s="67"/>
      <c r="W147" s="67"/>
      <c r="X147" s="67"/>
      <c r="Y147" s="67"/>
      <c r="Z147" s="67"/>
    </row>
    <row r="148">
      <c r="A148" s="135"/>
      <c r="B148" s="125"/>
      <c r="C148" s="125"/>
      <c r="D148" s="125"/>
      <c r="E148" s="126"/>
      <c r="F148" s="67"/>
      <c r="G148" s="67"/>
      <c r="H148" s="67"/>
      <c r="I148" s="67"/>
      <c r="J148" s="67"/>
      <c r="K148" s="67"/>
      <c r="L148" s="67"/>
      <c r="M148" s="67"/>
      <c r="N148" s="67"/>
      <c r="O148" s="67"/>
      <c r="P148" s="67"/>
      <c r="Q148" s="67"/>
      <c r="R148" s="67"/>
      <c r="S148" s="67"/>
      <c r="T148" s="67"/>
      <c r="U148" s="67"/>
      <c r="V148" s="67"/>
      <c r="W148" s="67"/>
      <c r="X148" s="67"/>
      <c r="Y148" s="67"/>
      <c r="Z148" s="67"/>
    </row>
    <row r="149">
      <c r="A149" s="136"/>
      <c r="B149" s="131"/>
      <c r="C149" s="131"/>
      <c r="D149" s="131"/>
      <c r="E149" s="130"/>
      <c r="F149" s="67"/>
      <c r="G149" s="67"/>
      <c r="H149" s="67"/>
      <c r="I149" s="67"/>
      <c r="J149" s="67"/>
      <c r="K149" s="67"/>
      <c r="L149" s="67"/>
      <c r="M149" s="67"/>
      <c r="N149" s="67"/>
      <c r="O149" s="67"/>
      <c r="P149" s="67"/>
      <c r="Q149" s="67"/>
      <c r="R149" s="67"/>
      <c r="S149" s="67"/>
      <c r="T149" s="67"/>
      <c r="U149" s="67"/>
      <c r="V149" s="67"/>
      <c r="W149" s="67"/>
      <c r="X149" s="67"/>
      <c r="Y149" s="67"/>
      <c r="Z149" s="67"/>
    </row>
    <row r="150">
      <c r="A150" s="135"/>
      <c r="B150" s="125"/>
      <c r="C150" s="125"/>
      <c r="D150" s="125"/>
      <c r="E150" s="126"/>
      <c r="F150" s="67"/>
      <c r="G150" s="67"/>
      <c r="H150" s="67"/>
      <c r="I150" s="67"/>
      <c r="J150" s="67"/>
      <c r="K150" s="67"/>
      <c r="L150" s="67"/>
      <c r="M150" s="67"/>
      <c r="N150" s="67"/>
      <c r="O150" s="67"/>
      <c r="P150" s="67"/>
      <c r="Q150" s="67"/>
      <c r="R150" s="67"/>
      <c r="S150" s="67"/>
      <c r="T150" s="67"/>
      <c r="U150" s="67"/>
      <c r="V150" s="67"/>
      <c r="W150" s="67"/>
      <c r="X150" s="67"/>
      <c r="Y150" s="67"/>
      <c r="Z150" s="67"/>
    </row>
    <row r="151">
      <c r="A151" s="136"/>
      <c r="B151" s="131"/>
      <c r="C151" s="131"/>
      <c r="D151" s="131"/>
      <c r="E151" s="130"/>
      <c r="F151" s="67"/>
      <c r="G151" s="67"/>
      <c r="H151" s="67"/>
      <c r="I151" s="67"/>
      <c r="J151" s="67"/>
      <c r="K151" s="67"/>
      <c r="L151" s="67"/>
      <c r="M151" s="67"/>
      <c r="N151" s="67"/>
      <c r="O151" s="67"/>
      <c r="P151" s="67"/>
      <c r="Q151" s="67"/>
      <c r="R151" s="67"/>
      <c r="S151" s="67"/>
      <c r="T151" s="67"/>
      <c r="U151" s="67"/>
      <c r="V151" s="67"/>
      <c r="W151" s="67"/>
      <c r="X151" s="67"/>
      <c r="Y151" s="67"/>
      <c r="Z151" s="67"/>
    </row>
    <row r="152">
      <c r="A152" s="135"/>
      <c r="B152" s="125"/>
      <c r="C152" s="125"/>
      <c r="D152" s="125"/>
      <c r="E152" s="126"/>
      <c r="F152" s="67"/>
      <c r="G152" s="67"/>
      <c r="H152" s="67"/>
      <c r="I152" s="67"/>
      <c r="J152" s="67"/>
      <c r="K152" s="67"/>
      <c r="L152" s="67"/>
      <c r="M152" s="67"/>
      <c r="N152" s="67"/>
      <c r="O152" s="67"/>
      <c r="P152" s="67"/>
      <c r="Q152" s="67"/>
      <c r="R152" s="67"/>
      <c r="S152" s="67"/>
      <c r="T152" s="67"/>
      <c r="U152" s="67"/>
      <c r="V152" s="67"/>
      <c r="W152" s="67"/>
      <c r="X152" s="67"/>
      <c r="Y152" s="67"/>
      <c r="Z152" s="67"/>
    </row>
    <row r="153">
      <c r="A153" s="136"/>
      <c r="B153" s="131"/>
      <c r="C153" s="131"/>
      <c r="D153" s="131"/>
      <c r="E153" s="130"/>
      <c r="F153" s="67"/>
      <c r="G153" s="67"/>
      <c r="H153" s="67"/>
      <c r="I153" s="67"/>
      <c r="J153" s="67"/>
      <c r="K153" s="67"/>
      <c r="L153" s="67"/>
      <c r="M153" s="67"/>
      <c r="N153" s="67"/>
      <c r="O153" s="67"/>
      <c r="P153" s="67"/>
      <c r="Q153" s="67"/>
      <c r="R153" s="67"/>
      <c r="S153" s="67"/>
      <c r="T153" s="67"/>
      <c r="U153" s="67"/>
      <c r="V153" s="67"/>
      <c r="W153" s="67"/>
      <c r="X153" s="67"/>
      <c r="Y153" s="67"/>
      <c r="Z153" s="67"/>
    </row>
    <row r="154">
      <c r="A154" s="135"/>
      <c r="B154" s="125"/>
      <c r="C154" s="125"/>
      <c r="D154" s="125"/>
      <c r="E154" s="126"/>
      <c r="F154" s="67"/>
      <c r="G154" s="67"/>
      <c r="H154" s="67"/>
      <c r="I154" s="67"/>
      <c r="J154" s="67"/>
      <c r="K154" s="67"/>
      <c r="L154" s="67"/>
      <c r="M154" s="67"/>
      <c r="N154" s="67"/>
      <c r="O154" s="67"/>
      <c r="P154" s="67"/>
      <c r="Q154" s="67"/>
      <c r="R154" s="67"/>
      <c r="S154" s="67"/>
      <c r="T154" s="67"/>
      <c r="U154" s="67"/>
      <c r="V154" s="67"/>
      <c r="W154" s="67"/>
      <c r="X154" s="67"/>
      <c r="Y154" s="67"/>
      <c r="Z154" s="67"/>
    </row>
    <row r="155">
      <c r="A155" s="136"/>
      <c r="B155" s="131"/>
      <c r="C155" s="131"/>
      <c r="D155" s="131"/>
      <c r="E155" s="130"/>
      <c r="F155" s="67"/>
      <c r="G155" s="67"/>
      <c r="H155" s="67"/>
      <c r="I155" s="67"/>
      <c r="J155" s="67"/>
      <c r="K155" s="67"/>
      <c r="L155" s="67"/>
      <c r="M155" s="67"/>
      <c r="N155" s="67"/>
      <c r="O155" s="67"/>
      <c r="P155" s="67"/>
      <c r="Q155" s="67"/>
      <c r="R155" s="67"/>
      <c r="S155" s="67"/>
      <c r="T155" s="67"/>
      <c r="U155" s="67"/>
      <c r="V155" s="67"/>
      <c r="W155" s="67"/>
      <c r="X155" s="67"/>
      <c r="Y155" s="67"/>
      <c r="Z155" s="67"/>
    </row>
    <row r="156">
      <c r="A156" s="135"/>
      <c r="B156" s="125"/>
      <c r="C156" s="125"/>
      <c r="D156" s="125"/>
      <c r="E156" s="126"/>
      <c r="F156" s="67"/>
      <c r="G156" s="67"/>
      <c r="H156" s="67"/>
      <c r="I156" s="67"/>
      <c r="J156" s="67"/>
      <c r="K156" s="67"/>
      <c r="L156" s="67"/>
      <c r="M156" s="67"/>
      <c r="N156" s="67"/>
      <c r="O156" s="67"/>
      <c r="P156" s="67"/>
      <c r="Q156" s="67"/>
      <c r="R156" s="67"/>
      <c r="S156" s="67"/>
      <c r="T156" s="67"/>
      <c r="U156" s="67"/>
      <c r="V156" s="67"/>
      <c r="W156" s="67"/>
      <c r="X156" s="67"/>
      <c r="Y156" s="67"/>
      <c r="Z156" s="67"/>
    </row>
    <row r="157">
      <c r="A157" s="136"/>
      <c r="B157" s="131"/>
      <c r="C157" s="131"/>
      <c r="D157" s="131"/>
      <c r="E157" s="130"/>
      <c r="F157" s="67"/>
      <c r="G157" s="67"/>
      <c r="H157" s="67"/>
      <c r="I157" s="67"/>
      <c r="J157" s="67"/>
      <c r="K157" s="67"/>
      <c r="L157" s="67"/>
      <c r="M157" s="67"/>
      <c r="N157" s="67"/>
      <c r="O157" s="67"/>
      <c r="P157" s="67"/>
      <c r="Q157" s="67"/>
      <c r="R157" s="67"/>
      <c r="S157" s="67"/>
      <c r="T157" s="67"/>
      <c r="U157" s="67"/>
      <c r="V157" s="67"/>
      <c r="W157" s="67"/>
      <c r="X157" s="67"/>
      <c r="Y157" s="67"/>
      <c r="Z157" s="67"/>
    </row>
    <row r="158">
      <c r="A158" s="135"/>
      <c r="B158" s="125"/>
      <c r="C158" s="125"/>
      <c r="D158" s="125"/>
      <c r="E158" s="126"/>
      <c r="F158" s="67"/>
      <c r="G158" s="67"/>
      <c r="H158" s="67"/>
      <c r="I158" s="67"/>
      <c r="J158" s="67"/>
      <c r="K158" s="67"/>
      <c r="L158" s="67"/>
      <c r="M158" s="67"/>
      <c r="N158" s="67"/>
      <c r="O158" s="67"/>
      <c r="P158" s="67"/>
      <c r="Q158" s="67"/>
      <c r="R158" s="67"/>
      <c r="S158" s="67"/>
      <c r="T158" s="67"/>
      <c r="U158" s="67"/>
      <c r="V158" s="67"/>
      <c r="W158" s="67"/>
      <c r="X158" s="67"/>
      <c r="Y158" s="67"/>
      <c r="Z158" s="67"/>
    </row>
    <row r="159">
      <c r="A159" s="136"/>
      <c r="B159" s="131"/>
      <c r="C159" s="131"/>
      <c r="D159" s="131"/>
      <c r="E159" s="130"/>
      <c r="F159" s="67"/>
      <c r="G159" s="67"/>
      <c r="H159" s="67"/>
      <c r="I159" s="67"/>
      <c r="J159" s="67"/>
      <c r="K159" s="67"/>
      <c r="L159" s="67"/>
      <c r="M159" s="67"/>
      <c r="N159" s="67"/>
      <c r="O159" s="67"/>
      <c r="P159" s="67"/>
      <c r="Q159" s="67"/>
      <c r="R159" s="67"/>
      <c r="S159" s="67"/>
      <c r="T159" s="67"/>
      <c r="U159" s="67"/>
      <c r="V159" s="67"/>
      <c r="W159" s="67"/>
      <c r="X159" s="67"/>
      <c r="Y159" s="67"/>
      <c r="Z159" s="67"/>
    </row>
    <row r="160">
      <c r="A160" s="135"/>
      <c r="B160" s="125"/>
      <c r="C160" s="125"/>
      <c r="D160" s="125"/>
      <c r="E160" s="126"/>
      <c r="F160" s="67"/>
      <c r="G160" s="67"/>
      <c r="H160" s="67"/>
      <c r="I160" s="67"/>
      <c r="J160" s="67"/>
      <c r="K160" s="67"/>
      <c r="L160" s="67"/>
      <c r="M160" s="67"/>
      <c r="N160" s="67"/>
      <c r="O160" s="67"/>
      <c r="P160" s="67"/>
      <c r="Q160" s="67"/>
      <c r="R160" s="67"/>
      <c r="S160" s="67"/>
      <c r="T160" s="67"/>
      <c r="U160" s="67"/>
      <c r="V160" s="67"/>
      <c r="W160" s="67"/>
      <c r="X160" s="67"/>
      <c r="Y160" s="67"/>
      <c r="Z160" s="67"/>
    </row>
    <row r="161">
      <c r="A161" s="136"/>
      <c r="B161" s="131"/>
      <c r="C161" s="131"/>
      <c r="D161" s="131"/>
      <c r="E161" s="130"/>
      <c r="F161" s="67"/>
      <c r="G161" s="67"/>
      <c r="H161" s="67"/>
      <c r="I161" s="67"/>
      <c r="J161" s="67"/>
      <c r="K161" s="67"/>
      <c r="L161" s="67"/>
      <c r="M161" s="67"/>
      <c r="N161" s="67"/>
      <c r="O161" s="67"/>
      <c r="P161" s="67"/>
      <c r="Q161" s="67"/>
      <c r="R161" s="67"/>
      <c r="S161" s="67"/>
      <c r="T161" s="67"/>
      <c r="U161" s="67"/>
      <c r="V161" s="67"/>
      <c r="W161" s="67"/>
      <c r="X161" s="67"/>
      <c r="Y161" s="67"/>
      <c r="Z161" s="67"/>
    </row>
    <row r="162">
      <c r="A162" s="135"/>
      <c r="B162" s="125"/>
      <c r="C162" s="125"/>
      <c r="D162" s="125"/>
      <c r="E162" s="126"/>
      <c r="F162" s="67"/>
      <c r="G162" s="67"/>
      <c r="H162" s="67"/>
      <c r="I162" s="67"/>
      <c r="J162" s="67"/>
      <c r="K162" s="67"/>
      <c r="L162" s="67"/>
      <c r="M162" s="67"/>
      <c r="N162" s="67"/>
      <c r="O162" s="67"/>
      <c r="P162" s="67"/>
      <c r="Q162" s="67"/>
      <c r="R162" s="67"/>
      <c r="S162" s="67"/>
      <c r="T162" s="67"/>
      <c r="U162" s="67"/>
      <c r="V162" s="67"/>
      <c r="W162" s="67"/>
      <c r="X162" s="67"/>
      <c r="Y162" s="67"/>
      <c r="Z162" s="67"/>
    </row>
    <row r="163">
      <c r="A163" s="136"/>
      <c r="B163" s="131"/>
      <c r="C163" s="131"/>
      <c r="D163" s="131"/>
      <c r="E163" s="130"/>
      <c r="F163" s="67"/>
      <c r="G163" s="67"/>
      <c r="H163" s="67"/>
      <c r="I163" s="67"/>
      <c r="J163" s="67"/>
      <c r="K163" s="67"/>
      <c r="L163" s="67"/>
      <c r="M163" s="67"/>
      <c r="N163" s="67"/>
      <c r="O163" s="67"/>
      <c r="P163" s="67"/>
      <c r="Q163" s="67"/>
      <c r="R163" s="67"/>
      <c r="S163" s="67"/>
      <c r="T163" s="67"/>
      <c r="U163" s="67"/>
      <c r="V163" s="67"/>
      <c r="W163" s="67"/>
      <c r="X163" s="67"/>
      <c r="Y163" s="67"/>
      <c r="Z163" s="67"/>
    </row>
    <row r="164">
      <c r="A164" s="135"/>
      <c r="B164" s="125"/>
      <c r="C164" s="125"/>
      <c r="D164" s="125"/>
      <c r="E164" s="126"/>
      <c r="F164" s="67"/>
      <c r="G164" s="67"/>
      <c r="H164" s="67"/>
      <c r="I164" s="67"/>
      <c r="J164" s="67"/>
      <c r="K164" s="67"/>
      <c r="L164" s="67"/>
      <c r="M164" s="67"/>
      <c r="N164" s="67"/>
      <c r="O164" s="67"/>
      <c r="P164" s="67"/>
      <c r="Q164" s="67"/>
      <c r="R164" s="67"/>
      <c r="S164" s="67"/>
      <c r="T164" s="67"/>
      <c r="U164" s="67"/>
      <c r="V164" s="67"/>
      <c r="W164" s="67"/>
      <c r="X164" s="67"/>
      <c r="Y164" s="67"/>
      <c r="Z164" s="67"/>
    </row>
    <row r="165">
      <c r="A165" s="136"/>
      <c r="B165" s="131"/>
      <c r="C165" s="131"/>
      <c r="D165" s="131"/>
      <c r="E165" s="130"/>
      <c r="F165" s="67"/>
      <c r="G165" s="67"/>
      <c r="H165" s="67"/>
      <c r="I165" s="67"/>
      <c r="J165" s="67"/>
      <c r="K165" s="67"/>
      <c r="L165" s="67"/>
      <c r="M165" s="67"/>
      <c r="N165" s="67"/>
      <c r="O165" s="67"/>
      <c r="P165" s="67"/>
      <c r="Q165" s="67"/>
      <c r="R165" s="67"/>
      <c r="S165" s="67"/>
      <c r="T165" s="67"/>
      <c r="U165" s="67"/>
      <c r="V165" s="67"/>
      <c r="W165" s="67"/>
      <c r="X165" s="67"/>
      <c r="Y165" s="67"/>
      <c r="Z165" s="67"/>
    </row>
    <row r="166">
      <c r="A166" s="135"/>
      <c r="B166" s="125"/>
      <c r="C166" s="125"/>
      <c r="D166" s="125"/>
      <c r="E166" s="126"/>
      <c r="F166" s="67"/>
      <c r="G166" s="67"/>
      <c r="H166" s="67"/>
      <c r="I166" s="67"/>
      <c r="J166" s="67"/>
      <c r="K166" s="67"/>
      <c r="L166" s="67"/>
      <c r="M166" s="67"/>
      <c r="N166" s="67"/>
      <c r="O166" s="67"/>
      <c r="P166" s="67"/>
      <c r="Q166" s="67"/>
      <c r="R166" s="67"/>
      <c r="S166" s="67"/>
      <c r="T166" s="67"/>
      <c r="U166" s="67"/>
      <c r="V166" s="67"/>
      <c r="W166" s="67"/>
      <c r="X166" s="67"/>
      <c r="Y166" s="67"/>
      <c r="Z166" s="67"/>
    </row>
    <row r="167">
      <c r="A167" s="136"/>
      <c r="B167" s="131"/>
      <c r="C167" s="131"/>
      <c r="D167" s="131"/>
      <c r="E167" s="130"/>
      <c r="F167" s="67"/>
      <c r="G167" s="67"/>
      <c r="H167" s="67"/>
      <c r="I167" s="67"/>
      <c r="J167" s="67"/>
      <c r="K167" s="67"/>
      <c r="L167" s="67"/>
      <c r="M167" s="67"/>
      <c r="N167" s="67"/>
      <c r="O167" s="67"/>
      <c r="P167" s="67"/>
      <c r="Q167" s="67"/>
      <c r="R167" s="67"/>
      <c r="S167" s="67"/>
      <c r="T167" s="67"/>
      <c r="U167" s="67"/>
      <c r="V167" s="67"/>
      <c r="W167" s="67"/>
      <c r="X167" s="67"/>
      <c r="Y167" s="67"/>
      <c r="Z167" s="67"/>
    </row>
    <row r="168">
      <c r="A168" s="135"/>
      <c r="B168" s="125"/>
      <c r="C168" s="125"/>
      <c r="D168" s="125"/>
      <c r="E168" s="126"/>
      <c r="F168" s="67"/>
      <c r="G168" s="67"/>
      <c r="H168" s="67"/>
      <c r="I168" s="67"/>
      <c r="J168" s="67"/>
      <c r="K168" s="67"/>
      <c r="L168" s="67"/>
      <c r="M168" s="67"/>
      <c r="N168" s="67"/>
      <c r="O168" s="67"/>
      <c r="P168" s="67"/>
      <c r="Q168" s="67"/>
      <c r="R168" s="67"/>
      <c r="S168" s="67"/>
      <c r="T168" s="67"/>
      <c r="U168" s="67"/>
      <c r="V168" s="67"/>
      <c r="W168" s="67"/>
      <c r="X168" s="67"/>
      <c r="Y168" s="67"/>
      <c r="Z168" s="67"/>
    </row>
    <row r="169">
      <c r="A169" s="136"/>
      <c r="B169" s="131"/>
      <c r="C169" s="131"/>
      <c r="D169" s="131"/>
      <c r="E169" s="130"/>
      <c r="F169" s="67"/>
      <c r="G169" s="67"/>
      <c r="H169" s="67"/>
      <c r="I169" s="67"/>
      <c r="J169" s="67"/>
      <c r="K169" s="67"/>
      <c r="L169" s="67"/>
      <c r="M169" s="67"/>
      <c r="N169" s="67"/>
      <c r="O169" s="67"/>
      <c r="P169" s="67"/>
      <c r="Q169" s="67"/>
      <c r="R169" s="67"/>
      <c r="S169" s="67"/>
      <c r="T169" s="67"/>
      <c r="U169" s="67"/>
      <c r="V169" s="67"/>
      <c r="W169" s="67"/>
      <c r="X169" s="67"/>
      <c r="Y169" s="67"/>
      <c r="Z169" s="67"/>
    </row>
    <row r="170">
      <c r="A170" s="135"/>
      <c r="B170" s="125"/>
      <c r="C170" s="125"/>
      <c r="D170" s="125"/>
      <c r="E170" s="126"/>
      <c r="F170" s="67"/>
      <c r="G170" s="67"/>
      <c r="H170" s="67"/>
      <c r="I170" s="67"/>
      <c r="J170" s="67"/>
      <c r="K170" s="67"/>
      <c r="L170" s="67"/>
      <c r="M170" s="67"/>
      <c r="N170" s="67"/>
      <c r="O170" s="67"/>
      <c r="P170" s="67"/>
      <c r="Q170" s="67"/>
      <c r="R170" s="67"/>
      <c r="S170" s="67"/>
      <c r="T170" s="67"/>
      <c r="U170" s="67"/>
      <c r="V170" s="67"/>
      <c r="W170" s="67"/>
      <c r="X170" s="67"/>
      <c r="Y170" s="67"/>
      <c r="Z170" s="67"/>
    </row>
    <row r="171">
      <c r="A171" s="136"/>
      <c r="B171" s="131"/>
      <c r="C171" s="131"/>
      <c r="D171" s="131"/>
      <c r="E171" s="130"/>
      <c r="F171" s="67"/>
      <c r="G171" s="67"/>
      <c r="H171" s="67"/>
      <c r="I171" s="67"/>
      <c r="J171" s="67"/>
      <c r="K171" s="67"/>
      <c r="L171" s="67"/>
      <c r="M171" s="67"/>
      <c r="N171" s="67"/>
      <c r="O171" s="67"/>
      <c r="P171" s="67"/>
      <c r="Q171" s="67"/>
      <c r="R171" s="67"/>
      <c r="S171" s="67"/>
      <c r="T171" s="67"/>
      <c r="U171" s="67"/>
      <c r="V171" s="67"/>
      <c r="W171" s="67"/>
      <c r="X171" s="67"/>
      <c r="Y171" s="67"/>
      <c r="Z171" s="67"/>
    </row>
    <row r="172">
      <c r="A172" s="135"/>
      <c r="B172" s="125"/>
      <c r="C172" s="125"/>
      <c r="D172" s="125"/>
      <c r="E172" s="126"/>
      <c r="F172" s="67"/>
      <c r="G172" s="67"/>
      <c r="H172" s="67"/>
      <c r="I172" s="67"/>
      <c r="J172" s="67"/>
      <c r="K172" s="67"/>
      <c r="L172" s="67"/>
      <c r="M172" s="67"/>
      <c r="N172" s="67"/>
      <c r="O172" s="67"/>
      <c r="P172" s="67"/>
      <c r="Q172" s="67"/>
      <c r="R172" s="67"/>
      <c r="S172" s="67"/>
      <c r="T172" s="67"/>
      <c r="U172" s="67"/>
      <c r="V172" s="67"/>
      <c r="W172" s="67"/>
      <c r="X172" s="67"/>
      <c r="Y172" s="67"/>
      <c r="Z172" s="67"/>
    </row>
    <row r="173">
      <c r="A173" s="136"/>
      <c r="B173" s="131"/>
      <c r="C173" s="131"/>
      <c r="D173" s="131"/>
      <c r="E173" s="130"/>
      <c r="F173" s="67"/>
      <c r="G173" s="67"/>
      <c r="H173" s="67"/>
      <c r="I173" s="67"/>
      <c r="J173" s="67"/>
      <c r="K173" s="67"/>
      <c r="L173" s="67"/>
      <c r="M173" s="67"/>
      <c r="N173" s="67"/>
      <c r="O173" s="67"/>
      <c r="P173" s="67"/>
      <c r="Q173" s="67"/>
      <c r="R173" s="67"/>
      <c r="S173" s="67"/>
      <c r="T173" s="67"/>
      <c r="U173" s="67"/>
      <c r="V173" s="67"/>
      <c r="W173" s="67"/>
      <c r="X173" s="67"/>
      <c r="Y173" s="67"/>
      <c r="Z173" s="67"/>
    </row>
    <row r="174">
      <c r="A174" s="135"/>
      <c r="B174" s="125"/>
      <c r="C174" s="125"/>
      <c r="D174" s="125"/>
      <c r="E174" s="126"/>
      <c r="F174" s="67"/>
      <c r="G174" s="67"/>
      <c r="H174" s="67"/>
      <c r="I174" s="67"/>
      <c r="J174" s="67"/>
      <c r="K174" s="67"/>
      <c r="L174" s="67"/>
      <c r="M174" s="67"/>
      <c r="N174" s="67"/>
      <c r="O174" s="67"/>
      <c r="P174" s="67"/>
      <c r="Q174" s="67"/>
      <c r="R174" s="67"/>
      <c r="S174" s="67"/>
      <c r="T174" s="67"/>
      <c r="U174" s="67"/>
      <c r="V174" s="67"/>
      <c r="W174" s="67"/>
      <c r="X174" s="67"/>
      <c r="Y174" s="67"/>
      <c r="Z174" s="67"/>
    </row>
    <row r="175">
      <c r="A175" s="136"/>
      <c r="B175" s="131"/>
      <c r="C175" s="131"/>
      <c r="D175" s="131"/>
      <c r="E175" s="130"/>
      <c r="F175" s="67"/>
      <c r="G175" s="67"/>
      <c r="H175" s="67"/>
      <c r="I175" s="67"/>
      <c r="J175" s="67"/>
      <c r="K175" s="67"/>
      <c r="L175" s="67"/>
      <c r="M175" s="67"/>
      <c r="N175" s="67"/>
      <c r="O175" s="67"/>
      <c r="P175" s="67"/>
      <c r="Q175" s="67"/>
      <c r="R175" s="67"/>
      <c r="S175" s="67"/>
      <c r="T175" s="67"/>
      <c r="U175" s="67"/>
      <c r="V175" s="67"/>
      <c r="W175" s="67"/>
      <c r="X175" s="67"/>
      <c r="Y175" s="67"/>
      <c r="Z175" s="67"/>
    </row>
    <row r="176">
      <c r="A176" s="135"/>
      <c r="B176" s="125"/>
      <c r="C176" s="125"/>
      <c r="D176" s="125"/>
      <c r="E176" s="126"/>
      <c r="F176" s="67"/>
      <c r="G176" s="67"/>
      <c r="H176" s="67"/>
      <c r="I176" s="67"/>
      <c r="J176" s="67"/>
      <c r="K176" s="67"/>
      <c r="L176" s="67"/>
      <c r="M176" s="67"/>
      <c r="N176" s="67"/>
      <c r="O176" s="67"/>
      <c r="P176" s="67"/>
      <c r="Q176" s="67"/>
      <c r="R176" s="67"/>
      <c r="S176" s="67"/>
      <c r="T176" s="67"/>
      <c r="U176" s="67"/>
      <c r="V176" s="67"/>
      <c r="W176" s="67"/>
      <c r="X176" s="67"/>
      <c r="Y176" s="67"/>
      <c r="Z176" s="67"/>
    </row>
    <row r="177">
      <c r="A177" s="136"/>
      <c r="B177" s="131"/>
      <c r="C177" s="131"/>
      <c r="D177" s="131"/>
      <c r="E177" s="130"/>
      <c r="F177" s="67"/>
      <c r="G177" s="67"/>
      <c r="H177" s="67"/>
      <c r="I177" s="67"/>
      <c r="J177" s="67"/>
      <c r="K177" s="67"/>
      <c r="L177" s="67"/>
      <c r="M177" s="67"/>
      <c r="N177" s="67"/>
      <c r="O177" s="67"/>
      <c r="P177" s="67"/>
      <c r="Q177" s="67"/>
      <c r="R177" s="67"/>
      <c r="S177" s="67"/>
      <c r="T177" s="67"/>
      <c r="U177" s="67"/>
      <c r="V177" s="67"/>
      <c r="W177" s="67"/>
      <c r="X177" s="67"/>
      <c r="Y177" s="67"/>
      <c r="Z177" s="67"/>
    </row>
    <row r="178">
      <c r="A178" s="135"/>
      <c r="B178" s="125"/>
      <c r="C178" s="125"/>
      <c r="D178" s="125"/>
      <c r="E178" s="126"/>
      <c r="F178" s="67"/>
      <c r="G178" s="67"/>
      <c r="H178" s="67"/>
      <c r="I178" s="67"/>
      <c r="J178" s="67"/>
      <c r="K178" s="67"/>
      <c r="L178" s="67"/>
      <c r="M178" s="67"/>
      <c r="N178" s="67"/>
      <c r="O178" s="67"/>
      <c r="P178" s="67"/>
      <c r="Q178" s="67"/>
      <c r="R178" s="67"/>
      <c r="S178" s="67"/>
      <c r="T178" s="67"/>
      <c r="U178" s="67"/>
      <c r="V178" s="67"/>
      <c r="W178" s="67"/>
      <c r="X178" s="67"/>
      <c r="Y178" s="67"/>
      <c r="Z178" s="67"/>
    </row>
    <row r="179">
      <c r="A179" s="136"/>
      <c r="B179" s="131"/>
      <c r="C179" s="131"/>
      <c r="D179" s="131"/>
      <c r="E179" s="130"/>
      <c r="F179" s="67"/>
      <c r="G179" s="67"/>
      <c r="H179" s="67"/>
      <c r="I179" s="67"/>
      <c r="J179" s="67"/>
      <c r="K179" s="67"/>
      <c r="L179" s="67"/>
      <c r="M179" s="67"/>
      <c r="N179" s="67"/>
      <c r="O179" s="67"/>
      <c r="P179" s="67"/>
      <c r="Q179" s="67"/>
      <c r="R179" s="67"/>
      <c r="S179" s="67"/>
      <c r="T179" s="67"/>
      <c r="U179" s="67"/>
      <c r="V179" s="67"/>
      <c r="W179" s="67"/>
      <c r="X179" s="67"/>
      <c r="Y179" s="67"/>
      <c r="Z179" s="67"/>
    </row>
    <row r="180">
      <c r="A180" s="135"/>
      <c r="B180" s="125"/>
      <c r="C180" s="125"/>
      <c r="D180" s="125"/>
      <c r="E180" s="126"/>
      <c r="F180" s="67"/>
      <c r="G180" s="67"/>
      <c r="H180" s="67"/>
      <c r="I180" s="67"/>
      <c r="J180" s="67"/>
      <c r="K180" s="67"/>
      <c r="L180" s="67"/>
      <c r="M180" s="67"/>
      <c r="N180" s="67"/>
      <c r="O180" s="67"/>
      <c r="P180" s="67"/>
      <c r="Q180" s="67"/>
      <c r="R180" s="67"/>
      <c r="S180" s="67"/>
      <c r="T180" s="67"/>
      <c r="U180" s="67"/>
      <c r="V180" s="67"/>
      <c r="W180" s="67"/>
      <c r="X180" s="67"/>
      <c r="Y180" s="67"/>
      <c r="Z180" s="67"/>
    </row>
    <row r="181">
      <c r="A181" s="136"/>
      <c r="B181" s="131"/>
      <c r="C181" s="131"/>
      <c r="D181" s="131"/>
      <c r="E181" s="130"/>
      <c r="F181" s="67"/>
      <c r="G181" s="67"/>
      <c r="H181" s="67"/>
      <c r="I181" s="67"/>
      <c r="J181" s="67"/>
      <c r="K181" s="67"/>
      <c r="L181" s="67"/>
      <c r="M181" s="67"/>
      <c r="N181" s="67"/>
      <c r="O181" s="67"/>
      <c r="P181" s="67"/>
      <c r="Q181" s="67"/>
      <c r="R181" s="67"/>
      <c r="S181" s="67"/>
      <c r="T181" s="67"/>
      <c r="U181" s="67"/>
      <c r="V181" s="67"/>
      <c r="W181" s="67"/>
      <c r="X181" s="67"/>
      <c r="Y181" s="67"/>
      <c r="Z181" s="67"/>
    </row>
    <row r="182">
      <c r="A182" s="135"/>
      <c r="B182" s="125"/>
      <c r="C182" s="125"/>
      <c r="D182" s="125"/>
      <c r="E182" s="126"/>
      <c r="F182" s="67"/>
      <c r="G182" s="67"/>
      <c r="H182" s="67"/>
      <c r="I182" s="67"/>
      <c r="J182" s="67"/>
      <c r="K182" s="67"/>
      <c r="L182" s="67"/>
      <c r="M182" s="67"/>
      <c r="N182" s="67"/>
      <c r="O182" s="67"/>
      <c r="P182" s="67"/>
      <c r="Q182" s="67"/>
      <c r="R182" s="67"/>
      <c r="S182" s="67"/>
      <c r="T182" s="67"/>
      <c r="U182" s="67"/>
      <c r="V182" s="67"/>
      <c r="W182" s="67"/>
      <c r="X182" s="67"/>
      <c r="Y182" s="67"/>
      <c r="Z182" s="67"/>
    </row>
    <row r="183">
      <c r="A183" s="136"/>
      <c r="B183" s="131"/>
      <c r="C183" s="131"/>
      <c r="D183" s="131"/>
      <c r="E183" s="130"/>
      <c r="F183" s="67"/>
      <c r="G183" s="67"/>
      <c r="H183" s="67"/>
      <c r="I183" s="67"/>
      <c r="J183" s="67"/>
      <c r="K183" s="67"/>
      <c r="L183" s="67"/>
      <c r="M183" s="67"/>
      <c r="N183" s="67"/>
      <c r="O183" s="67"/>
      <c r="P183" s="67"/>
      <c r="Q183" s="67"/>
      <c r="R183" s="67"/>
      <c r="S183" s="67"/>
      <c r="T183" s="67"/>
      <c r="U183" s="67"/>
      <c r="V183" s="67"/>
      <c r="W183" s="67"/>
      <c r="X183" s="67"/>
      <c r="Y183" s="67"/>
      <c r="Z183" s="67"/>
    </row>
    <row r="184">
      <c r="A184" s="135"/>
      <c r="B184" s="125"/>
      <c r="C184" s="125"/>
      <c r="D184" s="125"/>
      <c r="E184" s="126"/>
      <c r="F184" s="67"/>
      <c r="G184" s="67"/>
      <c r="H184" s="67"/>
      <c r="I184" s="67"/>
      <c r="J184" s="67"/>
      <c r="K184" s="67"/>
      <c r="L184" s="67"/>
      <c r="M184" s="67"/>
      <c r="N184" s="67"/>
      <c r="O184" s="67"/>
      <c r="P184" s="67"/>
      <c r="Q184" s="67"/>
      <c r="R184" s="67"/>
      <c r="S184" s="67"/>
      <c r="T184" s="67"/>
      <c r="U184" s="67"/>
      <c r="V184" s="67"/>
      <c r="W184" s="67"/>
      <c r="X184" s="67"/>
      <c r="Y184" s="67"/>
      <c r="Z184" s="67"/>
    </row>
    <row r="185">
      <c r="A185" s="136"/>
      <c r="B185" s="131"/>
      <c r="C185" s="131"/>
      <c r="D185" s="131"/>
      <c r="E185" s="130"/>
      <c r="F185" s="67"/>
      <c r="G185" s="67"/>
      <c r="H185" s="67"/>
      <c r="I185" s="67"/>
      <c r="J185" s="67"/>
      <c r="K185" s="67"/>
      <c r="L185" s="67"/>
      <c r="M185" s="67"/>
      <c r="N185" s="67"/>
      <c r="O185" s="67"/>
      <c r="P185" s="67"/>
      <c r="Q185" s="67"/>
      <c r="R185" s="67"/>
      <c r="S185" s="67"/>
      <c r="T185" s="67"/>
      <c r="U185" s="67"/>
      <c r="V185" s="67"/>
      <c r="W185" s="67"/>
      <c r="X185" s="67"/>
      <c r="Y185" s="67"/>
      <c r="Z185" s="67"/>
    </row>
    <row r="186">
      <c r="A186" s="135"/>
      <c r="B186" s="125"/>
      <c r="C186" s="125"/>
      <c r="D186" s="125"/>
      <c r="E186" s="126"/>
      <c r="F186" s="67"/>
      <c r="G186" s="67"/>
      <c r="H186" s="67"/>
      <c r="I186" s="67"/>
      <c r="J186" s="67"/>
      <c r="K186" s="67"/>
      <c r="L186" s="67"/>
      <c r="M186" s="67"/>
      <c r="N186" s="67"/>
      <c r="O186" s="67"/>
      <c r="P186" s="67"/>
      <c r="Q186" s="67"/>
      <c r="R186" s="67"/>
      <c r="S186" s="67"/>
      <c r="T186" s="67"/>
      <c r="U186" s="67"/>
      <c r="V186" s="67"/>
      <c r="W186" s="67"/>
      <c r="X186" s="67"/>
      <c r="Y186" s="67"/>
      <c r="Z186" s="67"/>
    </row>
    <row r="187">
      <c r="A187" s="136"/>
      <c r="B187" s="131"/>
      <c r="C187" s="131"/>
      <c r="D187" s="131"/>
      <c r="E187" s="130"/>
      <c r="F187" s="67"/>
      <c r="G187" s="67"/>
      <c r="H187" s="67"/>
      <c r="I187" s="67"/>
      <c r="J187" s="67"/>
      <c r="K187" s="67"/>
      <c r="L187" s="67"/>
      <c r="M187" s="67"/>
      <c r="N187" s="67"/>
      <c r="O187" s="67"/>
      <c r="P187" s="67"/>
      <c r="Q187" s="67"/>
      <c r="R187" s="67"/>
      <c r="S187" s="67"/>
      <c r="T187" s="67"/>
      <c r="U187" s="67"/>
      <c r="V187" s="67"/>
      <c r="W187" s="67"/>
      <c r="X187" s="67"/>
      <c r="Y187" s="67"/>
      <c r="Z187" s="67"/>
    </row>
    <row r="188">
      <c r="A188" s="135"/>
      <c r="B188" s="125"/>
      <c r="C188" s="125"/>
      <c r="D188" s="125"/>
      <c r="E188" s="126"/>
      <c r="F188" s="67"/>
      <c r="G188" s="67"/>
      <c r="H188" s="67"/>
      <c r="I188" s="67"/>
      <c r="J188" s="67"/>
      <c r="K188" s="67"/>
      <c r="L188" s="67"/>
      <c r="M188" s="67"/>
      <c r="N188" s="67"/>
      <c r="O188" s="67"/>
      <c r="P188" s="67"/>
      <c r="Q188" s="67"/>
      <c r="R188" s="67"/>
      <c r="S188" s="67"/>
      <c r="T188" s="67"/>
      <c r="U188" s="67"/>
      <c r="V188" s="67"/>
      <c r="W188" s="67"/>
      <c r="X188" s="67"/>
      <c r="Y188" s="67"/>
      <c r="Z188" s="67"/>
    </row>
    <row r="189">
      <c r="A189" s="136"/>
      <c r="B189" s="131"/>
      <c r="C189" s="131"/>
      <c r="D189" s="131"/>
      <c r="E189" s="130"/>
      <c r="F189" s="67"/>
      <c r="G189" s="67"/>
      <c r="H189" s="67"/>
      <c r="I189" s="67"/>
      <c r="J189" s="67"/>
      <c r="K189" s="67"/>
      <c r="L189" s="67"/>
      <c r="M189" s="67"/>
      <c r="N189" s="67"/>
      <c r="O189" s="67"/>
      <c r="P189" s="67"/>
      <c r="Q189" s="67"/>
      <c r="R189" s="67"/>
      <c r="S189" s="67"/>
      <c r="T189" s="67"/>
      <c r="U189" s="67"/>
      <c r="V189" s="67"/>
      <c r="W189" s="67"/>
      <c r="X189" s="67"/>
      <c r="Y189" s="67"/>
      <c r="Z189" s="67"/>
    </row>
    <row r="190">
      <c r="A190" s="135"/>
      <c r="B190" s="125"/>
      <c r="C190" s="125"/>
      <c r="D190" s="125"/>
      <c r="E190" s="126"/>
      <c r="F190" s="67"/>
      <c r="G190" s="67"/>
      <c r="H190" s="67"/>
      <c r="I190" s="67"/>
      <c r="J190" s="67"/>
      <c r="K190" s="67"/>
      <c r="L190" s="67"/>
      <c r="M190" s="67"/>
      <c r="N190" s="67"/>
      <c r="O190" s="67"/>
      <c r="P190" s="67"/>
      <c r="Q190" s="67"/>
      <c r="R190" s="67"/>
      <c r="S190" s="67"/>
      <c r="T190" s="67"/>
      <c r="U190" s="67"/>
      <c r="V190" s="67"/>
      <c r="W190" s="67"/>
      <c r="X190" s="67"/>
      <c r="Y190" s="67"/>
      <c r="Z190" s="67"/>
    </row>
    <row r="191">
      <c r="A191" s="136"/>
      <c r="B191" s="131"/>
      <c r="C191" s="131"/>
      <c r="D191" s="131"/>
      <c r="E191" s="130"/>
      <c r="F191" s="67"/>
      <c r="G191" s="67"/>
      <c r="H191" s="67"/>
      <c r="I191" s="67"/>
      <c r="J191" s="67"/>
      <c r="K191" s="67"/>
      <c r="L191" s="67"/>
      <c r="M191" s="67"/>
      <c r="N191" s="67"/>
      <c r="O191" s="67"/>
      <c r="P191" s="67"/>
      <c r="Q191" s="67"/>
      <c r="R191" s="67"/>
      <c r="S191" s="67"/>
      <c r="T191" s="67"/>
      <c r="U191" s="67"/>
      <c r="V191" s="67"/>
      <c r="W191" s="67"/>
      <c r="X191" s="67"/>
      <c r="Y191" s="67"/>
      <c r="Z191" s="67"/>
    </row>
    <row r="192">
      <c r="A192" s="135"/>
      <c r="B192" s="125"/>
      <c r="C192" s="125"/>
      <c r="D192" s="125"/>
      <c r="E192" s="126"/>
      <c r="F192" s="67"/>
      <c r="G192" s="67"/>
      <c r="H192" s="67"/>
      <c r="I192" s="67"/>
      <c r="J192" s="67"/>
      <c r="K192" s="67"/>
      <c r="L192" s="67"/>
      <c r="M192" s="67"/>
      <c r="N192" s="67"/>
      <c r="O192" s="67"/>
      <c r="P192" s="67"/>
      <c r="Q192" s="67"/>
      <c r="R192" s="67"/>
      <c r="S192" s="67"/>
      <c r="T192" s="67"/>
      <c r="U192" s="67"/>
      <c r="V192" s="67"/>
      <c r="W192" s="67"/>
      <c r="X192" s="67"/>
      <c r="Y192" s="67"/>
      <c r="Z192" s="67"/>
    </row>
    <row r="193">
      <c r="A193" s="136"/>
      <c r="B193" s="131"/>
      <c r="C193" s="131"/>
      <c r="D193" s="131"/>
      <c r="E193" s="130"/>
      <c r="F193" s="67"/>
      <c r="G193" s="67"/>
      <c r="H193" s="67"/>
      <c r="I193" s="67"/>
      <c r="J193" s="67"/>
      <c r="K193" s="67"/>
      <c r="L193" s="67"/>
      <c r="M193" s="67"/>
      <c r="N193" s="67"/>
      <c r="O193" s="67"/>
      <c r="P193" s="67"/>
      <c r="Q193" s="67"/>
      <c r="R193" s="67"/>
      <c r="S193" s="67"/>
      <c r="T193" s="67"/>
      <c r="U193" s="67"/>
      <c r="V193" s="67"/>
      <c r="W193" s="67"/>
      <c r="X193" s="67"/>
      <c r="Y193" s="67"/>
      <c r="Z193" s="67"/>
    </row>
    <row r="194">
      <c r="A194" s="135"/>
      <c r="B194" s="125"/>
      <c r="C194" s="125"/>
      <c r="D194" s="125"/>
      <c r="E194" s="126"/>
      <c r="F194" s="67"/>
      <c r="G194" s="67"/>
      <c r="H194" s="67"/>
      <c r="I194" s="67"/>
      <c r="J194" s="67"/>
      <c r="K194" s="67"/>
      <c r="L194" s="67"/>
      <c r="M194" s="67"/>
      <c r="N194" s="67"/>
      <c r="O194" s="67"/>
      <c r="P194" s="67"/>
      <c r="Q194" s="67"/>
      <c r="R194" s="67"/>
      <c r="S194" s="67"/>
      <c r="T194" s="67"/>
      <c r="U194" s="67"/>
      <c r="V194" s="67"/>
      <c r="W194" s="67"/>
      <c r="X194" s="67"/>
      <c r="Y194" s="67"/>
      <c r="Z194" s="67"/>
    </row>
    <row r="195">
      <c r="A195" s="136"/>
      <c r="B195" s="131"/>
      <c r="C195" s="131"/>
      <c r="D195" s="131"/>
      <c r="E195" s="130"/>
      <c r="F195" s="67"/>
      <c r="G195" s="67"/>
      <c r="H195" s="67"/>
      <c r="I195" s="67"/>
      <c r="J195" s="67"/>
      <c r="K195" s="67"/>
      <c r="L195" s="67"/>
      <c r="M195" s="67"/>
      <c r="N195" s="67"/>
      <c r="O195" s="67"/>
      <c r="P195" s="67"/>
      <c r="Q195" s="67"/>
      <c r="R195" s="67"/>
      <c r="S195" s="67"/>
      <c r="T195" s="67"/>
      <c r="U195" s="67"/>
      <c r="V195" s="67"/>
      <c r="W195" s="67"/>
      <c r="X195" s="67"/>
      <c r="Y195" s="67"/>
      <c r="Z195" s="67"/>
    </row>
    <row r="196">
      <c r="A196" s="135"/>
      <c r="B196" s="125"/>
      <c r="C196" s="125"/>
      <c r="D196" s="125"/>
      <c r="E196" s="126"/>
      <c r="F196" s="67"/>
      <c r="G196" s="67"/>
      <c r="H196" s="67"/>
      <c r="I196" s="67"/>
      <c r="J196" s="67"/>
      <c r="K196" s="67"/>
      <c r="L196" s="67"/>
      <c r="M196" s="67"/>
      <c r="N196" s="67"/>
      <c r="O196" s="67"/>
      <c r="P196" s="67"/>
      <c r="Q196" s="67"/>
      <c r="R196" s="67"/>
      <c r="S196" s="67"/>
      <c r="T196" s="67"/>
      <c r="U196" s="67"/>
      <c r="V196" s="67"/>
      <c r="W196" s="67"/>
      <c r="X196" s="67"/>
      <c r="Y196" s="67"/>
      <c r="Z196" s="67"/>
    </row>
    <row r="197">
      <c r="A197" s="136"/>
      <c r="B197" s="131"/>
      <c r="C197" s="131"/>
      <c r="D197" s="131"/>
      <c r="E197" s="130"/>
      <c r="F197" s="67"/>
      <c r="G197" s="67"/>
      <c r="H197" s="67"/>
      <c r="I197" s="67"/>
      <c r="J197" s="67"/>
      <c r="K197" s="67"/>
      <c r="L197" s="67"/>
      <c r="M197" s="67"/>
      <c r="N197" s="67"/>
      <c r="O197" s="67"/>
      <c r="P197" s="67"/>
      <c r="Q197" s="67"/>
      <c r="R197" s="67"/>
      <c r="S197" s="67"/>
      <c r="T197" s="67"/>
      <c r="U197" s="67"/>
      <c r="V197" s="67"/>
      <c r="W197" s="67"/>
      <c r="X197" s="67"/>
      <c r="Y197" s="67"/>
      <c r="Z197" s="67"/>
    </row>
    <row r="198">
      <c r="A198" s="135"/>
      <c r="B198" s="125"/>
      <c r="C198" s="125"/>
      <c r="D198" s="125"/>
      <c r="E198" s="126"/>
      <c r="F198" s="67"/>
      <c r="G198" s="67"/>
      <c r="H198" s="67"/>
      <c r="I198" s="67"/>
      <c r="J198" s="67"/>
      <c r="K198" s="67"/>
      <c r="L198" s="67"/>
      <c r="M198" s="67"/>
      <c r="N198" s="67"/>
      <c r="O198" s="67"/>
      <c r="P198" s="67"/>
      <c r="Q198" s="67"/>
      <c r="R198" s="67"/>
      <c r="S198" s="67"/>
      <c r="T198" s="67"/>
      <c r="U198" s="67"/>
      <c r="V198" s="67"/>
      <c r="W198" s="67"/>
      <c r="X198" s="67"/>
      <c r="Y198" s="67"/>
      <c r="Z198" s="67"/>
    </row>
    <row r="199">
      <c r="A199" s="136"/>
      <c r="B199" s="131"/>
      <c r="C199" s="131"/>
      <c r="D199" s="131"/>
      <c r="E199" s="130"/>
      <c r="F199" s="67"/>
      <c r="G199" s="67"/>
      <c r="H199" s="67"/>
      <c r="I199" s="67"/>
      <c r="J199" s="67"/>
      <c r="K199" s="67"/>
      <c r="L199" s="67"/>
      <c r="M199" s="67"/>
      <c r="N199" s="67"/>
      <c r="O199" s="67"/>
      <c r="P199" s="67"/>
      <c r="Q199" s="67"/>
      <c r="R199" s="67"/>
      <c r="S199" s="67"/>
      <c r="T199" s="67"/>
      <c r="U199" s="67"/>
      <c r="V199" s="67"/>
      <c r="W199" s="67"/>
      <c r="X199" s="67"/>
      <c r="Y199" s="67"/>
      <c r="Z199" s="67"/>
    </row>
    <row r="200">
      <c r="A200" s="135"/>
      <c r="B200" s="125"/>
      <c r="C200" s="125"/>
      <c r="D200" s="125"/>
      <c r="E200" s="126"/>
      <c r="F200" s="67"/>
      <c r="G200" s="67"/>
      <c r="H200" s="67"/>
      <c r="I200" s="67"/>
      <c r="J200" s="67"/>
      <c r="K200" s="67"/>
      <c r="L200" s="67"/>
      <c r="M200" s="67"/>
      <c r="N200" s="67"/>
      <c r="O200" s="67"/>
      <c r="P200" s="67"/>
      <c r="Q200" s="67"/>
      <c r="R200" s="67"/>
      <c r="S200" s="67"/>
      <c r="T200" s="67"/>
      <c r="U200" s="67"/>
      <c r="V200" s="67"/>
      <c r="W200" s="67"/>
      <c r="X200" s="67"/>
      <c r="Y200" s="67"/>
      <c r="Z200" s="67"/>
    </row>
    <row r="201">
      <c r="A201" s="136"/>
      <c r="B201" s="131"/>
      <c r="C201" s="131"/>
      <c r="D201" s="131"/>
      <c r="E201" s="130"/>
      <c r="F201" s="67"/>
      <c r="G201" s="67"/>
      <c r="H201" s="67"/>
      <c r="I201" s="67"/>
      <c r="J201" s="67"/>
      <c r="K201" s="67"/>
      <c r="L201" s="67"/>
      <c r="M201" s="67"/>
      <c r="N201" s="67"/>
      <c r="O201" s="67"/>
      <c r="P201" s="67"/>
      <c r="Q201" s="67"/>
      <c r="R201" s="67"/>
      <c r="S201" s="67"/>
      <c r="T201" s="67"/>
      <c r="U201" s="67"/>
      <c r="V201" s="67"/>
      <c r="W201" s="67"/>
      <c r="X201" s="67"/>
      <c r="Y201" s="67"/>
      <c r="Z201" s="67"/>
    </row>
    <row r="202">
      <c r="A202" s="135"/>
      <c r="B202" s="125"/>
      <c r="C202" s="125"/>
      <c r="D202" s="125"/>
      <c r="E202" s="126"/>
      <c r="F202" s="67"/>
      <c r="G202" s="67"/>
      <c r="H202" s="67"/>
      <c r="I202" s="67"/>
      <c r="J202" s="67"/>
      <c r="K202" s="67"/>
      <c r="L202" s="67"/>
      <c r="M202" s="67"/>
      <c r="N202" s="67"/>
      <c r="O202" s="67"/>
      <c r="P202" s="67"/>
      <c r="Q202" s="67"/>
      <c r="R202" s="67"/>
      <c r="S202" s="67"/>
      <c r="T202" s="67"/>
      <c r="U202" s="67"/>
      <c r="V202" s="67"/>
      <c r="W202" s="67"/>
      <c r="X202" s="67"/>
      <c r="Y202" s="67"/>
      <c r="Z202" s="67"/>
    </row>
    <row r="203">
      <c r="A203" s="136"/>
      <c r="B203" s="131"/>
      <c r="C203" s="131"/>
      <c r="D203" s="131"/>
      <c r="E203" s="130"/>
      <c r="F203" s="67"/>
      <c r="G203" s="67"/>
      <c r="H203" s="67"/>
      <c r="I203" s="67"/>
      <c r="J203" s="67"/>
      <c r="K203" s="67"/>
      <c r="L203" s="67"/>
      <c r="M203" s="67"/>
      <c r="N203" s="67"/>
      <c r="O203" s="67"/>
      <c r="P203" s="67"/>
      <c r="Q203" s="67"/>
      <c r="R203" s="67"/>
      <c r="S203" s="67"/>
      <c r="T203" s="67"/>
      <c r="U203" s="67"/>
      <c r="V203" s="67"/>
      <c r="W203" s="67"/>
      <c r="X203" s="67"/>
      <c r="Y203" s="67"/>
      <c r="Z203" s="67"/>
    </row>
    <row r="204">
      <c r="A204" s="135"/>
      <c r="B204" s="125"/>
      <c r="C204" s="125"/>
      <c r="D204" s="125"/>
      <c r="E204" s="126"/>
      <c r="F204" s="67"/>
      <c r="G204" s="67"/>
      <c r="H204" s="67"/>
      <c r="I204" s="67"/>
      <c r="J204" s="67"/>
      <c r="K204" s="67"/>
      <c r="L204" s="67"/>
      <c r="M204" s="67"/>
      <c r="N204" s="67"/>
      <c r="O204" s="67"/>
      <c r="P204" s="67"/>
      <c r="Q204" s="67"/>
      <c r="R204" s="67"/>
      <c r="S204" s="67"/>
      <c r="T204" s="67"/>
      <c r="U204" s="67"/>
      <c r="V204" s="67"/>
      <c r="W204" s="67"/>
      <c r="X204" s="67"/>
      <c r="Y204" s="67"/>
      <c r="Z204" s="67"/>
    </row>
    <row r="205">
      <c r="A205" s="136"/>
      <c r="B205" s="131"/>
      <c r="C205" s="131"/>
      <c r="D205" s="131"/>
      <c r="E205" s="130"/>
      <c r="F205" s="67"/>
      <c r="G205" s="67"/>
      <c r="H205" s="67"/>
      <c r="I205" s="67"/>
      <c r="J205" s="67"/>
      <c r="K205" s="67"/>
      <c r="L205" s="67"/>
      <c r="M205" s="67"/>
      <c r="N205" s="67"/>
      <c r="O205" s="67"/>
      <c r="P205" s="67"/>
      <c r="Q205" s="67"/>
      <c r="R205" s="67"/>
      <c r="S205" s="67"/>
      <c r="T205" s="67"/>
      <c r="U205" s="67"/>
      <c r="V205" s="67"/>
      <c r="W205" s="67"/>
      <c r="X205" s="67"/>
      <c r="Y205" s="67"/>
      <c r="Z205" s="67"/>
    </row>
    <row r="206">
      <c r="A206" s="135"/>
      <c r="B206" s="125"/>
      <c r="C206" s="125"/>
      <c r="D206" s="125"/>
      <c r="E206" s="126"/>
      <c r="F206" s="67"/>
      <c r="G206" s="67"/>
      <c r="H206" s="67"/>
      <c r="I206" s="67"/>
      <c r="J206" s="67"/>
      <c r="K206" s="67"/>
      <c r="L206" s="67"/>
      <c r="M206" s="67"/>
      <c r="N206" s="67"/>
      <c r="O206" s="67"/>
      <c r="P206" s="67"/>
      <c r="Q206" s="67"/>
      <c r="R206" s="67"/>
      <c r="S206" s="67"/>
      <c r="T206" s="67"/>
      <c r="U206" s="67"/>
      <c r="V206" s="67"/>
      <c r="W206" s="67"/>
      <c r="X206" s="67"/>
      <c r="Y206" s="67"/>
      <c r="Z206" s="67"/>
    </row>
    <row r="207">
      <c r="A207" s="136"/>
      <c r="B207" s="131"/>
      <c r="C207" s="131"/>
      <c r="D207" s="131"/>
      <c r="E207" s="130"/>
      <c r="F207" s="67"/>
      <c r="G207" s="67"/>
      <c r="H207" s="67"/>
      <c r="I207" s="67"/>
      <c r="J207" s="67"/>
      <c r="K207" s="67"/>
      <c r="L207" s="67"/>
      <c r="M207" s="67"/>
      <c r="N207" s="67"/>
      <c r="O207" s="67"/>
      <c r="P207" s="67"/>
      <c r="Q207" s="67"/>
      <c r="R207" s="67"/>
      <c r="S207" s="67"/>
      <c r="T207" s="67"/>
      <c r="U207" s="67"/>
      <c r="V207" s="67"/>
      <c r="W207" s="67"/>
      <c r="X207" s="67"/>
      <c r="Y207" s="67"/>
      <c r="Z207" s="67"/>
    </row>
    <row r="208">
      <c r="A208" s="135"/>
      <c r="B208" s="125"/>
      <c r="C208" s="125"/>
      <c r="D208" s="125"/>
      <c r="E208" s="126"/>
      <c r="F208" s="67"/>
      <c r="G208" s="67"/>
      <c r="H208" s="67"/>
      <c r="I208" s="67"/>
      <c r="J208" s="67"/>
      <c r="K208" s="67"/>
      <c r="L208" s="67"/>
      <c r="M208" s="67"/>
      <c r="N208" s="67"/>
      <c r="O208" s="67"/>
      <c r="P208" s="67"/>
      <c r="Q208" s="67"/>
      <c r="R208" s="67"/>
      <c r="S208" s="67"/>
      <c r="T208" s="67"/>
      <c r="U208" s="67"/>
      <c r="V208" s="67"/>
      <c r="W208" s="67"/>
      <c r="X208" s="67"/>
      <c r="Y208" s="67"/>
      <c r="Z208" s="67"/>
    </row>
    <row r="209">
      <c r="A209" s="136"/>
      <c r="B209" s="131"/>
      <c r="C209" s="131"/>
      <c r="D209" s="131"/>
      <c r="E209" s="130"/>
      <c r="F209" s="67"/>
      <c r="G209" s="67"/>
      <c r="H209" s="67"/>
      <c r="I209" s="67"/>
      <c r="J209" s="67"/>
      <c r="K209" s="67"/>
      <c r="L209" s="67"/>
      <c r="M209" s="67"/>
      <c r="N209" s="67"/>
      <c r="O209" s="67"/>
      <c r="P209" s="67"/>
      <c r="Q209" s="67"/>
      <c r="R209" s="67"/>
      <c r="S209" s="67"/>
      <c r="T209" s="67"/>
      <c r="U209" s="67"/>
      <c r="V209" s="67"/>
      <c r="W209" s="67"/>
      <c r="X209" s="67"/>
      <c r="Y209" s="67"/>
      <c r="Z209" s="67"/>
    </row>
    <row r="210">
      <c r="A210" s="135"/>
      <c r="B210" s="125"/>
      <c r="C210" s="125"/>
      <c r="D210" s="125"/>
      <c r="E210" s="126"/>
      <c r="F210" s="67"/>
      <c r="G210" s="67"/>
      <c r="H210" s="67"/>
      <c r="I210" s="67"/>
      <c r="J210" s="67"/>
      <c r="K210" s="67"/>
      <c r="L210" s="67"/>
      <c r="M210" s="67"/>
      <c r="N210" s="67"/>
      <c r="O210" s="67"/>
      <c r="P210" s="67"/>
      <c r="Q210" s="67"/>
      <c r="R210" s="67"/>
      <c r="S210" s="67"/>
      <c r="T210" s="67"/>
      <c r="U210" s="67"/>
      <c r="V210" s="67"/>
      <c r="W210" s="67"/>
      <c r="X210" s="67"/>
      <c r="Y210" s="67"/>
      <c r="Z210" s="67"/>
    </row>
    <row r="211">
      <c r="A211" s="136"/>
      <c r="B211" s="131"/>
      <c r="C211" s="131"/>
      <c r="D211" s="131"/>
      <c r="E211" s="130"/>
      <c r="F211" s="67"/>
      <c r="G211" s="67"/>
      <c r="H211" s="67"/>
      <c r="I211" s="67"/>
      <c r="J211" s="67"/>
      <c r="K211" s="67"/>
      <c r="L211" s="67"/>
      <c r="M211" s="67"/>
      <c r="N211" s="67"/>
      <c r="O211" s="67"/>
      <c r="P211" s="67"/>
      <c r="Q211" s="67"/>
      <c r="R211" s="67"/>
      <c r="S211" s="67"/>
      <c r="T211" s="67"/>
      <c r="U211" s="67"/>
      <c r="V211" s="67"/>
      <c r="W211" s="67"/>
      <c r="X211" s="67"/>
      <c r="Y211" s="67"/>
      <c r="Z211" s="67"/>
    </row>
    <row r="212">
      <c r="A212" s="135"/>
      <c r="B212" s="125"/>
      <c r="C212" s="125"/>
      <c r="D212" s="125"/>
      <c r="E212" s="126"/>
      <c r="F212" s="67"/>
      <c r="G212" s="67"/>
      <c r="H212" s="67"/>
      <c r="I212" s="67"/>
      <c r="J212" s="67"/>
      <c r="K212" s="67"/>
      <c r="L212" s="67"/>
      <c r="M212" s="67"/>
      <c r="N212" s="67"/>
      <c r="O212" s="67"/>
      <c r="P212" s="67"/>
      <c r="Q212" s="67"/>
      <c r="R212" s="67"/>
      <c r="S212" s="67"/>
      <c r="T212" s="67"/>
      <c r="U212" s="67"/>
      <c r="V212" s="67"/>
      <c r="W212" s="67"/>
      <c r="X212" s="67"/>
      <c r="Y212" s="67"/>
      <c r="Z212" s="67"/>
    </row>
    <row r="213">
      <c r="A213" s="136"/>
      <c r="B213" s="131"/>
      <c r="C213" s="131"/>
      <c r="D213" s="131"/>
      <c r="E213" s="130"/>
      <c r="F213" s="67"/>
      <c r="G213" s="67"/>
      <c r="H213" s="67"/>
      <c r="I213" s="67"/>
      <c r="J213" s="67"/>
      <c r="K213" s="67"/>
      <c r="L213" s="67"/>
      <c r="M213" s="67"/>
      <c r="N213" s="67"/>
      <c r="O213" s="67"/>
      <c r="P213" s="67"/>
      <c r="Q213" s="67"/>
      <c r="R213" s="67"/>
      <c r="S213" s="67"/>
      <c r="T213" s="67"/>
      <c r="U213" s="67"/>
      <c r="V213" s="67"/>
      <c r="W213" s="67"/>
      <c r="X213" s="67"/>
      <c r="Y213" s="67"/>
      <c r="Z213" s="67"/>
    </row>
    <row r="214">
      <c r="A214" s="135"/>
      <c r="B214" s="125"/>
      <c r="C214" s="125"/>
      <c r="D214" s="125"/>
      <c r="E214" s="126"/>
      <c r="F214" s="67"/>
      <c r="G214" s="67"/>
      <c r="H214" s="67"/>
      <c r="I214" s="67"/>
      <c r="J214" s="67"/>
      <c r="K214" s="67"/>
      <c r="L214" s="67"/>
      <c r="M214" s="67"/>
      <c r="N214" s="67"/>
      <c r="O214" s="67"/>
      <c r="P214" s="67"/>
      <c r="Q214" s="67"/>
      <c r="R214" s="67"/>
      <c r="S214" s="67"/>
      <c r="T214" s="67"/>
      <c r="U214" s="67"/>
      <c r="V214" s="67"/>
      <c r="W214" s="67"/>
      <c r="X214" s="67"/>
      <c r="Y214" s="67"/>
      <c r="Z214" s="67"/>
    </row>
    <row r="215">
      <c r="A215" s="136"/>
      <c r="B215" s="131"/>
      <c r="C215" s="131"/>
      <c r="D215" s="131"/>
      <c r="E215" s="130"/>
      <c r="F215" s="67"/>
      <c r="G215" s="67"/>
      <c r="H215" s="67"/>
      <c r="I215" s="67"/>
      <c r="J215" s="67"/>
      <c r="K215" s="67"/>
      <c r="L215" s="67"/>
      <c r="M215" s="67"/>
      <c r="N215" s="67"/>
      <c r="O215" s="67"/>
      <c r="P215" s="67"/>
      <c r="Q215" s="67"/>
      <c r="R215" s="67"/>
      <c r="S215" s="67"/>
      <c r="T215" s="67"/>
      <c r="U215" s="67"/>
      <c r="V215" s="67"/>
      <c r="W215" s="67"/>
      <c r="X215" s="67"/>
      <c r="Y215" s="67"/>
      <c r="Z215" s="67"/>
    </row>
    <row r="216">
      <c r="A216" s="135"/>
      <c r="B216" s="125"/>
      <c r="C216" s="125"/>
      <c r="D216" s="125"/>
      <c r="E216" s="126"/>
      <c r="F216" s="67"/>
      <c r="G216" s="67"/>
      <c r="H216" s="67"/>
      <c r="I216" s="67"/>
      <c r="J216" s="67"/>
      <c r="K216" s="67"/>
      <c r="L216" s="67"/>
      <c r="M216" s="67"/>
      <c r="N216" s="67"/>
      <c r="O216" s="67"/>
      <c r="P216" s="67"/>
      <c r="Q216" s="67"/>
      <c r="R216" s="67"/>
      <c r="S216" s="67"/>
      <c r="T216" s="67"/>
      <c r="U216" s="67"/>
      <c r="V216" s="67"/>
      <c r="W216" s="67"/>
      <c r="X216" s="67"/>
      <c r="Y216" s="67"/>
      <c r="Z216" s="67"/>
    </row>
    <row r="217">
      <c r="A217" s="136"/>
      <c r="B217" s="131"/>
      <c r="C217" s="131"/>
      <c r="D217" s="131"/>
      <c r="E217" s="130"/>
      <c r="F217" s="67"/>
      <c r="G217" s="67"/>
      <c r="H217" s="67"/>
      <c r="I217" s="67"/>
      <c r="J217" s="67"/>
      <c r="K217" s="67"/>
      <c r="L217" s="67"/>
      <c r="M217" s="67"/>
      <c r="N217" s="67"/>
      <c r="O217" s="67"/>
      <c r="P217" s="67"/>
      <c r="Q217" s="67"/>
      <c r="R217" s="67"/>
      <c r="S217" s="67"/>
      <c r="T217" s="67"/>
      <c r="U217" s="67"/>
      <c r="V217" s="67"/>
      <c r="W217" s="67"/>
      <c r="X217" s="67"/>
      <c r="Y217" s="67"/>
      <c r="Z217" s="67"/>
    </row>
    <row r="218">
      <c r="A218" s="135"/>
      <c r="B218" s="125"/>
      <c r="C218" s="125"/>
      <c r="D218" s="125"/>
      <c r="E218" s="126"/>
      <c r="F218" s="67"/>
      <c r="G218" s="67"/>
      <c r="H218" s="67"/>
      <c r="I218" s="67"/>
      <c r="J218" s="67"/>
      <c r="K218" s="67"/>
      <c r="L218" s="67"/>
      <c r="M218" s="67"/>
      <c r="N218" s="67"/>
      <c r="O218" s="67"/>
      <c r="P218" s="67"/>
      <c r="Q218" s="67"/>
      <c r="R218" s="67"/>
      <c r="S218" s="67"/>
      <c r="T218" s="67"/>
      <c r="U218" s="67"/>
      <c r="V218" s="67"/>
      <c r="W218" s="67"/>
      <c r="X218" s="67"/>
      <c r="Y218" s="67"/>
      <c r="Z218" s="67"/>
    </row>
    <row r="219">
      <c r="A219" s="136"/>
      <c r="B219" s="131"/>
      <c r="C219" s="131"/>
      <c r="D219" s="131"/>
      <c r="E219" s="130"/>
      <c r="F219" s="67"/>
      <c r="G219" s="67"/>
      <c r="H219" s="67"/>
      <c r="I219" s="67"/>
      <c r="J219" s="67"/>
      <c r="K219" s="67"/>
      <c r="L219" s="67"/>
      <c r="M219" s="67"/>
      <c r="N219" s="67"/>
      <c r="O219" s="67"/>
      <c r="P219" s="67"/>
      <c r="Q219" s="67"/>
      <c r="R219" s="67"/>
      <c r="S219" s="67"/>
      <c r="T219" s="67"/>
      <c r="U219" s="67"/>
      <c r="V219" s="67"/>
      <c r="W219" s="67"/>
      <c r="X219" s="67"/>
      <c r="Y219" s="67"/>
      <c r="Z219" s="67"/>
    </row>
    <row r="220">
      <c r="A220" s="135"/>
      <c r="B220" s="125"/>
      <c r="C220" s="125"/>
      <c r="D220" s="125"/>
      <c r="E220" s="126"/>
      <c r="F220" s="67"/>
      <c r="G220" s="67"/>
      <c r="H220" s="67"/>
      <c r="I220" s="67"/>
      <c r="J220" s="67"/>
      <c r="K220" s="67"/>
      <c r="L220" s="67"/>
      <c r="M220" s="67"/>
      <c r="N220" s="67"/>
      <c r="O220" s="67"/>
      <c r="P220" s="67"/>
      <c r="Q220" s="67"/>
      <c r="R220" s="67"/>
      <c r="S220" s="67"/>
      <c r="T220" s="67"/>
      <c r="U220" s="67"/>
      <c r="V220" s="67"/>
      <c r="W220" s="67"/>
      <c r="X220" s="67"/>
      <c r="Y220" s="67"/>
      <c r="Z220" s="67"/>
    </row>
    <row r="221">
      <c r="A221" s="136"/>
      <c r="B221" s="131"/>
      <c r="C221" s="131"/>
      <c r="D221" s="131"/>
      <c r="E221" s="130"/>
      <c r="F221" s="67"/>
      <c r="G221" s="67"/>
      <c r="H221" s="67"/>
      <c r="I221" s="67"/>
      <c r="J221" s="67"/>
      <c r="K221" s="67"/>
      <c r="L221" s="67"/>
      <c r="M221" s="67"/>
      <c r="N221" s="67"/>
      <c r="O221" s="67"/>
      <c r="P221" s="67"/>
      <c r="Q221" s="67"/>
      <c r="R221" s="67"/>
      <c r="S221" s="67"/>
      <c r="T221" s="67"/>
      <c r="U221" s="67"/>
      <c r="V221" s="67"/>
      <c r="W221" s="67"/>
      <c r="X221" s="67"/>
      <c r="Y221" s="67"/>
      <c r="Z221" s="67"/>
    </row>
    <row r="222">
      <c r="A222" s="135"/>
      <c r="B222" s="125"/>
      <c r="C222" s="125"/>
      <c r="D222" s="125"/>
      <c r="E222" s="126"/>
      <c r="F222" s="67"/>
      <c r="G222" s="67"/>
      <c r="H222" s="67"/>
      <c r="I222" s="67"/>
      <c r="J222" s="67"/>
      <c r="K222" s="67"/>
      <c r="L222" s="67"/>
      <c r="M222" s="67"/>
      <c r="N222" s="67"/>
      <c r="O222" s="67"/>
      <c r="P222" s="67"/>
      <c r="Q222" s="67"/>
      <c r="R222" s="67"/>
      <c r="S222" s="67"/>
      <c r="T222" s="67"/>
      <c r="U222" s="67"/>
      <c r="V222" s="67"/>
      <c r="W222" s="67"/>
      <c r="X222" s="67"/>
      <c r="Y222" s="67"/>
      <c r="Z222" s="67"/>
    </row>
    <row r="223">
      <c r="A223" s="136"/>
      <c r="B223" s="131"/>
      <c r="C223" s="131"/>
      <c r="D223" s="131"/>
      <c r="E223" s="130"/>
      <c r="F223" s="67"/>
      <c r="G223" s="67"/>
      <c r="H223" s="67"/>
      <c r="I223" s="67"/>
      <c r="J223" s="67"/>
      <c r="K223" s="67"/>
      <c r="L223" s="67"/>
      <c r="M223" s="67"/>
      <c r="N223" s="67"/>
      <c r="O223" s="67"/>
      <c r="P223" s="67"/>
      <c r="Q223" s="67"/>
      <c r="R223" s="67"/>
      <c r="S223" s="67"/>
      <c r="T223" s="67"/>
      <c r="U223" s="67"/>
      <c r="V223" s="67"/>
      <c r="W223" s="67"/>
      <c r="X223" s="67"/>
      <c r="Y223" s="67"/>
      <c r="Z223" s="67"/>
    </row>
    <row r="224">
      <c r="A224" s="135"/>
      <c r="B224" s="125"/>
      <c r="C224" s="125"/>
      <c r="D224" s="125"/>
      <c r="E224" s="126"/>
      <c r="F224" s="67"/>
      <c r="G224" s="67"/>
      <c r="H224" s="67"/>
      <c r="I224" s="67"/>
      <c r="J224" s="67"/>
      <c r="K224" s="67"/>
      <c r="L224" s="67"/>
      <c r="M224" s="67"/>
      <c r="N224" s="67"/>
      <c r="O224" s="67"/>
      <c r="P224" s="67"/>
      <c r="Q224" s="67"/>
      <c r="R224" s="67"/>
      <c r="S224" s="67"/>
      <c r="T224" s="67"/>
      <c r="U224" s="67"/>
      <c r="V224" s="67"/>
      <c r="W224" s="67"/>
      <c r="X224" s="67"/>
      <c r="Y224" s="67"/>
      <c r="Z224" s="67"/>
    </row>
    <row r="225">
      <c r="A225" s="136"/>
      <c r="B225" s="131"/>
      <c r="C225" s="131"/>
      <c r="D225" s="131"/>
      <c r="E225" s="130"/>
      <c r="F225" s="67"/>
      <c r="G225" s="67"/>
      <c r="H225" s="67"/>
      <c r="I225" s="67"/>
      <c r="J225" s="67"/>
      <c r="K225" s="67"/>
      <c r="L225" s="67"/>
      <c r="M225" s="67"/>
      <c r="N225" s="67"/>
      <c r="O225" s="67"/>
      <c r="P225" s="67"/>
      <c r="Q225" s="67"/>
      <c r="R225" s="67"/>
      <c r="S225" s="67"/>
      <c r="T225" s="67"/>
      <c r="U225" s="67"/>
      <c r="V225" s="67"/>
      <c r="W225" s="67"/>
      <c r="X225" s="67"/>
      <c r="Y225" s="67"/>
      <c r="Z225" s="67"/>
    </row>
    <row r="226">
      <c r="A226" s="135"/>
      <c r="B226" s="125"/>
      <c r="C226" s="125"/>
      <c r="D226" s="125"/>
      <c r="E226" s="126"/>
      <c r="F226" s="67"/>
      <c r="G226" s="67"/>
      <c r="H226" s="67"/>
      <c r="I226" s="67"/>
      <c r="J226" s="67"/>
      <c r="K226" s="67"/>
      <c r="L226" s="67"/>
      <c r="M226" s="67"/>
      <c r="N226" s="67"/>
      <c r="O226" s="67"/>
      <c r="P226" s="67"/>
      <c r="Q226" s="67"/>
      <c r="R226" s="67"/>
      <c r="S226" s="67"/>
      <c r="T226" s="67"/>
      <c r="U226" s="67"/>
      <c r="V226" s="67"/>
      <c r="W226" s="67"/>
      <c r="X226" s="67"/>
      <c r="Y226" s="67"/>
      <c r="Z226" s="67"/>
    </row>
    <row r="227">
      <c r="A227" s="136"/>
      <c r="B227" s="131"/>
      <c r="C227" s="131"/>
      <c r="D227" s="131"/>
      <c r="E227" s="130"/>
      <c r="F227" s="67"/>
      <c r="G227" s="67"/>
      <c r="H227" s="67"/>
      <c r="I227" s="67"/>
      <c r="J227" s="67"/>
      <c r="K227" s="67"/>
      <c r="L227" s="67"/>
      <c r="M227" s="67"/>
      <c r="N227" s="67"/>
      <c r="O227" s="67"/>
      <c r="P227" s="67"/>
      <c r="Q227" s="67"/>
      <c r="R227" s="67"/>
      <c r="S227" s="67"/>
      <c r="T227" s="67"/>
      <c r="U227" s="67"/>
      <c r="V227" s="67"/>
      <c r="W227" s="67"/>
      <c r="X227" s="67"/>
      <c r="Y227" s="67"/>
      <c r="Z227" s="67"/>
    </row>
    <row r="228">
      <c r="A228" s="135"/>
      <c r="B228" s="125"/>
      <c r="C228" s="125"/>
      <c r="D228" s="125"/>
      <c r="E228" s="126"/>
      <c r="F228" s="67"/>
      <c r="G228" s="67"/>
      <c r="H228" s="67"/>
      <c r="I228" s="67"/>
      <c r="J228" s="67"/>
      <c r="K228" s="67"/>
      <c r="L228" s="67"/>
      <c r="M228" s="67"/>
      <c r="N228" s="67"/>
      <c r="O228" s="67"/>
      <c r="P228" s="67"/>
      <c r="Q228" s="67"/>
      <c r="R228" s="67"/>
      <c r="S228" s="67"/>
      <c r="T228" s="67"/>
      <c r="U228" s="67"/>
      <c r="V228" s="67"/>
      <c r="W228" s="67"/>
      <c r="X228" s="67"/>
      <c r="Y228" s="67"/>
      <c r="Z228" s="67"/>
    </row>
    <row r="229">
      <c r="A229" s="136"/>
      <c r="B229" s="131"/>
      <c r="C229" s="131"/>
      <c r="D229" s="131"/>
      <c r="E229" s="130"/>
      <c r="F229" s="67"/>
      <c r="G229" s="67"/>
      <c r="H229" s="67"/>
      <c r="I229" s="67"/>
      <c r="J229" s="67"/>
      <c r="K229" s="67"/>
      <c r="L229" s="67"/>
      <c r="M229" s="67"/>
      <c r="N229" s="67"/>
      <c r="O229" s="67"/>
      <c r="P229" s="67"/>
      <c r="Q229" s="67"/>
      <c r="R229" s="67"/>
      <c r="S229" s="67"/>
      <c r="T229" s="67"/>
      <c r="U229" s="67"/>
      <c r="V229" s="67"/>
      <c r="W229" s="67"/>
      <c r="X229" s="67"/>
      <c r="Y229" s="67"/>
      <c r="Z229" s="67"/>
    </row>
    <row r="230">
      <c r="A230" s="135"/>
      <c r="B230" s="125"/>
      <c r="C230" s="125"/>
      <c r="D230" s="125"/>
      <c r="E230" s="126"/>
      <c r="F230" s="67"/>
      <c r="G230" s="67"/>
      <c r="H230" s="67"/>
      <c r="I230" s="67"/>
      <c r="J230" s="67"/>
      <c r="K230" s="67"/>
      <c r="L230" s="67"/>
      <c r="M230" s="67"/>
      <c r="N230" s="67"/>
      <c r="O230" s="67"/>
      <c r="P230" s="67"/>
      <c r="Q230" s="67"/>
      <c r="R230" s="67"/>
      <c r="S230" s="67"/>
      <c r="T230" s="67"/>
      <c r="U230" s="67"/>
      <c r="V230" s="67"/>
      <c r="W230" s="67"/>
      <c r="X230" s="67"/>
      <c r="Y230" s="67"/>
      <c r="Z230" s="67"/>
    </row>
    <row r="231">
      <c r="A231" s="136"/>
      <c r="B231" s="131"/>
      <c r="C231" s="131"/>
      <c r="D231" s="131"/>
      <c r="E231" s="130"/>
      <c r="F231" s="67"/>
      <c r="G231" s="67"/>
      <c r="H231" s="67"/>
      <c r="I231" s="67"/>
      <c r="J231" s="67"/>
      <c r="K231" s="67"/>
      <c r="L231" s="67"/>
      <c r="M231" s="67"/>
      <c r="N231" s="67"/>
      <c r="O231" s="67"/>
      <c r="P231" s="67"/>
      <c r="Q231" s="67"/>
      <c r="R231" s="67"/>
      <c r="S231" s="67"/>
      <c r="T231" s="67"/>
      <c r="U231" s="67"/>
      <c r="V231" s="67"/>
      <c r="W231" s="67"/>
      <c r="X231" s="67"/>
      <c r="Y231" s="67"/>
      <c r="Z231" s="67"/>
    </row>
    <row r="232">
      <c r="A232" s="135"/>
      <c r="B232" s="125"/>
      <c r="C232" s="125"/>
      <c r="D232" s="125"/>
      <c r="E232" s="126"/>
      <c r="F232" s="67"/>
      <c r="G232" s="67"/>
      <c r="H232" s="67"/>
      <c r="I232" s="67"/>
      <c r="J232" s="67"/>
      <c r="K232" s="67"/>
      <c r="L232" s="67"/>
      <c r="M232" s="67"/>
      <c r="N232" s="67"/>
      <c r="O232" s="67"/>
      <c r="P232" s="67"/>
      <c r="Q232" s="67"/>
      <c r="R232" s="67"/>
      <c r="S232" s="67"/>
      <c r="T232" s="67"/>
      <c r="U232" s="67"/>
      <c r="V232" s="67"/>
      <c r="W232" s="67"/>
      <c r="X232" s="67"/>
      <c r="Y232" s="67"/>
      <c r="Z232" s="67"/>
    </row>
    <row r="233">
      <c r="A233" s="136"/>
      <c r="B233" s="131"/>
      <c r="C233" s="131"/>
      <c r="D233" s="131"/>
      <c r="E233" s="130"/>
      <c r="F233" s="67"/>
      <c r="G233" s="67"/>
      <c r="H233" s="67"/>
      <c r="I233" s="67"/>
      <c r="J233" s="67"/>
      <c r="K233" s="67"/>
      <c r="L233" s="67"/>
      <c r="M233" s="67"/>
      <c r="N233" s="67"/>
      <c r="O233" s="67"/>
      <c r="P233" s="67"/>
      <c r="Q233" s="67"/>
      <c r="R233" s="67"/>
      <c r="S233" s="67"/>
      <c r="T233" s="67"/>
      <c r="U233" s="67"/>
      <c r="V233" s="67"/>
      <c r="W233" s="67"/>
      <c r="X233" s="67"/>
      <c r="Y233" s="67"/>
      <c r="Z233" s="67"/>
    </row>
    <row r="234">
      <c r="A234" s="135"/>
      <c r="B234" s="125"/>
      <c r="C234" s="125"/>
      <c r="D234" s="125"/>
      <c r="E234" s="126"/>
      <c r="F234" s="67"/>
      <c r="G234" s="67"/>
      <c r="H234" s="67"/>
      <c r="I234" s="67"/>
      <c r="J234" s="67"/>
      <c r="K234" s="67"/>
      <c r="L234" s="67"/>
      <c r="M234" s="67"/>
      <c r="N234" s="67"/>
      <c r="O234" s="67"/>
      <c r="P234" s="67"/>
      <c r="Q234" s="67"/>
      <c r="R234" s="67"/>
      <c r="S234" s="67"/>
      <c r="T234" s="67"/>
      <c r="U234" s="67"/>
      <c r="V234" s="67"/>
      <c r="W234" s="67"/>
      <c r="X234" s="67"/>
      <c r="Y234" s="67"/>
      <c r="Z234" s="67"/>
    </row>
    <row r="235">
      <c r="A235" s="136"/>
      <c r="B235" s="131"/>
      <c r="C235" s="131"/>
      <c r="D235" s="131"/>
      <c r="E235" s="130"/>
      <c r="F235" s="67"/>
      <c r="G235" s="67"/>
      <c r="H235" s="67"/>
      <c r="I235" s="67"/>
      <c r="J235" s="67"/>
      <c r="K235" s="67"/>
      <c r="L235" s="67"/>
      <c r="M235" s="67"/>
      <c r="N235" s="67"/>
      <c r="O235" s="67"/>
      <c r="P235" s="67"/>
      <c r="Q235" s="67"/>
      <c r="R235" s="67"/>
      <c r="S235" s="67"/>
      <c r="T235" s="67"/>
      <c r="U235" s="67"/>
      <c r="V235" s="67"/>
      <c r="W235" s="67"/>
      <c r="X235" s="67"/>
      <c r="Y235" s="67"/>
      <c r="Z235" s="67"/>
    </row>
    <row r="236">
      <c r="A236" s="135"/>
      <c r="B236" s="125"/>
      <c r="C236" s="125"/>
      <c r="D236" s="125"/>
      <c r="E236" s="126"/>
      <c r="F236" s="67"/>
      <c r="G236" s="67"/>
      <c r="H236" s="67"/>
      <c r="I236" s="67"/>
      <c r="J236" s="67"/>
      <c r="K236" s="67"/>
      <c r="L236" s="67"/>
      <c r="M236" s="67"/>
      <c r="N236" s="67"/>
      <c r="O236" s="67"/>
      <c r="P236" s="67"/>
      <c r="Q236" s="67"/>
      <c r="R236" s="67"/>
      <c r="S236" s="67"/>
      <c r="T236" s="67"/>
      <c r="U236" s="67"/>
      <c r="V236" s="67"/>
      <c r="W236" s="67"/>
      <c r="X236" s="67"/>
      <c r="Y236" s="67"/>
      <c r="Z236" s="67"/>
    </row>
    <row r="237">
      <c r="A237" s="136"/>
      <c r="B237" s="131"/>
      <c r="C237" s="131"/>
      <c r="D237" s="131"/>
      <c r="E237" s="130"/>
      <c r="F237" s="67"/>
      <c r="G237" s="67"/>
      <c r="H237" s="67"/>
      <c r="I237" s="67"/>
      <c r="J237" s="67"/>
      <c r="K237" s="67"/>
      <c r="L237" s="67"/>
      <c r="M237" s="67"/>
      <c r="N237" s="67"/>
      <c r="O237" s="67"/>
      <c r="P237" s="67"/>
      <c r="Q237" s="67"/>
      <c r="R237" s="67"/>
      <c r="S237" s="67"/>
      <c r="T237" s="67"/>
      <c r="U237" s="67"/>
      <c r="V237" s="67"/>
      <c r="W237" s="67"/>
      <c r="X237" s="67"/>
      <c r="Y237" s="67"/>
      <c r="Z237" s="67"/>
    </row>
    <row r="238">
      <c r="A238" s="135"/>
      <c r="B238" s="125"/>
      <c r="C238" s="125"/>
      <c r="D238" s="125"/>
      <c r="E238" s="126"/>
      <c r="F238" s="67"/>
      <c r="G238" s="67"/>
      <c r="H238" s="67"/>
      <c r="I238" s="67"/>
      <c r="J238" s="67"/>
      <c r="K238" s="67"/>
      <c r="L238" s="67"/>
      <c r="M238" s="67"/>
      <c r="N238" s="67"/>
      <c r="O238" s="67"/>
      <c r="P238" s="67"/>
      <c r="Q238" s="67"/>
      <c r="R238" s="67"/>
      <c r="S238" s="67"/>
      <c r="T238" s="67"/>
      <c r="U238" s="67"/>
      <c r="V238" s="67"/>
      <c r="W238" s="67"/>
      <c r="X238" s="67"/>
      <c r="Y238" s="67"/>
      <c r="Z238" s="67"/>
    </row>
    <row r="239">
      <c r="A239" s="136"/>
      <c r="B239" s="131"/>
      <c r="C239" s="131"/>
      <c r="D239" s="131"/>
      <c r="E239" s="130"/>
      <c r="F239" s="67"/>
      <c r="G239" s="67"/>
      <c r="H239" s="67"/>
      <c r="I239" s="67"/>
      <c r="J239" s="67"/>
      <c r="K239" s="67"/>
      <c r="L239" s="67"/>
      <c r="M239" s="67"/>
      <c r="N239" s="67"/>
      <c r="O239" s="67"/>
      <c r="P239" s="67"/>
      <c r="Q239" s="67"/>
      <c r="R239" s="67"/>
      <c r="S239" s="67"/>
      <c r="T239" s="67"/>
      <c r="U239" s="67"/>
      <c r="V239" s="67"/>
      <c r="W239" s="67"/>
      <c r="X239" s="67"/>
      <c r="Y239" s="67"/>
      <c r="Z239" s="67"/>
    </row>
    <row r="240">
      <c r="A240" s="135"/>
      <c r="B240" s="125"/>
      <c r="C240" s="125"/>
      <c r="D240" s="125"/>
      <c r="E240" s="126"/>
      <c r="F240" s="67"/>
      <c r="G240" s="67"/>
      <c r="H240" s="67"/>
      <c r="I240" s="67"/>
      <c r="J240" s="67"/>
      <c r="K240" s="67"/>
      <c r="L240" s="67"/>
      <c r="M240" s="67"/>
      <c r="N240" s="67"/>
      <c r="O240" s="67"/>
      <c r="P240" s="67"/>
      <c r="Q240" s="67"/>
      <c r="R240" s="67"/>
      <c r="S240" s="67"/>
      <c r="T240" s="67"/>
      <c r="U240" s="67"/>
      <c r="V240" s="67"/>
      <c r="W240" s="67"/>
      <c r="X240" s="67"/>
      <c r="Y240" s="67"/>
      <c r="Z240" s="67"/>
    </row>
    <row r="241">
      <c r="A241" s="136"/>
      <c r="B241" s="131"/>
      <c r="C241" s="131"/>
      <c r="D241" s="131"/>
      <c r="E241" s="130"/>
      <c r="F241" s="67"/>
      <c r="G241" s="67"/>
      <c r="H241" s="67"/>
      <c r="I241" s="67"/>
      <c r="J241" s="67"/>
      <c r="K241" s="67"/>
      <c r="L241" s="67"/>
      <c r="M241" s="67"/>
      <c r="N241" s="67"/>
      <c r="O241" s="67"/>
      <c r="P241" s="67"/>
      <c r="Q241" s="67"/>
      <c r="R241" s="67"/>
      <c r="S241" s="67"/>
      <c r="T241" s="67"/>
      <c r="U241" s="67"/>
      <c r="V241" s="67"/>
      <c r="W241" s="67"/>
      <c r="X241" s="67"/>
      <c r="Y241" s="67"/>
      <c r="Z241" s="67"/>
    </row>
    <row r="242">
      <c r="A242" s="135"/>
      <c r="B242" s="125"/>
      <c r="C242" s="125"/>
      <c r="D242" s="125"/>
      <c r="E242" s="126"/>
      <c r="F242" s="67"/>
      <c r="G242" s="67"/>
      <c r="H242" s="67"/>
      <c r="I242" s="67"/>
      <c r="J242" s="67"/>
      <c r="K242" s="67"/>
      <c r="L242" s="67"/>
      <c r="M242" s="67"/>
      <c r="N242" s="67"/>
      <c r="O242" s="67"/>
      <c r="P242" s="67"/>
      <c r="Q242" s="67"/>
      <c r="R242" s="67"/>
      <c r="S242" s="67"/>
      <c r="T242" s="67"/>
      <c r="U242" s="67"/>
      <c r="V242" s="67"/>
      <c r="W242" s="67"/>
      <c r="X242" s="67"/>
      <c r="Y242" s="67"/>
      <c r="Z242" s="67"/>
    </row>
    <row r="243">
      <c r="A243" s="136"/>
      <c r="B243" s="131"/>
      <c r="C243" s="131"/>
      <c r="D243" s="131"/>
      <c r="E243" s="130"/>
      <c r="F243" s="67"/>
      <c r="G243" s="67"/>
      <c r="H243" s="67"/>
      <c r="I243" s="67"/>
      <c r="J243" s="67"/>
      <c r="K243" s="67"/>
      <c r="L243" s="67"/>
      <c r="M243" s="67"/>
      <c r="N243" s="67"/>
      <c r="O243" s="67"/>
      <c r="P243" s="67"/>
      <c r="Q243" s="67"/>
      <c r="R243" s="67"/>
      <c r="S243" s="67"/>
      <c r="T243" s="67"/>
      <c r="U243" s="67"/>
      <c r="V243" s="67"/>
      <c r="W243" s="67"/>
      <c r="X243" s="67"/>
      <c r="Y243" s="67"/>
      <c r="Z243" s="67"/>
    </row>
    <row r="244">
      <c r="A244" s="135"/>
      <c r="B244" s="125"/>
      <c r="C244" s="125"/>
      <c r="D244" s="125"/>
      <c r="E244" s="126"/>
      <c r="F244" s="67"/>
      <c r="G244" s="67"/>
      <c r="H244" s="67"/>
      <c r="I244" s="67"/>
      <c r="J244" s="67"/>
      <c r="K244" s="67"/>
      <c r="L244" s="67"/>
      <c r="M244" s="67"/>
      <c r="N244" s="67"/>
      <c r="O244" s="67"/>
      <c r="P244" s="67"/>
      <c r="Q244" s="67"/>
      <c r="R244" s="67"/>
      <c r="S244" s="67"/>
      <c r="T244" s="67"/>
      <c r="U244" s="67"/>
      <c r="V244" s="67"/>
      <c r="W244" s="67"/>
      <c r="X244" s="67"/>
      <c r="Y244" s="67"/>
      <c r="Z244" s="67"/>
    </row>
    <row r="245">
      <c r="A245" s="136"/>
      <c r="B245" s="131"/>
      <c r="C245" s="131"/>
      <c r="D245" s="131"/>
      <c r="E245" s="130"/>
      <c r="F245" s="67"/>
      <c r="G245" s="67"/>
      <c r="H245" s="67"/>
      <c r="I245" s="67"/>
      <c r="J245" s="67"/>
      <c r="K245" s="67"/>
      <c r="L245" s="67"/>
      <c r="M245" s="67"/>
      <c r="N245" s="67"/>
      <c r="O245" s="67"/>
      <c r="P245" s="67"/>
      <c r="Q245" s="67"/>
      <c r="R245" s="67"/>
      <c r="S245" s="67"/>
      <c r="T245" s="67"/>
      <c r="U245" s="67"/>
      <c r="V245" s="67"/>
      <c r="W245" s="67"/>
      <c r="X245" s="67"/>
      <c r="Y245" s="67"/>
      <c r="Z245" s="67"/>
    </row>
    <row r="246">
      <c r="A246" s="135"/>
      <c r="B246" s="125"/>
      <c r="C246" s="125"/>
      <c r="D246" s="125"/>
      <c r="E246" s="126"/>
      <c r="F246" s="67"/>
      <c r="G246" s="67"/>
      <c r="H246" s="67"/>
      <c r="I246" s="67"/>
      <c r="J246" s="67"/>
      <c r="K246" s="67"/>
      <c r="L246" s="67"/>
      <c r="M246" s="67"/>
      <c r="N246" s="67"/>
      <c r="O246" s="67"/>
      <c r="P246" s="67"/>
      <c r="Q246" s="67"/>
      <c r="R246" s="67"/>
      <c r="S246" s="67"/>
      <c r="T246" s="67"/>
      <c r="U246" s="67"/>
      <c r="V246" s="67"/>
      <c r="W246" s="67"/>
      <c r="X246" s="67"/>
      <c r="Y246" s="67"/>
      <c r="Z246" s="67"/>
    </row>
    <row r="247">
      <c r="A247" s="136"/>
      <c r="B247" s="131"/>
      <c r="C247" s="131"/>
      <c r="D247" s="131"/>
      <c r="E247" s="130"/>
      <c r="F247" s="67"/>
      <c r="G247" s="67"/>
      <c r="H247" s="67"/>
      <c r="I247" s="67"/>
      <c r="J247" s="67"/>
      <c r="K247" s="67"/>
      <c r="L247" s="67"/>
      <c r="M247" s="67"/>
      <c r="N247" s="67"/>
      <c r="O247" s="67"/>
      <c r="P247" s="67"/>
      <c r="Q247" s="67"/>
      <c r="R247" s="67"/>
      <c r="S247" s="67"/>
      <c r="T247" s="67"/>
      <c r="U247" s="67"/>
      <c r="V247" s="67"/>
      <c r="W247" s="67"/>
      <c r="X247" s="67"/>
      <c r="Y247" s="67"/>
      <c r="Z247" s="67"/>
    </row>
    <row r="248">
      <c r="A248" s="135"/>
      <c r="B248" s="125"/>
      <c r="C248" s="125"/>
      <c r="D248" s="125"/>
      <c r="E248" s="126"/>
      <c r="F248" s="67"/>
      <c r="G248" s="67"/>
      <c r="H248" s="67"/>
      <c r="I248" s="67"/>
      <c r="J248" s="67"/>
      <c r="K248" s="67"/>
      <c r="L248" s="67"/>
      <c r="M248" s="67"/>
      <c r="N248" s="67"/>
      <c r="O248" s="67"/>
      <c r="P248" s="67"/>
      <c r="Q248" s="67"/>
      <c r="R248" s="67"/>
      <c r="S248" s="67"/>
      <c r="T248" s="67"/>
      <c r="U248" s="67"/>
      <c r="V248" s="67"/>
      <c r="W248" s="67"/>
      <c r="X248" s="67"/>
      <c r="Y248" s="67"/>
      <c r="Z248" s="67"/>
    </row>
    <row r="249">
      <c r="A249" s="136"/>
      <c r="B249" s="131"/>
      <c r="C249" s="131"/>
      <c r="D249" s="131"/>
      <c r="E249" s="130"/>
      <c r="F249" s="67"/>
      <c r="G249" s="67"/>
      <c r="H249" s="67"/>
      <c r="I249" s="67"/>
      <c r="J249" s="67"/>
      <c r="K249" s="67"/>
      <c r="L249" s="67"/>
      <c r="M249" s="67"/>
      <c r="N249" s="67"/>
      <c r="O249" s="67"/>
      <c r="P249" s="67"/>
      <c r="Q249" s="67"/>
      <c r="R249" s="67"/>
      <c r="S249" s="67"/>
      <c r="T249" s="67"/>
      <c r="U249" s="67"/>
      <c r="V249" s="67"/>
      <c r="W249" s="67"/>
      <c r="X249" s="67"/>
      <c r="Y249" s="67"/>
      <c r="Z249" s="67"/>
    </row>
    <row r="250">
      <c r="A250" s="135"/>
      <c r="B250" s="125"/>
      <c r="C250" s="125"/>
      <c r="D250" s="125"/>
      <c r="E250" s="126"/>
      <c r="F250" s="67"/>
      <c r="G250" s="67"/>
      <c r="H250" s="67"/>
      <c r="I250" s="67"/>
      <c r="J250" s="67"/>
      <c r="K250" s="67"/>
      <c r="L250" s="67"/>
      <c r="M250" s="67"/>
      <c r="N250" s="67"/>
      <c r="O250" s="67"/>
      <c r="P250" s="67"/>
      <c r="Q250" s="67"/>
      <c r="R250" s="67"/>
      <c r="S250" s="67"/>
      <c r="T250" s="67"/>
      <c r="U250" s="67"/>
      <c r="V250" s="67"/>
      <c r="W250" s="67"/>
      <c r="X250" s="67"/>
      <c r="Y250" s="67"/>
      <c r="Z250" s="67"/>
    </row>
    <row r="251">
      <c r="A251" s="136"/>
      <c r="B251" s="131"/>
      <c r="C251" s="131"/>
      <c r="D251" s="131"/>
      <c r="E251" s="130"/>
      <c r="F251" s="67"/>
      <c r="G251" s="67"/>
      <c r="H251" s="67"/>
      <c r="I251" s="67"/>
      <c r="J251" s="67"/>
      <c r="K251" s="67"/>
      <c r="L251" s="67"/>
      <c r="M251" s="67"/>
      <c r="N251" s="67"/>
      <c r="O251" s="67"/>
      <c r="P251" s="67"/>
      <c r="Q251" s="67"/>
      <c r="R251" s="67"/>
      <c r="S251" s="67"/>
      <c r="T251" s="67"/>
      <c r="U251" s="67"/>
      <c r="V251" s="67"/>
      <c r="W251" s="67"/>
      <c r="X251" s="67"/>
      <c r="Y251" s="67"/>
      <c r="Z251" s="67"/>
    </row>
    <row r="252">
      <c r="A252" s="135"/>
      <c r="B252" s="125"/>
      <c r="C252" s="125"/>
      <c r="D252" s="125"/>
      <c r="E252" s="126"/>
      <c r="F252" s="67"/>
      <c r="G252" s="67"/>
      <c r="H252" s="67"/>
      <c r="I252" s="67"/>
      <c r="J252" s="67"/>
      <c r="K252" s="67"/>
      <c r="L252" s="67"/>
      <c r="M252" s="67"/>
      <c r="N252" s="67"/>
      <c r="O252" s="67"/>
      <c r="P252" s="67"/>
      <c r="Q252" s="67"/>
      <c r="R252" s="67"/>
      <c r="S252" s="67"/>
      <c r="T252" s="67"/>
      <c r="U252" s="67"/>
      <c r="V252" s="67"/>
      <c r="W252" s="67"/>
      <c r="X252" s="67"/>
      <c r="Y252" s="67"/>
      <c r="Z252" s="67"/>
    </row>
    <row r="253">
      <c r="A253" s="136"/>
      <c r="B253" s="131"/>
      <c r="C253" s="131"/>
      <c r="D253" s="131"/>
      <c r="E253" s="130"/>
      <c r="F253" s="67"/>
      <c r="G253" s="67"/>
      <c r="H253" s="67"/>
      <c r="I253" s="67"/>
      <c r="J253" s="67"/>
      <c r="K253" s="67"/>
      <c r="L253" s="67"/>
      <c r="M253" s="67"/>
      <c r="N253" s="67"/>
      <c r="O253" s="67"/>
      <c r="P253" s="67"/>
      <c r="Q253" s="67"/>
      <c r="R253" s="67"/>
      <c r="S253" s="67"/>
      <c r="T253" s="67"/>
      <c r="U253" s="67"/>
      <c r="V253" s="67"/>
      <c r="W253" s="67"/>
      <c r="X253" s="67"/>
      <c r="Y253" s="67"/>
      <c r="Z253" s="67"/>
    </row>
    <row r="254">
      <c r="A254" s="135"/>
      <c r="B254" s="125"/>
      <c r="C254" s="125"/>
      <c r="D254" s="125"/>
      <c r="E254" s="126"/>
      <c r="F254" s="67"/>
      <c r="G254" s="67"/>
      <c r="H254" s="67"/>
      <c r="I254" s="67"/>
      <c r="J254" s="67"/>
      <c r="K254" s="67"/>
      <c r="L254" s="67"/>
      <c r="M254" s="67"/>
      <c r="N254" s="67"/>
      <c r="O254" s="67"/>
      <c r="P254" s="67"/>
      <c r="Q254" s="67"/>
      <c r="R254" s="67"/>
      <c r="S254" s="67"/>
      <c r="T254" s="67"/>
      <c r="U254" s="67"/>
      <c r="V254" s="67"/>
      <c r="W254" s="67"/>
      <c r="X254" s="67"/>
      <c r="Y254" s="67"/>
      <c r="Z254" s="67"/>
    </row>
    <row r="255">
      <c r="A255" s="136"/>
      <c r="B255" s="131"/>
      <c r="C255" s="131"/>
      <c r="D255" s="131"/>
      <c r="E255" s="130"/>
      <c r="F255" s="67"/>
      <c r="G255" s="67"/>
      <c r="H255" s="67"/>
      <c r="I255" s="67"/>
      <c r="J255" s="67"/>
      <c r="K255" s="67"/>
      <c r="L255" s="67"/>
      <c r="M255" s="67"/>
      <c r="N255" s="67"/>
      <c r="O255" s="67"/>
      <c r="P255" s="67"/>
      <c r="Q255" s="67"/>
      <c r="R255" s="67"/>
      <c r="S255" s="67"/>
      <c r="T255" s="67"/>
      <c r="U255" s="67"/>
      <c r="V255" s="67"/>
      <c r="W255" s="67"/>
      <c r="X255" s="67"/>
      <c r="Y255" s="67"/>
      <c r="Z255" s="67"/>
    </row>
    <row r="256">
      <c r="A256" s="135"/>
      <c r="B256" s="125"/>
      <c r="C256" s="125"/>
      <c r="D256" s="125"/>
      <c r="E256" s="126"/>
      <c r="F256" s="67"/>
      <c r="G256" s="67"/>
      <c r="H256" s="67"/>
      <c r="I256" s="67"/>
      <c r="J256" s="67"/>
      <c r="K256" s="67"/>
      <c r="L256" s="67"/>
      <c r="M256" s="67"/>
      <c r="N256" s="67"/>
      <c r="O256" s="67"/>
      <c r="P256" s="67"/>
      <c r="Q256" s="67"/>
      <c r="R256" s="67"/>
      <c r="S256" s="67"/>
      <c r="T256" s="67"/>
      <c r="U256" s="67"/>
      <c r="V256" s="67"/>
      <c r="W256" s="67"/>
      <c r="X256" s="67"/>
      <c r="Y256" s="67"/>
      <c r="Z256" s="67"/>
    </row>
    <row r="257">
      <c r="A257" s="136"/>
      <c r="B257" s="131"/>
      <c r="C257" s="131"/>
      <c r="D257" s="131"/>
      <c r="E257" s="130"/>
      <c r="F257" s="67"/>
      <c r="G257" s="67"/>
      <c r="H257" s="67"/>
      <c r="I257" s="67"/>
      <c r="J257" s="67"/>
      <c r="K257" s="67"/>
      <c r="L257" s="67"/>
      <c r="M257" s="67"/>
      <c r="N257" s="67"/>
      <c r="O257" s="67"/>
      <c r="P257" s="67"/>
      <c r="Q257" s="67"/>
      <c r="R257" s="67"/>
      <c r="S257" s="67"/>
      <c r="T257" s="67"/>
      <c r="U257" s="67"/>
      <c r="V257" s="67"/>
      <c r="W257" s="67"/>
      <c r="X257" s="67"/>
      <c r="Y257" s="67"/>
      <c r="Z257" s="67"/>
    </row>
    <row r="258">
      <c r="A258" s="135"/>
      <c r="B258" s="125"/>
      <c r="C258" s="125"/>
      <c r="D258" s="125"/>
      <c r="E258" s="126"/>
      <c r="F258" s="67"/>
      <c r="G258" s="67"/>
      <c r="H258" s="67"/>
      <c r="I258" s="67"/>
      <c r="J258" s="67"/>
      <c r="K258" s="67"/>
      <c r="L258" s="67"/>
      <c r="M258" s="67"/>
      <c r="N258" s="67"/>
      <c r="O258" s="67"/>
      <c r="P258" s="67"/>
      <c r="Q258" s="67"/>
      <c r="R258" s="67"/>
      <c r="S258" s="67"/>
      <c r="T258" s="67"/>
      <c r="U258" s="67"/>
      <c r="V258" s="67"/>
      <c r="W258" s="67"/>
      <c r="X258" s="67"/>
      <c r="Y258" s="67"/>
      <c r="Z258" s="67"/>
    </row>
    <row r="259">
      <c r="A259" s="136"/>
      <c r="B259" s="131"/>
      <c r="C259" s="131"/>
      <c r="D259" s="131"/>
      <c r="E259" s="130"/>
      <c r="F259" s="67"/>
      <c r="G259" s="67"/>
      <c r="H259" s="67"/>
      <c r="I259" s="67"/>
      <c r="J259" s="67"/>
      <c r="K259" s="67"/>
      <c r="L259" s="67"/>
      <c r="M259" s="67"/>
      <c r="N259" s="67"/>
      <c r="O259" s="67"/>
      <c r="P259" s="67"/>
      <c r="Q259" s="67"/>
      <c r="R259" s="67"/>
      <c r="S259" s="67"/>
      <c r="T259" s="67"/>
      <c r="U259" s="67"/>
      <c r="V259" s="67"/>
      <c r="W259" s="67"/>
      <c r="X259" s="67"/>
      <c r="Y259" s="67"/>
      <c r="Z259" s="67"/>
    </row>
    <row r="260">
      <c r="A260" s="135"/>
      <c r="B260" s="125"/>
      <c r="C260" s="125"/>
      <c r="D260" s="125"/>
      <c r="E260" s="126"/>
      <c r="F260" s="67"/>
      <c r="G260" s="67"/>
      <c r="H260" s="67"/>
      <c r="I260" s="67"/>
      <c r="J260" s="67"/>
      <c r="K260" s="67"/>
      <c r="L260" s="67"/>
      <c r="M260" s="67"/>
      <c r="N260" s="67"/>
      <c r="O260" s="67"/>
      <c r="P260" s="67"/>
      <c r="Q260" s="67"/>
      <c r="R260" s="67"/>
      <c r="S260" s="67"/>
      <c r="T260" s="67"/>
      <c r="U260" s="67"/>
      <c r="V260" s="67"/>
      <c r="W260" s="67"/>
      <c r="X260" s="67"/>
      <c r="Y260" s="67"/>
      <c r="Z260" s="67"/>
    </row>
    <row r="261">
      <c r="A261" s="136"/>
      <c r="B261" s="131"/>
      <c r="C261" s="131"/>
      <c r="D261" s="131"/>
      <c r="E261" s="130"/>
      <c r="F261" s="67"/>
      <c r="G261" s="67"/>
      <c r="H261" s="67"/>
      <c r="I261" s="67"/>
      <c r="J261" s="67"/>
      <c r="K261" s="67"/>
      <c r="L261" s="67"/>
      <c r="M261" s="67"/>
      <c r="N261" s="67"/>
      <c r="O261" s="67"/>
      <c r="P261" s="67"/>
      <c r="Q261" s="67"/>
      <c r="R261" s="67"/>
      <c r="S261" s="67"/>
      <c r="T261" s="67"/>
      <c r="U261" s="67"/>
      <c r="V261" s="67"/>
      <c r="W261" s="67"/>
      <c r="X261" s="67"/>
      <c r="Y261" s="67"/>
      <c r="Z261" s="67"/>
    </row>
    <row r="262">
      <c r="A262" s="135"/>
      <c r="B262" s="125"/>
      <c r="C262" s="125"/>
      <c r="D262" s="125"/>
      <c r="E262" s="126"/>
      <c r="F262" s="67"/>
      <c r="G262" s="67"/>
      <c r="H262" s="67"/>
      <c r="I262" s="67"/>
      <c r="J262" s="67"/>
      <c r="K262" s="67"/>
      <c r="L262" s="67"/>
      <c r="M262" s="67"/>
      <c r="N262" s="67"/>
      <c r="O262" s="67"/>
      <c r="P262" s="67"/>
      <c r="Q262" s="67"/>
      <c r="R262" s="67"/>
      <c r="S262" s="67"/>
      <c r="T262" s="67"/>
      <c r="U262" s="67"/>
      <c r="V262" s="67"/>
      <c r="W262" s="67"/>
      <c r="X262" s="67"/>
      <c r="Y262" s="67"/>
      <c r="Z262" s="67"/>
    </row>
    <row r="263">
      <c r="A263" s="136"/>
      <c r="B263" s="131"/>
      <c r="C263" s="131"/>
      <c r="D263" s="131"/>
      <c r="E263" s="130"/>
      <c r="F263" s="67"/>
      <c r="G263" s="67"/>
      <c r="H263" s="67"/>
      <c r="I263" s="67"/>
      <c r="J263" s="67"/>
      <c r="K263" s="67"/>
      <c r="L263" s="67"/>
      <c r="M263" s="67"/>
      <c r="N263" s="67"/>
      <c r="O263" s="67"/>
      <c r="P263" s="67"/>
      <c r="Q263" s="67"/>
      <c r="R263" s="67"/>
      <c r="S263" s="67"/>
      <c r="T263" s="67"/>
      <c r="U263" s="67"/>
      <c r="V263" s="67"/>
      <c r="W263" s="67"/>
      <c r="X263" s="67"/>
      <c r="Y263" s="67"/>
      <c r="Z263" s="67"/>
    </row>
    <row r="264">
      <c r="A264" s="135"/>
      <c r="B264" s="125"/>
      <c r="C264" s="125"/>
      <c r="D264" s="125"/>
      <c r="E264" s="126"/>
      <c r="F264" s="67"/>
      <c r="G264" s="67"/>
      <c r="H264" s="67"/>
      <c r="I264" s="67"/>
      <c r="J264" s="67"/>
      <c r="K264" s="67"/>
      <c r="L264" s="67"/>
      <c r="M264" s="67"/>
      <c r="N264" s="67"/>
      <c r="O264" s="67"/>
      <c r="P264" s="67"/>
      <c r="Q264" s="67"/>
      <c r="R264" s="67"/>
      <c r="S264" s="67"/>
      <c r="T264" s="67"/>
      <c r="U264" s="67"/>
      <c r="V264" s="67"/>
      <c r="W264" s="67"/>
      <c r="X264" s="67"/>
      <c r="Y264" s="67"/>
      <c r="Z264" s="67"/>
    </row>
    <row r="265">
      <c r="A265" s="136"/>
      <c r="B265" s="131"/>
      <c r="C265" s="131"/>
      <c r="D265" s="131"/>
      <c r="E265" s="130"/>
      <c r="F265" s="67"/>
      <c r="G265" s="67"/>
      <c r="H265" s="67"/>
      <c r="I265" s="67"/>
      <c r="J265" s="67"/>
      <c r="K265" s="67"/>
      <c r="L265" s="67"/>
      <c r="M265" s="67"/>
      <c r="N265" s="67"/>
      <c r="O265" s="67"/>
      <c r="P265" s="67"/>
      <c r="Q265" s="67"/>
      <c r="R265" s="67"/>
      <c r="S265" s="67"/>
      <c r="T265" s="67"/>
      <c r="U265" s="67"/>
      <c r="V265" s="67"/>
      <c r="W265" s="67"/>
      <c r="X265" s="67"/>
      <c r="Y265" s="67"/>
      <c r="Z265" s="67"/>
    </row>
    <row r="266">
      <c r="A266" s="135"/>
      <c r="B266" s="125"/>
      <c r="C266" s="125"/>
      <c r="D266" s="125"/>
      <c r="E266" s="126"/>
      <c r="F266" s="67"/>
      <c r="G266" s="67"/>
      <c r="H266" s="67"/>
      <c r="I266" s="67"/>
      <c r="J266" s="67"/>
      <c r="K266" s="67"/>
      <c r="L266" s="67"/>
      <c r="M266" s="67"/>
      <c r="N266" s="67"/>
      <c r="O266" s="67"/>
      <c r="P266" s="67"/>
      <c r="Q266" s="67"/>
      <c r="R266" s="67"/>
      <c r="S266" s="67"/>
      <c r="T266" s="67"/>
      <c r="U266" s="67"/>
      <c r="V266" s="67"/>
      <c r="W266" s="67"/>
      <c r="X266" s="67"/>
      <c r="Y266" s="67"/>
      <c r="Z266" s="67"/>
    </row>
    <row r="267">
      <c r="A267" s="136"/>
      <c r="B267" s="131"/>
      <c r="C267" s="131"/>
      <c r="D267" s="131"/>
      <c r="E267" s="130"/>
      <c r="F267" s="67"/>
      <c r="G267" s="67"/>
      <c r="H267" s="67"/>
      <c r="I267" s="67"/>
      <c r="J267" s="67"/>
      <c r="K267" s="67"/>
      <c r="L267" s="67"/>
      <c r="M267" s="67"/>
      <c r="N267" s="67"/>
      <c r="O267" s="67"/>
      <c r="P267" s="67"/>
      <c r="Q267" s="67"/>
      <c r="R267" s="67"/>
      <c r="S267" s="67"/>
      <c r="T267" s="67"/>
      <c r="U267" s="67"/>
      <c r="V267" s="67"/>
      <c r="W267" s="67"/>
      <c r="X267" s="67"/>
      <c r="Y267" s="67"/>
      <c r="Z267" s="67"/>
    </row>
    <row r="268">
      <c r="A268" s="135"/>
      <c r="B268" s="125"/>
      <c r="C268" s="125"/>
      <c r="D268" s="125"/>
      <c r="E268" s="126"/>
      <c r="F268" s="67"/>
      <c r="G268" s="67"/>
      <c r="H268" s="67"/>
      <c r="I268" s="67"/>
      <c r="J268" s="67"/>
      <c r="K268" s="67"/>
      <c r="L268" s="67"/>
      <c r="M268" s="67"/>
      <c r="N268" s="67"/>
      <c r="O268" s="67"/>
      <c r="P268" s="67"/>
      <c r="Q268" s="67"/>
      <c r="R268" s="67"/>
      <c r="S268" s="67"/>
      <c r="T268" s="67"/>
      <c r="U268" s="67"/>
      <c r="V268" s="67"/>
      <c r="W268" s="67"/>
      <c r="X268" s="67"/>
      <c r="Y268" s="67"/>
      <c r="Z268" s="67"/>
    </row>
    <row r="269">
      <c r="A269" s="136"/>
      <c r="B269" s="131"/>
      <c r="C269" s="131"/>
      <c r="D269" s="131"/>
      <c r="E269" s="130"/>
      <c r="F269" s="67"/>
      <c r="G269" s="67"/>
      <c r="H269" s="67"/>
      <c r="I269" s="67"/>
      <c r="J269" s="67"/>
      <c r="K269" s="67"/>
      <c r="L269" s="67"/>
      <c r="M269" s="67"/>
      <c r="N269" s="67"/>
      <c r="O269" s="67"/>
      <c r="P269" s="67"/>
      <c r="Q269" s="67"/>
      <c r="R269" s="67"/>
      <c r="S269" s="67"/>
      <c r="T269" s="67"/>
      <c r="U269" s="67"/>
      <c r="V269" s="67"/>
      <c r="W269" s="67"/>
      <c r="X269" s="67"/>
      <c r="Y269" s="67"/>
      <c r="Z269" s="67"/>
    </row>
    <row r="270">
      <c r="A270" s="135"/>
      <c r="B270" s="125"/>
      <c r="C270" s="125"/>
      <c r="D270" s="125"/>
      <c r="E270" s="126"/>
      <c r="F270" s="67"/>
      <c r="G270" s="67"/>
      <c r="H270" s="67"/>
      <c r="I270" s="67"/>
      <c r="J270" s="67"/>
      <c r="K270" s="67"/>
      <c r="L270" s="67"/>
      <c r="M270" s="67"/>
      <c r="N270" s="67"/>
      <c r="O270" s="67"/>
      <c r="P270" s="67"/>
      <c r="Q270" s="67"/>
      <c r="R270" s="67"/>
      <c r="S270" s="67"/>
      <c r="T270" s="67"/>
      <c r="U270" s="67"/>
      <c r="V270" s="67"/>
      <c r="W270" s="67"/>
      <c r="X270" s="67"/>
      <c r="Y270" s="67"/>
      <c r="Z270" s="67"/>
    </row>
    <row r="271">
      <c r="A271" s="136"/>
      <c r="B271" s="131"/>
      <c r="C271" s="131"/>
      <c r="D271" s="131"/>
      <c r="E271" s="130"/>
      <c r="F271" s="67"/>
      <c r="G271" s="67"/>
      <c r="H271" s="67"/>
      <c r="I271" s="67"/>
      <c r="J271" s="67"/>
      <c r="K271" s="67"/>
      <c r="L271" s="67"/>
      <c r="M271" s="67"/>
      <c r="N271" s="67"/>
      <c r="O271" s="67"/>
      <c r="P271" s="67"/>
      <c r="Q271" s="67"/>
      <c r="R271" s="67"/>
      <c r="S271" s="67"/>
      <c r="T271" s="67"/>
      <c r="U271" s="67"/>
      <c r="V271" s="67"/>
      <c r="W271" s="67"/>
      <c r="X271" s="67"/>
      <c r="Y271" s="67"/>
      <c r="Z271" s="67"/>
    </row>
    <row r="272">
      <c r="A272" s="135"/>
      <c r="B272" s="125"/>
      <c r="C272" s="125"/>
      <c r="D272" s="125"/>
      <c r="E272" s="126"/>
      <c r="F272" s="67"/>
      <c r="G272" s="67"/>
      <c r="H272" s="67"/>
      <c r="I272" s="67"/>
      <c r="J272" s="67"/>
      <c r="K272" s="67"/>
      <c r="L272" s="67"/>
      <c r="M272" s="67"/>
      <c r="N272" s="67"/>
      <c r="O272" s="67"/>
      <c r="P272" s="67"/>
      <c r="Q272" s="67"/>
      <c r="R272" s="67"/>
      <c r="S272" s="67"/>
      <c r="T272" s="67"/>
      <c r="U272" s="67"/>
      <c r="V272" s="67"/>
      <c r="W272" s="67"/>
      <c r="X272" s="67"/>
      <c r="Y272" s="67"/>
      <c r="Z272" s="67"/>
    </row>
    <row r="273">
      <c r="A273" s="136"/>
      <c r="B273" s="131"/>
      <c r="C273" s="131"/>
      <c r="D273" s="131"/>
      <c r="E273" s="130"/>
      <c r="F273" s="67"/>
      <c r="G273" s="67"/>
      <c r="H273" s="67"/>
      <c r="I273" s="67"/>
      <c r="J273" s="67"/>
      <c r="K273" s="67"/>
      <c r="L273" s="67"/>
      <c r="M273" s="67"/>
      <c r="N273" s="67"/>
      <c r="O273" s="67"/>
      <c r="P273" s="67"/>
      <c r="Q273" s="67"/>
      <c r="R273" s="67"/>
      <c r="S273" s="67"/>
      <c r="T273" s="67"/>
      <c r="U273" s="67"/>
      <c r="V273" s="67"/>
      <c r="W273" s="67"/>
      <c r="X273" s="67"/>
      <c r="Y273" s="67"/>
      <c r="Z273" s="67"/>
    </row>
    <row r="274">
      <c r="A274" s="135"/>
      <c r="B274" s="125"/>
      <c r="C274" s="125"/>
      <c r="D274" s="125"/>
      <c r="E274" s="126"/>
      <c r="F274" s="67"/>
      <c r="G274" s="67"/>
      <c r="H274" s="67"/>
      <c r="I274" s="67"/>
      <c r="J274" s="67"/>
      <c r="K274" s="67"/>
      <c r="L274" s="67"/>
      <c r="M274" s="67"/>
      <c r="N274" s="67"/>
      <c r="O274" s="67"/>
      <c r="P274" s="67"/>
      <c r="Q274" s="67"/>
      <c r="R274" s="67"/>
      <c r="S274" s="67"/>
      <c r="T274" s="67"/>
      <c r="U274" s="67"/>
      <c r="V274" s="67"/>
      <c r="W274" s="67"/>
      <c r="X274" s="67"/>
      <c r="Y274" s="67"/>
      <c r="Z274" s="67"/>
    </row>
    <row r="275">
      <c r="A275" s="136"/>
      <c r="B275" s="131"/>
      <c r="C275" s="131"/>
      <c r="D275" s="131"/>
      <c r="E275" s="130"/>
      <c r="F275" s="67"/>
      <c r="G275" s="67"/>
      <c r="H275" s="67"/>
      <c r="I275" s="67"/>
      <c r="J275" s="67"/>
      <c r="K275" s="67"/>
      <c r="L275" s="67"/>
      <c r="M275" s="67"/>
      <c r="N275" s="67"/>
      <c r="O275" s="67"/>
      <c r="P275" s="67"/>
      <c r="Q275" s="67"/>
      <c r="R275" s="67"/>
      <c r="S275" s="67"/>
      <c r="T275" s="67"/>
      <c r="U275" s="67"/>
      <c r="V275" s="67"/>
      <c r="W275" s="67"/>
      <c r="X275" s="67"/>
      <c r="Y275" s="67"/>
      <c r="Z275" s="67"/>
    </row>
    <row r="276">
      <c r="A276" s="135"/>
      <c r="B276" s="125"/>
      <c r="C276" s="125"/>
      <c r="D276" s="125"/>
      <c r="E276" s="126"/>
      <c r="F276" s="67"/>
      <c r="G276" s="67"/>
      <c r="H276" s="67"/>
      <c r="I276" s="67"/>
      <c r="J276" s="67"/>
      <c r="K276" s="67"/>
      <c r="L276" s="67"/>
      <c r="M276" s="67"/>
      <c r="N276" s="67"/>
      <c r="O276" s="67"/>
      <c r="P276" s="67"/>
      <c r="Q276" s="67"/>
      <c r="R276" s="67"/>
      <c r="S276" s="67"/>
      <c r="T276" s="67"/>
      <c r="U276" s="67"/>
      <c r="V276" s="67"/>
      <c r="W276" s="67"/>
      <c r="X276" s="67"/>
      <c r="Y276" s="67"/>
      <c r="Z276" s="67"/>
    </row>
    <row r="277">
      <c r="A277" s="136"/>
      <c r="B277" s="131"/>
      <c r="C277" s="131"/>
      <c r="D277" s="131"/>
      <c r="E277" s="130"/>
      <c r="F277" s="67"/>
      <c r="G277" s="67"/>
      <c r="H277" s="67"/>
      <c r="I277" s="67"/>
      <c r="J277" s="67"/>
      <c r="K277" s="67"/>
      <c r="L277" s="67"/>
      <c r="M277" s="67"/>
      <c r="N277" s="67"/>
      <c r="O277" s="67"/>
      <c r="P277" s="67"/>
      <c r="Q277" s="67"/>
      <c r="R277" s="67"/>
      <c r="S277" s="67"/>
      <c r="T277" s="67"/>
      <c r="U277" s="67"/>
      <c r="V277" s="67"/>
      <c r="W277" s="67"/>
      <c r="X277" s="67"/>
      <c r="Y277" s="67"/>
      <c r="Z277" s="67"/>
    </row>
    <row r="278">
      <c r="A278" s="135"/>
      <c r="B278" s="125"/>
      <c r="C278" s="125"/>
      <c r="D278" s="125"/>
      <c r="E278" s="126"/>
      <c r="F278" s="67"/>
      <c r="G278" s="67"/>
      <c r="H278" s="67"/>
      <c r="I278" s="67"/>
      <c r="J278" s="67"/>
      <c r="K278" s="67"/>
      <c r="L278" s="67"/>
      <c r="M278" s="67"/>
      <c r="N278" s="67"/>
      <c r="O278" s="67"/>
      <c r="P278" s="67"/>
      <c r="Q278" s="67"/>
      <c r="R278" s="67"/>
      <c r="S278" s="67"/>
      <c r="T278" s="67"/>
      <c r="U278" s="67"/>
      <c r="V278" s="67"/>
      <c r="W278" s="67"/>
      <c r="X278" s="67"/>
      <c r="Y278" s="67"/>
      <c r="Z278" s="67"/>
    </row>
    <row r="279">
      <c r="A279" s="136"/>
      <c r="B279" s="131"/>
      <c r="C279" s="131"/>
      <c r="D279" s="131"/>
      <c r="E279" s="130"/>
      <c r="F279" s="67"/>
      <c r="G279" s="67"/>
      <c r="H279" s="67"/>
      <c r="I279" s="67"/>
      <c r="J279" s="67"/>
      <c r="K279" s="67"/>
      <c r="L279" s="67"/>
      <c r="M279" s="67"/>
      <c r="N279" s="67"/>
      <c r="O279" s="67"/>
      <c r="P279" s="67"/>
      <c r="Q279" s="67"/>
      <c r="R279" s="67"/>
      <c r="S279" s="67"/>
      <c r="T279" s="67"/>
      <c r="U279" s="67"/>
      <c r="V279" s="67"/>
      <c r="W279" s="67"/>
      <c r="X279" s="67"/>
      <c r="Y279" s="67"/>
      <c r="Z279" s="67"/>
    </row>
    <row r="280">
      <c r="A280" s="135"/>
      <c r="B280" s="125"/>
      <c r="C280" s="125"/>
      <c r="D280" s="125"/>
      <c r="E280" s="126"/>
      <c r="F280" s="67"/>
      <c r="G280" s="67"/>
      <c r="H280" s="67"/>
      <c r="I280" s="67"/>
      <c r="J280" s="67"/>
      <c r="K280" s="67"/>
      <c r="L280" s="67"/>
      <c r="M280" s="67"/>
      <c r="N280" s="67"/>
      <c r="O280" s="67"/>
      <c r="P280" s="67"/>
      <c r="Q280" s="67"/>
      <c r="R280" s="67"/>
      <c r="S280" s="67"/>
      <c r="T280" s="67"/>
      <c r="U280" s="67"/>
      <c r="V280" s="67"/>
      <c r="W280" s="67"/>
      <c r="X280" s="67"/>
      <c r="Y280" s="67"/>
      <c r="Z280" s="67"/>
    </row>
    <row r="281">
      <c r="A281" s="136"/>
      <c r="B281" s="131"/>
      <c r="C281" s="131"/>
      <c r="D281" s="131"/>
      <c r="E281" s="130"/>
      <c r="F281" s="67"/>
      <c r="G281" s="67"/>
      <c r="H281" s="67"/>
      <c r="I281" s="67"/>
      <c r="J281" s="67"/>
      <c r="K281" s="67"/>
      <c r="L281" s="67"/>
      <c r="M281" s="67"/>
      <c r="N281" s="67"/>
      <c r="O281" s="67"/>
      <c r="P281" s="67"/>
      <c r="Q281" s="67"/>
      <c r="R281" s="67"/>
      <c r="S281" s="67"/>
      <c r="T281" s="67"/>
      <c r="U281" s="67"/>
      <c r="V281" s="67"/>
      <c r="W281" s="67"/>
      <c r="X281" s="67"/>
      <c r="Y281" s="67"/>
      <c r="Z281" s="67"/>
    </row>
    <row r="282">
      <c r="A282" s="135"/>
      <c r="B282" s="125"/>
      <c r="C282" s="125"/>
      <c r="D282" s="125"/>
      <c r="E282" s="126"/>
      <c r="F282" s="67"/>
      <c r="G282" s="67"/>
      <c r="H282" s="67"/>
      <c r="I282" s="67"/>
      <c r="J282" s="67"/>
      <c r="K282" s="67"/>
      <c r="L282" s="67"/>
      <c r="M282" s="67"/>
      <c r="N282" s="67"/>
      <c r="O282" s="67"/>
      <c r="P282" s="67"/>
      <c r="Q282" s="67"/>
      <c r="R282" s="67"/>
      <c r="S282" s="67"/>
      <c r="T282" s="67"/>
      <c r="U282" s="67"/>
      <c r="V282" s="67"/>
      <c r="W282" s="67"/>
      <c r="X282" s="67"/>
      <c r="Y282" s="67"/>
      <c r="Z282" s="67"/>
    </row>
    <row r="283">
      <c r="A283" s="136"/>
      <c r="B283" s="131"/>
      <c r="C283" s="131"/>
      <c r="D283" s="131"/>
      <c r="E283" s="130"/>
      <c r="F283" s="67"/>
      <c r="G283" s="67"/>
      <c r="H283" s="67"/>
      <c r="I283" s="67"/>
      <c r="J283" s="67"/>
      <c r="K283" s="67"/>
      <c r="L283" s="67"/>
      <c r="M283" s="67"/>
      <c r="N283" s="67"/>
      <c r="O283" s="67"/>
      <c r="P283" s="67"/>
      <c r="Q283" s="67"/>
      <c r="R283" s="67"/>
      <c r="S283" s="67"/>
      <c r="T283" s="67"/>
      <c r="U283" s="67"/>
      <c r="V283" s="67"/>
      <c r="W283" s="67"/>
      <c r="X283" s="67"/>
      <c r="Y283" s="67"/>
      <c r="Z283" s="67"/>
    </row>
    <row r="284">
      <c r="A284" s="135"/>
      <c r="B284" s="125"/>
      <c r="C284" s="125"/>
      <c r="D284" s="125"/>
      <c r="E284" s="126"/>
      <c r="F284" s="67"/>
      <c r="G284" s="67"/>
      <c r="H284" s="67"/>
      <c r="I284" s="67"/>
      <c r="J284" s="67"/>
      <c r="K284" s="67"/>
      <c r="L284" s="67"/>
      <c r="M284" s="67"/>
      <c r="N284" s="67"/>
      <c r="O284" s="67"/>
      <c r="P284" s="67"/>
      <c r="Q284" s="67"/>
      <c r="R284" s="67"/>
      <c r="S284" s="67"/>
      <c r="T284" s="67"/>
      <c r="U284" s="67"/>
      <c r="V284" s="67"/>
      <c r="W284" s="67"/>
      <c r="X284" s="67"/>
      <c r="Y284" s="67"/>
      <c r="Z284" s="67"/>
    </row>
    <row r="285">
      <c r="A285" s="136"/>
      <c r="B285" s="131"/>
      <c r="C285" s="131"/>
      <c r="D285" s="131"/>
      <c r="E285" s="130"/>
      <c r="F285" s="67"/>
      <c r="G285" s="67"/>
      <c r="H285" s="67"/>
      <c r="I285" s="67"/>
      <c r="J285" s="67"/>
      <c r="K285" s="67"/>
      <c r="L285" s="67"/>
      <c r="M285" s="67"/>
      <c r="N285" s="67"/>
      <c r="O285" s="67"/>
      <c r="P285" s="67"/>
      <c r="Q285" s="67"/>
      <c r="R285" s="67"/>
      <c r="S285" s="67"/>
      <c r="T285" s="67"/>
      <c r="U285" s="67"/>
      <c r="V285" s="67"/>
      <c r="W285" s="67"/>
      <c r="X285" s="67"/>
      <c r="Y285" s="67"/>
      <c r="Z285" s="67"/>
    </row>
    <row r="286">
      <c r="A286" s="135"/>
      <c r="B286" s="125"/>
      <c r="C286" s="125"/>
      <c r="D286" s="125"/>
      <c r="E286" s="126"/>
      <c r="F286" s="67"/>
      <c r="G286" s="67"/>
      <c r="H286" s="67"/>
      <c r="I286" s="67"/>
      <c r="J286" s="67"/>
      <c r="K286" s="67"/>
      <c r="L286" s="67"/>
      <c r="M286" s="67"/>
      <c r="N286" s="67"/>
      <c r="O286" s="67"/>
      <c r="P286" s="67"/>
      <c r="Q286" s="67"/>
      <c r="R286" s="67"/>
      <c r="S286" s="67"/>
      <c r="T286" s="67"/>
      <c r="U286" s="67"/>
      <c r="V286" s="67"/>
      <c r="W286" s="67"/>
      <c r="X286" s="67"/>
      <c r="Y286" s="67"/>
      <c r="Z286" s="67"/>
    </row>
    <row r="287">
      <c r="A287" s="136"/>
      <c r="B287" s="131"/>
      <c r="C287" s="131"/>
      <c r="D287" s="131"/>
      <c r="E287" s="130"/>
      <c r="F287" s="67"/>
      <c r="G287" s="67"/>
      <c r="H287" s="67"/>
      <c r="I287" s="67"/>
      <c r="J287" s="67"/>
      <c r="K287" s="67"/>
      <c r="L287" s="67"/>
      <c r="M287" s="67"/>
      <c r="N287" s="67"/>
      <c r="O287" s="67"/>
      <c r="P287" s="67"/>
      <c r="Q287" s="67"/>
      <c r="R287" s="67"/>
      <c r="S287" s="67"/>
      <c r="T287" s="67"/>
      <c r="U287" s="67"/>
      <c r="V287" s="67"/>
      <c r="W287" s="67"/>
      <c r="X287" s="67"/>
      <c r="Y287" s="67"/>
      <c r="Z287" s="67"/>
    </row>
    <row r="288">
      <c r="A288" s="135"/>
      <c r="B288" s="125"/>
      <c r="C288" s="125"/>
      <c r="D288" s="125"/>
      <c r="E288" s="126"/>
      <c r="F288" s="67"/>
      <c r="G288" s="67"/>
      <c r="H288" s="67"/>
      <c r="I288" s="67"/>
      <c r="J288" s="67"/>
      <c r="K288" s="67"/>
      <c r="L288" s="67"/>
      <c r="M288" s="67"/>
      <c r="N288" s="67"/>
      <c r="O288" s="67"/>
      <c r="P288" s="67"/>
      <c r="Q288" s="67"/>
      <c r="R288" s="67"/>
      <c r="S288" s="67"/>
      <c r="T288" s="67"/>
      <c r="U288" s="67"/>
      <c r="V288" s="67"/>
      <c r="W288" s="67"/>
      <c r="X288" s="67"/>
      <c r="Y288" s="67"/>
      <c r="Z288" s="67"/>
    </row>
    <row r="289">
      <c r="A289" s="136"/>
      <c r="B289" s="131"/>
      <c r="C289" s="131"/>
      <c r="D289" s="131"/>
      <c r="E289" s="130"/>
      <c r="F289" s="67"/>
      <c r="G289" s="67"/>
      <c r="H289" s="67"/>
      <c r="I289" s="67"/>
      <c r="J289" s="67"/>
      <c r="K289" s="67"/>
      <c r="L289" s="67"/>
      <c r="M289" s="67"/>
      <c r="N289" s="67"/>
      <c r="O289" s="67"/>
      <c r="P289" s="67"/>
      <c r="Q289" s="67"/>
      <c r="R289" s="67"/>
      <c r="S289" s="67"/>
      <c r="T289" s="67"/>
      <c r="U289" s="67"/>
      <c r="V289" s="67"/>
      <c r="W289" s="67"/>
      <c r="X289" s="67"/>
      <c r="Y289" s="67"/>
      <c r="Z289" s="67"/>
    </row>
    <row r="290">
      <c r="A290" s="135"/>
      <c r="B290" s="125"/>
      <c r="C290" s="125"/>
      <c r="D290" s="125"/>
      <c r="E290" s="126"/>
      <c r="F290" s="67"/>
      <c r="G290" s="67"/>
      <c r="H290" s="67"/>
      <c r="I290" s="67"/>
      <c r="J290" s="67"/>
      <c r="K290" s="67"/>
      <c r="L290" s="67"/>
      <c r="M290" s="67"/>
      <c r="N290" s="67"/>
      <c r="O290" s="67"/>
      <c r="P290" s="67"/>
      <c r="Q290" s="67"/>
      <c r="R290" s="67"/>
      <c r="S290" s="67"/>
      <c r="T290" s="67"/>
      <c r="U290" s="67"/>
      <c r="V290" s="67"/>
      <c r="W290" s="67"/>
      <c r="X290" s="67"/>
      <c r="Y290" s="67"/>
      <c r="Z290" s="67"/>
    </row>
    <row r="291">
      <c r="A291" s="136"/>
      <c r="B291" s="131"/>
      <c r="C291" s="131"/>
      <c r="D291" s="131"/>
      <c r="E291" s="130"/>
      <c r="F291" s="67"/>
      <c r="G291" s="67"/>
      <c r="H291" s="67"/>
      <c r="I291" s="67"/>
      <c r="J291" s="67"/>
      <c r="K291" s="67"/>
      <c r="L291" s="67"/>
      <c r="M291" s="67"/>
      <c r="N291" s="67"/>
      <c r="O291" s="67"/>
      <c r="P291" s="67"/>
      <c r="Q291" s="67"/>
      <c r="R291" s="67"/>
      <c r="S291" s="67"/>
      <c r="T291" s="67"/>
      <c r="U291" s="67"/>
      <c r="V291" s="67"/>
      <c r="W291" s="67"/>
      <c r="X291" s="67"/>
      <c r="Y291" s="67"/>
      <c r="Z291" s="67"/>
    </row>
    <row r="292">
      <c r="A292" s="135"/>
      <c r="B292" s="125"/>
      <c r="C292" s="125"/>
      <c r="D292" s="125"/>
      <c r="E292" s="126"/>
      <c r="F292" s="67"/>
      <c r="G292" s="67"/>
      <c r="H292" s="67"/>
      <c r="I292" s="67"/>
      <c r="J292" s="67"/>
      <c r="K292" s="67"/>
      <c r="L292" s="67"/>
      <c r="M292" s="67"/>
      <c r="N292" s="67"/>
      <c r="O292" s="67"/>
      <c r="P292" s="67"/>
      <c r="Q292" s="67"/>
      <c r="R292" s="67"/>
      <c r="S292" s="67"/>
      <c r="T292" s="67"/>
      <c r="U292" s="67"/>
      <c r="V292" s="67"/>
      <c r="W292" s="67"/>
      <c r="X292" s="67"/>
      <c r="Y292" s="67"/>
      <c r="Z292" s="67"/>
    </row>
    <row r="293">
      <c r="A293" s="136"/>
      <c r="B293" s="131"/>
      <c r="C293" s="131"/>
      <c r="D293" s="131"/>
      <c r="E293" s="130"/>
      <c r="F293" s="67"/>
      <c r="G293" s="67"/>
      <c r="H293" s="67"/>
      <c r="I293" s="67"/>
      <c r="J293" s="67"/>
      <c r="K293" s="67"/>
      <c r="L293" s="67"/>
      <c r="M293" s="67"/>
      <c r="N293" s="67"/>
      <c r="O293" s="67"/>
      <c r="P293" s="67"/>
      <c r="Q293" s="67"/>
      <c r="R293" s="67"/>
      <c r="S293" s="67"/>
      <c r="T293" s="67"/>
      <c r="U293" s="67"/>
      <c r="V293" s="67"/>
      <c r="W293" s="67"/>
      <c r="X293" s="67"/>
      <c r="Y293" s="67"/>
      <c r="Z293" s="67"/>
    </row>
    <row r="294">
      <c r="A294" s="135"/>
      <c r="B294" s="125"/>
      <c r="C294" s="125"/>
      <c r="D294" s="125"/>
      <c r="E294" s="126"/>
      <c r="F294" s="67"/>
      <c r="G294" s="67"/>
      <c r="H294" s="67"/>
      <c r="I294" s="67"/>
      <c r="J294" s="67"/>
      <c r="K294" s="67"/>
      <c r="L294" s="67"/>
      <c r="M294" s="67"/>
      <c r="N294" s="67"/>
      <c r="O294" s="67"/>
      <c r="P294" s="67"/>
      <c r="Q294" s="67"/>
      <c r="R294" s="67"/>
      <c r="S294" s="67"/>
      <c r="T294" s="67"/>
      <c r="U294" s="67"/>
      <c r="V294" s="67"/>
      <c r="W294" s="67"/>
      <c r="X294" s="67"/>
      <c r="Y294" s="67"/>
      <c r="Z294" s="67"/>
    </row>
    <row r="295">
      <c r="A295" s="136"/>
      <c r="B295" s="131"/>
      <c r="C295" s="131"/>
      <c r="D295" s="131"/>
      <c r="E295" s="130"/>
      <c r="F295" s="67"/>
      <c r="G295" s="67"/>
      <c r="H295" s="67"/>
      <c r="I295" s="67"/>
      <c r="J295" s="67"/>
      <c r="K295" s="67"/>
      <c r="L295" s="67"/>
      <c r="M295" s="67"/>
      <c r="N295" s="67"/>
      <c r="O295" s="67"/>
      <c r="P295" s="67"/>
      <c r="Q295" s="67"/>
      <c r="R295" s="67"/>
      <c r="S295" s="67"/>
      <c r="T295" s="67"/>
      <c r="U295" s="67"/>
      <c r="V295" s="67"/>
      <c r="W295" s="67"/>
      <c r="X295" s="67"/>
      <c r="Y295" s="67"/>
      <c r="Z295" s="67"/>
    </row>
    <row r="296">
      <c r="A296" s="135"/>
      <c r="B296" s="125"/>
      <c r="C296" s="125"/>
      <c r="D296" s="125"/>
      <c r="E296" s="126"/>
      <c r="F296" s="67"/>
      <c r="G296" s="67"/>
      <c r="H296" s="67"/>
      <c r="I296" s="67"/>
      <c r="J296" s="67"/>
      <c r="K296" s="67"/>
      <c r="L296" s="67"/>
      <c r="M296" s="67"/>
      <c r="N296" s="67"/>
      <c r="O296" s="67"/>
      <c r="P296" s="67"/>
      <c r="Q296" s="67"/>
      <c r="R296" s="67"/>
      <c r="S296" s="67"/>
      <c r="T296" s="67"/>
      <c r="U296" s="67"/>
      <c r="V296" s="67"/>
      <c r="W296" s="67"/>
      <c r="X296" s="67"/>
      <c r="Y296" s="67"/>
      <c r="Z296" s="67"/>
    </row>
    <row r="297">
      <c r="A297" s="136"/>
      <c r="B297" s="131"/>
      <c r="C297" s="131"/>
      <c r="D297" s="131"/>
      <c r="E297" s="130"/>
      <c r="F297" s="67"/>
      <c r="G297" s="67"/>
      <c r="H297" s="67"/>
      <c r="I297" s="67"/>
      <c r="J297" s="67"/>
      <c r="K297" s="67"/>
      <c r="L297" s="67"/>
      <c r="M297" s="67"/>
      <c r="N297" s="67"/>
      <c r="O297" s="67"/>
      <c r="P297" s="67"/>
      <c r="Q297" s="67"/>
      <c r="R297" s="67"/>
      <c r="S297" s="67"/>
      <c r="T297" s="67"/>
      <c r="U297" s="67"/>
      <c r="V297" s="67"/>
      <c r="W297" s="67"/>
      <c r="X297" s="67"/>
      <c r="Y297" s="67"/>
      <c r="Z297" s="67"/>
    </row>
    <row r="298">
      <c r="A298" s="135"/>
      <c r="B298" s="125"/>
      <c r="C298" s="125"/>
      <c r="D298" s="125"/>
      <c r="E298" s="126"/>
      <c r="F298" s="67"/>
      <c r="G298" s="67"/>
      <c r="H298" s="67"/>
      <c r="I298" s="67"/>
      <c r="J298" s="67"/>
      <c r="K298" s="67"/>
      <c r="L298" s="67"/>
      <c r="M298" s="67"/>
      <c r="N298" s="67"/>
      <c r="O298" s="67"/>
      <c r="P298" s="67"/>
      <c r="Q298" s="67"/>
      <c r="R298" s="67"/>
      <c r="S298" s="67"/>
      <c r="T298" s="67"/>
      <c r="U298" s="67"/>
      <c r="V298" s="67"/>
      <c r="W298" s="67"/>
      <c r="X298" s="67"/>
      <c r="Y298" s="67"/>
      <c r="Z298" s="67"/>
    </row>
    <row r="299">
      <c r="A299" s="136"/>
      <c r="B299" s="131"/>
      <c r="C299" s="131"/>
      <c r="D299" s="131"/>
      <c r="E299" s="130"/>
      <c r="F299" s="67"/>
      <c r="G299" s="67"/>
      <c r="H299" s="67"/>
      <c r="I299" s="67"/>
      <c r="J299" s="67"/>
      <c r="K299" s="67"/>
      <c r="L299" s="67"/>
      <c r="M299" s="67"/>
      <c r="N299" s="67"/>
      <c r="O299" s="67"/>
      <c r="P299" s="67"/>
      <c r="Q299" s="67"/>
      <c r="R299" s="67"/>
      <c r="S299" s="67"/>
      <c r="T299" s="67"/>
      <c r="U299" s="67"/>
      <c r="V299" s="67"/>
      <c r="W299" s="67"/>
      <c r="X299" s="67"/>
      <c r="Y299" s="67"/>
      <c r="Z299" s="67"/>
    </row>
    <row r="300">
      <c r="A300" s="135"/>
      <c r="B300" s="125"/>
      <c r="C300" s="125"/>
      <c r="D300" s="125"/>
      <c r="E300" s="126"/>
      <c r="F300" s="67"/>
      <c r="G300" s="67"/>
      <c r="H300" s="67"/>
      <c r="I300" s="67"/>
      <c r="J300" s="67"/>
      <c r="K300" s="67"/>
      <c r="L300" s="67"/>
      <c r="M300" s="67"/>
      <c r="N300" s="67"/>
      <c r="O300" s="67"/>
      <c r="P300" s="67"/>
      <c r="Q300" s="67"/>
      <c r="R300" s="67"/>
      <c r="S300" s="67"/>
      <c r="T300" s="67"/>
      <c r="U300" s="67"/>
      <c r="V300" s="67"/>
      <c r="W300" s="67"/>
      <c r="X300" s="67"/>
      <c r="Y300" s="67"/>
      <c r="Z300" s="67"/>
    </row>
    <row r="301">
      <c r="A301" s="136"/>
      <c r="B301" s="131"/>
      <c r="C301" s="131"/>
      <c r="D301" s="131"/>
      <c r="E301" s="130"/>
      <c r="F301" s="67"/>
      <c r="G301" s="67"/>
      <c r="H301" s="67"/>
      <c r="I301" s="67"/>
      <c r="J301" s="67"/>
      <c r="K301" s="67"/>
      <c r="L301" s="67"/>
      <c r="M301" s="67"/>
      <c r="N301" s="67"/>
      <c r="O301" s="67"/>
      <c r="P301" s="67"/>
      <c r="Q301" s="67"/>
      <c r="R301" s="67"/>
      <c r="S301" s="67"/>
      <c r="T301" s="67"/>
      <c r="U301" s="67"/>
      <c r="V301" s="67"/>
      <c r="W301" s="67"/>
      <c r="X301" s="67"/>
      <c r="Y301" s="67"/>
      <c r="Z301" s="67"/>
    </row>
    <row r="302">
      <c r="A302" s="135"/>
      <c r="B302" s="125"/>
      <c r="C302" s="125"/>
      <c r="D302" s="125"/>
      <c r="E302" s="126"/>
      <c r="F302" s="67"/>
      <c r="G302" s="67"/>
      <c r="H302" s="67"/>
      <c r="I302" s="67"/>
      <c r="J302" s="67"/>
      <c r="K302" s="67"/>
      <c r="L302" s="67"/>
      <c r="M302" s="67"/>
      <c r="N302" s="67"/>
      <c r="O302" s="67"/>
      <c r="P302" s="67"/>
      <c r="Q302" s="67"/>
      <c r="R302" s="67"/>
      <c r="S302" s="67"/>
      <c r="T302" s="67"/>
      <c r="U302" s="67"/>
      <c r="V302" s="67"/>
      <c r="W302" s="67"/>
      <c r="X302" s="67"/>
      <c r="Y302" s="67"/>
      <c r="Z302" s="67"/>
    </row>
    <row r="303">
      <c r="A303" s="136"/>
      <c r="B303" s="131"/>
      <c r="C303" s="131"/>
      <c r="D303" s="131"/>
      <c r="E303" s="130"/>
      <c r="F303" s="67"/>
      <c r="G303" s="67"/>
      <c r="H303" s="67"/>
      <c r="I303" s="67"/>
      <c r="J303" s="67"/>
      <c r="K303" s="67"/>
      <c r="L303" s="67"/>
      <c r="M303" s="67"/>
      <c r="N303" s="67"/>
      <c r="O303" s="67"/>
      <c r="P303" s="67"/>
      <c r="Q303" s="67"/>
      <c r="R303" s="67"/>
      <c r="S303" s="67"/>
      <c r="T303" s="67"/>
      <c r="U303" s="67"/>
      <c r="V303" s="67"/>
      <c r="W303" s="67"/>
      <c r="X303" s="67"/>
      <c r="Y303" s="67"/>
      <c r="Z303" s="67"/>
    </row>
    <row r="304">
      <c r="A304" s="135"/>
      <c r="B304" s="125"/>
      <c r="C304" s="125"/>
      <c r="D304" s="125"/>
      <c r="E304" s="126"/>
      <c r="F304" s="67"/>
      <c r="G304" s="67"/>
      <c r="H304" s="67"/>
      <c r="I304" s="67"/>
      <c r="J304" s="67"/>
      <c r="K304" s="67"/>
      <c r="L304" s="67"/>
      <c r="M304" s="67"/>
      <c r="N304" s="67"/>
      <c r="O304" s="67"/>
      <c r="P304" s="67"/>
      <c r="Q304" s="67"/>
      <c r="R304" s="67"/>
      <c r="S304" s="67"/>
      <c r="T304" s="67"/>
      <c r="U304" s="67"/>
      <c r="V304" s="67"/>
      <c r="W304" s="67"/>
      <c r="X304" s="67"/>
      <c r="Y304" s="67"/>
      <c r="Z304" s="67"/>
    </row>
    <row r="305">
      <c r="A305" s="136"/>
      <c r="B305" s="131"/>
      <c r="C305" s="131"/>
      <c r="D305" s="131"/>
      <c r="E305" s="130"/>
      <c r="F305" s="67"/>
      <c r="G305" s="67"/>
      <c r="H305" s="67"/>
      <c r="I305" s="67"/>
      <c r="J305" s="67"/>
      <c r="K305" s="67"/>
      <c r="L305" s="67"/>
      <c r="M305" s="67"/>
      <c r="N305" s="67"/>
      <c r="O305" s="67"/>
      <c r="P305" s="67"/>
      <c r="Q305" s="67"/>
      <c r="R305" s="67"/>
      <c r="S305" s="67"/>
      <c r="T305" s="67"/>
      <c r="U305" s="67"/>
      <c r="V305" s="67"/>
      <c r="W305" s="67"/>
      <c r="X305" s="67"/>
      <c r="Y305" s="67"/>
      <c r="Z305" s="67"/>
    </row>
    <row r="306">
      <c r="A306" s="135"/>
      <c r="B306" s="125"/>
      <c r="C306" s="125"/>
      <c r="D306" s="125"/>
      <c r="E306" s="126"/>
      <c r="F306" s="67"/>
      <c r="G306" s="67"/>
      <c r="H306" s="67"/>
      <c r="I306" s="67"/>
      <c r="J306" s="67"/>
      <c r="K306" s="67"/>
      <c r="L306" s="67"/>
      <c r="M306" s="67"/>
      <c r="N306" s="67"/>
      <c r="O306" s="67"/>
      <c r="P306" s="67"/>
      <c r="Q306" s="67"/>
      <c r="R306" s="67"/>
      <c r="S306" s="67"/>
      <c r="T306" s="67"/>
      <c r="U306" s="67"/>
      <c r="V306" s="67"/>
      <c r="W306" s="67"/>
      <c r="X306" s="67"/>
      <c r="Y306" s="67"/>
      <c r="Z306" s="67"/>
    </row>
    <row r="307">
      <c r="A307" s="136"/>
      <c r="B307" s="131"/>
      <c r="C307" s="131"/>
      <c r="D307" s="131"/>
      <c r="E307" s="130"/>
      <c r="F307" s="67"/>
      <c r="G307" s="67"/>
      <c r="H307" s="67"/>
      <c r="I307" s="67"/>
      <c r="J307" s="67"/>
      <c r="K307" s="67"/>
      <c r="L307" s="67"/>
      <c r="M307" s="67"/>
      <c r="N307" s="67"/>
      <c r="O307" s="67"/>
      <c r="P307" s="67"/>
      <c r="Q307" s="67"/>
      <c r="R307" s="67"/>
      <c r="S307" s="67"/>
      <c r="T307" s="67"/>
      <c r="U307" s="67"/>
      <c r="V307" s="67"/>
      <c r="W307" s="67"/>
      <c r="X307" s="67"/>
      <c r="Y307" s="67"/>
      <c r="Z307" s="67"/>
    </row>
    <row r="308">
      <c r="A308" s="135"/>
      <c r="B308" s="125"/>
      <c r="C308" s="125"/>
      <c r="D308" s="125"/>
      <c r="E308" s="126"/>
      <c r="F308" s="67"/>
      <c r="G308" s="67"/>
      <c r="H308" s="67"/>
      <c r="I308" s="67"/>
      <c r="J308" s="67"/>
      <c r="K308" s="67"/>
      <c r="L308" s="67"/>
      <c r="M308" s="67"/>
      <c r="N308" s="67"/>
      <c r="O308" s="67"/>
      <c r="P308" s="67"/>
      <c r="Q308" s="67"/>
      <c r="R308" s="67"/>
      <c r="S308" s="67"/>
      <c r="T308" s="67"/>
      <c r="U308" s="67"/>
      <c r="V308" s="67"/>
      <c r="W308" s="67"/>
      <c r="X308" s="67"/>
      <c r="Y308" s="67"/>
      <c r="Z308" s="67"/>
    </row>
    <row r="309">
      <c r="A309" s="136"/>
      <c r="B309" s="131"/>
      <c r="C309" s="131"/>
      <c r="D309" s="131"/>
      <c r="E309" s="130"/>
      <c r="F309" s="67"/>
      <c r="G309" s="67"/>
      <c r="H309" s="67"/>
      <c r="I309" s="67"/>
      <c r="J309" s="67"/>
      <c r="K309" s="67"/>
      <c r="L309" s="67"/>
      <c r="M309" s="67"/>
      <c r="N309" s="67"/>
      <c r="O309" s="67"/>
      <c r="P309" s="67"/>
      <c r="Q309" s="67"/>
      <c r="R309" s="67"/>
      <c r="S309" s="67"/>
      <c r="T309" s="67"/>
      <c r="U309" s="67"/>
      <c r="V309" s="67"/>
      <c r="W309" s="67"/>
      <c r="X309" s="67"/>
      <c r="Y309" s="67"/>
      <c r="Z309" s="67"/>
    </row>
    <row r="310">
      <c r="A310" s="135"/>
      <c r="B310" s="125"/>
      <c r="C310" s="125"/>
      <c r="D310" s="125"/>
      <c r="E310" s="126"/>
      <c r="F310" s="67"/>
      <c r="G310" s="67"/>
      <c r="H310" s="67"/>
      <c r="I310" s="67"/>
      <c r="J310" s="67"/>
      <c r="K310" s="67"/>
      <c r="L310" s="67"/>
      <c r="M310" s="67"/>
      <c r="N310" s="67"/>
      <c r="O310" s="67"/>
      <c r="P310" s="67"/>
      <c r="Q310" s="67"/>
      <c r="R310" s="67"/>
      <c r="S310" s="67"/>
      <c r="T310" s="67"/>
      <c r="U310" s="67"/>
      <c r="V310" s="67"/>
      <c r="W310" s="67"/>
      <c r="X310" s="67"/>
      <c r="Y310" s="67"/>
      <c r="Z310" s="67"/>
    </row>
    <row r="311">
      <c r="A311" s="136"/>
      <c r="B311" s="131"/>
      <c r="C311" s="131"/>
      <c r="D311" s="131"/>
      <c r="E311" s="130"/>
      <c r="F311" s="67"/>
      <c r="G311" s="67"/>
      <c r="H311" s="67"/>
      <c r="I311" s="67"/>
      <c r="J311" s="67"/>
      <c r="K311" s="67"/>
      <c r="L311" s="67"/>
      <c r="M311" s="67"/>
      <c r="N311" s="67"/>
      <c r="O311" s="67"/>
      <c r="P311" s="67"/>
      <c r="Q311" s="67"/>
      <c r="R311" s="67"/>
      <c r="S311" s="67"/>
      <c r="T311" s="67"/>
      <c r="U311" s="67"/>
      <c r="V311" s="67"/>
      <c r="W311" s="67"/>
      <c r="X311" s="67"/>
      <c r="Y311" s="67"/>
      <c r="Z311" s="67"/>
    </row>
    <row r="312">
      <c r="A312" s="135"/>
      <c r="B312" s="125"/>
      <c r="C312" s="125"/>
      <c r="D312" s="125"/>
      <c r="E312" s="126"/>
      <c r="F312" s="67"/>
      <c r="G312" s="67"/>
      <c r="H312" s="67"/>
      <c r="I312" s="67"/>
      <c r="J312" s="67"/>
      <c r="K312" s="67"/>
      <c r="L312" s="67"/>
      <c r="M312" s="67"/>
      <c r="N312" s="67"/>
      <c r="O312" s="67"/>
      <c r="P312" s="67"/>
      <c r="Q312" s="67"/>
      <c r="R312" s="67"/>
      <c r="S312" s="67"/>
      <c r="T312" s="67"/>
      <c r="U312" s="67"/>
      <c r="V312" s="67"/>
      <c r="W312" s="67"/>
      <c r="X312" s="67"/>
      <c r="Y312" s="67"/>
      <c r="Z312" s="67"/>
    </row>
    <row r="313">
      <c r="A313" s="136"/>
      <c r="B313" s="131"/>
      <c r="C313" s="131"/>
      <c r="D313" s="131"/>
      <c r="E313" s="130"/>
      <c r="F313" s="67"/>
      <c r="G313" s="67"/>
      <c r="H313" s="67"/>
      <c r="I313" s="67"/>
      <c r="J313" s="67"/>
      <c r="K313" s="67"/>
      <c r="L313" s="67"/>
      <c r="M313" s="67"/>
      <c r="N313" s="67"/>
      <c r="O313" s="67"/>
      <c r="P313" s="67"/>
      <c r="Q313" s="67"/>
      <c r="R313" s="67"/>
      <c r="S313" s="67"/>
      <c r="T313" s="67"/>
      <c r="U313" s="67"/>
      <c r="V313" s="67"/>
      <c r="W313" s="67"/>
      <c r="X313" s="67"/>
      <c r="Y313" s="67"/>
      <c r="Z313" s="67"/>
    </row>
    <row r="314">
      <c r="A314" s="135"/>
      <c r="B314" s="125"/>
      <c r="C314" s="125"/>
      <c r="D314" s="125"/>
      <c r="E314" s="126"/>
      <c r="F314" s="67"/>
      <c r="G314" s="67"/>
      <c r="H314" s="67"/>
      <c r="I314" s="67"/>
      <c r="J314" s="67"/>
      <c r="K314" s="67"/>
      <c r="L314" s="67"/>
      <c r="M314" s="67"/>
      <c r="N314" s="67"/>
      <c r="O314" s="67"/>
      <c r="P314" s="67"/>
      <c r="Q314" s="67"/>
      <c r="R314" s="67"/>
      <c r="S314" s="67"/>
      <c r="T314" s="67"/>
      <c r="U314" s="67"/>
      <c r="V314" s="67"/>
      <c r="W314" s="67"/>
      <c r="X314" s="67"/>
      <c r="Y314" s="67"/>
      <c r="Z314" s="67"/>
    </row>
    <row r="315">
      <c r="A315" s="136"/>
      <c r="B315" s="131"/>
      <c r="C315" s="131"/>
      <c r="D315" s="131"/>
      <c r="E315" s="130"/>
      <c r="F315" s="67"/>
      <c r="G315" s="67"/>
      <c r="H315" s="67"/>
      <c r="I315" s="67"/>
      <c r="J315" s="67"/>
      <c r="K315" s="67"/>
      <c r="L315" s="67"/>
      <c r="M315" s="67"/>
      <c r="N315" s="67"/>
      <c r="O315" s="67"/>
      <c r="P315" s="67"/>
      <c r="Q315" s="67"/>
      <c r="R315" s="67"/>
      <c r="S315" s="67"/>
      <c r="T315" s="67"/>
      <c r="U315" s="67"/>
      <c r="V315" s="67"/>
      <c r="W315" s="67"/>
      <c r="X315" s="67"/>
      <c r="Y315" s="67"/>
      <c r="Z315" s="67"/>
    </row>
    <row r="316">
      <c r="A316" s="135"/>
      <c r="B316" s="125"/>
      <c r="C316" s="125"/>
      <c r="D316" s="125"/>
      <c r="E316" s="126"/>
      <c r="F316" s="67"/>
      <c r="G316" s="67"/>
      <c r="H316" s="67"/>
      <c r="I316" s="67"/>
      <c r="J316" s="67"/>
      <c r="K316" s="67"/>
      <c r="L316" s="67"/>
      <c r="M316" s="67"/>
      <c r="N316" s="67"/>
      <c r="O316" s="67"/>
      <c r="P316" s="67"/>
      <c r="Q316" s="67"/>
      <c r="R316" s="67"/>
      <c r="S316" s="67"/>
      <c r="T316" s="67"/>
      <c r="U316" s="67"/>
      <c r="V316" s="67"/>
      <c r="W316" s="67"/>
      <c r="X316" s="67"/>
      <c r="Y316" s="67"/>
      <c r="Z316" s="67"/>
    </row>
    <row r="317">
      <c r="A317" s="136"/>
      <c r="B317" s="131"/>
      <c r="C317" s="131"/>
      <c r="D317" s="131"/>
      <c r="E317" s="130"/>
      <c r="F317" s="67"/>
      <c r="G317" s="67"/>
      <c r="H317" s="67"/>
      <c r="I317" s="67"/>
      <c r="J317" s="67"/>
      <c r="K317" s="67"/>
      <c r="L317" s="67"/>
      <c r="M317" s="67"/>
      <c r="N317" s="67"/>
      <c r="O317" s="67"/>
      <c r="P317" s="67"/>
      <c r="Q317" s="67"/>
      <c r="R317" s="67"/>
      <c r="S317" s="67"/>
      <c r="T317" s="67"/>
      <c r="U317" s="67"/>
      <c r="V317" s="67"/>
      <c r="W317" s="67"/>
      <c r="X317" s="67"/>
      <c r="Y317" s="67"/>
      <c r="Z317" s="67"/>
    </row>
    <row r="318">
      <c r="A318" s="135"/>
      <c r="B318" s="125"/>
      <c r="C318" s="125"/>
      <c r="D318" s="125"/>
      <c r="E318" s="126"/>
      <c r="F318" s="67"/>
      <c r="G318" s="67"/>
      <c r="H318" s="67"/>
      <c r="I318" s="67"/>
      <c r="J318" s="67"/>
      <c r="K318" s="67"/>
      <c r="L318" s="67"/>
      <c r="M318" s="67"/>
      <c r="N318" s="67"/>
      <c r="O318" s="67"/>
      <c r="P318" s="67"/>
      <c r="Q318" s="67"/>
      <c r="R318" s="67"/>
      <c r="S318" s="67"/>
      <c r="T318" s="67"/>
      <c r="U318" s="67"/>
      <c r="V318" s="67"/>
      <c r="W318" s="67"/>
      <c r="X318" s="67"/>
      <c r="Y318" s="67"/>
      <c r="Z318" s="67"/>
    </row>
    <row r="319">
      <c r="A319" s="136"/>
      <c r="B319" s="131"/>
      <c r="C319" s="131"/>
      <c r="D319" s="131"/>
      <c r="E319" s="130"/>
      <c r="F319" s="67"/>
      <c r="G319" s="67"/>
      <c r="H319" s="67"/>
      <c r="I319" s="67"/>
      <c r="J319" s="67"/>
      <c r="K319" s="67"/>
      <c r="L319" s="67"/>
      <c r="M319" s="67"/>
      <c r="N319" s="67"/>
      <c r="O319" s="67"/>
      <c r="P319" s="67"/>
      <c r="Q319" s="67"/>
      <c r="R319" s="67"/>
      <c r="S319" s="67"/>
      <c r="T319" s="67"/>
      <c r="U319" s="67"/>
      <c r="V319" s="67"/>
      <c r="W319" s="67"/>
      <c r="X319" s="67"/>
      <c r="Y319" s="67"/>
      <c r="Z319" s="67"/>
    </row>
    <row r="320">
      <c r="A320" s="135"/>
      <c r="B320" s="125"/>
      <c r="C320" s="125"/>
      <c r="D320" s="125"/>
      <c r="E320" s="126"/>
      <c r="F320" s="67"/>
      <c r="G320" s="67"/>
      <c r="H320" s="67"/>
      <c r="I320" s="67"/>
      <c r="J320" s="67"/>
      <c r="K320" s="67"/>
      <c r="L320" s="67"/>
      <c r="M320" s="67"/>
      <c r="N320" s="67"/>
      <c r="O320" s="67"/>
      <c r="P320" s="67"/>
      <c r="Q320" s="67"/>
      <c r="R320" s="67"/>
      <c r="S320" s="67"/>
      <c r="T320" s="67"/>
      <c r="U320" s="67"/>
      <c r="V320" s="67"/>
      <c r="W320" s="67"/>
      <c r="X320" s="67"/>
      <c r="Y320" s="67"/>
      <c r="Z320" s="67"/>
    </row>
    <row r="321">
      <c r="A321" s="136"/>
      <c r="B321" s="131"/>
      <c r="C321" s="131"/>
      <c r="D321" s="131"/>
      <c r="E321" s="130"/>
      <c r="F321" s="67"/>
      <c r="G321" s="67"/>
      <c r="H321" s="67"/>
      <c r="I321" s="67"/>
      <c r="J321" s="67"/>
      <c r="K321" s="67"/>
      <c r="L321" s="67"/>
      <c r="M321" s="67"/>
      <c r="N321" s="67"/>
      <c r="O321" s="67"/>
      <c r="P321" s="67"/>
      <c r="Q321" s="67"/>
      <c r="R321" s="67"/>
      <c r="S321" s="67"/>
      <c r="T321" s="67"/>
      <c r="U321" s="67"/>
      <c r="V321" s="67"/>
      <c r="W321" s="67"/>
      <c r="X321" s="67"/>
      <c r="Y321" s="67"/>
      <c r="Z321" s="67"/>
    </row>
    <row r="322">
      <c r="A322" s="135"/>
      <c r="B322" s="125"/>
      <c r="C322" s="125"/>
      <c r="D322" s="125"/>
      <c r="E322" s="126"/>
      <c r="F322" s="67"/>
      <c r="G322" s="67"/>
      <c r="H322" s="67"/>
      <c r="I322" s="67"/>
      <c r="J322" s="67"/>
      <c r="K322" s="67"/>
      <c r="L322" s="67"/>
      <c r="M322" s="67"/>
      <c r="N322" s="67"/>
      <c r="O322" s="67"/>
      <c r="P322" s="67"/>
      <c r="Q322" s="67"/>
      <c r="R322" s="67"/>
      <c r="S322" s="67"/>
      <c r="T322" s="67"/>
      <c r="U322" s="67"/>
      <c r="V322" s="67"/>
      <c r="W322" s="67"/>
      <c r="X322" s="67"/>
      <c r="Y322" s="67"/>
      <c r="Z322" s="67"/>
    </row>
    <row r="323">
      <c r="A323" s="136"/>
      <c r="B323" s="131"/>
      <c r="C323" s="131"/>
      <c r="D323" s="131"/>
      <c r="E323" s="130"/>
      <c r="F323" s="67"/>
      <c r="G323" s="67"/>
      <c r="H323" s="67"/>
      <c r="I323" s="67"/>
      <c r="J323" s="67"/>
      <c r="K323" s="67"/>
      <c r="L323" s="67"/>
      <c r="M323" s="67"/>
      <c r="N323" s="67"/>
      <c r="O323" s="67"/>
      <c r="P323" s="67"/>
      <c r="Q323" s="67"/>
      <c r="R323" s="67"/>
      <c r="S323" s="67"/>
      <c r="T323" s="67"/>
      <c r="U323" s="67"/>
      <c r="V323" s="67"/>
      <c r="W323" s="67"/>
      <c r="X323" s="67"/>
      <c r="Y323" s="67"/>
      <c r="Z323" s="67"/>
    </row>
    <row r="324">
      <c r="A324" s="135"/>
      <c r="B324" s="125"/>
      <c r="C324" s="125"/>
      <c r="D324" s="125"/>
      <c r="E324" s="126"/>
      <c r="F324" s="67"/>
      <c r="G324" s="67"/>
      <c r="H324" s="67"/>
      <c r="I324" s="67"/>
      <c r="J324" s="67"/>
      <c r="K324" s="67"/>
      <c r="L324" s="67"/>
      <c r="M324" s="67"/>
      <c r="N324" s="67"/>
      <c r="O324" s="67"/>
      <c r="P324" s="67"/>
      <c r="Q324" s="67"/>
      <c r="R324" s="67"/>
      <c r="S324" s="67"/>
      <c r="T324" s="67"/>
      <c r="U324" s="67"/>
      <c r="V324" s="67"/>
      <c r="W324" s="67"/>
      <c r="X324" s="67"/>
      <c r="Y324" s="67"/>
      <c r="Z324" s="67"/>
    </row>
    <row r="325">
      <c r="A325" s="136"/>
      <c r="B325" s="131"/>
      <c r="C325" s="131"/>
      <c r="D325" s="131"/>
      <c r="E325" s="130"/>
      <c r="F325" s="67"/>
      <c r="G325" s="67"/>
      <c r="H325" s="67"/>
      <c r="I325" s="67"/>
      <c r="J325" s="67"/>
      <c r="K325" s="67"/>
      <c r="L325" s="67"/>
      <c r="M325" s="67"/>
      <c r="N325" s="67"/>
      <c r="O325" s="67"/>
      <c r="P325" s="67"/>
      <c r="Q325" s="67"/>
      <c r="R325" s="67"/>
      <c r="S325" s="67"/>
      <c r="T325" s="67"/>
      <c r="U325" s="67"/>
      <c r="V325" s="67"/>
      <c r="W325" s="67"/>
      <c r="X325" s="67"/>
      <c r="Y325" s="67"/>
      <c r="Z325" s="67"/>
    </row>
    <row r="326">
      <c r="A326" s="135"/>
      <c r="B326" s="125"/>
      <c r="C326" s="125"/>
      <c r="D326" s="125"/>
      <c r="E326" s="126"/>
      <c r="F326" s="67"/>
      <c r="G326" s="67"/>
      <c r="H326" s="67"/>
      <c r="I326" s="67"/>
      <c r="J326" s="67"/>
      <c r="K326" s="67"/>
      <c r="L326" s="67"/>
      <c r="M326" s="67"/>
      <c r="N326" s="67"/>
      <c r="O326" s="67"/>
      <c r="P326" s="67"/>
      <c r="Q326" s="67"/>
      <c r="R326" s="67"/>
      <c r="S326" s="67"/>
      <c r="T326" s="67"/>
      <c r="U326" s="67"/>
      <c r="V326" s="67"/>
      <c r="W326" s="67"/>
      <c r="X326" s="67"/>
      <c r="Y326" s="67"/>
      <c r="Z326" s="67"/>
    </row>
    <row r="327">
      <c r="A327" s="136"/>
      <c r="B327" s="131"/>
      <c r="C327" s="131"/>
      <c r="D327" s="131"/>
      <c r="E327" s="130"/>
      <c r="F327" s="67"/>
      <c r="G327" s="67"/>
      <c r="H327" s="67"/>
      <c r="I327" s="67"/>
      <c r="J327" s="67"/>
      <c r="K327" s="67"/>
      <c r="L327" s="67"/>
      <c r="M327" s="67"/>
      <c r="N327" s="67"/>
      <c r="O327" s="67"/>
      <c r="P327" s="67"/>
      <c r="Q327" s="67"/>
      <c r="R327" s="67"/>
      <c r="S327" s="67"/>
      <c r="T327" s="67"/>
      <c r="U327" s="67"/>
      <c r="V327" s="67"/>
      <c r="W327" s="67"/>
      <c r="X327" s="67"/>
      <c r="Y327" s="67"/>
      <c r="Z327" s="67"/>
    </row>
    <row r="328">
      <c r="A328" s="135"/>
      <c r="B328" s="125"/>
      <c r="C328" s="125"/>
      <c r="D328" s="125"/>
      <c r="E328" s="126"/>
      <c r="F328" s="67"/>
      <c r="G328" s="67"/>
      <c r="H328" s="67"/>
      <c r="I328" s="67"/>
      <c r="J328" s="67"/>
      <c r="K328" s="67"/>
      <c r="L328" s="67"/>
      <c r="M328" s="67"/>
      <c r="N328" s="67"/>
      <c r="O328" s="67"/>
      <c r="P328" s="67"/>
      <c r="Q328" s="67"/>
      <c r="R328" s="67"/>
      <c r="S328" s="67"/>
      <c r="T328" s="67"/>
      <c r="U328" s="67"/>
      <c r="V328" s="67"/>
      <c r="W328" s="67"/>
      <c r="X328" s="67"/>
      <c r="Y328" s="67"/>
      <c r="Z328" s="67"/>
    </row>
    <row r="329">
      <c r="A329" s="136"/>
      <c r="B329" s="131"/>
      <c r="C329" s="131"/>
      <c r="D329" s="131"/>
      <c r="E329" s="130"/>
      <c r="F329" s="67"/>
      <c r="G329" s="67"/>
      <c r="H329" s="67"/>
      <c r="I329" s="67"/>
      <c r="J329" s="67"/>
      <c r="K329" s="67"/>
      <c r="L329" s="67"/>
      <c r="M329" s="67"/>
      <c r="N329" s="67"/>
      <c r="O329" s="67"/>
      <c r="P329" s="67"/>
      <c r="Q329" s="67"/>
      <c r="R329" s="67"/>
      <c r="S329" s="67"/>
      <c r="T329" s="67"/>
      <c r="U329" s="67"/>
      <c r="V329" s="67"/>
      <c r="W329" s="67"/>
      <c r="X329" s="67"/>
      <c r="Y329" s="67"/>
      <c r="Z329" s="67"/>
    </row>
    <row r="330">
      <c r="A330" s="135"/>
      <c r="B330" s="125"/>
      <c r="C330" s="125"/>
      <c r="D330" s="125"/>
      <c r="E330" s="126"/>
      <c r="F330" s="67"/>
      <c r="G330" s="67"/>
      <c r="H330" s="67"/>
      <c r="I330" s="67"/>
      <c r="J330" s="67"/>
      <c r="K330" s="67"/>
      <c r="L330" s="67"/>
      <c r="M330" s="67"/>
      <c r="N330" s="67"/>
      <c r="O330" s="67"/>
      <c r="P330" s="67"/>
      <c r="Q330" s="67"/>
      <c r="R330" s="67"/>
      <c r="S330" s="67"/>
      <c r="T330" s="67"/>
      <c r="U330" s="67"/>
      <c r="V330" s="67"/>
      <c r="W330" s="67"/>
      <c r="X330" s="67"/>
      <c r="Y330" s="67"/>
      <c r="Z330" s="67"/>
    </row>
    <row r="331">
      <c r="A331" s="136"/>
      <c r="B331" s="131"/>
      <c r="C331" s="131"/>
      <c r="D331" s="131"/>
      <c r="E331" s="130"/>
      <c r="F331" s="67"/>
      <c r="G331" s="67"/>
      <c r="H331" s="67"/>
      <c r="I331" s="67"/>
      <c r="J331" s="67"/>
      <c r="K331" s="67"/>
      <c r="L331" s="67"/>
      <c r="M331" s="67"/>
      <c r="N331" s="67"/>
      <c r="O331" s="67"/>
      <c r="P331" s="67"/>
      <c r="Q331" s="67"/>
      <c r="R331" s="67"/>
      <c r="S331" s="67"/>
      <c r="T331" s="67"/>
      <c r="U331" s="67"/>
      <c r="V331" s="67"/>
      <c r="W331" s="67"/>
      <c r="X331" s="67"/>
      <c r="Y331" s="67"/>
      <c r="Z331" s="67"/>
    </row>
    <row r="332">
      <c r="A332" s="135"/>
      <c r="B332" s="125"/>
      <c r="C332" s="125"/>
      <c r="D332" s="125"/>
      <c r="E332" s="126"/>
      <c r="F332" s="67"/>
      <c r="G332" s="67"/>
      <c r="H332" s="67"/>
      <c r="I332" s="67"/>
      <c r="J332" s="67"/>
      <c r="K332" s="67"/>
      <c r="L332" s="67"/>
      <c r="M332" s="67"/>
      <c r="N332" s="67"/>
      <c r="O332" s="67"/>
      <c r="P332" s="67"/>
      <c r="Q332" s="67"/>
      <c r="R332" s="67"/>
      <c r="S332" s="67"/>
      <c r="T332" s="67"/>
      <c r="U332" s="67"/>
      <c r="V332" s="67"/>
      <c r="W332" s="67"/>
      <c r="X332" s="67"/>
      <c r="Y332" s="67"/>
      <c r="Z332" s="67"/>
    </row>
    <row r="333">
      <c r="A333" s="136"/>
      <c r="B333" s="131"/>
      <c r="C333" s="131"/>
      <c r="D333" s="131"/>
      <c r="E333" s="130"/>
      <c r="F333" s="67"/>
      <c r="G333" s="67"/>
      <c r="H333" s="67"/>
      <c r="I333" s="67"/>
      <c r="J333" s="67"/>
      <c r="K333" s="67"/>
      <c r="L333" s="67"/>
      <c r="M333" s="67"/>
      <c r="N333" s="67"/>
      <c r="O333" s="67"/>
      <c r="P333" s="67"/>
      <c r="Q333" s="67"/>
      <c r="R333" s="67"/>
      <c r="S333" s="67"/>
      <c r="T333" s="67"/>
      <c r="U333" s="67"/>
      <c r="V333" s="67"/>
      <c r="W333" s="67"/>
      <c r="X333" s="67"/>
      <c r="Y333" s="67"/>
      <c r="Z333" s="67"/>
    </row>
    <row r="334">
      <c r="A334" s="135"/>
      <c r="B334" s="125"/>
      <c r="C334" s="125"/>
      <c r="D334" s="125"/>
      <c r="E334" s="126"/>
      <c r="F334" s="67"/>
      <c r="G334" s="67"/>
      <c r="H334" s="67"/>
      <c r="I334" s="67"/>
      <c r="J334" s="67"/>
      <c r="K334" s="67"/>
      <c r="L334" s="67"/>
      <c r="M334" s="67"/>
      <c r="N334" s="67"/>
      <c r="O334" s="67"/>
      <c r="P334" s="67"/>
      <c r="Q334" s="67"/>
      <c r="R334" s="67"/>
      <c r="S334" s="67"/>
      <c r="T334" s="67"/>
      <c r="U334" s="67"/>
      <c r="V334" s="67"/>
      <c r="W334" s="67"/>
      <c r="X334" s="67"/>
      <c r="Y334" s="67"/>
      <c r="Z334" s="67"/>
    </row>
    <row r="335">
      <c r="A335" s="136"/>
      <c r="B335" s="131"/>
      <c r="C335" s="131"/>
      <c r="D335" s="131"/>
      <c r="E335" s="130"/>
      <c r="F335" s="67"/>
      <c r="G335" s="67"/>
      <c r="H335" s="67"/>
      <c r="I335" s="67"/>
      <c r="J335" s="67"/>
      <c r="K335" s="67"/>
      <c r="L335" s="67"/>
      <c r="M335" s="67"/>
      <c r="N335" s="67"/>
      <c r="O335" s="67"/>
      <c r="P335" s="67"/>
      <c r="Q335" s="67"/>
      <c r="R335" s="67"/>
      <c r="S335" s="67"/>
      <c r="T335" s="67"/>
      <c r="U335" s="67"/>
      <c r="V335" s="67"/>
      <c r="W335" s="67"/>
      <c r="X335" s="67"/>
      <c r="Y335" s="67"/>
      <c r="Z335" s="67"/>
    </row>
    <row r="336">
      <c r="A336" s="135"/>
      <c r="B336" s="125"/>
      <c r="C336" s="125"/>
      <c r="D336" s="125"/>
      <c r="E336" s="126"/>
      <c r="F336" s="67"/>
      <c r="G336" s="67"/>
      <c r="H336" s="67"/>
      <c r="I336" s="67"/>
      <c r="J336" s="67"/>
      <c r="K336" s="67"/>
      <c r="L336" s="67"/>
      <c r="M336" s="67"/>
      <c r="N336" s="67"/>
      <c r="O336" s="67"/>
      <c r="P336" s="67"/>
      <c r="Q336" s="67"/>
      <c r="R336" s="67"/>
      <c r="S336" s="67"/>
      <c r="T336" s="67"/>
      <c r="U336" s="67"/>
      <c r="V336" s="67"/>
      <c r="W336" s="67"/>
      <c r="X336" s="67"/>
      <c r="Y336" s="67"/>
      <c r="Z336" s="67"/>
    </row>
    <row r="337">
      <c r="A337" s="136"/>
      <c r="B337" s="131"/>
      <c r="C337" s="131"/>
      <c r="D337" s="131"/>
      <c r="E337" s="130"/>
      <c r="F337" s="67"/>
      <c r="G337" s="67"/>
      <c r="H337" s="67"/>
      <c r="I337" s="67"/>
      <c r="J337" s="67"/>
      <c r="K337" s="67"/>
      <c r="L337" s="67"/>
      <c r="M337" s="67"/>
      <c r="N337" s="67"/>
      <c r="O337" s="67"/>
      <c r="P337" s="67"/>
      <c r="Q337" s="67"/>
      <c r="R337" s="67"/>
      <c r="S337" s="67"/>
      <c r="T337" s="67"/>
      <c r="U337" s="67"/>
      <c r="V337" s="67"/>
      <c r="W337" s="67"/>
      <c r="X337" s="67"/>
      <c r="Y337" s="67"/>
      <c r="Z337" s="67"/>
    </row>
    <row r="338">
      <c r="A338" s="135"/>
      <c r="B338" s="125"/>
      <c r="C338" s="125"/>
      <c r="D338" s="125"/>
      <c r="E338" s="126"/>
      <c r="F338" s="67"/>
      <c r="G338" s="67"/>
      <c r="H338" s="67"/>
      <c r="I338" s="67"/>
      <c r="J338" s="67"/>
      <c r="K338" s="67"/>
      <c r="L338" s="67"/>
      <c r="M338" s="67"/>
      <c r="N338" s="67"/>
      <c r="O338" s="67"/>
      <c r="P338" s="67"/>
      <c r="Q338" s="67"/>
      <c r="R338" s="67"/>
      <c r="S338" s="67"/>
      <c r="T338" s="67"/>
      <c r="U338" s="67"/>
      <c r="V338" s="67"/>
      <c r="W338" s="67"/>
      <c r="X338" s="67"/>
      <c r="Y338" s="67"/>
      <c r="Z338" s="67"/>
    </row>
    <row r="339">
      <c r="A339" s="136"/>
      <c r="B339" s="131"/>
      <c r="C339" s="131"/>
      <c r="D339" s="131"/>
      <c r="E339" s="130"/>
      <c r="F339" s="67"/>
      <c r="G339" s="67"/>
      <c r="H339" s="67"/>
      <c r="I339" s="67"/>
      <c r="J339" s="67"/>
      <c r="K339" s="67"/>
      <c r="L339" s="67"/>
      <c r="M339" s="67"/>
      <c r="N339" s="67"/>
      <c r="O339" s="67"/>
      <c r="P339" s="67"/>
      <c r="Q339" s="67"/>
      <c r="R339" s="67"/>
      <c r="S339" s="67"/>
      <c r="T339" s="67"/>
      <c r="U339" s="67"/>
      <c r="V339" s="67"/>
      <c r="W339" s="67"/>
      <c r="X339" s="67"/>
      <c r="Y339" s="67"/>
      <c r="Z339" s="67"/>
    </row>
    <row r="340">
      <c r="A340" s="135"/>
      <c r="B340" s="125"/>
      <c r="C340" s="125"/>
      <c r="D340" s="125"/>
      <c r="E340" s="126"/>
      <c r="F340" s="67"/>
      <c r="G340" s="67"/>
      <c r="H340" s="67"/>
      <c r="I340" s="67"/>
      <c r="J340" s="67"/>
      <c r="K340" s="67"/>
      <c r="L340" s="67"/>
      <c r="M340" s="67"/>
      <c r="N340" s="67"/>
      <c r="O340" s="67"/>
      <c r="P340" s="67"/>
      <c r="Q340" s="67"/>
      <c r="R340" s="67"/>
      <c r="S340" s="67"/>
      <c r="T340" s="67"/>
      <c r="U340" s="67"/>
      <c r="V340" s="67"/>
      <c r="W340" s="67"/>
      <c r="X340" s="67"/>
      <c r="Y340" s="67"/>
      <c r="Z340" s="67"/>
    </row>
    <row r="341">
      <c r="A341" s="136"/>
      <c r="B341" s="131"/>
      <c r="C341" s="131"/>
      <c r="D341" s="131"/>
      <c r="E341" s="130"/>
      <c r="F341" s="67"/>
      <c r="G341" s="67"/>
      <c r="H341" s="67"/>
      <c r="I341" s="67"/>
      <c r="J341" s="67"/>
      <c r="K341" s="67"/>
      <c r="L341" s="67"/>
      <c r="M341" s="67"/>
      <c r="N341" s="67"/>
      <c r="O341" s="67"/>
      <c r="P341" s="67"/>
      <c r="Q341" s="67"/>
      <c r="R341" s="67"/>
      <c r="S341" s="67"/>
      <c r="T341" s="67"/>
      <c r="U341" s="67"/>
      <c r="V341" s="67"/>
      <c r="W341" s="67"/>
      <c r="X341" s="67"/>
      <c r="Y341" s="67"/>
      <c r="Z341" s="67"/>
    </row>
    <row r="342">
      <c r="A342" s="135"/>
      <c r="B342" s="125"/>
      <c r="C342" s="125"/>
      <c r="D342" s="125"/>
      <c r="E342" s="126"/>
      <c r="F342" s="67"/>
      <c r="G342" s="67"/>
      <c r="H342" s="67"/>
      <c r="I342" s="67"/>
      <c r="J342" s="67"/>
      <c r="K342" s="67"/>
      <c r="L342" s="67"/>
      <c r="M342" s="67"/>
      <c r="N342" s="67"/>
      <c r="O342" s="67"/>
      <c r="P342" s="67"/>
      <c r="Q342" s="67"/>
      <c r="R342" s="67"/>
      <c r="S342" s="67"/>
      <c r="T342" s="67"/>
      <c r="U342" s="67"/>
      <c r="V342" s="67"/>
      <c r="W342" s="67"/>
      <c r="X342" s="67"/>
      <c r="Y342" s="67"/>
      <c r="Z342" s="67"/>
    </row>
    <row r="343">
      <c r="A343" s="136"/>
      <c r="B343" s="131"/>
      <c r="C343" s="131"/>
      <c r="D343" s="131"/>
      <c r="E343" s="130"/>
      <c r="F343" s="67"/>
      <c r="G343" s="67"/>
      <c r="H343" s="67"/>
      <c r="I343" s="67"/>
      <c r="J343" s="67"/>
      <c r="K343" s="67"/>
      <c r="L343" s="67"/>
      <c r="M343" s="67"/>
      <c r="N343" s="67"/>
      <c r="O343" s="67"/>
      <c r="P343" s="67"/>
      <c r="Q343" s="67"/>
      <c r="R343" s="67"/>
      <c r="S343" s="67"/>
      <c r="T343" s="67"/>
      <c r="U343" s="67"/>
      <c r="V343" s="67"/>
      <c r="W343" s="67"/>
      <c r="X343" s="67"/>
      <c r="Y343" s="67"/>
      <c r="Z343" s="67"/>
    </row>
    <row r="344">
      <c r="A344" s="135"/>
      <c r="B344" s="125"/>
      <c r="C344" s="125"/>
      <c r="D344" s="125"/>
      <c r="E344" s="126"/>
      <c r="F344" s="67"/>
      <c r="G344" s="67"/>
      <c r="H344" s="67"/>
      <c r="I344" s="67"/>
      <c r="J344" s="67"/>
      <c r="K344" s="67"/>
      <c r="L344" s="67"/>
      <c r="M344" s="67"/>
      <c r="N344" s="67"/>
      <c r="O344" s="67"/>
      <c r="P344" s="67"/>
      <c r="Q344" s="67"/>
      <c r="R344" s="67"/>
      <c r="S344" s="67"/>
      <c r="T344" s="67"/>
      <c r="U344" s="67"/>
      <c r="V344" s="67"/>
      <c r="W344" s="67"/>
      <c r="X344" s="67"/>
      <c r="Y344" s="67"/>
      <c r="Z344" s="67"/>
    </row>
    <row r="345">
      <c r="A345" s="136"/>
      <c r="B345" s="131"/>
      <c r="C345" s="131"/>
      <c r="D345" s="131"/>
      <c r="E345" s="130"/>
      <c r="F345" s="67"/>
      <c r="G345" s="67"/>
      <c r="H345" s="67"/>
      <c r="I345" s="67"/>
      <c r="J345" s="67"/>
      <c r="K345" s="67"/>
      <c r="L345" s="67"/>
      <c r="M345" s="67"/>
      <c r="N345" s="67"/>
      <c r="O345" s="67"/>
      <c r="P345" s="67"/>
      <c r="Q345" s="67"/>
      <c r="R345" s="67"/>
      <c r="S345" s="67"/>
      <c r="T345" s="67"/>
      <c r="U345" s="67"/>
      <c r="V345" s="67"/>
      <c r="W345" s="67"/>
      <c r="X345" s="67"/>
      <c r="Y345" s="67"/>
      <c r="Z345" s="67"/>
    </row>
    <row r="346">
      <c r="A346" s="135"/>
      <c r="B346" s="125"/>
      <c r="C346" s="125"/>
      <c r="D346" s="125"/>
      <c r="E346" s="126"/>
      <c r="F346" s="67"/>
      <c r="G346" s="67"/>
      <c r="H346" s="67"/>
      <c r="I346" s="67"/>
      <c r="J346" s="67"/>
      <c r="K346" s="67"/>
      <c r="L346" s="67"/>
      <c r="M346" s="67"/>
      <c r="N346" s="67"/>
      <c r="O346" s="67"/>
      <c r="P346" s="67"/>
      <c r="Q346" s="67"/>
      <c r="R346" s="67"/>
      <c r="S346" s="67"/>
      <c r="T346" s="67"/>
      <c r="U346" s="67"/>
      <c r="V346" s="67"/>
      <c r="W346" s="67"/>
      <c r="X346" s="67"/>
      <c r="Y346" s="67"/>
      <c r="Z346" s="67"/>
    </row>
    <row r="347">
      <c r="A347" s="136"/>
      <c r="B347" s="131"/>
      <c r="C347" s="131"/>
      <c r="D347" s="131"/>
      <c r="E347" s="130"/>
      <c r="F347" s="67"/>
      <c r="G347" s="67"/>
      <c r="H347" s="67"/>
      <c r="I347" s="67"/>
      <c r="J347" s="67"/>
      <c r="K347" s="67"/>
      <c r="L347" s="67"/>
      <c r="M347" s="67"/>
      <c r="N347" s="67"/>
      <c r="O347" s="67"/>
      <c r="P347" s="67"/>
      <c r="Q347" s="67"/>
      <c r="R347" s="67"/>
      <c r="S347" s="67"/>
      <c r="T347" s="67"/>
      <c r="U347" s="67"/>
      <c r="V347" s="67"/>
      <c r="W347" s="67"/>
      <c r="X347" s="67"/>
      <c r="Y347" s="67"/>
      <c r="Z347" s="67"/>
    </row>
    <row r="348">
      <c r="A348" s="135"/>
      <c r="B348" s="125"/>
      <c r="C348" s="125"/>
      <c r="D348" s="125"/>
      <c r="E348" s="126"/>
      <c r="F348" s="67"/>
      <c r="G348" s="67"/>
      <c r="H348" s="67"/>
      <c r="I348" s="67"/>
      <c r="J348" s="67"/>
      <c r="K348" s="67"/>
      <c r="L348" s="67"/>
      <c r="M348" s="67"/>
      <c r="N348" s="67"/>
      <c r="O348" s="67"/>
      <c r="P348" s="67"/>
      <c r="Q348" s="67"/>
      <c r="R348" s="67"/>
      <c r="S348" s="67"/>
      <c r="T348" s="67"/>
      <c r="U348" s="67"/>
      <c r="V348" s="67"/>
      <c r="W348" s="67"/>
      <c r="X348" s="67"/>
      <c r="Y348" s="67"/>
      <c r="Z348" s="67"/>
    </row>
    <row r="349">
      <c r="A349" s="136"/>
      <c r="B349" s="131"/>
      <c r="C349" s="131"/>
      <c r="D349" s="131"/>
      <c r="E349" s="130"/>
      <c r="F349" s="67"/>
      <c r="G349" s="67"/>
      <c r="H349" s="67"/>
      <c r="I349" s="67"/>
      <c r="J349" s="67"/>
      <c r="K349" s="67"/>
      <c r="L349" s="67"/>
      <c r="M349" s="67"/>
      <c r="N349" s="67"/>
      <c r="O349" s="67"/>
      <c r="P349" s="67"/>
      <c r="Q349" s="67"/>
      <c r="R349" s="67"/>
      <c r="S349" s="67"/>
      <c r="T349" s="67"/>
      <c r="U349" s="67"/>
      <c r="V349" s="67"/>
      <c r="W349" s="67"/>
      <c r="X349" s="67"/>
      <c r="Y349" s="67"/>
      <c r="Z349" s="67"/>
    </row>
    <row r="350">
      <c r="A350" s="135"/>
      <c r="B350" s="125"/>
      <c r="C350" s="125"/>
      <c r="D350" s="125"/>
      <c r="E350" s="126"/>
      <c r="F350" s="67"/>
      <c r="G350" s="67"/>
      <c r="H350" s="67"/>
      <c r="I350" s="67"/>
      <c r="J350" s="67"/>
      <c r="K350" s="67"/>
      <c r="L350" s="67"/>
      <c r="M350" s="67"/>
      <c r="N350" s="67"/>
      <c r="O350" s="67"/>
      <c r="P350" s="67"/>
      <c r="Q350" s="67"/>
      <c r="R350" s="67"/>
      <c r="S350" s="67"/>
      <c r="T350" s="67"/>
      <c r="U350" s="67"/>
      <c r="V350" s="67"/>
      <c r="W350" s="67"/>
      <c r="X350" s="67"/>
      <c r="Y350" s="67"/>
      <c r="Z350" s="67"/>
    </row>
    <row r="351">
      <c r="A351" s="136"/>
      <c r="B351" s="131"/>
      <c r="C351" s="131"/>
      <c r="D351" s="131"/>
      <c r="E351" s="130"/>
      <c r="F351" s="67"/>
      <c r="G351" s="67"/>
      <c r="H351" s="67"/>
      <c r="I351" s="67"/>
      <c r="J351" s="67"/>
      <c r="K351" s="67"/>
      <c r="L351" s="67"/>
      <c r="M351" s="67"/>
      <c r="N351" s="67"/>
      <c r="O351" s="67"/>
      <c r="P351" s="67"/>
      <c r="Q351" s="67"/>
      <c r="R351" s="67"/>
      <c r="S351" s="67"/>
      <c r="T351" s="67"/>
      <c r="U351" s="67"/>
      <c r="V351" s="67"/>
      <c r="W351" s="67"/>
      <c r="X351" s="67"/>
      <c r="Y351" s="67"/>
      <c r="Z351" s="67"/>
    </row>
    <row r="352">
      <c r="A352" s="135"/>
      <c r="B352" s="125"/>
      <c r="C352" s="125"/>
      <c r="D352" s="125"/>
      <c r="E352" s="126"/>
      <c r="F352" s="67"/>
      <c r="G352" s="67"/>
      <c r="H352" s="67"/>
      <c r="I352" s="67"/>
      <c r="J352" s="67"/>
      <c r="K352" s="67"/>
      <c r="L352" s="67"/>
      <c r="M352" s="67"/>
      <c r="N352" s="67"/>
      <c r="O352" s="67"/>
      <c r="P352" s="67"/>
      <c r="Q352" s="67"/>
      <c r="R352" s="67"/>
      <c r="S352" s="67"/>
      <c r="T352" s="67"/>
      <c r="U352" s="67"/>
      <c r="V352" s="67"/>
      <c r="W352" s="67"/>
      <c r="X352" s="67"/>
      <c r="Y352" s="67"/>
      <c r="Z352" s="67"/>
    </row>
    <row r="353">
      <c r="A353" s="136"/>
      <c r="B353" s="131"/>
      <c r="C353" s="131"/>
      <c r="D353" s="131"/>
      <c r="E353" s="130"/>
      <c r="F353" s="67"/>
      <c r="G353" s="67"/>
      <c r="H353" s="67"/>
      <c r="I353" s="67"/>
      <c r="J353" s="67"/>
      <c r="K353" s="67"/>
      <c r="L353" s="67"/>
      <c r="M353" s="67"/>
      <c r="N353" s="67"/>
      <c r="O353" s="67"/>
      <c r="P353" s="67"/>
      <c r="Q353" s="67"/>
      <c r="R353" s="67"/>
      <c r="S353" s="67"/>
      <c r="T353" s="67"/>
      <c r="U353" s="67"/>
      <c r="V353" s="67"/>
      <c r="W353" s="67"/>
      <c r="X353" s="67"/>
      <c r="Y353" s="67"/>
      <c r="Z353" s="67"/>
    </row>
    <row r="354">
      <c r="A354" s="135"/>
      <c r="B354" s="125"/>
      <c r="C354" s="125"/>
      <c r="D354" s="125"/>
      <c r="E354" s="126"/>
      <c r="F354" s="67"/>
      <c r="G354" s="67"/>
      <c r="H354" s="67"/>
      <c r="I354" s="67"/>
      <c r="J354" s="67"/>
      <c r="K354" s="67"/>
      <c r="L354" s="67"/>
      <c r="M354" s="67"/>
      <c r="N354" s="67"/>
      <c r="O354" s="67"/>
      <c r="P354" s="67"/>
      <c r="Q354" s="67"/>
      <c r="R354" s="67"/>
      <c r="S354" s="67"/>
      <c r="T354" s="67"/>
      <c r="U354" s="67"/>
      <c r="V354" s="67"/>
      <c r="W354" s="67"/>
      <c r="X354" s="67"/>
      <c r="Y354" s="67"/>
      <c r="Z354" s="67"/>
    </row>
    <row r="355">
      <c r="A355" s="136"/>
      <c r="B355" s="131"/>
      <c r="C355" s="131"/>
      <c r="D355" s="131"/>
      <c r="E355" s="130"/>
      <c r="F355" s="67"/>
      <c r="G355" s="67"/>
      <c r="H355" s="67"/>
      <c r="I355" s="67"/>
      <c r="J355" s="67"/>
      <c r="K355" s="67"/>
      <c r="L355" s="67"/>
      <c r="M355" s="67"/>
      <c r="N355" s="67"/>
      <c r="O355" s="67"/>
      <c r="P355" s="67"/>
      <c r="Q355" s="67"/>
      <c r="R355" s="67"/>
      <c r="S355" s="67"/>
      <c r="T355" s="67"/>
      <c r="U355" s="67"/>
      <c r="V355" s="67"/>
      <c r="W355" s="67"/>
      <c r="X355" s="67"/>
      <c r="Y355" s="67"/>
      <c r="Z355" s="67"/>
    </row>
    <row r="356">
      <c r="A356" s="135"/>
      <c r="B356" s="125"/>
      <c r="C356" s="125"/>
      <c r="D356" s="125"/>
      <c r="E356" s="126"/>
      <c r="F356" s="67"/>
      <c r="G356" s="67"/>
      <c r="H356" s="67"/>
      <c r="I356" s="67"/>
      <c r="J356" s="67"/>
      <c r="K356" s="67"/>
      <c r="L356" s="67"/>
      <c r="M356" s="67"/>
      <c r="N356" s="67"/>
      <c r="O356" s="67"/>
      <c r="P356" s="67"/>
      <c r="Q356" s="67"/>
      <c r="R356" s="67"/>
      <c r="S356" s="67"/>
      <c r="T356" s="67"/>
      <c r="U356" s="67"/>
      <c r="V356" s="67"/>
      <c r="W356" s="67"/>
      <c r="X356" s="67"/>
      <c r="Y356" s="67"/>
      <c r="Z356" s="67"/>
    </row>
    <row r="357">
      <c r="A357" s="136"/>
      <c r="B357" s="131"/>
      <c r="C357" s="131"/>
      <c r="D357" s="131"/>
      <c r="E357" s="130"/>
      <c r="F357" s="67"/>
      <c r="G357" s="67"/>
      <c r="H357" s="67"/>
      <c r="I357" s="67"/>
      <c r="J357" s="67"/>
      <c r="K357" s="67"/>
      <c r="L357" s="67"/>
      <c r="M357" s="67"/>
      <c r="N357" s="67"/>
      <c r="O357" s="67"/>
      <c r="P357" s="67"/>
      <c r="Q357" s="67"/>
      <c r="R357" s="67"/>
      <c r="S357" s="67"/>
      <c r="T357" s="67"/>
      <c r="U357" s="67"/>
      <c r="V357" s="67"/>
      <c r="W357" s="67"/>
      <c r="X357" s="67"/>
      <c r="Y357" s="67"/>
      <c r="Z357" s="67"/>
    </row>
    <row r="358">
      <c r="A358" s="135"/>
      <c r="B358" s="125"/>
      <c r="C358" s="125"/>
      <c r="D358" s="125"/>
      <c r="E358" s="126"/>
      <c r="F358" s="67"/>
      <c r="G358" s="67"/>
      <c r="H358" s="67"/>
      <c r="I358" s="67"/>
      <c r="J358" s="67"/>
      <c r="K358" s="67"/>
      <c r="L358" s="67"/>
      <c r="M358" s="67"/>
      <c r="N358" s="67"/>
      <c r="O358" s="67"/>
      <c r="P358" s="67"/>
      <c r="Q358" s="67"/>
      <c r="R358" s="67"/>
      <c r="S358" s="67"/>
      <c r="T358" s="67"/>
      <c r="U358" s="67"/>
      <c r="V358" s="67"/>
      <c r="W358" s="67"/>
      <c r="X358" s="67"/>
      <c r="Y358" s="67"/>
      <c r="Z358" s="67"/>
    </row>
    <row r="359">
      <c r="A359" s="136"/>
      <c r="B359" s="131"/>
      <c r="C359" s="131"/>
      <c r="D359" s="131"/>
      <c r="E359" s="130"/>
      <c r="F359" s="67"/>
      <c r="G359" s="67"/>
      <c r="H359" s="67"/>
      <c r="I359" s="67"/>
      <c r="J359" s="67"/>
      <c r="K359" s="67"/>
      <c r="L359" s="67"/>
      <c r="M359" s="67"/>
      <c r="N359" s="67"/>
      <c r="O359" s="67"/>
      <c r="P359" s="67"/>
      <c r="Q359" s="67"/>
      <c r="R359" s="67"/>
      <c r="S359" s="67"/>
      <c r="T359" s="67"/>
      <c r="U359" s="67"/>
      <c r="V359" s="67"/>
      <c r="W359" s="67"/>
      <c r="X359" s="67"/>
      <c r="Y359" s="67"/>
      <c r="Z359" s="67"/>
    </row>
    <row r="360">
      <c r="A360" s="135"/>
      <c r="B360" s="125"/>
      <c r="C360" s="125"/>
      <c r="D360" s="125"/>
      <c r="E360" s="126"/>
      <c r="F360" s="67"/>
      <c r="G360" s="67"/>
      <c r="H360" s="67"/>
      <c r="I360" s="67"/>
      <c r="J360" s="67"/>
      <c r="K360" s="67"/>
      <c r="L360" s="67"/>
      <c r="M360" s="67"/>
      <c r="N360" s="67"/>
      <c r="O360" s="67"/>
      <c r="P360" s="67"/>
      <c r="Q360" s="67"/>
      <c r="R360" s="67"/>
      <c r="S360" s="67"/>
      <c r="T360" s="67"/>
      <c r="U360" s="67"/>
      <c r="V360" s="67"/>
      <c r="W360" s="67"/>
      <c r="X360" s="67"/>
      <c r="Y360" s="67"/>
      <c r="Z360" s="67"/>
    </row>
    <row r="361">
      <c r="A361" s="136"/>
      <c r="B361" s="131"/>
      <c r="C361" s="131"/>
      <c r="D361" s="131"/>
      <c r="E361" s="130"/>
      <c r="F361" s="67"/>
      <c r="G361" s="67"/>
      <c r="H361" s="67"/>
      <c r="I361" s="67"/>
      <c r="J361" s="67"/>
      <c r="K361" s="67"/>
      <c r="L361" s="67"/>
      <c r="M361" s="67"/>
      <c r="N361" s="67"/>
      <c r="O361" s="67"/>
      <c r="P361" s="67"/>
      <c r="Q361" s="67"/>
      <c r="R361" s="67"/>
      <c r="S361" s="67"/>
      <c r="T361" s="67"/>
      <c r="U361" s="67"/>
      <c r="V361" s="67"/>
      <c r="W361" s="67"/>
      <c r="X361" s="67"/>
      <c r="Y361" s="67"/>
      <c r="Z361" s="67"/>
    </row>
    <row r="362">
      <c r="A362" s="135"/>
      <c r="B362" s="125"/>
      <c r="C362" s="125"/>
      <c r="D362" s="125"/>
      <c r="E362" s="126"/>
      <c r="F362" s="67"/>
      <c r="G362" s="67"/>
      <c r="H362" s="67"/>
      <c r="I362" s="67"/>
      <c r="J362" s="67"/>
      <c r="K362" s="67"/>
      <c r="L362" s="67"/>
      <c r="M362" s="67"/>
      <c r="N362" s="67"/>
      <c r="O362" s="67"/>
      <c r="P362" s="67"/>
      <c r="Q362" s="67"/>
      <c r="R362" s="67"/>
      <c r="S362" s="67"/>
      <c r="T362" s="67"/>
      <c r="U362" s="67"/>
      <c r="V362" s="67"/>
      <c r="W362" s="67"/>
      <c r="X362" s="67"/>
      <c r="Y362" s="67"/>
      <c r="Z362" s="67"/>
    </row>
    <row r="363">
      <c r="A363" s="136"/>
      <c r="B363" s="131"/>
      <c r="C363" s="131"/>
      <c r="D363" s="131"/>
      <c r="E363" s="130"/>
      <c r="F363" s="67"/>
      <c r="G363" s="67"/>
      <c r="H363" s="67"/>
      <c r="I363" s="67"/>
      <c r="J363" s="67"/>
      <c r="K363" s="67"/>
      <c r="L363" s="67"/>
      <c r="M363" s="67"/>
      <c r="N363" s="67"/>
      <c r="O363" s="67"/>
      <c r="P363" s="67"/>
      <c r="Q363" s="67"/>
      <c r="R363" s="67"/>
      <c r="S363" s="67"/>
      <c r="T363" s="67"/>
      <c r="U363" s="67"/>
      <c r="V363" s="67"/>
      <c r="W363" s="67"/>
      <c r="X363" s="67"/>
      <c r="Y363" s="67"/>
      <c r="Z363" s="67"/>
    </row>
    <row r="364">
      <c r="A364" s="135"/>
      <c r="B364" s="125"/>
      <c r="C364" s="125"/>
      <c r="D364" s="125"/>
      <c r="E364" s="126"/>
      <c r="F364" s="67"/>
      <c r="G364" s="67"/>
      <c r="H364" s="67"/>
      <c r="I364" s="67"/>
      <c r="J364" s="67"/>
      <c r="K364" s="67"/>
      <c r="L364" s="67"/>
      <c r="M364" s="67"/>
      <c r="N364" s="67"/>
      <c r="O364" s="67"/>
      <c r="P364" s="67"/>
      <c r="Q364" s="67"/>
      <c r="R364" s="67"/>
      <c r="S364" s="67"/>
      <c r="T364" s="67"/>
      <c r="U364" s="67"/>
      <c r="V364" s="67"/>
      <c r="W364" s="67"/>
      <c r="X364" s="67"/>
      <c r="Y364" s="67"/>
      <c r="Z364" s="67"/>
    </row>
    <row r="365">
      <c r="A365" s="136"/>
      <c r="B365" s="131"/>
      <c r="C365" s="131"/>
      <c r="D365" s="131"/>
      <c r="E365" s="130"/>
      <c r="F365" s="67"/>
      <c r="G365" s="67"/>
      <c r="H365" s="67"/>
      <c r="I365" s="67"/>
      <c r="J365" s="67"/>
      <c r="K365" s="67"/>
      <c r="L365" s="67"/>
      <c r="M365" s="67"/>
      <c r="N365" s="67"/>
      <c r="O365" s="67"/>
      <c r="P365" s="67"/>
      <c r="Q365" s="67"/>
      <c r="R365" s="67"/>
      <c r="S365" s="67"/>
      <c r="T365" s="67"/>
      <c r="U365" s="67"/>
      <c r="V365" s="67"/>
      <c r="W365" s="67"/>
      <c r="X365" s="67"/>
      <c r="Y365" s="67"/>
      <c r="Z365" s="67"/>
    </row>
    <row r="366">
      <c r="A366" s="135"/>
      <c r="B366" s="125"/>
      <c r="C366" s="125"/>
      <c r="D366" s="125"/>
      <c r="E366" s="126"/>
      <c r="F366" s="67"/>
      <c r="G366" s="67"/>
      <c r="H366" s="67"/>
      <c r="I366" s="67"/>
      <c r="J366" s="67"/>
      <c r="K366" s="67"/>
      <c r="L366" s="67"/>
      <c r="M366" s="67"/>
      <c r="N366" s="67"/>
      <c r="O366" s="67"/>
      <c r="P366" s="67"/>
      <c r="Q366" s="67"/>
      <c r="R366" s="67"/>
      <c r="S366" s="67"/>
      <c r="T366" s="67"/>
      <c r="U366" s="67"/>
      <c r="V366" s="67"/>
      <c r="W366" s="67"/>
      <c r="X366" s="67"/>
      <c r="Y366" s="67"/>
      <c r="Z366" s="67"/>
    </row>
    <row r="367">
      <c r="A367" s="136"/>
      <c r="B367" s="131"/>
      <c r="C367" s="131"/>
      <c r="D367" s="131"/>
      <c r="E367" s="130"/>
      <c r="F367" s="67"/>
      <c r="G367" s="67"/>
      <c r="H367" s="67"/>
      <c r="I367" s="67"/>
      <c r="J367" s="67"/>
      <c r="K367" s="67"/>
      <c r="L367" s="67"/>
      <c r="M367" s="67"/>
      <c r="N367" s="67"/>
      <c r="O367" s="67"/>
      <c r="P367" s="67"/>
      <c r="Q367" s="67"/>
      <c r="R367" s="67"/>
      <c r="S367" s="67"/>
      <c r="T367" s="67"/>
      <c r="U367" s="67"/>
      <c r="V367" s="67"/>
      <c r="W367" s="67"/>
      <c r="X367" s="67"/>
      <c r="Y367" s="67"/>
      <c r="Z367" s="67"/>
    </row>
    <row r="368">
      <c r="A368" s="135"/>
      <c r="B368" s="125"/>
      <c r="C368" s="125"/>
      <c r="D368" s="125"/>
      <c r="E368" s="126"/>
      <c r="F368" s="67"/>
      <c r="G368" s="67"/>
      <c r="H368" s="67"/>
      <c r="I368" s="67"/>
      <c r="J368" s="67"/>
      <c r="K368" s="67"/>
      <c r="L368" s="67"/>
      <c r="M368" s="67"/>
      <c r="N368" s="67"/>
      <c r="O368" s="67"/>
      <c r="P368" s="67"/>
      <c r="Q368" s="67"/>
      <c r="R368" s="67"/>
      <c r="S368" s="67"/>
      <c r="T368" s="67"/>
      <c r="U368" s="67"/>
      <c r="V368" s="67"/>
      <c r="W368" s="67"/>
      <c r="X368" s="67"/>
      <c r="Y368" s="67"/>
      <c r="Z368" s="67"/>
    </row>
    <row r="369">
      <c r="A369" s="136"/>
      <c r="B369" s="131"/>
      <c r="C369" s="131"/>
      <c r="D369" s="131"/>
      <c r="E369" s="130"/>
      <c r="F369" s="67"/>
      <c r="G369" s="67"/>
      <c r="H369" s="67"/>
      <c r="I369" s="67"/>
      <c r="J369" s="67"/>
      <c r="K369" s="67"/>
      <c r="L369" s="67"/>
      <c r="M369" s="67"/>
      <c r="N369" s="67"/>
      <c r="O369" s="67"/>
      <c r="P369" s="67"/>
      <c r="Q369" s="67"/>
      <c r="R369" s="67"/>
      <c r="S369" s="67"/>
      <c r="T369" s="67"/>
      <c r="U369" s="67"/>
      <c r="V369" s="67"/>
      <c r="W369" s="67"/>
      <c r="X369" s="67"/>
      <c r="Y369" s="67"/>
      <c r="Z369" s="67"/>
    </row>
    <row r="370">
      <c r="A370" s="135"/>
      <c r="B370" s="125"/>
      <c r="C370" s="125"/>
      <c r="D370" s="125"/>
      <c r="E370" s="126"/>
      <c r="F370" s="67"/>
      <c r="G370" s="67"/>
      <c r="H370" s="67"/>
      <c r="I370" s="67"/>
      <c r="J370" s="67"/>
      <c r="K370" s="67"/>
      <c r="L370" s="67"/>
      <c r="M370" s="67"/>
      <c r="N370" s="67"/>
      <c r="O370" s="67"/>
      <c r="P370" s="67"/>
      <c r="Q370" s="67"/>
      <c r="R370" s="67"/>
      <c r="S370" s="67"/>
      <c r="T370" s="67"/>
      <c r="U370" s="67"/>
      <c r="V370" s="67"/>
      <c r="W370" s="67"/>
      <c r="X370" s="67"/>
      <c r="Y370" s="67"/>
      <c r="Z370" s="67"/>
    </row>
    <row r="371">
      <c r="A371" s="136"/>
      <c r="B371" s="131"/>
      <c r="C371" s="131"/>
      <c r="D371" s="131"/>
      <c r="E371" s="130"/>
      <c r="F371" s="67"/>
      <c r="G371" s="67"/>
      <c r="H371" s="67"/>
      <c r="I371" s="67"/>
      <c r="J371" s="67"/>
      <c r="K371" s="67"/>
      <c r="L371" s="67"/>
      <c r="M371" s="67"/>
      <c r="N371" s="67"/>
      <c r="O371" s="67"/>
      <c r="P371" s="67"/>
      <c r="Q371" s="67"/>
      <c r="R371" s="67"/>
      <c r="S371" s="67"/>
      <c r="T371" s="67"/>
      <c r="U371" s="67"/>
      <c r="V371" s="67"/>
      <c r="W371" s="67"/>
      <c r="X371" s="67"/>
      <c r="Y371" s="67"/>
      <c r="Z371" s="67"/>
    </row>
    <row r="372">
      <c r="A372" s="135"/>
      <c r="B372" s="125"/>
      <c r="C372" s="125"/>
      <c r="D372" s="125"/>
      <c r="E372" s="126"/>
      <c r="F372" s="67"/>
      <c r="G372" s="67"/>
      <c r="H372" s="67"/>
      <c r="I372" s="67"/>
      <c r="J372" s="67"/>
      <c r="K372" s="67"/>
      <c r="L372" s="67"/>
      <c r="M372" s="67"/>
      <c r="N372" s="67"/>
      <c r="O372" s="67"/>
      <c r="P372" s="67"/>
      <c r="Q372" s="67"/>
      <c r="R372" s="67"/>
      <c r="S372" s="67"/>
      <c r="T372" s="67"/>
      <c r="U372" s="67"/>
      <c r="V372" s="67"/>
      <c r="W372" s="67"/>
      <c r="X372" s="67"/>
      <c r="Y372" s="67"/>
      <c r="Z372" s="67"/>
    </row>
    <row r="373">
      <c r="A373" s="136"/>
      <c r="B373" s="131"/>
      <c r="C373" s="131"/>
      <c r="D373" s="131"/>
      <c r="E373" s="130"/>
      <c r="F373" s="67"/>
      <c r="G373" s="67"/>
      <c r="H373" s="67"/>
      <c r="I373" s="67"/>
      <c r="J373" s="67"/>
      <c r="K373" s="67"/>
      <c r="L373" s="67"/>
      <c r="M373" s="67"/>
      <c r="N373" s="67"/>
      <c r="O373" s="67"/>
      <c r="P373" s="67"/>
      <c r="Q373" s="67"/>
      <c r="R373" s="67"/>
      <c r="S373" s="67"/>
      <c r="T373" s="67"/>
      <c r="U373" s="67"/>
      <c r="V373" s="67"/>
      <c r="W373" s="67"/>
      <c r="X373" s="67"/>
      <c r="Y373" s="67"/>
      <c r="Z373" s="67"/>
    </row>
    <row r="374">
      <c r="A374" s="135"/>
      <c r="B374" s="125"/>
      <c r="C374" s="125"/>
      <c r="D374" s="125"/>
      <c r="E374" s="126"/>
      <c r="F374" s="67"/>
      <c r="G374" s="67"/>
      <c r="H374" s="67"/>
      <c r="I374" s="67"/>
      <c r="J374" s="67"/>
      <c r="K374" s="67"/>
      <c r="L374" s="67"/>
      <c r="M374" s="67"/>
      <c r="N374" s="67"/>
      <c r="O374" s="67"/>
      <c r="P374" s="67"/>
      <c r="Q374" s="67"/>
      <c r="R374" s="67"/>
      <c r="S374" s="67"/>
      <c r="T374" s="67"/>
      <c r="U374" s="67"/>
      <c r="V374" s="67"/>
      <c r="W374" s="67"/>
      <c r="X374" s="67"/>
      <c r="Y374" s="67"/>
      <c r="Z374" s="67"/>
    </row>
    <row r="375">
      <c r="A375" s="136"/>
      <c r="B375" s="131"/>
      <c r="C375" s="131"/>
      <c r="D375" s="131"/>
      <c r="E375" s="130"/>
      <c r="F375" s="67"/>
      <c r="G375" s="67"/>
      <c r="H375" s="67"/>
      <c r="I375" s="67"/>
      <c r="J375" s="67"/>
      <c r="K375" s="67"/>
      <c r="L375" s="67"/>
      <c r="M375" s="67"/>
      <c r="N375" s="67"/>
      <c r="O375" s="67"/>
      <c r="P375" s="67"/>
      <c r="Q375" s="67"/>
      <c r="R375" s="67"/>
      <c r="S375" s="67"/>
      <c r="T375" s="67"/>
      <c r="U375" s="67"/>
      <c r="V375" s="67"/>
      <c r="W375" s="67"/>
      <c r="X375" s="67"/>
      <c r="Y375" s="67"/>
      <c r="Z375" s="67"/>
    </row>
    <row r="376">
      <c r="A376" s="135"/>
      <c r="B376" s="125"/>
      <c r="C376" s="125"/>
      <c r="D376" s="125"/>
      <c r="E376" s="126"/>
      <c r="F376" s="67"/>
      <c r="G376" s="67"/>
      <c r="H376" s="67"/>
      <c r="I376" s="67"/>
      <c r="J376" s="67"/>
      <c r="K376" s="67"/>
      <c r="L376" s="67"/>
      <c r="M376" s="67"/>
      <c r="N376" s="67"/>
      <c r="O376" s="67"/>
      <c r="P376" s="67"/>
      <c r="Q376" s="67"/>
      <c r="R376" s="67"/>
      <c r="S376" s="67"/>
      <c r="T376" s="67"/>
      <c r="U376" s="67"/>
      <c r="V376" s="67"/>
      <c r="W376" s="67"/>
      <c r="X376" s="67"/>
      <c r="Y376" s="67"/>
      <c r="Z376" s="67"/>
    </row>
    <row r="377">
      <c r="A377" s="136"/>
      <c r="B377" s="131"/>
      <c r="C377" s="131"/>
      <c r="D377" s="131"/>
      <c r="E377" s="130"/>
      <c r="F377" s="67"/>
      <c r="G377" s="67"/>
      <c r="H377" s="67"/>
      <c r="I377" s="67"/>
      <c r="J377" s="67"/>
      <c r="K377" s="67"/>
      <c r="L377" s="67"/>
      <c r="M377" s="67"/>
      <c r="N377" s="67"/>
      <c r="O377" s="67"/>
      <c r="P377" s="67"/>
      <c r="Q377" s="67"/>
      <c r="R377" s="67"/>
      <c r="S377" s="67"/>
      <c r="T377" s="67"/>
      <c r="U377" s="67"/>
      <c r="V377" s="67"/>
      <c r="W377" s="67"/>
      <c r="X377" s="67"/>
      <c r="Y377" s="67"/>
      <c r="Z377" s="67"/>
    </row>
    <row r="378">
      <c r="A378" s="135"/>
      <c r="B378" s="125"/>
      <c r="C378" s="125"/>
      <c r="D378" s="125"/>
      <c r="E378" s="126"/>
      <c r="F378" s="67"/>
      <c r="G378" s="67"/>
      <c r="H378" s="67"/>
      <c r="I378" s="67"/>
      <c r="J378" s="67"/>
      <c r="K378" s="67"/>
      <c r="L378" s="67"/>
      <c r="M378" s="67"/>
      <c r="N378" s="67"/>
      <c r="O378" s="67"/>
      <c r="P378" s="67"/>
      <c r="Q378" s="67"/>
      <c r="R378" s="67"/>
      <c r="S378" s="67"/>
      <c r="T378" s="67"/>
      <c r="U378" s="67"/>
      <c r="V378" s="67"/>
      <c r="W378" s="67"/>
      <c r="X378" s="67"/>
      <c r="Y378" s="67"/>
      <c r="Z378" s="67"/>
    </row>
    <row r="379">
      <c r="A379" s="136"/>
      <c r="B379" s="131"/>
      <c r="C379" s="131"/>
      <c r="D379" s="131"/>
      <c r="E379" s="130"/>
      <c r="F379" s="67"/>
      <c r="G379" s="67"/>
      <c r="H379" s="67"/>
      <c r="I379" s="67"/>
      <c r="J379" s="67"/>
      <c r="K379" s="67"/>
      <c r="L379" s="67"/>
      <c r="M379" s="67"/>
      <c r="N379" s="67"/>
      <c r="O379" s="67"/>
      <c r="P379" s="67"/>
      <c r="Q379" s="67"/>
      <c r="R379" s="67"/>
      <c r="S379" s="67"/>
      <c r="T379" s="67"/>
      <c r="U379" s="67"/>
      <c r="V379" s="67"/>
      <c r="W379" s="67"/>
      <c r="X379" s="67"/>
      <c r="Y379" s="67"/>
      <c r="Z379" s="67"/>
    </row>
    <row r="380">
      <c r="A380" s="135"/>
      <c r="B380" s="125"/>
      <c r="C380" s="125"/>
      <c r="D380" s="125"/>
      <c r="E380" s="126"/>
      <c r="F380" s="67"/>
      <c r="G380" s="67"/>
      <c r="H380" s="67"/>
      <c r="I380" s="67"/>
      <c r="J380" s="67"/>
      <c r="K380" s="67"/>
      <c r="L380" s="67"/>
      <c r="M380" s="67"/>
      <c r="N380" s="67"/>
      <c r="O380" s="67"/>
      <c r="P380" s="67"/>
      <c r="Q380" s="67"/>
      <c r="R380" s="67"/>
      <c r="S380" s="67"/>
      <c r="T380" s="67"/>
      <c r="U380" s="67"/>
      <c r="V380" s="67"/>
      <c r="W380" s="67"/>
      <c r="X380" s="67"/>
      <c r="Y380" s="67"/>
      <c r="Z380" s="67"/>
    </row>
    <row r="381">
      <c r="A381" s="136"/>
      <c r="B381" s="131"/>
      <c r="C381" s="131"/>
      <c r="D381" s="131"/>
      <c r="E381" s="130"/>
      <c r="F381" s="67"/>
      <c r="G381" s="67"/>
      <c r="H381" s="67"/>
      <c r="I381" s="67"/>
      <c r="J381" s="67"/>
      <c r="K381" s="67"/>
      <c r="L381" s="67"/>
      <c r="M381" s="67"/>
      <c r="N381" s="67"/>
      <c r="O381" s="67"/>
      <c r="P381" s="67"/>
      <c r="Q381" s="67"/>
      <c r="R381" s="67"/>
      <c r="S381" s="67"/>
      <c r="T381" s="67"/>
      <c r="U381" s="67"/>
      <c r="V381" s="67"/>
      <c r="W381" s="67"/>
      <c r="X381" s="67"/>
      <c r="Y381" s="67"/>
      <c r="Z381" s="67"/>
    </row>
    <row r="382">
      <c r="A382" s="135"/>
      <c r="B382" s="125"/>
      <c r="C382" s="125"/>
      <c r="D382" s="125"/>
      <c r="E382" s="126"/>
      <c r="F382" s="67"/>
      <c r="G382" s="67"/>
      <c r="H382" s="67"/>
      <c r="I382" s="67"/>
      <c r="J382" s="67"/>
      <c r="K382" s="67"/>
      <c r="L382" s="67"/>
      <c r="M382" s="67"/>
      <c r="N382" s="67"/>
      <c r="O382" s="67"/>
      <c r="P382" s="67"/>
      <c r="Q382" s="67"/>
      <c r="R382" s="67"/>
      <c r="S382" s="67"/>
      <c r="T382" s="67"/>
      <c r="U382" s="67"/>
      <c r="V382" s="67"/>
      <c r="W382" s="67"/>
      <c r="X382" s="67"/>
      <c r="Y382" s="67"/>
      <c r="Z382" s="67"/>
    </row>
    <row r="383">
      <c r="A383" s="136"/>
      <c r="B383" s="131"/>
      <c r="C383" s="131"/>
      <c r="D383" s="131"/>
      <c r="E383" s="130"/>
      <c r="F383" s="67"/>
      <c r="G383" s="67"/>
      <c r="H383" s="67"/>
      <c r="I383" s="67"/>
      <c r="J383" s="67"/>
      <c r="K383" s="67"/>
      <c r="L383" s="67"/>
      <c r="M383" s="67"/>
      <c r="N383" s="67"/>
      <c r="O383" s="67"/>
      <c r="P383" s="67"/>
      <c r="Q383" s="67"/>
      <c r="R383" s="67"/>
      <c r="S383" s="67"/>
      <c r="T383" s="67"/>
      <c r="U383" s="67"/>
      <c r="V383" s="67"/>
      <c r="W383" s="67"/>
      <c r="X383" s="67"/>
      <c r="Y383" s="67"/>
      <c r="Z383" s="67"/>
    </row>
    <row r="384">
      <c r="A384" s="135"/>
      <c r="B384" s="125"/>
      <c r="C384" s="125"/>
      <c r="D384" s="125"/>
      <c r="E384" s="126"/>
      <c r="F384" s="67"/>
      <c r="G384" s="67"/>
      <c r="H384" s="67"/>
      <c r="I384" s="67"/>
      <c r="J384" s="67"/>
      <c r="K384" s="67"/>
      <c r="L384" s="67"/>
      <c r="M384" s="67"/>
      <c r="N384" s="67"/>
      <c r="O384" s="67"/>
      <c r="P384" s="67"/>
      <c r="Q384" s="67"/>
      <c r="R384" s="67"/>
      <c r="S384" s="67"/>
      <c r="T384" s="67"/>
      <c r="U384" s="67"/>
      <c r="V384" s="67"/>
      <c r="W384" s="67"/>
      <c r="X384" s="67"/>
      <c r="Y384" s="67"/>
      <c r="Z384" s="67"/>
    </row>
    <row r="385">
      <c r="A385" s="136"/>
      <c r="B385" s="131"/>
      <c r="C385" s="131"/>
      <c r="D385" s="131"/>
      <c r="E385" s="130"/>
      <c r="F385" s="67"/>
      <c r="G385" s="67"/>
      <c r="H385" s="67"/>
      <c r="I385" s="67"/>
      <c r="J385" s="67"/>
      <c r="K385" s="67"/>
      <c r="L385" s="67"/>
      <c r="M385" s="67"/>
      <c r="N385" s="67"/>
      <c r="O385" s="67"/>
      <c r="P385" s="67"/>
      <c r="Q385" s="67"/>
      <c r="R385" s="67"/>
      <c r="S385" s="67"/>
      <c r="T385" s="67"/>
      <c r="U385" s="67"/>
      <c r="V385" s="67"/>
      <c r="W385" s="67"/>
      <c r="X385" s="67"/>
      <c r="Y385" s="67"/>
      <c r="Z385" s="67"/>
    </row>
    <row r="386">
      <c r="A386" s="135"/>
      <c r="B386" s="125"/>
      <c r="C386" s="125"/>
      <c r="D386" s="125"/>
      <c r="E386" s="126"/>
      <c r="F386" s="67"/>
      <c r="G386" s="67"/>
      <c r="H386" s="67"/>
      <c r="I386" s="67"/>
      <c r="J386" s="67"/>
      <c r="K386" s="67"/>
      <c r="L386" s="67"/>
      <c r="M386" s="67"/>
      <c r="N386" s="67"/>
      <c r="O386" s="67"/>
      <c r="P386" s="67"/>
      <c r="Q386" s="67"/>
      <c r="R386" s="67"/>
      <c r="S386" s="67"/>
      <c r="T386" s="67"/>
      <c r="U386" s="67"/>
      <c r="V386" s="67"/>
      <c r="W386" s="67"/>
      <c r="X386" s="67"/>
      <c r="Y386" s="67"/>
      <c r="Z386" s="67"/>
    </row>
    <row r="387">
      <c r="A387" s="136"/>
      <c r="B387" s="131"/>
      <c r="C387" s="131"/>
      <c r="D387" s="131"/>
      <c r="E387" s="130"/>
      <c r="F387" s="67"/>
      <c r="G387" s="67"/>
      <c r="H387" s="67"/>
      <c r="I387" s="67"/>
      <c r="J387" s="67"/>
      <c r="K387" s="67"/>
      <c r="L387" s="67"/>
      <c r="M387" s="67"/>
      <c r="N387" s="67"/>
      <c r="O387" s="67"/>
      <c r="P387" s="67"/>
      <c r="Q387" s="67"/>
      <c r="R387" s="67"/>
      <c r="S387" s="67"/>
      <c r="T387" s="67"/>
      <c r="U387" s="67"/>
      <c r="V387" s="67"/>
      <c r="W387" s="67"/>
      <c r="X387" s="67"/>
      <c r="Y387" s="67"/>
      <c r="Z387" s="67"/>
    </row>
    <row r="388">
      <c r="A388" s="135"/>
      <c r="B388" s="125"/>
      <c r="C388" s="125"/>
      <c r="D388" s="125"/>
      <c r="E388" s="126"/>
      <c r="F388" s="67"/>
      <c r="G388" s="67"/>
      <c r="H388" s="67"/>
      <c r="I388" s="67"/>
      <c r="J388" s="67"/>
      <c r="K388" s="67"/>
      <c r="L388" s="67"/>
      <c r="M388" s="67"/>
      <c r="N388" s="67"/>
      <c r="O388" s="67"/>
      <c r="P388" s="67"/>
      <c r="Q388" s="67"/>
      <c r="R388" s="67"/>
      <c r="S388" s="67"/>
      <c r="T388" s="67"/>
      <c r="U388" s="67"/>
      <c r="V388" s="67"/>
      <c r="W388" s="67"/>
      <c r="X388" s="67"/>
      <c r="Y388" s="67"/>
      <c r="Z388" s="67"/>
    </row>
    <row r="389">
      <c r="A389" s="136"/>
      <c r="B389" s="131"/>
      <c r="C389" s="131"/>
      <c r="D389" s="131"/>
      <c r="E389" s="130"/>
      <c r="F389" s="67"/>
      <c r="G389" s="67"/>
      <c r="H389" s="67"/>
      <c r="I389" s="67"/>
      <c r="J389" s="67"/>
      <c r="K389" s="67"/>
      <c r="L389" s="67"/>
      <c r="M389" s="67"/>
      <c r="N389" s="67"/>
      <c r="O389" s="67"/>
      <c r="P389" s="67"/>
      <c r="Q389" s="67"/>
      <c r="R389" s="67"/>
      <c r="S389" s="67"/>
      <c r="T389" s="67"/>
      <c r="U389" s="67"/>
      <c r="V389" s="67"/>
      <c r="W389" s="67"/>
      <c r="X389" s="67"/>
      <c r="Y389" s="67"/>
      <c r="Z389" s="67"/>
    </row>
    <row r="390">
      <c r="A390" s="135"/>
      <c r="B390" s="125"/>
      <c r="C390" s="125"/>
      <c r="D390" s="125"/>
      <c r="E390" s="126"/>
      <c r="F390" s="67"/>
      <c r="G390" s="67"/>
      <c r="H390" s="67"/>
      <c r="I390" s="67"/>
      <c r="J390" s="67"/>
      <c r="K390" s="67"/>
      <c r="L390" s="67"/>
      <c r="M390" s="67"/>
      <c r="N390" s="67"/>
      <c r="O390" s="67"/>
      <c r="P390" s="67"/>
      <c r="Q390" s="67"/>
      <c r="R390" s="67"/>
      <c r="S390" s="67"/>
      <c r="T390" s="67"/>
      <c r="U390" s="67"/>
      <c r="V390" s="67"/>
      <c r="W390" s="67"/>
      <c r="X390" s="67"/>
      <c r="Y390" s="67"/>
      <c r="Z390" s="67"/>
    </row>
    <row r="391">
      <c r="A391" s="136"/>
      <c r="B391" s="131"/>
      <c r="C391" s="131"/>
      <c r="D391" s="131"/>
      <c r="E391" s="130"/>
      <c r="F391" s="67"/>
      <c r="G391" s="67"/>
      <c r="H391" s="67"/>
      <c r="I391" s="67"/>
      <c r="J391" s="67"/>
      <c r="K391" s="67"/>
      <c r="L391" s="67"/>
      <c r="M391" s="67"/>
      <c r="N391" s="67"/>
      <c r="O391" s="67"/>
      <c r="P391" s="67"/>
      <c r="Q391" s="67"/>
      <c r="R391" s="67"/>
      <c r="S391" s="67"/>
      <c r="T391" s="67"/>
      <c r="U391" s="67"/>
      <c r="V391" s="67"/>
      <c r="W391" s="67"/>
      <c r="X391" s="67"/>
      <c r="Y391" s="67"/>
      <c r="Z391" s="67"/>
    </row>
    <row r="392">
      <c r="A392" s="135"/>
      <c r="B392" s="125"/>
      <c r="C392" s="125"/>
      <c r="D392" s="125"/>
      <c r="E392" s="126"/>
      <c r="F392" s="67"/>
      <c r="G392" s="67"/>
      <c r="H392" s="67"/>
      <c r="I392" s="67"/>
      <c r="J392" s="67"/>
      <c r="K392" s="67"/>
      <c r="L392" s="67"/>
      <c r="M392" s="67"/>
      <c r="N392" s="67"/>
      <c r="O392" s="67"/>
      <c r="P392" s="67"/>
      <c r="Q392" s="67"/>
      <c r="R392" s="67"/>
      <c r="S392" s="67"/>
      <c r="T392" s="67"/>
      <c r="U392" s="67"/>
      <c r="V392" s="67"/>
      <c r="W392" s="67"/>
      <c r="X392" s="67"/>
      <c r="Y392" s="67"/>
      <c r="Z392" s="67"/>
    </row>
    <row r="393">
      <c r="A393" s="136"/>
      <c r="B393" s="131"/>
      <c r="C393" s="131"/>
      <c r="D393" s="131"/>
      <c r="E393" s="130"/>
      <c r="F393" s="67"/>
      <c r="G393" s="67"/>
      <c r="H393" s="67"/>
      <c r="I393" s="67"/>
      <c r="J393" s="67"/>
      <c r="K393" s="67"/>
      <c r="L393" s="67"/>
      <c r="M393" s="67"/>
      <c r="N393" s="67"/>
      <c r="O393" s="67"/>
      <c r="P393" s="67"/>
      <c r="Q393" s="67"/>
      <c r="R393" s="67"/>
      <c r="S393" s="67"/>
      <c r="T393" s="67"/>
      <c r="U393" s="67"/>
      <c r="V393" s="67"/>
      <c r="W393" s="67"/>
      <c r="X393" s="67"/>
      <c r="Y393" s="67"/>
      <c r="Z393" s="67"/>
    </row>
    <row r="394">
      <c r="A394" s="135"/>
      <c r="B394" s="125"/>
      <c r="C394" s="125"/>
      <c r="D394" s="125"/>
      <c r="E394" s="126"/>
      <c r="F394" s="67"/>
      <c r="G394" s="67"/>
      <c r="H394" s="67"/>
      <c r="I394" s="67"/>
      <c r="J394" s="67"/>
      <c r="K394" s="67"/>
      <c r="L394" s="67"/>
      <c r="M394" s="67"/>
      <c r="N394" s="67"/>
      <c r="O394" s="67"/>
      <c r="P394" s="67"/>
      <c r="Q394" s="67"/>
      <c r="R394" s="67"/>
      <c r="S394" s="67"/>
      <c r="T394" s="67"/>
      <c r="U394" s="67"/>
      <c r="V394" s="67"/>
      <c r="W394" s="67"/>
      <c r="X394" s="67"/>
      <c r="Y394" s="67"/>
      <c r="Z394" s="67"/>
    </row>
    <row r="395">
      <c r="A395" s="136"/>
      <c r="B395" s="131"/>
      <c r="C395" s="131"/>
      <c r="D395" s="131"/>
      <c r="E395" s="130"/>
      <c r="F395" s="67"/>
      <c r="G395" s="67"/>
      <c r="H395" s="67"/>
      <c r="I395" s="67"/>
      <c r="J395" s="67"/>
      <c r="K395" s="67"/>
      <c r="L395" s="67"/>
      <c r="M395" s="67"/>
      <c r="N395" s="67"/>
      <c r="O395" s="67"/>
      <c r="P395" s="67"/>
      <c r="Q395" s="67"/>
      <c r="R395" s="67"/>
      <c r="S395" s="67"/>
      <c r="T395" s="67"/>
      <c r="U395" s="67"/>
      <c r="V395" s="67"/>
      <c r="W395" s="67"/>
      <c r="X395" s="67"/>
      <c r="Y395" s="67"/>
      <c r="Z395" s="67"/>
    </row>
    <row r="396">
      <c r="A396" s="135"/>
      <c r="B396" s="125"/>
      <c r="C396" s="125"/>
      <c r="D396" s="125"/>
      <c r="E396" s="126"/>
      <c r="F396" s="67"/>
      <c r="G396" s="67"/>
      <c r="H396" s="67"/>
      <c r="I396" s="67"/>
      <c r="J396" s="67"/>
      <c r="K396" s="67"/>
      <c r="L396" s="67"/>
      <c r="M396" s="67"/>
      <c r="N396" s="67"/>
      <c r="O396" s="67"/>
      <c r="P396" s="67"/>
      <c r="Q396" s="67"/>
      <c r="R396" s="67"/>
      <c r="S396" s="67"/>
      <c r="T396" s="67"/>
      <c r="U396" s="67"/>
      <c r="V396" s="67"/>
      <c r="W396" s="67"/>
      <c r="X396" s="67"/>
      <c r="Y396" s="67"/>
      <c r="Z396" s="67"/>
    </row>
    <row r="397">
      <c r="A397" s="136"/>
      <c r="B397" s="131"/>
      <c r="C397" s="131"/>
      <c r="D397" s="131"/>
      <c r="E397" s="130"/>
      <c r="F397" s="67"/>
      <c r="G397" s="67"/>
      <c r="H397" s="67"/>
      <c r="I397" s="67"/>
      <c r="J397" s="67"/>
      <c r="K397" s="67"/>
      <c r="L397" s="67"/>
      <c r="M397" s="67"/>
      <c r="N397" s="67"/>
      <c r="O397" s="67"/>
      <c r="P397" s="67"/>
      <c r="Q397" s="67"/>
      <c r="R397" s="67"/>
      <c r="S397" s="67"/>
      <c r="T397" s="67"/>
      <c r="U397" s="67"/>
      <c r="V397" s="67"/>
      <c r="W397" s="67"/>
      <c r="X397" s="67"/>
      <c r="Y397" s="67"/>
      <c r="Z397" s="67"/>
    </row>
    <row r="398">
      <c r="A398" s="135"/>
      <c r="B398" s="125"/>
      <c r="C398" s="125"/>
      <c r="D398" s="125"/>
      <c r="E398" s="126"/>
      <c r="F398" s="67"/>
      <c r="G398" s="67"/>
      <c r="H398" s="67"/>
      <c r="I398" s="67"/>
      <c r="J398" s="67"/>
      <c r="K398" s="67"/>
      <c r="L398" s="67"/>
      <c r="M398" s="67"/>
      <c r="N398" s="67"/>
      <c r="O398" s="67"/>
      <c r="P398" s="67"/>
      <c r="Q398" s="67"/>
      <c r="R398" s="67"/>
      <c r="S398" s="67"/>
      <c r="T398" s="67"/>
      <c r="U398" s="67"/>
      <c r="V398" s="67"/>
      <c r="W398" s="67"/>
      <c r="X398" s="67"/>
      <c r="Y398" s="67"/>
      <c r="Z398" s="67"/>
    </row>
    <row r="399">
      <c r="A399" s="136"/>
      <c r="B399" s="131"/>
      <c r="C399" s="131"/>
      <c r="D399" s="131"/>
      <c r="E399" s="130"/>
      <c r="F399" s="67"/>
      <c r="G399" s="67"/>
      <c r="H399" s="67"/>
      <c r="I399" s="67"/>
      <c r="J399" s="67"/>
      <c r="K399" s="67"/>
      <c r="L399" s="67"/>
      <c r="M399" s="67"/>
      <c r="N399" s="67"/>
      <c r="O399" s="67"/>
      <c r="P399" s="67"/>
      <c r="Q399" s="67"/>
      <c r="R399" s="67"/>
      <c r="S399" s="67"/>
      <c r="T399" s="67"/>
      <c r="U399" s="67"/>
      <c r="V399" s="67"/>
      <c r="W399" s="67"/>
      <c r="X399" s="67"/>
      <c r="Y399" s="67"/>
      <c r="Z399" s="67"/>
    </row>
    <row r="400">
      <c r="A400" s="135"/>
      <c r="B400" s="125"/>
      <c r="C400" s="125"/>
      <c r="D400" s="125"/>
      <c r="E400" s="126"/>
      <c r="F400" s="67"/>
      <c r="G400" s="67"/>
      <c r="H400" s="67"/>
      <c r="I400" s="67"/>
      <c r="J400" s="67"/>
      <c r="K400" s="67"/>
      <c r="L400" s="67"/>
      <c r="M400" s="67"/>
      <c r="N400" s="67"/>
      <c r="O400" s="67"/>
      <c r="P400" s="67"/>
      <c r="Q400" s="67"/>
      <c r="R400" s="67"/>
      <c r="S400" s="67"/>
      <c r="T400" s="67"/>
      <c r="U400" s="67"/>
      <c r="V400" s="67"/>
      <c r="W400" s="67"/>
      <c r="X400" s="67"/>
      <c r="Y400" s="67"/>
      <c r="Z400" s="67"/>
    </row>
    <row r="401">
      <c r="A401" s="136"/>
      <c r="B401" s="131"/>
      <c r="C401" s="131"/>
      <c r="D401" s="131"/>
      <c r="E401" s="130"/>
      <c r="F401" s="67"/>
      <c r="G401" s="67"/>
      <c r="H401" s="67"/>
      <c r="I401" s="67"/>
      <c r="J401" s="67"/>
      <c r="K401" s="67"/>
      <c r="L401" s="67"/>
      <c r="M401" s="67"/>
      <c r="N401" s="67"/>
      <c r="O401" s="67"/>
      <c r="P401" s="67"/>
      <c r="Q401" s="67"/>
      <c r="R401" s="67"/>
      <c r="S401" s="67"/>
      <c r="T401" s="67"/>
      <c r="U401" s="67"/>
      <c r="V401" s="67"/>
      <c r="W401" s="67"/>
      <c r="X401" s="67"/>
      <c r="Y401" s="67"/>
      <c r="Z401" s="67"/>
    </row>
    <row r="402">
      <c r="A402" s="135"/>
      <c r="B402" s="125"/>
      <c r="C402" s="125"/>
      <c r="D402" s="125"/>
      <c r="E402" s="126"/>
      <c r="F402" s="67"/>
      <c r="G402" s="67"/>
      <c r="H402" s="67"/>
      <c r="I402" s="67"/>
      <c r="J402" s="67"/>
      <c r="K402" s="67"/>
      <c r="L402" s="67"/>
      <c r="M402" s="67"/>
      <c r="N402" s="67"/>
      <c r="O402" s="67"/>
      <c r="P402" s="67"/>
      <c r="Q402" s="67"/>
      <c r="R402" s="67"/>
      <c r="S402" s="67"/>
      <c r="T402" s="67"/>
      <c r="U402" s="67"/>
      <c r="V402" s="67"/>
      <c r="W402" s="67"/>
      <c r="X402" s="67"/>
      <c r="Y402" s="67"/>
      <c r="Z402" s="67"/>
    </row>
    <row r="403">
      <c r="A403" s="136"/>
      <c r="B403" s="131"/>
      <c r="C403" s="131"/>
      <c r="D403" s="131"/>
      <c r="E403" s="130"/>
      <c r="F403" s="67"/>
      <c r="G403" s="67"/>
      <c r="H403" s="67"/>
      <c r="I403" s="67"/>
      <c r="J403" s="67"/>
      <c r="K403" s="67"/>
      <c r="L403" s="67"/>
      <c r="M403" s="67"/>
      <c r="N403" s="67"/>
      <c r="O403" s="67"/>
      <c r="P403" s="67"/>
      <c r="Q403" s="67"/>
      <c r="R403" s="67"/>
      <c r="S403" s="67"/>
      <c r="T403" s="67"/>
      <c r="U403" s="67"/>
      <c r="V403" s="67"/>
      <c r="W403" s="67"/>
      <c r="X403" s="67"/>
      <c r="Y403" s="67"/>
      <c r="Z403" s="67"/>
    </row>
    <row r="404">
      <c r="A404" s="135"/>
      <c r="B404" s="125"/>
      <c r="C404" s="125"/>
      <c r="D404" s="125"/>
      <c r="E404" s="126"/>
      <c r="F404" s="67"/>
      <c r="G404" s="67"/>
      <c r="H404" s="67"/>
      <c r="I404" s="67"/>
      <c r="J404" s="67"/>
      <c r="K404" s="67"/>
      <c r="L404" s="67"/>
      <c r="M404" s="67"/>
      <c r="N404" s="67"/>
      <c r="O404" s="67"/>
      <c r="P404" s="67"/>
      <c r="Q404" s="67"/>
      <c r="R404" s="67"/>
      <c r="S404" s="67"/>
      <c r="T404" s="67"/>
      <c r="U404" s="67"/>
      <c r="V404" s="67"/>
      <c r="W404" s="67"/>
      <c r="X404" s="67"/>
      <c r="Y404" s="67"/>
      <c r="Z404" s="67"/>
    </row>
    <row r="405">
      <c r="A405" s="136"/>
      <c r="B405" s="131"/>
      <c r="C405" s="131"/>
      <c r="D405" s="131"/>
      <c r="E405" s="130"/>
      <c r="F405" s="67"/>
      <c r="G405" s="67"/>
      <c r="H405" s="67"/>
      <c r="I405" s="67"/>
      <c r="J405" s="67"/>
      <c r="K405" s="67"/>
      <c r="L405" s="67"/>
      <c r="M405" s="67"/>
      <c r="N405" s="67"/>
      <c r="O405" s="67"/>
      <c r="P405" s="67"/>
      <c r="Q405" s="67"/>
      <c r="R405" s="67"/>
      <c r="S405" s="67"/>
      <c r="T405" s="67"/>
      <c r="U405" s="67"/>
      <c r="V405" s="67"/>
      <c r="W405" s="67"/>
      <c r="X405" s="67"/>
      <c r="Y405" s="67"/>
      <c r="Z405" s="67"/>
    </row>
    <row r="406">
      <c r="A406" s="135"/>
      <c r="B406" s="125"/>
      <c r="C406" s="125"/>
      <c r="D406" s="125"/>
      <c r="E406" s="126"/>
      <c r="F406" s="67"/>
      <c r="G406" s="67"/>
      <c r="H406" s="67"/>
      <c r="I406" s="67"/>
      <c r="J406" s="67"/>
      <c r="K406" s="67"/>
      <c r="L406" s="67"/>
      <c r="M406" s="67"/>
      <c r="N406" s="67"/>
      <c r="O406" s="67"/>
      <c r="P406" s="67"/>
      <c r="Q406" s="67"/>
      <c r="R406" s="67"/>
      <c r="S406" s="67"/>
      <c r="T406" s="67"/>
      <c r="U406" s="67"/>
      <c r="V406" s="67"/>
      <c r="W406" s="67"/>
      <c r="X406" s="67"/>
      <c r="Y406" s="67"/>
      <c r="Z406" s="67"/>
    </row>
    <row r="407">
      <c r="A407" s="136"/>
      <c r="B407" s="131"/>
      <c r="C407" s="131"/>
      <c r="D407" s="131"/>
      <c r="E407" s="130"/>
      <c r="F407" s="67"/>
      <c r="G407" s="67"/>
      <c r="H407" s="67"/>
      <c r="I407" s="67"/>
      <c r="J407" s="67"/>
      <c r="K407" s="67"/>
      <c r="L407" s="67"/>
      <c r="M407" s="67"/>
      <c r="N407" s="67"/>
      <c r="O407" s="67"/>
      <c r="P407" s="67"/>
      <c r="Q407" s="67"/>
      <c r="R407" s="67"/>
      <c r="S407" s="67"/>
      <c r="T407" s="67"/>
      <c r="U407" s="67"/>
      <c r="V407" s="67"/>
      <c r="W407" s="67"/>
      <c r="X407" s="67"/>
      <c r="Y407" s="67"/>
      <c r="Z407" s="67"/>
    </row>
    <row r="408">
      <c r="A408" s="135"/>
      <c r="B408" s="125"/>
      <c r="C408" s="125"/>
      <c r="D408" s="125"/>
      <c r="E408" s="126"/>
      <c r="F408" s="67"/>
      <c r="G408" s="67"/>
      <c r="H408" s="67"/>
      <c r="I408" s="67"/>
      <c r="J408" s="67"/>
      <c r="K408" s="67"/>
      <c r="L408" s="67"/>
      <c r="M408" s="67"/>
      <c r="N408" s="67"/>
      <c r="O408" s="67"/>
      <c r="P408" s="67"/>
      <c r="Q408" s="67"/>
      <c r="R408" s="67"/>
      <c r="S408" s="67"/>
      <c r="T408" s="67"/>
      <c r="U408" s="67"/>
      <c r="V408" s="67"/>
      <c r="W408" s="67"/>
      <c r="X408" s="67"/>
      <c r="Y408" s="67"/>
      <c r="Z408" s="67"/>
    </row>
    <row r="409">
      <c r="A409" s="136"/>
      <c r="B409" s="131"/>
      <c r="C409" s="131"/>
      <c r="D409" s="131"/>
      <c r="E409" s="130"/>
      <c r="F409" s="67"/>
      <c r="G409" s="67"/>
      <c r="H409" s="67"/>
      <c r="I409" s="67"/>
      <c r="J409" s="67"/>
      <c r="K409" s="67"/>
      <c r="L409" s="67"/>
      <c r="M409" s="67"/>
      <c r="N409" s="67"/>
      <c r="O409" s="67"/>
      <c r="P409" s="67"/>
      <c r="Q409" s="67"/>
      <c r="R409" s="67"/>
      <c r="S409" s="67"/>
      <c r="T409" s="67"/>
      <c r="U409" s="67"/>
      <c r="V409" s="67"/>
      <c r="W409" s="67"/>
      <c r="X409" s="67"/>
      <c r="Y409" s="67"/>
      <c r="Z409" s="67"/>
    </row>
    <row r="410">
      <c r="A410" s="135"/>
      <c r="B410" s="125"/>
      <c r="C410" s="125"/>
      <c r="D410" s="125"/>
      <c r="E410" s="126"/>
      <c r="F410" s="67"/>
      <c r="G410" s="67"/>
      <c r="H410" s="67"/>
      <c r="I410" s="67"/>
      <c r="J410" s="67"/>
      <c r="K410" s="67"/>
      <c r="L410" s="67"/>
      <c r="M410" s="67"/>
      <c r="N410" s="67"/>
      <c r="O410" s="67"/>
      <c r="P410" s="67"/>
      <c r="Q410" s="67"/>
      <c r="R410" s="67"/>
      <c r="S410" s="67"/>
      <c r="T410" s="67"/>
      <c r="U410" s="67"/>
      <c r="V410" s="67"/>
      <c r="W410" s="67"/>
      <c r="X410" s="67"/>
      <c r="Y410" s="67"/>
      <c r="Z410" s="67"/>
    </row>
    <row r="411">
      <c r="A411" s="136"/>
      <c r="B411" s="131"/>
      <c r="C411" s="131"/>
      <c r="D411" s="131"/>
      <c r="E411" s="130"/>
      <c r="F411" s="67"/>
      <c r="G411" s="67"/>
      <c r="H411" s="67"/>
      <c r="I411" s="67"/>
      <c r="J411" s="67"/>
      <c r="K411" s="67"/>
      <c r="L411" s="67"/>
      <c r="M411" s="67"/>
      <c r="N411" s="67"/>
      <c r="O411" s="67"/>
      <c r="P411" s="67"/>
      <c r="Q411" s="67"/>
      <c r="R411" s="67"/>
      <c r="S411" s="67"/>
      <c r="T411" s="67"/>
      <c r="U411" s="67"/>
      <c r="V411" s="67"/>
      <c r="W411" s="67"/>
      <c r="X411" s="67"/>
      <c r="Y411" s="67"/>
      <c r="Z411" s="67"/>
    </row>
    <row r="412">
      <c r="A412" s="135"/>
      <c r="B412" s="125"/>
      <c r="C412" s="125"/>
      <c r="D412" s="125"/>
      <c r="E412" s="126"/>
      <c r="F412" s="67"/>
      <c r="G412" s="67"/>
      <c r="H412" s="67"/>
      <c r="I412" s="67"/>
      <c r="J412" s="67"/>
      <c r="K412" s="67"/>
      <c r="L412" s="67"/>
      <c r="M412" s="67"/>
      <c r="N412" s="67"/>
      <c r="O412" s="67"/>
      <c r="P412" s="67"/>
      <c r="Q412" s="67"/>
      <c r="R412" s="67"/>
      <c r="S412" s="67"/>
      <c r="T412" s="67"/>
      <c r="U412" s="67"/>
      <c r="V412" s="67"/>
      <c r="W412" s="67"/>
      <c r="X412" s="67"/>
      <c r="Y412" s="67"/>
      <c r="Z412" s="67"/>
    </row>
    <row r="413">
      <c r="A413" s="136"/>
      <c r="B413" s="131"/>
      <c r="C413" s="131"/>
      <c r="D413" s="131"/>
      <c r="E413" s="130"/>
      <c r="F413" s="67"/>
      <c r="G413" s="67"/>
      <c r="H413" s="67"/>
      <c r="I413" s="67"/>
      <c r="J413" s="67"/>
      <c r="K413" s="67"/>
      <c r="L413" s="67"/>
      <c r="M413" s="67"/>
      <c r="N413" s="67"/>
      <c r="O413" s="67"/>
      <c r="P413" s="67"/>
      <c r="Q413" s="67"/>
      <c r="R413" s="67"/>
      <c r="S413" s="67"/>
      <c r="T413" s="67"/>
      <c r="U413" s="67"/>
      <c r="V413" s="67"/>
      <c r="W413" s="67"/>
      <c r="X413" s="67"/>
      <c r="Y413" s="67"/>
      <c r="Z413" s="67"/>
    </row>
    <row r="414">
      <c r="A414" s="135"/>
      <c r="B414" s="125"/>
      <c r="C414" s="125"/>
      <c r="D414" s="125"/>
      <c r="E414" s="126"/>
      <c r="F414" s="67"/>
      <c r="G414" s="67"/>
      <c r="H414" s="67"/>
      <c r="I414" s="67"/>
      <c r="J414" s="67"/>
      <c r="K414" s="67"/>
      <c r="L414" s="67"/>
      <c r="M414" s="67"/>
      <c r="N414" s="67"/>
      <c r="O414" s="67"/>
      <c r="P414" s="67"/>
      <c r="Q414" s="67"/>
      <c r="R414" s="67"/>
      <c r="S414" s="67"/>
      <c r="T414" s="67"/>
      <c r="U414" s="67"/>
      <c r="V414" s="67"/>
      <c r="W414" s="67"/>
      <c r="X414" s="67"/>
      <c r="Y414" s="67"/>
      <c r="Z414" s="67"/>
    </row>
    <row r="415">
      <c r="A415" s="136"/>
      <c r="B415" s="131"/>
      <c r="C415" s="131"/>
      <c r="D415" s="131"/>
      <c r="E415" s="130"/>
      <c r="F415" s="67"/>
      <c r="G415" s="67"/>
      <c r="H415" s="67"/>
      <c r="I415" s="67"/>
      <c r="J415" s="67"/>
      <c r="K415" s="67"/>
      <c r="L415" s="67"/>
      <c r="M415" s="67"/>
      <c r="N415" s="67"/>
      <c r="O415" s="67"/>
      <c r="P415" s="67"/>
      <c r="Q415" s="67"/>
      <c r="R415" s="67"/>
      <c r="S415" s="67"/>
      <c r="T415" s="67"/>
      <c r="U415" s="67"/>
      <c r="V415" s="67"/>
      <c r="W415" s="67"/>
      <c r="X415" s="67"/>
      <c r="Y415" s="67"/>
      <c r="Z415" s="67"/>
    </row>
    <row r="416">
      <c r="A416" s="135"/>
      <c r="B416" s="125"/>
      <c r="C416" s="125"/>
      <c r="D416" s="125"/>
      <c r="E416" s="126"/>
      <c r="F416" s="67"/>
      <c r="G416" s="67"/>
      <c r="H416" s="67"/>
      <c r="I416" s="67"/>
      <c r="J416" s="67"/>
      <c r="K416" s="67"/>
      <c r="L416" s="67"/>
      <c r="M416" s="67"/>
      <c r="N416" s="67"/>
      <c r="O416" s="67"/>
      <c r="P416" s="67"/>
      <c r="Q416" s="67"/>
      <c r="R416" s="67"/>
      <c r="S416" s="67"/>
      <c r="T416" s="67"/>
      <c r="U416" s="67"/>
      <c r="V416" s="67"/>
      <c r="W416" s="67"/>
      <c r="X416" s="67"/>
      <c r="Y416" s="67"/>
      <c r="Z416" s="67"/>
    </row>
    <row r="417">
      <c r="A417" s="136"/>
      <c r="B417" s="131"/>
      <c r="C417" s="131"/>
      <c r="D417" s="131"/>
      <c r="E417" s="130"/>
      <c r="F417" s="67"/>
      <c r="G417" s="67"/>
      <c r="H417" s="67"/>
      <c r="I417" s="67"/>
      <c r="J417" s="67"/>
      <c r="K417" s="67"/>
      <c r="L417" s="67"/>
      <c r="M417" s="67"/>
      <c r="N417" s="67"/>
      <c r="O417" s="67"/>
      <c r="P417" s="67"/>
      <c r="Q417" s="67"/>
      <c r="R417" s="67"/>
      <c r="S417" s="67"/>
      <c r="T417" s="67"/>
      <c r="U417" s="67"/>
      <c r="V417" s="67"/>
      <c r="W417" s="67"/>
      <c r="X417" s="67"/>
      <c r="Y417" s="67"/>
      <c r="Z417" s="67"/>
    </row>
    <row r="418">
      <c r="A418" s="135"/>
      <c r="B418" s="125"/>
      <c r="C418" s="125"/>
      <c r="D418" s="125"/>
      <c r="E418" s="126"/>
      <c r="F418" s="67"/>
      <c r="G418" s="67"/>
      <c r="H418" s="67"/>
      <c r="I418" s="67"/>
      <c r="J418" s="67"/>
      <c r="K418" s="67"/>
      <c r="L418" s="67"/>
      <c r="M418" s="67"/>
      <c r="N418" s="67"/>
      <c r="O418" s="67"/>
      <c r="P418" s="67"/>
      <c r="Q418" s="67"/>
      <c r="R418" s="67"/>
      <c r="S418" s="67"/>
      <c r="T418" s="67"/>
      <c r="U418" s="67"/>
      <c r="V418" s="67"/>
      <c r="W418" s="67"/>
      <c r="X418" s="67"/>
      <c r="Y418" s="67"/>
      <c r="Z418" s="67"/>
    </row>
    <row r="419">
      <c r="A419" s="136"/>
      <c r="B419" s="131"/>
      <c r="C419" s="131"/>
      <c r="D419" s="131"/>
      <c r="E419" s="130"/>
      <c r="F419" s="67"/>
      <c r="G419" s="67"/>
      <c r="H419" s="67"/>
      <c r="I419" s="67"/>
      <c r="J419" s="67"/>
      <c r="K419" s="67"/>
      <c r="L419" s="67"/>
      <c r="M419" s="67"/>
      <c r="N419" s="67"/>
      <c r="O419" s="67"/>
      <c r="P419" s="67"/>
      <c r="Q419" s="67"/>
      <c r="R419" s="67"/>
      <c r="S419" s="67"/>
      <c r="T419" s="67"/>
      <c r="U419" s="67"/>
      <c r="V419" s="67"/>
      <c r="W419" s="67"/>
      <c r="X419" s="67"/>
      <c r="Y419" s="67"/>
      <c r="Z419" s="67"/>
    </row>
    <row r="420">
      <c r="A420" s="135"/>
      <c r="B420" s="125"/>
      <c r="C420" s="125"/>
      <c r="D420" s="125"/>
      <c r="E420" s="126"/>
      <c r="F420" s="67"/>
      <c r="G420" s="67"/>
      <c r="H420" s="67"/>
      <c r="I420" s="67"/>
      <c r="J420" s="67"/>
      <c r="K420" s="67"/>
      <c r="L420" s="67"/>
      <c r="M420" s="67"/>
      <c r="N420" s="67"/>
      <c r="O420" s="67"/>
      <c r="P420" s="67"/>
      <c r="Q420" s="67"/>
      <c r="R420" s="67"/>
      <c r="S420" s="67"/>
      <c r="T420" s="67"/>
      <c r="U420" s="67"/>
      <c r="V420" s="67"/>
      <c r="W420" s="67"/>
      <c r="X420" s="67"/>
      <c r="Y420" s="67"/>
      <c r="Z420" s="67"/>
    </row>
    <row r="421">
      <c r="A421" s="136"/>
      <c r="B421" s="131"/>
      <c r="C421" s="131"/>
      <c r="D421" s="131"/>
      <c r="E421" s="130"/>
      <c r="F421" s="67"/>
      <c r="G421" s="67"/>
      <c r="H421" s="67"/>
      <c r="I421" s="67"/>
      <c r="J421" s="67"/>
      <c r="K421" s="67"/>
      <c r="L421" s="67"/>
      <c r="M421" s="67"/>
      <c r="N421" s="67"/>
      <c r="O421" s="67"/>
      <c r="P421" s="67"/>
      <c r="Q421" s="67"/>
      <c r="R421" s="67"/>
      <c r="S421" s="67"/>
      <c r="T421" s="67"/>
      <c r="U421" s="67"/>
      <c r="V421" s="67"/>
      <c r="W421" s="67"/>
      <c r="X421" s="67"/>
      <c r="Y421" s="67"/>
      <c r="Z421" s="67"/>
    </row>
    <row r="422">
      <c r="A422" s="135"/>
      <c r="B422" s="125"/>
      <c r="C422" s="125"/>
      <c r="D422" s="125"/>
      <c r="E422" s="126"/>
      <c r="F422" s="67"/>
      <c r="G422" s="67"/>
      <c r="H422" s="67"/>
      <c r="I422" s="67"/>
      <c r="J422" s="67"/>
      <c r="K422" s="67"/>
      <c r="L422" s="67"/>
      <c r="M422" s="67"/>
      <c r="N422" s="67"/>
      <c r="O422" s="67"/>
      <c r="P422" s="67"/>
      <c r="Q422" s="67"/>
      <c r="R422" s="67"/>
      <c r="S422" s="67"/>
      <c r="T422" s="67"/>
      <c r="U422" s="67"/>
      <c r="V422" s="67"/>
      <c r="W422" s="67"/>
      <c r="X422" s="67"/>
      <c r="Y422" s="67"/>
      <c r="Z422" s="67"/>
    </row>
    <row r="423">
      <c r="A423" s="136"/>
      <c r="B423" s="131"/>
      <c r="C423" s="131"/>
      <c r="D423" s="131"/>
      <c r="E423" s="130"/>
      <c r="F423" s="67"/>
      <c r="G423" s="67"/>
      <c r="H423" s="67"/>
      <c r="I423" s="67"/>
      <c r="J423" s="67"/>
      <c r="K423" s="67"/>
      <c r="L423" s="67"/>
      <c r="M423" s="67"/>
      <c r="N423" s="67"/>
      <c r="O423" s="67"/>
      <c r="P423" s="67"/>
      <c r="Q423" s="67"/>
      <c r="R423" s="67"/>
      <c r="S423" s="67"/>
      <c r="T423" s="67"/>
      <c r="U423" s="67"/>
      <c r="V423" s="67"/>
      <c r="W423" s="67"/>
      <c r="X423" s="67"/>
      <c r="Y423" s="67"/>
      <c r="Z423" s="67"/>
    </row>
    <row r="424">
      <c r="A424" s="135"/>
      <c r="B424" s="125"/>
      <c r="C424" s="125"/>
      <c r="D424" s="125"/>
      <c r="E424" s="126"/>
      <c r="F424" s="67"/>
      <c r="G424" s="67"/>
      <c r="H424" s="67"/>
      <c r="I424" s="67"/>
      <c r="J424" s="67"/>
      <c r="K424" s="67"/>
      <c r="L424" s="67"/>
      <c r="M424" s="67"/>
      <c r="N424" s="67"/>
      <c r="O424" s="67"/>
      <c r="P424" s="67"/>
      <c r="Q424" s="67"/>
      <c r="R424" s="67"/>
      <c r="S424" s="67"/>
      <c r="T424" s="67"/>
      <c r="U424" s="67"/>
      <c r="V424" s="67"/>
      <c r="W424" s="67"/>
      <c r="X424" s="67"/>
      <c r="Y424" s="67"/>
      <c r="Z424" s="67"/>
    </row>
    <row r="425">
      <c r="A425" s="136"/>
      <c r="B425" s="131"/>
      <c r="C425" s="131"/>
      <c r="D425" s="131"/>
      <c r="E425" s="130"/>
      <c r="F425" s="67"/>
      <c r="G425" s="67"/>
      <c r="H425" s="67"/>
      <c r="I425" s="67"/>
      <c r="J425" s="67"/>
      <c r="K425" s="67"/>
      <c r="L425" s="67"/>
      <c r="M425" s="67"/>
      <c r="N425" s="67"/>
      <c r="O425" s="67"/>
      <c r="P425" s="67"/>
      <c r="Q425" s="67"/>
      <c r="R425" s="67"/>
      <c r="S425" s="67"/>
      <c r="T425" s="67"/>
      <c r="U425" s="67"/>
      <c r="V425" s="67"/>
      <c r="W425" s="67"/>
      <c r="X425" s="67"/>
      <c r="Y425" s="67"/>
      <c r="Z425" s="67"/>
    </row>
    <row r="426">
      <c r="A426" s="135"/>
      <c r="B426" s="125"/>
      <c r="C426" s="125"/>
      <c r="D426" s="125"/>
      <c r="E426" s="126"/>
      <c r="F426" s="67"/>
      <c r="G426" s="67"/>
      <c r="H426" s="67"/>
      <c r="I426" s="67"/>
      <c r="J426" s="67"/>
      <c r="K426" s="67"/>
      <c r="L426" s="67"/>
      <c r="M426" s="67"/>
      <c r="N426" s="67"/>
      <c r="O426" s="67"/>
      <c r="P426" s="67"/>
      <c r="Q426" s="67"/>
      <c r="R426" s="67"/>
      <c r="S426" s="67"/>
      <c r="T426" s="67"/>
      <c r="U426" s="67"/>
      <c r="V426" s="67"/>
      <c r="W426" s="67"/>
      <c r="X426" s="67"/>
      <c r="Y426" s="67"/>
      <c r="Z426" s="67"/>
    </row>
    <row r="427">
      <c r="A427" s="136"/>
      <c r="B427" s="131"/>
      <c r="C427" s="131"/>
      <c r="D427" s="131"/>
      <c r="E427" s="130"/>
      <c r="F427" s="67"/>
      <c r="G427" s="67"/>
      <c r="H427" s="67"/>
      <c r="I427" s="67"/>
      <c r="J427" s="67"/>
      <c r="K427" s="67"/>
      <c r="L427" s="67"/>
      <c r="M427" s="67"/>
      <c r="N427" s="67"/>
      <c r="O427" s="67"/>
      <c r="P427" s="67"/>
      <c r="Q427" s="67"/>
      <c r="R427" s="67"/>
      <c r="S427" s="67"/>
      <c r="T427" s="67"/>
      <c r="U427" s="67"/>
      <c r="V427" s="67"/>
      <c r="W427" s="67"/>
      <c r="X427" s="67"/>
      <c r="Y427" s="67"/>
      <c r="Z427" s="67"/>
    </row>
    <row r="428">
      <c r="A428" s="135"/>
      <c r="B428" s="125"/>
      <c r="C428" s="125"/>
      <c r="D428" s="125"/>
      <c r="E428" s="126"/>
      <c r="F428" s="67"/>
      <c r="G428" s="67"/>
      <c r="H428" s="67"/>
      <c r="I428" s="67"/>
      <c r="J428" s="67"/>
      <c r="K428" s="67"/>
      <c r="L428" s="67"/>
      <c r="M428" s="67"/>
      <c r="N428" s="67"/>
      <c r="O428" s="67"/>
      <c r="P428" s="67"/>
      <c r="Q428" s="67"/>
      <c r="R428" s="67"/>
      <c r="S428" s="67"/>
      <c r="T428" s="67"/>
      <c r="U428" s="67"/>
      <c r="V428" s="67"/>
      <c r="W428" s="67"/>
      <c r="X428" s="67"/>
      <c r="Y428" s="67"/>
      <c r="Z428" s="67"/>
    </row>
    <row r="429">
      <c r="A429" s="136"/>
      <c r="B429" s="131"/>
      <c r="C429" s="131"/>
      <c r="D429" s="131"/>
      <c r="E429" s="130"/>
      <c r="F429" s="67"/>
      <c r="G429" s="67"/>
      <c r="H429" s="67"/>
      <c r="I429" s="67"/>
      <c r="J429" s="67"/>
      <c r="K429" s="67"/>
      <c r="L429" s="67"/>
      <c r="M429" s="67"/>
      <c r="N429" s="67"/>
      <c r="O429" s="67"/>
      <c r="P429" s="67"/>
      <c r="Q429" s="67"/>
      <c r="R429" s="67"/>
      <c r="S429" s="67"/>
      <c r="T429" s="67"/>
      <c r="U429" s="67"/>
      <c r="V429" s="67"/>
      <c r="W429" s="67"/>
      <c r="X429" s="67"/>
      <c r="Y429" s="67"/>
      <c r="Z429" s="67"/>
    </row>
    <row r="430">
      <c r="A430" s="135"/>
      <c r="B430" s="125"/>
      <c r="C430" s="125"/>
      <c r="D430" s="125"/>
      <c r="E430" s="126"/>
      <c r="F430" s="67"/>
      <c r="G430" s="67"/>
      <c r="H430" s="67"/>
      <c r="I430" s="67"/>
      <c r="J430" s="67"/>
      <c r="K430" s="67"/>
      <c r="L430" s="67"/>
      <c r="M430" s="67"/>
      <c r="N430" s="67"/>
      <c r="O430" s="67"/>
      <c r="P430" s="67"/>
      <c r="Q430" s="67"/>
      <c r="R430" s="67"/>
      <c r="S430" s="67"/>
      <c r="T430" s="67"/>
      <c r="U430" s="67"/>
      <c r="V430" s="67"/>
      <c r="W430" s="67"/>
      <c r="X430" s="67"/>
      <c r="Y430" s="67"/>
      <c r="Z430" s="67"/>
    </row>
    <row r="431">
      <c r="A431" s="136"/>
      <c r="B431" s="131"/>
      <c r="C431" s="131"/>
      <c r="D431" s="131"/>
      <c r="E431" s="130"/>
      <c r="F431" s="67"/>
      <c r="G431" s="67"/>
      <c r="H431" s="67"/>
      <c r="I431" s="67"/>
      <c r="J431" s="67"/>
      <c r="K431" s="67"/>
      <c r="L431" s="67"/>
      <c r="M431" s="67"/>
      <c r="N431" s="67"/>
      <c r="O431" s="67"/>
      <c r="P431" s="67"/>
      <c r="Q431" s="67"/>
      <c r="R431" s="67"/>
      <c r="S431" s="67"/>
      <c r="T431" s="67"/>
      <c r="U431" s="67"/>
      <c r="V431" s="67"/>
      <c r="W431" s="67"/>
      <c r="X431" s="67"/>
      <c r="Y431" s="67"/>
      <c r="Z431" s="67"/>
    </row>
    <row r="432">
      <c r="A432" s="135"/>
      <c r="B432" s="125"/>
      <c r="C432" s="125"/>
      <c r="D432" s="125"/>
      <c r="E432" s="126"/>
      <c r="F432" s="67"/>
      <c r="G432" s="67"/>
      <c r="H432" s="67"/>
      <c r="I432" s="67"/>
      <c r="J432" s="67"/>
      <c r="K432" s="67"/>
      <c r="L432" s="67"/>
      <c r="M432" s="67"/>
      <c r="N432" s="67"/>
      <c r="O432" s="67"/>
      <c r="P432" s="67"/>
      <c r="Q432" s="67"/>
      <c r="R432" s="67"/>
      <c r="S432" s="67"/>
      <c r="T432" s="67"/>
      <c r="U432" s="67"/>
      <c r="V432" s="67"/>
      <c r="W432" s="67"/>
      <c r="X432" s="67"/>
      <c r="Y432" s="67"/>
      <c r="Z432" s="67"/>
    </row>
    <row r="433">
      <c r="A433" s="136"/>
      <c r="B433" s="131"/>
      <c r="C433" s="131"/>
      <c r="D433" s="131"/>
      <c r="E433" s="130"/>
      <c r="F433" s="67"/>
      <c r="G433" s="67"/>
      <c r="H433" s="67"/>
      <c r="I433" s="67"/>
      <c r="J433" s="67"/>
      <c r="K433" s="67"/>
      <c r="L433" s="67"/>
      <c r="M433" s="67"/>
      <c r="N433" s="67"/>
      <c r="O433" s="67"/>
      <c r="P433" s="67"/>
      <c r="Q433" s="67"/>
      <c r="R433" s="67"/>
      <c r="S433" s="67"/>
      <c r="T433" s="67"/>
      <c r="U433" s="67"/>
      <c r="V433" s="67"/>
      <c r="W433" s="67"/>
      <c r="X433" s="67"/>
      <c r="Y433" s="67"/>
      <c r="Z433" s="67"/>
    </row>
    <row r="434">
      <c r="A434" s="135"/>
      <c r="B434" s="125"/>
      <c r="C434" s="125"/>
      <c r="D434" s="125"/>
      <c r="E434" s="126"/>
      <c r="F434" s="67"/>
      <c r="G434" s="67"/>
      <c r="H434" s="67"/>
      <c r="I434" s="67"/>
      <c r="J434" s="67"/>
      <c r="K434" s="67"/>
      <c r="L434" s="67"/>
      <c r="M434" s="67"/>
      <c r="N434" s="67"/>
      <c r="O434" s="67"/>
      <c r="P434" s="67"/>
      <c r="Q434" s="67"/>
      <c r="R434" s="67"/>
      <c r="S434" s="67"/>
      <c r="T434" s="67"/>
      <c r="U434" s="67"/>
      <c r="V434" s="67"/>
      <c r="W434" s="67"/>
      <c r="X434" s="67"/>
      <c r="Y434" s="67"/>
      <c r="Z434" s="67"/>
    </row>
    <row r="435">
      <c r="A435" s="136"/>
      <c r="B435" s="131"/>
      <c r="C435" s="131"/>
      <c r="D435" s="131"/>
      <c r="E435" s="130"/>
      <c r="F435" s="67"/>
      <c r="G435" s="67"/>
      <c r="H435" s="67"/>
      <c r="I435" s="67"/>
      <c r="J435" s="67"/>
      <c r="K435" s="67"/>
      <c r="L435" s="67"/>
      <c r="M435" s="67"/>
      <c r="N435" s="67"/>
      <c r="O435" s="67"/>
      <c r="P435" s="67"/>
      <c r="Q435" s="67"/>
      <c r="R435" s="67"/>
      <c r="S435" s="67"/>
      <c r="T435" s="67"/>
      <c r="U435" s="67"/>
      <c r="V435" s="67"/>
      <c r="W435" s="67"/>
      <c r="X435" s="67"/>
      <c r="Y435" s="67"/>
      <c r="Z435" s="67"/>
    </row>
    <row r="436">
      <c r="A436" s="135"/>
      <c r="B436" s="125"/>
      <c r="C436" s="125"/>
      <c r="D436" s="125"/>
      <c r="E436" s="126"/>
      <c r="F436" s="67"/>
      <c r="G436" s="67"/>
      <c r="H436" s="67"/>
      <c r="I436" s="67"/>
      <c r="J436" s="67"/>
      <c r="K436" s="67"/>
      <c r="L436" s="67"/>
      <c r="M436" s="67"/>
      <c r="N436" s="67"/>
      <c r="O436" s="67"/>
      <c r="P436" s="67"/>
      <c r="Q436" s="67"/>
      <c r="R436" s="67"/>
      <c r="S436" s="67"/>
      <c r="T436" s="67"/>
      <c r="U436" s="67"/>
      <c r="V436" s="67"/>
      <c r="W436" s="67"/>
      <c r="X436" s="67"/>
      <c r="Y436" s="67"/>
      <c r="Z436" s="67"/>
    </row>
    <row r="437">
      <c r="A437" s="136"/>
      <c r="B437" s="131"/>
      <c r="C437" s="131"/>
      <c r="D437" s="131"/>
      <c r="E437" s="130"/>
      <c r="F437" s="67"/>
      <c r="G437" s="67"/>
      <c r="H437" s="67"/>
      <c r="I437" s="67"/>
      <c r="J437" s="67"/>
      <c r="K437" s="67"/>
      <c r="L437" s="67"/>
      <c r="M437" s="67"/>
      <c r="N437" s="67"/>
      <c r="O437" s="67"/>
      <c r="P437" s="67"/>
      <c r="Q437" s="67"/>
      <c r="R437" s="67"/>
      <c r="S437" s="67"/>
      <c r="T437" s="67"/>
      <c r="U437" s="67"/>
      <c r="V437" s="67"/>
      <c r="W437" s="67"/>
      <c r="X437" s="67"/>
      <c r="Y437" s="67"/>
      <c r="Z437" s="67"/>
    </row>
    <row r="438">
      <c r="A438" s="135"/>
      <c r="B438" s="125"/>
      <c r="C438" s="125"/>
      <c r="D438" s="125"/>
      <c r="E438" s="126"/>
      <c r="F438" s="67"/>
      <c r="G438" s="67"/>
      <c r="H438" s="67"/>
      <c r="I438" s="67"/>
      <c r="J438" s="67"/>
      <c r="K438" s="67"/>
      <c r="L438" s="67"/>
      <c r="M438" s="67"/>
      <c r="N438" s="67"/>
      <c r="O438" s="67"/>
      <c r="P438" s="67"/>
      <c r="Q438" s="67"/>
      <c r="R438" s="67"/>
      <c r="S438" s="67"/>
      <c r="T438" s="67"/>
      <c r="U438" s="67"/>
      <c r="V438" s="67"/>
      <c r="W438" s="67"/>
      <c r="X438" s="67"/>
      <c r="Y438" s="67"/>
      <c r="Z438" s="67"/>
    </row>
    <row r="439">
      <c r="A439" s="136"/>
      <c r="B439" s="131"/>
      <c r="C439" s="131"/>
      <c r="D439" s="131"/>
      <c r="E439" s="130"/>
      <c r="F439" s="67"/>
      <c r="G439" s="67"/>
      <c r="H439" s="67"/>
      <c r="I439" s="67"/>
      <c r="J439" s="67"/>
      <c r="K439" s="67"/>
      <c r="L439" s="67"/>
      <c r="M439" s="67"/>
      <c r="N439" s="67"/>
      <c r="O439" s="67"/>
      <c r="P439" s="67"/>
      <c r="Q439" s="67"/>
      <c r="R439" s="67"/>
      <c r="S439" s="67"/>
      <c r="T439" s="67"/>
      <c r="U439" s="67"/>
      <c r="V439" s="67"/>
      <c r="W439" s="67"/>
      <c r="X439" s="67"/>
      <c r="Y439" s="67"/>
      <c r="Z439" s="67"/>
    </row>
    <row r="440">
      <c r="A440" s="135"/>
      <c r="B440" s="125"/>
      <c r="C440" s="125"/>
      <c r="D440" s="125"/>
      <c r="E440" s="126"/>
      <c r="F440" s="67"/>
      <c r="G440" s="67"/>
      <c r="H440" s="67"/>
      <c r="I440" s="67"/>
      <c r="J440" s="67"/>
      <c r="K440" s="67"/>
      <c r="L440" s="67"/>
      <c r="M440" s="67"/>
      <c r="N440" s="67"/>
      <c r="O440" s="67"/>
      <c r="P440" s="67"/>
      <c r="Q440" s="67"/>
      <c r="R440" s="67"/>
      <c r="S440" s="67"/>
      <c r="T440" s="67"/>
      <c r="U440" s="67"/>
      <c r="V440" s="67"/>
      <c r="W440" s="67"/>
      <c r="X440" s="67"/>
      <c r="Y440" s="67"/>
      <c r="Z440" s="67"/>
    </row>
    <row r="441">
      <c r="A441" s="136"/>
      <c r="B441" s="131"/>
      <c r="C441" s="131"/>
      <c r="D441" s="131"/>
      <c r="E441" s="130"/>
      <c r="F441" s="67"/>
      <c r="G441" s="67"/>
      <c r="H441" s="67"/>
      <c r="I441" s="67"/>
      <c r="J441" s="67"/>
      <c r="K441" s="67"/>
      <c r="L441" s="67"/>
      <c r="M441" s="67"/>
      <c r="N441" s="67"/>
      <c r="O441" s="67"/>
      <c r="P441" s="67"/>
      <c r="Q441" s="67"/>
      <c r="R441" s="67"/>
      <c r="S441" s="67"/>
      <c r="T441" s="67"/>
      <c r="U441" s="67"/>
      <c r="V441" s="67"/>
      <c r="W441" s="67"/>
      <c r="X441" s="67"/>
      <c r="Y441" s="67"/>
      <c r="Z441" s="67"/>
    </row>
    <row r="442">
      <c r="A442" s="135"/>
      <c r="B442" s="125"/>
      <c r="C442" s="125"/>
      <c r="D442" s="125"/>
      <c r="E442" s="126"/>
      <c r="F442" s="67"/>
      <c r="G442" s="67"/>
      <c r="H442" s="67"/>
      <c r="I442" s="67"/>
      <c r="J442" s="67"/>
      <c r="K442" s="67"/>
      <c r="L442" s="67"/>
      <c r="M442" s="67"/>
      <c r="N442" s="67"/>
      <c r="O442" s="67"/>
      <c r="P442" s="67"/>
      <c r="Q442" s="67"/>
      <c r="R442" s="67"/>
      <c r="S442" s="67"/>
      <c r="T442" s="67"/>
      <c r="U442" s="67"/>
      <c r="V442" s="67"/>
      <c r="W442" s="67"/>
      <c r="X442" s="67"/>
      <c r="Y442" s="67"/>
      <c r="Z442" s="67"/>
    </row>
    <row r="443">
      <c r="A443" s="136"/>
      <c r="B443" s="131"/>
      <c r="C443" s="131"/>
      <c r="D443" s="131"/>
      <c r="E443" s="130"/>
      <c r="F443" s="67"/>
      <c r="G443" s="67"/>
      <c r="H443" s="67"/>
      <c r="I443" s="67"/>
      <c r="J443" s="67"/>
      <c r="K443" s="67"/>
      <c r="L443" s="67"/>
      <c r="M443" s="67"/>
      <c r="N443" s="67"/>
      <c r="O443" s="67"/>
      <c r="P443" s="67"/>
      <c r="Q443" s="67"/>
      <c r="R443" s="67"/>
      <c r="S443" s="67"/>
      <c r="T443" s="67"/>
      <c r="U443" s="67"/>
      <c r="V443" s="67"/>
      <c r="W443" s="67"/>
      <c r="X443" s="67"/>
      <c r="Y443" s="67"/>
      <c r="Z443" s="67"/>
    </row>
    <row r="444">
      <c r="A444" s="135"/>
      <c r="B444" s="125"/>
      <c r="C444" s="125"/>
      <c r="D444" s="125"/>
      <c r="E444" s="126"/>
      <c r="F444" s="67"/>
      <c r="G444" s="67"/>
      <c r="H444" s="67"/>
      <c r="I444" s="67"/>
      <c r="J444" s="67"/>
      <c r="K444" s="67"/>
      <c r="L444" s="67"/>
      <c r="M444" s="67"/>
      <c r="N444" s="67"/>
      <c r="O444" s="67"/>
      <c r="P444" s="67"/>
      <c r="Q444" s="67"/>
      <c r="R444" s="67"/>
      <c r="S444" s="67"/>
      <c r="T444" s="67"/>
      <c r="U444" s="67"/>
      <c r="V444" s="67"/>
      <c r="W444" s="67"/>
      <c r="X444" s="67"/>
      <c r="Y444" s="67"/>
      <c r="Z444" s="67"/>
    </row>
    <row r="445">
      <c r="A445" s="136"/>
      <c r="B445" s="131"/>
      <c r="C445" s="131"/>
      <c r="D445" s="131"/>
      <c r="E445" s="130"/>
      <c r="F445" s="67"/>
      <c r="G445" s="67"/>
      <c r="H445" s="67"/>
      <c r="I445" s="67"/>
      <c r="J445" s="67"/>
      <c r="K445" s="67"/>
      <c r="L445" s="67"/>
      <c r="M445" s="67"/>
      <c r="N445" s="67"/>
      <c r="O445" s="67"/>
      <c r="P445" s="67"/>
      <c r="Q445" s="67"/>
      <c r="R445" s="67"/>
      <c r="S445" s="67"/>
      <c r="T445" s="67"/>
      <c r="U445" s="67"/>
      <c r="V445" s="67"/>
      <c r="W445" s="67"/>
      <c r="X445" s="67"/>
      <c r="Y445" s="67"/>
      <c r="Z445" s="67"/>
    </row>
    <row r="446">
      <c r="A446" s="135"/>
      <c r="B446" s="125"/>
      <c r="C446" s="125"/>
      <c r="D446" s="125"/>
      <c r="E446" s="126"/>
      <c r="F446" s="67"/>
      <c r="G446" s="67"/>
      <c r="H446" s="67"/>
      <c r="I446" s="67"/>
      <c r="J446" s="67"/>
      <c r="K446" s="67"/>
      <c r="L446" s="67"/>
      <c r="M446" s="67"/>
      <c r="N446" s="67"/>
      <c r="O446" s="67"/>
      <c r="P446" s="67"/>
      <c r="Q446" s="67"/>
      <c r="R446" s="67"/>
      <c r="S446" s="67"/>
      <c r="T446" s="67"/>
      <c r="U446" s="67"/>
      <c r="V446" s="67"/>
      <c r="W446" s="67"/>
      <c r="X446" s="67"/>
      <c r="Y446" s="67"/>
      <c r="Z446" s="67"/>
    </row>
    <row r="447">
      <c r="A447" s="136"/>
      <c r="B447" s="131"/>
      <c r="C447" s="131"/>
      <c r="D447" s="131"/>
      <c r="E447" s="130"/>
      <c r="F447" s="67"/>
      <c r="G447" s="67"/>
      <c r="H447" s="67"/>
      <c r="I447" s="67"/>
      <c r="J447" s="67"/>
      <c r="K447" s="67"/>
      <c r="L447" s="67"/>
      <c r="M447" s="67"/>
      <c r="N447" s="67"/>
      <c r="O447" s="67"/>
      <c r="P447" s="67"/>
      <c r="Q447" s="67"/>
      <c r="R447" s="67"/>
      <c r="S447" s="67"/>
      <c r="T447" s="67"/>
      <c r="U447" s="67"/>
      <c r="V447" s="67"/>
      <c r="W447" s="67"/>
      <c r="X447" s="67"/>
      <c r="Y447" s="67"/>
      <c r="Z447" s="67"/>
    </row>
    <row r="448">
      <c r="A448" s="135"/>
      <c r="B448" s="125"/>
      <c r="C448" s="125"/>
      <c r="D448" s="125"/>
      <c r="E448" s="126"/>
      <c r="F448" s="67"/>
      <c r="G448" s="67"/>
      <c r="H448" s="67"/>
      <c r="I448" s="67"/>
      <c r="J448" s="67"/>
      <c r="K448" s="67"/>
      <c r="L448" s="67"/>
      <c r="M448" s="67"/>
      <c r="N448" s="67"/>
      <c r="O448" s="67"/>
      <c r="P448" s="67"/>
      <c r="Q448" s="67"/>
      <c r="R448" s="67"/>
      <c r="S448" s="67"/>
      <c r="T448" s="67"/>
      <c r="U448" s="67"/>
      <c r="V448" s="67"/>
      <c r="W448" s="67"/>
      <c r="X448" s="67"/>
      <c r="Y448" s="67"/>
      <c r="Z448" s="67"/>
    </row>
    <row r="449">
      <c r="A449" s="136"/>
      <c r="B449" s="131"/>
      <c r="C449" s="131"/>
      <c r="D449" s="131"/>
      <c r="E449" s="130"/>
      <c r="F449" s="67"/>
      <c r="G449" s="67"/>
      <c r="H449" s="67"/>
      <c r="I449" s="67"/>
      <c r="J449" s="67"/>
      <c r="K449" s="67"/>
      <c r="L449" s="67"/>
      <c r="M449" s="67"/>
      <c r="N449" s="67"/>
      <c r="O449" s="67"/>
      <c r="P449" s="67"/>
      <c r="Q449" s="67"/>
      <c r="R449" s="67"/>
      <c r="S449" s="67"/>
      <c r="T449" s="67"/>
      <c r="U449" s="67"/>
      <c r="V449" s="67"/>
      <c r="W449" s="67"/>
      <c r="X449" s="67"/>
      <c r="Y449" s="67"/>
      <c r="Z449" s="67"/>
    </row>
    <row r="450">
      <c r="A450" s="135"/>
      <c r="B450" s="125"/>
      <c r="C450" s="125"/>
      <c r="D450" s="125"/>
      <c r="E450" s="126"/>
      <c r="F450" s="67"/>
      <c r="G450" s="67"/>
      <c r="H450" s="67"/>
      <c r="I450" s="67"/>
      <c r="J450" s="67"/>
      <c r="K450" s="67"/>
      <c r="L450" s="67"/>
      <c r="M450" s="67"/>
      <c r="N450" s="67"/>
      <c r="O450" s="67"/>
      <c r="P450" s="67"/>
      <c r="Q450" s="67"/>
      <c r="R450" s="67"/>
      <c r="S450" s="67"/>
      <c r="T450" s="67"/>
      <c r="U450" s="67"/>
      <c r="V450" s="67"/>
      <c r="W450" s="67"/>
      <c r="X450" s="67"/>
      <c r="Y450" s="67"/>
      <c r="Z450" s="67"/>
    </row>
    <row r="451">
      <c r="A451" s="136"/>
      <c r="B451" s="131"/>
      <c r="C451" s="131"/>
      <c r="D451" s="131"/>
      <c r="E451" s="130"/>
      <c r="F451" s="67"/>
      <c r="G451" s="67"/>
      <c r="H451" s="67"/>
      <c r="I451" s="67"/>
      <c r="J451" s="67"/>
      <c r="K451" s="67"/>
      <c r="L451" s="67"/>
      <c r="M451" s="67"/>
      <c r="N451" s="67"/>
      <c r="O451" s="67"/>
      <c r="P451" s="67"/>
      <c r="Q451" s="67"/>
      <c r="R451" s="67"/>
      <c r="S451" s="67"/>
      <c r="T451" s="67"/>
      <c r="U451" s="67"/>
      <c r="V451" s="67"/>
      <c r="W451" s="67"/>
      <c r="X451" s="67"/>
      <c r="Y451" s="67"/>
      <c r="Z451" s="67"/>
    </row>
    <row r="452">
      <c r="A452" s="135"/>
      <c r="B452" s="125"/>
      <c r="C452" s="125"/>
      <c r="D452" s="125"/>
      <c r="E452" s="126"/>
      <c r="F452" s="67"/>
      <c r="G452" s="67"/>
      <c r="H452" s="67"/>
      <c r="I452" s="67"/>
      <c r="J452" s="67"/>
      <c r="K452" s="67"/>
      <c r="L452" s="67"/>
      <c r="M452" s="67"/>
      <c r="N452" s="67"/>
      <c r="O452" s="67"/>
      <c r="P452" s="67"/>
      <c r="Q452" s="67"/>
      <c r="R452" s="67"/>
      <c r="S452" s="67"/>
      <c r="T452" s="67"/>
      <c r="U452" s="67"/>
      <c r="V452" s="67"/>
      <c r="W452" s="67"/>
      <c r="X452" s="67"/>
      <c r="Y452" s="67"/>
      <c r="Z452" s="67"/>
    </row>
    <row r="453">
      <c r="A453" s="136"/>
      <c r="B453" s="131"/>
      <c r="C453" s="131"/>
      <c r="D453" s="131"/>
      <c r="E453" s="130"/>
      <c r="F453" s="67"/>
      <c r="G453" s="67"/>
      <c r="H453" s="67"/>
      <c r="I453" s="67"/>
      <c r="J453" s="67"/>
      <c r="K453" s="67"/>
      <c r="L453" s="67"/>
      <c r="M453" s="67"/>
      <c r="N453" s="67"/>
      <c r="O453" s="67"/>
      <c r="P453" s="67"/>
      <c r="Q453" s="67"/>
      <c r="R453" s="67"/>
      <c r="S453" s="67"/>
      <c r="T453" s="67"/>
      <c r="U453" s="67"/>
      <c r="V453" s="67"/>
      <c r="W453" s="67"/>
      <c r="X453" s="67"/>
      <c r="Y453" s="67"/>
      <c r="Z453" s="67"/>
    </row>
    <row r="454">
      <c r="A454" s="135"/>
      <c r="B454" s="125"/>
      <c r="C454" s="125"/>
      <c r="D454" s="125"/>
      <c r="E454" s="126"/>
      <c r="F454" s="67"/>
      <c r="G454" s="67"/>
      <c r="H454" s="67"/>
      <c r="I454" s="67"/>
      <c r="J454" s="67"/>
      <c r="K454" s="67"/>
      <c r="L454" s="67"/>
      <c r="M454" s="67"/>
      <c r="N454" s="67"/>
      <c r="O454" s="67"/>
      <c r="P454" s="67"/>
      <c r="Q454" s="67"/>
      <c r="R454" s="67"/>
      <c r="S454" s="67"/>
      <c r="T454" s="67"/>
      <c r="U454" s="67"/>
      <c r="V454" s="67"/>
      <c r="W454" s="67"/>
      <c r="X454" s="67"/>
      <c r="Y454" s="67"/>
      <c r="Z454" s="67"/>
    </row>
    <row r="455">
      <c r="A455" s="136"/>
      <c r="B455" s="131"/>
      <c r="C455" s="131"/>
      <c r="D455" s="131"/>
      <c r="E455" s="130"/>
      <c r="F455" s="67"/>
      <c r="G455" s="67"/>
      <c r="H455" s="67"/>
      <c r="I455" s="67"/>
      <c r="J455" s="67"/>
      <c r="K455" s="67"/>
      <c r="L455" s="67"/>
      <c r="M455" s="67"/>
      <c r="N455" s="67"/>
      <c r="O455" s="67"/>
      <c r="P455" s="67"/>
      <c r="Q455" s="67"/>
      <c r="R455" s="67"/>
      <c r="S455" s="67"/>
      <c r="T455" s="67"/>
      <c r="U455" s="67"/>
      <c r="V455" s="67"/>
      <c r="W455" s="67"/>
      <c r="X455" s="67"/>
      <c r="Y455" s="67"/>
      <c r="Z455" s="67"/>
    </row>
    <row r="456">
      <c r="A456" s="135"/>
      <c r="B456" s="125"/>
      <c r="C456" s="125"/>
      <c r="D456" s="125"/>
      <c r="E456" s="126"/>
      <c r="F456" s="67"/>
      <c r="G456" s="67"/>
      <c r="H456" s="67"/>
      <c r="I456" s="67"/>
      <c r="J456" s="67"/>
      <c r="K456" s="67"/>
      <c r="L456" s="67"/>
      <c r="M456" s="67"/>
      <c r="N456" s="67"/>
      <c r="O456" s="67"/>
      <c r="P456" s="67"/>
      <c r="Q456" s="67"/>
      <c r="R456" s="67"/>
      <c r="S456" s="67"/>
      <c r="T456" s="67"/>
      <c r="U456" s="67"/>
      <c r="V456" s="67"/>
      <c r="W456" s="67"/>
      <c r="X456" s="67"/>
      <c r="Y456" s="67"/>
      <c r="Z456" s="67"/>
    </row>
    <row r="457">
      <c r="A457" s="136"/>
      <c r="B457" s="131"/>
      <c r="C457" s="131"/>
      <c r="D457" s="131"/>
      <c r="E457" s="130"/>
      <c r="F457" s="67"/>
      <c r="G457" s="67"/>
      <c r="H457" s="67"/>
      <c r="I457" s="67"/>
      <c r="J457" s="67"/>
      <c r="K457" s="67"/>
      <c r="L457" s="67"/>
      <c r="M457" s="67"/>
      <c r="N457" s="67"/>
      <c r="O457" s="67"/>
      <c r="P457" s="67"/>
      <c r="Q457" s="67"/>
      <c r="R457" s="67"/>
      <c r="S457" s="67"/>
      <c r="T457" s="67"/>
      <c r="U457" s="67"/>
      <c r="V457" s="67"/>
      <c r="W457" s="67"/>
      <c r="X457" s="67"/>
      <c r="Y457" s="67"/>
      <c r="Z457" s="67"/>
    </row>
    <row r="458">
      <c r="A458" s="135"/>
      <c r="B458" s="125"/>
      <c r="C458" s="125"/>
      <c r="D458" s="125"/>
      <c r="E458" s="126"/>
      <c r="F458" s="67"/>
      <c r="G458" s="67"/>
      <c r="H458" s="67"/>
      <c r="I458" s="67"/>
      <c r="J458" s="67"/>
      <c r="K458" s="67"/>
      <c r="L458" s="67"/>
      <c r="M458" s="67"/>
      <c r="N458" s="67"/>
      <c r="O458" s="67"/>
      <c r="P458" s="67"/>
      <c r="Q458" s="67"/>
      <c r="R458" s="67"/>
      <c r="S458" s="67"/>
      <c r="T458" s="67"/>
      <c r="U458" s="67"/>
      <c r="V458" s="67"/>
      <c r="W458" s="67"/>
      <c r="X458" s="67"/>
      <c r="Y458" s="67"/>
      <c r="Z458" s="67"/>
    </row>
    <row r="459">
      <c r="A459" s="136"/>
      <c r="B459" s="131"/>
      <c r="C459" s="131"/>
      <c r="D459" s="131"/>
      <c r="E459" s="130"/>
      <c r="F459" s="67"/>
      <c r="G459" s="67"/>
      <c r="H459" s="67"/>
      <c r="I459" s="67"/>
      <c r="J459" s="67"/>
      <c r="K459" s="67"/>
      <c r="L459" s="67"/>
      <c r="M459" s="67"/>
      <c r="N459" s="67"/>
      <c r="O459" s="67"/>
      <c r="P459" s="67"/>
      <c r="Q459" s="67"/>
      <c r="R459" s="67"/>
      <c r="S459" s="67"/>
      <c r="T459" s="67"/>
      <c r="U459" s="67"/>
      <c r="V459" s="67"/>
      <c r="W459" s="67"/>
      <c r="X459" s="67"/>
      <c r="Y459" s="67"/>
      <c r="Z459" s="67"/>
    </row>
    <row r="460">
      <c r="A460" s="135"/>
      <c r="B460" s="125"/>
      <c r="C460" s="125"/>
      <c r="D460" s="125"/>
      <c r="E460" s="126"/>
      <c r="F460" s="67"/>
      <c r="G460" s="67"/>
      <c r="H460" s="67"/>
      <c r="I460" s="67"/>
      <c r="J460" s="67"/>
      <c r="K460" s="67"/>
      <c r="L460" s="67"/>
      <c r="M460" s="67"/>
      <c r="N460" s="67"/>
      <c r="O460" s="67"/>
      <c r="P460" s="67"/>
      <c r="Q460" s="67"/>
      <c r="R460" s="67"/>
      <c r="S460" s="67"/>
      <c r="T460" s="67"/>
      <c r="U460" s="67"/>
      <c r="V460" s="67"/>
      <c r="W460" s="67"/>
      <c r="X460" s="67"/>
      <c r="Y460" s="67"/>
      <c r="Z460" s="67"/>
    </row>
    <row r="461">
      <c r="A461" s="136"/>
      <c r="B461" s="131"/>
      <c r="C461" s="131"/>
      <c r="D461" s="131"/>
      <c r="E461" s="130"/>
      <c r="F461" s="67"/>
      <c r="G461" s="67"/>
      <c r="H461" s="67"/>
      <c r="I461" s="67"/>
      <c r="J461" s="67"/>
      <c r="K461" s="67"/>
      <c r="L461" s="67"/>
      <c r="M461" s="67"/>
      <c r="N461" s="67"/>
      <c r="O461" s="67"/>
      <c r="P461" s="67"/>
      <c r="Q461" s="67"/>
      <c r="R461" s="67"/>
      <c r="S461" s="67"/>
      <c r="T461" s="67"/>
      <c r="U461" s="67"/>
      <c r="V461" s="67"/>
      <c r="W461" s="67"/>
      <c r="X461" s="67"/>
      <c r="Y461" s="67"/>
      <c r="Z461" s="67"/>
    </row>
    <row r="462">
      <c r="A462" s="135"/>
      <c r="B462" s="125"/>
      <c r="C462" s="125"/>
      <c r="D462" s="125"/>
      <c r="E462" s="126"/>
      <c r="F462" s="67"/>
      <c r="G462" s="67"/>
      <c r="H462" s="67"/>
      <c r="I462" s="67"/>
      <c r="J462" s="67"/>
      <c r="K462" s="67"/>
      <c r="L462" s="67"/>
      <c r="M462" s="67"/>
      <c r="N462" s="67"/>
      <c r="O462" s="67"/>
      <c r="P462" s="67"/>
      <c r="Q462" s="67"/>
      <c r="R462" s="67"/>
      <c r="S462" s="67"/>
      <c r="T462" s="67"/>
      <c r="U462" s="67"/>
      <c r="V462" s="67"/>
      <c r="W462" s="67"/>
      <c r="X462" s="67"/>
      <c r="Y462" s="67"/>
      <c r="Z462" s="67"/>
    </row>
    <row r="463">
      <c r="A463" s="136"/>
      <c r="B463" s="131"/>
      <c r="C463" s="131"/>
      <c r="D463" s="131"/>
      <c r="E463" s="130"/>
      <c r="F463" s="67"/>
      <c r="G463" s="67"/>
      <c r="H463" s="67"/>
      <c r="I463" s="67"/>
      <c r="J463" s="67"/>
      <c r="K463" s="67"/>
      <c r="L463" s="67"/>
      <c r="M463" s="67"/>
      <c r="N463" s="67"/>
      <c r="O463" s="67"/>
      <c r="P463" s="67"/>
      <c r="Q463" s="67"/>
      <c r="R463" s="67"/>
      <c r="S463" s="67"/>
      <c r="T463" s="67"/>
      <c r="U463" s="67"/>
      <c r="V463" s="67"/>
      <c r="W463" s="67"/>
      <c r="X463" s="67"/>
      <c r="Y463" s="67"/>
      <c r="Z463" s="67"/>
    </row>
    <row r="464">
      <c r="A464" s="135"/>
      <c r="B464" s="125"/>
      <c r="C464" s="125"/>
      <c r="D464" s="125"/>
      <c r="E464" s="126"/>
      <c r="F464" s="67"/>
      <c r="G464" s="67"/>
      <c r="H464" s="67"/>
      <c r="I464" s="67"/>
      <c r="J464" s="67"/>
      <c r="K464" s="67"/>
      <c r="L464" s="67"/>
      <c r="M464" s="67"/>
      <c r="N464" s="67"/>
      <c r="O464" s="67"/>
      <c r="P464" s="67"/>
      <c r="Q464" s="67"/>
      <c r="R464" s="67"/>
      <c r="S464" s="67"/>
      <c r="T464" s="67"/>
      <c r="U464" s="67"/>
      <c r="V464" s="67"/>
      <c r="W464" s="67"/>
      <c r="X464" s="67"/>
      <c r="Y464" s="67"/>
      <c r="Z464" s="67"/>
    </row>
    <row r="465">
      <c r="A465" s="136"/>
      <c r="B465" s="131"/>
      <c r="C465" s="131"/>
      <c r="D465" s="131"/>
      <c r="E465" s="130"/>
      <c r="F465" s="67"/>
      <c r="G465" s="67"/>
      <c r="H465" s="67"/>
      <c r="I465" s="67"/>
      <c r="J465" s="67"/>
      <c r="K465" s="67"/>
      <c r="L465" s="67"/>
      <c r="M465" s="67"/>
      <c r="N465" s="67"/>
      <c r="O465" s="67"/>
      <c r="P465" s="67"/>
      <c r="Q465" s="67"/>
      <c r="R465" s="67"/>
      <c r="S465" s="67"/>
      <c r="T465" s="67"/>
      <c r="U465" s="67"/>
      <c r="V465" s="67"/>
      <c r="W465" s="67"/>
      <c r="X465" s="67"/>
      <c r="Y465" s="67"/>
      <c r="Z465" s="67"/>
    </row>
    <row r="466">
      <c r="A466" s="135"/>
      <c r="B466" s="125"/>
      <c r="C466" s="125"/>
      <c r="D466" s="125"/>
      <c r="E466" s="126"/>
      <c r="F466" s="67"/>
      <c r="G466" s="67"/>
      <c r="H466" s="67"/>
      <c r="I466" s="67"/>
      <c r="J466" s="67"/>
      <c r="K466" s="67"/>
      <c r="L466" s="67"/>
      <c r="M466" s="67"/>
      <c r="N466" s="67"/>
      <c r="O466" s="67"/>
      <c r="P466" s="67"/>
      <c r="Q466" s="67"/>
      <c r="R466" s="67"/>
      <c r="S466" s="67"/>
      <c r="T466" s="67"/>
      <c r="U466" s="67"/>
      <c r="V466" s="67"/>
      <c r="W466" s="67"/>
      <c r="X466" s="67"/>
      <c r="Y466" s="67"/>
      <c r="Z466" s="67"/>
    </row>
    <row r="467">
      <c r="A467" s="136"/>
      <c r="B467" s="131"/>
      <c r="C467" s="131"/>
      <c r="D467" s="131"/>
      <c r="E467" s="130"/>
      <c r="F467" s="67"/>
      <c r="G467" s="67"/>
      <c r="H467" s="67"/>
      <c r="I467" s="67"/>
      <c r="J467" s="67"/>
      <c r="K467" s="67"/>
      <c r="L467" s="67"/>
      <c r="M467" s="67"/>
      <c r="N467" s="67"/>
      <c r="O467" s="67"/>
      <c r="P467" s="67"/>
      <c r="Q467" s="67"/>
      <c r="R467" s="67"/>
      <c r="S467" s="67"/>
      <c r="T467" s="67"/>
      <c r="U467" s="67"/>
      <c r="V467" s="67"/>
      <c r="W467" s="67"/>
      <c r="X467" s="67"/>
      <c r="Y467" s="67"/>
      <c r="Z467" s="67"/>
    </row>
    <row r="468">
      <c r="A468" s="135"/>
      <c r="B468" s="125"/>
      <c r="C468" s="125"/>
      <c r="D468" s="125"/>
      <c r="E468" s="126"/>
      <c r="F468" s="67"/>
      <c r="G468" s="67"/>
      <c r="H468" s="67"/>
      <c r="I468" s="67"/>
      <c r="J468" s="67"/>
      <c r="K468" s="67"/>
      <c r="L468" s="67"/>
      <c r="M468" s="67"/>
      <c r="N468" s="67"/>
      <c r="O468" s="67"/>
      <c r="P468" s="67"/>
      <c r="Q468" s="67"/>
      <c r="R468" s="67"/>
      <c r="S468" s="67"/>
      <c r="T468" s="67"/>
      <c r="U468" s="67"/>
      <c r="V468" s="67"/>
      <c r="W468" s="67"/>
      <c r="X468" s="67"/>
      <c r="Y468" s="67"/>
      <c r="Z468" s="67"/>
    </row>
    <row r="469">
      <c r="A469" s="136"/>
      <c r="B469" s="131"/>
      <c r="C469" s="131"/>
      <c r="D469" s="131"/>
      <c r="E469" s="130"/>
      <c r="F469" s="67"/>
      <c r="G469" s="67"/>
      <c r="H469" s="67"/>
      <c r="I469" s="67"/>
      <c r="J469" s="67"/>
      <c r="K469" s="67"/>
      <c r="L469" s="67"/>
      <c r="M469" s="67"/>
      <c r="N469" s="67"/>
      <c r="O469" s="67"/>
      <c r="P469" s="67"/>
      <c r="Q469" s="67"/>
      <c r="R469" s="67"/>
      <c r="S469" s="67"/>
      <c r="T469" s="67"/>
      <c r="U469" s="67"/>
      <c r="V469" s="67"/>
      <c r="W469" s="67"/>
      <c r="X469" s="67"/>
      <c r="Y469" s="67"/>
      <c r="Z469" s="67"/>
    </row>
    <row r="470">
      <c r="A470" s="135"/>
      <c r="B470" s="125"/>
      <c r="C470" s="125"/>
      <c r="D470" s="125"/>
      <c r="E470" s="126"/>
      <c r="F470" s="67"/>
      <c r="G470" s="67"/>
      <c r="H470" s="67"/>
      <c r="I470" s="67"/>
      <c r="J470" s="67"/>
      <c r="K470" s="67"/>
      <c r="L470" s="67"/>
      <c r="M470" s="67"/>
      <c r="N470" s="67"/>
      <c r="O470" s="67"/>
      <c r="P470" s="67"/>
      <c r="Q470" s="67"/>
      <c r="R470" s="67"/>
      <c r="S470" s="67"/>
      <c r="T470" s="67"/>
      <c r="U470" s="67"/>
      <c r="V470" s="67"/>
      <c r="W470" s="67"/>
      <c r="X470" s="67"/>
      <c r="Y470" s="67"/>
      <c r="Z470" s="67"/>
    </row>
    <row r="471">
      <c r="A471" s="136"/>
      <c r="B471" s="131"/>
      <c r="C471" s="131"/>
      <c r="D471" s="131"/>
      <c r="E471" s="130"/>
      <c r="F471" s="67"/>
      <c r="G471" s="67"/>
      <c r="H471" s="67"/>
      <c r="I471" s="67"/>
      <c r="J471" s="67"/>
      <c r="K471" s="67"/>
      <c r="L471" s="67"/>
      <c r="M471" s="67"/>
      <c r="N471" s="67"/>
      <c r="O471" s="67"/>
      <c r="P471" s="67"/>
      <c r="Q471" s="67"/>
      <c r="R471" s="67"/>
      <c r="S471" s="67"/>
      <c r="T471" s="67"/>
      <c r="U471" s="67"/>
      <c r="V471" s="67"/>
      <c r="W471" s="67"/>
      <c r="X471" s="67"/>
      <c r="Y471" s="67"/>
      <c r="Z471" s="67"/>
    </row>
    <row r="472">
      <c r="A472" s="135"/>
      <c r="B472" s="125"/>
      <c r="C472" s="125"/>
      <c r="D472" s="125"/>
      <c r="E472" s="126"/>
      <c r="F472" s="67"/>
      <c r="G472" s="67"/>
      <c r="H472" s="67"/>
      <c r="I472" s="67"/>
      <c r="J472" s="67"/>
      <c r="K472" s="67"/>
      <c r="L472" s="67"/>
      <c r="M472" s="67"/>
      <c r="N472" s="67"/>
      <c r="O472" s="67"/>
      <c r="P472" s="67"/>
      <c r="Q472" s="67"/>
      <c r="R472" s="67"/>
      <c r="S472" s="67"/>
      <c r="T472" s="67"/>
      <c r="U472" s="67"/>
      <c r="V472" s="67"/>
      <c r="W472" s="67"/>
      <c r="X472" s="67"/>
      <c r="Y472" s="67"/>
      <c r="Z472" s="67"/>
    </row>
    <row r="473">
      <c r="A473" s="136"/>
      <c r="B473" s="131"/>
      <c r="C473" s="131"/>
      <c r="D473" s="131"/>
      <c r="E473" s="130"/>
      <c r="F473" s="67"/>
      <c r="G473" s="67"/>
      <c r="H473" s="67"/>
      <c r="I473" s="67"/>
      <c r="J473" s="67"/>
      <c r="K473" s="67"/>
      <c r="L473" s="67"/>
      <c r="M473" s="67"/>
      <c r="N473" s="67"/>
      <c r="O473" s="67"/>
      <c r="P473" s="67"/>
      <c r="Q473" s="67"/>
      <c r="R473" s="67"/>
      <c r="S473" s="67"/>
      <c r="T473" s="67"/>
      <c r="U473" s="67"/>
      <c r="V473" s="67"/>
      <c r="W473" s="67"/>
      <c r="X473" s="67"/>
      <c r="Y473" s="67"/>
      <c r="Z473" s="67"/>
    </row>
    <row r="474">
      <c r="A474" s="135"/>
      <c r="B474" s="125"/>
      <c r="C474" s="125"/>
      <c r="D474" s="125"/>
      <c r="E474" s="126"/>
      <c r="F474" s="67"/>
      <c r="G474" s="67"/>
      <c r="H474" s="67"/>
      <c r="I474" s="67"/>
      <c r="J474" s="67"/>
      <c r="K474" s="67"/>
      <c r="L474" s="67"/>
      <c r="M474" s="67"/>
      <c r="N474" s="67"/>
      <c r="O474" s="67"/>
      <c r="P474" s="67"/>
      <c r="Q474" s="67"/>
      <c r="R474" s="67"/>
      <c r="S474" s="67"/>
      <c r="T474" s="67"/>
      <c r="U474" s="67"/>
      <c r="V474" s="67"/>
      <c r="W474" s="67"/>
      <c r="X474" s="67"/>
      <c r="Y474" s="67"/>
      <c r="Z474" s="67"/>
    </row>
    <row r="475">
      <c r="A475" s="136"/>
      <c r="B475" s="131"/>
      <c r="C475" s="131"/>
      <c r="D475" s="131"/>
      <c r="E475" s="130"/>
      <c r="F475" s="67"/>
      <c r="G475" s="67"/>
      <c r="H475" s="67"/>
      <c r="I475" s="67"/>
      <c r="J475" s="67"/>
      <c r="K475" s="67"/>
      <c r="L475" s="67"/>
      <c r="M475" s="67"/>
      <c r="N475" s="67"/>
      <c r="O475" s="67"/>
      <c r="P475" s="67"/>
      <c r="Q475" s="67"/>
      <c r="R475" s="67"/>
      <c r="S475" s="67"/>
      <c r="T475" s="67"/>
      <c r="U475" s="67"/>
      <c r="V475" s="67"/>
      <c r="W475" s="67"/>
      <c r="X475" s="67"/>
      <c r="Y475" s="67"/>
      <c r="Z475" s="67"/>
    </row>
    <row r="476">
      <c r="A476" s="135"/>
      <c r="B476" s="125"/>
      <c r="C476" s="125"/>
      <c r="D476" s="125"/>
      <c r="E476" s="126"/>
      <c r="F476" s="67"/>
      <c r="G476" s="67"/>
      <c r="H476" s="67"/>
      <c r="I476" s="67"/>
      <c r="J476" s="67"/>
      <c r="K476" s="67"/>
      <c r="L476" s="67"/>
      <c r="M476" s="67"/>
      <c r="N476" s="67"/>
      <c r="O476" s="67"/>
      <c r="P476" s="67"/>
      <c r="Q476" s="67"/>
      <c r="R476" s="67"/>
      <c r="S476" s="67"/>
      <c r="T476" s="67"/>
      <c r="U476" s="67"/>
      <c r="V476" s="67"/>
      <c r="W476" s="67"/>
      <c r="X476" s="67"/>
      <c r="Y476" s="67"/>
      <c r="Z476" s="67"/>
    </row>
    <row r="477">
      <c r="A477" s="136"/>
      <c r="B477" s="131"/>
      <c r="C477" s="131"/>
      <c r="D477" s="131"/>
      <c r="E477" s="130"/>
      <c r="F477" s="67"/>
      <c r="G477" s="67"/>
      <c r="H477" s="67"/>
      <c r="I477" s="67"/>
      <c r="J477" s="67"/>
      <c r="K477" s="67"/>
      <c r="L477" s="67"/>
      <c r="M477" s="67"/>
      <c r="N477" s="67"/>
      <c r="O477" s="67"/>
      <c r="P477" s="67"/>
      <c r="Q477" s="67"/>
      <c r="R477" s="67"/>
      <c r="S477" s="67"/>
      <c r="T477" s="67"/>
      <c r="U477" s="67"/>
      <c r="V477" s="67"/>
      <c r="W477" s="67"/>
      <c r="X477" s="67"/>
      <c r="Y477" s="67"/>
      <c r="Z477" s="67"/>
    </row>
    <row r="478">
      <c r="A478" s="135"/>
      <c r="B478" s="125"/>
      <c r="C478" s="125"/>
      <c r="D478" s="125"/>
      <c r="E478" s="126"/>
      <c r="F478" s="67"/>
      <c r="G478" s="67"/>
      <c r="H478" s="67"/>
      <c r="I478" s="67"/>
      <c r="J478" s="67"/>
      <c r="K478" s="67"/>
      <c r="L478" s="67"/>
      <c r="M478" s="67"/>
      <c r="N478" s="67"/>
      <c r="O478" s="67"/>
      <c r="P478" s="67"/>
      <c r="Q478" s="67"/>
      <c r="R478" s="67"/>
      <c r="S478" s="67"/>
      <c r="T478" s="67"/>
      <c r="U478" s="67"/>
      <c r="V478" s="67"/>
      <c r="W478" s="67"/>
      <c r="X478" s="67"/>
      <c r="Y478" s="67"/>
      <c r="Z478" s="67"/>
    </row>
    <row r="479">
      <c r="A479" s="136"/>
      <c r="B479" s="131"/>
      <c r="C479" s="131"/>
      <c r="D479" s="131"/>
      <c r="E479" s="130"/>
      <c r="F479" s="67"/>
      <c r="G479" s="67"/>
      <c r="H479" s="67"/>
      <c r="I479" s="67"/>
      <c r="J479" s="67"/>
      <c r="K479" s="67"/>
      <c r="L479" s="67"/>
      <c r="M479" s="67"/>
      <c r="N479" s="67"/>
      <c r="O479" s="67"/>
      <c r="P479" s="67"/>
      <c r="Q479" s="67"/>
      <c r="R479" s="67"/>
      <c r="S479" s="67"/>
      <c r="T479" s="67"/>
      <c r="U479" s="67"/>
      <c r="V479" s="67"/>
      <c r="W479" s="67"/>
      <c r="X479" s="67"/>
      <c r="Y479" s="67"/>
      <c r="Z479" s="67"/>
    </row>
    <row r="480">
      <c r="A480" s="135"/>
      <c r="B480" s="125"/>
      <c r="C480" s="125"/>
      <c r="D480" s="125"/>
      <c r="E480" s="126"/>
      <c r="F480" s="67"/>
      <c r="G480" s="67"/>
      <c r="H480" s="67"/>
      <c r="I480" s="67"/>
      <c r="J480" s="67"/>
      <c r="K480" s="67"/>
      <c r="L480" s="67"/>
      <c r="M480" s="67"/>
      <c r="N480" s="67"/>
      <c r="O480" s="67"/>
      <c r="P480" s="67"/>
      <c r="Q480" s="67"/>
      <c r="R480" s="67"/>
      <c r="S480" s="67"/>
      <c r="T480" s="67"/>
      <c r="U480" s="67"/>
      <c r="V480" s="67"/>
      <c r="W480" s="67"/>
      <c r="X480" s="67"/>
      <c r="Y480" s="67"/>
      <c r="Z480" s="67"/>
    </row>
    <row r="481">
      <c r="A481" s="136"/>
      <c r="B481" s="131"/>
      <c r="C481" s="131"/>
      <c r="D481" s="131"/>
      <c r="E481" s="130"/>
      <c r="F481" s="67"/>
      <c r="G481" s="67"/>
      <c r="H481" s="67"/>
      <c r="I481" s="67"/>
      <c r="J481" s="67"/>
      <c r="K481" s="67"/>
      <c r="L481" s="67"/>
      <c r="M481" s="67"/>
      <c r="N481" s="67"/>
      <c r="O481" s="67"/>
      <c r="P481" s="67"/>
      <c r="Q481" s="67"/>
      <c r="R481" s="67"/>
      <c r="S481" s="67"/>
      <c r="T481" s="67"/>
      <c r="U481" s="67"/>
      <c r="V481" s="67"/>
      <c r="W481" s="67"/>
      <c r="X481" s="67"/>
      <c r="Y481" s="67"/>
      <c r="Z481" s="67"/>
    </row>
    <row r="482">
      <c r="A482" s="135"/>
      <c r="B482" s="125"/>
      <c r="C482" s="125"/>
      <c r="D482" s="125"/>
      <c r="E482" s="126"/>
      <c r="F482" s="67"/>
      <c r="G482" s="67"/>
      <c r="H482" s="67"/>
      <c r="I482" s="67"/>
      <c r="J482" s="67"/>
      <c r="K482" s="67"/>
      <c r="L482" s="67"/>
      <c r="M482" s="67"/>
      <c r="N482" s="67"/>
      <c r="O482" s="67"/>
      <c r="P482" s="67"/>
      <c r="Q482" s="67"/>
      <c r="R482" s="67"/>
      <c r="S482" s="67"/>
      <c r="T482" s="67"/>
      <c r="U482" s="67"/>
      <c r="V482" s="67"/>
      <c r="W482" s="67"/>
      <c r="X482" s="67"/>
      <c r="Y482" s="67"/>
      <c r="Z482" s="67"/>
    </row>
    <row r="483">
      <c r="A483" s="136"/>
      <c r="B483" s="131"/>
      <c r="C483" s="131"/>
      <c r="D483" s="131"/>
      <c r="E483" s="130"/>
      <c r="F483" s="67"/>
      <c r="G483" s="67"/>
      <c r="H483" s="67"/>
      <c r="I483" s="67"/>
      <c r="J483" s="67"/>
      <c r="K483" s="67"/>
      <c r="L483" s="67"/>
      <c r="M483" s="67"/>
      <c r="N483" s="67"/>
      <c r="O483" s="67"/>
      <c r="P483" s="67"/>
      <c r="Q483" s="67"/>
      <c r="R483" s="67"/>
      <c r="S483" s="67"/>
      <c r="T483" s="67"/>
      <c r="U483" s="67"/>
      <c r="V483" s="67"/>
      <c r="W483" s="67"/>
      <c r="X483" s="67"/>
      <c r="Y483" s="67"/>
      <c r="Z483" s="67"/>
    </row>
    <row r="484">
      <c r="A484" s="135"/>
      <c r="B484" s="125"/>
      <c r="C484" s="125"/>
      <c r="D484" s="125"/>
      <c r="E484" s="126"/>
      <c r="F484" s="67"/>
      <c r="G484" s="67"/>
      <c r="H484" s="67"/>
      <c r="I484" s="67"/>
      <c r="J484" s="67"/>
      <c r="K484" s="67"/>
      <c r="L484" s="67"/>
      <c r="M484" s="67"/>
      <c r="N484" s="67"/>
      <c r="O484" s="67"/>
      <c r="P484" s="67"/>
      <c r="Q484" s="67"/>
      <c r="R484" s="67"/>
      <c r="S484" s="67"/>
      <c r="T484" s="67"/>
      <c r="U484" s="67"/>
      <c r="V484" s="67"/>
      <c r="W484" s="67"/>
      <c r="X484" s="67"/>
      <c r="Y484" s="67"/>
      <c r="Z484" s="67"/>
    </row>
    <row r="485">
      <c r="A485" s="136"/>
      <c r="B485" s="131"/>
      <c r="C485" s="131"/>
      <c r="D485" s="131"/>
      <c r="E485" s="130"/>
      <c r="F485" s="67"/>
      <c r="G485" s="67"/>
      <c r="H485" s="67"/>
      <c r="I485" s="67"/>
      <c r="J485" s="67"/>
      <c r="K485" s="67"/>
      <c r="L485" s="67"/>
      <c r="M485" s="67"/>
      <c r="N485" s="67"/>
      <c r="O485" s="67"/>
      <c r="P485" s="67"/>
      <c r="Q485" s="67"/>
      <c r="R485" s="67"/>
      <c r="S485" s="67"/>
      <c r="T485" s="67"/>
      <c r="U485" s="67"/>
      <c r="V485" s="67"/>
      <c r="W485" s="67"/>
      <c r="X485" s="67"/>
      <c r="Y485" s="67"/>
      <c r="Z485" s="67"/>
    </row>
    <row r="486">
      <c r="A486" s="135"/>
      <c r="B486" s="125"/>
      <c r="C486" s="125"/>
      <c r="D486" s="125"/>
      <c r="E486" s="126"/>
      <c r="F486" s="67"/>
      <c r="G486" s="67"/>
      <c r="H486" s="67"/>
      <c r="I486" s="67"/>
      <c r="J486" s="67"/>
      <c r="K486" s="67"/>
      <c r="L486" s="67"/>
      <c r="M486" s="67"/>
      <c r="N486" s="67"/>
      <c r="O486" s="67"/>
      <c r="P486" s="67"/>
      <c r="Q486" s="67"/>
      <c r="R486" s="67"/>
      <c r="S486" s="67"/>
      <c r="T486" s="67"/>
      <c r="U486" s="67"/>
      <c r="V486" s="67"/>
      <c r="W486" s="67"/>
      <c r="X486" s="67"/>
      <c r="Y486" s="67"/>
      <c r="Z486" s="67"/>
    </row>
    <row r="487">
      <c r="A487" s="136"/>
      <c r="B487" s="131"/>
      <c r="C487" s="131"/>
      <c r="D487" s="131"/>
      <c r="E487" s="130"/>
      <c r="F487" s="67"/>
      <c r="G487" s="67"/>
      <c r="H487" s="67"/>
      <c r="I487" s="67"/>
      <c r="J487" s="67"/>
      <c r="K487" s="67"/>
      <c r="L487" s="67"/>
      <c r="M487" s="67"/>
      <c r="N487" s="67"/>
      <c r="O487" s="67"/>
      <c r="P487" s="67"/>
      <c r="Q487" s="67"/>
      <c r="R487" s="67"/>
      <c r="S487" s="67"/>
      <c r="T487" s="67"/>
      <c r="U487" s="67"/>
      <c r="V487" s="67"/>
      <c r="W487" s="67"/>
      <c r="X487" s="67"/>
      <c r="Y487" s="67"/>
      <c r="Z487" s="67"/>
    </row>
    <row r="488">
      <c r="A488" s="135"/>
      <c r="B488" s="125"/>
      <c r="C488" s="125"/>
      <c r="D488" s="125"/>
      <c r="E488" s="126"/>
      <c r="F488" s="67"/>
      <c r="G488" s="67"/>
      <c r="H488" s="67"/>
      <c r="I488" s="67"/>
      <c r="J488" s="67"/>
      <c r="K488" s="67"/>
      <c r="L488" s="67"/>
      <c r="M488" s="67"/>
      <c r="N488" s="67"/>
      <c r="O488" s="67"/>
      <c r="P488" s="67"/>
      <c r="Q488" s="67"/>
      <c r="R488" s="67"/>
      <c r="S488" s="67"/>
      <c r="T488" s="67"/>
      <c r="U488" s="67"/>
      <c r="V488" s="67"/>
      <c r="W488" s="67"/>
      <c r="X488" s="67"/>
      <c r="Y488" s="67"/>
      <c r="Z488" s="67"/>
    </row>
    <row r="489">
      <c r="A489" s="136"/>
      <c r="B489" s="131"/>
      <c r="C489" s="131"/>
      <c r="D489" s="131"/>
      <c r="E489" s="130"/>
      <c r="F489" s="67"/>
      <c r="G489" s="67"/>
      <c r="H489" s="67"/>
      <c r="I489" s="67"/>
      <c r="J489" s="67"/>
      <c r="K489" s="67"/>
      <c r="L489" s="67"/>
      <c r="M489" s="67"/>
      <c r="N489" s="67"/>
      <c r="O489" s="67"/>
      <c r="P489" s="67"/>
      <c r="Q489" s="67"/>
      <c r="R489" s="67"/>
      <c r="S489" s="67"/>
      <c r="T489" s="67"/>
      <c r="U489" s="67"/>
      <c r="V489" s="67"/>
      <c r="W489" s="67"/>
      <c r="X489" s="67"/>
      <c r="Y489" s="67"/>
      <c r="Z489" s="67"/>
    </row>
    <row r="490">
      <c r="A490" s="135"/>
      <c r="B490" s="125"/>
      <c r="C490" s="125"/>
      <c r="D490" s="125"/>
      <c r="E490" s="126"/>
      <c r="F490" s="67"/>
      <c r="G490" s="67"/>
      <c r="H490" s="67"/>
      <c r="I490" s="67"/>
      <c r="J490" s="67"/>
      <c r="K490" s="67"/>
      <c r="L490" s="67"/>
      <c r="M490" s="67"/>
      <c r="N490" s="67"/>
      <c r="O490" s="67"/>
      <c r="P490" s="67"/>
      <c r="Q490" s="67"/>
      <c r="R490" s="67"/>
      <c r="S490" s="67"/>
      <c r="T490" s="67"/>
      <c r="U490" s="67"/>
      <c r="V490" s="67"/>
      <c r="W490" s="67"/>
      <c r="X490" s="67"/>
      <c r="Y490" s="67"/>
      <c r="Z490" s="67"/>
    </row>
    <row r="491">
      <c r="A491" s="136"/>
      <c r="B491" s="131"/>
      <c r="C491" s="131"/>
      <c r="D491" s="131"/>
      <c r="E491" s="130"/>
      <c r="F491" s="67"/>
      <c r="G491" s="67"/>
      <c r="H491" s="67"/>
      <c r="I491" s="67"/>
      <c r="J491" s="67"/>
      <c r="K491" s="67"/>
      <c r="L491" s="67"/>
      <c r="M491" s="67"/>
      <c r="N491" s="67"/>
      <c r="O491" s="67"/>
      <c r="P491" s="67"/>
      <c r="Q491" s="67"/>
      <c r="R491" s="67"/>
      <c r="S491" s="67"/>
      <c r="T491" s="67"/>
      <c r="U491" s="67"/>
      <c r="V491" s="67"/>
      <c r="W491" s="67"/>
      <c r="X491" s="67"/>
      <c r="Y491" s="67"/>
      <c r="Z491" s="67"/>
    </row>
    <row r="492">
      <c r="A492" s="135"/>
      <c r="B492" s="125"/>
      <c r="C492" s="125"/>
      <c r="D492" s="125"/>
      <c r="E492" s="126"/>
      <c r="F492" s="67"/>
      <c r="G492" s="67"/>
      <c r="H492" s="67"/>
      <c r="I492" s="67"/>
      <c r="J492" s="67"/>
      <c r="K492" s="67"/>
      <c r="L492" s="67"/>
      <c r="M492" s="67"/>
      <c r="N492" s="67"/>
      <c r="O492" s="67"/>
      <c r="P492" s="67"/>
      <c r="Q492" s="67"/>
      <c r="R492" s="67"/>
      <c r="S492" s="67"/>
      <c r="T492" s="67"/>
      <c r="U492" s="67"/>
      <c r="V492" s="67"/>
      <c r="W492" s="67"/>
      <c r="X492" s="67"/>
      <c r="Y492" s="67"/>
      <c r="Z492" s="67"/>
    </row>
    <row r="493">
      <c r="A493" s="136"/>
      <c r="B493" s="131"/>
      <c r="C493" s="131"/>
      <c r="D493" s="131"/>
      <c r="E493" s="130"/>
      <c r="F493" s="67"/>
      <c r="G493" s="67"/>
      <c r="H493" s="67"/>
      <c r="I493" s="67"/>
      <c r="J493" s="67"/>
      <c r="K493" s="67"/>
      <c r="L493" s="67"/>
      <c r="M493" s="67"/>
      <c r="N493" s="67"/>
      <c r="O493" s="67"/>
      <c r="P493" s="67"/>
      <c r="Q493" s="67"/>
      <c r="R493" s="67"/>
      <c r="S493" s="67"/>
      <c r="T493" s="67"/>
      <c r="U493" s="67"/>
      <c r="V493" s="67"/>
      <c r="W493" s="67"/>
      <c r="X493" s="67"/>
      <c r="Y493" s="67"/>
      <c r="Z493" s="67"/>
    </row>
    <row r="494">
      <c r="A494" s="135"/>
      <c r="B494" s="125"/>
      <c r="C494" s="125"/>
      <c r="D494" s="125"/>
      <c r="E494" s="126"/>
      <c r="F494" s="67"/>
      <c r="G494" s="67"/>
      <c r="H494" s="67"/>
      <c r="I494" s="67"/>
      <c r="J494" s="67"/>
      <c r="K494" s="67"/>
      <c r="L494" s="67"/>
      <c r="M494" s="67"/>
      <c r="N494" s="67"/>
      <c r="O494" s="67"/>
      <c r="P494" s="67"/>
      <c r="Q494" s="67"/>
      <c r="R494" s="67"/>
      <c r="S494" s="67"/>
      <c r="T494" s="67"/>
      <c r="U494" s="67"/>
      <c r="V494" s="67"/>
      <c r="W494" s="67"/>
      <c r="X494" s="67"/>
      <c r="Y494" s="67"/>
      <c r="Z494" s="67"/>
    </row>
    <row r="495">
      <c r="A495" s="136"/>
      <c r="B495" s="131"/>
      <c r="C495" s="131"/>
      <c r="D495" s="131"/>
      <c r="E495" s="130"/>
      <c r="F495" s="67"/>
      <c r="G495" s="67"/>
      <c r="H495" s="67"/>
      <c r="I495" s="67"/>
      <c r="J495" s="67"/>
      <c r="K495" s="67"/>
      <c r="L495" s="67"/>
      <c r="M495" s="67"/>
      <c r="N495" s="67"/>
      <c r="O495" s="67"/>
      <c r="P495" s="67"/>
      <c r="Q495" s="67"/>
      <c r="R495" s="67"/>
      <c r="S495" s="67"/>
      <c r="T495" s="67"/>
      <c r="U495" s="67"/>
      <c r="V495" s="67"/>
      <c r="W495" s="67"/>
      <c r="X495" s="67"/>
      <c r="Y495" s="67"/>
      <c r="Z495" s="67"/>
    </row>
    <row r="496">
      <c r="A496" s="135"/>
      <c r="B496" s="125"/>
      <c r="C496" s="125"/>
      <c r="D496" s="125"/>
      <c r="E496" s="126"/>
      <c r="F496" s="67"/>
      <c r="G496" s="67"/>
      <c r="H496" s="67"/>
      <c r="I496" s="67"/>
      <c r="J496" s="67"/>
      <c r="K496" s="67"/>
      <c r="L496" s="67"/>
      <c r="M496" s="67"/>
      <c r="N496" s="67"/>
      <c r="O496" s="67"/>
      <c r="P496" s="67"/>
      <c r="Q496" s="67"/>
      <c r="R496" s="67"/>
      <c r="S496" s="67"/>
      <c r="T496" s="67"/>
      <c r="U496" s="67"/>
      <c r="V496" s="67"/>
      <c r="W496" s="67"/>
      <c r="X496" s="67"/>
      <c r="Y496" s="67"/>
      <c r="Z496" s="67"/>
    </row>
    <row r="497">
      <c r="A497" s="136"/>
      <c r="B497" s="131"/>
      <c r="C497" s="131"/>
      <c r="D497" s="131"/>
      <c r="E497" s="130"/>
      <c r="F497" s="67"/>
      <c r="G497" s="67"/>
      <c r="H497" s="67"/>
      <c r="I497" s="67"/>
      <c r="J497" s="67"/>
      <c r="K497" s="67"/>
      <c r="L497" s="67"/>
      <c r="M497" s="67"/>
      <c r="N497" s="67"/>
      <c r="O497" s="67"/>
      <c r="P497" s="67"/>
      <c r="Q497" s="67"/>
      <c r="R497" s="67"/>
      <c r="S497" s="67"/>
      <c r="T497" s="67"/>
      <c r="U497" s="67"/>
      <c r="V497" s="67"/>
      <c r="W497" s="67"/>
      <c r="X497" s="67"/>
      <c r="Y497" s="67"/>
      <c r="Z497" s="67"/>
    </row>
    <row r="498">
      <c r="A498" s="135"/>
      <c r="B498" s="125"/>
      <c r="C498" s="125"/>
      <c r="D498" s="125"/>
      <c r="E498" s="126"/>
      <c r="F498" s="67"/>
      <c r="G498" s="67"/>
      <c r="H498" s="67"/>
      <c r="I498" s="67"/>
      <c r="J498" s="67"/>
      <c r="K498" s="67"/>
      <c r="L498" s="67"/>
      <c r="M498" s="67"/>
      <c r="N498" s="67"/>
      <c r="O498" s="67"/>
      <c r="P498" s="67"/>
      <c r="Q498" s="67"/>
      <c r="R498" s="67"/>
      <c r="S498" s="67"/>
      <c r="T498" s="67"/>
      <c r="U498" s="67"/>
      <c r="V498" s="67"/>
      <c r="W498" s="67"/>
      <c r="X498" s="67"/>
      <c r="Y498" s="67"/>
      <c r="Z498" s="67"/>
    </row>
    <row r="499">
      <c r="A499" s="136"/>
      <c r="B499" s="131"/>
      <c r="C499" s="131"/>
      <c r="D499" s="131"/>
      <c r="E499" s="130"/>
      <c r="F499" s="67"/>
      <c r="G499" s="67"/>
      <c r="H499" s="67"/>
      <c r="I499" s="67"/>
      <c r="J499" s="67"/>
      <c r="K499" s="67"/>
      <c r="L499" s="67"/>
      <c r="M499" s="67"/>
      <c r="N499" s="67"/>
      <c r="O499" s="67"/>
      <c r="P499" s="67"/>
      <c r="Q499" s="67"/>
      <c r="R499" s="67"/>
      <c r="S499" s="67"/>
      <c r="T499" s="67"/>
      <c r="U499" s="67"/>
      <c r="V499" s="67"/>
      <c r="W499" s="67"/>
      <c r="X499" s="67"/>
      <c r="Y499" s="67"/>
      <c r="Z499" s="67"/>
    </row>
    <row r="500">
      <c r="A500" s="135"/>
      <c r="B500" s="125"/>
      <c r="C500" s="125"/>
      <c r="D500" s="125"/>
      <c r="E500" s="126"/>
      <c r="F500" s="67"/>
      <c r="G500" s="67"/>
      <c r="H500" s="67"/>
      <c r="I500" s="67"/>
      <c r="J500" s="67"/>
      <c r="K500" s="67"/>
      <c r="L500" s="67"/>
      <c r="M500" s="67"/>
      <c r="N500" s="67"/>
      <c r="O500" s="67"/>
      <c r="P500" s="67"/>
      <c r="Q500" s="67"/>
      <c r="R500" s="67"/>
      <c r="S500" s="67"/>
      <c r="T500" s="67"/>
      <c r="U500" s="67"/>
      <c r="V500" s="67"/>
      <c r="W500" s="67"/>
      <c r="X500" s="67"/>
      <c r="Y500" s="67"/>
      <c r="Z500" s="67"/>
    </row>
    <row r="501">
      <c r="A501" s="136"/>
      <c r="B501" s="131"/>
      <c r="C501" s="131"/>
      <c r="D501" s="131"/>
      <c r="E501" s="130"/>
      <c r="F501" s="67"/>
      <c r="G501" s="67"/>
      <c r="H501" s="67"/>
      <c r="I501" s="67"/>
      <c r="J501" s="67"/>
      <c r="K501" s="67"/>
      <c r="L501" s="67"/>
      <c r="M501" s="67"/>
      <c r="N501" s="67"/>
      <c r="O501" s="67"/>
      <c r="P501" s="67"/>
      <c r="Q501" s="67"/>
      <c r="R501" s="67"/>
      <c r="S501" s="67"/>
      <c r="T501" s="67"/>
      <c r="U501" s="67"/>
      <c r="V501" s="67"/>
      <c r="W501" s="67"/>
      <c r="X501" s="67"/>
      <c r="Y501" s="67"/>
      <c r="Z501" s="67"/>
    </row>
    <row r="502">
      <c r="A502" s="135"/>
      <c r="B502" s="125"/>
      <c r="C502" s="125"/>
      <c r="D502" s="125"/>
      <c r="E502" s="126"/>
      <c r="F502" s="67"/>
      <c r="G502" s="67"/>
      <c r="H502" s="67"/>
      <c r="I502" s="67"/>
      <c r="J502" s="67"/>
      <c r="K502" s="67"/>
      <c r="L502" s="67"/>
      <c r="M502" s="67"/>
      <c r="N502" s="67"/>
      <c r="O502" s="67"/>
      <c r="P502" s="67"/>
      <c r="Q502" s="67"/>
      <c r="R502" s="67"/>
      <c r="S502" s="67"/>
      <c r="T502" s="67"/>
      <c r="U502" s="67"/>
      <c r="V502" s="67"/>
      <c r="W502" s="67"/>
      <c r="X502" s="67"/>
      <c r="Y502" s="67"/>
      <c r="Z502" s="67"/>
    </row>
    <row r="503">
      <c r="A503" s="136"/>
      <c r="B503" s="131"/>
      <c r="C503" s="131"/>
      <c r="D503" s="131"/>
      <c r="E503" s="130"/>
      <c r="F503" s="67"/>
      <c r="G503" s="67"/>
      <c r="H503" s="67"/>
      <c r="I503" s="67"/>
      <c r="J503" s="67"/>
      <c r="K503" s="67"/>
      <c r="L503" s="67"/>
      <c r="M503" s="67"/>
      <c r="N503" s="67"/>
      <c r="O503" s="67"/>
      <c r="P503" s="67"/>
      <c r="Q503" s="67"/>
      <c r="R503" s="67"/>
      <c r="S503" s="67"/>
      <c r="T503" s="67"/>
      <c r="U503" s="67"/>
      <c r="V503" s="67"/>
      <c r="W503" s="67"/>
      <c r="X503" s="67"/>
      <c r="Y503" s="67"/>
      <c r="Z503" s="67"/>
    </row>
    <row r="504">
      <c r="A504" s="135"/>
      <c r="B504" s="125"/>
      <c r="C504" s="125"/>
      <c r="D504" s="125"/>
      <c r="E504" s="126"/>
      <c r="F504" s="67"/>
      <c r="G504" s="67"/>
      <c r="H504" s="67"/>
      <c r="I504" s="67"/>
      <c r="J504" s="67"/>
      <c r="K504" s="67"/>
      <c r="L504" s="67"/>
      <c r="M504" s="67"/>
      <c r="N504" s="67"/>
      <c r="O504" s="67"/>
      <c r="P504" s="67"/>
      <c r="Q504" s="67"/>
      <c r="R504" s="67"/>
      <c r="S504" s="67"/>
      <c r="T504" s="67"/>
      <c r="U504" s="67"/>
      <c r="V504" s="67"/>
      <c r="W504" s="67"/>
      <c r="X504" s="67"/>
      <c r="Y504" s="67"/>
      <c r="Z504" s="67"/>
    </row>
    <row r="505">
      <c r="A505" s="136"/>
      <c r="B505" s="131"/>
      <c r="C505" s="131"/>
      <c r="D505" s="131"/>
      <c r="E505" s="130"/>
      <c r="F505" s="67"/>
      <c r="G505" s="67"/>
      <c r="H505" s="67"/>
      <c r="I505" s="67"/>
      <c r="J505" s="67"/>
      <c r="K505" s="67"/>
      <c r="L505" s="67"/>
      <c r="M505" s="67"/>
      <c r="N505" s="67"/>
      <c r="O505" s="67"/>
      <c r="P505" s="67"/>
      <c r="Q505" s="67"/>
      <c r="R505" s="67"/>
      <c r="S505" s="67"/>
      <c r="T505" s="67"/>
      <c r="U505" s="67"/>
      <c r="V505" s="67"/>
      <c r="W505" s="67"/>
      <c r="X505" s="67"/>
      <c r="Y505" s="67"/>
      <c r="Z505" s="67"/>
    </row>
    <row r="506">
      <c r="A506" s="135"/>
      <c r="B506" s="125"/>
      <c r="C506" s="125"/>
      <c r="D506" s="125"/>
      <c r="E506" s="126"/>
      <c r="F506" s="67"/>
      <c r="G506" s="67"/>
      <c r="H506" s="67"/>
      <c r="I506" s="67"/>
      <c r="J506" s="67"/>
      <c r="K506" s="67"/>
      <c r="L506" s="67"/>
      <c r="M506" s="67"/>
      <c r="N506" s="67"/>
      <c r="O506" s="67"/>
      <c r="P506" s="67"/>
      <c r="Q506" s="67"/>
      <c r="R506" s="67"/>
      <c r="S506" s="67"/>
      <c r="T506" s="67"/>
      <c r="U506" s="67"/>
      <c r="V506" s="67"/>
      <c r="W506" s="67"/>
      <c r="X506" s="67"/>
      <c r="Y506" s="67"/>
      <c r="Z506" s="67"/>
    </row>
    <row r="507">
      <c r="A507" s="136"/>
      <c r="B507" s="131"/>
      <c r="C507" s="131"/>
      <c r="D507" s="131"/>
      <c r="E507" s="130"/>
      <c r="F507" s="67"/>
      <c r="G507" s="67"/>
      <c r="H507" s="67"/>
      <c r="I507" s="67"/>
      <c r="J507" s="67"/>
      <c r="K507" s="67"/>
      <c r="L507" s="67"/>
      <c r="M507" s="67"/>
      <c r="N507" s="67"/>
      <c r="O507" s="67"/>
      <c r="P507" s="67"/>
      <c r="Q507" s="67"/>
      <c r="R507" s="67"/>
      <c r="S507" s="67"/>
      <c r="T507" s="67"/>
      <c r="U507" s="67"/>
      <c r="V507" s="67"/>
      <c r="W507" s="67"/>
      <c r="X507" s="67"/>
      <c r="Y507" s="67"/>
      <c r="Z507" s="67"/>
    </row>
    <row r="508">
      <c r="A508" s="135"/>
      <c r="B508" s="125"/>
      <c r="C508" s="125"/>
      <c r="D508" s="125"/>
      <c r="E508" s="126"/>
      <c r="F508" s="67"/>
      <c r="G508" s="67"/>
      <c r="H508" s="67"/>
      <c r="I508" s="67"/>
      <c r="J508" s="67"/>
      <c r="K508" s="67"/>
      <c r="L508" s="67"/>
      <c r="M508" s="67"/>
      <c r="N508" s="67"/>
      <c r="O508" s="67"/>
      <c r="P508" s="67"/>
      <c r="Q508" s="67"/>
      <c r="R508" s="67"/>
      <c r="S508" s="67"/>
      <c r="T508" s="67"/>
      <c r="U508" s="67"/>
      <c r="V508" s="67"/>
      <c r="W508" s="67"/>
      <c r="X508" s="67"/>
      <c r="Y508" s="67"/>
      <c r="Z508" s="67"/>
    </row>
    <row r="509">
      <c r="A509" s="136"/>
      <c r="B509" s="131"/>
      <c r="C509" s="131"/>
      <c r="D509" s="131"/>
      <c r="E509" s="130"/>
      <c r="F509" s="67"/>
      <c r="G509" s="67"/>
      <c r="H509" s="67"/>
      <c r="I509" s="67"/>
      <c r="J509" s="67"/>
      <c r="K509" s="67"/>
      <c r="L509" s="67"/>
      <c r="M509" s="67"/>
      <c r="N509" s="67"/>
      <c r="O509" s="67"/>
      <c r="P509" s="67"/>
      <c r="Q509" s="67"/>
      <c r="R509" s="67"/>
      <c r="S509" s="67"/>
      <c r="T509" s="67"/>
      <c r="U509" s="67"/>
      <c r="V509" s="67"/>
      <c r="W509" s="67"/>
      <c r="X509" s="67"/>
      <c r="Y509" s="67"/>
      <c r="Z509" s="67"/>
    </row>
    <row r="510">
      <c r="A510" s="135"/>
      <c r="B510" s="125"/>
      <c r="C510" s="125"/>
      <c r="D510" s="125"/>
      <c r="E510" s="126"/>
      <c r="F510" s="67"/>
      <c r="G510" s="67"/>
      <c r="H510" s="67"/>
      <c r="I510" s="67"/>
      <c r="J510" s="67"/>
      <c r="K510" s="67"/>
      <c r="L510" s="67"/>
      <c r="M510" s="67"/>
      <c r="N510" s="67"/>
      <c r="O510" s="67"/>
      <c r="P510" s="67"/>
      <c r="Q510" s="67"/>
      <c r="R510" s="67"/>
      <c r="S510" s="67"/>
      <c r="T510" s="67"/>
      <c r="U510" s="67"/>
      <c r="V510" s="67"/>
      <c r="W510" s="67"/>
      <c r="X510" s="67"/>
      <c r="Y510" s="67"/>
      <c r="Z510" s="67"/>
    </row>
    <row r="511">
      <c r="A511" s="136"/>
      <c r="B511" s="131"/>
      <c r="C511" s="131"/>
      <c r="D511" s="131"/>
      <c r="E511" s="130"/>
      <c r="F511" s="67"/>
      <c r="G511" s="67"/>
      <c r="H511" s="67"/>
      <c r="I511" s="67"/>
      <c r="J511" s="67"/>
      <c r="K511" s="67"/>
      <c r="L511" s="67"/>
      <c r="M511" s="67"/>
      <c r="N511" s="67"/>
      <c r="O511" s="67"/>
      <c r="P511" s="67"/>
      <c r="Q511" s="67"/>
      <c r="R511" s="67"/>
      <c r="S511" s="67"/>
      <c r="T511" s="67"/>
      <c r="U511" s="67"/>
      <c r="V511" s="67"/>
      <c r="W511" s="67"/>
      <c r="X511" s="67"/>
      <c r="Y511" s="67"/>
      <c r="Z511" s="67"/>
    </row>
    <row r="512">
      <c r="A512" s="135"/>
      <c r="B512" s="125"/>
      <c r="C512" s="125"/>
      <c r="D512" s="125"/>
      <c r="E512" s="126"/>
      <c r="F512" s="67"/>
      <c r="G512" s="67"/>
      <c r="H512" s="67"/>
      <c r="I512" s="67"/>
      <c r="J512" s="67"/>
      <c r="K512" s="67"/>
      <c r="L512" s="67"/>
      <c r="M512" s="67"/>
      <c r="N512" s="67"/>
      <c r="O512" s="67"/>
      <c r="P512" s="67"/>
      <c r="Q512" s="67"/>
      <c r="R512" s="67"/>
      <c r="S512" s="67"/>
      <c r="T512" s="67"/>
      <c r="U512" s="67"/>
      <c r="V512" s="67"/>
      <c r="W512" s="67"/>
      <c r="X512" s="67"/>
      <c r="Y512" s="67"/>
      <c r="Z512" s="67"/>
    </row>
    <row r="513">
      <c r="A513" s="136"/>
      <c r="B513" s="131"/>
      <c r="C513" s="131"/>
      <c r="D513" s="131"/>
      <c r="E513" s="130"/>
      <c r="F513" s="67"/>
      <c r="G513" s="67"/>
      <c r="H513" s="67"/>
      <c r="I513" s="67"/>
      <c r="J513" s="67"/>
      <c r="K513" s="67"/>
      <c r="L513" s="67"/>
      <c r="M513" s="67"/>
      <c r="N513" s="67"/>
      <c r="O513" s="67"/>
      <c r="P513" s="67"/>
      <c r="Q513" s="67"/>
      <c r="R513" s="67"/>
      <c r="S513" s="67"/>
      <c r="T513" s="67"/>
      <c r="U513" s="67"/>
      <c r="V513" s="67"/>
      <c r="W513" s="67"/>
      <c r="X513" s="67"/>
      <c r="Y513" s="67"/>
      <c r="Z513" s="67"/>
    </row>
    <row r="514">
      <c r="A514" s="135"/>
      <c r="B514" s="125"/>
      <c r="C514" s="125"/>
      <c r="D514" s="125"/>
      <c r="E514" s="126"/>
      <c r="F514" s="67"/>
      <c r="G514" s="67"/>
      <c r="H514" s="67"/>
      <c r="I514" s="67"/>
      <c r="J514" s="67"/>
      <c r="K514" s="67"/>
      <c r="L514" s="67"/>
      <c r="M514" s="67"/>
      <c r="N514" s="67"/>
      <c r="O514" s="67"/>
      <c r="P514" s="67"/>
      <c r="Q514" s="67"/>
      <c r="R514" s="67"/>
      <c r="S514" s="67"/>
      <c r="T514" s="67"/>
      <c r="U514" s="67"/>
      <c r="V514" s="67"/>
      <c r="W514" s="67"/>
      <c r="X514" s="67"/>
      <c r="Y514" s="67"/>
      <c r="Z514" s="67"/>
    </row>
    <row r="515">
      <c r="A515" s="136"/>
      <c r="B515" s="131"/>
      <c r="C515" s="131"/>
      <c r="D515" s="131"/>
      <c r="E515" s="130"/>
      <c r="F515" s="67"/>
      <c r="G515" s="67"/>
      <c r="H515" s="67"/>
      <c r="I515" s="67"/>
      <c r="J515" s="67"/>
      <c r="K515" s="67"/>
      <c r="L515" s="67"/>
      <c r="M515" s="67"/>
      <c r="N515" s="67"/>
      <c r="O515" s="67"/>
      <c r="P515" s="67"/>
      <c r="Q515" s="67"/>
      <c r="R515" s="67"/>
      <c r="S515" s="67"/>
      <c r="T515" s="67"/>
      <c r="U515" s="67"/>
      <c r="V515" s="67"/>
      <c r="W515" s="67"/>
      <c r="X515" s="67"/>
      <c r="Y515" s="67"/>
      <c r="Z515" s="67"/>
    </row>
    <row r="516">
      <c r="A516" s="135"/>
      <c r="B516" s="125"/>
      <c r="C516" s="125"/>
      <c r="D516" s="125"/>
      <c r="E516" s="126"/>
      <c r="F516" s="67"/>
      <c r="G516" s="67"/>
      <c r="H516" s="67"/>
      <c r="I516" s="67"/>
      <c r="J516" s="67"/>
      <c r="K516" s="67"/>
      <c r="L516" s="67"/>
      <c r="M516" s="67"/>
      <c r="N516" s="67"/>
      <c r="O516" s="67"/>
      <c r="P516" s="67"/>
      <c r="Q516" s="67"/>
      <c r="R516" s="67"/>
      <c r="S516" s="67"/>
      <c r="T516" s="67"/>
      <c r="U516" s="67"/>
      <c r="V516" s="67"/>
      <c r="W516" s="67"/>
      <c r="X516" s="67"/>
      <c r="Y516" s="67"/>
      <c r="Z516" s="67"/>
    </row>
    <row r="517">
      <c r="A517" s="136"/>
      <c r="B517" s="131"/>
      <c r="C517" s="131"/>
      <c r="D517" s="131"/>
      <c r="E517" s="130"/>
      <c r="F517" s="67"/>
      <c r="G517" s="67"/>
      <c r="H517" s="67"/>
      <c r="I517" s="67"/>
      <c r="J517" s="67"/>
      <c r="K517" s="67"/>
      <c r="L517" s="67"/>
      <c r="M517" s="67"/>
      <c r="N517" s="67"/>
      <c r="O517" s="67"/>
      <c r="P517" s="67"/>
      <c r="Q517" s="67"/>
      <c r="R517" s="67"/>
      <c r="S517" s="67"/>
      <c r="T517" s="67"/>
      <c r="U517" s="67"/>
      <c r="V517" s="67"/>
      <c r="W517" s="67"/>
      <c r="X517" s="67"/>
      <c r="Y517" s="67"/>
      <c r="Z517" s="67"/>
    </row>
    <row r="518">
      <c r="A518" s="135"/>
      <c r="B518" s="125"/>
      <c r="C518" s="125"/>
      <c r="D518" s="125"/>
      <c r="E518" s="126"/>
      <c r="F518" s="67"/>
      <c r="G518" s="67"/>
      <c r="H518" s="67"/>
      <c r="I518" s="67"/>
      <c r="J518" s="67"/>
      <c r="K518" s="67"/>
      <c r="L518" s="67"/>
      <c r="M518" s="67"/>
      <c r="N518" s="67"/>
      <c r="O518" s="67"/>
      <c r="P518" s="67"/>
      <c r="Q518" s="67"/>
      <c r="R518" s="67"/>
      <c r="S518" s="67"/>
      <c r="T518" s="67"/>
      <c r="U518" s="67"/>
      <c r="V518" s="67"/>
      <c r="W518" s="67"/>
      <c r="X518" s="67"/>
      <c r="Y518" s="67"/>
      <c r="Z518" s="67"/>
    </row>
    <row r="519">
      <c r="A519" s="136"/>
      <c r="B519" s="131"/>
      <c r="C519" s="131"/>
      <c r="D519" s="131"/>
      <c r="E519" s="130"/>
      <c r="F519" s="67"/>
      <c r="G519" s="67"/>
      <c r="H519" s="67"/>
      <c r="I519" s="67"/>
      <c r="J519" s="67"/>
      <c r="K519" s="67"/>
      <c r="L519" s="67"/>
      <c r="M519" s="67"/>
      <c r="N519" s="67"/>
      <c r="O519" s="67"/>
      <c r="P519" s="67"/>
      <c r="Q519" s="67"/>
      <c r="R519" s="67"/>
      <c r="S519" s="67"/>
      <c r="T519" s="67"/>
      <c r="U519" s="67"/>
      <c r="V519" s="67"/>
      <c r="W519" s="67"/>
      <c r="X519" s="67"/>
      <c r="Y519" s="67"/>
      <c r="Z519" s="67"/>
    </row>
    <row r="520">
      <c r="A520" s="135"/>
      <c r="B520" s="125"/>
      <c r="C520" s="125"/>
      <c r="D520" s="125"/>
      <c r="E520" s="126"/>
      <c r="F520" s="67"/>
      <c r="G520" s="67"/>
      <c r="H520" s="67"/>
      <c r="I520" s="67"/>
      <c r="J520" s="67"/>
      <c r="K520" s="67"/>
      <c r="L520" s="67"/>
      <c r="M520" s="67"/>
      <c r="N520" s="67"/>
      <c r="O520" s="67"/>
      <c r="P520" s="67"/>
      <c r="Q520" s="67"/>
      <c r="R520" s="67"/>
      <c r="S520" s="67"/>
      <c r="T520" s="67"/>
      <c r="U520" s="67"/>
      <c r="V520" s="67"/>
      <c r="W520" s="67"/>
      <c r="X520" s="67"/>
      <c r="Y520" s="67"/>
      <c r="Z520" s="67"/>
    </row>
    <row r="521">
      <c r="A521" s="136"/>
      <c r="B521" s="131"/>
      <c r="C521" s="131"/>
      <c r="D521" s="131"/>
      <c r="E521" s="130"/>
      <c r="F521" s="67"/>
      <c r="G521" s="67"/>
      <c r="H521" s="67"/>
      <c r="I521" s="67"/>
      <c r="J521" s="67"/>
      <c r="K521" s="67"/>
      <c r="L521" s="67"/>
      <c r="M521" s="67"/>
      <c r="N521" s="67"/>
      <c r="O521" s="67"/>
      <c r="P521" s="67"/>
      <c r="Q521" s="67"/>
      <c r="R521" s="67"/>
      <c r="S521" s="67"/>
      <c r="T521" s="67"/>
      <c r="U521" s="67"/>
      <c r="V521" s="67"/>
      <c r="W521" s="67"/>
      <c r="X521" s="67"/>
      <c r="Y521" s="67"/>
      <c r="Z521" s="67"/>
    </row>
    <row r="522">
      <c r="A522" s="135"/>
      <c r="B522" s="125"/>
      <c r="C522" s="125"/>
      <c r="D522" s="125"/>
      <c r="E522" s="126"/>
      <c r="F522" s="67"/>
      <c r="G522" s="67"/>
      <c r="H522" s="67"/>
      <c r="I522" s="67"/>
      <c r="J522" s="67"/>
      <c r="K522" s="67"/>
      <c r="L522" s="67"/>
      <c r="M522" s="67"/>
      <c r="N522" s="67"/>
      <c r="O522" s="67"/>
      <c r="P522" s="67"/>
      <c r="Q522" s="67"/>
      <c r="R522" s="67"/>
      <c r="S522" s="67"/>
      <c r="T522" s="67"/>
      <c r="U522" s="67"/>
      <c r="V522" s="67"/>
      <c r="W522" s="67"/>
      <c r="X522" s="67"/>
      <c r="Y522" s="67"/>
      <c r="Z522" s="67"/>
    </row>
    <row r="523">
      <c r="A523" s="136"/>
      <c r="B523" s="131"/>
      <c r="C523" s="131"/>
      <c r="D523" s="131"/>
      <c r="E523" s="130"/>
      <c r="F523" s="67"/>
      <c r="G523" s="67"/>
      <c r="H523" s="67"/>
      <c r="I523" s="67"/>
      <c r="J523" s="67"/>
      <c r="K523" s="67"/>
      <c r="L523" s="67"/>
      <c r="M523" s="67"/>
      <c r="N523" s="67"/>
      <c r="O523" s="67"/>
      <c r="P523" s="67"/>
      <c r="Q523" s="67"/>
      <c r="R523" s="67"/>
      <c r="S523" s="67"/>
      <c r="T523" s="67"/>
      <c r="U523" s="67"/>
      <c r="V523" s="67"/>
      <c r="W523" s="67"/>
      <c r="X523" s="67"/>
      <c r="Y523" s="67"/>
      <c r="Z523" s="67"/>
    </row>
    <row r="524">
      <c r="A524" s="135"/>
      <c r="B524" s="125"/>
      <c r="C524" s="125"/>
      <c r="D524" s="125"/>
      <c r="E524" s="126"/>
      <c r="F524" s="67"/>
      <c r="G524" s="67"/>
      <c r="H524" s="67"/>
      <c r="I524" s="67"/>
      <c r="J524" s="67"/>
      <c r="K524" s="67"/>
      <c r="L524" s="67"/>
      <c r="M524" s="67"/>
      <c r="N524" s="67"/>
      <c r="O524" s="67"/>
      <c r="P524" s="67"/>
      <c r="Q524" s="67"/>
      <c r="R524" s="67"/>
      <c r="S524" s="67"/>
      <c r="T524" s="67"/>
      <c r="U524" s="67"/>
      <c r="V524" s="67"/>
      <c r="W524" s="67"/>
      <c r="X524" s="67"/>
      <c r="Y524" s="67"/>
      <c r="Z524" s="67"/>
    </row>
    <row r="525">
      <c r="A525" s="136"/>
      <c r="B525" s="131"/>
      <c r="C525" s="131"/>
      <c r="D525" s="131"/>
      <c r="E525" s="130"/>
      <c r="F525" s="67"/>
      <c r="G525" s="67"/>
      <c r="H525" s="67"/>
      <c r="I525" s="67"/>
      <c r="J525" s="67"/>
      <c r="K525" s="67"/>
      <c r="L525" s="67"/>
      <c r="M525" s="67"/>
      <c r="N525" s="67"/>
      <c r="O525" s="67"/>
      <c r="P525" s="67"/>
      <c r="Q525" s="67"/>
      <c r="R525" s="67"/>
      <c r="S525" s="67"/>
      <c r="T525" s="67"/>
      <c r="U525" s="67"/>
      <c r="V525" s="67"/>
      <c r="W525" s="67"/>
      <c r="X525" s="67"/>
      <c r="Y525" s="67"/>
      <c r="Z525" s="67"/>
    </row>
    <row r="526">
      <c r="A526" s="135"/>
      <c r="B526" s="125"/>
      <c r="C526" s="125"/>
      <c r="D526" s="125"/>
      <c r="E526" s="126"/>
      <c r="F526" s="67"/>
      <c r="G526" s="67"/>
      <c r="H526" s="67"/>
      <c r="I526" s="67"/>
      <c r="J526" s="67"/>
      <c r="K526" s="67"/>
      <c r="L526" s="67"/>
      <c r="M526" s="67"/>
      <c r="N526" s="67"/>
      <c r="O526" s="67"/>
      <c r="P526" s="67"/>
      <c r="Q526" s="67"/>
      <c r="R526" s="67"/>
      <c r="S526" s="67"/>
      <c r="T526" s="67"/>
      <c r="U526" s="67"/>
      <c r="V526" s="67"/>
      <c r="W526" s="67"/>
      <c r="X526" s="67"/>
      <c r="Y526" s="67"/>
      <c r="Z526" s="67"/>
    </row>
    <row r="527">
      <c r="A527" s="136"/>
      <c r="B527" s="131"/>
      <c r="C527" s="131"/>
      <c r="D527" s="131"/>
      <c r="E527" s="130"/>
      <c r="F527" s="67"/>
      <c r="G527" s="67"/>
      <c r="H527" s="67"/>
      <c r="I527" s="67"/>
      <c r="J527" s="67"/>
      <c r="K527" s="67"/>
      <c r="L527" s="67"/>
      <c r="M527" s="67"/>
      <c r="N527" s="67"/>
      <c r="O527" s="67"/>
      <c r="P527" s="67"/>
      <c r="Q527" s="67"/>
      <c r="R527" s="67"/>
      <c r="S527" s="67"/>
      <c r="T527" s="67"/>
      <c r="U527" s="67"/>
      <c r="V527" s="67"/>
      <c r="W527" s="67"/>
      <c r="X527" s="67"/>
      <c r="Y527" s="67"/>
      <c r="Z527" s="67"/>
    </row>
    <row r="528">
      <c r="A528" s="135"/>
      <c r="B528" s="125"/>
      <c r="C528" s="125"/>
      <c r="D528" s="125"/>
      <c r="E528" s="126"/>
      <c r="F528" s="67"/>
      <c r="G528" s="67"/>
      <c r="H528" s="67"/>
      <c r="I528" s="67"/>
      <c r="J528" s="67"/>
      <c r="K528" s="67"/>
      <c r="L528" s="67"/>
      <c r="M528" s="67"/>
      <c r="N528" s="67"/>
      <c r="O528" s="67"/>
      <c r="P528" s="67"/>
      <c r="Q528" s="67"/>
      <c r="R528" s="67"/>
      <c r="S528" s="67"/>
      <c r="T528" s="67"/>
      <c r="U528" s="67"/>
      <c r="V528" s="67"/>
      <c r="W528" s="67"/>
      <c r="X528" s="67"/>
      <c r="Y528" s="67"/>
      <c r="Z528" s="67"/>
    </row>
    <row r="529">
      <c r="A529" s="136"/>
      <c r="B529" s="131"/>
      <c r="C529" s="131"/>
      <c r="D529" s="131"/>
      <c r="E529" s="130"/>
      <c r="F529" s="67"/>
      <c r="G529" s="67"/>
      <c r="H529" s="67"/>
      <c r="I529" s="67"/>
      <c r="J529" s="67"/>
      <c r="K529" s="67"/>
      <c r="L529" s="67"/>
      <c r="M529" s="67"/>
      <c r="N529" s="67"/>
      <c r="O529" s="67"/>
      <c r="P529" s="67"/>
      <c r="Q529" s="67"/>
      <c r="R529" s="67"/>
      <c r="S529" s="67"/>
      <c r="T529" s="67"/>
      <c r="U529" s="67"/>
      <c r="V529" s="67"/>
      <c r="W529" s="67"/>
      <c r="X529" s="67"/>
      <c r="Y529" s="67"/>
      <c r="Z529" s="67"/>
    </row>
    <row r="530">
      <c r="A530" s="135"/>
      <c r="B530" s="125"/>
      <c r="C530" s="125"/>
      <c r="D530" s="125"/>
      <c r="E530" s="126"/>
      <c r="F530" s="67"/>
      <c r="G530" s="67"/>
      <c r="H530" s="67"/>
      <c r="I530" s="67"/>
      <c r="J530" s="67"/>
      <c r="K530" s="67"/>
      <c r="L530" s="67"/>
      <c r="M530" s="67"/>
      <c r="N530" s="67"/>
      <c r="O530" s="67"/>
      <c r="P530" s="67"/>
      <c r="Q530" s="67"/>
      <c r="R530" s="67"/>
      <c r="S530" s="67"/>
      <c r="T530" s="67"/>
      <c r="U530" s="67"/>
      <c r="V530" s="67"/>
      <c r="W530" s="67"/>
      <c r="X530" s="67"/>
      <c r="Y530" s="67"/>
      <c r="Z530" s="67"/>
    </row>
    <row r="531">
      <c r="A531" s="136"/>
      <c r="B531" s="131"/>
      <c r="C531" s="131"/>
      <c r="D531" s="131"/>
      <c r="E531" s="130"/>
      <c r="F531" s="67"/>
      <c r="G531" s="67"/>
      <c r="H531" s="67"/>
      <c r="I531" s="67"/>
      <c r="J531" s="67"/>
      <c r="K531" s="67"/>
      <c r="L531" s="67"/>
      <c r="M531" s="67"/>
      <c r="N531" s="67"/>
      <c r="O531" s="67"/>
      <c r="P531" s="67"/>
      <c r="Q531" s="67"/>
      <c r="R531" s="67"/>
      <c r="S531" s="67"/>
      <c r="T531" s="67"/>
      <c r="U531" s="67"/>
      <c r="V531" s="67"/>
      <c r="W531" s="67"/>
      <c r="X531" s="67"/>
      <c r="Y531" s="67"/>
      <c r="Z531" s="67"/>
    </row>
    <row r="532">
      <c r="A532" s="135"/>
      <c r="B532" s="125"/>
      <c r="C532" s="125"/>
      <c r="D532" s="125"/>
      <c r="E532" s="126"/>
      <c r="F532" s="67"/>
      <c r="G532" s="67"/>
      <c r="H532" s="67"/>
      <c r="I532" s="67"/>
      <c r="J532" s="67"/>
      <c r="K532" s="67"/>
      <c r="L532" s="67"/>
      <c r="M532" s="67"/>
      <c r="N532" s="67"/>
      <c r="O532" s="67"/>
      <c r="P532" s="67"/>
      <c r="Q532" s="67"/>
      <c r="R532" s="67"/>
      <c r="S532" s="67"/>
      <c r="T532" s="67"/>
      <c r="U532" s="67"/>
      <c r="V532" s="67"/>
      <c r="W532" s="67"/>
      <c r="X532" s="67"/>
      <c r="Y532" s="67"/>
      <c r="Z532" s="67"/>
    </row>
    <row r="533">
      <c r="A533" s="136"/>
      <c r="B533" s="131"/>
      <c r="C533" s="131"/>
      <c r="D533" s="131"/>
      <c r="E533" s="130"/>
      <c r="F533" s="67"/>
      <c r="G533" s="67"/>
      <c r="H533" s="67"/>
      <c r="I533" s="67"/>
      <c r="J533" s="67"/>
      <c r="K533" s="67"/>
      <c r="L533" s="67"/>
      <c r="M533" s="67"/>
      <c r="N533" s="67"/>
      <c r="O533" s="67"/>
      <c r="P533" s="67"/>
      <c r="Q533" s="67"/>
      <c r="R533" s="67"/>
      <c r="S533" s="67"/>
      <c r="T533" s="67"/>
      <c r="U533" s="67"/>
      <c r="V533" s="67"/>
      <c r="W533" s="67"/>
      <c r="X533" s="67"/>
      <c r="Y533" s="67"/>
      <c r="Z533" s="67"/>
    </row>
    <row r="534">
      <c r="A534" s="135"/>
      <c r="B534" s="125"/>
      <c r="C534" s="125"/>
      <c r="D534" s="125"/>
      <c r="E534" s="126"/>
      <c r="F534" s="67"/>
      <c r="G534" s="67"/>
      <c r="H534" s="67"/>
      <c r="I534" s="67"/>
      <c r="J534" s="67"/>
      <c r="K534" s="67"/>
      <c r="L534" s="67"/>
      <c r="M534" s="67"/>
      <c r="N534" s="67"/>
      <c r="O534" s="67"/>
      <c r="P534" s="67"/>
      <c r="Q534" s="67"/>
      <c r="R534" s="67"/>
      <c r="S534" s="67"/>
      <c r="T534" s="67"/>
      <c r="U534" s="67"/>
      <c r="V534" s="67"/>
      <c r="W534" s="67"/>
      <c r="X534" s="67"/>
      <c r="Y534" s="67"/>
      <c r="Z534" s="67"/>
    </row>
    <row r="535">
      <c r="A535" s="136"/>
      <c r="B535" s="131"/>
      <c r="C535" s="131"/>
      <c r="D535" s="131"/>
      <c r="E535" s="130"/>
      <c r="F535" s="67"/>
      <c r="G535" s="67"/>
      <c r="H535" s="67"/>
      <c r="I535" s="67"/>
      <c r="J535" s="67"/>
      <c r="K535" s="67"/>
      <c r="L535" s="67"/>
      <c r="M535" s="67"/>
      <c r="N535" s="67"/>
      <c r="O535" s="67"/>
      <c r="P535" s="67"/>
      <c r="Q535" s="67"/>
      <c r="R535" s="67"/>
      <c r="S535" s="67"/>
      <c r="T535" s="67"/>
      <c r="U535" s="67"/>
      <c r="V535" s="67"/>
      <c r="W535" s="67"/>
      <c r="X535" s="67"/>
      <c r="Y535" s="67"/>
      <c r="Z535" s="67"/>
    </row>
    <row r="536">
      <c r="A536" s="135"/>
      <c r="B536" s="125"/>
      <c r="C536" s="125"/>
      <c r="D536" s="125"/>
      <c r="E536" s="126"/>
      <c r="F536" s="67"/>
      <c r="G536" s="67"/>
      <c r="H536" s="67"/>
      <c r="I536" s="67"/>
      <c r="J536" s="67"/>
      <c r="K536" s="67"/>
      <c r="L536" s="67"/>
      <c r="M536" s="67"/>
      <c r="N536" s="67"/>
      <c r="O536" s="67"/>
      <c r="P536" s="67"/>
      <c r="Q536" s="67"/>
      <c r="R536" s="67"/>
      <c r="S536" s="67"/>
      <c r="T536" s="67"/>
      <c r="U536" s="67"/>
      <c r="V536" s="67"/>
      <c r="W536" s="67"/>
      <c r="X536" s="67"/>
      <c r="Y536" s="67"/>
      <c r="Z536" s="67"/>
    </row>
    <row r="537">
      <c r="A537" s="136"/>
      <c r="B537" s="131"/>
      <c r="C537" s="131"/>
      <c r="D537" s="131"/>
      <c r="E537" s="130"/>
      <c r="F537" s="67"/>
      <c r="G537" s="67"/>
      <c r="H537" s="67"/>
      <c r="I537" s="67"/>
      <c r="J537" s="67"/>
      <c r="K537" s="67"/>
      <c r="L537" s="67"/>
      <c r="M537" s="67"/>
      <c r="N537" s="67"/>
      <c r="O537" s="67"/>
      <c r="P537" s="67"/>
      <c r="Q537" s="67"/>
      <c r="R537" s="67"/>
      <c r="S537" s="67"/>
      <c r="T537" s="67"/>
      <c r="U537" s="67"/>
      <c r="V537" s="67"/>
      <c r="W537" s="67"/>
      <c r="X537" s="67"/>
      <c r="Y537" s="67"/>
      <c r="Z537" s="67"/>
    </row>
    <row r="538">
      <c r="A538" s="135"/>
      <c r="B538" s="125"/>
      <c r="C538" s="125"/>
      <c r="D538" s="125"/>
      <c r="E538" s="126"/>
      <c r="F538" s="67"/>
      <c r="G538" s="67"/>
      <c r="H538" s="67"/>
      <c r="I538" s="67"/>
      <c r="J538" s="67"/>
      <c r="K538" s="67"/>
      <c r="L538" s="67"/>
      <c r="M538" s="67"/>
      <c r="N538" s="67"/>
      <c r="O538" s="67"/>
      <c r="P538" s="67"/>
      <c r="Q538" s="67"/>
      <c r="R538" s="67"/>
      <c r="S538" s="67"/>
      <c r="T538" s="67"/>
      <c r="U538" s="67"/>
      <c r="V538" s="67"/>
      <c r="W538" s="67"/>
      <c r="X538" s="67"/>
      <c r="Y538" s="67"/>
      <c r="Z538" s="67"/>
    </row>
    <row r="539">
      <c r="A539" s="136"/>
      <c r="B539" s="131"/>
      <c r="C539" s="131"/>
      <c r="D539" s="131"/>
      <c r="E539" s="130"/>
      <c r="F539" s="67"/>
      <c r="G539" s="67"/>
      <c r="H539" s="67"/>
      <c r="I539" s="67"/>
      <c r="J539" s="67"/>
      <c r="K539" s="67"/>
      <c r="L539" s="67"/>
      <c r="M539" s="67"/>
      <c r="N539" s="67"/>
      <c r="O539" s="67"/>
      <c r="P539" s="67"/>
      <c r="Q539" s="67"/>
      <c r="R539" s="67"/>
      <c r="S539" s="67"/>
      <c r="T539" s="67"/>
      <c r="U539" s="67"/>
      <c r="V539" s="67"/>
      <c r="W539" s="67"/>
      <c r="X539" s="67"/>
      <c r="Y539" s="67"/>
      <c r="Z539" s="67"/>
    </row>
    <row r="540">
      <c r="A540" s="135"/>
      <c r="B540" s="125"/>
      <c r="C540" s="125"/>
      <c r="D540" s="125"/>
      <c r="E540" s="126"/>
      <c r="F540" s="67"/>
      <c r="G540" s="67"/>
      <c r="H540" s="67"/>
      <c r="I540" s="67"/>
      <c r="J540" s="67"/>
      <c r="K540" s="67"/>
      <c r="L540" s="67"/>
      <c r="M540" s="67"/>
      <c r="N540" s="67"/>
      <c r="O540" s="67"/>
      <c r="P540" s="67"/>
      <c r="Q540" s="67"/>
      <c r="R540" s="67"/>
      <c r="S540" s="67"/>
      <c r="T540" s="67"/>
      <c r="U540" s="67"/>
      <c r="V540" s="67"/>
      <c r="W540" s="67"/>
      <c r="X540" s="67"/>
      <c r="Y540" s="67"/>
      <c r="Z540" s="67"/>
    </row>
    <row r="541">
      <c r="A541" s="136"/>
      <c r="B541" s="131"/>
      <c r="C541" s="131"/>
      <c r="D541" s="131"/>
      <c r="E541" s="130"/>
      <c r="F541" s="67"/>
      <c r="G541" s="67"/>
      <c r="H541" s="67"/>
      <c r="I541" s="67"/>
      <c r="J541" s="67"/>
      <c r="K541" s="67"/>
      <c r="L541" s="67"/>
      <c r="M541" s="67"/>
      <c r="N541" s="67"/>
      <c r="O541" s="67"/>
      <c r="P541" s="67"/>
      <c r="Q541" s="67"/>
      <c r="R541" s="67"/>
      <c r="S541" s="67"/>
      <c r="T541" s="67"/>
      <c r="U541" s="67"/>
      <c r="V541" s="67"/>
      <c r="W541" s="67"/>
      <c r="X541" s="67"/>
      <c r="Y541" s="67"/>
      <c r="Z541" s="67"/>
    </row>
    <row r="542">
      <c r="A542" s="135"/>
      <c r="B542" s="125"/>
      <c r="C542" s="125"/>
      <c r="D542" s="125"/>
      <c r="E542" s="126"/>
      <c r="F542" s="67"/>
      <c r="G542" s="67"/>
      <c r="H542" s="67"/>
      <c r="I542" s="67"/>
      <c r="J542" s="67"/>
      <c r="K542" s="67"/>
      <c r="L542" s="67"/>
      <c r="M542" s="67"/>
      <c r="N542" s="67"/>
      <c r="O542" s="67"/>
      <c r="P542" s="67"/>
      <c r="Q542" s="67"/>
      <c r="R542" s="67"/>
      <c r="S542" s="67"/>
      <c r="T542" s="67"/>
      <c r="U542" s="67"/>
      <c r="V542" s="67"/>
      <c r="W542" s="67"/>
      <c r="X542" s="67"/>
      <c r="Y542" s="67"/>
      <c r="Z542" s="67"/>
    </row>
    <row r="543">
      <c r="A543" s="136"/>
      <c r="B543" s="131"/>
      <c r="C543" s="131"/>
      <c r="D543" s="131"/>
      <c r="E543" s="130"/>
      <c r="F543" s="67"/>
      <c r="G543" s="67"/>
      <c r="H543" s="67"/>
      <c r="I543" s="67"/>
      <c r="J543" s="67"/>
      <c r="K543" s="67"/>
      <c r="L543" s="67"/>
      <c r="M543" s="67"/>
      <c r="N543" s="67"/>
      <c r="O543" s="67"/>
      <c r="P543" s="67"/>
      <c r="Q543" s="67"/>
      <c r="R543" s="67"/>
      <c r="S543" s="67"/>
      <c r="T543" s="67"/>
      <c r="U543" s="67"/>
      <c r="V543" s="67"/>
      <c r="W543" s="67"/>
      <c r="X543" s="67"/>
      <c r="Y543" s="67"/>
      <c r="Z543" s="67"/>
    </row>
    <row r="544">
      <c r="A544" s="135"/>
      <c r="B544" s="125"/>
      <c r="C544" s="125"/>
      <c r="D544" s="125"/>
      <c r="E544" s="126"/>
      <c r="F544" s="67"/>
      <c r="G544" s="67"/>
      <c r="H544" s="67"/>
      <c r="I544" s="67"/>
      <c r="J544" s="67"/>
      <c r="K544" s="67"/>
      <c r="L544" s="67"/>
      <c r="M544" s="67"/>
      <c r="N544" s="67"/>
      <c r="O544" s="67"/>
      <c r="P544" s="67"/>
      <c r="Q544" s="67"/>
      <c r="R544" s="67"/>
      <c r="S544" s="67"/>
      <c r="T544" s="67"/>
      <c r="U544" s="67"/>
      <c r="V544" s="67"/>
      <c r="W544" s="67"/>
      <c r="X544" s="67"/>
      <c r="Y544" s="67"/>
      <c r="Z544" s="67"/>
    </row>
    <row r="545">
      <c r="A545" s="136"/>
      <c r="B545" s="131"/>
      <c r="C545" s="131"/>
      <c r="D545" s="131"/>
      <c r="E545" s="130"/>
      <c r="F545" s="67"/>
      <c r="G545" s="67"/>
      <c r="H545" s="67"/>
      <c r="I545" s="67"/>
      <c r="J545" s="67"/>
      <c r="K545" s="67"/>
      <c r="L545" s="67"/>
      <c r="M545" s="67"/>
      <c r="N545" s="67"/>
      <c r="O545" s="67"/>
      <c r="P545" s="67"/>
      <c r="Q545" s="67"/>
      <c r="R545" s="67"/>
      <c r="S545" s="67"/>
      <c r="T545" s="67"/>
      <c r="U545" s="67"/>
      <c r="V545" s="67"/>
      <c r="W545" s="67"/>
      <c r="X545" s="67"/>
      <c r="Y545" s="67"/>
      <c r="Z545" s="67"/>
    </row>
    <row r="546">
      <c r="A546" s="135"/>
      <c r="B546" s="125"/>
      <c r="C546" s="125"/>
      <c r="D546" s="125"/>
      <c r="E546" s="126"/>
      <c r="F546" s="67"/>
      <c r="G546" s="67"/>
      <c r="H546" s="67"/>
      <c r="I546" s="67"/>
      <c r="J546" s="67"/>
      <c r="K546" s="67"/>
      <c r="L546" s="67"/>
      <c r="M546" s="67"/>
      <c r="N546" s="67"/>
      <c r="O546" s="67"/>
      <c r="P546" s="67"/>
      <c r="Q546" s="67"/>
      <c r="R546" s="67"/>
      <c r="S546" s="67"/>
      <c r="T546" s="67"/>
      <c r="U546" s="67"/>
      <c r="V546" s="67"/>
      <c r="W546" s="67"/>
      <c r="X546" s="67"/>
      <c r="Y546" s="67"/>
      <c r="Z546" s="67"/>
    </row>
    <row r="547">
      <c r="A547" s="136"/>
      <c r="B547" s="131"/>
      <c r="C547" s="131"/>
      <c r="D547" s="131"/>
      <c r="E547" s="130"/>
      <c r="F547" s="67"/>
      <c r="G547" s="67"/>
      <c r="H547" s="67"/>
      <c r="I547" s="67"/>
      <c r="J547" s="67"/>
      <c r="K547" s="67"/>
      <c r="L547" s="67"/>
      <c r="M547" s="67"/>
      <c r="N547" s="67"/>
      <c r="O547" s="67"/>
      <c r="P547" s="67"/>
      <c r="Q547" s="67"/>
      <c r="R547" s="67"/>
      <c r="S547" s="67"/>
      <c r="T547" s="67"/>
      <c r="U547" s="67"/>
      <c r="V547" s="67"/>
      <c r="W547" s="67"/>
      <c r="X547" s="67"/>
      <c r="Y547" s="67"/>
      <c r="Z547" s="67"/>
    </row>
    <row r="548">
      <c r="A548" s="135"/>
      <c r="B548" s="125"/>
      <c r="C548" s="125"/>
      <c r="D548" s="125"/>
      <c r="E548" s="126"/>
      <c r="F548" s="67"/>
      <c r="G548" s="67"/>
      <c r="H548" s="67"/>
      <c r="I548" s="67"/>
      <c r="J548" s="67"/>
      <c r="K548" s="67"/>
      <c r="L548" s="67"/>
      <c r="M548" s="67"/>
      <c r="N548" s="67"/>
      <c r="O548" s="67"/>
      <c r="P548" s="67"/>
      <c r="Q548" s="67"/>
      <c r="R548" s="67"/>
      <c r="S548" s="67"/>
      <c r="T548" s="67"/>
      <c r="U548" s="67"/>
      <c r="V548" s="67"/>
      <c r="W548" s="67"/>
      <c r="X548" s="67"/>
      <c r="Y548" s="67"/>
      <c r="Z548" s="67"/>
    </row>
    <row r="549">
      <c r="A549" s="136"/>
      <c r="B549" s="131"/>
      <c r="C549" s="131"/>
      <c r="D549" s="131"/>
      <c r="E549" s="130"/>
      <c r="F549" s="67"/>
      <c r="G549" s="67"/>
      <c r="H549" s="67"/>
      <c r="I549" s="67"/>
      <c r="J549" s="67"/>
      <c r="K549" s="67"/>
      <c r="L549" s="67"/>
      <c r="M549" s="67"/>
      <c r="N549" s="67"/>
      <c r="O549" s="67"/>
      <c r="P549" s="67"/>
      <c r="Q549" s="67"/>
      <c r="R549" s="67"/>
      <c r="S549" s="67"/>
      <c r="T549" s="67"/>
      <c r="U549" s="67"/>
      <c r="V549" s="67"/>
      <c r="W549" s="67"/>
      <c r="X549" s="67"/>
      <c r="Y549" s="67"/>
      <c r="Z549" s="67"/>
    </row>
    <row r="550">
      <c r="A550" s="135"/>
      <c r="B550" s="125"/>
      <c r="C550" s="125"/>
      <c r="D550" s="125"/>
      <c r="E550" s="126"/>
      <c r="F550" s="67"/>
      <c r="G550" s="67"/>
      <c r="H550" s="67"/>
      <c r="I550" s="67"/>
      <c r="J550" s="67"/>
      <c r="K550" s="67"/>
      <c r="L550" s="67"/>
      <c r="M550" s="67"/>
      <c r="N550" s="67"/>
      <c r="O550" s="67"/>
      <c r="P550" s="67"/>
      <c r="Q550" s="67"/>
      <c r="R550" s="67"/>
      <c r="S550" s="67"/>
      <c r="T550" s="67"/>
      <c r="U550" s="67"/>
      <c r="V550" s="67"/>
      <c r="W550" s="67"/>
      <c r="X550" s="67"/>
      <c r="Y550" s="67"/>
      <c r="Z550" s="67"/>
    </row>
    <row r="551">
      <c r="A551" s="136"/>
      <c r="B551" s="131"/>
      <c r="C551" s="131"/>
      <c r="D551" s="131"/>
      <c r="E551" s="130"/>
      <c r="F551" s="67"/>
      <c r="G551" s="67"/>
      <c r="H551" s="67"/>
      <c r="I551" s="67"/>
      <c r="J551" s="67"/>
      <c r="K551" s="67"/>
      <c r="L551" s="67"/>
      <c r="M551" s="67"/>
      <c r="N551" s="67"/>
      <c r="O551" s="67"/>
      <c r="P551" s="67"/>
      <c r="Q551" s="67"/>
      <c r="R551" s="67"/>
      <c r="S551" s="67"/>
      <c r="T551" s="67"/>
      <c r="U551" s="67"/>
      <c r="V551" s="67"/>
      <c r="W551" s="67"/>
      <c r="X551" s="67"/>
      <c r="Y551" s="67"/>
      <c r="Z551" s="67"/>
    </row>
    <row r="552">
      <c r="A552" s="135"/>
      <c r="B552" s="125"/>
      <c r="C552" s="125"/>
      <c r="D552" s="125"/>
      <c r="E552" s="126"/>
      <c r="F552" s="67"/>
      <c r="G552" s="67"/>
      <c r="H552" s="67"/>
      <c r="I552" s="67"/>
      <c r="J552" s="67"/>
      <c r="K552" s="67"/>
      <c r="L552" s="67"/>
      <c r="M552" s="67"/>
      <c r="N552" s="67"/>
      <c r="O552" s="67"/>
      <c r="P552" s="67"/>
      <c r="Q552" s="67"/>
      <c r="R552" s="67"/>
      <c r="S552" s="67"/>
      <c r="T552" s="67"/>
      <c r="U552" s="67"/>
      <c r="V552" s="67"/>
      <c r="W552" s="67"/>
      <c r="X552" s="67"/>
      <c r="Y552" s="67"/>
      <c r="Z552" s="67"/>
    </row>
    <row r="553">
      <c r="A553" s="136"/>
      <c r="B553" s="131"/>
      <c r="C553" s="131"/>
      <c r="D553" s="131"/>
      <c r="E553" s="130"/>
      <c r="F553" s="67"/>
      <c r="G553" s="67"/>
      <c r="H553" s="67"/>
      <c r="I553" s="67"/>
      <c r="J553" s="67"/>
      <c r="K553" s="67"/>
      <c r="L553" s="67"/>
      <c r="M553" s="67"/>
      <c r="N553" s="67"/>
      <c r="O553" s="67"/>
      <c r="P553" s="67"/>
      <c r="Q553" s="67"/>
      <c r="R553" s="67"/>
      <c r="S553" s="67"/>
      <c r="T553" s="67"/>
      <c r="U553" s="67"/>
      <c r="V553" s="67"/>
      <c r="W553" s="67"/>
      <c r="X553" s="67"/>
      <c r="Y553" s="67"/>
      <c r="Z553" s="67"/>
    </row>
    <row r="554">
      <c r="A554" s="135"/>
      <c r="B554" s="125"/>
      <c r="C554" s="125"/>
      <c r="D554" s="125"/>
      <c r="E554" s="126"/>
      <c r="F554" s="67"/>
      <c r="G554" s="67"/>
      <c r="H554" s="67"/>
      <c r="I554" s="67"/>
      <c r="J554" s="67"/>
      <c r="K554" s="67"/>
      <c r="L554" s="67"/>
      <c r="M554" s="67"/>
      <c r="N554" s="67"/>
      <c r="O554" s="67"/>
      <c r="P554" s="67"/>
      <c r="Q554" s="67"/>
      <c r="R554" s="67"/>
      <c r="S554" s="67"/>
      <c r="T554" s="67"/>
      <c r="U554" s="67"/>
      <c r="V554" s="67"/>
      <c r="W554" s="67"/>
      <c r="X554" s="67"/>
      <c r="Y554" s="67"/>
      <c r="Z554" s="67"/>
    </row>
    <row r="555">
      <c r="A555" s="136"/>
      <c r="B555" s="131"/>
      <c r="C555" s="131"/>
      <c r="D555" s="131"/>
      <c r="E555" s="130"/>
      <c r="F555" s="67"/>
      <c r="G555" s="67"/>
      <c r="H555" s="67"/>
      <c r="I555" s="67"/>
      <c r="J555" s="67"/>
      <c r="K555" s="67"/>
      <c r="L555" s="67"/>
      <c r="M555" s="67"/>
      <c r="N555" s="67"/>
      <c r="O555" s="67"/>
      <c r="P555" s="67"/>
      <c r="Q555" s="67"/>
      <c r="R555" s="67"/>
      <c r="S555" s="67"/>
      <c r="T555" s="67"/>
      <c r="U555" s="67"/>
      <c r="V555" s="67"/>
      <c r="W555" s="67"/>
      <c r="X555" s="67"/>
      <c r="Y555" s="67"/>
      <c r="Z555" s="67"/>
    </row>
    <row r="556">
      <c r="A556" s="135"/>
      <c r="B556" s="125"/>
      <c r="C556" s="125"/>
      <c r="D556" s="125"/>
      <c r="E556" s="126"/>
      <c r="F556" s="67"/>
      <c r="G556" s="67"/>
      <c r="H556" s="67"/>
      <c r="I556" s="67"/>
      <c r="J556" s="67"/>
      <c r="K556" s="67"/>
      <c r="L556" s="67"/>
      <c r="M556" s="67"/>
      <c r="N556" s="67"/>
      <c r="O556" s="67"/>
      <c r="P556" s="67"/>
      <c r="Q556" s="67"/>
      <c r="R556" s="67"/>
      <c r="S556" s="67"/>
      <c r="T556" s="67"/>
      <c r="U556" s="67"/>
      <c r="V556" s="67"/>
      <c r="W556" s="67"/>
      <c r="X556" s="67"/>
      <c r="Y556" s="67"/>
      <c r="Z556" s="67"/>
    </row>
    <row r="557">
      <c r="A557" s="136"/>
      <c r="B557" s="131"/>
      <c r="C557" s="131"/>
      <c r="D557" s="131"/>
      <c r="E557" s="130"/>
      <c r="F557" s="67"/>
      <c r="G557" s="67"/>
      <c r="H557" s="67"/>
      <c r="I557" s="67"/>
      <c r="J557" s="67"/>
      <c r="K557" s="67"/>
      <c r="L557" s="67"/>
      <c r="M557" s="67"/>
      <c r="N557" s="67"/>
      <c r="O557" s="67"/>
      <c r="P557" s="67"/>
      <c r="Q557" s="67"/>
      <c r="R557" s="67"/>
      <c r="S557" s="67"/>
      <c r="T557" s="67"/>
      <c r="U557" s="67"/>
      <c r="V557" s="67"/>
      <c r="W557" s="67"/>
      <c r="X557" s="67"/>
      <c r="Y557" s="67"/>
      <c r="Z557" s="67"/>
    </row>
    <row r="558">
      <c r="A558" s="135"/>
      <c r="B558" s="125"/>
      <c r="C558" s="125"/>
      <c r="D558" s="125"/>
      <c r="E558" s="126"/>
      <c r="F558" s="67"/>
      <c r="G558" s="67"/>
      <c r="H558" s="67"/>
      <c r="I558" s="67"/>
      <c r="J558" s="67"/>
      <c r="K558" s="67"/>
      <c r="L558" s="67"/>
      <c r="M558" s="67"/>
      <c r="N558" s="67"/>
      <c r="O558" s="67"/>
      <c r="P558" s="67"/>
      <c r="Q558" s="67"/>
      <c r="R558" s="67"/>
      <c r="S558" s="67"/>
      <c r="T558" s="67"/>
      <c r="U558" s="67"/>
      <c r="V558" s="67"/>
      <c r="W558" s="67"/>
      <c r="X558" s="67"/>
      <c r="Y558" s="67"/>
      <c r="Z558" s="67"/>
    </row>
    <row r="559">
      <c r="A559" s="136"/>
      <c r="B559" s="131"/>
      <c r="C559" s="131"/>
      <c r="D559" s="131"/>
      <c r="E559" s="130"/>
      <c r="F559" s="67"/>
      <c r="G559" s="67"/>
      <c r="H559" s="67"/>
      <c r="I559" s="67"/>
      <c r="J559" s="67"/>
      <c r="K559" s="67"/>
      <c r="L559" s="67"/>
      <c r="M559" s="67"/>
      <c r="N559" s="67"/>
      <c r="O559" s="67"/>
      <c r="P559" s="67"/>
      <c r="Q559" s="67"/>
      <c r="R559" s="67"/>
      <c r="S559" s="67"/>
      <c r="T559" s="67"/>
      <c r="U559" s="67"/>
      <c r="V559" s="67"/>
      <c r="W559" s="67"/>
      <c r="X559" s="67"/>
      <c r="Y559" s="67"/>
      <c r="Z559" s="67"/>
    </row>
    <row r="560">
      <c r="A560" s="135"/>
      <c r="B560" s="125"/>
      <c r="C560" s="125"/>
      <c r="D560" s="125"/>
      <c r="E560" s="126"/>
      <c r="F560" s="67"/>
      <c r="G560" s="67"/>
      <c r="H560" s="67"/>
      <c r="I560" s="67"/>
      <c r="J560" s="67"/>
      <c r="K560" s="67"/>
      <c r="L560" s="67"/>
      <c r="M560" s="67"/>
      <c r="N560" s="67"/>
      <c r="O560" s="67"/>
      <c r="P560" s="67"/>
      <c r="Q560" s="67"/>
      <c r="R560" s="67"/>
      <c r="S560" s="67"/>
      <c r="T560" s="67"/>
      <c r="U560" s="67"/>
      <c r="V560" s="67"/>
      <c r="W560" s="67"/>
      <c r="X560" s="67"/>
      <c r="Y560" s="67"/>
      <c r="Z560" s="67"/>
    </row>
    <row r="561">
      <c r="A561" s="136"/>
      <c r="B561" s="131"/>
      <c r="C561" s="131"/>
      <c r="D561" s="131"/>
      <c r="E561" s="130"/>
      <c r="F561" s="67"/>
      <c r="G561" s="67"/>
      <c r="H561" s="67"/>
      <c r="I561" s="67"/>
      <c r="J561" s="67"/>
      <c r="K561" s="67"/>
      <c r="L561" s="67"/>
      <c r="M561" s="67"/>
      <c r="N561" s="67"/>
      <c r="O561" s="67"/>
      <c r="P561" s="67"/>
      <c r="Q561" s="67"/>
      <c r="R561" s="67"/>
      <c r="S561" s="67"/>
      <c r="T561" s="67"/>
      <c r="U561" s="67"/>
      <c r="V561" s="67"/>
      <c r="W561" s="67"/>
      <c r="X561" s="67"/>
      <c r="Y561" s="67"/>
      <c r="Z561" s="67"/>
    </row>
    <row r="562">
      <c r="A562" s="135"/>
      <c r="B562" s="125"/>
      <c r="C562" s="125"/>
      <c r="D562" s="125"/>
      <c r="E562" s="126"/>
      <c r="F562" s="67"/>
      <c r="G562" s="67"/>
      <c r="H562" s="67"/>
      <c r="I562" s="67"/>
      <c r="J562" s="67"/>
      <c r="K562" s="67"/>
      <c r="L562" s="67"/>
      <c r="M562" s="67"/>
      <c r="N562" s="67"/>
      <c r="O562" s="67"/>
      <c r="P562" s="67"/>
      <c r="Q562" s="67"/>
      <c r="R562" s="67"/>
      <c r="S562" s="67"/>
      <c r="T562" s="67"/>
      <c r="U562" s="67"/>
      <c r="V562" s="67"/>
      <c r="W562" s="67"/>
      <c r="X562" s="67"/>
      <c r="Y562" s="67"/>
      <c r="Z562" s="67"/>
    </row>
    <row r="563">
      <c r="A563" s="136"/>
      <c r="B563" s="131"/>
      <c r="C563" s="131"/>
      <c r="D563" s="131"/>
      <c r="E563" s="130"/>
      <c r="F563" s="67"/>
      <c r="G563" s="67"/>
      <c r="H563" s="67"/>
      <c r="I563" s="67"/>
      <c r="J563" s="67"/>
      <c r="K563" s="67"/>
      <c r="L563" s="67"/>
      <c r="M563" s="67"/>
      <c r="N563" s="67"/>
      <c r="O563" s="67"/>
      <c r="P563" s="67"/>
      <c r="Q563" s="67"/>
      <c r="R563" s="67"/>
      <c r="S563" s="67"/>
      <c r="T563" s="67"/>
      <c r="U563" s="67"/>
      <c r="V563" s="67"/>
      <c r="W563" s="67"/>
      <c r="X563" s="67"/>
      <c r="Y563" s="67"/>
      <c r="Z563" s="67"/>
    </row>
    <row r="564">
      <c r="A564" s="135"/>
      <c r="B564" s="125"/>
      <c r="C564" s="125"/>
      <c r="D564" s="125"/>
      <c r="E564" s="126"/>
      <c r="F564" s="67"/>
      <c r="G564" s="67"/>
      <c r="H564" s="67"/>
      <c r="I564" s="67"/>
      <c r="J564" s="67"/>
      <c r="K564" s="67"/>
      <c r="L564" s="67"/>
      <c r="M564" s="67"/>
      <c r="N564" s="67"/>
      <c r="O564" s="67"/>
      <c r="P564" s="67"/>
      <c r="Q564" s="67"/>
      <c r="R564" s="67"/>
      <c r="S564" s="67"/>
      <c r="T564" s="67"/>
      <c r="U564" s="67"/>
      <c r="V564" s="67"/>
      <c r="W564" s="67"/>
      <c r="X564" s="67"/>
      <c r="Y564" s="67"/>
      <c r="Z564" s="67"/>
    </row>
    <row r="565">
      <c r="A565" s="136"/>
      <c r="B565" s="131"/>
      <c r="C565" s="131"/>
      <c r="D565" s="131"/>
      <c r="E565" s="130"/>
      <c r="F565" s="67"/>
      <c r="G565" s="67"/>
      <c r="H565" s="67"/>
      <c r="I565" s="67"/>
      <c r="J565" s="67"/>
      <c r="K565" s="67"/>
      <c r="L565" s="67"/>
      <c r="M565" s="67"/>
      <c r="N565" s="67"/>
      <c r="O565" s="67"/>
      <c r="P565" s="67"/>
      <c r="Q565" s="67"/>
      <c r="R565" s="67"/>
      <c r="S565" s="67"/>
      <c r="T565" s="67"/>
      <c r="U565" s="67"/>
      <c r="V565" s="67"/>
      <c r="W565" s="67"/>
      <c r="X565" s="67"/>
      <c r="Y565" s="67"/>
      <c r="Z565" s="67"/>
    </row>
    <row r="566">
      <c r="A566" s="135"/>
      <c r="B566" s="125"/>
      <c r="C566" s="125"/>
      <c r="D566" s="125"/>
      <c r="E566" s="126"/>
      <c r="F566" s="67"/>
      <c r="G566" s="67"/>
      <c r="H566" s="67"/>
      <c r="I566" s="67"/>
      <c r="J566" s="67"/>
      <c r="K566" s="67"/>
      <c r="L566" s="67"/>
      <c r="M566" s="67"/>
      <c r="N566" s="67"/>
      <c r="O566" s="67"/>
      <c r="P566" s="67"/>
      <c r="Q566" s="67"/>
      <c r="R566" s="67"/>
      <c r="S566" s="67"/>
      <c r="T566" s="67"/>
      <c r="U566" s="67"/>
      <c r="V566" s="67"/>
      <c r="W566" s="67"/>
      <c r="X566" s="67"/>
      <c r="Y566" s="67"/>
      <c r="Z566" s="67"/>
    </row>
    <row r="567">
      <c r="A567" s="136"/>
      <c r="B567" s="131"/>
      <c r="C567" s="131"/>
      <c r="D567" s="131"/>
      <c r="E567" s="130"/>
      <c r="F567" s="67"/>
      <c r="G567" s="67"/>
      <c r="H567" s="67"/>
      <c r="I567" s="67"/>
      <c r="J567" s="67"/>
      <c r="K567" s="67"/>
      <c r="L567" s="67"/>
      <c r="M567" s="67"/>
      <c r="N567" s="67"/>
      <c r="O567" s="67"/>
      <c r="P567" s="67"/>
      <c r="Q567" s="67"/>
      <c r="R567" s="67"/>
      <c r="S567" s="67"/>
      <c r="T567" s="67"/>
      <c r="U567" s="67"/>
      <c r="V567" s="67"/>
      <c r="W567" s="67"/>
      <c r="X567" s="67"/>
      <c r="Y567" s="67"/>
      <c r="Z567" s="67"/>
    </row>
    <row r="568">
      <c r="A568" s="135"/>
      <c r="B568" s="125"/>
      <c r="C568" s="125"/>
      <c r="D568" s="125"/>
      <c r="E568" s="126"/>
      <c r="F568" s="67"/>
      <c r="G568" s="67"/>
      <c r="H568" s="67"/>
      <c r="I568" s="67"/>
      <c r="J568" s="67"/>
      <c r="K568" s="67"/>
      <c r="L568" s="67"/>
      <c r="M568" s="67"/>
      <c r="N568" s="67"/>
      <c r="O568" s="67"/>
      <c r="P568" s="67"/>
      <c r="Q568" s="67"/>
      <c r="R568" s="67"/>
      <c r="S568" s="67"/>
      <c r="T568" s="67"/>
      <c r="U568" s="67"/>
      <c r="V568" s="67"/>
      <c r="W568" s="67"/>
      <c r="X568" s="67"/>
      <c r="Y568" s="67"/>
      <c r="Z568" s="67"/>
    </row>
    <row r="569">
      <c r="A569" s="136"/>
      <c r="B569" s="131"/>
      <c r="C569" s="131"/>
      <c r="D569" s="131"/>
      <c r="E569" s="130"/>
      <c r="F569" s="67"/>
      <c r="G569" s="67"/>
      <c r="H569" s="67"/>
      <c r="I569" s="67"/>
      <c r="J569" s="67"/>
      <c r="K569" s="67"/>
      <c r="L569" s="67"/>
      <c r="M569" s="67"/>
      <c r="N569" s="67"/>
      <c r="O569" s="67"/>
      <c r="P569" s="67"/>
      <c r="Q569" s="67"/>
      <c r="R569" s="67"/>
      <c r="S569" s="67"/>
      <c r="T569" s="67"/>
      <c r="U569" s="67"/>
      <c r="V569" s="67"/>
      <c r="W569" s="67"/>
      <c r="X569" s="67"/>
      <c r="Y569" s="67"/>
      <c r="Z569" s="67"/>
    </row>
    <row r="570">
      <c r="A570" s="135"/>
      <c r="B570" s="125"/>
      <c r="C570" s="125"/>
      <c r="D570" s="125"/>
      <c r="E570" s="126"/>
      <c r="F570" s="67"/>
      <c r="G570" s="67"/>
      <c r="H570" s="67"/>
      <c r="I570" s="67"/>
      <c r="J570" s="67"/>
      <c r="K570" s="67"/>
      <c r="L570" s="67"/>
      <c r="M570" s="67"/>
      <c r="N570" s="67"/>
      <c r="O570" s="67"/>
      <c r="P570" s="67"/>
      <c r="Q570" s="67"/>
      <c r="R570" s="67"/>
      <c r="S570" s="67"/>
      <c r="T570" s="67"/>
      <c r="U570" s="67"/>
      <c r="V570" s="67"/>
      <c r="W570" s="67"/>
      <c r="X570" s="67"/>
      <c r="Y570" s="67"/>
      <c r="Z570" s="67"/>
    </row>
    <row r="571">
      <c r="A571" s="136"/>
      <c r="B571" s="131"/>
      <c r="C571" s="131"/>
      <c r="D571" s="131"/>
      <c r="E571" s="130"/>
      <c r="F571" s="67"/>
      <c r="G571" s="67"/>
      <c r="H571" s="67"/>
      <c r="I571" s="67"/>
      <c r="J571" s="67"/>
      <c r="K571" s="67"/>
      <c r="L571" s="67"/>
      <c r="M571" s="67"/>
      <c r="N571" s="67"/>
      <c r="O571" s="67"/>
      <c r="P571" s="67"/>
      <c r="Q571" s="67"/>
      <c r="R571" s="67"/>
      <c r="S571" s="67"/>
      <c r="T571" s="67"/>
      <c r="U571" s="67"/>
      <c r="V571" s="67"/>
      <c r="W571" s="67"/>
      <c r="X571" s="67"/>
      <c r="Y571" s="67"/>
      <c r="Z571" s="67"/>
    </row>
    <row r="572">
      <c r="A572" s="135"/>
      <c r="B572" s="125"/>
      <c r="C572" s="125"/>
      <c r="D572" s="125"/>
      <c r="E572" s="126"/>
      <c r="F572" s="67"/>
      <c r="G572" s="67"/>
      <c r="H572" s="67"/>
      <c r="I572" s="67"/>
      <c r="J572" s="67"/>
      <c r="K572" s="67"/>
      <c r="L572" s="67"/>
      <c r="M572" s="67"/>
      <c r="N572" s="67"/>
      <c r="O572" s="67"/>
      <c r="P572" s="67"/>
      <c r="Q572" s="67"/>
      <c r="R572" s="67"/>
      <c r="S572" s="67"/>
      <c r="T572" s="67"/>
      <c r="U572" s="67"/>
      <c r="V572" s="67"/>
      <c r="W572" s="67"/>
      <c r="X572" s="67"/>
      <c r="Y572" s="67"/>
      <c r="Z572" s="67"/>
    </row>
    <row r="573">
      <c r="A573" s="136"/>
      <c r="B573" s="131"/>
      <c r="C573" s="131"/>
      <c r="D573" s="131"/>
      <c r="E573" s="130"/>
      <c r="F573" s="67"/>
      <c r="G573" s="67"/>
      <c r="H573" s="67"/>
      <c r="I573" s="67"/>
      <c r="J573" s="67"/>
      <c r="K573" s="67"/>
      <c r="L573" s="67"/>
      <c r="M573" s="67"/>
      <c r="N573" s="67"/>
      <c r="O573" s="67"/>
      <c r="P573" s="67"/>
      <c r="Q573" s="67"/>
      <c r="R573" s="67"/>
      <c r="S573" s="67"/>
      <c r="T573" s="67"/>
      <c r="U573" s="67"/>
      <c r="V573" s="67"/>
      <c r="W573" s="67"/>
      <c r="X573" s="67"/>
      <c r="Y573" s="67"/>
      <c r="Z573" s="67"/>
    </row>
    <row r="574">
      <c r="A574" s="135"/>
      <c r="B574" s="125"/>
      <c r="C574" s="125"/>
      <c r="D574" s="125"/>
      <c r="E574" s="126"/>
      <c r="F574" s="67"/>
      <c r="G574" s="67"/>
      <c r="H574" s="67"/>
      <c r="I574" s="67"/>
      <c r="J574" s="67"/>
      <c r="K574" s="67"/>
      <c r="L574" s="67"/>
      <c r="M574" s="67"/>
      <c r="N574" s="67"/>
      <c r="O574" s="67"/>
      <c r="P574" s="67"/>
      <c r="Q574" s="67"/>
      <c r="R574" s="67"/>
      <c r="S574" s="67"/>
      <c r="T574" s="67"/>
      <c r="U574" s="67"/>
      <c r="V574" s="67"/>
      <c r="W574" s="67"/>
      <c r="X574" s="67"/>
      <c r="Y574" s="67"/>
      <c r="Z574" s="67"/>
    </row>
    <row r="575">
      <c r="A575" s="136"/>
      <c r="B575" s="131"/>
      <c r="C575" s="131"/>
      <c r="D575" s="131"/>
      <c r="E575" s="130"/>
      <c r="F575" s="67"/>
      <c r="G575" s="67"/>
      <c r="H575" s="67"/>
      <c r="I575" s="67"/>
      <c r="J575" s="67"/>
      <c r="K575" s="67"/>
      <c r="L575" s="67"/>
      <c r="M575" s="67"/>
      <c r="N575" s="67"/>
      <c r="O575" s="67"/>
      <c r="P575" s="67"/>
      <c r="Q575" s="67"/>
      <c r="R575" s="67"/>
      <c r="S575" s="67"/>
      <c r="T575" s="67"/>
      <c r="U575" s="67"/>
      <c r="V575" s="67"/>
      <c r="W575" s="67"/>
      <c r="X575" s="67"/>
      <c r="Y575" s="67"/>
      <c r="Z575" s="67"/>
    </row>
    <row r="576">
      <c r="A576" s="135"/>
      <c r="B576" s="125"/>
      <c r="C576" s="125"/>
      <c r="D576" s="125"/>
      <c r="E576" s="126"/>
      <c r="F576" s="67"/>
      <c r="G576" s="67"/>
      <c r="H576" s="67"/>
      <c r="I576" s="67"/>
      <c r="J576" s="67"/>
      <c r="K576" s="67"/>
      <c r="L576" s="67"/>
      <c r="M576" s="67"/>
      <c r="N576" s="67"/>
      <c r="O576" s="67"/>
      <c r="P576" s="67"/>
      <c r="Q576" s="67"/>
      <c r="R576" s="67"/>
      <c r="S576" s="67"/>
      <c r="T576" s="67"/>
      <c r="U576" s="67"/>
      <c r="V576" s="67"/>
      <c r="W576" s="67"/>
      <c r="X576" s="67"/>
      <c r="Y576" s="67"/>
      <c r="Z576" s="67"/>
    </row>
    <row r="577">
      <c r="A577" s="136"/>
      <c r="B577" s="131"/>
      <c r="C577" s="131"/>
      <c r="D577" s="131"/>
      <c r="E577" s="130"/>
      <c r="F577" s="67"/>
      <c r="G577" s="67"/>
      <c r="H577" s="67"/>
      <c r="I577" s="67"/>
      <c r="J577" s="67"/>
      <c r="K577" s="67"/>
      <c r="L577" s="67"/>
      <c r="M577" s="67"/>
      <c r="N577" s="67"/>
      <c r="O577" s="67"/>
      <c r="P577" s="67"/>
      <c r="Q577" s="67"/>
      <c r="R577" s="67"/>
      <c r="S577" s="67"/>
      <c r="T577" s="67"/>
      <c r="U577" s="67"/>
      <c r="V577" s="67"/>
      <c r="W577" s="67"/>
      <c r="X577" s="67"/>
      <c r="Y577" s="67"/>
      <c r="Z577" s="67"/>
    </row>
    <row r="578">
      <c r="A578" s="135"/>
      <c r="B578" s="125"/>
      <c r="C578" s="125"/>
      <c r="D578" s="125"/>
      <c r="E578" s="126"/>
      <c r="F578" s="67"/>
      <c r="G578" s="67"/>
      <c r="H578" s="67"/>
      <c r="I578" s="67"/>
      <c r="J578" s="67"/>
      <c r="K578" s="67"/>
      <c r="L578" s="67"/>
      <c r="M578" s="67"/>
      <c r="N578" s="67"/>
      <c r="O578" s="67"/>
      <c r="P578" s="67"/>
      <c r="Q578" s="67"/>
      <c r="R578" s="67"/>
      <c r="S578" s="67"/>
      <c r="T578" s="67"/>
      <c r="U578" s="67"/>
      <c r="V578" s="67"/>
      <c r="W578" s="67"/>
      <c r="X578" s="67"/>
      <c r="Y578" s="67"/>
      <c r="Z578" s="67"/>
    </row>
    <row r="579">
      <c r="A579" s="136"/>
      <c r="B579" s="131"/>
      <c r="C579" s="131"/>
      <c r="D579" s="131"/>
      <c r="E579" s="130"/>
      <c r="F579" s="67"/>
      <c r="G579" s="67"/>
      <c r="H579" s="67"/>
      <c r="I579" s="67"/>
      <c r="J579" s="67"/>
      <c r="K579" s="67"/>
      <c r="L579" s="67"/>
      <c r="M579" s="67"/>
      <c r="N579" s="67"/>
      <c r="O579" s="67"/>
      <c r="P579" s="67"/>
      <c r="Q579" s="67"/>
      <c r="R579" s="67"/>
      <c r="S579" s="67"/>
      <c r="T579" s="67"/>
      <c r="U579" s="67"/>
      <c r="V579" s="67"/>
      <c r="W579" s="67"/>
      <c r="X579" s="67"/>
      <c r="Y579" s="67"/>
      <c r="Z579" s="67"/>
    </row>
    <row r="580">
      <c r="A580" s="135"/>
      <c r="B580" s="125"/>
      <c r="C580" s="125"/>
      <c r="D580" s="125"/>
      <c r="E580" s="126"/>
      <c r="F580" s="67"/>
      <c r="G580" s="67"/>
      <c r="H580" s="67"/>
      <c r="I580" s="67"/>
      <c r="J580" s="67"/>
      <c r="K580" s="67"/>
      <c r="L580" s="67"/>
      <c r="M580" s="67"/>
      <c r="N580" s="67"/>
      <c r="O580" s="67"/>
      <c r="P580" s="67"/>
      <c r="Q580" s="67"/>
      <c r="R580" s="67"/>
      <c r="S580" s="67"/>
      <c r="T580" s="67"/>
      <c r="U580" s="67"/>
      <c r="V580" s="67"/>
      <c r="W580" s="67"/>
      <c r="X580" s="67"/>
      <c r="Y580" s="67"/>
      <c r="Z580" s="67"/>
    </row>
    <row r="581">
      <c r="A581" s="136"/>
      <c r="B581" s="131"/>
      <c r="C581" s="131"/>
      <c r="D581" s="131"/>
      <c r="E581" s="130"/>
      <c r="F581" s="67"/>
      <c r="G581" s="67"/>
      <c r="H581" s="67"/>
      <c r="I581" s="67"/>
      <c r="J581" s="67"/>
      <c r="K581" s="67"/>
      <c r="L581" s="67"/>
      <c r="M581" s="67"/>
      <c r="N581" s="67"/>
      <c r="O581" s="67"/>
      <c r="P581" s="67"/>
      <c r="Q581" s="67"/>
      <c r="R581" s="67"/>
      <c r="S581" s="67"/>
      <c r="T581" s="67"/>
      <c r="U581" s="67"/>
      <c r="V581" s="67"/>
      <c r="W581" s="67"/>
      <c r="X581" s="67"/>
      <c r="Y581" s="67"/>
      <c r="Z581" s="67"/>
    </row>
    <row r="582">
      <c r="A582" s="135"/>
      <c r="B582" s="125"/>
      <c r="C582" s="125"/>
      <c r="D582" s="125"/>
      <c r="E582" s="126"/>
      <c r="F582" s="67"/>
      <c r="G582" s="67"/>
      <c r="H582" s="67"/>
      <c r="I582" s="67"/>
      <c r="J582" s="67"/>
      <c r="K582" s="67"/>
      <c r="L582" s="67"/>
      <c r="M582" s="67"/>
      <c r="N582" s="67"/>
      <c r="O582" s="67"/>
      <c r="P582" s="67"/>
      <c r="Q582" s="67"/>
      <c r="R582" s="67"/>
      <c r="S582" s="67"/>
      <c r="T582" s="67"/>
      <c r="U582" s="67"/>
      <c r="V582" s="67"/>
      <c r="W582" s="67"/>
      <c r="X582" s="67"/>
      <c r="Y582" s="67"/>
      <c r="Z582" s="67"/>
    </row>
    <row r="583">
      <c r="A583" s="136"/>
      <c r="B583" s="131"/>
      <c r="C583" s="131"/>
      <c r="D583" s="131"/>
      <c r="E583" s="130"/>
      <c r="F583" s="67"/>
      <c r="G583" s="67"/>
      <c r="H583" s="67"/>
      <c r="I583" s="67"/>
      <c r="J583" s="67"/>
      <c r="K583" s="67"/>
      <c r="L583" s="67"/>
      <c r="M583" s="67"/>
      <c r="N583" s="67"/>
      <c r="O583" s="67"/>
      <c r="P583" s="67"/>
      <c r="Q583" s="67"/>
      <c r="R583" s="67"/>
      <c r="S583" s="67"/>
      <c r="T583" s="67"/>
      <c r="U583" s="67"/>
      <c r="V583" s="67"/>
      <c r="W583" s="67"/>
      <c r="X583" s="67"/>
      <c r="Y583" s="67"/>
      <c r="Z583" s="67"/>
    </row>
    <row r="584">
      <c r="A584" s="135"/>
      <c r="B584" s="125"/>
      <c r="C584" s="125"/>
      <c r="D584" s="125"/>
      <c r="E584" s="126"/>
      <c r="F584" s="67"/>
      <c r="G584" s="67"/>
      <c r="H584" s="67"/>
      <c r="I584" s="67"/>
      <c r="J584" s="67"/>
      <c r="K584" s="67"/>
      <c r="L584" s="67"/>
      <c r="M584" s="67"/>
      <c r="N584" s="67"/>
      <c r="O584" s="67"/>
      <c r="P584" s="67"/>
      <c r="Q584" s="67"/>
      <c r="R584" s="67"/>
      <c r="S584" s="67"/>
      <c r="T584" s="67"/>
      <c r="U584" s="67"/>
      <c r="V584" s="67"/>
      <c r="W584" s="67"/>
      <c r="X584" s="67"/>
      <c r="Y584" s="67"/>
      <c r="Z584" s="67"/>
    </row>
    <row r="585">
      <c r="A585" s="136"/>
      <c r="B585" s="131"/>
      <c r="C585" s="131"/>
      <c r="D585" s="131"/>
      <c r="E585" s="130"/>
      <c r="F585" s="67"/>
      <c r="G585" s="67"/>
      <c r="H585" s="67"/>
      <c r="I585" s="67"/>
      <c r="J585" s="67"/>
      <c r="K585" s="67"/>
      <c r="L585" s="67"/>
      <c r="M585" s="67"/>
      <c r="N585" s="67"/>
      <c r="O585" s="67"/>
      <c r="P585" s="67"/>
      <c r="Q585" s="67"/>
      <c r="R585" s="67"/>
      <c r="S585" s="67"/>
      <c r="T585" s="67"/>
      <c r="U585" s="67"/>
      <c r="V585" s="67"/>
      <c r="W585" s="67"/>
      <c r="X585" s="67"/>
      <c r="Y585" s="67"/>
      <c r="Z585" s="67"/>
    </row>
    <row r="586">
      <c r="A586" s="135"/>
      <c r="B586" s="125"/>
      <c r="C586" s="125"/>
      <c r="D586" s="125"/>
      <c r="E586" s="126"/>
      <c r="F586" s="67"/>
      <c r="G586" s="67"/>
      <c r="H586" s="67"/>
      <c r="I586" s="67"/>
      <c r="J586" s="67"/>
      <c r="K586" s="67"/>
      <c r="L586" s="67"/>
      <c r="M586" s="67"/>
      <c r="N586" s="67"/>
      <c r="O586" s="67"/>
      <c r="P586" s="67"/>
      <c r="Q586" s="67"/>
      <c r="R586" s="67"/>
      <c r="S586" s="67"/>
      <c r="T586" s="67"/>
      <c r="U586" s="67"/>
      <c r="V586" s="67"/>
      <c r="W586" s="67"/>
      <c r="X586" s="67"/>
      <c r="Y586" s="67"/>
      <c r="Z586" s="67"/>
    </row>
    <row r="587">
      <c r="A587" s="136"/>
      <c r="B587" s="131"/>
      <c r="C587" s="131"/>
      <c r="D587" s="131"/>
      <c r="E587" s="130"/>
      <c r="F587" s="67"/>
      <c r="G587" s="67"/>
      <c r="H587" s="67"/>
      <c r="I587" s="67"/>
      <c r="J587" s="67"/>
      <c r="K587" s="67"/>
      <c r="L587" s="67"/>
      <c r="M587" s="67"/>
      <c r="N587" s="67"/>
      <c r="O587" s="67"/>
      <c r="P587" s="67"/>
      <c r="Q587" s="67"/>
      <c r="R587" s="67"/>
      <c r="S587" s="67"/>
      <c r="T587" s="67"/>
      <c r="U587" s="67"/>
      <c r="V587" s="67"/>
      <c r="W587" s="67"/>
      <c r="X587" s="67"/>
      <c r="Y587" s="67"/>
      <c r="Z587" s="67"/>
    </row>
    <row r="588">
      <c r="A588" s="135"/>
      <c r="B588" s="125"/>
      <c r="C588" s="125"/>
      <c r="D588" s="125"/>
      <c r="E588" s="126"/>
      <c r="F588" s="67"/>
      <c r="G588" s="67"/>
      <c r="H588" s="67"/>
      <c r="I588" s="67"/>
      <c r="J588" s="67"/>
      <c r="K588" s="67"/>
      <c r="L588" s="67"/>
      <c r="M588" s="67"/>
      <c r="N588" s="67"/>
      <c r="O588" s="67"/>
      <c r="P588" s="67"/>
      <c r="Q588" s="67"/>
      <c r="R588" s="67"/>
      <c r="S588" s="67"/>
      <c r="T588" s="67"/>
      <c r="U588" s="67"/>
      <c r="V588" s="67"/>
      <c r="W588" s="67"/>
      <c r="X588" s="67"/>
      <c r="Y588" s="67"/>
      <c r="Z588" s="67"/>
    </row>
    <row r="589">
      <c r="A589" s="136"/>
      <c r="B589" s="131"/>
      <c r="C589" s="131"/>
      <c r="D589" s="131"/>
      <c r="E589" s="130"/>
      <c r="F589" s="67"/>
      <c r="G589" s="67"/>
      <c r="H589" s="67"/>
      <c r="I589" s="67"/>
      <c r="J589" s="67"/>
      <c r="K589" s="67"/>
      <c r="L589" s="67"/>
      <c r="M589" s="67"/>
      <c r="N589" s="67"/>
      <c r="O589" s="67"/>
      <c r="P589" s="67"/>
      <c r="Q589" s="67"/>
      <c r="R589" s="67"/>
      <c r="S589" s="67"/>
      <c r="T589" s="67"/>
      <c r="U589" s="67"/>
      <c r="V589" s="67"/>
      <c r="W589" s="67"/>
      <c r="X589" s="67"/>
      <c r="Y589" s="67"/>
      <c r="Z589" s="67"/>
    </row>
    <row r="590">
      <c r="A590" s="135"/>
      <c r="B590" s="125"/>
      <c r="C590" s="125"/>
      <c r="D590" s="125"/>
      <c r="E590" s="126"/>
      <c r="F590" s="67"/>
      <c r="G590" s="67"/>
      <c r="H590" s="67"/>
      <c r="I590" s="67"/>
      <c r="J590" s="67"/>
      <c r="K590" s="67"/>
      <c r="L590" s="67"/>
      <c r="M590" s="67"/>
      <c r="N590" s="67"/>
      <c r="O590" s="67"/>
      <c r="P590" s="67"/>
      <c r="Q590" s="67"/>
      <c r="R590" s="67"/>
      <c r="S590" s="67"/>
      <c r="T590" s="67"/>
      <c r="U590" s="67"/>
      <c r="V590" s="67"/>
      <c r="W590" s="67"/>
      <c r="X590" s="67"/>
      <c r="Y590" s="67"/>
      <c r="Z590" s="67"/>
    </row>
    <row r="591">
      <c r="A591" s="136"/>
      <c r="B591" s="131"/>
      <c r="C591" s="131"/>
      <c r="D591" s="131"/>
      <c r="E591" s="130"/>
      <c r="F591" s="67"/>
      <c r="G591" s="67"/>
      <c r="H591" s="67"/>
      <c r="I591" s="67"/>
      <c r="J591" s="67"/>
      <c r="K591" s="67"/>
      <c r="L591" s="67"/>
      <c r="M591" s="67"/>
      <c r="N591" s="67"/>
      <c r="O591" s="67"/>
      <c r="P591" s="67"/>
      <c r="Q591" s="67"/>
      <c r="R591" s="67"/>
      <c r="S591" s="67"/>
      <c r="T591" s="67"/>
      <c r="U591" s="67"/>
      <c r="V591" s="67"/>
      <c r="W591" s="67"/>
      <c r="X591" s="67"/>
      <c r="Y591" s="67"/>
      <c r="Z591" s="67"/>
    </row>
    <row r="592">
      <c r="A592" s="135"/>
      <c r="B592" s="125"/>
      <c r="C592" s="125"/>
      <c r="D592" s="125"/>
      <c r="E592" s="126"/>
      <c r="F592" s="67"/>
      <c r="G592" s="67"/>
      <c r="H592" s="67"/>
      <c r="I592" s="67"/>
      <c r="J592" s="67"/>
      <c r="K592" s="67"/>
      <c r="L592" s="67"/>
      <c r="M592" s="67"/>
      <c r="N592" s="67"/>
      <c r="O592" s="67"/>
      <c r="P592" s="67"/>
      <c r="Q592" s="67"/>
      <c r="R592" s="67"/>
      <c r="S592" s="67"/>
      <c r="T592" s="67"/>
      <c r="U592" s="67"/>
      <c r="V592" s="67"/>
      <c r="W592" s="67"/>
      <c r="X592" s="67"/>
      <c r="Y592" s="67"/>
      <c r="Z592" s="67"/>
    </row>
    <row r="593">
      <c r="A593" s="136"/>
      <c r="B593" s="131"/>
      <c r="C593" s="131"/>
      <c r="D593" s="131"/>
      <c r="E593" s="130"/>
      <c r="F593" s="67"/>
      <c r="G593" s="67"/>
      <c r="H593" s="67"/>
      <c r="I593" s="67"/>
      <c r="J593" s="67"/>
      <c r="K593" s="67"/>
      <c r="L593" s="67"/>
      <c r="M593" s="67"/>
      <c r="N593" s="67"/>
      <c r="O593" s="67"/>
      <c r="P593" s="67"/>
      <c r="Q593" s="67"/>
      <c r="R593" s="67"/>
      <c r="S593" s="67"/>
      <c r="T593" s="67"/>
      <c r="U593" s="67"/>
      <c r="V593" s="67"/>
      <c r="W593" s="67"/>
      <c r="X593" s="67"/>
      <c r="Y593" s="67"/>
      <c r="Z593" s="67"/>
    </row>
    <row r="594">
      <c r="A594" s="135"/>
      <c r="B594" s="125"/>
      <c r="C594" s="125"/>
      <c r="D594" s="125"/>
      <c r="E594" s="126"/>
      <c r="F594" s="67"/>
      <c r="G594" s="67"/>
      <c r="H594" s="67"/>
      <c r="I594" s="67"/>
      <c r="J594" s="67"/>
      <c r="K594" s="67"/>
      <c r="L594" s="67"/>
      <c r="M594" s="67"/>
      <c r="N594" s="67"/>
      <c r="O594" s="67"/>
      <c r="P594" s="67"/>
      <c r="Q594" s="67"/>
      <c r="R594" s="67"/>
      <c r="S594" s="67"/>
      <c r="T594" s="67"/>
      <c r="U594" s="67"/>
      <c r="V594" s="67"/>
      <c r="W594" s="67"/>
      <c r="X594" s="67"/>
      <c r="Y594" s="67"/>
      <c r="Z594" s="67"/>
    </row>
    <row r="595">
      <c r="A595" s="136"/>
      <c r="B595" s="131"/>
      <c r="C595" s="131"/>
      <c r="D595" s="131"/>
      <c r="E595" s="130"/>
      <c r="F595" s="67"/>
      <c r="G595" s="67"/>
      <c r="H595" s="67"/>
      <c r="I595" s="67"/>
      <c r="J595" s="67"/>
      <c r="K595" s="67"/>
      <c r="L595" s="67"/>
      <c r="M595" s="67"/>
      <c r="N595" s="67"/>
      <c r="O595" s="67"/>
      <c r="P595" s="67"/>
      <c r="Q595" s="67"/>
      <c r="R595" s="67"/>
      <c r="S595" s="67"/>
      <c r="T595" s="67"/>
      <c r="U595" s="67"/>
      <c r="V595" s="67"/>
      <c r="W595" s="67"/>
      <c r="X595" s="67"/>
      <c r="Y595" s="67"/>
      <c r="Z595" s="67"/>
    </row>
    <row r="596">
      <c r="A596" s="135"/>
      <c r="B596" s="125"/>
      <c r="C596" s="125"/>
      <c r="D596" s="125"/>
      <c r="E596" s="126"/>
      <c r="F596" s="67"/>
      <c r="G596" s="67"/>
      <c r="H596" s="67"/>
      <c r="I596" s="67"/>
      <c r="J596" s="67"/>
      <c r="K596" s="67"/>
      <c r="L596" s="67"/>
      <c r="M596" s="67"/>
      <c r="N596" s="67"/>
      <c r="O596" s="67"/>
      <c r="P596" s="67"/>
      <c r="Q596" s="67"/>
      <c r="R596" s="67"/>
      <c r="S596" s="67"/>
      <c r="T596" s="67"/>
      <c r="U596" s="67"/>
      <c r="V596" s="67"/>
      <c r="W596" s="67"/>
      <c r="X596" s="67"/>
      <c r="Y596" s="67"/>
      <c r="Z596" s="67"/>
    </row>
    <row r="597">
      <c r="A597" s="136"/>
      <c r="B597" s="131"/>
      <c r="C597" s="131"/>
      <c r="D597" s="131"/>
      <c r="E597" s="130"/>
      <c r="F597" s="67"/>
      <c r="G597" s="67"/>
      <c r="H597" s="67"/>
      <c r="I597" s="67"/>
      <c r="J597" s="67"/>
      <c r="K597" s="67"/>
      <c r="L597" s="67"/>
      <c r="M597" s="67"/>
      <c r="N597" s="67"/>
      <c r="O597" s="67"/>
      <c r="P597" s="67"/>
      <c r="Q597" s="67"/>
      <c r="R597" s="67"/>
      <c r="S597" s="67"/>
      <c r="T597" s="67"/>
      <c r="U597" s="67"/>
      <c r="V597" s="67"/>
      <c r="W597" s="67"/>
      <c r="X597" s="67"/>
      <c r="Y597" s="67"/>
      <c r="Z597" s="67"/>
    </row>
    <row r="598">
      <c r="A598" s="135"/>
      <c r="B598" s="125"/>
      <c r="C598" s="125"/>
      <c r="D598" s="125"/>
      <c r="E598" s="126"/>
      <c r="F598" s="67"/>
      <c r="G598" s="67"/>
      <c r="H598" s="67"/>
      <c r="I598" s="67"/>
      <c r="J598" s="67"/>
      <c r="K598" s="67"/>
      <c r="L598" s="67"/>
      <c r="M598" s="67"/>
      <c r="N598" s="67"/>
      <c r="O598" s="67"/>
      <c r="P598" s="67"/>
      <c r="Q598" s="67"/>
      <c r="R598" s="67"/>
      <c r="S598" s="67"/>
      <c r="T598" s="67"/>
      <c r="U598" s="67"/>
      <c r="V598" s="67"/>
      <c r="W598" s="67"/>
      <c r="X598" s="67"/>
      <c r="Y598" s="67"/>
      <c r="Z598" s="67"/>
    </row>
    <row r="599">
      <c r="A599" s="136"/>
      <c r="B599" s="131"/>
      <c r="C599" s="131"/>
      <c r="D599" s="131"/>
      <c r="E599" s="130"/>
      <c r="F599" s="67"/>
      <c r="G599" s="67"/>
      <c r="H599" s="67"/>
      <c r="I599" s="67"/>
      <c r="J599" s="67"/>
      <c r="K599" s="67"/>
      <c r="L599" s="67"/>
      <c r="M599" s="67"/>
      <c r="N599" s="67"/>
      <c r="O599" s="67"/>
      <c r="P599" s="67"/>
      <c r="Q599" s="67"/>
      <c r="R599" s="67"/>
      <c r="S599" s="67"/>
      <c r="T599" s="67"/>
      <c r="U599" s="67"/>
      <c r="V599" s="67"/>
      <c r="W599" s="67"/>
      <c r="X599" s="67"/>
      <c r="Y599" s="67"/>
      <c r="Z599" s="67"/>
    </row>
    <row r="600">
      <c r="A600" s="135"/>
      <c r="B600" s="125"/>
      <c r="C600" s="125"/>
      <c r="D600" s="125"/>
      <c r="E600" s="126"/>
      <c r="F600" s="67"/>
      <c r="G600" s="67"/>
      <c r="H600" s="67"/>
      <c r="I600" s="67"/>
      <c r="J600" s="67"/>
      <c r="K600" s="67"/>
      <c r="L600" s="67"/>
      <c r="M600" s="67"/>
      <c r="N600" s="67"/>
      <c r="O600" s="67"/>
      <c r="P600" s="67"/>
      <c r="Q600" s="67"/>
      <c r="R600" s="67"/>
      <c r="S600" s="67"/>
      <c r="T600" s="67"/>
      <c r="U600" s="67"/>
      <c r="V600" s="67"/>
      <c r="W600" s="67"/>
      <c r="X600" s="67"/>
      <c r="Y600" s="67"/>
      <c r="Z600" s="67"/>
    </row>
    <row r="601">
      <c r="A601" s="136"/>
      <c r="B601" s="131"/>
      <c r="C601" s="131"/>
      <c r="D601" s="131"/>
      <c r="E601" s="130"/>
      <c r="F601" s="67"/>
      <c r="G601" s="67"/>
      <c r="H601" s="67"/>
      <c r="I601" s="67"/>
      <c r="J601" s="67"/>
      <c r="K601" s="67"/>
      <c r="L601" s="67"/>
      <c r="M601" s="67"/>
      <c r="N601" s="67"/>
      <c r="O601" s="67"/>
      <c r="P601" s="67"/>
      <c r="Q601" s="67"/>
      <c r="R601" s="67"/>
      <c r="S601" s="67"/>
      <c r="T601" s="67"/>
      <c r="U601" s="67"/>
      <c r="V601" s="67"/>
      <c r="W601" s="67"/>
      <c r="X601" s="67"/>
      <c r="Y601" s="67"/>
      <c r="Z601" s="67"/>
    </row>
    <row r="602">
      <c r="A602" s="135"/>
      <c r="B602" s="125"/>
      <c r="C602" s="125"/>
      <c r="D602" s="125"/>
      <c r="E602" s="126"/>
      <c r="F602" s="67"/>
      <c r="G602" s="67"/>
      <c r="H602" s="67"/>
      <c r="I602" s="67"/>
      <c r="J602" s="67"/>
      <c r="K602" s="67"/>
      <c r="L602" s="67"/>
      <c r="M602" s="67"/>
      <c r="N602" s="67"/>
      <c r="O602" s="67"/>
      <c r="P602" s="67"/>
      <c r="Q602" s="67"/>
      <c r="R602" s="67"/>
      <c r="S602" s="67"/>
      <c r="T602" s="67"/>
      <c r="U602" s="67"/>
      <c r="V602" s="67"/>
      <c r="W602" s="67"/>
      <c r="X602" s="67"/>
      <c r="Y602" s="67"/>
      <c r="Z602" s="67"/>
    </row>
    <row r="603">
      <c r="A603" s="136"/>
      <c r="B603" s="131"/>
      <c r="C603" s="131"/>
      <c r="D603" s="131"/>
      <c r="E603" s="130"/>
      <c r="F603" s="67"/>
      <c r="G603" s="67"/>
      <c r="H603" s="67"/>
      <c r="I603" s="67"/>
      <c r="J603" s="67"/>
      <c r="K603" s="67"/>
      <c r="L603" s="67"/>
      <c r="M603" s="67"/>
      <c r="N603" s="67"/>
      <c r="O603" s="67"/>
      <c r="P603" s="67"/>
      <c r="Q603" s="67"/>
      <c r="R603" s="67"/>
      <c r="S603" s="67"/>
      <c r="T603" s="67"/>
      <c r="U603" s="67"/>
      <c r="V603" s="67"/>
      <c r="W603" s="67"/>
      <c r="X603" s="67"/>
      <c r="Y603" s="67"/>
      <c r="Z603" s="67"/>
    </row>
    <row r="604">
      <c r="A604" s="135"/>
      <c r="B604" s="125"/>
      <c r="C604" s="125"/>
      <c r="D604" s="125"/>
      <c r="E604" s="126"/>
      <c r="F604" s="67"/>
      <c r="G604" s="67"/>
      <c r="H604" s="67"/>
      <c r="I604" s="67"/>
      <c r="J604" s="67"/>
      <c r="K604" s="67"/>
      <c r="L604" s="67"/>
      <c r="M604" s="67"/>
      <c r="N604" s="67"/>
      <c r="O604" s="67"/>
      <c r="P604" s="67"/>
      <c r="Q604" s="67"/>
      <c r="R604" s="67"/>
      <c r="S604" s="67"/>
      <c r="T604" s="67"/>
      <c r="U604" s="67"/>
      <c r="V604" s="67"/>
      <c r="W604" s="67"/>
      <c r="X604" s="67"/>
      <c r="Y604" s="67"/>
      <c r="Z604" s="67"/>
    </row>
    <row r="605">
      <c r="A605" s="136"/>
      <c r="B605" s="131"/>
      <c r="C605" s="131"/>
      <c r="D605" s="131"/>
      <c r="E605" s="130"/>
      <c r="F605" s="67"/>
      <c r="G605" s="67"/>
      <c r="H605" s="67"/>
      <c r="I605" s="67"/>
      <c r="J605" s="67"/>
      <c r="K605" s="67"/>
      <c r="L605" s="67"/>
      <c r="M605" s="67"/>
      <c r="N605" s="67"/>
      <c r="O605" s="67"/>
      <c r="P605" s="67"/>
      <c r="Q605" s="67"/>
      <c r="R605" s="67"/>
      <c r="S605" s="67"/>
      <c r="T605" s="67"/>
      <c r="U605" s="67"/>
      <c r="V605" s="67"/>
      <c r="W605" s="67"/>
      <c r="X605" s="67"/>
      <c r="Y605" s="67"/>
      <c r="Z605" s="67"/>
    </row>
    <row r="606">
      <c r="A606" s="135"/>
      <c r="B606" s="125"/>
      <c r="C606" s="125"/>
      <c r="D606" s="125"/>
      <c r="E606" s="126"/>
      <c r="F606" s="67"/>
      <c r="G606" s="67"/>
      <c r="H606" s="67"/>
      <c r="I606" s="67"/>
      <c r="J606" s="67"/>
      <c r="K606" s="67"/>
      <c r="L606" s="67"/>
      <c r="M606" s="67"/>
      <c r="N606" s="67"/>
      <c r="O606" s="67"/>
      <c r="P606" s="67"/>
      <c r="Q606" s="67"/>
      <c r="R606" s="67"/>
      <c r="S606" s="67"/>
      <c r="T606" s="67"/>
      <c r="U606" s="67"/>
      <c r="V606" s="67"/>
      <c r="W606" s="67"/>
      <c r="X606" s="67"/>
      <c r="Y606" s="67"/>
      <c r="Z606" s="67"/>
    </row>
    <row r="607">
      <c r="A607" s="136"/>
      <c r="B607" s="131"/>
      <c r="C607" s="131"/>
      <c r="D607" s="131"/>
      <c r="E607" s="130"/>
      <c r="F607" s="67"/>
      <c r="G607" s="67"/>
      <c r="H607" s="67"/>
      <c r="I607" s="67"/>
      <c r="J607" s="67"/>
      <c r="K607" s="67"/>
      <c r="L607" s="67"/>
      <c r="M607" s="67"/>
      <c r="N607" s="67"/>
      <c r="O607" s="67"/>
      <c r="P607" s="67"/>
      <c r="Q607" s="67"/>
      <c r="R607" s="67"/>
      <c r="S607" s="67"/>
      <c r="T607" s="67"/>
      <c r="U607" s="67"/>
      <c r="V607" s="67"/>
      <c r="W607" s="67"/>
      <c r="X607" s="67"/>
      <c r="Y607" s="67"/>
      <c r="Z607" s="67"/>
    </row>
    <row r="608">
      <c r="A608" s="135"/>
      <c r="B608" s="125"/>
      <c r="C608" s="125"/>
      <c r="D608" s="125"/>
      <c r="E608" s="126"/>
      <c r="F608" s="67"/>
      <c r="G608" s="67"/>
      <c r="H608" s="67"/>
      <c r="I608" s="67"/>
      <c r="J608" s="67"/>
      <c r="K608" s="67"/>
      <c r="L608" s="67"/>
      <c r="M608" s="67"/>
      <c r="N608" s="67"/>
      <c r="O608" s="67"/>
      <c r="P608" s="67"/>
      <c r="Q608" s="67"/>
      <c r="R608" s="67"/>
      <c r="S608" s="67"/>
      <c r="T608" s="67"/>
      <c r="U608" s="67"/>
      <c r="V608" s="67"/>
      <c r="W608" s="67"/>
      <c r="X608" s="67"/>
      <c r="Y608" s="67"/>
      <c r="Z608" s="67"/>
    </row>
    <row r="609">
      <c r="A609" s="136"/>
      <c r="B609" s="131"/>
      <c r="C609" s="131"/>
      <c r="D609" s="131"/>
      <c r="E609" s="130"/>
      <c r="F609" s="67"/>
      <c r="G609" s="67"/>
      <c r="H609" s="67"/>
      <c r="I609" s="67"/>
      <c r="J609" s="67"/>
      <c r="K609" s="67"/>
      <c r="L609" s="67"/>
      <c r="M609" s="67"/>
      <c r="N609" s="67"/>
      <c r="O609" s="67"/>
      <c r="P609" s="67"/>
      <c r="Q609" s="67"/>
      <c r="R609" s="67"/>
      <c r="S609" s="67"/>
      <c r="T609" s="67"/>
      <c r="U609" s="67"/>
      <c r="V609" s="67"/>
      <c r="W609" s="67"/>
      <c r="X609" s="67"/>
      <c r="Y609" s="67"/>
      <c r="Z609" s="67"/>
    </row>
    <row r="610">
      <c r="A610" s="135"/>
      <c r="B610" s="125"/>
      <c r="C610" s="125"/>
      <c r="D610" s="125"/>
      <c r="E610" s="126"/>
      <c r="F610" s="67"/>
      <c r="G610" s="67"/>
      <c r="H610" s="67"/>
      <c r="I610" s="67"/>
      <c r="J610" s="67"/>
      <c r="K610" s="67"/>
      <c r="L610" s="67"/>
      <c r="M610" s="67"/>
      <c r="N610" s="67"/>
      <c r="O610" s="67"/>
      <c r="P610" s="67"/>
      <c r="Q610" s="67"/>
      <c r="R610" s="67"/>
      <c r="S610" s="67"/>
      <c r="T610" s="67"/>
      <c r="U610" s="67"/>
      <c r="V610" s="67"/>
      <c r="W610" s="67"/>
      <c r="X610" s="67"/>
      <c r="Y610" s="67"/>
      <c r="Z610" s="67"/>
    </row>
    <row r="611">
      <c r="A611" s="136"/>
      <c r="B611" s="131"/>
      <c r="C611" s="131"/>
      <c r="D611" s="131"/>
      <c r="E611" s="130"/>
      <c r="F611" s="67"/>
      <c r="G611" s="67"/>
      <c r="H611" s="67"/>
      <c r="I611" s="67"/>
      <c r="J611" s="67"/>
      <c r="K611" s="67"/>
      <c r="L611" s="67"/>
      <c r="M611" s="67"/>
      <c r="N611" s="67"/>
      <c r="O611" s="67"/>
      <c r="P611" s="67"/>
      <c r="Q611" s="67"/>
      <c r="R611" s="67"/>
      <c r="S611" s="67"/>
      <c r="T611" s="67"/>
      <c r="U611" s="67"/>
      <c r="V611" s="67"/>
      <c r="W611" s="67"/>
      <c r="X611" s="67"/>
      <c r="Y611" s="67"/>
      <c r="Z611" s="67"/>
    </row>
    <row r="612">
      <c r="A612" s="135"/>
      <c r="B612" s="125"/>
      <c r="C612" s="125"/>
      <c r="D612" s="125"/>
      <c r="E612" s="126"/>
      <c r="F612" s="67"/>
      <c r="G612" s="67"/>
      <c r="H612" s="67"/>
      <c r="I612" s="67"/>
      <c r="J612" s="67"/>
      <c r="K612" s="67"/>
      <c r="L612" s="67"/>
      <c r="M612" s="67"/>
      <c r="N612" s="67"/>
      <c r="O612" s="67"/>
      <c r="P612" s="67"/>
      <c r="Q612" s="67"/>
      <c r="R612" s="67"/>
      <c r="S612" s="67"/>
      <c r="T612" s="67"/>
      <c r="U612" s="67"/>
      <c r="V612" s="67"/>
      <c r="W612" s="67"/>
      <c r="X612" s="67"/>
      <c r="Y612" s="67"/>
      <c r="Z612" s="67"/>
    </row>
    <row r="613">
      <c r="A613" s="136"/>
      <c r="B613" s="131"/>
      <c r="C613" s="131"/>
      <c r="D613" s="131"/>
      <c r="E613" s="130"/>
      <c r="F613" s="67"/>
      <c r="G613" s="67"/>
      <c r="H613" s="67"/>
      <c r="I613" s="67"/>
      <c r="J613" s="67"/>
      <c r="K613" s="67"/>
      <c r="L613" s="67"/>
      <c r="M613" s="67"/>
      <c r="N613" s="67"/>
      <c r="O613" s="67"/>
      <c r="P613" s="67"/>
      <c r="Q613" s="67"/>
      <c r="R613" s="67"/>
      <c r="S613" s="67"/>
      <c r="T613" s="67"/>
      <c r="U613" s="67"/>
      <c r="V613" s="67"/>
      <c r="W613" s="67"/>
      <c r="X613" s="67"/>
      <c r="Y613" s="67"/>
      <c r="Z613" s="67"/>
    </row>
    <row r="614">
      <c r="A614" s="135"/>
      <c r="B614" s="125"/>
      <c r="C614" s="125"/>
      <c r="D614" s="125"/>
      <c r="E614" s="126"/>
      <c r="F614" s="67"/>
      <c r="G614" s="67"/>
      <c r="H614" s="67"/>
      <c r="I614" s="67"/>
      <c r="J614" s="67"/>
      <c r="K614" s="67"/>
      <c r="L614" s="67"/>
      <c r="M614" s="67"/>
      <c r="N614" s="67"/>
      <c r="O614" s="67"/>
      <c r="P614" s="67"/>
      <c r="Q614" s="67"/>
      <c r="R614" s="67"/>
      <c r="S614" s="67"/>
      <c r="T614" s="67"/>
      <c r="U614" s="67"/>
      <c r="V614" s="67"/>
      <c r="W614" s="67"/>
      <c r="X614" s="67"/>
      <c r="Y614" s="67"/>
      <c r="Z614" s="67"/>
    </row>
    <row r="615">
      <c r="A615" s="136"/>
      <c r="B615" s="131"/>
      <c r="C615" s="131"/>
      <c r="D615" s="131"/>
      <c r="E615" s="130"/>
      <c r="F615" s="67"/>
      <c r="G615" s="67"/>
      <c r="H615" s="67"/>
      <c r="I615" s="67"/>
      <c r="J615" s="67"/>
      <c r="K615" s="67"/>
      <c r="L615" s="67"/>
      <c r="M615" s="67"/>
      <c r="N615" s="67"/>
      <c r="O615" s="67"/>
      <c r="P615" s="67"/>
      <c r="Q615" s="67"/>
      <c r="R615" s="67"/>
      <c r="S615" s="67"/>
      <c r="T615" s="67"/>
      <c r="U615" s="67"/>
      <c r="V615" s="67"/>
      <c r="W615" s="67"/>
      <c r="X615" s="67"/>
      <c r="Y615" s="67"/>
      <c r="Z615" s="67"/>
    </row>
    <row r="616">
      <c r="A616" s="135"/>
      <c r="B616" s="125"/>
      <c r="C616" s="125"/>
      <c r="D616" s="125"/>
      <c r="E616" s="126"/>
      <c r="F616" s="67"/>
      <c r="G616" s="67"/>
      <c r="H616" s="67"/>
      <c r="I616" s="67"/>
      <c r="J616" s="67"/>
      <c r="K616" s="67"/>
      <c r="L616" s="67"/>
      <c r="M616" s="67"/>
      <c r="N616" s="67"/>
      <c r="O616" s="67"/>
      <c r="P616" s="67"/>
      <c r="Q616" s="67"/>
      <c r="R616" s="67"/>
      <c r="S616" s="67"/>
      <c r="T616" s="67"/>
      <c r="U616" s="67"/>
      <c r="V616" s="67"/>
      <c r="W616" s="67"/>
      <c r="X616" s="67"/>
      <c r="Y616" s="67"/>
      <c r="Z616" s="67"/>
    </row>
    <row r="617">
      <c r="A617" s="136"/>
      <c r="B617" s="131"/>
      <c r="C617" s="131"/>
      <c r="D617" s="131"/>
      <c r="E617" s="130"/>
      <c r="F617" s="67"/>
      <c r="G617" s="67"/>
      <c r="H617" s="67"/>
      <c r="I617" s="67"/>
      <c r="J617" s="67"/>
      <c r="K617" s="67"/>
      <c r="L617" s="67"/>
      <c r="M617" s="67"/>
      <c r="N617" s="67"/>
      <c r="O617" s="67"/>
      <c r="P617" s="67"/>
      <c r="Q617" s="67"/>
      <c r="R617" s="67"/>
      <c r="S617" s="67"/>
      <c r="T617" s="67"/>
      <c r="U617" s="67"/>
      <c r="V617" s="67"/>
      <c r="W617" s="67"/>
      <c r="X617" s="67"/>
      <c r="Y617" s="67"/>
      <c r="Z617" s="67"/>
    </row>
    <row r="618">
      <c r="A618" s="135"/>
      <c r="B618" s="125"/>
      <c r="C618" s="125"/>
      <c r="D618" s="125"/>
      <c r="E618" s="126"/>
      <c r="F618" s="67"/>
      <c r="G618" s="67"/>
      <c r="H618" s="67"/>
      <c r="I618" s="67"/>
      <c r="J618" s="67"/>
      <c r="K618" s="67"/>
      <c r="L618" s="67"/>
      <c r="M618" s="67"/>
      <c r="N618" s="67"/>
      <c r="O618" s="67"/>
      <c r="P618" s="67"/>
      <c r="Q618" s="67"/>
      <c r="R618" s="67"/>
      <c r="S618" s="67"/>
      <c r="T618" s="67"/>
      <c r="U618" s="67"/>
      <c r="V618" s="67"/>
      <c r="W618" s="67"/>
      <c r="X618" s="67"/>
      <c r="Y618" s="67"/>
      <c r="Z618" s="67"/>
    </row>
    <row r="619">
      <c r="A619" s="136"/>
      <c r="B619" s="131"/>
      <c r="C619" s="131"/>
      <c r="D619" s="131"/>
      <c r="E619" s="130"/>
      <c r="F619" s="67"/>
      <c r="G619" s="67"/>
      <c r="H619" s="67"/>
      <c r="I619" s="67"/>
      <c r="J619" s="67"/>
      <c r="K619" s="67"/>
      <c r="L619" s="67"/>
      <c r="M619" s="67"/>
      <c r="N619" s="67"/>
      <c r="O619" s="67"/>
      <c r="P619" s="67"/>
      <c r="Q619" s="67"/>
      <c r="R619" s="67"/>
      <c r="S619" s="67"/>
      <c r="T619" s="67"/>
      <c r="U619" s="67"/>
      <c r="V619" s="67"/>
      <c r="W619" s="67"/>
      <c r="X619" s="67"/>
      <c r="Y619" s="67"/>
      <c r="Z619" s="67"/>
    </row>
    <row r="620">
      <c r="A620" s="135"/>
      <c r="B620" s="125"/>
      <c r="C620" s="125"/>
      <c r="D620" s="125"/>
      <c r="E620" s="126"/>
      <c r="F620" s="67"/>
      <c r="G620" s="67"/>
      <c r="H620" s="67"/>
      <c r="I620" s="67"/>
      <c r="J620" s="67"/>
      <c r="K620" s="67"/>
      <c r="L620" s="67"/>
      <c r="M620" s="67"/>
      <c r="N620" s="67"/>
      <c r="O620" s="67"/>
      <c r="P620" s="67"/>
      <c r="Q620" s="67"/>
      <c r="R620" s="67"/>
      <c r="S620" s="67"/>
      <c r="T620" s="67"/>
      <c r="U620" s="67"/>
      <c r="V620" s="67"/>
      <c r="W620" s="67"/>
      <c r="X620" s="67"/>
      <c r="Y620" s="67"/>
      <c r="Z620" s="67"/>
    </row>
    <row r="621">
      <c r="A621" s="136"/>
      <c r="B621" s="131"/>
      <c r="C621" s="131"/>
      <c r="D621" s="131"/>
      <c r="E621" s="130"/>
      <c r="F621" s="67"/>
      <c r="G621" s="67"/>
      <c r="H621" s="67"/>
      <c r="I621" s="67"/>
      <c r="J621" s="67"/>
      <c r="K621" s="67"/>
      <c r="L621" s="67"/>
      <c r="M621" s="67"/>
      <c r="N621" s="67"/>
      <c r="O621" s="67"/>
      <c r="P621" s="67"/>
      <c r="Q621" s="67"/>
      <c r="R621" s="67"/>
      <c r="S621" s="67"/>
      <c r="T621" s="67"/>
      <c r="U621" s="67"/>
      <c r="V621" s="67"/>
      <c r="W621" s="67"/>
      <c r="X621" s="67"/>
      <c r="Y621" s="67"/>
      <c r="Z621" s="67"/>
    </row>
    <row r="622">
      <c r="A622" s="135"/>
      <c r="B622" s="125"/>
      <c r="C622" s="125"/>
      <c r="D622" s="125"/>
      <c r="E622" s="126"/>
      <c r="F622" s="67"/>
      <c r="G622" s="67"/>
      <c r="H622" s="67"/>
      <c r="I622" s="67"/>
      <c r="J622" s="67"/>
      <c r="K622" s="67"/>
      <c r="L622" s="67"/>
      <c r="M622" s="67"/>
      <c r="N622" s="67"/>
      <c r="O622" s="67"/>
      <c r="P622" s="67"/>
      <c r="Q622" s="67"/>
      <c r="R622" s="67"/>
      <c r="S622" s="67"/>
      <c r="T622" s="67"/>
      <c r="U622" s="67"/>
      <c r="V622" s="67"/>
      <c r="W622" s="67"/>
      <c r="X622" s="67"/>
      <c r="Y622" s="67"/>
      <c r="Z622" s="67"/>
    </row>
    <row r="623">
      <c r="A623" s="136"/>
      <c r="B623" s="131"/>
      <c r="C623" s="131"/>
      <c r="D623" s="131"/>
      <c r="E623" s="130"/>
      <c r="F623" s="67"/>
      <c r="G623" s="67"/>
      <c r="H623" s="67"/>
      <c r="I623" s="67"/>
      <c r="J623" s="67"/>
      <c r="K623" s="67"/>
      <c r="L623" s="67"/>
      <c r="M623" s="67"/>
      <c r="N623" s="67"/>
      <c r="O623" s="67"/>
      <c r="P623" s="67"/>
      <c r="Q623" s="67"/>
      <c r="R623" s="67"/>
      <c r="S623" s="67"/>
      <c r="T623" s="67"/>
      <c r="U623" s="67"/>
      <c r="V623" s="67"/>
      <c r="W623" s="67"/>
      <c r="X623" s="67"/>
      <c r="Y623" s="67"/>
      <c r="Z623" s="67"/>
    </row>
    <row r="624">
      <c r="A624" s="135"/>
      <c r="B624" s="125"/>
      <c r="C624" s="125"/>
      <c r="D624" s="125"/>
      <c r="E624" s="126"/>
      <c r="F624" s="67"/>
      <c r="G624" s="67"/>
      <c r="H624" s="67"/>
      <c r="I624" s="67"/>
      <c r="J624" s="67"/>
      <c r="K624" s="67"/>
      <c r="L624" s="67"/>
      <c r="M624" s="67"/>
      <c r="N624" s="67"/>
      <c r="O624" s="67"/>
      <c r="P624" s="67"/>
      <c r="Q624" s="67"/>
      <c r="R624" s="67"/>
      <c r="S624" s="67"/>
      <c r="T624" s="67"/>
      <c r="U624" s="67"/>
      <c r="V624" s="67"/>
      <c r="W624" s="67"/>
      <c r="X624" s="67"/>
      <c r="Y624" s="67"/>
      <c r="Z624" s="67"/>
    </row>
    <row r="625">
      <c r="A625" s="136"/>
      <c r="B625" s="131"/>
      <c r="C625" s="131"/>
      <c r="D625" s="131"/>
      <c r="E625" s="130"/>
      <c r="F625" s="67"/>
      <c r="G625" s="67"/>
      <c r="H625" s="67"/>
      <c r="I625" s="67"/>
      <c r="J625" s="67"/>
      <c r="K625" s="67"/>
      <c r="L625" s="67"/>
      <c r="M625" s="67"/>
      <c r="N625" s="67"/>
      <c r="O625" s="67"/>
      <c r="P625" s="67"/>
      <c r="Q625" s="67"/>
      <c r="R625" s="67"/>
      <c r="S625" s="67"/>
      <c r="T625" s="67"/>
      <c r="U625" s="67"/>
      <c r="V625" s="67"/>
      <c r="W625" s="67"/>
      <c r="X625" s="67"/>
      <c r="Y625" s="67"/>
      <c r="Z625" s="67"/>
    </row>
    <row r="626">
      <c r="A626" s="135"/>
      <c r="B626" s="125"/>
      <c r="C626" s="125"/>
      <c r="D626" s="125"/>
      <c r="E626" s="126"/>
      <c r="F626" s="67"/>
      <c r="G626" s="67"/>
      <c r="H626" s="67"/>
      <c r="I626" s="67"/>
      <c r="J626" s="67"/>
      <c r="K626" s="67"/>
      <c r="L626" s="67"/>
      <c r="M626" s="67"/>
      <c r="N626" s="67"/>
      <c r="O626" s="67"/>
      <c r="P626" s="67"/>
      <c r="Q626" s="67"/>
      <c r="R626" s="67"/>
      <c r="S626" s="67"/>
      <c r="T626" s="67"/>
      <c r="U626" s="67"/>
      <c r="V626" s="67"/>
      <c r="W626" s="67"/>
      <c r="X626" s="67"/>
      <c r="Y626" s="67"/>
      <c r="Z626" s="67"/>
    </row>
    <row r="627">
      <c r="A627" s="136"/>
      <c r="B627" s="131"/>
      <c r="C627" s="131"/>
      <c r="D627" s="131"/>
      <c r="E627" s="130"/>
      <c r="F627" s="67"/>
      <c r="G627" s="67"/>
      <c r="H627" s="67"/>
      <c r="I627" s="67"/>
      <c r="J627" s="67"/>
      <c r="K627" s="67"/>
      <c r="L627" s="67"/>
      <c r="M627" s="67"/>
      <c r="N627" s="67"/>
      <c r="O627" s="67"/>
      <c r="P627" s="67"/>
      <c r="Q627" s="67"/>
      <c r="R627" s="67"/>
      <c r="S627" s="67"/>
      <c r="T627" s="67"/>
      <c r="U627" s="67"/>
      <c r="V627" s="67"/>
      <c r="W627" s="67"/>
      <c r="X627" s="67"/>
      <c r="Y627" s="67"/>
      <c r="Z627" s="67"/>
    </row>
    <row r="628">
      <c r="A628" s="135"/>
      <c r="B628" s="125"/>
      <c r="C628" s="125"/>
      <c r="D628" s="125"/>
      <c r="E628" s="126"/>
      <c r="F628" s="67"/>
      <c r="G628" s="67"/>
      <c r="H628" s="67"/>
      <c r="I628" s="67"/>
      <c r="J628" s="67"/>
      <c r="K628" s="67"/>
      <c r="L628" s="67"/>
      <c r="M628" s="67"/>
      <c r="N628" s="67"/>
      <c r="O628" s="67"/>
      <c r="P628" s="67"/>
      <c r="Q628" s="67"/>
      <c r="R628" s="67"/>
      <c r="S628" s="67"/>
      <c r="T628" s="67"/>
      <c r="U628" s="67"/>
      <c r="V628" s="67"/>
      <c r="W628" s="67"/>
      <c r="X628" s="67"/>
      <c r="Y628" s="67"/>
      <c r="Z628" s="67"/>
    </row>
    <row r="629">
      <c r="A629" s="136"/>
      <c r="B629" s="131"/>
      <c r="C629" s="131"/>
      <c r="D629" s="131"/>
      <c r="E629" s="130"/>
      <c r="F629" s="67"/>
      <c r="G629" s="67"/>
      <c r="H629" s="67"/>
      <c r="I629" s="67"/>
      <c r="J629" s="67"/>
      <c r="K629" s="67"/>
      <c r="L629" s="67"/>
      <c r="M629" s="67"/>
      <c r="N629" s="67"/>
      <c r="O629" s="67"/>
      <c r="P629" s="67"/>
      <c r="Q629" s="67"/>
      <c r="R629" s="67"/>
      <c r="S629" s="67"/>
      <c r="T629" s="67"/>
      <c r="U629" s="67"/>
      <c r="V629" s="67"/>
      <c r="W629" s="67"/>
      <c r="X629" s="67"/>
      <c r="Y629" s="67"/>
      <c r="Z629" s="67"/>
    </row>
    <row r="630">
      <c r="A630" s="135"/>
      <c r="B630" s="125"/>
      <c r="C630" s="125"/>
      <c r="D630" s="125"/>
      <c r="E630" s="126"/>
      <c r="F630" s="67"/>
      <c r="G630" s="67"/>
      <c r="H630" s="67"/>
      <c r="I630" s="67"/>
      <c r="J630" s="67"/>
      <c r="K630" s="67"/>
      <c r="L630" s="67"/>
      <c r="M630" s="67"/>
      <c r="N630" s="67"/>
      <c r="O630" s="67"/>
      <c r="P630" s="67"/>
      <c r="Q630" s="67"/>
      <c r="R630" s="67"/>
      <c r="S630" s="67"/>
      <c r="T630" s="67"/>
      <c r="U630" s="67"/>
      <c r="V630" s="67"/>
      <c r="W630" s="67"/>
      <c r="X630" s="67"/>
      <c r="Y630" s="67"/>
      <c r="Z630" s="67"/>
    </row>
    <row r="631">
      <c r="A631" s="136"/>
      <c r="B631" s="131"/>
      <c r="C631" s="131"/>
      <c r="D631" s="131"/>
      <c r="E631" s="130"/>
      <c r="F631" s="67"/>
      <c r="G631" s="67"/>
      <c r="H631" s="67"/>
      <c r="I631" s="67"/>
      <c r="J631" s="67"/>
      <c r="K631" s="67"/>
      <c r="L631" s="67"/>
      <c r="M631" s="67"/>
      <c r="N631" s="67"/>
      <c r="O631" s="67"/>
      <c r="P631" s="67"/>
      <c r="Q631" s="67"/>
      <c r="R631" s="67"/>
      <c r="S631" s="67"/>
      <c r="T631" s="67"/>
      <c r="U631" s="67"/>
      <c r="V631" s="67"/>
      <c r="W631" s="67"/>
      <c r="X631" s="67"/>
      <c r="Y631" s="67"/>
      <c r="Z631" s="67"/>
    </row>
    <row r="632">
      <c r="A632" s="135"/>
      <c r="B632" s="125"/>
      <c r="C632" s="125"/>
      <c r="D632" s="125"/>
      <c r="E632" s="126"/>
      <c r="F632" s="67"/>
      <c r="G632" s="67"/>
      <c r="H632" s="67"/>
      <c r="I632" s="67"/>
      <c r="J632" s="67"/>
      <c r="K632" s="67"/>
      <c r="L632" s="67"/>
      <c r="M632" s="67"/>
      <c r="N632" s="67"/>
      <c r="O632" s="67"/>
      <c r="P632" s="67"/>
      <c r="Q632" s="67"/>
      <c r="R632" s="67"/>
      <c r="S632" s="67"/>
      <c r="T632" s="67"/>
      <c r="U632" s="67"/>
      <c r="V632" s="67"/>
      <c r="W632" s="67"/>
      <c r="X632" s="67"/>
      <c r="Y632" s="67"/>
      <c r="Z632" s="67"/>
    </row>
    <row r="633">
      <c r="A633" s="136"/>
      <c r="B633" s="131"/>
      <c r="C633" s="131"/>
      <c r="D633" s="131"/>
      <c r="E633" s="130"/>
      <c r="F633" s="67"/>
      <c r="G633" s="67"/>
      <c r="H633" s="67"/>
      <c r="I633" s="67"/>
      <c r="J633" s="67"/>
      <c r="K633" s="67"/>
      <c r="L633" s="67"/>
      <c r="M633" s="67"/>
      <c r="N633" s="67"/>
      <c r="O633" s="67"/>
      <c r="P633" s="67"/>
      <c r="Q633" s="67"/>
      <c r="R633" s="67"/>
      <c r="S633" s="67"/>
      <c r="T633" s="67"/>
      <c r="U633" s="67"/>
      <c r="V633" s="67"/>
      <c r="W633" s="67"/>
      <c r="X633" s="67"/>
      <c r="Y633" s="67"/>
      <c r="Z633" s="67"/>
    </row>
    <row r="634">
      <c r="A634" s="135"/>
      <c r="B634" s="125"/>
      <c r="C634" s="125"/>
      <c r="D634" s="125"/>
      <c r="E634" s="126"/>
      <c r="F634" s="67"/>
      <c r="G634" s="67"/>
      <c r="H634" s="67"/>
      <c r="I634" s="67"/>
      <c r="J634" s="67"/>
      <c r="K634" s="67"/>
      <c r="L634" s="67"/>
      <c r="M634" s="67"/>
      <c r="N634" s="67"/>
      <c r="O634" s="67"/>
      <c r="P634" s="67"/>
      <c r="Q634" s="67"/>
      <c r="R634" s="67"/>
      <c r="S634" s="67"/>
      <c r="T634" s="67"/>
      <c r="U634" s="67"/>
      <c r="V634" s="67"/>
      <c r="W634" s="67"/>
      <c r="X634" s="67"/>
      <c r="Y634" s="67"/>
      <c r="Z634" s="67"/>
    </row>
    <row r="635">
      <c r="A635" s="136"/>
      <c r="B635" s="131"/>
      <c r="C635" s="131"/>
      <c r="D635" s="131"/>
      <c r="E635" s="130"/>
      <c r="F635" s="67"/>
      <c r="G635" s="67"/>
      <c r="H635" s="67"/>
      <c r="I635" s="67"/>
      <c r="J635" s="67"/>
      <c r="K635" s="67"/>
      <c r="L635" s="67"/>
      <c r="M635" s="67"/>
      <c r="N635" s="67"/>
      <c r="O635" s="67"/>
      <c r="P635" s="67"/>
      <c r="Q635" s="67"/>
      <c r="R635" s="67"/>
      <c r="S635" s="67"/>
      <c r="T635" s="67"/>
      <c r="U635" s="67"/>
      <c r="V635" s="67"/>
      <c r="W635" s="67"/>
      <c r="X635" s="67"/>
      <c r="Y635" s="67"/>
      <c r="Z635" s="67"/>
    </row>
    <row r="636">
      <c r="A636" s="135"/>
      <c r="B636" s="125"/>
      <c r="C636" s="125"/>
      <c r="D636" s="125"/>
      <c r="E636" s="126"/>
      <c r="F636" s="67"/>
      <c r="G636" s="67"/>
      <c r="H636" s="67"/>
      <c r="I636" s="67"/>
      <c r="J636" s="67"/>
      <c r="K636" s="67"/>
      <c r="L636" s="67"/>
      <c r="M636" s="67"/>
      <c r="N636" s="67"/>
      <c r="O636" s="67"/>
      <c r="P636" s="67"/>
      <c r="Q636" s="67"/>
      <c r="R636" s="67"/>
      <c r="S636" s="67"/>
      <c r="T636" s="67"/>
      <c r="U636" s="67"/>
      <c r="V636" s="67"/>
      <c r="W636" s="67"/>
      <c r="X636" s="67"/>
      <c r="Y636" s="67"/>
      <c r="Z636" s="67"/>
    </row>
    <row r="637">
      <c r="A637" s="136"/>
      <c r="B637" s="131"/>
      <c r="C637" s="131"/>
      <c r="D637" s="131"/>
      <c r="E637" s="130"/>
      <c r="F637" s="67"/>
      <c r="G637" s="67"/>
      <c r="H637" s="67"/>
      <c r="I637" s="67"/>
      <c r="J637" s="67"/>
      <c r="K637" s="67"/>
      <c r="L637" s="67"/>
      <c r="M637" s="67"/>
      <c r="N637" s="67"/>
      <c r="O637" s="67"/>
      <c r="P637" s="67"/>
      <c r="Q637" s="67"/>
      <c r="R637" s="67"/>
      <c r="S637" s="67"/>
      <c r="T637" s="67"/>
      <c r="U637" s="67"/>
      <c r="V637" s="67"/>
      <c r="W637" s="67"/>
      <c r="X637" s="67"/>
      <c r="Y637" s="67"/>
      <c r="Z637" s="67"/>
    </row>
    <row r="638">
      <c r="A638" s="135"/>
      <c r="B638" s="125"/>
      <c r="C638" s="125"/>
      <c r="D638" s="125"/>
      <c r="E638" s="126"/>
      <c r="F638" s="67"/>
      <c r="G638" s="67"/>
      <c r="H638" s="67"/>
      <c r="I638" s="67"/>
      <c r="J638" s="67"/>
      <c r="K638" s="67"/>
      <c r="L638" s="67"/>
      <c r="M638" s="67"/>
      <c r="N638" s="67"/>
      <c r="O638" s="67"/>
      <c r="P638" s="67"/>
      <c r="Q638" s="67"/>
      <c r="R638" s="67"/>
      <c r="S638" s="67"/>
      <c r="T638" s="67"/>
      <c r="U638" s="67"/>
      <c r="V638" s="67"/>
      <c r="W638" s="67"/>
      <c r="X638" s="67"/>
      <c r="Y638" s="67"/>
      <c r="Z638" s="67"/>
    </row>
    <row r="639">
      <c r="A639" s="136"/>
      <c r="B639" s="131"/>
      <c r="C639" s="131"/>
      <c r="D639" s="131"/>
      <c r="E639" s="130"/>
      <c r="F639" s="67"/>
      <c r="G639" s="67"/>
      <c r="H639" s="67"/>
      <c r="I639" s="67"/>
      <c r="J639" s="67"/>
      <c r="K639" s="67"/>
      <c r="L639" s="67"/>
      <c r="M639" s="67"/>
      <c r="N639" s="67"/>
      <c r="O639" s="67"/>
      <c r="P639" s="67"/>
      <c r="Q639" s="67"/>
      <c r="R639" s="67"/>
      <c r="S639" s="67"/>
      <c r="T639" s="67"/>
      <c r="U639" s="67"/>
      <c r="V639" s="67"/>
      <c r="W639" s="67"/>
      <c r="X639" s="67"/>
      <c r="Y639" s="67"/>
      <c r="Z639" s="67"/>
    </row>
    <row r="640">
      <c r="A640" s="135"/>
      <c r="B640" s="125"/>
      <c r="C640" s="125"/>
      <c r="D640" s="125"/>
      <c r="E640" s="126"/>
      <c r="F640" s="67"/>
      <c r="G640" s="67"/>
      <c r="H640" s="67"/>
      <c r="I640" s="67"/>
      <c r="J640" s="67"/>
      <c r="K640" s="67"/>
      <c r="L640" s="67"/>
      <c r="M640" s="67"/>
      <c r="N640" s="67"/>
      <c r="O640" s="67"/>
      <c r="P640" s="67"/>
      <c r="Q640" s="67"/>
      <c r="R640" s="67"/>
      <c r="S640" s="67"/>
      <c r="T640" s="67"/>
      <c r="U640" s="67"/>
      <c r="V640" s="67"/>
      <c r="W640" s="67"/>
      <c r="X640" s="67"/>
      <c r="Y640" s="67"/>
      <c r="Z640" s="67"/>
    </row>
    <row r="641">
      <c r="A641" s="136"/>
      <c r="B641" s="131"/>
      <c r="C641" s="131"/>
      <c r="D641" s="131"/>
      <c r="E641" s="130"/>
      <c r="F641" s="67"/>
      <c r="G641" s="67"/>
      <c r="H641" s="67"/>
      <c r="I641" s="67"/>
      <c r="J641" s="67"/>
      <c r="K641" s="67"/>
      <c r="L641" s="67"/>
      <c r="M641" s="67"/>
      <c r="N641" s="67"/>
      <c r="O641" s="67"/>
      <c r="P641" s="67"/>
      <c r="Q641" s="67"/>
      <c r="R641" s="67"/>
      <c r="S641" s="67"/>
      <c r="T641" s="67"/>
      <c r="U641" s="67"/>
      <c r="V641" s="67"/>
      <c r="W641" s="67"/>
      <c r="X641" s="67"/>
      <c r="Y641" s="67"/>
      <c r="Z641" s="67"/>
    </row>
    <row r="642">
      <c r="A642" s="135"/>
      <c r="B642" s="125"/>
      <c r="C642" s="125"/>
      <c r="D642" s="125"/>
      <c r="E642" s="126"/>
      <c r="F642" s="67"/>
      <c r="G642" s="67"/>
      <c r="H642" s="67"/>
      <c r="I642" s="67"/>
      <c r="J642" s="67"/>
      <c r="K642" s="67"/>
      <c r="L642" s="67"/>
      <c r="M642" s="67"/>
      <c r="N642" s="67"/>
      <c r="O642" s="67"/>
      <c r="P642" s="67"/>
      <c r="Q642" s="67"/>
      <c r="R642" s="67"/>
      <c r="S642" s="67"/>
      <c r="T642" s="67"/>
      <c r="U642" s="67"/>
      <c r="V642" s="67"/>
      <c r="W642" s="67"/>
      <c r="X642" s="67"/>
      <c r="Y642" s="67"/>
      <c r="Z642" s="67"/>
    </row>
    <row r="643">
      <c r="A643" s="136"/>
      <c r="B643" s="131"/>
      <c r="C643" s="131"/>
      <c r="D643" s="131"/>
      <c r="E643" s="130"/>
      <c r="F643" s="67"/>
      <c r="G643" s="67"/>
      <c r="H643" s="67"/>
      <c r="I643" s="67"/>
      <c r="J643" s="67"/>
      <c r="K643" s="67"/>
      <c r="L643" s="67"/>
      <c r="M643" s="67"/>
      <c r="N643" s="67"/>
      <c r="O643" s="67"/>
      <c r="P643" s="67"/>
      <c r="Q643" s="67"/>
      <c r="R643" s="67"/>
      <c r="S643" s="67"/>
      <c r="T643" s="67"/>
      <c r="U643" s="67"/>
      <c r="V643" s="67"/>
      <c r="W643" s="67"/>
      <c r="X643" s="67"/>
      <c r="Y643" s="67"/>
      <c r="Z643" s="67"/>
    </row>
    <row r="644">
      <c r="A644" s="135"/>
      <c r="B644" s="125"/>
      <c r="C644" s="125"/>
      <c r="D644" s="125"/>
      <c r="E644" s="126"/>
      <c r="F644" s="67"/>
      <c r="G644" s="67"/>
      <c r="H644" s="67"/>
      <c r="I644" s="67"/>
      <c r="J644" s="67"/>
      <c r="K644" s="67"/>
      <c r="L644" s="67"/>
      <c r="M644" s="67"/>
      <c r="N644" s="67"/>
      <c r="O644" s="67"/>
      <c r="P644" s="67"/>
      <c r="Q644" s="67"/>
      <c r="R644" s="67"/>
      <c r="S644" s="67"/>
      <c r="T644" s="67"/>
      <c r="U644" s="67"/>
      <c r="V644" s="67"/>
      <c r="W644" s="67"/>
      <c r="X644" s="67"/>
      <c r="Y644" s="67"/>
      <c r="Z644" s="67"/>
    </row>
    <row r="645">
      <c r="A645" s="136"/>
      <c r="B645" s="131"/>
      <c r="C645" s="131"/>
      <c r="D645" s="131"/>
      <c r="E645" s="130"/>
      <c r="F645" s="67"/>
      <c r="G645" s="67"/>
      <c r="H645" s="67"/>
      <c r="I645" s="67"/>
      <c r="J645" s="67"/>
      <c r="K645" s="67"/>
      <c r="L645" s="67"/>
      <c r="M645" s="67"/>
      <c r="N645" s="67"/>
      <c r="O645" s="67"/>
      <c r="P645" s="67"/>
      <c r="Q645" s="67"/>
      <c r="R645" s="67"/>
      <c r="S645" s="67"/>
      <c r="T645" s="67"/>
      <c r="U645" s="67"/>
      <c r="V645" s="67"/>
      <c r="W645" s="67"/>
      <c r="X645" s="67"/>
      <c r="Y645" s="67"/>
      <c r="Z645" s="67"/>
    </row>
    <row r="646">
      <c r="A646" s="135"/>
      <c r="B646" s="125"/>
      <c r="C646" s="125"/>
      <c r="D646" s="125"/>
      <c r="E646" s="126"/>
      <c r="F646" s="67"/>
      <c r="G646" s="67"/>
      <c r="H646" s="67"/>
      <c r="I646" s="67"/>
      <c r="J646" s="67"/>
      <c r="K646" s="67"/>
      <c r="L646" s="67"/>
      <c r="M646" s="67"/>
      <c r="N646" s="67"/>
      <c r="O646" s="67"/>
      <c r="P646" s="67"/>
      <c r="Q646" s="67"/>
      <c r="R646" s="67"/>
      <c r="S646" s="67"/>
      <c r="T646" s="67"/>
      <c r="U646" s="67"/>
      <c r="V646" s="67"/>
      <c r="W646" s="67"/>
      <c r="X646" s="67"/>
      <c r="Y646" s="67"/>
      <c r="Z646" s="67"/>
    </row>
    <row r="647">
      <c r="A647" s="136"/>
      <c r="B647" s="131"/>
      <c r="C647" s="131"/>
      <c r="D647" s="131"/>
      <c r="E647" s="130"/>
      <c r="F647" s="67"/>
      <c r="G647" s="67"/>
      <c r="H647" s="67"/>
      <c r="I647" s="67"/>
      <c r="J647" s="67"/>
      <c r="K647" s="67"/>
      <c r="L647" s="67"/>
      <c r="M647" s="67"/>
      <c r="N647" s="67"/>
      <c r="O647" s="67"/>
      <c r="P647" s="67"/>
      <c r="Q647" s="67"/>
      <c r="R647" s="67"/>
      <c r="S647" s="67"/>
      <c r="T647" s="67"/>
      <c r="U647" s="67"/>
      <c r="V647" s="67"/>
      <c r="W647" s="67"/>
      <c r="X647" s="67"/>
      <c r="Y647" s="67"/>
      <c r="Z647" s="67"/>
    </row>
    <row r="648">
      <c r="A648" s="135"/>
      <c r="B648" s="125"/>
      <c r="C648" s="125"/>
      <c r="D648" s="125"/>
      <c r="E648" s="126"/>
      <c r="F648" s="67"/>
      <c r="G648" s="67"/>
      <c r="H648" s="67"/>
      <c r="I648" s="67"/>
      <c r="J648" s="67"/>
      <c r="K648" s="67"/>
      <c r="L648" s="67"/>
      <c r="M648" s="67"/>
      <c r="N648" s="67"/>
      <c r="O648" s="67"/>
      <c r="P648" s="67"/>
      <c r="Q648" s="67"/>
      <c r="R648" s="67"/>
      <c r="S648" s="67"/>
      <c r="T648" s="67"/>
      <c r="U648" s="67"/>
      <c r="V648" s="67"/>
      <c r="W648" s="67"/>
      <c r="X648" s="67"/>
      <c r="Y648" s="67"/>
      <c r="Z648" s="67"/>
    </row>
    <row r="649">
      <c r="A649" s="136"/>
      <c r="B649" s="131"/>
      <c r="C649" s="131"/>
      <c r="D649" s="131"/>
      <c r="E649" s="130"/>
      <c r="F649" s="67"/>
      <c r="G649" s="67"/>
      <c r="H649" s="67"/>
      <c r="I649" s="67"/>
      <c r="J649" s="67"/>
      <c r="K649" s="67"/>
      <c r="L649" s="67"/>
      <c r="M649" s="67"/>
      <c r="N649" s="67"/>
      <c r="O649" s="67"/>
      <c r="P649" s="67"/>
      <c r="Q649" s="67"/>
      <c r="R649" s="67"/>
      <c r="S649" s="67"/>
      <c r="T649" s="67"/>
      <c r="U649" s="67"/>
      <c r="V649" s="67"/>
      <c r="W649" s="67"/>
      <c r="X649" s="67"/>
      <c r="Y649" s="67"/>
      <c r="Z649" s="67"/>
    </row>
    <row r="650">
      <c r="A650" s="135"/>
      <c r="B650" s="125"/>
      <c r="C650" s="125"/>
      <c r="D650" s="125"/>
      <c r="E650" s="126"/>
      <c r="F650" s="67"/>
      <c r="G650" s="67"/>
      <c r="H650" s="67"/>
      <c r="I650" s="67"/>
      <c r="J650" s="67"/>
      <c r="K650" s="67"/>
      <c r="L650" s="67"/>
      <c r="M650" s="67"/>
      <c r="N650" s="67"/>
      <c r="O650" s="67"/>
      <c r="P650" s="67"/>
      <c r="Q650" s="67"/>
      <c r="R650" s="67"/>
      <c r="S650" s="67"/>
      <c r="T650" s="67"/>
      <c r="U650" s="67"/>
      <c r="V650" s="67"/>
      <c r="W650" s="67"/>
      <c r="X650" s="67"/>
      <c r="Y650" s="67"/>
      <c r="Z650" s="67"/>
    </row>
    <row r="651">
      <c r="A651" s="136"/>
      <c r="B651" s="131"/>
      <c r="C651" s="131"/>
      <c r="D651" s="131"/>
      <c r="E651" s="130"/>
      <c r="F651" s="67"/>
      <c r="G651" s="67"/>
      <c r="H651" s="67"/>
      <c r="I651" s="67"/>
      <c r="J651" s="67"/>
      <c r="K651" s="67"/>
      <c r="L651" s="67"/>
      <c r="M651" s="67"/>
      <c r="N651" s="67"/>
      <c r="O651" s="67"/>
      <c r="P651" s="67"/>
      <c r="Q651" s="67"/>
      <c r="R651" s="67"/>
      <c r="S651" s="67"/>
      <c r="T651" s="67"/>
      <c r="U651" s="67"/>
      <c r="V651" s="67"/>
      <c r="W651" s="67"/>
      <c r="X651" s="67"/>
      <c r="Y651" s="67"/>
      <c r="Z651" s="67"/>
    </row>
    <row r="652">
      <c r="A652" s="135"/>
      <c r="B652" s="125"/>
      <c r="C652" s="125"/>
      <c r="D652" s="125"/>
      <c r="E652" s="126"/>
      <c r="F652" s="67"/>
      <c r="G652" s="67"/>
      <c r="H652" s="67"/>
      <c r="I652" s="67"/>
      <c r="J652" s="67"/>
      <c r="K652" s="67"/>
      <c r="L652" s="67"/>
      <c r="M652" s="67"/>
      <c r="N652" s="67"/>
      <c r="O652" s="67"/>
      <c r="P652" s="67"/>
      <c r="Q652" s="67"/>
      <c r="R652" s="67"/>
      <c r="S652" s="67"/>
      <c r="T652" s="67"/>
      <c r="U652" s="67"/>
      <c r="V652" s="67"/>
      <c r="W652" s="67"/>
      <c r="X652" s="67"/>
      <c r="Y652" s="67"/>
      <c r="Z652" s="67"/>
    </row>
    <row r="653">
      <c r="A653" s="136"/>
      <c r="B653" s="131"/>
      <c r="C653" s="131"/>
      <c r="D653" s="131"/>
      <c r="E653" s="130"/>
      <c r="F653" s="67"/>
      <c r="G653" s="67"/>
      <c r="H653" s="67"/>
      <c r="I653" s="67"/>
      <c r="J653" s="67"/>
      <c r="K653" s="67"/>
      <c r="L653" s="67"/>
      <c r="M653" s="67"/>
      <c r="N653" s="67"/>
      <c r="O653" s="67"/>
      <c r="P653" s="67"/>
      <c r="Q653" s="67"/>
      <c r="R653" s="67"/>
      <c r="S653" s="67"/>
      <c r="T653" s="67"/>
      <c r="U653" s="67"/>
      <c r="V653" s="67"/>
      <c r="W653" s="67"/>
      <c r="X653" s="67"/>
      <c r="Y653" s="67"/>
      <c r="Z653" s="67"/>
    </row>
    <row r="654">
      <c r="A654" s="135"/>
      <c r="B654" s="125"/>
      <c r="C654" s="125"/>
      <c r="D654" s="125"/>
      <c r="E654" s="126"/>
      <c r="F654" s="67"/>
      <c r="G654" s="67"/>
      <c r="H654" s="67"/>
      <c r="I654" s="67"/>
      <c r="J654" s="67"/>
      <c r="K654" s="67"/>
      <c r="L654" s="67"/>
      <c r="M654" s="67"/>
      <c r="N654" s="67"/>
      <c r="O654" s="67"/>
      <c r="P654" s="67"/>
      <c r="Q654" s="67"/>
      <c r="R654" s="67"/>
      <c r="S654" s="67"/>
      <c r="T654" s="67"/>
      <c r="U654" s="67"/>
      <c r="V654" s="67"/>
      <c r="W654" s="67"/>
      <c r="X654" s="67"/>
      <c r="Y654" s="67"/>
      <c r="Z654" s="67"/>
    </row>
    <row r="655">
      <c r="A655" s="136"/>
      <c r="B655" s="131"/>
      <c r="C655" s="131"/>
      <c r="D655" s="131"/>
      <c r="E655" s="130"/>
      <c r="F655" s="67"/>
      <c r="G655" s="67"/>
      <c r="H655" s="67"/>
      <c r="I655" s="67"/>
      <c r="J655" s="67"/>
      <c r="K655" s="67"/>
      <c r="L655" s="67"/>
      <c r="M655" s="67"/>
      <c r="N655" s="67"/>
      <c r="O655" s="67"/>
      <c r="P655" s="67"/>
      <c r="Q655" s="67"/>
      <c r="R655" s="67"/>
      <c r="S655" s="67"/>
      <c r="T655" s="67"/>
      <c r="U655" s="67"/>
      <c r="V655" s="67"/>
      <c r="W655" s="67"/>
      <c r="X655" s="67"/>
      <c r="Y655" s="67"/>
      <c r="Z655" s="67"/>
    </row>
    <row r="656">
      <c r="A656" s="135"/>
      <c r="B656" s="125"/>
      <c r="C656" s="125"/>
      <c r="D656" s="125"/>
      <c r="E656" s="126"/>
      <c r="F656" s="67"/>
      <c r="G656" s="67"/>
      <c r="H656" s="67"/>
      <c r="I656" s="67"/>
      <c r="J656" s="67"/>
      <c r="K656" s="67"/>
      <c r="L656" s="67"/>
      <c r="M656" s="67"/>
      <c r="N656" s="67"/>
      <c r="O656" s="67"/>
      <c r="P656" s="67"/>
      <c r="Q656" s="67"/>
      <c r="R656" s="67"/>
      <c r="S656" s="67"/>
      <c r="T656" s="67"/>
      <c r="U656" s="67"/>
      <c r="V656" s="67"/>
      <c r="W656" s="67"/>
      <c r="X656" s="67"/>
      <c r="Y656" s="67"/>
      <c r="Z656" s="67"/>
    </row>
    <row r="657">
      <c r="A657" s="136"/>
      <c r="B657" s="131"/>
      <c r="C657" s="131"/>
      <c r="D657" s="131"/>
      <c r="E657" s="130"/>
      <c r="F657" s="67"/>
      <c r="G657" s="67"/>
      <c r="H657" s="67"/>
      <c r="I657" s="67"/>
      <c r="J657" s="67"/>
      <c r="K657" s="67"/>
      <c r="L657" s="67"/>
      <c r="M657" s="67"/>
      <c r="N657" s="67"/>
      <c r="O657" s="67"/>
      <c r="P657" s="67"/>
      <c r="Q657" s="67"/>
      <c r="R657" s="67"/>
      <c r="S657" s="67"/>
      <c r="T657" s="67"/>
      <c r="U657" s="67"/>
      <c r="V657" s="67"/>
      <c r="W657" s="67"/>
      <c r="X657" s="67"/>
      <c r="Y657" s="67"/>
      <c r="Z657" s="67"/>
    </row>
    <row r="658">
      <c r="A658" s="135"/>
      <c r="B658" s="125"/>
      <c r="C658" s="125"/>
      <c r="D658" s="125"/>
      <c r="E658" s="126"/>
      <c r="F658" s="67"/>
      <c r="G658" s="67"/>
      <c r="H658" s="67"/>
      <c r="I658" s="67"/>
      <c r="J658" s="67"/>
      <c r="K658" s="67"/>
      <c r="L658" s="67"/>
      <c r="M658" s="67"/>
      <c r="N658" s="67"/>
      <c r="O658" s="67"/>
      <c r="P658" s="67"/>
      <c r="Q658" s="67"/>
      <c r="R658" s="67"/>
      <c r="S658" s="67"/>
      <c r="T658" s="67"/>
      <c r="U658" s="67"/>
      <c r="V658" s="67"/>
      <c r="W658" s="67"/>
      <c r="X658" s="67"/>
      <c r="Y658" s="67"/>
      <c r="Z658" s="67"/>
    </row>
    <row r="659">
      <c r="A659" s="136"/>
      <c r="B659" s="131"/>
      <c r="C659" s="131"/>
      <c r="D659" s="131"/>
      <c r="E659" s="130"/>
      <c r="F659" s="67"/>
      <c r="G659" s="67"/>
      <c r="H659" s="67"/>
      <c r="I659" s="67"/>
      <c r="J659" s="67"/>
      <c r="K659" s="67"/>
      <c r="L659" s="67"/>
      <c r="M659" s="67"/>
      <c r="N659" s="67"/>
      <c r="O659" s="67"/>
      <c r="P659" s="67"/>
      <c r="Q659" s="67"/>
      <c r="R659" s="67"/>
      <c r="S659" s="67"/>
      <c r="T659" s="67"/>
      <c r="U659" s="67"/>
      <c r="V659" s="67"/>
      <c r="W659" s="67"/>
      <c r="X659" s="67"/>
      <c r="Y659" s="67"/>
      <c r="Z659" s="67"/>
    </row>
    <row r="660">
      <c r="A660" s="135"/>
      <c r="B660" s="125"/>
      <c r="C660" s="125"/>
      <c r="D660" s="125"/>
      <c r="E660" s="126"/>
      <c r="F660" s="67"/>
      <c r="G660" s="67"/>
      <c r="H660" s="67"/>
      <c r="I660" s="67"/>
      <c r="J660" s="67"/>
      <c r="K660" s="67"/>
      <c r="L660" s="67"/>
      <c r="M660" s="67"/>
      <c r="N660" s="67"/>
      <c r="O660" s="67"/>
      <c r="P660" s="67"/>
      <c r="Q660" s="67"/>
      <c r="R660" s="67"/>
      <c r="S660" s="67"/>
      <c r="T660" s="67"/>
      <c r="U660" s="67"/>
      <c r="V660" s="67"/>
      <c r="W660" s="67"/>
      <c r="X660" s="67"/>
      <c r="Y660" s="67"/>
      <c r="Z660" s="67"/>
    </row>
    <row r="661">
      <c r="A661" s="136"/>
      <c r="B661" s="131"/>
      <c r="C661" s="131"/>
      <c r="D661" s="131"/>
      <c r="E661" s="130"/>
      <c r="F661" s="67"/>
      <c r="G661" s="67"/>
      <c r="H661" s="67"/>
      <c r="I661" s="67"/>
      <c r="J661" s="67"/>
      <c r="K661" s="67"/>
      <c r="L661" s="67"/>
      <c r="M661" s="67"/>
      <c r="N661" s="67"/>
      <c r="O661" s="67"/>
      <c r="P661" s="67"/>
      <c r="Q661" s="67"/>
      <c r="R661" s="67"/>
      <c r="S661" s="67"/>
      <c r="T661" s="67"/>
      <c r="U661" s="67"/>
      <c r="V661" s="67"/>
      <c r="W661" s="67"/>
      <c r="X661" s="67"/>
      <c r="Y661" s="67"/>
      <c r="Z661" s="67"/>
    </row>
    <row r="662">
      <c r="A662" s="135"/>
      <c r="B662" s="125"/>
      <c r="C662" s="125"/>
      <c r="D662" s="125"/>
      <c r="E662" s="126"/>
      <c r="F662" s="67"/>
      <c r="G662" s="67"/>
      <c r="H662" s="67"/>
      <c r="I662" s="67"/>
      <c r="J662" s="67"/>
      <c r="K662" s="67"/>
      <c r="L662" s="67"/>
      <c r="M662" s="67"/>
      <c r="N662" s="67"/>
      <c r="O662" s="67"/>
      <c r="P662" s="67"/>
      <c r="Q662" s="67"/>
      <c r="R662" s="67"/>
      <c r="S662" s="67"/>
      <c r="T662" s="67"/>
      <c r="U662" s="67"/>
      <c r="V662" s="67"/>
      <c r="W662" s="67"/>
      <c r="X662" s="67"/>
      <c r="Y662" s="67"/>
      <c r="Z662" s="67"/>
    </row>
    <row r="663">
      <c r="A663" s="136"/>
      <c r="B663" s="131"/>
      <c r="C663" s="131"/>
      <c r="D663" s="131"/>
      <c r="E663" s="130"/>
      <c r="F663" s="67"/>
      <c r="G663" s="67"/>
      <c r="H663" s="67"/>
      <c r="I663" s="67"/>
      <c r="J663" s="67"/>
      <c r="K663" s="67"/>
      <c r="L663" s="67"/>
      <c r="M663" s="67"/>
      <c r="N663" s="67"/>
      <c r="O663" s="67"/>
      <c r="P663" s="67"/>
      <c r="Q663" s="67"/>
      <c r="R663" s="67"/>
      <c r="S663" s="67"/>
      <c r="T663" s="67"/>
      <c r="U663" s="67"/>
      <c r="V663" s="67"/>
      <c r="W663" s="67"/>
      <c r="X663" s="67"/>
      <c r="Y663" s="67"/>
      <c r="Z663" s="67"/>
    </row>
    <row r="664">
      <c r="A664" s="135"/>
      <c r="B664" s="125"/>
      <c r="C664" s="125"/>
      <c r="D664" s="125"/>
      <c r="E664" s="126"/>
      <c r="F664" s="67"/>
      <c r="G664" s="67"/>
      <c r="H664" s="67"/>
      <c r="I664" s="67"/>
      <c r="J664" s="67"/>
      <c r="K664" s="67"/>
      <c r="L664" s="67"/>
      <c r="M664" s="67"/>
      <c r="N664" s="67"/>
      <c r="O664" s="67"/>
      <c r="P664" s="67"/>
      <c r="Q664" s="67"/>
      <c r="R664" s="67"/>
      <c r="S664" s="67"/>
      <c r="T664" s="67"/>
      <c r="U664" s="67"/>
      <c r="V664" s="67"/>
      <c r="W664" s="67"/>
      <c r="X664" s="67"/>
      <c r="Y664" s="67"/>
      <c r="Z664" s="67"/>
    </row>
    <row r="665">
      <c r="A665" s="136"/>
      <c r="B665" s="131"/>
      <c r="C665" s="131"/>
      <c r="D665" s="131"/>
      <c r="E665" s="130"/>
      <c r="F665" s="67"/>
      <c r="G665" s="67"/>
      <c r="H665" s="67"/>
      <c r="I665" s="67"/>
      <c r="J665" s="67"/>
      <c r="K665" s="67"/>
      <c r="L665" s="67"/>
      <c r="M665" s="67"/>
      <c r="N665" s="67"/>
      <c r="O665" s="67"/>
      <c r="P665" s="67"/>
      <c r="Q665" s="67"/>
      <c r="R665" s="67"/>
      <c r="S665" s="67"/>
      <c r="T665" s="67"/>
      <c r="U665" s="67"/>
      <c r="V665" s="67"/>
      <c r="W665" s="67"/>
      <c r="X665" s="67"/>
      <c r="Y665" s="67"/>
      <c r="Z665" s="67"/>
    </row>
    <row r="666">
      <c r="A666" s="135"/>
      <c r="B666" s="125"/>
      <c r="C666" s="125"/>
      <c r="D666" s="125"/>
      <c r="E666" s="126"/>
      <c r="F666" s="67"/>
      <c r="G666" s="67"/>
      <c r="H666" s="67"/>
      <c r="I666" s="67"/>
      <c r="J666" s="67"/>
      <c r="K666" s="67"/>
      <c r="L666" s="67"/>
      <c r="M666" s="67"/>
      <c r="N666" s="67"/>
      <c r="O666" s="67"/>
      <c r="P666" s="67"/>
      <c r="Q666" s="67"/>
      <c r="R666" s="67"/>
      <c r="S666" s="67"/>
      <c r="T666" s="67"/>
      <c r="U666" s="67"/>
      <c r="V666" s="67"/>
      <c r="W666" s="67"/>
      <c r="X666" s="67"/>
      <c r="Y666" s="67"/>
      <c r="Z666" s="67"/>
    </row>
    <row r="667">
      <c r="A667" s="136"/>
      <c r="B667" s="131"/>
      <c r="C667" s="131"/>
      <c r="D667" s="131"/>
      <c r="E667" s="130"/>
      <c r="F667" s="67"/>
      <c r="G667" s="67"/>
      <c r="H667" s="67"/>
      <c r="I667" s="67"/>
      <c r="J667" s="67"/>
      <c r="K667" s="67"/>
      <c r="L667" s="67"/>
      <c r="M667" s="67"/>
      <c r="N667" s="67"/>
      <c r="O667" s="67"/>
      <c r="P667" s="67"/>
      <c r="Q667" s="67"/>
      <c r="R667" s="67"/>
      <c r="S667" s="67"/>
      <c r="T667" s="67"/>
      <c r="U667" s="67"/>
      <c r="V667" s="67"/>
      <c r="W667" s="67"/>
      <c r="X667" s="67"/>
      <c r="Y667" s="67"/>
      <c r="Z667" s="67"/>
    </row>
    <row r="668">
      <c r="A668" s="135"/>
      <c r="B668" s="125"/>
      <c r="C668" s="125"/>
      <c r="D668" s="125"/>
      <c r="E668" s="126"/>
      <c r="F668" s="67"/>
      <c r="G668" s="67"/>
      <c r="H668" s="67"/>
      <c r="I668" s="67"/>
      <c r="J668" s="67"/>
      <c r="K668" s="67"/>
      <c r="L668" s="67"/>
      <c r="M668" s="67"/>
      <c r="N668" s="67"/>
      <c r="O668" s="67"/>
      <c r="P668" s="67"/>
      <c r="Q668" s="67"/>
      <c r="R668" s="67"/>
      <c r="S668" s="67"/>
      <c r="T668" s="67"/>
      <c r="U668" s="67"/>
      <c r="V668" s="67"/>
      <c r="W668" s="67"/>
      <c r="X668" s="67"/>
      <c r="Y668" s="67"/>
      <c r="Z668" s="67"/>
    </row>
    <row r="669">
      <c r="A669" s="136"/>
      <c r="B669" s="131"/>
      <c r="C669" s="131"/>
      <c r="D669" s="131"/>
      <c r="E669" s="130"/>
      <c r="F669" s="67"/>
      <c r="G669" s="67"/>
      <c r="H669" s="67"/>
      <c r="I669" s="67"/>
      <c r="J669" s="67"/>
      <c r="K669" s="67"/>
      <c r="L669" s="67"/>
      <c r="M669" s="67"/>
      <c r="N669" s="67"/>
      <c r="O669" s="67"/>
      <c r="P669" s="67"/>
      <c r="Q669" s="67"/>
      <c r="R669" s="67"/>
      <c r="S669" s="67"/>
      <c r="T669" s="67"/>
      <c r="U669" s="67"/>
      <c r="V669" s="67"/>
      <c r="W669" s="67"/>
      <c r="X669" s="67"/>
      <c r="Y669" s="67"/>
      <c r="Z669" s="67"/>
    </row>
    <row r="670">
      <c r="A670" s="135"/>
      <c r="B670" s="125"/>
      <c r="C670" s="125"/>
      <c r="D670" s="125"/>
      <c r="E670" s="126"/>
      <c r="F670" s="67"/>
      <c r="G670" s="67"/>
      <c r="H670" s="67"/>
      <c r="I670" s="67"/>
      <c r="J670" s="67"/>
      <c r="K670" s="67"/>
      <c r="L670" s="67"/>
      <c r="M670" s="67"/>
      <c r="N670" s="67"/>
      <c r="O670" s="67"/>
      <c r="P670" s="67"/>
      <c r="Q670" s="67"/>
      <c r="R670" s="67"/>
      <c r="S670" s="67"/>
      <c r="T670" s="67"/>
      <c r="U670" s="67"/>
      <c r="V670" s="67"/>
      <c r="W670" s="67"/>
      <c r="X670" s="67"/>
      <c r="Y670" s="67"/>
      <c r="Z670" s="67"/>
    </row>
    <row r="671">
      <c r="A671" s="136"/>
      <c r="B671" s="131"/>
      <c r="C671" s="131"/>
      <c r="D671" s="131"/>
      <c r="E671" s="130"/>
      <c r="F671" s="67"/>
      <c r="G671" s="67"/>
      <c r="H671" s="67"/>
      <c r="I671" s="67"/>
      <c r="J671" s="67"/>
      <c r="K671" s="67"/>
      <c r="L671" s="67"/>
      <c r="M671" s="67"/>
      <c r="N671" s="67"/>
      <c r="O671" s="67"/>
      <c r="P671" s="67"/>
      <c r="Q671" s="67"/>
      <c r="R671" s="67"/>
      <c r="S671" s="67"/>
      <c r="T671" s="67"/>
      <c r="U671" s="67"/>
      <c r="V671" s="67"/>
      <c r="W671" s="67"/>
      <c r="X671" s="67"/>
      <c r="Y671" s="67"/>
      <c r="Z671" s="67"/>
    </row>
    <row r="672">
      <c r="A672" s="135"/>
      <c r="B672" s="125"/>
      <c r="C672" s="125"/>
      <c r="D672" s="125"/>
      <c r="E672" s="126"/>
      <c r="F672" s="67"/>
      <c r="G672" s="67"/>
      <c r="H672" s="67"/>
      <c r="I672" s="67"/>
      <c r="J672" s="67"/>
      <c r="K672" s="67"/>
      <c r="L672" s="67"/>
      <c r="M672" s="67"/>
      <c r="N672" s="67"/>
      <c r="O672" s="67"/>
      <c r="P672" s="67"/>
      <c r="Q672" s="67"/>
      <c r="R672" s="67"/>
      <c r="S672" s="67"/>
      <c r="T672" s="67"/>
      <c r="U672" s="67"/>
      <c r="V672" s="67"/>
      <c r="W672" s="67"/>
      <c r="X672" s="67"/>
      <c r="Y672" s="67"/>
      <c r="Z672" s="67"/>
    </row>
    <row r="673">
      <c r="A673" s="136"/>
      <c r="B673" s="131"/>
      <c r="C673" s="131"/>
      <c r="D673" s="131"/>
      <c r="E673" s="130"/>
      <c r="F673" s="67"/>
      <c r="G673" s="67"/>
      <c r="H673" s="67"/>
      <c r="I673" s="67"/>
      <c r="J673" s="67"/>
      <c r="K673" s="67"/>
      <c r="L673" s="67"/>
      <c r="M673" s="67"/>
      <c r="N673" s="67"/>
      <c r="O673" s="67"/>
      <c r="P673" s="67"/>
      <c r="Q673" s="67"/>
      <c r="R673" s="67"/>
      <c r="S673" s="67"/>
      <c r="T673" s="67"/>
      <c r="U673" s="67"/>
      <c r="V673" s="67"/>
      <c r="W673" s="67"/>
      <c r="X673" s="67"/>
      <c r="Y673" s="67"/>
      <c r="Z673" s="67"/>
    </row>
    <row r="674">
      <c r="A674" s="135"/>
      <c r="B674" s="125"/>
      <c r="C674" s="125"/>
      <c r="D674" s="125"/>
      <c r="E674" s="126"/>
      <c r="F674" s="67"/>
      <c r="G674" s="67"/>
      <c r="H674" s="67"/>
      <c r="I674" s="67"/>
      <c r="J674" s="67"/>
      <c r="K674" s="67"/>
      <c r="L674" s="67"/>
      <c r="M674" s="67"/>
      <c r="N674" s="67"/>
      <c r="O674" s="67"/>
      <c r="P674" s="67"/>
      <c r="Q674" s="67"/>
      <c r="R674" s="67"/>
      <c r="S674" s="67"/>
      <c r="T674" s="67"/>
      <c r="U674" s="67"/>
      <c r="V674" s="67"/>
      <c r="W674" s="67"/>
      <c r="X674" s="67"/>
      <c r="Y674" s="67"/>
      <c r="Z674" s="67"/>
    </row>
    <row r="675">
      <c r="A675" s="136"/>
      <c r="B675" s="131"/>
      <c r="C675" s="131"/>
      <c r="D675" s="131"/>
      <c r="E675" s="130"/>
      <c r="F675" s="67"/>
      <c r="G675" s="67"/>
      <c r="H675" s="67"/>
      <c r="I675" s="67"/>
      <c r="J675" s="67"/>
      <c r="K675" s="67"/>
      <c r="L675" s="67"/>
      <c r="M675" s="67"/>
      <c r="N675" s="67"/>
      <c r="O675" s="67"/>
      <c r="P675" s="67"/>
      <c r="Q675" s="67"/>
      <c r="R675" s="67"/>
      <c r="S675" s="67"/>
      <c r="T675" s="67"/>
      <c r="U675" s="67"/>
      <c r="V675" s="67"/>
      <c r="W675" s="67"/>
      <c r="X675" s="67"/>
      <c r="Y675" s="67"/>
      <c r="Z675" s="67"/>
    </row>
    <row r="676">
      <c r="A676" s="135"/>
      <c r="B676" s="125"/>
      <c r="C676" s="125"/>
      <c r="D676" s="125"/>
      <c r="E676" s="126"/>
      <c r="F676" s="67"/>
      <c r="G676" s="67"/>
      <c r="H676" s="67"/>
      <c r="I676" s="67"/>
      <c r="J676" s="67"/>
      <c r="K676" s="67"/>
      <c r="L676" s="67"/>
      <c r="M676" s="67"/>
      <c r="N676" s="67"/>
      <c r="O676" s="67"/>
      <c r="P676" s="67"/>
      <c r="Q676" s="67"/>
      <c r="R676" s="67"/>
      <c r="S676" s="67"/>
      <c r="T676" s="67"/>
      <c r="U676" s="67"/>
      <c r="V676" s="67"/>
      <c r="W676" s="67"/>
      <c r="X676" s="67"/>
      <c r="Y676" s="67"/>
      <c r="Z676" s="67"/>
    </row>
    <row r="677">
      <c r="A677" s="136"/>
      <c r="B677" s="131"/>
      <c r="C677" s="131"/>
      <c r="D677" s="131"/>
      <c r="E677" s="130"/>
      <c r="F677" s="67"/>
      <c r="G677" s="67"/>
      <c r="H677" s="67"/>
      <c r="I677" s="67"/>
      <c r="J677" s="67"/>
      <c r="K677" s="67"/>
      <c r="L677" s="67"/>
      <c r="M677" s="67"/>
      <c r="N677" s="67"/>
      <c r="O677" s="67"/>
      <c r="P677" s="67"/>
      <c r="Q677" s="67"/>
      <c r="R677" s="67"/>
      <c r="S677" s="67"/>
      <c r="T677" s="67"/>
      <c r="U677" s="67"/>
      <c r="V677" s="67"/>
      <c r="W677" s="67"/>
      <c r="X677" s="67"/>
      <c r="Y677" s="67"/>
      <c r="Z677" s="67"/>
    </row>
    <row r="678">
      <c r="A678" s="135"/>
      <c r="B678" s="125"/>
      <c r="C678" s="125"/>
      <c r="D678" s="125"/>
      <c r="E678" s="126"/>
      <c r="F678" s="67"/>
      <c r="G678" s="67"/>
      <c r="H678" s="67"/>
      <c r="I678" s="67"/>
      <c r="J678" s="67"/>
      <c r="K678" s="67"/>
      <c r="L678" s="67"/>
      <c r="M678" s="67"/>
      <c r="N678" s="67"/>
      <c r="O678" s="67"/>
      <c r="P678" s="67"/>
      <c r="Q678" s="67"/>
      <c r="R678" s="67"/>
      <c r="S678" s="67"/>
      <c r="T678" s="67"/>
      <c r="U678" s="67"/>
      <c r="V678" s="67"/>
      <c r="W678" s="67"/>
      <c r="X678" s="67"/>
      <c r="Y678" s="67"/>
      <c r="Z678" s="67"/>
    </row>
    <row r="679">
      <c r="A679" s="136"/>
      <c r="B679" s="131"/>
      <c r="C679" s="131"/>
      <c r="D679" s="131"/>
      <c r="E679" s="130"/>
      <c r="F679" s="67"/>
      <c r="G679" s="67"/>
      <c r="H679" s="67"/>
      <c r="I679" s="67"/>
      <c r="J679" s="67"/>
      <c r="K679" s="67"/>
      <c r="L679" s="67"/>
      <c r="M679" s="67"/>
      <c r="N679" s="67"/>
      <c r="O679" s="67"/>
      <c r="P679" s="67"/>
      <c r="Q679" s="67"/>
      <c r="R679" s="67"/>
      <c r="S679" s="67"/>
      <c r="T679" s="67"/>
      <c r="U679" s="67"/>
      <c r="V679" s="67"/>
      <c r="W679" s="67"/>
      <c r="X679" s="67"/>
      <c r="Y679" s="67"/>
      <c r="Z679" s="67"/>
    </row>
    <row r="680">
      <c r="A680" s="135"/>
      <c r="B680" s="125"/>
      <c r="C680" s="125"/>
      <c r="D680" s="125"/>
      <c r="E680" s="126"/>
      <c r="F680" s="67"/>
      <c r="G680" s="67"/>
      <c r="H680" s="67"/>
      <c r="I680" s="67"/>
      <c r="J680" s="67"/>
      <c r="K680" s="67"/>
      <c r="L680" s="67"/>
      <c r="M680" s="67"/>
      <c r="N680" s="67"/>
      <c r="O680" s="67"/>
      <c r="P680" s="67"/>
      <c r="Q680" s="67"/>
      <c r="R680" s="67"/>
      <c r="S680" s="67"/>
      <c r="T680" s="67"/>
      <c r="U680" s="67"/>
      <c r="V680" s="67"/>
      <c r="W680" s="67"/>
      <c r="X680" s="67"/>
      <c r="Y680" s="67"/>
      <c r="Z680" s="67"/>
    </row>
    <row r="681">
      <c r="A681" s="136"/>
      <c r="B681" s="131"/>
      <c r="C681" s="131"/>
      <c r="D681" s="131"/>
      <c r="E681" s="130"/>
      <c r="F681" s="67"/>
      <c r="G681" s="67"/>
      <c r="H681" s="67"/>
      <c r="I681" s="67"/>
      <c r="J681" s="67"/>
      <c r="K681" s="67"/>
      <c r="L681" s="67"/>
      <c r="M681" s="67"/>
      <c r="N681" s="67"/>
      <c r="O681" s="67"/>
      <c r="P681" s="67"/>
      <c r="Q681" s="67"/>
      <c r="R681" s="67"/>
      <c r="S681" s="67"/>
      <c r="T681" s="67"/>
      <c r="U681" s="67"/>
      <c r="V681" s="67"/>
      <c r="W681" s="67"/>
      <c r="X681" s="67"/>
      <c r="Y681" s="67"/>
      <c r="Z681" s="67"/>
    </row>
    <row r="682">
      <c r="A682" s="135"/>
      <c r="B682" s="125"/>
      <c r="C682" s="125"/>
      <c r="D682" s="125"/>
      <c r="E682" s="126"/>
      <c r="F682" s="67"/>
      <c r="G682" s="67"/>
      <c r="H682" s="67"/>
      <c r="I682" s="67"/>
      <c r="J682" s="67"/>
      <c r="K682" s="67"/>
      <c r="L682" s="67"/>
      <c r="M682" s="67"/>
      <c r="N682" s="67"/>
      <c r="O682" s="67"/>
      <c r="P682" s="67"/>
      <c r="Q682" s="67"/>
      <c r="R682" s="67"/>
      <c r="S682" s="67"/>
      <c r="T682" s="67"/>
      <c r="U682" s="67"/>
      <c r="V682" s="67"/>
      <c r="W682" s="67"/>
      <c r="X682" s="67"/>
      <c r="Y682" s="67"/>
      <c r="Z682" s="67"/>
    </row>
    <row r="683">
      <c r="A683" s="136"/>
      <c r="B683" s="131"/>
      <c r="C683" s="131"/>
      <c r="D683" s="131"/>
      <c r="E683" s="130"/>
      <c r="F683" s="67"/>
      <c r="G683" s="67"/>
      <c r="H683" s="67"/>
      <c r="I683" s="67"/>
      <c r="J683" s="67"/>
      <c r="K683" s="67"/>
      <c r="L683" s="67"/>
      <c r="M683" s="67"/>
      <c r="N683" s="67"/>
      <c r="O683" s="67"/>
      <c r="P683" s="67"/>
      <c r="Q683" s="67"/>
      <c r="R683" s="67"/>
      <c r="S683" s="67"/>
      <c r="T683" s="67"/>
      <c r="U683" s="67"/>
      <c r="V683" s="67"/>
      <c r="W683" s="67"/>
      <c r="X683" s="67"/>
      <c r="Y683" s="67"/>
      <c r="Z683" s="67"/>
    </row>
    <row r="684">
      <c r="A684" s="135"/>
      <c r="B684" s="125"/>
      <c r="C684" s="125"/>
      <c r="D684" s="125"/>
      <c r="E684" s="126"/>
      <c r="F684" s="67"/>
      <c r="G684" s="67"/>
      <c r="H684" s="67"/>
      <c r="I684" s="67"/>
      <c r="J684" s="67"/>
      <c r="K684" s="67"/>
      <c r="L684" s="67"/>
      <c r="M684" s="67"/>
      <c r="N684" s="67"/>
      <c r="O684" s="67"/>
      <c r="P684" s="67"/>
      <c r="Q684" s="67"/>
      <c r="R684" s="67"/>
      <c r="S684" s="67"/>
      <c r="T684" s="67"/>
      <c r="U684" s="67"/>
      <c r="V684" s="67"/>
      <c r="W684" s="67"/>
      <c r="X684" s="67"/>
      <c r="Y684" s="67"/>
      <c r="Z684" s="67"/>
    </row>
    <row r="685">
      <c r="A685" s="136"/>
      <c r="B685" s="131"/>
      <c r="C685" s="131"/>
      <c r="D685" s="131"/>
      <c r="E685" s="130"/>
      <c r="F685" s="67"/>
      <c r="G685" s="67"/>
      <c r="H685" s="67"/>
      <c r="I685" s="67"/>
      <c r="J685" s="67"/>
      <c r="K685" s="67"/>
      <c r="L685" s="67"/>
      <c r="M685" s="67"/>
      <c r="N685" s="67"/>
      <c r="O685" s="67"/>
      <c r="P685" s="67"/>
      <c r="Q685" s="67"/>
      <c r="R685" s="67"/>
      <c r="S685" s="67"/>
      <c r="T685" s="67"/>
      <c r="U685" s="67"/>
      <c r="V685" s="67"/>
      <c r="W685" s="67"/>
      <c r="X685" s="67"/>
      <c r="Y685" s="67"/>
      <c r="Z685" s="67"/>
    </row>
    <row r="686">
      <c r="A686" s="135"/>
      <c r="B686" s="125"/>
      <c r="C686" s="125"/>
      <c r="D686" s="125"/>
      <c r="E686" s="126"/>
      <c r="F686" s="67"/>
      <c r="G686" s="67"/>
      <c r="H686" s="67"/>
      <c r="I686" s="67"/>
      <c r="J686" s="67"/>
      <c r="K686" s="67"/>
      <c r="L686" s="67"/>
      <c r="M686" s="67"/>
      <c r="N686" s="67"/>
      <c r="O686" s="67"/>
      <c r="P686" s="67"/>
      <c r="Q686" s="67"/>
      <c r="R686" s="67"/>
      <c r="S686" s="67"/>
      <c r="T686" s="67"/>
      <c r="U686" s="67"/>
      <c r="V686" s="67"/>
      <c r="W686" s="67"/>
      <c r="X686" s="67"/>
      <c r="Y686" s="67"/>
      <c r="Z686" s="67"/>
    </row>
    <row r="687">
      <c r="A687" s="136"/>
      <c r="B687" s="131"/>
      <c r="C687" s="131"/>
      <c r="D687" s="131"/>
      <c r="E687" s="130"/>
      <c r="F687" s="67"/>
      <c r="G687" s="67"/>
      <c r="H687" s="67"/>
      <c r="I687" s="67"/>
      <c r="J687" s="67"/>
      <c r="K687" s="67"/>
      <c r="L687" s="67"/>
      <c r="M687" s="67"/>
      <c r="N687" s="67"/>
      <c r="O687" s="67"/>
      <c r="P687" s="67"/>
      <c r="Q687" s="67"/>
      <c r="R687" s="67"/>
      <c r="S687" s="67"/>
      <c r="T687" s="67"/>
      <c r="U687" s="67"/>
      <c r="V687" s="67"/>
      <c r="W687" s="67"/>
      <c r="X687" s="67"/>
      <c r="Y687" s="67"/>
      <c r="Z687" s="67"/>
    </row>
    <row r="688">
      <c r="A688" s="135"/>
      <c r="B688" s="125"/>
      <c r="C688" s="125"/>
      <c r="D688" s="125"/>
      <c r="E688" s="126"/>
      <c r="F688" s="67"/>
      <c r="G688" s="67"/>
      <c r="H688" s="67"/>
      <c r="I688" s="67"/>
      <c r="J688" s="67"/>
      <c r="K688" s="67"/>
      <c r="L688" s="67"/>
      <c r="M688" s="67"/>
      <c r="N688" s="67"/>
      <c r="O688" s="67"/>
      <c r="P688" s="67"/>
      <c r="Q688" s="67"/>
      <c r="R688" s="67"/>
      <c r="S688" s="67"/>
      <c r="T688" s="67"/>
      <c r="U688" s="67"/>
      <c r="V688" s="67"/>
      <c r="W688" s="67"/>
      <c r="X688" s="67"/>
      <c r="Y688" s="67"/>
      <c r="Z688" s="67"/>
    </row>
    <row r="689">
      <c r="A689" s="136"/>
      <c r="B689" s="131"/>
      <c r="C689" s="131"/>
      <c r="D689" s="131"/>
      <c r="E689" s="130"/>
      <c r="F689" s="67"/>
      <c r="G689" s="67"/>
      <c r="H689" s="67"/>
      <c r="I689" s="67"/>
      <c r="J689" s="67"/>
      <c r="K689" s="67"/>
      <c r="L689" s="67"/>
      <c r="M689" s="67"/>
      <c r="N689" s="67"/>
      <c r="O689" s="67"/>
      <c r="P689" s="67"/>
      <c r="Q689" s="67"/>
      <c r="R689" s="67"/>
      <c r="S689" s="67"/>
      <c r="T689" s="67"/>
      <c r="U689" s="67"/>
      <c r="V689" s="67"/>
      <c r="W689" s="67"/>
      <c r="X689" s="67"/>
      <c r="Y689" s="67"/>
      <c r="Z689" s="67"/>
    </row>
    <row r="690">
      <c r="A690" s="135"/>
      <c r="B690" s="125"/>
      <c r="C690" s="125"/>
      <c r="D690" s="125"/>
      <c r="E690" s="126"/>
      <c r="F690" s="67"/>
      <c r="G690" s="67"/>
      <c r="H690" s="67"/>
      <c r="I690" s="67"/>
      <c r="J690" s="67"/>
      <c r="K690" s="67"/>
      <c r="L690" s="67"/>
      <c r="M690" s="67"/>
      <c r="N690" s="67"/>
      <c r="O690" s="67"/>
      <c r="P690" s="67"/>
      <c r="Q690" s="67"/>
      <c r="R690" s="67"/>
      <c r="S690" s="67"/>
      <c r="T690" s="67"/>
      <c r="U690" s="67"/>
      <c r="V690" s="67"/>
      <c r="W690" s="67"/>
      <c r="X690" s="67"/>
      <c r="Y690" s="67"/>
      <c r="Z690" s="67"/>
    </row>
    <row r="691">
      <c r="A691" s="136"/>
      <c r="B691" s="131"/>
      <c r="C691" s="131"/>
      <c r="D691" s="131"/>
      <c r="E691" s="130"/>
      <c r="F691" s="67"/>
      <c r="G691" s="67"/>
      <c r="H691" s="67"/>
      <c r="I691" s="67"/>
      <c r="J691" s="67"/>
      <c r="K691" s="67"/>
      <c r="L691" s="67"/>
      <c r="M691" s="67"/>
      <c r="N691" s="67"/>
      <c r="O691" s="67"/>
      <c r="P691" s="67"/>
      <c r="Q691" s="67"/>
      <c r="R691" s="67"/>
      <c r="S691" s="67"/>
      <c r="T691" s="67"/>
      <c r="U691" s="67"/>
      <c r="V691" s="67"/>
      <c r="W691" s="67"/>
      <c r="X691" s="67"/>
      <c r="Y691" s="67"/>
      <c r="Z691" s="67"/>
    </row>
    <row r="692">
      <c r="A692" s="135"/>
      <c r="B692" s="125"/>
      <c r="C692" s="125"/>
      <c r="D692" s="125"/>
      <c r="E692" s="126"/>
      <c r="F692" s="67"/>
      <c r="G692" s="67"/>
      <c r="H692" s="67"/>
      <c r="I692" s="67"/>
      <c r="J692" s="67"/>
      <c r="K692" s="67"/>
      <c r="L692" s="67"/>
      <c r="M692" s="67"/>
      <c r="N692" s="67"/>
      <c r="O692" s="67"/>
      <c r="P692" s="67"/>
      <c r="Q692" s="67"/>
      <c r="R692" s="67"/>
      <c r="S692" s="67"/>
      <c r="T692" s="67"/>
      <c r="U692" s="67"/>
      <c r="V692" s="67"/>
      <c r="W692" s="67"/>
      <c r="X692" s="67"/>
      <c r="Y692" s="67"/>
      <c r="Z692" s="67"/>
    </row>
    <row r="693">
      <c r="A693" s="136"/>
      <c r="B693" s="131"/>
      <c r="C693" s="131"/>
      <c r="D693" s="131"/>
      <c r="E693" s="130"/>
      <c r="F693" s="67"/>
      <c r="G693" s="67"/>
      <c r="H693" s="67"/>
      <c r="I693" s="67"/>
      <c r="J693" s="67"/>
      <c r="K693" s="67"/>
      <c r="L693" s="67"/>
      <c r="M693" s="67"/>
      <c r="N693" s="67"/>
      <c r="O693" s="67"/>
      <c r="P693" s="67"/>
      <c r="Q693" s="67"/>
      <c r="R693" s="67"/>
      <c r="S693" s="67"/>
      <c r="T693" s="67"/>
      <c r="U693" s="67"/>
      <c r="V693" s="67"/>
      <c r="W693" s="67"/>
      <c r="X693" s="67"/>
      <c r="Y693" s="67"/>
      <c r="Z693" s="67"/>
    </row>
    <row r="694">
      <c r="A694" s="135"/>
      <c r="B694" s="125"/>
      <c r="C694" s="125"/>
      <c r="D694" s="125"/>
      <c r="E694" s="126"/>
      <c r="F694" s="67"/>
      <c r="G694" s="67"/>
      <c r="H694" s="67"/>
      <c r="I694" s="67"/>
      <c r="J694" s="67"/>
      <c r="K694" s="67"/>
      <c r="L694" s="67"/>
      <c r="M694" s="67"/>
      <c r="N694" s="67"/>
      <c r="O694" s="67"/>
      <c r="P694" s="67"/>
      <c r="Q694" s="67"/>
      <c r="R694" s="67"/>
      <c r="S694" s="67"/>
      <c r="T694" s="67"/>
      <c r="U694" s="67"/>
      <c r="V694" s="67"/>
      <c r="W694" s="67"/>
      <c r="X694" s="67"/>
      <c r="Y694" s="67"/>
      <c r="Z694" s="67"/>
    </row>
    <row r="695">
      <c r="A695" s="136"/>
      <c r="B695" s="131"/>
      <c r="C695" s="131"/>
      <c r="D695" s="131"/>
      <c r="E695" s="130"/>
      <c r="F695" s="67"/>
      <c r="G695" s="67"/>
      <c r="H695" s="67"/>
      <c r="I695" s="67"/>
      <c r="J695" s="67"/>
      <c r="K695" s="67"/>
      <c r="L695" s="67"/>
      <c r="M695" s="67"/>
      <c r="N695" s="67"/>
      <c r="O695" s="67"/>
      <c r="P695" s="67"/>
      <c r="Q695" s="67"/>
      <c r="R695" s="67"/>
      <c r="S695" s="67"/>
      <c r="T695" s="67"/>
      <c r="U695" s="67"/>
      <c r="V695" s="67"/>
      <c r="W695" s="67"/>
      <c r="X695" s="67"/>
      <c r="Y695" s="67"/>
      <c r="Z695" s="67"/>
    </row>
    <row r="696">
      <c r="A696" s="135"/>
      <c r="B696" s="125"/>
      <c r="C696" s="125"/>
      <c r="D696" s="125"/>
      <c r="E696" s="126"/>
      <c r="F696" s="67"/>
      <c r="G696" s="67"/>
      <c r="H696" s="67"/>
      <c r="I696" s="67"/>
      <c r="J696" s="67"/>
      <c r="K696" s="67"/>
      <c r="L696" s="67"/>
      <c r="M696" s="67"/>
      <c r="N696" s="67"/>
      <c r="O696" s="67"/>
      <c r="P696" s="67"/>
      <c r="Q696" s="67"/>
      <c r="R696" s="67"/>
      <c r="S696" s="67"/>
      <c r="T696" s="67"/>
      <c r="U696" s="67"/>
      <c r="V696" s="67"/>
      <c r="W696" s="67"/>
      <c r="X696" s="67"/>
      <c r="Y696" s="67"/>
      <c r="Z696" s="67"/>
    </row>
    <row r="697">
      <c r="A697" s="136"/>
      <c r="B697" s="131"/>
      <c r="C697" s="131"/>
      <c r="D697" s="131"/>
      <c r="E697" s="130"/>
      <c r="F697" s="67"/>
      <c r="G697" s="67"/>
      <c r="H697" s="67"/>
      <c r="I697" s="67"/>
      <c r="J697" s="67"/>
      <c r="K697" s="67"/>
      <c r="L697" s="67"/>
      <c r="M697" s="67"/>
      <c r="N697" s="67"/>
      <c r="O697" s="67"/>
      <c r="P697" s="67"/>
      <c r="Q697" s="67"/>
      <c r="R697" s="67"/>
      <c r="S697" s="67"/>
      <c r="T697" s="67"/>
      <c r="U697" s="67"/>
      <c r="V697" s="67"/>
      <c r="W697" s="67"/>
      <c r="X697" s="67"/>
      <c r="Y697" s="67"/>
      <c r="Z697" s="67"/>
    </row>
    <row r="698">
      <c r="A698" s="135"/>
      <c r="B698" s="125"/>
      <c r="C698" s="125"/>
      <c r="D698" s="125"/>
      <c r="E698" s="126"/>
      <c r="F698" s="67"/>
      <c r="G698" s="67"/>
      <c r="H698" s="67"/>
      <c r="I698" s="67"/>
      <c r="J698" s="67"/>
      <c r="K698" s="67"/>
      <c r="L698" s="67"/>
      <c r="M698" s="67"/>
      <c r="N698" s="67"/>
      <c r="O698" s="67"/>
      <c r="P698" s="67"/>
      <c r="Q698" s="67"/>
      <c r="R698" s="67"/>
      <c r="S698" s="67"/>
      <c r="T698" s="67"/>
      <c r="U698" s="67"/>
      <c r="V698" s="67"/>
      <c r="W698" s="67"/>
      <c r="X698" s="67"/>
      <c r="Y698" s="67"/>
      <c r="Z698" s="67"/>
    </row>
    <row r="699">
      <c r="A699" s="136"/>
      <c r="B699" s="131"/>
      <c r="C699" s="131"/>
      <c r="D699" s="131"/>
      <c r="E699" s="130"/>
      <c r="F699" s="67"/>
      <c r="G699" s="67"/>
      <c r="H699" s="67"/>
      <c r="I699" s="67"/>
      <c r="J699" s="67"/>
      <c r="K699" s="67"/>
      <c r="L699" s="67"/>
      <c r="M699" s="67"/>
      <c r="N699" s="67"/>
      <c r="O699" s="67"/>
      <c r="P699" s="67"/>
      <c r="Q699" s="67"/>
      <c r="R699" s="67"/>
      <c r="S699" s="67"/>
      <c r="T699" s="67"/>
      <c r="U699" s="67"/>
      <c r="V699" s="67"/>
      <c r="W699" s="67"/>
      <c r="X699" s="67"/>
      <c r="Y699" s="67"/>
      <c r="Z699" s="67"/>
    </row>
    <row r="700">
      <c r="A700" s="135"/>
      <c r="B700" s="125"/>
      <c r="C700" s="125"/>
      <c r="D700" s="125"/>
      <c r="E700" s="126"/>
      <c r="F700" s="67"/>
      <c r="G700" s="67"/>
      <c r="H700" s="67"/>
      <c r="I700" s="67"/>
      <c r="J700" s="67"/>
      <c r="K700" s="67"/>
      <c r="L700" s="67"/>
      <c r="M700" s="67"/>
      <c r="N700" s="67"/>
      <c r="O700" s="67"/>
      <c r="P700" s="67"/>
      <c r="Q700" s="67"/>
      <c r="R700" s="67"/>
      <c r="S700" s="67"/>
      <c r="T700" s="67"/>
      <c r="U700" s="67"/>
      <c r="V700" s="67"/>
      <c r="W700" s="67"/>
      <c r="X700" s="67"/>
      <c r="Y700" s="67"/>
      <c r="Z700" s="67"/>
    </row>
    <row r="701">
      <c r="A701" s="136"/>
      <c r="B701" s="131"/>
      <c r="C701" s="131"/>
      <c r="D701" s="131"/>
      <c r="E701" s="130"/>
      <c r="F701" s="67"/>
      <c r="G701" s="67"/>
      <c r="H701" s="67"/>
      <c r="I701" s="67"/>
      <c r="J701" s="67"/>
      <c r="K701" s="67"/>
      <c r="L701" s="67"/>
      <c r="M701" s="67"/>
      <c r="N701" s="67"/>
      <c r="O701" s="67"/>
      <c r="P701" s="67"/>
      <c r="Q701" s="67"/>
      <c r="R701" s="67"/>
      <c r="S701" s="67"/>
      <c r="T701" s="67"/>
      <c r="U701" s="67"/>
      <c r="V701" s="67"/>
      <c r="W701" s="67"/>
      <c r="X701" s="67"/>
      <c r="Y701" s="67"/>
      <c r="Z701" s="67"/>
    </row>
    <row r="702">
      <c r="A702" s="135"/>
      <c r="B702" s="125"/>
      <c r="C702" s="125"/>
      <c r="D702" s="125"/>
      <c r="E702" s="126"/>
      <c r="F702" s="67"/>
      <c r="G702" s="67"/>
      <c r="H702" s="67"/>
      <c r="I702" s="67"/>
      <c r="J702" s="67"/>
      <c r="K702" s="67"/>
      <c r="L702" s="67"/>
      <c r="M702" s="67"/>
      <c r="N702" s="67"/>
      <c r="O702" s="67"/>
      <c r="P702" s="67"/>
      <c r="Q702" s="67"/>
      <c r="R702" s="67"/>
      <c r="S702" s="67"/>
      <c r="T702" s="67"/>
      <c r="U702" s="67"/>
      <c r="V702" s="67"/>
      <c r="W702" s="67"/>
      <c r="X702" s="67"/>
      <c r="Y702" s="67"/>
      <c r="Z702" s="67"/>
    </row>
    <row r="703">
      <c r="A703" s="136"/>
      <c r="B703" s="131"/>
      <c r="C703" s="131"/>
      <c r="D703" s="131"/>
      <c r="E703" s="130"/>
      <c r="F703" s="67"/>
      <c r="G703" s="67"/>
      <c r="H703" s="67"/>
      <c r="I703" s="67"/>
      <c r="J703" s="67"/>
      <c r="K703" s="67"/>
      <c r="L703" s="67"/>
      <c r="M703" s="67"/>
      <c r="N703" s="67"/>
      <c r="O703" s="67"/>
      <c r="P703" s="67"/>
      <c r="Q703" s="67"/>
      <c r="R703" s="67"/>
      <c r="S703" s="67"/>
      <c r="T703" s="67"/>
      <c r="U703" s="67"/>
      <c r="V703" s="67"/>
      <c r="W703" s="67"/>
      <c r="X703" s="67"/>
      <c r="Y703" s="67"/>
      <c r="Z703" s="67"/>
    </row>
    <row r="704">
      <c r="A704" s="135"/>
      <c r="B704" s="125"/>
      <c r="C704" s="125"/>
      <c r="D704" s="125"/>
      <c r="E704" s="126"/>
      <c r="F704" s="67"/>
      <c r="G704" s="67"/>
      <c r="H704" s="67"/>
      <c r="I704" s="67"/>
      <c r="J704" s="67"/>
      <c r="K704" s="67"/>
      <c r="L704" s="67"/>
      <c r="M704" s="67"/>
      <c r="N704" s="67"/>
      <c r="O704" s="67"/>
      <c r="P704" s="67"/>
      <c r="Q704" s="67"/>
      <c r="R704" s="67"/>
      <c r="S704" s="67"/>
      <c r="T704" s="67"/>
      <c r="U704" s="67"/>
      <c r="V704" s="67"/>
      <c r="W704" s="67"/>
      <c r="X704" s="67"/>
      <c r="Y704" s="67"/>
      <c r="Z704" s="67"/>
    </row>
    <row r="705">
      <c r="A705" s="136"/>
      <c r="B705" s="131"/>
      <c r="C705" s="131"/>
      <c r="D705" s="131"/>
      <c r="E705" s="130"/>
      <c r="F705" s="67"/>
      <c r="G705" s="67"/>
      <c r="H705" s="67"/>
      <c r="I705" s="67"/>
      <c r="J705" s="67"/>
      <c r="K705" s="67"/>
      <c r="L705" s="67"/>
      <c r="M705" s="67"/>
      <c r="N705" s="67"/>
      <c r="O705" s="67"/>
      <c r="P705" s="67"/>
      <c r="Q705" s="67"/>
      <c r="R705" s="67"/>
      <c r="S705" s="67"/>
      <c r="T705" s="67"/>
      <c r="U705" s="67"/>
      <c r="V705" s="67"/>
      <c r="W705" s="67"/>
      <c r="X705" s="67"/>
      <c r="Y705" s="67"/>
      <c r="Z705" s="67"/>
    </row>
    <row r="706">
      <c r="A706" s="135"/>
      <c r="B706" s="125"/>
      <c r="C706" s="125"/>
      <c r="D706" s="125"/>
      <c r="E706" s="126"/>
      <c r="F706" s="67"/>
      <c r="G706" s="67"/>
      <c r="H706" s="67"/>
      <c r="I706" s="67"/>
      <c r="J706" s="67"/>
      <c r="K706" s="67"/>
      <c r="L706" s="67"/>
      <c r="M706" s="67"/>
      <c r="N706" s="67"/>
      <c r="O706" s="67"/>
      <c r="P706" s="67"/>
      <c r="Q706" s="67"/>
      <c r="R706" s="67"/>
      <c r="S706" s="67"/>
      <c r="T706" s="67"/>
      <c r="U706" s="67"/>
      <c r="V706" s="67"/>
      <c r="W706" s="67"/>
      <c r="X706" s="67"/>
      <c r="Y706" s="67"/>
      <c r="Z706" s="67"/>
    </row>
    <row r="707">
      <c r="A707" s="136"/>
      <c r="B707" s="131"/>
      <c r="C707" s="131"/>
      <c r="D707" s="131"/>
      <c r="E707" s="130"/>
      <c r="F707" s="67"/>
      <c r="G707" s="67"/>
      <c r="H707" s="67"/>
      <c r="I707" s="67"/>
      <c r="J707" s="67"/>
      <c r="K707" s="67"/>
      <c r="L707" s="67"/>
      <c r="M707" s="67"/>
      <c r="N707" s="67"/>
      <c r="O707" s="67"/>
      <c r="P707" s="67"/>
      <c r="Q707" s="67"/>
      <c r="R707" s="67"/>
      <c r="S707" s="67"/>
      <c r="T707" s="67"/>
      <c r="U707" s="67"/>
      <c r="V707" s="67"/>
      <c r="W707" s="67"/>
      <c r="X707" s="67"/>
      <c r="Y707" s="67"/>
      <c r="Z707" s="67"/>
    </row>
    <row r="708">
      <c r="A708" s="135"/>
      <c r="B708" s="125"/>
      <c r="C708" s="125"/>
      <c r="D708" s="125"/>
      <c r="E708" s="126"/>
      <c r="F708" s="67"/>
      <c r="G708" s="67"/>
      <c r="H708" s="67"/>
      <c r="I708" s="67"/>
      <c r="J708" s="67"/>
      <c r="K708" s="67"/>
      <c r="L708" s="67"/>
      <c r="M708" s="67"/>
      <c r="N708" s="67"/>
      <c r="O708" s="67"/>
      <c r="P708" s="67"/>
      <c r="Q708" s="67"/>
      <c r="R708" s="67"/>
      <c r="S708" s="67"/>
      <c r="T708" s="67"/>
      <c r="U708" s="67"/>
      <c r="V708" s="67"/>
      <c r="W708" s="67"/>
      <c r="X708" s="67"/>
      <c r="Y708" s="67"/>
      <c r="Z708" s="67"/>
    </row>
    <row r="709">
      <c r="A709" s="136"/>
      <c r="B709" s="131"/>
      <c r="C709" s="131"/>
      <c r="D709" s="131"/>
      <c r="E709" s="130"/>
      <c r="F709" s="67"/>
      <c r="G709" s="67"/>
      <c r="H709" s="67"/>
      <c r="I709" s="67"/>
      <c r="J709" s="67"/>
      <c r="K709" s="67"/>
      <c r="L709" s="67"/>
      <c r="M709" s="67"/>
      <c r="N709" s="67"/>
      <c r="O709" s="67"/>
      <c r="P709" s="67"/>
      <c r="Q709" s="67"/>
      <c r="R709" s="67"/>
      <c r="S709" s="67"/>
      <c r="T709" s="67"/>
      <c r="U709" s="67"/>
      <c r="V709" s="67"/>
      <c r="W709" s="67"/>
      <c r="X709" s="67"/>
      <c r="Y709" s="67"/>
      <c r="Z709" s="67"/>
    </row>
    <row r="710">
      <c r="A710" s="135"/>
      <c r="B710" s="125"/>
      <c r="C710" s="125"/>
      <c r="D710" s="125"/>
      <c r="E710" s="126"/>
      <c r="F710" s="67"/>
      <c r="G710" s="67"/>
      <c r="H710" s="67"/>
      <c r="I710" s="67"/>
      <c r="J710" s="67"/>
      <c r="K710" s="67"/>
      <c r="L710" s="67"/>
      <c r="M710" s="67"/>
      <c r="N710" s="67"/>
      <c r="O710" s="67"/>
      <c r="P710" s="67"/>
      <c r="Q710" s="67"/>
      <c r="R710" s="67"/>
      <c r="S710" s="67"/>
      <c r="T710" s="67"/>
      <c r="U710" s="67"/>
      <c r="V710" s="67"/>
      <c r="W710" s="67"/>
      <c r="X710" s="67"/>
      <c r="Y710" s="67"/>
      <c r="Z710" s="67"/>
    </row>
    <row r="711">
      <c r="A711" s="136"/>
      <c r="B711" s="131"/>
      <c r="C711" s="131"/>
      <c r="D711" s="131"/>
      <c r="E711" s="130"/>
      <c r="F711" s="67"/>
      <c r="G711" s="67"/>
      <c r="H711" s="67"/>
      <c r="I711" s="67"/>
      <c r="J711" s="67"/>
      <c r="K711" s="67"/>
      <c r="L711" s="67"/>
      <c r="M711" s="67"/>
      <c r="N711" s="67"/>
      <c r="O711" s="67"/>
      <c r="P711" s="67"/>
      <c r="Q711" s="67"/>
      <c r="R711" s="67"/>
      <c r="S711" s="67"/>
      <c r="T711" s="67"/>
      <c r="U711" s="67"/>
      <c r="V711" s="67"/>
      <c r="W711" s="67"/>
      <c r="X711" s="67"/>
      <c r="Y711" s="67"/>
      <c r="Z711" s="67"/>
    </row>
    <row r="712">
      <c r="A712" s="135"/>
      <c r="B712" s="125"/>
      <c r="C712" s="125"/>
      <c r="D712" s="125"/>
      <c r="E712" s="126"/>
      <c r="F712" s="67"/>
      <c r="G712" s="67"/>
      <c r="H712" s="67"/>
      <c r="I712" s="67"/>
      <c r="J712" s="67"/>
      <c r="K712" s="67"/>
      <c r="L712" s="67"/>
      <c r="M712" s="67"/>
      <c r="N712" s="67"/>
      <c r="O712" s="67"/>
      <c r="P712" s="67"/>
      <c r="Q712" s="67"/>
      <c r="R712" s="67"/>
      <c r="S712" s="67"/>
      <c r="T712" s="67"/>
      <c r="U712" s="67"/>
      <c r="V712" s="67"/>
      <c r="W712" s="67"/>
      <c r="X712" s="67"/>
      <c r="Y712" s="67"/>
      <c r="Z712" s="67"/>
    </row>
    <row r="713">
      <c r="A713" s="136"/>
      <c r="B713" s="131"/>
      <c r="C713" s="131"/>
      <c r="D713" s="131"/>
      <c r="E713" s="130"/>
      <c r="F713" s="67"/>
      <c r="G713" s="67"/>
      <c r="H713" s="67"/>
      <c r="I713" s="67"/>
      <c r="J713" s="67"/>
      <c r="K713" s="67"/>
      <c r="L713" s="67"/>
      <c r="M713" s="67"/>
      <c r="N713" s="67"/>
      <c r="O713" s="67"/>
      <c r="P713" s="67"/>
      <c r="Q713" s="67"/>
      <c r="R713" s="67"/>
      <c r="S713" s="67"/>
      <c r="T713" s="67"/>
      <c r="U713" s="67"/>
      <c r="V713" s="67"/>
      <c r="W713" s="67"/>
      <c r="X713" s="67"/>
      <c r="Y713" s="67"/>
      <c r="Z713" s="67"/>
    </row>
    <row r="714">
      <c r="A714" s="135"/>
      <c r="B714" s="125"/>
      <c r="C714" s="125"/>
      <c r="D714" s="125"/>
      <c r="E714" s="126"/>
      <c r="F714" s="67"/>
      <c r="G714" s="67"/>
      <c r="H714" s="67"/>
      <c r="I714" s="67"/>
      <c r="J714" s="67"/>
      <c r="K714" s="67"/>
      <c r="L714" s="67"/>
      <c r="M714" s="67"/>
      <c r="N714" s="67"/>
      <c r="O714" s="67"/>
      <c r="P714" s="67"/>
      <c r="Q714" s="67"/>
      <c r="R714" s="67"/>
      <c r="S714" s="67"/>
      <c r="T714" s="67"/>
      <c r="U714" s="67"/>
      <c r="V714" s="67"/>
      <c r="W714" s="67"/>
      <c r="X714" s="67"/>
      <c r="Y714" s="67"/>
      <c r="Z714" s="67"/>
    </row>
    <row r="715">
      <c r="A715" s="136"/>
      <c r="B715" s="131"/>
      <c r="C715" s="131"/>
      <c r="D715" s="131"/>
      <c r="E715" s="130"/>
      <c r="F715" s="67"/>
      <c r="G715" s="67"/>
      <c r="H715" s="67"/>
      <c r="I715" s="67"/>
      <c r="J715" s="67"/>
      <c r="K715" s="67"/>
      <c r="L715" s="67"/>
      <c r="M715" s="67"/>
      <c r="N715" s="67"/>
      <c r="O715" s="67"/>
      <c r="P715" s="67"/>
      <c r="Q715" s="67"/>
      <c r="R715" s="67"/>
      <c r="S715" s="67"/>
      <c r="T715" s="67"/>
      <c r="U715" s="67"/>
      <c r="V715" s="67"/>
      <c r="W715" s="67"/>
      <c r="X715" s="67"/>
      <c r="Y715" s="67"/>
      <c r="Z715" s="67"/>
    </row>
    <row r="716">
      <c r="A716" s="135"/>
      <c r="B716" s="125"/>
      <c r="C716" s="125"/>
      <c r="D716" s="125"/>
      <c r="E716" s="126"/>
      <c r="F716" s="67"/>
      <c r="G716" s="67"/>
      <c r="H716" s="67"/>
      <c r="I716" s="67"/>
      <c r="J716" s="67"/>
      <c r="K716" s="67"/>
      <c r="L716" s="67"/>
      <c r="M716" s="67"/>
      <c r="N716" s="67"/>
      <c r="O716" s="67"/>
      <c r="P716" s="67"/>
      <c r="Q716" s="67"/>
      <c r="R716" s="67"/>
      <c r="S716" s="67"/>
      <c r="T716" s="67"/>
      <c r="U716" s="67"/>
      <c r="V716" s="67"/>
      <c r="W716" s="67"/>
      <c r="X716" s="67"/>
      <c r="Y716" s="67"/>
      <c r="Z716" s="67"/>
    </row>
    <row r="717">
      <c r="A717" s="136"/>
      <c r="B717" s="131"/>
      <c r="C717" s="131"/>
      <c r="D717" s="131"/>
      <c r="E717" s="130"/>
      <c r="F717" s="67"/>
      <c r="G717" s="67"/>
      <c r="H717" s="67"/>
      <c r="I717" s="67"/>
      <c r="J717" s="67"/>
      <c r="K717" s="67"/>
      <c r="L717" s="67"/>
      <c r="M717" s="67"/>
      <c r="N717" s="67"/>
      <c r="O717" s="67"/>
      <c r="P717" s="67"/>
      <c r="Q717" s="67"/>
      <c r="R717" s="67"/>
      <c r="S717" s="67"/>
      <c r="T717" s="67"/>
      <c r="U717" s="67"/>
      <c r="V717" s="67"/>
      <c r="W717" s="67"/>
      <c r="X717" s="67"/>
      <c r="Y717" s="67"/>
      <c r="Z717" s="67"/>
    </row>
    <row r="718">
      <c r="A718" s="135"/>
      <c r="B718" s="125"/>
      <c r="C718" s="125"/>
      <c r="D718" s="125"/>
      <c r="E718" s="126"/>
      <c r="F718" s="67"/>
      <c r="G718" s="67"/>
      <c r="H718" s="67"/>
      <c r="I718" s="67"/>
      <c r="J718" s="67"/>
      <c r="K718" s="67"/>
      <c r="L718" s="67"/>
      <c r="M718" s="67"/>
      <c r="N718" s="67"/>
      <c r="O718" s="67"/>
      <c r="P718" s="67"/>
      <c r="Q718" s="67"/>
      <c r="R718" s="67"/>
      <c r="S718" s="67"/>
      <c r="T718" s="67"/>
      <c r="U718" s="67"/>
      <c r="V718" s="67"/>
      <c r="W718" s="67"/>
      <c r="X718" s="67"/>
      <c r="Y718" s="67"/>
      <c r="Z718" s="67"/>
    </row>
    <row r="719">
      <c r="A719" s="136"/>
      <c r="B719" s="131"/>
      <c r="C719" s="131"/>
      <c r="D719" s="131"/>
      <c r="E719" s="130"/>
      <c r="F719" s="67"/>
      <c r="G719" s="67"/>
      <c r="H719" s="67"/>
      <c r="I719" s="67"/>
      <c r="J719" s="67"/>
      <c r="K719" s="67"/>
      <c r="L719" s="67"/>
      <c r="M719" s="67"/>
      <c r="N719" s="67"/>
      <c r="O719" s="67"/>
      <c r="P719" s="67"/>
      <c r="Q719" s="67"/>
      <c r="R719" s="67"/>
      <c r="S719" s="67"/>
      <c r="T719" s="67"/>
      <c r="U719" s="67"/>
      <c r="V719" s="67"/>
      <c r="W719" s="67"/>
      <c r="X719" s="67"/>
      <c r="Y719" s="67"/>
      <c r="Z719" s="67"/>
    </row>
    <row r="720">
      <c r="A720" s="135"/>
      <c r="B720" s="125"/>
      <c r="C720" s="125"/>
      <c r="D720" s="125"/>
      <c r="E720" s="126"/>
      <c r="F720" s="67"/>
      <c r="G720" s="67"/>
      <c r="H720" s="67"/>
      <c r="I720" s="67"/>
      <c r="J720" s="67"/>
      <c r="K720" s="67"/>
      <c r="L720" s="67"/>
      <c r="M720" s="67"/>
      <c r="N720" s="67"/>
      <c r="O720" s="67"/>
      <c r="P720" s="67"/>
      <c r="Q720" s="67"/>
      <c r="R720" s="67"/>
      <c r="S720" s="67"/>
      <c r="T720" s="67"/>
      <c r="U720" s="67"/>
      <c r="V720" s="67"/>
      <c r="W720" s="67"/>
      <c r="X720" s="67"/>
      <c r="Y720" s="67"/>
      <c r="Z720" s="67"/>
    </row>
    <row r="721">
      <c r="A721" s="136"/>
      <c r="B721" s="131"/>
      <c r="C721" s="131"/>
      <c r="D721" s="131"/>
      <c r="E721" s="130"/>
      <c r="F721" s="67"/>
      <c r="G721" s="67"/>
      <c r="H721" s="67"/>
      <c r="I721" s="67"/>
      <c r="J721" s="67"/>
      <c r="K721" s="67"/>
      <c r="L721" s="67"/>
      <c r="M721" s="67"/>
      <c r="N721" s="67"/>
      <c r="O721" s="67"/>
      <c r="P721" s="67"/>
      <c r="Q721" s="67"/>
      <c r="R721" s="67"/>
      <c r="S721" s="67"/>
      <c r="T721" s="67"/>
      <c r="U721" s="67"/>
      <c r="V721" s="67"/>
      <c r="W721" s="67"/>
      <c r="X721" s="67"/>
      <c r="Y721" s="67"/>
      <c r="Z721" s="67"/>
    </row>
    <row r="722">
      <c r="A722" s="135"/>
      <c r="B722" s="125"/>
      <c r="C722" s="125"/>
      <c r="D722" s="125"/>
      <c r="E722" s="126"/>
      <c r="F722" s="67"/>
      <c r="G722" s="67"/>
      <c r="H722" s="67"/>
      <c r="I722" s="67"/>
      <c r="J722" s="67"/>
      <c r="K722" s="67"/>
      <c r="L722" s="67"/>
      <c r="M722" s="67"/>
      <c r="N722" s="67"/>
      <c r="O722" s="67"/>
      <c r="P722" s="67"/>
      <c r="Q722" s="67"/>
      <c r="R722" s="67"/>
      <c r="S722" s="67"/>
      <c r="T722" s="67"/>
      <c r="U722" s="67"/>
      <c r="V722" s="67"/>
      <c r="W722" s="67"/>
      <c r="X722" s="67"/>
      <c r="Y722" s="67"/>
      <c r="Z722" s="67"/>
    </row>
    <row r="723">
      <c r="A723" s="136"/>
      <c r="B723" s="131"/>
      <c r="C723" s="131"/>
      <c r="D723" s="131"/>
      <c r="E723" s="130"/>
      <c r="F723" s="67"/>
      <c r="G723" s="67"/>
      <c r="H723" s="67"/>
      <c r="I723" s="67"/>
      <c r="J723" s="67"/>
      <c r="K723" s="67"/>
      <c r="L723" s="67"/>
      <c r="M723" s="67"/>
      <c r="N723" s="67"/>
      <c r="O723" s="67"/>
      <c r="P723" s="67"/>
      <c r="Q723" s="67"/>
      <c r="R723" s="67"/>
      <c r="S723" s="67"/>
      <c r="T723" s="67"/>
      <c r="U723" s="67"/>
      <c r="V723" s="67"/>
      <c r="W723" s="67"/>
      <c r="X723" s="67"/>
      <c r="Y723" s="67"/>
      <c r="Z723" s="67"/>
    </row>
    <row r="724">
      <c r="A724" s="135"/>
      <c r="B724" s="125"/>
      <c r="C724" s="125"/>
      <c r="D724" s="125"/>
      <c r="E724" s="126"/>
      <c r="F724" s="67"/>
      <c r="G724" s="67"/>
      <c r="H724" s="67"/>
      <c r="I724" s="67"/>
      <c r="J724" s="67"/>
      <c r="K724" s="67"/>
      <c r="L724" s="67"/>
      <c r="M724" s="67"/>
      <c r="N724" s="67"/>
      <c r="O724" s="67"/>
      <c r="P724" s="67"/>
      <c r="Q724" s="67"/>
      <c r="R724" s="67"/>
      <c r="S724" s="67"/>
      <c r="T724" s="67"/>
      <c r="U724" s="67"/>
      <c r="V724" s="67"/>
      <c r="W724" s="67"/>
      <c r="X724" s="67"/>
      <c r="Y724" s="67"/>
      <c r="Z724" s="67"/>
    </row>
    <row r="725">
      <c r="A725" s="136"/>
      <c r="B725" s="131"/>
      <c r="C725" s="131"/>
      <c r="D725" s="131"/>
      <c r="E725" s="130"/>
      <c r="F725" s="67"/>
      <c r="G725" s="67"/>
      <c r="H725" s="67"/>
      <c r="I725" s="67"/>
      <c r="J725" s="67"/>
      <c r="K725" s="67"/>
      <c r="L725" s="67"/>
      <c r="M725" s="67"/>
      <c r="N725" s="67"/>
      <c r="O725" s="67"/>
      <c r="P725" s="67"/>
      <c r="Q725" s="67"/>
      <c r="R725" s="67"/>
      <c r="S725" s="67"/>
      <c r="T725" s="67"/>
      <c r="U725" s="67"/>
      <c r="V725" s="67"/>
      <c r="W725" s="67"/>
      <c r="X725" s="67"/>
      <c r="Y725" s="67"/>
      <c r="Z725" s="67"/>
    </row>
    <row r="726">
      <c r="A726" s="135"/>
      <c r="B726" s="125"/>
      <c r="C726" s="125"/>
      <c r="D726" s="125"/>
      <c r="E726" s="126"/>
      <c r="F726" s="67"/>
      <c r="G726" s="67"/>
      <c r="H726" s="67"/>
      <c r="I726" s="67"/>
      <c r="J726" s="67"/>
      <c r="K726" s="67"/>
      <c r="L726" s="67"/>
      <c r="M726" s="67"/>
      <c r="N726" s="67"/>
      <c r="O726" s="67"/>
      <c r="P726" s="67"/>
      <c r="Q726" s="67"/>
      <c r="R726" s="67"/>
      <c r="S726" s="67"/>
      <c r="T726" s="67"/>
      <c r="U726" s="67"/>
      <c r="V726" s="67"/>
      <c r="W726" s="67"/>
      <c r="X726" s="67"/>
      <c r="Y726" s="67"/>
      <c r="Z726" s="67"/>
    </row>
    <row r="727">
      <c r="A727" s="136"/>
      <c r="B727" s="131"/>
      <c r="C727" s="131"/>
      <c r="D727" s="131"/>
      <c r="E727" s="130"/>
      <c r="F727" s="67"/>
      <c r="G727" s="67"/>
      <c r="H727" s="67"/>
      <c r="I727" s="67"/>
      <c r="J727" s="67"/>
      <c r="K727" s="67"/>
      <c r="L727" s="67"/>
      <c r="M727" s="67"/>
      <c r="N727" s="67"/>
      <c r="O727" s="67"/>
      <c r="P727" s="67"/>
      <c r="Q727" s="67"/>
      <c r="R727" s="67"/>
      <c r="S727" s="67"/>
      <c r="T727" s="67"/>
      <c r="U727" s="67"/>
      <c r="V727" s="67"/>
      <c r="W727" s="67"/>
      <c r="X727" s="67"/>
      <c r="Y727" s="67"/>
      <c r="Z727" s="67"/>
    </row>
    <row r="728">
      <c r="A728" s="135"/>
      <c r="B728" s="125"/>
      <c r="C728" s="125"/>
      <c r="D728" s="125"/>
      <c r="E728" s="126"/>
      <c r="F728" s="67"/>
      <c r="G728" s="67"/>
      <c r="H728" s="67"/>
      <c r="I728" s="67"/>
      <c r="J728" s="67"/>
      <c r="K728" s="67"/>
      <c r="L728" s="67"/>
      <c r="M728" s="67"/>
      <c r="N728" s="67"/>
      <c r="O728" s="67"/>
      <c r="P728" s="67"/>
      <c r="Q728" s="67"/>
      <c r="R728" s="67"/>
      <c r="S728" s="67"/>
      <c r="T728" s="67"/>
      <c r="U728" s="67"/>
      <c r="V728" s="67"/>
      <c r="W728" s="67"/>
      <c r="X728" s="67"/>
      <c r="Y728" s="67"/>
      <c r="Z728" s="67"/>
    </row>
    <row r="729">
      <c r="A729" s="136"/>
      <c r="B729" s="131"/>
      <c r="C729" s="131"/>
      <c r="D729" s="131"/>
      <c r="E729" s="130"/>
      <c r="F729" s="67"/>
      <c r="G729" s="67"/>
      <c r="H729" s="67"/>
      <c r="I729" s="67"/>
      <c r="J729" s="67"/>
      <c r="K729" s="67"/>
      <c r="L729" s="67"/>
      <c r="M729" s="67"/>
      <c r="N729" s="67"/>
      <c r="O729" s="67"/>
      <c r="P729" s="67"/>
      <c r="Q729" s="67"/>
      <c r="R729" s="67"/>
      <c r="S729" s="67"/>
      <c r="T729" s="67"/>
      <c r="U729" s="67"/>
      <c r="V729" s="67"/>
      <c r="W729" s="67"/>
      <c r="X729" s="67"/>
      <c r="Y729" s="67"/>
      <c r="Z729" s="67"/>
    </row>
    <row r="730">
      <c r="A730" s="135"/>
      <c r="B730" s="125"/>
      <c r="C730" s="125"/>
      <c r="D730" s="125"/>
      <c r="E730" s="126"/>
      <c r="F730" s="67"/>
      <c r="G730" s="67"/>
      <c r="H730" s="67"/>
      <c r="I730" s="67"/>
      <c r="J730" s="67"/>
      <c r="K730" s="67"/>
      <c r="L730" s="67"/>
      <c r="M730" s="67"/>
      <c r="N730" s="67"/>
      <c r="O730" s="67"/>
      <c r="P730" s="67"/>
      <c r="Q730" s="67"/>
      <c r="R730" s="67"/>
      <c r="S730" s="67"/>
      <c r="T730" s="67"/>
      <c r="U730" s="67"/>
      <c r="V730" s="67"/>
      <c r="W730" s="67"/>
      <c r="X730" s="67"/>
      <c r="Y730" s="67"/>
      <c r="Z730" s="67"/>
    </row>
    <row r="731">
      <c r="A731" s="136"/>
      <c r="B731" s="131"/>
      <c r="C731" s="131"/>
      <c r="D731" s="131"/>
      <c r="E731" s="130"/>
      <c r="F731" s="67"/>
      <c r="G731" s="67"/>
      <c r="H731" s="67"/>
      <c r="I731" s="67"/>
      <c r="J731" s="67"/>
      <c r="K731" s="67"/>
      <c r="L731" s="67"/>
      <c r="M731" s="67"/>
      <c r="N731" s="67"/>
      <c r="O731" s="67"/>
      <c r="P731" s="67"/>
      <c r="Q731" s="67"/>
      <c r="R731" s="67"/>
      <c r="S731" s="67"/>
      <c r="T731" s="67"/>
      <c r="U731" s="67"/>
      <c r="V731" s="67"/>
      <c r="W731" s="67"/>
      <c r="X731" s="67"/>
      <c r="Y731" s="67"/>
      <c r="Z731" s="67"/>
    </row>
    <row r="732">
      <c r="A732" s="135"/>
      <c r="B732" s="125"/>
      <c r="C732" s="125"/>
      <c r="D732" s="125"/>
      <c r="E732" s="126"/>
      <c r="F732" s="67"/>
      <c r="G732" s="67"/>
      <c r="H732" s="67"/>
      <c r="I732" s="67"/>
      <c r="J732" s="67"/>
      <c r="K732" s="67"/>
      <c r="L732" s="67"/>
      <c r="M732" s="67"/>
      <c r="N732" s="67"/>
      <c r="O732" s="67"/>
      <c r="P732" s="67"/>
      <c r="Q732" s="67"/>
      <c r="R732" s="67"/>
      <c r="S732" s="67"/>
      <c r="T732" s="67"/>
      <c r="U732" s="67"/>
      <c r="V732" s="67"/>
      <c r="W732" s="67"/>
      <c r="X732" s="67"/>
      <c r="Y732" s="67"/>
      <c r="Z732" s="67"/>
    </row>
    <row r="733">
      <c r="A733" s="136"/>
      <c r="B733" s="131"/>
      <c r="C733" s="131"/>
      <c r="D733" s="131"/>
      <c r="E733" s="130"/>
      <c r="F733" s="67"/>
      <c r="G733" s="67"/>
      <c r="H733" s="67"/>
      <c r="I733" s="67"/>
      <c r="J733" s="67"/>
      <c r="K733" s="67"/>
      <c r="L733" s="67"/>
      <c r="M733" s="67"/>
      <c r="N733" s="67"/>
      <c r="O733" s="67"/>
      <c r="P733" s="67"/>
      <c r="Q733" s="67"/>
      <c r="R733" s="67"/>
      <c r="S733" s="67"/>
      <c r="T733" s="67"/>
      <c r="U733" s="67"/>
      <c r="V733" s="67"/>
      <c r="W733" s="67"/>
      <c r="X733" s="67"/>
      <c r="Y733" s="67"/>
      <c r="Z733" s="67"/>
    </row>
    <row r="734">
      <c r="A734" s="135"/>
      <c r="B734" s="125"/>
      <c r="C734" s="125"/>
      <c r="D734" s="125"/>
      <c r="E734" s="126"/>
      <c r="F734" s="67"/>
      <c r="G734" s="67"/>
      <c r="H734" s="67"/>
      <c r="I734" s="67"/>
      <c r="J734" s="67"/>
      <c r="K734" s="67"/>
      <c r="L734" s="67"/>
      <c r="M734" s="67"/>
      <c r="N734" s="67"/>
      <c r="O734" s="67"/>
      <c r="P734" s="67"/>
      <c r="Q734" s="67"/>
      <c r="R734" s="67"/>
      <c r="S734" s="67"/>
      <c r="T734" s="67"/>
      <c r="U734" s="67"/>
      <c r="V734" s="67"/>
      <c r="W734" s="67"/>
      <c r="X734" s="67"/>
      <c r="Y734" s="67"/>
      <c r="Z734" s="67"/>
    </row>
    <row r="735">
      <c r="A735" s="136"/>
      <c r="B735" s="131"/>
      <c r="C735" s="131"/>
      <c r="D735" s="131"/>
      <c r="E735" s="130"/>
      <c r="F735" s="67"/>
      <c r="G735" s="67"/>
      <c r="H735" s="67"/>
      <c r="I735" s="67"/>
      <c r="J735" s="67"/>
      <c r="K735" s="67"/>
      <c r="L735" s="67"/>
      <c r="M735" s="67"/>
      <c r="N735" s="67"/>
      <c r="O735" s="67"/>
      <c r="P735" s="67"/>
      <c r="Q735" s="67"/>
      <c r="R735" s="67"/>
      <c r="S735" s="67"/>
      <c r="T735" s="67"/>
      <c r="U735" s="67"/>
      <c r="V735" s="67"/>
      <c r="W735" s="67"/>
      <c r="X735" s="67"/>
      <c r="Y735" s="67"/>
      <c r="Z735" s="67"/>
    </row>
    <row r="736">
      <c r="A736" s="135"/>
      <c r="B736" s="125"/>
      <c r="C736" s="125"/>
      <c r="D736" s="125"/>
      <c r="E736" s="126"/>
      <c r="F736" s="67"/>
      <c r="G736" s="67"/>
      <c r="H736" s="67"/>
      <c r="I736" s="67"/>
      <c r="J736" s="67"/>
      <c r="K736" s="67"/>
      <c r="L736" s="67"/>
      <c r="M736" s="67"/>
      <c r="N736" s="67"/>
      <c r="O736" s="67"/>
      <c r="P736" s="67"/>
      <c r="Q736" s="67"/>
      <c r="R736" s="67"/>
      <c r="S736" s="67"/>
      <c r="T736" s="67"/>
      <c r="U736" s="67"/>
      <c r="V736" s="67"/>
      <c r="W736" s="67"/>
      <c r="X736" s="67"/>
      <c r="Y736" s="67"/>
      <c r="Z736" s="67"/>
    </row>
    <row r="737">
      <c r="A737" s="136"/>
      <c r="B737" s="131"/>
      <c r="C737" s="131"/>
      <c r="D737" s="131"/>
      <c r="E737" s="130"/>
      <c r="F737" s="67"/>
      <c r="G737" s="67"/>
      <c r="H737" s="67"/>
      <c r="I737" s="67"/>
      <c r="J737" s="67"/>
      <c r="K737" s="67"/>
      <c r="L737" s="67"/>
      <c r="M737" s="67"/>
      <c r="N737" s="67"/>
      <c r="O737" s="67"/>
      <c r="P737" s="67"/>
      <c r="Q737" s="67"/>
      <c r="R737" s="67"/>
      <c r="S737" s="67"/>
      <c r="T737" s="67"/>
      <c r="U737" s="67"/>
      <c r="V737" s="67"/>
      <c r="W737" s="67"/>
      <c r="X737" s="67"/>
      <c r="Y737" s="67"/>
      <c r="Z737" s="67"/>
    </row>
    <row r="738">
      <c r="A738" s="135"/>
      <c r="B738" s="125"/>
      <c r="C738" s="125"/>
      <c r="D738" s="125"/>
      <c r="E738" s="126"/>
      <c r="F738" s="67"/>
      <c r="G738" s="67"/>
      <c r="H738" s="67"/>
      <c r="I738" s="67"/>
      <c r="J738" s="67"/>
      <c r="K738" s="67"/>
      <c r="L738" s="67"/>
      <c r="M738" s="67"/>
      <c r="N738" s="67"/>
      <c r="O738" s="67"/>
      <c r="P738" s="67"/>
      <c r="Q738" s="67"/>
      <c r="R738" s="67"/>
      <c r="S738" s="67"/>
      <c r="T738" s="67"/>
      <c r="U738" s="67"/>
      <c r="V738" s="67"/>
      <c r="W738" s="67"/>
      <c r="X738" s="67"/>
      <c r="Y738" s="67"/>
      <c r="Z738" s="67"/>
    </row>
    <row r="739">
      <c r="A739" s="136"/>
      <c r="B739" s="131"/>
      <c r="C739" s="131"/>
      <c r="D739" s="131"/>
      <c r="E739" s="130"/>
      <c r="F739" s="67"/>
      <c r="G739" s="67"/>
      <c r="H739" s="67"/>
      <c r="I739" s="67"/>
      <c r="J739" s="67"/>
      <c r="K739" s="67"/>
      <c r="L739" s="67"/>
      <c r="M739" s="67"/>
      <c r="N739" s="67"/>
      <c r="O739" s="67"/>
      <c r="P739" s="67"/>
      <c r="Q739" s="67"/>
      <c r="R739" s="67"/>
      <c r="S739" s="67"/>
      <c r="T739" s="67"/>
      <c r="U739" s="67"/>
      <c r="V739" s="67"/>
      <c r="W739" s="67"/>
      <c r="X739" s="67"/>
      <c r="Y739" s="67"/>
      <c r="Z739" s="67"/>
    </row>
    <row r="740">
      <c r="A740" s="135"/>
      <c r="B740" s="125"/>
      <c r="C740" s="125"/>
      <c r="D740" s="125"/>
      <c r="E740" s="126"/>
      <c r="F740" s="67"/>
      <c r="G740" s="67"/>
      <c r="H740" s="67"/>
      <c r="I740" s="67"/>
      <c r="J740" s="67"/>
      <c r="K740" s="67"/>
      <c r="L740" s="67"/>
      <c r="M740" s="67"/>
      <c r="N740" s="67"/>
      <c r="O740" s="67"/>
      <c r="P740" s="67"/>
      <c r="Q740" s="67"/>
      <c r="R740" s="67"/>
      <c r="S740" s="67"/>
      <c r="T740" s="67"/>
      <c r="U740" s="67"/>
      <c r="V740" s="67"/>
      <c r="W740" s="67"/>
      <c r="X740" s="67"/>
      <c r="Y740" s="67"/>
      <c r="Z740" s="67"/>
    </row>
    <row r="741">
      <c r="A741" s="136"/>
      <c r="B741" s="131"/>
      <c r="C741" s="131"/>
      <c r="D741" s="131"/>
      <c r="E741" s="130"/>
      <c r="F741" s="67"/>
      <c r="G741" s="67"/>
      <c r="H741" s="67"/>
      <c r="I741" s="67"/>
      <c r="J741" s="67"/>
      <c r="K741" s="67"/>
      <c r="L741" s="67"/>
      <c r="M741" s="67"/>
      <c r="N741" s="67"/>
      <c r="O741" s="67"/>
      <c r="P741" s="67"/>
      <c r="Q741" s="67"/>
      <c r="R741" s="67"/>
      <c r="S741" s="67"/>
      <c r="T741" s="67"/>
      <c r="U741" s="67"/>
      <c r="V741" s="67"/>
      <c r="W741" s="67"/>
      <c r="X741" s="67"/>
      <c r="Y741" s="67"/>
      <c r="Z741" s="67"/>
    </row>
    <row r="742">
      <c r="A742" s="135"/>
      <c r="B742" s="125"/>
      <c r="C742" s="125"/>
      <c r="D742" s="125"/>
      <c r="E742" s="126"/>
      <c r="F742" s="67"/>
      <c r="G742" s="67"/>
      <c r="H742" s="67"/>
      <c r="I742" s="67"/>
      <c r="J742" s="67"/>
      <c r="K742" s="67"/>
      <c r="L742" s="67"/>
      <c r="M742" s="67"/>
      <c r="N742" s="67"/>
      <c r="O742" s="67"/>
      <c r="P742" s="67"/>
      <c r="Q742" s="67"/>
      <c r="R742" s="67"/>
      <c r="S742" s="67"/>
      <c r="T742" s="67"/>
      <c r="U742" s="67"/>
      <c r="V742" s="67"/>
      <c r="W742" s="67"/>
      <c r="X742" s="67"/>
      <c r="Y742" s="67"/>
      <c r="Z742" s="67"/>
    </row>
    <row r="743">
      <c r="A743" s="136"/>
      <c r="B743" s="131"/>
      <c r="C743" s="131"/>
      <c r="D743" s="131"/>
      <c r="E743" s="130"/>
      <c r="F743" s="67"/>
      <c r="G743" s="67"/>
      <c r="H743" s="67"/>
      <c r="I743" s="67"/>
      <c r="J743" s="67"/>
      <c r="K743" s="67"/>
      <c r="L743" s="67"/>
      <c r="M743" s="67"/>
      <c r="N743" s="67"/>
      <c r="O743" s="67"/>
      <c r="P743" s="67"/>
      <c r="Q743" s="67"/>
      <c r="R743" s="67"/>
      <c r="S743" s="67"/>
      <c r="T743" s="67"/>
      <c r="U743" s="67"/>
      <c r="V743" s="67"/>
      <c r="W743" s="67"/>
      <c r="X743" s="67"/>
      <c r="Y743" s="67"/>
      <c r="Z743" s="67"/>
    </row>
    <row r="744">
      <c r="A744" s="135"/>
      <c r="B744" s="125"/>
      <c r="C744" s="125"/>
      <c r="D744" s="125"/>
      <c r="E744" s="126"/>
      <c r="F744" s="67"/>
      <c r="G744" s="67"/>
      <c r="H744" s="67"/>
      <c r="I744" s="67"/>
      <c r="J744" s="67"/>
      <c r="K744" s="67"/>
      <c r="L744" s="67"/>
      <c r="M744" s="67"/>
      <c r="N744" s="67"/>
      <c r="O744" s="67"/>
      <c r="P744" s="67"/>
      <c r="Q744" s="67"/>
      <c r="R744" s="67"/>
      <c r="S744" s="67"/>
      <c r="T744" s="67"/>
      <c r="U744" s="67"/>
      <c r="V744" s="67"/>
      <c r="W744" s="67"/>
      <c r="X744" s="67"/>
      <c r="Y744" s="67"/>
      <c r="Z744" s="67"/>
    </row>
    <row r="745">
      <c r="A745" s="136"/>
      <c r="B745" s="131"/>
      <c r="C745" s="131"/>
      <c r="D745" s="131"/>
      <c r="E745" s="130"/>
      <c r="F745" s="67"/>
      <c r="G745" s="67"/>
      <c r="H745" s="67"/>
      <c r="I745" s="67"/>
      <c r="J745" s="67"/>
      <c r="K745" s="67"/>
      <c r="L745" s="67"/>
      <c r="M745" s="67"/>
      <c r="N745" s="67"/>
      <c r="O745" s="67"/>
      <c r="P745" s="67"/>
      <c r="Q745" s="67"/>
      <c r="R745" s="67"/>
      <c r="S745" s="67"/>
      <c r="T745" s="67"/>
      <c r="U745" s="67"/>
      <c r="V745" s="67"/>
      <c r="W745" s="67"/>
      <c r="X745" s="67"/>
      <c r="Y745" s="67"/>
      <c r="Z745" s="67"/>
    </row>
    <row r="746">
      <c r="A746" s="135"/>
      <c r="B746" s="125"/>
      <c r="C746" s="125"/>
      <c r="D746" s="125"/>
      <c r="E746" s="126"/>
      <c r="F746" s="67"/>
      <c r="G746" s="67"/>
      <c r="H746" s="67"/>
      <c r="I746" s="67"/>
      <c r="J746" s="67"/>
      <c r="K746" s="67"/>
      <c r="L746" s="67"/>
      <c r="M746" s="67"/>
      <c r="N746" s="67"/>
      <c r="O746" s="67"/>
      <c r="P746" s="67"/>
      <c r="Q746" s="67"/>
      <c r="R746" s="67"/>
      <c r="S746" s="67"/>
      <c r="T746" s="67"/>
      <c r="U746" s="67"/>
      <c r="V746" s="67"/>
      <c r="W746" s="67"/>
      <c r="X746" s="67"/>
      <c r="Y746" s="67"/>
      <c r="Z746" s="67"/>
    </row>
    <row r="747">
      <c r="A747" s="136"/>
      <c r="B747" s="131"/>
      <c r="C747" s="131"/>
      <c r="D747" s="131"/>
      <c r="E747" s="130"/>
      <c r="F747" s="67"/>
      <c r="G747" s="67"/>
      <c r="H747" s="67"/>
      <c r="I747" s="67"/>
      <c r="J747" s="67"/>
      <c r="K747" s="67"/>
      <c r="L747" s="67"/>
      <c r="M747" s="67"/>
      <c r="N747" s="67"/>
      <c r="O747" s="67"/>
      <c r="P747" s="67"/>
      <c r="Q747" s="67"/>
      <c r="R747" s="67"/>
      <c r="S747" s="67"/>
      <c r="T747" s="67"/>
      <c r="U747" s="67"/>
      <c r="V747" s="67"/>
      <c r="W747" s="67"/>
      <c r="X747" s="67"/>
      <c r="Y747" s="67"/>
      <c r="Z747" s="67"/>
    </row>
    <row r="748">
      <c r="A748" s="135"/>
      <c r="B748" s="125"/>
      <c r="C748" s="125"/>
      <c r="D748" s="125"/>
      <c r="E748" s="126"/>
      <c r="F748" s="67"/>
      <c r="G748" s="67"/>
      <c r="H748" s="67"/>
      <c r="I748" s="67"/>
      <c r="J748" s="67"/>
      <c r="K748" s="67"/>
      <c r="L748" s="67"/>
      <c r="M748" s="67"/>
      <c r="N748" s="67"/>
      <c r="O748" s="67"/>
      <c r="P748" s="67"/>
      <c r="Q748" s="67"/>
      <c r="R748" s="67"/>
      <c r="S748" s="67"/>
      <c r="T748" s="67"/>
      <c r="U748" s="67"/>
      <c r="V748" s="67"/>
      <c r="W748" s="67"/>
      <c r="X748" s="67"/>
      <c r="Y748" s="67"/>
      <c r="Z748" s="67"/>
    </row>
    <row r="749">
      <c r="A749" s="136"/>
      <c r="B749" s="131"/>
      <c r="C749" s="131"/>
      <c r="D749" s="131"/>
      <c r="E749" s="130"/>
      <c r="F749" s="67"/>
      <c r="G749" s="67"/>
      <c r="H749" s="67"/>
      <c r="I749" s="67"/>
      <c r="J749" s="67"/>
      <c r="K749" s="67"/>
      <c r="L749" s="67"/>
      <c r="M749" s="67"/>
      <c r="N749" s="67"/>
      <c r="O749" s="67"/>
      <c r="P749" s="67"/>
      <c r="Q749" s="67"/>
      <c r="R749" s="67"/>
      <c r="S749" s="67"/>
      <c r="T749" s="67"/>
      <c r="U749" s="67"/>
      <c r="V749" s="67"/>
      <c r="W749" s="67"/>
      <c r="X749" s="67"/>
      <c r="Y749" s="67"/>
      <c r="Z749" s="67"/>
    </row>
    <row r="750">
      <c r="A750" s="135"/>
      <c r="B750" s="125"/>
      <c r="C750" s="125"/>
      <c r="D750" s="125"/>
      <c r="E750" s="126"/>
      <c r="F750" s="67"/>
      <c r="G750" s="67"/>
      <c r="H750" s="67"/>
      <c r="I750" s="67"/>
      <c r="J750" s="67"/>
      <c r="K750" s="67"/>
      <c r="L750" s="67"/>
      <c r="M750" s="67"/>
      <c r="N750" s="67"/>
      <c r="O750" s="67"/>
      <c r="P750" s="67"/>
      <c r="Q750" s="67"/>
      <c r="R750" s="67"/>
      <c r="S750" s="67"/>
      <c r="T750" s="67"/>
      <c r="U750" s="67"/>
      <c r="V750" s="67"/>
      <c r="W750" s="67"/>
      <c r="X750" s="67"/>
      <c r="Y750" s="67"/>
      <c r="Z750" s="67"/>
    </row>
    <row r="751">
      <c r="A751" s="136"/>
      <c r="B751" s="131"/>
      <c r="C751" s="131"/>
      <c r="D751" s="131"/>
      <c r="E751" s="130"/>
      <c r="F751" s="67"/>
      <c r="G751" s="67"/>
      <c r="H751" s="67"/>
      <c r="I751" s="67"/>
      <c r="J751" s="67"/>
      <c r="K751" s="67"/>
      <c r="L751" s="67"/>
      <c r="M751" s="67"/>
      <c r="N751" s="67"/>
      <c r="O751" s="67"/>
      <c r="P751" s="67"/>
      <c r="Q751" s="67"/>
      <c r="R751" s="67"/>
      <c r="S751" s="67"/>
      <c r="T751" s="67"/>
      <c r="U751" s="67"/>
      <c r="V751" s="67"/>
      <c r="W751" s="67"/>
      <c r="X751" s="67"/>
      <c r="Y751" s="67"/>
      <c r="Z751" s="67"/>
    </row>
    <row r="752">
      <c r="A752" s="135"/>
      <c r="B752" s="125"/>
      <c r="C752" s="125"/>
      <c r="D752" s="125"/>
      <c r="E752" s="126"/>
      <c r="F752" s="67"/>
      <c r="G752" s="67"/>
      <c r="H752" s="67"/>
      <c r="I752" s="67"/>
      <c r="J752" s="67"/>
      <c r="K752" s="67"/>
      <c r="L752" s="67"/>
      <c r="M752" s="67"/>
      <c r="N752" s="67"/>
      <c r="O752" s="67"/>
      <c r="P752" s="67"/>
      <c r="Q752" s="67"/>
      <c r="R752" s="67"/>
      <c r="S752" s="67"/>
      <c r="T752" s="67"/>
      <c r="U752" s="67"/>
      <c r="V752" s="67"/>
      <c r="W752" s="67"/>
      <c r="X752" s="67"/>
      <c r="Y752" s="67"/>
      <c r="Z752" s="67"/>
    </row>
    <row r="753">
      <c r="A753" s="136"/>
      <c r="B753" s="131"/>
      <c r="C753" s="131"/>
      <c r="D753" s="131"/>
      <c r="E753" s="130"/>
      <c r="F753" s="67"/>
      <c r="G753" s="67"/>
      <c r="H753" s="67"/>
      <c r="I753" s="67"/>
      <c r="J753" s="67"/>
      <c r="K753" s="67"/>
      <c r="L753" s="67"/>
      <c r="M753" s="67"/>
      <c r="N753" s="67"/>
      <c r="O753" s="67"/>
      <c r="P753" s="67"/>
      <c r="Q753" s="67"/>
      <c r="R753" s="67"/>
      <c r="S753" s="67"/>
      <c r="T753" s="67"/>
      <c r="U753" s="67"/>
      <c r="V753" s="67"/>
      <c r="W753" s="67"/>
      <c r="X753" s="67"/>
      <c r="Y753" s="67"/>
      <c r="Z753" s="67"/>
    </row>
    <row r="754">
      <c r="A754" s="135"/>
      <c r="B754" s="125"/>
      <c r="C754" s="125"/>
      <c r="D754" s="125"/>
      <c r="E754" s="126"/>
      <c r="F754" s="67"/>
      <c r="G754" s="67"/>
      <c r="H754" s="67"/>
      <c r="I754" s="67"/>
      <c r="J754" s="67"/>
      <c r="K754" s="67"/>
      <c r="L754" s="67"/>
      <c r="M754" s="67"/>
      <c r="N754" s="67"/>
      <c r="O754" s="67"/>
      <c r="P754" s="67"/>
      <c r="Q754" s="67"/>
      <c r="R754" s="67"/>
      <c r="S754" s="67"/>
      <c r="T754" s="67"/>
      <c r="U754" s="67"/>
      <c r="V754" s="67"/>
      <c r="W754" s="67"/>
      <c r="X754" s="67"/>
      <c r="Y754" s="67"/>
      <c r="Z754" s="67"/>
    </row>
    <row r="755">
      <c r="A755" s="136"/>
      <c r="B755" s="131"/>
      <c r="C755" s="131"/>
      <c r="D755" s="131"/>
      <c r="E755" s="130"/>
      <c r="F755" s="67"/>
      <c r="G755" s="67"/>
      <c r="H755" s="67"/>
      <c r="I755" s="67"/>
      <c r="J755" s="67"/>
      <c r="K755" s="67"/>
      <c r="L755" s="67"/>
      <c r="M755" s="67"/>
      <c r="N755" s="67"/>
      <c r="O755" s="67"/>
      <c r="P755" s="67"/>
      <c r="Q755" s="67"/>
      <c r="R755" s="67"/>
      <c r="S755" s="67"/>
      <c r="T755" s="67"/>
      <c r="U755" s="67"/>
      <c r="V755" s="67"/>
      <c r="W755" s="67"/>
      <c r="X755" s="67"/>
      <c r="Y755" s="67"/>
      <c r="Z755" s="67"/>
    </row>
    <row r="756">
      <c r="A756" s="135"/>
      <c r="B756" s="125"/>
      <c r="C756" s="125"/>
      <c r="D756" s="125"/>
      <c r="E756" s="126"/>
      <c r="F756" s="67"/>
      <c r="G756" s="67"/>
      <c r="H756" s="67"/>
      <c r="I756" s="67"/>
      <c r="J756" s="67"/>
      <c r="K756" s="67"/>
      <c r="L756" s="67"/>
      <c r="M756" s="67"/>
      <c r="N756" s="67"/>
      <c r="O756" s="67"/>
      <c r="P756" s="67"/>
      <c r="Q756" s="67"/>
      <c r="R756" s="67"/>
      <c r="S756" s="67"/>
      <c r="T756" s="67"/>
      <c r="U756" s="67"/>
      <c r="V756" s="67"/>
      <c r="W756" s="67"/>
      <c r="X756" s="67"/>
      <c r="Y756" s="67"/>
      <c r="Z756" s="67"/>
    </row>
    <row r="757">
      <c r="A757" s="136"/>
      <c r="B757" s="131"/>
      <c r="C757" s="131"/>
      <c r="D757" s="131"/>
      <c r="E757" s="130"/>
      <c r="F757" s="67"/>
      <c r="G757" s="67"/>
      <c r="H757" s="67"/>
      <c r="I757" s="67"/>
      <c r="J757" s="67"/>
      <c r="K757" s="67"/>
      <c r="L757" s="67"/>
      <c r="M757" s="67"/>
      <c r="N757" s="67"/>
      <c r="O757" s="67"/>
      <c r="P757" s="67"/>
      <c r="Q757" s="67"/>
      <c r="R757" s="67"/>
      <c r="S757" s="67"/>
      <c r="T757" s="67"/>
      <c r="U757" s="67"/>
      <c r="V757" s="67"/>
      <c r="W757" s="67"/>
      <c r="X757" s="67"/>
      <c r="Y757" s="67"/>
      <c r="Z757" s="67"/>
    </row>
    <row r="758">
      <c r="A758" s="135"/>
      <c r="B758" s="125"/>
      <c r="C758" s="125"/>
      <c r="D758" s="125"/>
      <c r="E758" s="126"/>
      <c r="F758" s="67"/>
      <c r="G758" s="67"/>
      <c r="H758" s="67"/>
      <c r="I758" s="67"/>
      <c r="J758" s="67"/>
      <c r="K758" s="67"/>
      <c r="L758" s="67"/>
      <c r="M758" s="67"/>
      <c r="N758" s="67"/>
      <c r="O758" s="67"/>
      <c r="P758" s="67"/>
      <c r="Q758" s="67"/>
      <c r="R758" s="67"/>
      <c r="S758" s="67"/>
      <c r="T758" s="67"/>
      <c r="U758" s="67"/>
      <c r="V758" s="67"/>
      <c r="W758" s="67"/>
      <c r="X758" s="67"/>
      <c r="Y758" s="67"/>
      <c r="Z758" s="67"/>
    </row>
    <row r="759">
      <c r="A759" s="136"/>
      <c r="B759" s="131"/>
      <c r="C759" s="131"/>
      <c r="D759" s="131"/>
      <c r="E759" s="130"/>
      <c r="F759" s="67"/>
      <c r="G759" s="67"/>
      <c r="H759" s="67"/>
      <c r="I759" s="67"/>
      <c r="J759" s="67"/>
      <c r="K759" s="67"/>
      <c r="L759" s="67"/>
      <c r="M759" s="67"/>
      <c r="N759" s="67"/>
      <c r="O759" s="67"/>
      <c r="P759" s="67"/>
      <c r="Q759" s="67"/>
      <c r="R759" s="67"/>
      <c r="S759" s="67"/>
      <c r="T759" s="67"/>
      <c r="U759" s="67"/>
      <c r="V759" s="67"/>
      <c r="W759" s="67"/>
      <c r="X759" s="67"/>
      <c r="Y759" s="67"/>
      <c r="Z759" s="67"/>
    </row>
    <row r="760">
      <c r="A760" s="135"/>
      <c r="B760" s="125"/>
      <c r="C760" s="125"/>
      <c r="D760" s="125"/>
      <c r="E760" s="126"/>
      <c r="F760" s="67"/>
      <c r="G760" s="67"/>
      <c r="H760" s="67"/>
      <c r="I760" s="67"/>
      <c r="J760" s="67"/>
      <c r="K760" s="67"/>
      <c r="L760" s="67"/>
      <c r="M760" s="67"/>
      <c r="N760" s="67"/>
      <c r="O760" s="67"/>
      <c r="P760" s="67"/>
      <c r="Q760" s="67"/>
      <c r="R760" s="67"/>
      <c r="S760" s="67"/>
      <c r="T760" s="67"/>
      <c r="U760" s="67"/>
      <c r="V760" s="67"/>
      <c r="W760" s="67"/>
      <c r="X760" s="67"/>
      <c r="Y760" s="67"/>
      <c r="Z760" s="67"/>
    </row>
    <row r="761">
      <c r="A761" s="136"/>
      <c r="B761" s="131"/>
      <c r="C761" s="131"/>
      <c r="D761" s="131"/>
      <c r="E761" s="130"/>
      <c r="F761" s="67"/>
      <c r="G761" s="67"/>
      <c r="H761" s="67"/>
      <c r="I761" s="67"/>
      <c r="J761" s="67"/>
      <c r="K761" s="67"/>
      <c r="L761" s="67"/>
      <c r="M761" s="67"/>
      <c r="N761" s="67"/>
      <c r="O761" s="67"/>
      <c r="P761" s="67"/>
      <c r="Q761" s="67"/>
      <c r="R761" s="67"/>
      <c r="S761" s="67"/>
      <c r="T761" s="67"/>
      <c r="U761" s="67"/>
      <c r="V761" s="67"/>
      <c r="W761" s="67"/>
      <c r="X761" s="67"/>
      <c r="Y761" s="67"/>
      <c r="Z761" s="67"/>
    </row>
    <row r="762">
      <c r="A762" s="135"/>
      <c r="B762" s="125"/>
      <c r="C762" s="125"/>
      <c r="D762" s="125"/>
      <c r="E762" s="126"/>
      <c r="F762" s="67"/>
      <c r="G762" s="67"/>
      <c r="H762" s="67"/>
      <c r="I762" s="67"/>
      <c r="J762" s="67"/>
      <c r="K762" s="67"/>
      <c r="L762" s="67"/>
      <c r="M762" s="67"/>
      <c r="N762" s="67"/>
      <c r="O762" s="67"/>
      <c r="P762" s="67"/>
      <c r="Q762" s="67"/>
      <c r="R762" s="67"/>
      <c r="S762" s="67"/>
      <c r="T762" s="67"/>
      <c r="U762" s="67"/>
      <c r="V762" s="67"/>
      <c r="W762" s="67"/>
      <c r="X762" s="67"/>
      <c r="Y762" s="67"/>
      <c r="Z762" s="67"/>
    </row>
    <row r="763">
      <c r="A763" s="136"/>
      <c r="B763" s="131"/>
      <c r="C763" s="131"/>
      <c r="D763" s="131"/>
      <c r="E763" s="130"/>
      <c r="F763" s="67"/>
      <c r="G763" s="67"/>
      <c r="H763" s="67"/>
      <c r="I763" s="67"/>
      <c r="J763" s="67"/>
      <c r="K763" s="67"/>
      <c r="L763" s="67"/>
      <c r="M763" s="67"/>
      <c r="N763" s="67"/>
      <c r="O763" s="67"/>
      <c r="P763" s="67"/>
      <c r="Q763" s="67"/>
      <c r="R763" s="67"/>
      <c r="S763" s="67"/>
      <c r="T763" s="67"/>
      <c r="U763" s="67"/>
      <c r="V763" s="67"/>
      <c r="W763" s="67"/>
      <c r="X763" s="67"/>
      <c r="Y763" s="67"/>
      <c r="Z763" s="67"/>
    </row>
    <row r="764">
      <c r="A764" s="135"/>
      <c r="B764" s="125"/>
      <c r="C764" s="125"/>
      <c r="D764" s="125"/>
      <c r="E764" s="126"/>
      <c r="F764" s="67"/>
      <c r="G764" s="67"/>
      <c r="H764" s="67"/>
      <c r="I764" s="67"/>
      <c r="J764" s="67"/>
      <c r="K764" s="67"/>
      <c r="L764" s="67"/>
      <c r="M764" s="67"/>
      <c r="N764" s="67"/>
      <c r="O764" s="67"/>
      <c r="P764" s="67"/>
      <c r="Q764" s="67"/>
      <c r="R764" s="67"/>
      <c r="S764" s="67"/>
      <c r="T764" s="67"/>
      <c r="U764" s="67"/>
      <c r="V764" s="67"/>
      <c r="W764" s="67"/>
      <c r="X764" s="67"/>
      <c r="Y764" s="67"/>
      <c r="Z764" s="67"/>
    </row>
    <row r="765">
      <c r="A765" s="136"/>
      <c r="B765" s="131"/>
      <c r="C765" s="131"/>
      <c r="D765" s="131"/>
      <c r="E765" s="130"/>
      <c r="F765" s="67"/>
      <c r="G765" s="67"/>
      <c r="H765" s="67"/>
      <c r="I765" s="67"/>
      <c r="J765" s="67"/>
      <c r="K765" s="67"/>
      <c r="L765" s="67"/>
      <c r="M765" s="67"/>
      <c r="N765" s="67"/>
      <c r="O765" s="67"/>
      <c r="P765" s="67"/>
      <c r="Q765" s="67"/>
      <c r="R765" s="67"/>
      <c r="S765" s="67"/>
      <c r="T765" s="67"/>
      <c r="U765" s="67"/>
      <c r="V765" s="67"/>
      <c r="W765" s="67"/>
      <c r="X765" s="67"/>
      <c r="Y765" s="67"/>
      <c r="Z765" s="67"/>
    </row>
    <row r="766">
      <c r="A766" s="135"/>
      <c r="B766" s="125"/>
      <c r="C766" s="125"/>
      <c r="D766" s="125"/>
      <c r="E766" s="126"/>
      <c r="F766" s="67"/>
      <c r="G766" s="67"/>
      <c r="H766" s="67"/>
      <c r="I766" s="67"/>
      <c r="J766" s="67"/>
      <c r="K766" s="67"/>
      <c r="L766" s="67"/>
      <c r="M766" s="67"/>
      <c r="N766" s="67"/>
      <c r="O766" s="67"/>
      <c r="P766" s="67"/>
      <c r="Q766" s="67"/>
      <c r="R766" s="67"/>
      <c r="S766" s="67"/>
      <c r="T766" s="67"/>
      <c r="U766" s="67"/>
      <c r="V766" s="67"/>
      <c r="W766" s="67"/>
      <c r="X766" s="67"/>
      <c r="Y766" s="67"/>
      <c r="Z766" s="67"/>
    </row>
    <row r="767">
      <c r="A767" s="136"/>
      <c r="B767" s="131"/>
      <c r="C767" s="131"/>
      <c r="D767" s="131"/>
      <c r="E767" s="130"/>
      <c r="F767" s="67"/>
      <c r="G767" s="67"/>
      <c r="H767" s="67"/>
      <c r="I767" s="67"/>
      <c r="J767" s="67"/>
      <c r="K767" s="67"/>
      <c r="L767" s="67"/>
      <c r="M767" s="67"/>
      <c r="N767" s="67"/>
      <c r="O767" s="67"/>
      <c r="P767" s="67"/>
      <c r="Q767" s="67"/>
      <c r="R767" s="67"/>
      <c r="S767" s="67"/>
      <c r="T767" s="67"/>
      <c r="U767" s="67"/>
      <c r="V767" s="67"/>
      <c r="W767" s="67"/>
      <c r="X767" s="67"/>
      <c r="Y767" s="67"/>
      <c r="Z767" s="67"/>
    </row>
    <row r="768">
      <c r="A768" s="135"/>
      <c r="B768" s="125"/>
      <c r="C768" s="125"/>
      <c r="D768" s="125"/>
      <c r="E768" s="126"/>
      <c r="F768" s="67"/>
      <c r="G768" s="67"/>
      <c r="H768" s="67"/>
      <c r="I768" s="67"/>
      <c r="J768" s="67"/>
      <c r="K768" s="67"/>
      <c r="L768" s="67"/>
      <c r="M768" s="67"/>
      <c r="N768" s="67"/>
      <c r="O768" s="67"/>
      <c r="P768" s="67"/>
      <c r="Q768" s="67"/>
      <c r="R768" s="67"/>
      <c r="S768" s="67"/>
      <c r="T768" s="67"/>
      <c r="U768" s="67"/>
      <c r="V768" s="67"/>
      <c r="W768" s="67"/>
      <c r="X768" s="67"/>
      <c r="Y768" s="67"/>
      <c r="Z768" s="67"/>
    </row>
    <row r="769">
      <c r="A769" s="136"/>
      <c r="B769" s="131"/>
      <c r="C769" s="131"/>
      <c r="D769" s="131"/>
      <c r="E769" s="130"/>
      <c r="F769" s="67"/>
      <c r="G769" s="67"/>
      <c r="H769" s="67"/>
      <c r="I769" s="67"/>
      <c r="J769" s="67"/>
      <c r="K769" s="67"/>
      <c r="L769" s="67"/>
      <c r="M769" s="67"/>
      <c r="N769" s="67"/>
      <c r="O769" s="67"/>
      <c r="P769" s="67"/>
      <c r="Q769" s="67"/>
      <c r="R769" s="67"/>
      <c r="S769" s="67"/>
      <c r="T769" s="67"/>
      <c r="U769" s="67"/>
      <c r="V769" s="67"/>
      <c r="W769" s="67"/>
      <c r="X769" s="67"/>
      <c r="Y769" s="67"/>
      <c r="Z769" s="67"/>
    </row>
    <row r="770">
      <c r="A770" s="135"/>
      <c r="B770" s="125"/>
      <c r="C770" s="125"/>
      <c r="D770" s="125"/>
      <c r="E770" s="126"/>
      <c r="F770" s="67"/>
      <c r="G770" s="67"/>
      <c r="H770" s="67"/>
      <c r="I770" s="67"/>
      <c r="J770" s="67"/>
      <c r="K770" s="67"/>
      <c r="L770" s="67"/>
      <c r="M770" s="67"/>
      <c r="N770" s="67"/>
      <c r="O770" s="67"/>
      <c r="P770" s="67"/>
      <c r="Q770" s="67"/>
      <c r="R770" s="67"/>
      <c r="S770" s="67"/>
      <c r="T770" s="67"/>
      <c r="U770" s="67"/>
      <c r="V770" s="67"/>
      <c r="W770" s="67"/>
      <c r="X770" s="67"/>
      <c r="Y770" s="67"/>
      <c r="Z770" s="67"/>
    </row>
    <row r="771">
      <c r="A771" s="136"/>
      <c r="B771" s="131"/>
      <c r="C771" s="131"/>
      <c r="D771" s="131"/>
      <c r="E771" s="130"/>
      <c r="F771" s="67"/>
      <c r="G771" s="67"/>
      <c r="H771" s="67"/>
      <c r="I771" s="67"/>
      <c r="J771" s="67"/>
      <c r="K771" s="67"/>
      <c r="L771" s="67"/>
      <c r="M771" s="67"/>
      <c r="N771" s="67"/>
      <c r="O771" s="67"/>
      <c r="P771" s="67"/>
      <c r="Q771" s="67"/>
      <c r="R771" s="67"/>
      <c r="S771" s="67"/>
      <c r="T771" s="67"/>
      <c r="U771" s="67"/>
      <c r="V771" s="67"/>
      <c r="W771" s="67"/>
      <c r="X771" s="67"/>
      <c r="Y771" s="67"/>
      <c r="Z771" s="67"/>
    </row>
    <row r="772">
      <c r="A772" s="135"/>
      <c r="B772" s="125"/>
      <c r="C772" s="125"/>
      <c r="D772" s="125"/>
      <c r="E772" s="126"/>
      <c r="F772" s="67"/>
      <c r="G772" s="67"/>
      <c r="H772" s="67"/>
      <c r="I772" s="67"/>
      <c r="J772" s="67"/>
      <c r="K772" s="67"/>
      <c r="L772" s="67"/>
      <c r="M772" s="67"/>
      <c r="N772" s="67"/>
      <c r="O772" s="67"/>
      <c r="P772" s="67"/>
      <c r="Q772" s="67"/>
      <c r="R772" s="67"/>
      <c r="S772" s="67"/>
      <c r="T772" s="67"/>
      <c r="U772" s="67"/>
      <c r="V772" s="67"/>
      <c r="W772" s="67"/>
      <c r="X772" s="67"/>
      <c r="Y772" s="67"/>
      <c r="Z772" s="67"/>
    </row>
    <row r="773">
      <c r="A773" s="136"/>
      <c r="B773" s="131"/>
      <c r="C773" s="131"/>
      <c r="D773" s="131"/>
      <c r="E773" s="130"/>
      <c r="F773" s="67"/>
      <c r="G773" s="67"/>
      <c r="H773" s="67"/>
      <c r="I773" s="67"/>
      <c r="J773" s="67"/>
      <c r="K773" s="67"/>
      <c r="L773" s="67"/>
      <c r="M773" s="67"/>
      <c r="N773" s="67"/>
      <c r="O773" s="67"/>
      <c r="P773" s="67"/>
      <c r="Q773" s="67"/>
      <c r="R773" s="67"/>
      <c r="S773" s="67"/>
      <c r="T773" s="67"/>
      <c r="U773" s="67"/>
      <c r="V773" s="67"/>
      <c r="W773" s="67"/>
      <c r="X773" s="67"/>
      <c r="Y773" s="67"/>
      <c r="Z773" s="67"/>
    </row>
    <row r="774">
      <c r="A774" s="135"/>
      <c r="B774" s="125"/>
      <c r="C774" s="125"/>
      <c r="D774" s="125"/>
      <c r="E774" s="126"/>
      <c r="F774" s="67"/>
      <c r="G774" s="67"/>
      <c r="H774" s="67"/>
      <c r="I774" s="67"/>
      <c r="J774" s="67"/>
      <c r="K774" s="67"/>
      <c r="L774" s="67"/>
      <c r="M774" s="67"/>
      <c r="N774" s="67"/>
      <c r="O774" s="67"/>
      <c r="P774" s="67"/>
      <c r="Q774" s="67"/>
      <c r="R774" s="67"/>
      <c r="S774" s="67"/>
      <c r="T774" s="67"/>
      <c r="U774" s="67"/>
      <c r="V774" s="67"/>
      <c r="W774" s="67"/>
      <c r="X774" s="67"/>
      <c r="Y774" s="67"/>
      <c r="Z774" s="67"/>
    </row>
    <row r="775">
      <c r="A775" s="136"/>
      <c r="B775" s="131"/>
      <c r="C775" s="131"/>
      <c r="D775" s="131"/>
      <c r="E775" s="130"/>
      <c r="F775" s="67"/>
      <c r="G775" s="67"/>
      <c r="H775" s="67"/>
      <c r="I775" s="67"/>
      <c r="J775" s="67"/>
      <c r="K775" s="67"/>
      <c r="L775" s="67"/>
      <c r="M775" s="67"/>
      <c r="N775" s="67"/>
      <c r="O775" s="67"/>
      <c r="P775" s="67"/>
      <c r="Q775" s="67"/>
      <c r="R775" s="67"/>
      <c r="S775" s="67"/>
      <c r="T775" s="67"/>
      <c r="U775" s="67"/>
      <c r="V775" s="67"/>
      <c r="W775" s="67"/>
      <c r="X775" s="67"/>
      <c r="Y775" s="67"/>
      <c r="Z775" s="67"/>
    </row>
    <row r="776">
      <c r="A776" s="135"/>
      <c r="B776" s="125"/>
      <c r="C776" s="125"/>
      <c r="D776" s="125"/>
      <c r="E776" s="126"/>
      <c r="F776" s="67"/>
      <c r="G776" s="67"/>
      <c r="H776" s="67"/>
      <c r="I776" s="67"/>
      <c r="J776" s="67"/>
      <c r="K776" s="67"/>
      <c r="L776" s="67"/>
      <c r="M776" s="67"/>
      <c r="N776" s="67"/>
      <c r="O776" s="67"/>
      <c r="P776" s="67"/>
      <c r="Q776" s="67"/>
      <c r="R776" s="67"/>
      <c r="S776" s="67"/>
      <c r="T776" s="67"/>
      <c r="U776" s="67"/>
      <c r="V776" s="67"/>
      <c r="W776" s="67"/>
      <c r="X776" s="67"/>
      <c r="Y776" s="67"/>
      <c r="Z776" s="67"/>
    </row>
    <row r="777">
      <c r="A777" s="136"/>
      <c r="B777" s="131"/>
      <c r="C777" s="131"/>
      <c r="D777" s="131"/>
      <c r="E777" s="130"/>
      <c r="F777" s="67"/>
      <c r="G777" s="67"/>
      <c r="H777" s="67"/>
      <c r="I777" s="67"/>
      <c r="J777" s="67"/>
      <c r="K777" s="67"/>
      <c r="L777" s="67"/>
      <c r="M777" s="67"/>
      <c r="N777" s="67"/>
      <c r="O777" s="67"/>
      <c r="P777" s="67"/>
      <c r="Q777" s="67"/>
      <c r="R777" s="67"/>
      <c r="S777" s="67"/>
      <c r="T777" s="67"/>
      <c r="U777" s="67"/>
      <c r="V777" s="67"/>
      <c r="W777" s="67"/>
      <c r="X777" s="67"/>
      <c r="Y777" s="67"/>
      <c r="Z777" s="67"/>
    </row>
    <row r="778">
      <c r="A778" s="135"/>
      <c r="B778" s="125"/>
      <c r="C778" s="125"/>
      <c r="D778" s="125"/>
      <c r="E778" s="126"/>
      <c r="F778" s="67"/>
      <c r="G778" s="67"/>
      <c r="H778" s="67"/>
      <c r="I778" s="67"/>
      <c r="J778" s="67"/>
      <c r="K778" s="67"/>
      <c r="L778" s="67"/>
      <c r="M778" s="67"/>
      <c r="N778" s="67"/>
      <c r="O778" s="67"/>
      <c r="P778" s="67"/>
      <c r="Q778" s="67"/>
      <c r="R778" s="67"/>
      <c r="S778" s="67"/>
      <c r="T778" s="67"/>
      <c r="U778" s="67"/>
      <c r="V778" s="67"/>
      <c r="W778" s="67"/>
      <c r="X778" s="67"/>
      <c r="Y778" s="67"/>
      <c r="Z778" s="67"/>
    </row>
    <row r="779">
      <c r="A779" s="136"/>
      <c r="B779" s="131"/>
      <c r="C779" s="131"/>
      <c r="D779" s="131"/>
      <c r="E779" s="130"/>
      <c r="F779" s="67"/>
      <c r="G779" s="67"/>
      <c r="H779" s="67"/>
      <c r="I779" s="67"/>
      <c r="J779" s="67"/>
      <c r="K779" s="67"/>
      <c r="L779" s="67"/>
      <c r="M779" s="67"/>
      <c r="N779" s="67"/>
      <c r="O779" s="67"/>
      <c r="P779" s="67"/>
      <c r="Q779" s="67"/>
      <c r="R779" s="67"/>
      <c r="S779" s="67"/>
      <c r="T779" s="67"/>
      <c r="U779" s="67"/>
      <c r="V779" s="67"/>
      <c r="W779" s="67"/>
      <c r="X779" s="67"/>
      <c r="Y779" s="67"/>
      <c r="Z779" s="67"/>
    </row>
    <row r="780">
      <c r="A780" s="135"/>
      <c r="B780" s="125"/>
      <c r="C780" s="125"/>
      <c r="D780" s="125"/>
      <c r="E780" s="126"/>
      <c r="F780" s="67"/>
      <c r="G780" s="67"/>
      <c r="H780" s="67"/>
      <c r="I780" s="67"/>
      <c r="J780" s="67"/>
      <c r="K780" s="67"/>
      <c r="L780" s="67"/>
      <c r="M780" s="67"/>
      <c r="N780" s="67"/>
      <c r="O780" s="67"/>
      <c r="P780" s="67"/>
      <c r="Q780" s="67"/>
      <c r="R780" s="67"/>
      <c r="S780" s="67"/>
      <c r="T780" s="67"/>
      <c r="U780" s="67"/>
      <c r="V780" s="67"/>
      <c r="W780" s="67"/>
      <c r="X780" s="67"/>
      <c r="Y780" s="67"/>
      <c r="Z780" s="67"/>
    </row>
    <row r="781">
      <c r="A781" s="136"/>
      <c r="B781" s="131"/>
      <c r="C781" s="131"/>
      <c r="D781" s="131"/>
      <c r="E781" s="130"/>
      <c r="F781" s="67"/>
      <c r="G781" s="67"/>
      <c r="H781" s="67"/>
      <c r="I781" s="67"/>
      <c r="J781" s="67"/>
      <c r="K781" s="67"/>
      <c r="L781" s="67"/>
      <c r="M781" s="67"/>
      <c r="N781" s="67"/>
      <c r="O781" s="67"/>
      <c r="P781" s="67"/>
      <c r="Q781" s="67"/>
      <c r="R781" s="67"/>
      <c r="S781" s="67"/>
      <c r="T781" s="67"/>
      <c r="U781" s="67"/>
      <c r="V781" s="67"/>
      <c r="W781" s="67"/>
      <c r="X781" s="67"/>
      <c r="Y781" s="67"/>
      <c r="Z781" s="67"/>
    </row>
    <row r="782">
      <c r="A782" s="135"/>
      <c r="B782" s="125"/>
      <c r="C782" s="125"/>
      <c r="D782" s="125"/>
      <c r="E782" s="126"/>
      <c r="F782" s="67"/>
      <c r="G782" s="67"/>
      <c r="H782" s="67"/>
      <c r="I782" s="67"/>
      <c r="J782" s="67"/>
      <c r="K782" s="67"/>
      <c r="L782" s="67"/>
      <c r="M782" s="67"/>
      <c r="N782" s="67"/>
      <c r="O782" s="67"/>
      <c r="P782" s="67"/>
      <c r="Q782" s="67"/>
      <c r="R782" s="67"/>
      <c r="S782" s="67"/>
      <c r="T782" s="67"/>
      <c r="U782" s="67"/>
      <c r="V782" s="67"/>
      <c r="W782" s="67"/>
      <c r="X782" s="67"/>
      <c r="Y782" s="67"/>
      <c r="Z782" s="67"/>
    </row>
    <row r="783">
      <c r="A783" s="136"/>
      <c r="B783" s="131"/>
      <c r="C783" s="131"/>
      <c r="D783" s="131"/>
      <c r="E783" s="130"/>
      <c r="F783" s="67"/>
      <c r="G783" s="67"/>
      <c r="H783" s="67"/>
      <c r="I783" s="67"/>
      <c r="J783" s="67"/>
      <c r="K783" s="67"/>
      <c r="L783" s="67"/>
      <c r="M783" s="67"/>
      <c r="N783" s="67"/>
      <c r="O783" s="67"/>
      <c r="P783" s="67"/>
      <c r="Q783" s="67"/>
      <c r="R783" s="67"/>
      <c r="S783" s="67"/>
      <c r="T783" s="67"/>
      <c r="U783" s="67"/>
      <c r="V783" s="67"/>
      <c r="W783" s="67"/>
      <c r="X783" s="67"/>
      <c r="Y783" s="67"/>
      <c r="Z783" s="67"/>
    </row>
    <row r="784">
      <c r="A784" s="135"/>
      <c r="B784" s="125"/>
      <c r="C784" s="125"/>
      <c r="D784" s="125"/>
      <c r="E784" s="126"/>
      <c r="F784" s="67"/>
      <c r="G784" s="67"/>
      <c r="H784" s="67"/>
      <c r="I784" s="67"/>
      <c r="J784" s="67"/>
      <c r="K784" s="67"/>
      <c r="L784" s="67"/>
      <c r="M784" s="67"/>
      <c r="N784" s="67"/>
      <c r="O784" s="67"/>
      <c r="P784" s="67"/>
      <c r="Q784" s="67"/>
      <c r="R784" s="67"/>
      <c r="S784" s="67"/>
      <c r="T784" s="67"/>
      <c r="U784" s="67"/>
      <c r="V784" s="67"/>
      <c r="W784" s="67"/>
      <c r="X784" s="67"/>
      <c r="Y784" s="67"/>
      <c r="Z784" s="67"/>
    </row>
    <row r="785">
      <c r="A785" s="136"/>
      <c r="B785" s="131"/>
      <c r="C785" s="131"/>
      <c r="D785" s="131"/>
      <c r="E785" s="130"/>
      <c r="F785" s="67"/>
      <c r="G785" s="67"/>
      <c r="H785" s="67"/>
      <c r="I785" s="67"/>
      <c r="J785" s="67"/>
      <c r="K785" s="67"/>
      <c r="L785" s="67"/>
      <c r="M785" s="67"/>
      <c r="N785" s="67"/>
      <c r="O785" s="67"/>
      <c r="P785" s="67"/>
      <c r="Q785" s="67"/>
      <c r="R785" s="67"/>
      <c r="S785" s="67"/>
      <c r="T785" s="67"/>
      <c r="U785" s="67"/>
      <c r="V785" s="67"/>
      <c r="W785" s="67"/>
      <c r="X785" s="67"/>
      <c r="Y785" s="67"/>
      <c r="Z785" s="67"/>
    </row>
    <row r="786">
      <c r="A786" s="135"/>
      <c r="B786" s="125"/>
      <c r="C786" s="125"/>
      <c r="D786" s="125"/>
      <c r="E786" s="126"/>
      <c r="F786" s="67"/>
      <c r="G786" s="67"/>
      <c r="H786" s="67"/>
      <c r="I786" s="67"/>
      <c r="J786" s="67"/>
      <c r="K786" s="67"/>
      <c r="L786" s="67"/>
      <c r="M786" s="67"/>
      <c r="N786" s="67"/>
      <c r="O786" s="67"/>
      <c r="P786" s="67"/>
      <c r="Q786" s="67"/>
      <c r="R786" s="67"/>
      <c r="S786" s="67"/>
      <c r="T786" s="67"/>
      <c r="U786" s="67"/>
      <c r="V786" s="67"/>
      <c r="W786" s="67"/>
      <c r="X786" s="67"/>
      <c r="Y786" s="67"/>
      <c r="Z786" s="67"/>
    </row>
    <row r="787">
      <c r="A787" s="136"/>
      <c r="B787" s="131"/>
      <c r="C787" s="131"/>
      <c r="D787" s="131"/>
      <c r="E787" s="130"/>
      <c r="F787" s="67"/>
      <c r="G787" s="67"/>
      <c r="H787" s="67"/>
      <c r="I787" s="67"/>
      <c r="J787" s="67"/>
      <c r="K787" s="67"/>
      <c r="L787" s="67"/>
      <c r="M787" s="67"/>
      <c r="N787" s="67"/>
      <c r="O787" s="67"/>
      <c r="P787" s="67"/>
      <c r="Q787" s="67"/>
      <c r="R787" s="67"/>
      <c r="S787" s="67"/>
      <c r="T787" s="67"/>
      <c r="U787" s="67"/>
      <c r="V787" s="67"/>
      <c r="W787" s="67"/>
      <c r="X787" s="67"/>
      <c r="Y787" s="67"/>
      <c r="Z787" s="67"/>
    </row>
    <row r="788">
      <c r="A788" s="135"/>
      <c r="B788" s="125"/>
      <c r="C788" s="125"/>
      <c r="D788" s="125"/>
      <c r="E788" s="126"/>
      <c r="F788" s="67"/>
      <c r="G788" s="67"/>
      <c r="H788" s="67"/>
      <c r="I788" s="67"/>
      <c r="J788" s="67"/>
      <c r="K788" s="67"/>
      <c r="L788" s="67"/>
      <c r="M788" s="67"/>
      <c r="N788" s="67"/>
      <c r="O788" s="67"/>
      <c r="P788" s="67"/>
      <c r="Q788" s="67"/>
      <c r="R788" s="67"/>
      <c r="S788" s="67"/>
      <c r="T788" s="67"/>
      <c r="U788" s="67"/>
      <c r="V788" s="67"/>
      <c r="W788" s="67"/>
      <c r="X788" s="67"/>
      <c r="Y788" s="67"/>
      <c r="Z788" s="67"/>
    </row>
    <row r="789">
      <c r="A789" s="136"/>
      <c r="B789" s="131"/>
      <c r="C789" s="131"/>
      <c r="D789" s="131"/>
      <c r="E789" s="130"/>
      <c r="F789" s="67"/>
      <c r="G789" s="67"/>
      <c r="H789" s="67"/>
      <c r="I789" s="67"/>
      <c r="J789" s="67"/>
      <c r="K789" s="67"/>
      <c r="L789" s="67"/>
      <c r="M789" s="67"/>
      <c r="N789" s="67"/>
      <c r="O789" s="67"/>
      <c r="P789" s="67"/>
      <c r="Q789" s="67"/>
      <c r="R789" s="67"/>
      <c r="S789" s="67"/>
      <c r="T789" s="67"/>
      <c r="U789" s="67"/>
      <c r="V789" s="67"/>
      <c r="W789" s="67"/>
      <c r="X789" s="67"/>
      <c r="Y789" s="67"/>
      <c r="Z789" s="67"/>
    </row>
    <row r="790">
      <c r="A790" s="135"/>
      <c r="B790" s="125"/>
      <c r="C790" s="125"/>
      <c r="D790" s="125"/>
      <c r="E790" s="126"/>
      <c r="F790" s="67"/>
      <c r="G790" s="67"/>
      <c r="H790" s="67"/>
      <c r="I790" s="67"/>
      <c r="J790" s="67"/>
      <c r="K790" s="67"/>
      <c r="L790" s="67"/>
      <c r="M790" s="67"/>
      <c r="N790" s="67"/>
      <c r="O790" s="67"/>
      <c r="P790" s="67"/>
      <c r="Q790" s="67"/>
      <c r="R790" s="67"/>
      <c r="S790" s="67"/>
      <c r="T790" s="67"/>
      <c r="U790" s="67"/>
      <c r="V790" s="67"/>
      <c r="W790" s="67"/>
      <c r="X790" s="67"/>
      <c r="Y790" s="67"/>
      <c r="Z790" s="67"/>
    </row>
    <row r="791">
      <c r="A791" s="136"/>
      <c r="B791" s="131"/>
      <c r="C791" s="131"/>
      <c r="D791" s="131"/>
      <c r="E791" s="130"/>
      <c r="F791" s="67"/>
      <c r="G791" s="67"/>
      <c r="H791" s="67"/>
      <c r="I791" s="67"/>
      <c r="J791" s="67"/>
      <c r="K791" s="67"/>
      <c r="L791" s="67"/>
      <c r="M791" s="67"/>
      <c r="N791" s="67"/>
      <c r="O791" s="67"/>
      <c r="P791" s="67"/>
      <c r="Q791" s="67"/>
      <c r="R791" s="67"/>
      <c r="S791" s="67"/>
      <c r="T791" s="67"/>
      <c r="U791" s="67"/>
      <c r="V791" s="67"/>
      <c r="W791" s="67"/>
      <c r="X791" s="67"/>
      <c r="Y791" s="67"/>
      <c r="Z791" s="67"/>
    </row>
    <row r="792">
      <c r="A792" s="135"/>
      <c r="B792" s="125"/>
      <c r="C792" s="125"/>
      <c r="D792" s="125"/>
      <c r="E792" s="126"/>
      <c r="F792" s="67"/>
      <c r="G792" s="67"/>
      <c r="H792" s="67"/>
      <c r="I792" s="67"/>
      <c r="J792" s="67"/>
      <c r="K792" s="67"/>
      <c r="L792" s="67"/>
      <c r="M792" s="67"/>
      <c r="N792" s="67"/>
      <c r="O792" s="67"/>
      <c r="P792" s="67"/>
      <c r="Q792" s="67"/>
      <c r="R792" s="67"/>
      <c r="S792" s="67"/>
      <c r="T792" s="67"/>
      <c r="U792" s="67"/>
      <c r="V792" s="67"/>
      <c r="W792" s="67"/>
      <c r="X792" s="67"/>
      <c r="Y792" s="67"/>
      <c r="Z792" s="67"/>
    </row>
    <row r="793">
      <c r="A793" s="136"/>
      <c r="B793" s="131"/>
      <c r="C793" s="131"/>
      <c r="D793" s="131"/>
      <c r="E793" s="130"/>
      <c r="F793" s="67"/>
      <c r="G793" s="67"/>
      <c r="H793" s="67"/>
      <c r="I793" s="67"/>
      <c r="J793" s="67"/>
      <c r="K793" s="67"/>
      <c r="L793" s="67"/>
      <c r="M793" s="67"/>
      <c r="N793" s="67"/>
      <c r="O793" s="67"/>
      <c r="P793" s="67"/>
      <c r="Q793" s="67"/>
      <c r="R793" s="67"/>
      <c r="S793" s="67"/>
      <c r="T793" s="67"/>
      <c r="U793" s="67"/>
      <c r="V793" s="67"/>
      <c r="W793" s="67"/>
      <c r="X793" s="67"/>
      <c r="Y793" s="67"/>
      <c r="Z793" s="67"/>
    </row>
    <row r="794">
      <c r="A794" s="135"/>
      <c r="B794" s="125"/>
      <c r="C794" s="125"/>
      <c r="D794" s="125"/>
      <c r="E794" s="126"/>
      <c r="F794" s="67"/>
      <c r="G794" s="67"/>
      <c r="H794" s="67"/>
      <c r="I794" s="67"/>
      <c r="J794" s="67"/>
      <c r="K794" s="67"/>
      <c r="L794" s="67"/>
      <c r="M794" s="67"/>
      <c r="N794" s="67"/>
      <c r="O794" s="67"/>
      <c r="P794" s="67"/>
      <c r="Q794" s="67"/>
      <c r="R794" s="67"/>
      <c r="S794" s="67"/>
      <c r="T794" s="67"/>
      <c r="U794" s="67"/>
      <c r="V794" s="67"/>
      <c r="W794" s="67"/>
      <c r="X794" s="67"/>
      <c r="Y794" s="67"/>
      <c r="Z794" s="67"/>
    </row>
    <row r="795">
      <c r="A795" s="136"/>
      <c r="B795" s="131"/>
      <c r="C795" s="131"/>
      <c r="D795" s="131"/>
      <c r="E795" s="130"/>
      <c r="F795" s="67"/>
      <c r="G795" s="67"/>
      <c r="H795" s="67"/>
      <c r="I795" s="67"/>
      <c r="J795" s="67"/>
      <c r="K795" s="67"/>
      <c r="L795" s="67"/>
      <c r="M795" s="67"/>
      <c r="N795" s="67"/>
      <c r="O795" s="67"/>
      <c r="P795" s="67"/>
      <c r="Q795" s="67"/>
      <c r="R795" s="67"/>
      <c r="S795" s="67"/>
      <c r="T795" s="67"/>
      <c r="U795" s="67"/>
      <c r="V795" s="67"/>
      <c r="W795" s="67"/>
      <c r="X795" s="67"/>
      <c r="Y795" s="67"/>
      <c r="Z795" s="67"/>
    </row>
    <row r="796">
      <c r="A796" s="135"/>
      <c r="B796" s="125"/>
      <c r="C796" s="125"/>
      <c r="D796" s="125"/>
      <c r="E796" s="126"/>
      <c r="F796" s="67"/>
      <c r="G796" s="67"/>
      <c r="H796" s="67"/>
      <c r="I796" s="67"/>
      <c r="J796" s="67"/>
      <c r="K796" s="67"/>
      <c r="L796" s="67"/>
      <c r="M796" s="67"/>
      <c r="N796" s="67"/>
      <c r="O796" s="67"/>
      <c r="P796" s="67"/>
      <c r="Q796" s="67"/>
      <c r="R796" s="67"/>
      <c r="S796" s="67"/>
      <c r="T796" s="67"/>
      <c r="U796" s="67"/>
      <c r="V796" s="67"/>
      <c r="W796" s="67"/>
      <c r="X796" s="67"/>
      <c r="Y796" s="67"/>
      <c r="Z796" s="67"/>
    </row>
    <row r="797">
      <c r="A797" s="136"/>
      <c r="B797" s="131"/>
      <c r="C797" s="131"/>
      <c r="D797" s="131"/>
      <c r="E797" s="130"/>
      <c r="F797" s="67"/>
      <c r="G797" s="67"/>
      <c r="H797" s="67"/>
      <c r="I797" s="67"/>
      <c r="J797" s="67"/>
      <c r="K797" s="67"/>
      <c r="L797" s="67"/>
      <c r="M797" s="67"/>
      <c r="N797" s="67"/>
      <c r="O797" s="67"/>
      <c r="P797" s="67"/>
      <c r="Q797" s="67"/>
      <c r="R797" s="67"/>
      <c r="S797" s="67"/>
      <c r="T797" s="67"/>
      <c r="U797" s="67"/>
      <c r="V797" s="67"/>
      <c r="W797" s="67"/>
      <c r="X797" s="67"/>
      <c r="Y797" s="67"/>
      <c r="Z797" s="67"/>
    </row>
    <row r="798">
      <c r="A798" s="135"/>
      <c r="B798" s="125"/>
      <c r="C798" s="125"/>
      <c r="D798" s="125"/>
      <c r="E798" s="126"/>
      <c r="F798" s="67"/>
      <c r="G798" s="67"/>
      <c r="H798" s="67"/>
      <c r="I798" s="67"/>
      <c r="J798" s="67"/>
      <c r="K798" s="67"/>
      <c r="L798" s="67"/>
      <c r="M798" s="67"/>
      <c r="N798" s="67"/>
      <c r="O798" s="67"/>
      <c r="P798" s="67"/>
      <c r="Q798" s="67"/>
      <c r="R798" s="67"/>
      <c r="S798" s="67"/>
      <c r="T798" s="67"/>
      <c r="U798" s="67"/>
      <c r="V798" s="67"/>
      <c r="W798" s="67"/>
      <c r="X798" s="67"/>
      <c r="Y798" s="67"/>
      <c r="Z798" s="67"/>
    </row>
    <row r="799">
      <c r="A799" s="136"/>
      <c r="B799" s="131"/>
      <c r="C799" s="131"/>
      <c r="D799" s="131"/>
      <c r="E799" s="130"/>
      <c r="F799" s="67"/>
      <c r="G799" s="67"/>
      <c r="H799" s="67"/>
      <c r="I799" s="67"/>
      <c r="J799" s="67"/>
      <c r="K799" s="67"/>
      <c r="L799" s="67"/>
      <c r="M799" s="67"/>
      <c r="N799" s="67"/>
      <c r="O799" s="67"/>
      <c r="P799" s="67"/>
      <c r="Q799" s="67"/>
      <c r="R799" s="67"/>
      <c r="S799" s="67"/>
      <c r="T799" s="67"/>
      <c r="U799" s="67"/>
      <c r="V799" s="67"/>
      <c r="W799" s="67"/>
      <c r="X799" s="67"/>
      <c r="Y799" s="67"/>
      <c r="Z799" s="67"/>
    </row>
    <row r="800">
      <c r="A800" s="135"/>
      <c r="B800" s="125"/>
      <c r="C800" s="125"/>
      <c r="D800" s="125"/>
      <c r="E800" s="126"/>
      <c r="F800" s="67"/>
      <c r="G800" s="67"/>
      <c r="H800" s="67"/>
      <c r="I800" s="67"/>
      <c r="J800" s="67"/>
      <c r="K800" s="67"/>
      <c r="L800" s="67"/>
      <c r="M800" s="67"/>
      <c r="N800" s="67"/>
      <c r="O800" s="67"/>
      <c r="P800" s="67"/>
      <c r="Q800" s="67"/>
      <c r="R800" s="67"/>
      <c r="S800" s="67"/>
      <c r="T800" s="67"/>
      <c r="U800" s="67"/>
      <c r="V800" s="67"/>
      <c r="W800" s="67"/>
      <c r="X800" s="67"/>
      <c r="Y800" s="67"/>
      <c r="Z800" s="67"/>
    </row>
    <row r="801">
      <c r="A801" s="136"/>
      <c r="B801" s="131"/>
      <c r="C801" s="131"/>
      <c r="D801" s="131"/>
      <c r="E801" s="130"/>
      <c r="F801" s="67"/>
      <c r="G801" s="67"/>
      <c r="H801" s="67"/>
      <c r="I801" s="67"/>
      <c r="J801" s="67"/>
      <c r="K801" s="67"/>
      <c r="L801" s="67"/>
      <c r="M801" s="67"/>
      <c r="N801" s="67"/>
      <c r="O801" s="67"/>
      <c r="P801" s="67"/>
      <c r="Q801" s="67"/>
      <c r="R801" s="67"/>
      <c r="S801" s="67"/>
      <c r="T801" s="67"/>
      <c r="U801" s="67"/>
      <c r="V801" s="67"/>
      <c r="W801" s="67"/>
      <c r="X801" s="67"/>
      <c r="Y801" s="67"/>
      <c r="Z801" s="67"/>
    </row>
    <row r="802">
      <c r="A802" s="135"/>
      <c r="B802" s="125"/>
      <c r="C802" s="125"/>
      <c r="D802" s="125"/>
      <c r="E802" s="126"/>
      <c r="F802" s="67"/>
      <c r="G802" s="67"/>
      <c r="H802" s="67"/>
      <c r="I802" s="67"/>
      <c r="J802" s="67"/>
      <c r="K802" s="67"/>
      <c r="L802" s="67"/>
      <c r="M802" s="67"/>
      <c r="N802" s="67"/>
      <c r="O802" s="67"/>
      <c r="P802" s="67"/>
      <c r="Q802" s="67"/>
      <c r="R802" s="67"/>
      <c r="S802" s="67"/>
      <c r="T802" s="67"/>
      <c r="U802" s="67"/>
      <c r="V802" s="67"/>
      <c r="W802" s="67"/>
      <c r="X802" s="67"/>
      <c r="Y802" s="67"/>
      <c r="Z802" s="67"/>
    </row>
    <row r="803">
      <c r="A803" s="136"/>
      <c r="B803" s="131"/>
      <c r="C803" s="131"/>
      <c r="D803" s="131"/>
      <c r="E803" s="130"/>
      <c r="F803" s="67"/>
      <c r="G803" s="67"/>
      <c r="H803" s="67"/>
      <c r="I803" s="67"/>
      <c r="J803" s="67"/>
      <c r="K803" s="67"/>
      <c r="L803" s="67"/>
      <c r="M803" s="67"/>
      <c r="N803" s="67"/>
      <c r="O803" s="67"/>
      <c r="P803" s="67"/>
      <c r="Q803" s="67"/>
      <c r="R803" s="67"/>
      <c r="S803" s="67"/>
      <c r="T803" s="67"/>
      <c r="U803" s="67"/>
      <c r="V803" s="67"/>
      <c r="W803" s="67"/>
      <c r="X803" s="67"/>
      <c r="Y803" s="67"/>
      <c r="Z803" s="67"/>
    </row>
    <row r="804">
      <c r="A804" s="135"/>
      <c r="B804" s="125"/>
      <c r="C804" s="125"/>
      <c r="D804" s="125"/>
      <c r="E804" s="126"/>
      <c r="F804" s="67"/>
      <c r="G804" s="67"/>
      <c r="H804" s="67"/>
      <c r="I804" s="67"/>
      <c r="J804" s="67"/>
      <c r="K804" s="67"/>
      <c r="L804" s="67"/>
      <c r="M804" s="67"/>
      <c r="N804" s="67"/>
      <c r="O804" s="67"/>
      <c r="P804" s="67"/>
      <c r="Q804" s="67"/>
      <c r="R804" s="67"/>
      <c r="S804" s="67"/>
      <c r="T804" s="67"/>
      <c r="U804" s="67"/>
      <c r="V804" s="67"/>
      <c r="W804" s="67"/>
      <c r="X804" s="67"/>
      <c r="Y804" s="67"/>
      <c r="Z804" s="67"/>
    </row>
    <row r="805">
      <c r="A805" s="136"/>
      <c r="B805" s="131"/>
      <c r="C805" s="131"/>
      <c r="D805" s="131"/>
      <c r="E805" s="130"/>
      <c r="F805" s="67"/>
      <c r="G805" s="67"/>
      <c r="H805" s="67"/>
      <c r="I805" s="67"/>
      <c r="J805" s="67"/>
      <c r="K805" s="67"/>
      <c r="L805" s="67"/>
      <c r="M805" s="67"/>
      <c r="N805" s="67"/>
      <c r="O805" s="67"/>
      <c r="P805" s="67"/>
      <c r="Q805" s="67"/>
      <c r="R805" s="67"/>
      <c r="S805" s="67"/>
      <c r="T805" s="67"/>
      <c r="U805" s="67"/>
      <c r="V805" s="67"/>
      <c r="W805" s="67"/>
      <c r="X805" s="67"/>
      <c r="Y805" s="67"/>
      <c r="Z805" s="67"/>
    </row>
    <row r="806">
      <c r="A806" s="135"/>
      <c r="B806" s="125"/>
      <c r="C806" s="125"/>
      <c r="D806" s="125"/>
      <c r="E806" s="126"/>
      <c r="F806" s="67"/>
      <c r="G806" s="67"/>
      <c r="H806" s="67"/>
      <c r="I806" s="67"/>
      <c r="J806" s="67"/>
      <c r="K806" s="67"/>
      <c r="L806" s="67"/>
      <c r="M806" s="67"/>
      <c r="N806" s="67"/>
      <c r="O806" s="67"/>
      <c r="P806" s="67"/>
      <c r="Q806" s="67"/>
      <c r="R806" s="67"/>
      <c r="S806" s="67"/>
      <c r="T806" s="67"/>
      <c r="U806" s="67"/>
      <c r="V806" s="67"/>
      <c r="W806" s="67"/>
      <c r="X806" s="67"/>
      <c r="Y806" s="67"/>
      <c r="Z806" s="67"/>
    </row>
    <row r="807">
      <c r="A807" s="136"/>
      <c r="B807" s="131"/>
      <c r="C807" s="131"/>
      <c r="D807" s="131"/>
      <c r="E807" s="130"/>
      <c r="F807" s="67"/>
      <c r="G807" s="67"/>
      <c r="H807" s="67"/>
      <c r="I807" s="67"/>
      <c r="J807" s="67"/>
      <c r="K807" s="67"/>
      <c r="L807" s="67"/>
      <c r="M807" s="67"/>
      <c r="N807" s="67"/>
      <c r="O807" s="67"/>
      <c r="P807" s="67"/>
      <c r="Q807" s="67"/>
      <c r="R807" s="67"/>
      <c r="S807" s="67"/>
      <c r="T807" s="67"/>
      <c r="U807" s="67"/>
      <c r="V807" s="67"/>
      <c r="W807" s="67"/>
      <c r="X807" s="67"/>
      <c r="Y807" s="67"/>
      <c r="Z807" s="67"/>
    </row>
    <row r="808">
      <c r="A808" s="135"/>
      <c r="B808" s="125"/>
      <c r="C808" s="125"/>
      <c r="D808" s="125"/>
      <c r="E808" s="126"/>
      <c r="F808" s="67"/>
      <c r="G808" s="67"/>
      <c r="H808" s="67"/>
      <c r="I808" s="67"/>
      <c r="J808" s="67"/>
      <c r="K808" s="67"/>
      <c r="L808" s="67"/>
      <c r="M808" s="67"/>
      <c r="N808" s="67"/>
      <c r="O808" s="67"/>
      <c r="P808" s="67"/>
      <c r="Q808" s="67"/>
      <c r="R808" s="67"/>
      <c r="S808" s="67"/>
      <c r="T808" s="67"/>
      <c r="U808" s="67"/>
      <c r="V808" s="67"/>
      <c r="W808" s="67"/>
      <c r="X808" s="67"/>
      <c r="Y808" s="67"/>
      <c r="Z808" s="67"/>
    </row>
    <row r="809">
      <c r="A809" s="136"/>
      <c r="B809" s="131"/>
      <c r="C809" s="131"/>
      <c r="D809" s="131"/>
      <c r="E809" s="130"/>
      <c r="F809" s="67"/>
      <c r="G809" s="67"/>
      <c r="H809" s="67"/>
      <c r="I809" s="67"/>
      <c r="J809" s="67"/>
      <c r="K809" s="67"/>
      <c r="L809" s="67"/>
      <c r="M809" s="67"/>
      <c r="N809" s="67"/>
      <c r="O809" s="67"/>
      <c r="P809" s="67"/>
      <c r="Q809" s="67"/>
      <c r="R809" s="67"/>
      <c r="S809" s="67"/>
      <c r="T809" s="67"/>
      <c r="U809" s="67"/>
      <c r="V809" s="67"/>
      <c r="W809" s="67"/>
      <c r="X809" s="67"/>
      <c r="Y809" s="67"/>
      <c r="Z809" s="67"/>
    </row>
    <row r="810">
      <c r="A810" s="135"/>
      <c r="B810" s="125"/>
      <c r="C810" s="125"/>
      <c r="D810" s="125"/>
      <c r="E810" s="126"/>
      <c r="F810" s="67"/>
      <c r="G810" s="67"/>
      <c r="H810" s="67"/>
      <c r="I810" s="67"/>
      <c r="J810" s="67"/>
      <c r="K810" s="67"/>
      <c r="L810" s="67"/>
      <c r="M810" s="67"/>
      <c r="N810" s="67"/>
      <c r="O810" s="67"/>
      <c r="P810" s="67"/>
      <c r="Q810" s="67"/>
      <c r="R810" s="67"/>
      <c r="S810" s="67"/>
      <c r="T810" s="67"/>
      <c r="U810" s="67"/>
      <c r="V810" s="67"/>
      <c r="W810" s="67"/>
      <c r="X810" s="67"/>
      <c r="Y810" s="67"/>
      <c r="Z810" s="67"/>
    </row>
    <row r="811">
      <c r="A811" s="136"/>
      <c r="B811" s="131"/>
      <c r="C811" s="131"/>
      <c r="D811" s="131"/>
      <c r="E811" s="130"/>
      <c r="F811" s="67"/>
      <c r="G811" s="67"/>
      <c r="H811" s="67"/>
      <c r="I811" s="67"/>
      <c r="J811" s="67"/>
      <c r="K811" s="67"/>
      <c r="L811" s="67"/>
      <c r="M811" s="67"/>
      <c r="N811" s="67"/>
      <c r="O811" s="67"/>
      <c r="P811" s="67"/>
      <c r="Q811" s="67"/>
      <c r="R811" s="67"/>
      <c r="S811" s="67"/>
      <c r="T811" s="67"/>
      <c r="U811" s="67"/>
      <c r="V811" s="67"/>
      <c r="W811" s="67"/>
      <c r="X811" s="67"/>
      <c r="Y811" s="67"/>
      <c r="Z811" s="67"/>
    </row>
    <row r="812">
      <c r="A812" s="135"/>
      <c r="B812" s="125"/>
      <c r="C812" s="125"/>
      <c r="D812" s="125"/>
      <c r="E812" s="126"/>
      <c r="F812" s="67"/>
      <c r="G812" s="67"/>
      <c r="H812" s="67"/>
      <c r="I812" s="67"/>
      <c r="J812" s="67"/>
      <c r="K812" s="67"/>
      <c r="L812" s="67"/>
      <c r="M812" s="67"/>
      <c r="N812" s="67"/>
      <c r="O812" s="67"/>
      <c r="P812" s="67"/>
      <c r="Q812" s="67"/>
      <c r="R812" s="67"/>
      <c r="S812" s="67"/>
      <c r="T812" s="67"/>
      <c r="U812" s="67"/>
      <c r="V812" s="67"/>
      <c r="W812" s="67"/>
      <c r="X812" s="67"/>
      <c r="Y812" s="67"/>
      <c r="Z812" s="67"/>
    </row>
    <row r="813">
      <c r="A813" s="136"/>
      <c r="B813" s="131"/>
      <c r="C813" s="131"/>
      <c r="D813" s="131"/>
      <c r="E813" s="130"/>
      <c r="F813" s="67"/>
      <c r="G813" s="67"/>
      <c r="H813" s="67"/>
      <c r="I813" s="67"/>
      <c r="J813" s="67"/>
      <c r="K813" s="67"/>
      <c r="L813" s="67"/>
      <c r="M813" s="67"/>
      <c r="N813" s="67"/>
      <c r="O813" s="67"/>
      <c r="P813" s="67"/>
      <c r="Q813" s="67"/>
      <c r="R813" s="67"/>
      <c r="S813" s="67"/>
      <c r="T813" s="67"/>
      <c r="U813" s="67"/>
      <c r="V813" s="67"/>
      <c r="W813" s="67"/>
      <c r="X813" s="67"/>
      <c r="Y813" s="67"/>
      <c r="Z813" s="67"/>
    </row>
    <row r="814">
      <c r="A814" s="135"/>
      <c r="B814" s="125"/>
      <c r="C814" s="125"/>
      <c r="D814" s="125"/>
      <c r="E814" s="126"/>
      <c r="F814" s="67"/>
      <c r="G814" s="67"/>
      <c r="H814" s="67"/>
      <c r="I814" s="67"/>
      <c r="J814" s="67"/>
      <c r="K814" s="67"/>
      <c r="L814" s="67"/>
      <c r="M814" s="67"/>
      <c r="N814" s="67"/>
      <c r="O814" s="67"/>
      <c r="P814" s="67"/>
      <c r="Q814" s="67"/>
      <c r="R814" s="67"/>
      <c r="S814" s="67"/>
      <c r="T814" s="67"/>
      <c r="U814" s="67"/>
      <c r="V814" s="67"/>
      <c r="W814" s="67"/>
      <c r="X814" s="67"/>
      <c r="Y814" s="67"/>
      <c r="Z814" s="67"/>
    </row>
    <row r="815">
      <c r="A815" s="136"/>
      <c r="B815" s="131"/>
      <c r="C815" s="131"/>
      <c r="D815" s="131"/>
      <c r="E815" s="130"/>
      <c r="F815" s="67"/>
      <c r="G815" s="67"/>
      <c r="H815" s="67"/>
      <c r="I815" s="67"/>
      <c r="J815" s="67"/>
      <c r="K815" s="67"/>
      <c r="L815" s="67"/>
      <c r="M815" s="67"/>
      <c r="N815" s="67"/>
      <c r="O815" s="67"/>
      <c r="P815" s="67"/>
      <c r="Q815" s="67"/>
      <c r="R815" s="67"/>
      <c r="S815" s="67"/>
      <c r="T815" s="67"/>
      <c r="U815" s="67"/>
      <c r="V815" s="67"/>
      <c r="W815" s="67"/>
      <c r="X815" s="67"/>
      <c r="Y815" s="67"/>
      <c r="Z815" s="67"/>
    </row>
    <row r="816">
      <c r="A816" s="135"/>
      <c r="B816" s="125"/>
      <c r="C816" s="125"/>
      <c r="D816" s="125"/>
      <c r="E816" s="126"/>
      <c r="F816" s="67"/>
      <c r="G816" s="67"/>
      <c r="H816" s="67"/>
      <c r="I816" s="67"/>
      <c r="J816" s="67"/>
      <c r="K816" s="67"/>
      <c r="L816" s="67"/>
      <c r="M816" s="67"/>
      <c r="N816" s="67"/>
      <c r="O816" s="67"/>
      <c r="P816" s="67"/>
      <c r="Q816" s="67"/>
      <c r="R816" s="67"/>
      <c r="S816" s="67"/>
      <c r="T816" s="67"/>
      <c r="U816" s="67"/>
      <c r="V816" s="67"/>
      <c r="W816" s="67"/>
      <c r="X816" s="67"/>
      <c r="Y816" s="67"/>
      <c r="Z816" s="67"/>
    </row>
    <row r="817">
      <c r="A817" s="136"/>
      <c r="B817" s="131"/>
      <c r="C817" s="131"/>
      <c r="D817" s="131"/>
      <c r="E817" s="130"/>
      <c r="F817" s="67"/>
      <c r="G817" s="67"/>
      <c r="H817" s="67"/>
      <c r="I817" s="67"/>
      <c r="J817" s="67"/>
      <c r="K817" s="67"/>
      <c r="L817" s="67"/>
      <c r="M817" s="67"/>
      <c r="N817" s="67"/>
      <c r="O817" s="67"/>
      <c r="P817" s="67"/>
      <c r="Q817" s="67"/>
      <c r="R817" s="67"/>
      <c r="S817" s="67"/>
      <c r="T817" s="67"/>
      <c r="U817" s="67"/>
      <c r="V817" s="67"/>
      <c r="W817" s="67"/>
      <c r="X817" s="67"/>
      <c r="Y817" s="67"/>
      <c r="Z817" s="67"/>
    </row>
    <row r="818">
      <c r="A818" s="135"/>
      <c r="B818" s="125"/>
      <c r="C818" s="125"/>
      <c r="D818" s="125"/>
      <c r="E818" s="126"/>
      <c r="F818" s="67"/>
      <c r="G818" s="67"/>
      <c r="H818" s="67"/>
      <c r="I818" s="67"/>
      <c r="J818" s="67"/>
      <c r="K818" s="67"/>
      <c r="L818" s="67"/>
      <c r="M818" s="67"/>
      <c r="N818" s="67"/>
      <c r="O818" s="67"/>
      <c r="P818" s="67"/>
      <c r="Q818" s="67"/>
      <c r="R818" s="67"/>
      <c r="S818" s="67"/>
      <c r="T818" s="67"/>
      <c r="U818" s="67"/>
      <c r="V818" s="67"/>
      <c r="W818" s="67"/>
      <c r="X818" s="67"/>
      <c r="Y818" s="67"/>
      <c r="Z818" s="67"/>
    </row>
    <row r="819">
      <c r="A819" s="136"/>
      <c r="B819" s="131"/>
      <c r="C819" s="131"/>
      <c r="D819" s="131"/>
      <c r="E819" s="130"/>
      <c r="F819" s="67"/>
      <c r="G819" s="67"/>
      <c r="H819" s="67"/>
      <c r="I819" s="67"/>
      <c r="J819" s="67"/>
      <c r="K819" s="67"/>
      <c r="L819" s="67"/>
      <c r="M819" s="67"/>
      <c r="N819" s="67"/>
      <c r="O819" s="67"/>
      <c r="P819" s="67"/>
      <c r="Q819" s="67"/>
      <c r="R819" s="67"/>
      <c r="S819" s="67"/>
      <c r="T819" s="67"/>
      <c r="U819" s="67"/>
      <c r="V819" s="67"/>
      <c r="W819" s="67"/>
      <c r="X819" s="67"/>
      <c r="Y819" s="67"/>
      <c r="Z819" s="67"/>
    </row>
    <row r="820">
      <c r="A820" s="135"/>
      <c r="B820" s="125"/>
      <c r="C820" s="125"/>
      <c r="D820" s="125"/>
      <c r="E820" s="126"/>
      <c r="F820" s="67"/>
      <c r="G820" s="67"/>
      <c r="H820" s="67"/>
      <c r="I820" s="67"/>
      <c r="J820" s="67"/>
      <c r="K820" s="67"/>
      <c r="L820" s="67"/>
      <c r="M820" s="67"/>
      <c r="N820" s="67"/>
      <c r="O820" s="67"/>
      <c r="P820" s="67"/>
      <c r="Q820" s="67"/>
      <c r="R820" s="67"/>
      <c r="S820" s="67"/>
      <c r="T820" s="67"/>
      <c r="U820" s="67"/>
      <c r="V820" s="67"/>
      <c r="W820" s="67"/>
      <c r="X820" s="67"/>
      <c r="Y820" s="67"/>
      <c r="Z820" s="67"/>
    </row>
    <row r="821">
      <c r="A821" s="136"/>
      <c r="B821" s="131"/>
      <c r="C821" s="131"/>
      <c r="D821" s="131"/>
      <c r="E821" s="130"/>
      <c r="F821" s="67"/>
      <c r="G821" s="67"/>
      <c r="H821" s="67"/>
      <c r="I821" s="67"/>
      <c r="J821" s="67"/>
      <c r="K821" s="67"/>
      <c r="L821" s="67"/>
      <c r="M821" s="67"/>
      <c r="N821" s="67"/>
      <c r="O821" s="67"/>
      <c r="P821" s="67"/>
      <c r="Q821" s="67"/>
      <c r="R821" s="67"/>
      <c r="S821" s="67"/>
      <c r="T821" s="67"/>
      <c r="U821" s="67"/>
      <c r="V821" s="67"/>
      <c r="W821" s="67"/>
      <c r="X821" s="67"/>
      <c r="Y821" s="67"/>
      <c r="Z821" s="67"/>
    </row>
    <row r="822">
      <c r="A822" s="135"/>
      <c r="B822" s="125"/>
      <c r="C822" s="125"/>
      <c r="D822" s="125"/>
      <c r="E822" s="126"/>
      <c r="F822" s="67"/>
      <c r="G822" s="67"/>
      <c r="H822" s="67"/>
      <c r="I822" s="67"/>
      <c r="J822" s="67"/>
      <c r="K822" s="67"/>
      <c r="L822" s="67"/>
      <c r="M822" s="67"/>
      <c r="N822" s="67"/>
      <c r="O822" s="67"/>
      <c r="P822" s="67"/>
      <c r="Q822" s="67"/>
      <c r="R822" s="67"/>
      <c r="S822" s="67"/>
      <c r="T822" s="67"/>
      <c r="U822" s="67"/>
      <c r="V822" s="67"/>
      <c r="W822" s="67"/>
      <c r="X822" s="67"/>
      <c r="Y822" s="67"/>
      <c r="Z822" s="67"/>
    </row>
    <row r="823">
      <c r="A823" s="136"/>
      <c r="B823" s="131"/>
      <c r="C823" s="131"/>
      <c r="D823" s="131"/>
      <c r="E823" s="130"/>
      <c r="F823" s="67"/>
      <c r="G823" s="67"/>
      <c r="H823" s="67"/>
      <c r="I823" s="67"/>
      <c r="J823" s="67"/>
      <c r="K823" s="67"/>
      <c r="L823" s="67"/>
      <c r="M823" s="67"/>
      <c r="N823" s="67"/>
      <c r="O823" s="67"/>
      <c r="P823" s="67"/>
      <c r="Q823" s="67"/>
      <c r="R823" s="67"/>
      <c r="S823" s="67"/>
      <c r="T823" s="67"/>
      <c r="U823" s="67"/>
      <c r="V823" s="67"/>
      <c r="W823" s="67"/>
      <c r="X823" s="67"/>
      <c r="Y823" s="67"/>
      <c r="Z823" s="67"/>
    </row>
    <row r="824">
      <c r="A824" s="135"/>
      <c r="B824" s="125"/>
      <c r="C824" s="125"/>
      <c r="D824" s="125"/>
      <c r="E824" s="126"/>
      <c r="F824" s="67"/>
      <c r="G824" s="67"/>
      <c r="H824" s="67"/>
      <c r="I824" s="67"/>
      <c r="J824" s="67"/>
      <c r="K824" s="67"/>
      <c r="L824" s="67"/>
      <c r="M824" s="67"/>
      <c r="N824" s="67"/>
      <c r="O824" s="67"/>
      <c r="P824" s="67"/>
      <c r="Q824" s="67"/>
      <c r="R824" s="67"/>
      <c r="S824" s="67"/>
      <c r="T824" s="67"/>
      <c r="U824" s="67"/>
      <c r="V824" s="67"/>
      <c r="W824" s="67"/>
      <c r="X824" s="67"/>
      <c r="Y824" s="67"/>
      <c r="Z824" s="67"/>
    </row>
    <row r="825">
      <c r="A825" s="136"/>
      <c r="B825" s="131"/>
      <c r="C825" s="131"/>
      <c r="D825" s="131"/>
      <c r="E825" s="130"/>
      <c r="F825" s="67"/>
      <c r="G825" s="67"/>
      <c r="H825" s="67"/>
      <c r="I825" s="67"/>
      <c r="J825" s="67"/>
      <c r="K825" s="67"/>
      <c r="L825" s="67"/>
      <c r="M825" s="67"/>
      <c r="N825" s="67"/>
      <c r="O825" s="67"/>
      <c r="P825" s="67"/>
      <c r="Q825" s="67"/>
      <c r="R825" s="67"/>
      <c r="S825" s="67"/>
      <c r="T825" s="67"/>
      <c r="U825" s="67"/>
      <c r="V825" s="67"/>
      <c r="W825" s="67"/>
      <c r="X825" s="67"/>
      <c r="Y825" s="67"/>
      <c r="Z825" s="67"/>
    </row>
    <row r="826">
      <c r="A826" s="135"/>
      <c r="B826" s="125"/>
      <c r="C826" s="125"/>
      <c r="D826" s="125"/>
      <c r="E826" s="126"/>
      <c r="F826" s="67"/>
      <c r="G826" s="67"/>
      <c r="H826" s="67"/>
      <c r="I826" s="67"/>
      <c r="J826" s="67"/>
      <c r="K826" s="67"/>
      <c r="L826" s="67"/>
      <c r="M826" s="67"/>
      <c r="N826" s="67"/>
      <c r="O826" s="67"/>
      <c r="P826" s="67"/>
      <c r="Q826" s="67"/>
      <c r="R826" s="67"/>
      <c r="S826" s="67"/>
      <c r="T826" s="67"/>
      <c r="U826" s="67"/>
      <c r="V826" s="67"/>
      <c r="W826" s="67"/>
      <c r="X826" s="67"/>
      <c r="Y826" s="67"/>
      <c r="Z826" s="67"/>
    </row>
    <row r="827">
      <c r="A827" s="136"/>
      <c r="B827" s="131"/>
      <c r="C827" s="131"/>
      <c r="D827" s="131"/>
      <c r="E827" s="130"/>
      <c r="F827" s="67"/>
      <c r="G827" s="67"/>
      <c r="H827" s="67"/>
      <c r="I827" s="67"/>
      <c r="J827" s="67"/>
      <c r="K827" s="67"/>
      <c r="L827" s="67"/>
      <c r="M827" s="67"/>
      <c r="N827" s="67"/>
      <c r="O827" s="67"/>
      <c r="P827" s="67"/>
      <c r="Q827" s="67"/>
      <c r="R827" s="67"/>
      <c r="S827" s="67"/>
      <c r="T827" s="67"/>
      <c r="U827" s="67"/>
      <c r="V827" s="67"/>
      <c r="W827" s="67"/>
      <c r="X827" s="67"/>
      <c r="Y827" s="67"/>
      <c r="Z827" s="67"/>
    </row>
    <row r="828">
      <c r="A828" s="135"/>
      <c r="B828" s="125"/>
      <c r="C828" s="125"/>
      <c r="D828" s="125"/>
      <c r="E828" s="126"/>
      <c r="F828" s="67"/>
      <c r="G828" s="67"/>
      <c r="H828" s="67"/>
      <c r="I828" s="67"/>
      <c r="J828" s="67"/>
      <c r="K828" s="67"/>
      <c r="L828" s="67"/>
      <c r="M828" s="67"/>
      <c r="N828" s="67"/>
      <c r="O828" s="67"/>
      <c r="P828" s="67"/>
      <c r="Q828" s="67"/>
      <c r="R828" s="67"/>
      <c r="S828" s="67"/>
      <c r="T828" s="67"/>
      <c r="U828" s="67"/>
      <c r="V828" s="67"/>
      <c r="W828" s="67"/>
      <c r="X828" s="67"/>
      <c r="Y828" s="67"/>
      <c r="Z828" s="67"/>
    </row>
    <row r="829">
      <c r="A829" s="136"/>
      <c r="B829" s="131"/>
      <c r="C829" s="131"/>
      <c r="D829" s="131"/>
      <c r="E829" s="130"/>
      <c r="F829" s="67"/>
      <c r="G829" s="67"/>
      <c r="H829" s="67"/>
      <c r="I829" s="67"/>
      <c r="J829" s="67"/>
      <c r="K829" s="67"/>
      <c r="L829" s="67"/>
      <c r="M829" s="67"/>
      <c r="N829" s="67"/>
      <c r="O829" s="67"/>
      <c r="P829" s="67"/>
      <c r="Q829" s="67"/>
      <c r="R829" s="67"/>
      <c r="S829" s="67"/>
      <c r="T829" s="67"/>
      <c r="U829" s="67"/>
      <c r="V829" s="67"/>
      <c r="W829" s="67"/>
      <c r="X829" s="67"/>
      <c r="Y829" s="67"/>
      <c r="Z829" s="67"/>
    </row>
    <row r="830">
      <c r="A830" s="135"/>
      <c r="B830" s="125"/>
      <c r="C830" s="125"/>
      <c r="D830" s="125"/>
      <c r="E830" s="126"/>
      <c r="F830" s="67"/>
      <c r="G830" s="67"/>
      <c r="H830" s="67"/>
      <c r="I830" s="67"/>
      <c r="J830" s="67"/>
      <c r="K830" s="67"/>
      <c r="L830" s="67"/>
      <c r="M830" s="67"/>
      <c r="N830" s="67"/>
      <c r="O830" s="67"/>
      <c r="P830" s="67"/>
      <c r="Q830" s="67"/>
      <c r="R830" s="67"/>
      <c r="S830" s="67"/>
      <c r="T830" s="67"/>
      <c r="U830" s="67"/>
      <c r="V830" s="67"/>
      <c r="W830" s="67"/>
      <c r="X830" s="67"/>
      <c r="Y830" s="67"/>
      <c r="Z830" s="67"/>
    </row>
    <row r="831">
      <c r="A831" s="136"/>
      <c r="B831" s="131"/>
      <c r="C831" s="131"/>
      <c r="D831" s="131"/>
      <c r="E831" s="130"/>
      <c r="F831" s="67"/>
      <c r="G831" s="67"/>
      <c r="H831" s="67"/>
      <c r="I831" s="67"/>
      <c r="J831" s="67"/>
      <c r="K831" s="67"/>
      <c r="L831" s="67"/>
      <c r="M831" s="67"/>
      <c r="N831" s="67"/>
      <c r="O831" s="67"/>
      <c r="P831" s="67"/>
      <c r="Q831" s="67"/>
      <c r="R831" s="67"/>
      <c r="S831" s="67"/>
      <c r="T831" s="67"/>
      <c r="U831" s="67"/>
      <c r="V831" s="67"/>
      <c r="W831" s="67"/>
      <c r="X831" s="67"/>
      <c r="Y831" s="67"/>
      <c r="Z831" s="67"/>
    </row>
    <row r="832">
      <c r="A832" s="135"/>
      <c r="B832" s="125"/>
      <c r="C832" s="125"/>
      <c r="D832" s="125"/>
      <c r="E832" s="126"/>
      <c r="F832" s="67"/>
      <c r="G832" s="67"/>
      <c r="H832" s="67"/>
      <c r="I832" s="67"/>
      <c r="J832" s="67"/>
      <c r="K832" s="67"/>
      <c r="L832" s="67"/>
      <c r="M832" s="67"/>
      <c r="N832" s="67"/>
      <c r="O832" s="67"/>
      <c r="P832" s="67"/>
      <c r="Q832" s="67"/>
      <c r="R832" s="67"/>
      <c r="S832" s="67"/>
      <c r="T832" s="67"/>
      <c r="U832" s="67"/>
      <c r="V832" s="67"/>
      <c r="W832" s="67"/>
      <c r="X832" s="67"/>
      <c r="Y832" s="67"/>
      <c r="Z832" s="67"/>
    </row>
    <row r="833">
      <c r="A833" s="136"/>
      <c r="B833" s="131"/>
      <c r="C833" s="131"/>
      <c r="D833" s="131"/>
      <c r="E833" s="130"/>
      <c r="F833" s="67"/>
      <c r="G833" s="67"/>
      <c r="H833" s="67"/>
      <c r="I833" s="67"/>
      <c r="J833" s="67"/>
      <c r="K833" s="67"/>
      <c r="L833" s="67"/>
      <c r="M833" s="67"/>
      <c r="N833" s="67"/>
      <c r="O833" s="67"/>
      <c r="P833" s="67"/>
      <c r="Q833" s="67"/>
      <c r="R833" s="67"/>
      <c r="S833" s="67"/>
      <c r="T833" s="67"/>
      <c r="U833" s="67"/>
      <c r="V833" s="67"/>
      <c r="W833" s="67"/>
      <c r="X833" s="67"/>
      <c r="Y833" s="67"/>
      <c r="Z833" s="67"/>
    </row>
    <row r="834">
      <c r="A834" s="135"/>
      <c r="B834" s="125"/>
      <c r="C834" s="125"/>
      <c r="D834" s="125"/>
      <c r="E834" s="126"/>
      <c r="F834" s="67"/>
      <c r="G834" s="67"/>
      <c r="H834" s="67"/>
      <c r="I834" s="67"/>
      <c r="J834" s="67"/>
      <c r="K834" s="67"/>
      <c r="L834" s="67"/>
      <c r="M834" s="67"/>
      <c r="N834" s="67"/>
      <c r="O834" s="67"/>
      <c r="P834" s="67"/>
      <c r="Q834" s="67"/>
      <c r="R834" s="67"/>
      <c r="S834" s="67"/>
      <c r="T834" s="67"/>
      <c r="U834" s="67"/>
      <c r="V834" s="67"/>
      <c r="W834" s="67"/>
      <c r="X834" s="67"/>
      <c r="Y834" s="67"/>
      <c r="Z834" s="67"/>
    </row>
    <row r="835">
      <c r="A835" s="136"/>
      <c r="B835" s="131"/>
      <c r="C835" s="131"/>
      <c r="D835" s="131"/>
      <c r="E835" s="130"/>
      <c r="F835" s="67"/>
      <c r="G835" s="67"/>
      <c r="H835" s="67"/>
      <c r="I835" s="67"/>
      <c r="J835" s="67"/>
      <c r="K835" s="67"/>
      <c r="L835" s="67"/>
      <c r="M835" s="67"/>
      <c r="N835" s="67"/>
      <c r="O835" s="67"/>
      <c r="P835" s="67"/>
      <c r="Q835" s="67"/>
      <c r="R835" s="67"/>
      <c r="S835" s="67"/>
      <c r="T835" s="67"/>
      <c r="U835" s="67"/>
      <c r="V835" s="67"/>
      <c r="W835" s="67"/>
      <c r="X835" s="67"/>
      <c r="Y835" s="67"/>
      <c r="Z835" s="67"/>
    </row>
    <row r="836">
      <c r="A836" s="135"/>
      <c r="B836" s="125"/>
      <c r="C836" s="125"/>
      <c r="D836" s="125"/>
      <c r="E836" s="126"/>
      <c r="F836" s="67"/>
      <c r="G836" s="67"/>
      <c r="H836" s="67"/>
      <c r="I836" s="67"/>
      <c r="J836" s="67"/>
      <c r="K836" s="67"/>
      <c r="L836" s="67"/>
      <c r="M836" s="67"/>
      <c r="N836" s="67"/>
      <c r="O836" s="67"/>
      <c r="P836" s="67"/>
      <c r="Q836" s="67"/>
      <c r="R836" s="67"/>
      <c r="S836" s="67"/>
      <c r="T836" s="67"/>
      <c r="U836" s="67"/>
      <c r="V836" s="67"/>
      <c r="W836" s="67"/>
      <c r="X836" s="67"/>
      <c r="Y836" s="67"/>
      <c r="Z836" s="67"/>
    </row>
    <row r="837">
      <c r="A837" s="136"/>
      <c r="B837" s="131"/>
      <c r="C837" s="131"/>
      <c r="D837" s="131"/>
      <c r="E837" s="130"/>
      <c r="F837" s="67"/>
      <c r="G837" s="67"/>
      <c r="H837" s="67"/>
      <c r="I837" s="67"/>
      <c r="J837" s="67"/>
      <c r="K837" s="67"/>
      <c r="L837" s="67"/>
      <c r="M837" s="67"/>
      <c r="N837" s="67"/>
      <c r="O837" s="67"/>
      <c r="P837" s="67"/>
      <c r="Q837" s="67"/>
      <c r="R837" s="67"/>
      <c r="S837" s="67"/>
      <c r="T837" s="67"/>
      <c r="U837" s="67"/>
      <c r="V837" s="67"/>
      <c r="W837" s="67"/>
      <c r="X837" s="67"/>
      <c r="Y837" s="67"/>
      <c r="Z837" s="67"/>
    </row>
    <row r="838">
      <c r="A838" s="135"/>
      <c r="B838" s="125"/>
      <c r="C838" s="125"/>
      <c r="D838" s="125"/>
      <c r="E838" s="126"/>
      <c r="F838" s="67"/>
      <c r="G838" s="67"/>
      <c r="H838" s="67"/>
      <c r="I838" s="67"/>
      <c r="J838" s="67"/>
      <c r="K838" s="67"/>
      <c r="L838" s="67"/>
      <c r="M838" s="67"/>
      <c r="N838" s="67"/>
      <c r="O838" s="67"/>
      <c r="P838" s="67"/>
      <c r="Q838" s="67"/>
      <c r="R838" s="67"/>
      <c r="S838" s="67"/>
      <c r="T838" s="67"/>
      <c r="U838" s="67"/>
      <c r="V838" s="67"/>
      <c r="W838" s="67"/>
      <c r="X838" s="67"/>
      <c r="Y838" s="67"/>
      <c r="Z838" s="67"/>
    </row>
    <row r="839">
      <c r="A839" s="136"/>
      <c r="B839" s="131"/>
      <c r="C839" s="131"/>
      <c r="D839" s="131"/>
      <c r="E839" s="130"/>
      <c r="F839" s="67"/>
      <c r="G839" s="67"/>
      <c r="H839" s="67"/>
      <c r="I839" s="67"/>
      <c r="J839" s="67"/>
      <c r="K839" s="67"/>
      <c r="L839" s="67"/>
      <c r="M839" s="67"/>
      <c r="N839" s="67"/>
      <c r="O839" s="67"/>
      <c r="P839" s="67"/>
      <c r="Q839" s="67"/>
      <c r="R839" s="67"/>
      <c r="S839" s="67"/>
      <c r="T839" s="67"/>
      <c r="U839" s="67"/>
      <c r="V839" s="67"/>
      <c r="W839" s="67"/>
      <c r="X839" s="67"/>
      <c r="Y839" s="67"/>
      <c r="Z839" s="67"/>
    </row>
    <row r="840">
      <c r="A840" s="135"/>
      <c r="B840" s="125"/>
      <c r="C840" s="125"/>
      <c r="D840" s="125"/>
      <c r="E840" s="126"/>
      <c r="F840" s="67"/>
      <c r="G840" s="67"/>
      <c r="H840" s="67"/>
      <c r="I840" s="67"/>
      <c r="J840" s="67"/>
      <c r="K840" s="67"/>
      <c r="L840" s="67"/>
      <c r="M840" s="67"/>
      <c r="N840" s="67"/>
      <c r="O840" s="67"/>
      <c r="P840" s="67"/>
      <c r="Q840" s="67"/>
      <c r="R840" s="67"/>
      <c r="S840" s="67"/>
      <c r="T840" s="67"/>
      <c r="U840" s="67"/>
      <c r="V840" s="67"/>
      <c r="W840" s="67"/>
      <c r="X840" s="67"/>
      <c r="Y840" s="67"/>
      <c r="Z840" s="67"/>
    </row>
    <row r="841">
      <c r="A841" s="136"/>
      <c r="B841" s="131"/>
      <c r="C841" s="131"/>
      <c r="D841" s="131"/>
      <c r="E841" s="130"/>
      <c r="F841" s="67"/>
      <c r="G841" s="67"/>
      <c r="H841" s="67"/>
      <c r="I841" s="67"/>
      <c r="J841" s="67"/>
      <c r="K841" s="67"/>
      <c r="L841" s="67"/>
      <c r="M841" s="67"/>
      <c r="N841" s="67"/>
      <c r="O841" s="67"/>
      <c r="P841" s="67"/>
      <c r="Q841" s="67"/>
      <c r="R841" s="67"/>
      <c r="S841" s="67"/>
      <c r="T841" s="67"/>
      <c r="U841" s="67"/>
      <c r="V841" s="67"/>
      <c r="W841" s="67"/>
      <c r="X841" s="67"/>
      <c r="Y841" s="67"/>
      <c r="Z841" s="67"/>
    </row>
    <row r="842">
      <c r="A842" s="135"/>
      <c r="B842" s="125"/>
      <c r="C842" s="125"/>
      <c r="D842" s="125"/>
      <c r="E842" s="126"/>
      <c r="F842" s="67"/>
      <c r="G842" s="67"/>
      <c r="H842" s="67"/>
      <c r="I842" s="67"/>
      <c r="J842" s="67"/>
      <c r="K842" s="67"/>
      <c r="L842" s="67"/>
      <c r="M842" s="67"/>
      <c r="N842" s="67"/>
      <c r="O842" s="67"/>
      <c r="P842" s="67"/>
      <c r="Q842" s="67"/>
      <c r="R842" s="67"/>
      <c r="S842" s="67"/>
      <c r="T842" s="67"/>
      <c r="U842" s="67"/>
      <c r="V842" s="67"/>
      <c r="W842" s="67"/>
      <c r="X842" s="67"/>
      <c r="Y842" s="67"/>
      <c r="Z842" s="67"/>
    </row>
    <row r="843">
      <c r="A843" s="136"/>
      <c r="B843" s="131"/>
      <c r="C843" s="131"/>
      <c r="D843" s="131"/>
      <c r="E843" s="130"/>
      <c r="F843" s="67"/>
      <c r="G843" s="67"/>
      <c r="H843" s="67"/>
      <c r="I843" s="67"/>
      <c r="J843" s="67"/>
      <c r="K843" s="67"/>
      <c r="L843" s="67"/>
      <c r="M843" s="67"/>
      <c r="N843" s="67"/>
      <c r="O843" s="67"/>
      <c r="P843" s="67"/>
      <c r="Q843" s="67"/>
      <c r="R843" s="67"/>
      <c r="S843" s="67"/>
      <c r="T843" s="67"/>
      <c r="U843" s="67"/>
      <c r="V843" s="67"/>
      <c r="W843" s="67"/>
      <c r="X843" s="67"/>
      <c r="Y843" s="67"/>
      <c r="Z843" s="67"/>
    </row>
    <row r="844">
      <c r="A844" s="135"/>
      <c r="B844" s="125"/>
      <c r="C844" s="125"/>
      <c r="D844" s="125"/>
      <c r="E844" s="126"/>
      <c r="F844" s="67"/>
      <c r="G844" s="67"/>
      <c r="H844" s="67"/>
      <c r="I844" s="67"/>
      <c r="J844" s="67"/>
      <c r="K844" s="67"/>
      <c r="L844" s="67"/>
      <c r="M844" s="67"/>
      <c r="N844" s="67"/>
      <c r="O844" s="67"/>
      <c r="P844" s="67"/>
      <c r="Q844" s="67"/>
      <c r="R844" s="67"/>
      <c r="S844" s="67"/>
      <c r="T844" s="67"/>
      <c r="U844" s="67"/>
      <c r="V844" s="67"/>
      <c r="W844" s="67"/>
      <c r="X844" s="67"/>
      <c r="Y844" s="67"/>
      <c r="Z844" s="67"/>
    </row>
    <row r="845">
      <c r="A845" s="136"/>
      <c r="B845" s="131"/>
      <c r="C845" s="131"/>
      <c r="D845" s="131"/>
      <c r="E845" s="130"/>
      <c r="F845" s="67"/>
      <c r="G845" s="67"/>
      <c r="H845" s="67"/>
      <c r="I845" s="67"/>
      <c r="J845" s="67"/>
      <c r="K845" s="67"/>
      <c r="L845" s="67"/>
      <c r="M845" s="67"/>
      <c r="N845" s="67"/>
      <c r="O845" s="67"/>
      <c r="P845" s="67"/>
      <c r="Q845" s="67"/>
      <c r="R845" s="67"/>
      <c r="S845" s="67"/>
      <c r="T845" s="67"/>
      <c r="U845" s="67"/>
      <c r="V845" s="67"/>
      <c r="W845" s="67"/>
      <c r="X845" s="67"/>
      <c r="Y845" s="67"/>
      <c r="Z845" s="67"/>
    </row>
    <row r="846">
      <c r="A846" s="135"/>
      <c r="B846" s="125"/>
      <c r="C846" s="125"/>
      <c r="D846" s="125"/>
      <c r="E846" s="126"/>
      <c r="F846" s="67"/>
      <c r="G846" s="67"/>
      <c r="H846" s="67"/>
      <c r="I846" s="67"/>
      <c r="J846" s="67"/>
      <c r="K846" s="67"/>
      <c r="L846" s="67"/>
      <c r="M846" s="67"/>
      <c r="N846" s="67"/>
      <c r="O846" s="67"/>
      <c r="P846" s="67"/>
      <c r="Q846" s="67"/>
      <c r="R846" s="67"/>
      <c r="S846" s="67"/>
      <c r="T846" s="67"/>
      <c r="U846" s="67"/>
      <c r="V846" s="67"/>
      <c r="W846" s="67"/>
      <c r="X846" s="67"/>
      <c r="Y846" s="67"/>
      <c r="Z846" s="67"/>
    </row>
    <row r="847">
      <c r="A847" s="136"/>
      <c r="B847" s="131"/>
      <c r="C847" s="131"/>
      <c r="D847" s="131"/>
      <c r="E847" s="130"/>
      <c r="F847" s="67"/>
      <c r="G847" s="67"/>
      <c r="H847" s="67"/>
      <c r="I847" s="67"/>
      <c r="J847" s="67"/>
      <c r="K847" s="67"/>
      <c r="L847" s="67"/>
      <c r="M847" s="67"/>
      <c r="N847" s="67"/>
      <c r="O847" s="67"/>
      <c r="P847" s="67"/>
      <c r="Q847" s="67"/>
      <c r="R847" s="67"/>
      <c r="S847" s="67"/>
      <c r="T847" s="67"/>
      <c r="U847" s="67"/>
      <c r="V847" s="67"/>
      <c r="W847" s="67"/>
      <c r="X847" s="67"/>
      <c r="Y847" s="67"/>
      <c r="Z847" s="67"/>
    </row>
    <row r="848">
      <c r="A848" s="135"/>
      <c r="B848" s="125"/>
      <c r="C848" s="125"/>
      <c r="D848" s="125"/>
      <c r="E848" s="126"/>
      <c r="F848" s="67"/>
      <c r="G848" s="67"/>
      <c r="H848" s="67"/>
      <c r="I848" s="67"/>
      <c r="J848" s="67"/>
      <c r="K848" s="67"/>
      <c r="L848" s="67"/>
      <c r="M848" s="67"/>
      <c r="N848" s="67"/>
      <c r="O848" s="67"/>
      <c r="P848" s="67"/>
      <c r="Q848" s="67"/>
      <c r="R848" s="67"/>
      <c r="S848" s="67"/>
      <c r="T848" s="67"/>
      <c r="U848" s="67"/>
      <c r="V848" s="67"/>
      <c r="W848" s="67"/>
      <c r="X848" s="67"/>
      <c r="Y848" s="67"/>
      <c r="Z848" s="67"/>
    </row>
    <row r="849">
      <c r="A849" s="136"/>
      <c r="B849" s="131"/>
      <c r="C849" s="131"/>
      <c r="D849" s="131"/>
      <c r="E849" s="130"/>
      <c r="F849" s="67"/>
      <c r="G849" s="67"/>
      <c r="H849" s="67"/>
      <c r="I849" s="67"/>
      <c r="J849" s="67"/>
      <c r="K849" s="67"/>
      <c r="L849" s="67"/>
      <c r="M849" s="67"/>
      <c r="N849" s="67"/>
      <c r="O849" s="67"/>
      <c r="P849" s="67"/>
      <c r="Q849" s="67"/>
      <c r="R849" s="67"/>
      <c r="S849" s="67"/>
      <c r="T849" s="67"/>
      <c r="U849" s="67"/>
      <c r="V849" s="67"/>
      <c r="W849" s="67"/>
      <c r="X849" s="67"/>
      <c r="Y849" s="67"/>
      <c r="Z849" s="67"/>
    </row>
    <row r="850">
      <c r="A850" s="135"/>
      <c r="B850" s="125"/>
      <c r="C850" s="125"/>
      <c r="D850" s="125"/>
      <c r="E850" s="126"/>
      <c r="F850" s="67"/>
      <c r="G850" s="67"/>
      <c r="H850" s="67"/>
      <c r="I850" s="67"/>
      <c r="J850" s="67"/>
      <c r="K850" s="67"/>
      <c r="L850" s="67"/>
      <c r="M850" s="67"/>
      <c r="N850" s="67"/>
      <c r="O850" s="67"/>
      <c r="P850" s="67"/>
      <c r="Q850" s="67"/>
      <c r="R850" s="67"/>
      <c r="S850" s="67"/>
      <c r="T850" s="67"/>
      <c r="U850" s="67"/>
      <c r="V850" s="67"/>
      <c r="W850" s="67"/>
      <c r="X850" s="67"/>
      <c r="Y850" s="67"/>
      <c r="Z850" s="67"/>
    </row>
    <row r="851">
      <c r="A851" s="136"/>
      <c r="B851" s="131"/>
      <c r="C851" s="131"/>
      <c r="D851" s="131"/>
      <c r="E851" s="130"/>
      <c r="F851" s="67"/>
      <c r="G851" s="67"/>
      <c r="H851" s="67"/>
      <c r="I851" s="67"/>
      <c r="J851" s="67"/>
      <c r="K851" s="67"/>
      <c r="L851" s="67"/>
      <c r="M851" s="67"/>
      <c r="N851" s="67"/>
      <c r="O851" s="67"/>
      <c r="P851" s="67"/>
      <c r="Q851" s="67"/>
      <c r="R851" s="67"/>
      <c r="S851" s="67"/>
      <c r="T851" s="67"/>
      <c r="U851" s="67"/>
      <c r="V851" s="67"/>
      <c r="W851" s="67"/>
      <c r="X851" s="67"/>
      <c r="Y851" s="67"/>
      <c r="Z851" s="67"/>
    </row>
    <row r="852">
      <c r="A852" s="135"/>
      <c r="B852" s="125"/>
      <c r="C852" s="125"/>
      <c r="D852" s="125"/>
      <c r="E852" s="126"/>
      <c r="F852" s="67"/>
      <c r="G852" s="67"/>
      <c r="H852" s="67"/>
      <c r="I852" s="67"/>
      <c r="J852" s="67"/>
      <c r="K852" s="67"/>
      <c r="L852" s="67"/>
      <c r="M852" s="67"/>
      <c r="N852" s="67"/>
      <c r="O852" s="67"/>
      <c r="P852" s="67"/>
      <c r="Q852" s="67"/>
      <c r="R852" s="67"/>
      <c r="S852" s="67"/>
      <c r="T852" s="67"/>
      <c r="U852" s="67"/>
      <c r="V852" s="67"/>
      <c r="W852" s="67"/>
      <c r="X852" s="67"/>
      <c r="Y852" s="67"/>
      <c r="Z852" s="67"/>
    </row>
    <row r="853">
      <c r="A853" s="136"/>
      <c r="B853" s="131"/>
      <c r="C853" s="131"/>
      <c r="D853" s="131"/>
      <c r="E853" s="130"/>
      <c r="F853" s="67"/>
      <c r="G853" s="67"/>
      <c r="H853" s="67"/>
      <c r="I853" s="67"/>
      <c r="J853" s="67"/>
      <c r="K853" s="67"/>
      <c r="L853" s="67"/>
      <c r="M853" s="67"/>
      <c r="N853" s="67"/>
      <c r="O853" s="67"/>
      <c r="P853" s="67"/>
      <c r="Q853" s="67"/>
      <c r="R853" s="67"/>
      <c r="S853" s="67"/>
      <c r="T853" s="67"/>
      <c r="U853" s="67"/>
      <c r="V853" s="67"/>
      <c r="W853" s="67"/>
      <c r="X853" s="67"/>
      <c r="Y853" s="67"/>
      <c r="Z853" s="67"/>
    </row>
    <row r="854">
      <c r="A854" s="135"/>
      <c r="B854" s="125"/>
      <c r="C854" s="125"/>
      <c r="D854" s="125"/>
      <c r="E854" s="126"/>
      <c r="F854" s="67"/>
      <c r="G854" s="67"/>
      <c r="H854" s="67"/>
      <c r="I854" s="67"/>
      <c r="J854" s="67"/>
      <c r="K854" s="67"/>
      <c r="L854" s="67"/>
      <c r="M854" s="67"/>
      <c r="N854" s="67"/>
      <c r="O854" s="67"/>
      <c r="P854" s="67"/>
      <c r="Q854" s="67"/>
      <c r="R854" s="67"/>
      <c r="S854" s="67"/>
      <c r="T854" s="67"/>
      <c r="U854" s="67"/>
      <c r="V854" s="67"/>
      <c r="W854" s="67"/>
      <c r="X854" s="67"/>
      <c r="Y854" s="67"/>
      <c r="Z854" s="67"/>
    </row>
    <row r="855">
      <c r="A855" s="136"/>
      <c r="B855" s="131"/>
      <c r="C855" s="131"/>
      <c r="D855" s="131"/>
      <c r="E855" s="130"/>
      <c r="F855" s="67"/>
      <c r="G855" s="67"/>
      <c r="H855" s="67"/>
      <c r="I855" s="67"/>
      <c r="J855" s="67"/>
      <c r="K855" s="67"/>
      <c r="L855" s="67"/>
      <c r="M855" s="67"/>
      <c r="N855" s="67"/>
      <c r="O855" s="67"/>
      <c r="P855" s="67"/>
      <c r="Q855" s="67"/>
      <c r="R855" s="67"/>
      <c r="S855" s="67"/>
      <c r="T855" s="67"/>
      <c r="U855" s="67"/>
      <c r="V855" s="67"/>
      <c r="W855" s="67"/>
      <c r="X855" s="67"/>
      <c r="Y855" s="67"/>
      <c r="Z855" s="67"/>
    </row>
    <row r="856">
      <c r="A856" s="135"/>
      <c r="B856" s="125"/>
      <c r="C856" s="125"/>
      <c r="D856" s="125"/>
      <c r="E856" s="126"/>
      <c r="F856" s="67"/>
      <c r="G856" s="67"/>
      <c r="H856" s="67"/>
      <c r="I856" s="67"/>
      <c r="J856" s="67"/>
      <c r="K856" s="67"/>
      <c r="L856" s="67"/>
      <c r="M856" s="67"/>
      <c r="N856" s="67"/>
      <c r="O856" s="67"/>
      <c r="P856" s="67"/>
      <c r="Q856" s="67"/>
      <c r="R856" s="67"/>
      <c r="S856" s="67"/>
      <c r="T856" s="67"/>
      <c r="U856" s="67"/>
      <c r="V856" s="67"/>
      <c r="W856" s="67"/>
      <c r="X856" s="67"/>
      <c r="Y856" s="67"/>
      <c r="Z856" s="67"/>
    </row>
    <row r="857">
      <c r="A857" s="136"/>
      <c r="B857" s="131"/>
      <c r="C857" s="131"/>
      <c r="D857" s="131"/>
      <c r="E857" s="130"/>
      <c r="F857" s="67"/>
      <c r="G857" s="67"/>
      <c r="H857" s="67"/>
      <c r="I857" s="67"/>
      <c r="J857" s="67"/>
      <c r="K857" s="67"/>
      <c r="L857" s="67"/>
      <c r="M857" s="67"/>
      <c r="N857" s="67"/>
      <c r="O857" s="67"/>
      <c r="P857" s="67"/>
      <c r="Q857" s="67"/>
      <c r="R857" s="67"/>
      <c r="S857" s="67"/>
      <c r="T857" s="67"/>
      <c r="U857" s="67"/>
      <c r="V857" s="67"/>
      <c r="W857" s="67"/>
      <c r="X857" s="67"/>
      <c r="Y857" s="67"/>
      <c r="Z857" s="67"/>
    </row>
    <row r="858">
      <c r="A858" s="135"/>
      <c r="B858" s="125"/>
      <c r="C858" s="125"/>
      <c r="D858" s="125"/>
      <c r="E858" s="126"/>
      <c r="F858" s="67"/>
      <c r="G858" s="67"/>
      <c r="H858" s="67"/>
      <c r="I858" s="67"/>
      <c r="J858" s="67"/>
      <c r="K858" s="67"/>
      <c r="L858" s="67"/>
      <c r="M858" s="67"/>
      <c r="N858" s="67"/>
      <c r="O858" s="67"/>
      <c r="P858" s="67"/>
      <c r="Q858" s="67"/>
      <c r="R858" s="67"/>
      <c r="S858" s="67"/>
      <c r="T858" s="67"/>
      <c r="U858" s="67"/>
      <c r="V858" s="67"/>
      <c r="W858" s="67"/>
      <c r="X858" s="67"/>
      <c r="Y858" s="67"/>
      <c r="Z858" s="67"/>
    </row>
    <row r="859">
      <c r="A859" s="136"/>
      <c r="B859" s="131"/>
      <c r="C859" s="131"/>
      <c r="D859" s="131"/>
      <c r="E859" s="130"/>
      <c r="F859" s="67"/>
      <c r="G859" s="67"/>
      <c r="H859" s="67"/>
      <c r="I859" s="67"/>
      <c r="J859" s="67"/>
      <c r="K859" s="67"/>
      <c r="L859" s="67"/>
      <c r="M859" s="67"/>
      <c r="N859" s="67"/>
      <c r="O859" s="67"/>
      <c r="P859" s="67"/>
      <c r="Q859" s="67"/>
      <c r="R859" s="67"/>
      <c r="S859" s="67"/>
      <c r="T859" s="67"/>
      <c r="U859" s="67"/>
      <c r="V859" s="67"/>
      <c r="W859" s="67"/>
      <c r="X859" s="67"/>
      <c r="Y859" s="67"/>
      <c r="Z859" s="67"/>
    </row>
    <row r="860">
      <c r="A860" s="135"/>
      <c r="B860" s="125"/>
      <c r="C860" s="125"/>
      <c r="D860" s="125"/>
      <c r="E860" s="126"/>
      <c r="F860" s="67"/>
      <c r="G860" s="67"/>
      <c r="H860" s="67"/>
      <c r="I860" s="67"/>
      <c r="J860" s="67"/>
      <c r="K860" s="67"/>
      <c r="L860" s="67"/>
      <c r="M860" s="67"/>
      <c r="N860" s="67"/>
      <c r="O860" s="67"/>
      <c r="P860" s="67"/>
      <c r="Q860" s="67"/>
      <c r="R860" s="67"/>
      <c r="S860" s="67"/>
      <c r="T860" s="67"/>
      <c r="U860" s="67"/>
      <c r="V860" s="67"/>
      <c r="W860" s="67"/>
      <c r="X860" s="67"/>
      <c r="Y860" s="67"/>
      <c r="Z860" s="67"/>
    </row>
    <row r="861">
      <c r="A861" s="136"/>
      <c r="B861" s="131"/>
      <c r="C861" s="131"/>
      <c r="D861" s="131"/>
      <c r="E861" s="130"/>
      <c r="F861" s="67"/>
      <c r="G861" s="67"/>
      <c r="H861" s="67"/>
      <c r="I861" s="67"/>
      <c r="J861" s="67"/>
      <c r="K861" s="67"/>
      <c r="L861" s="67"/>
      <c r="M861" s="67"/>
      <c r="N861" s="67"/>
      <c r="O861" s="67"/>
      <c r="P861" s="67"/>
      <c r="Q861" s="67"/>
      <c r="R861" s="67"/>
      <c r="S861" s="67"/>
      <c r="T861" s="67"/>
      <c r="U861" s="67"/>
      <c r="V861" s="67"/>
      <c r="W861" s="67"/>
      <c r="X861" s="67"/>
      <c r="Y861" s="67"/>
      <c r="Z861" s="67"/>
    </row>
    <row r="862">
      <c r="A862" s="135"/>
      <c r="B862" s="125"/>
      <c r="C862" s="125"/>
      <c r="D862" s="125"/>
      <c r="E862" s="126"/>
      <c r="F862" s="67"/>
      <c r="G862" s="67"/>
      <c r="H862" s="67"/>
      <c r="I862" s="67"/>
      <c r="J862" s="67"/>
      <c r="K862" s="67"/>
      <c r="L862" s="67"/>
      <c r="M862" s="67"/>
      <c r="N862" s="67"/>
      <c r="O862" s="67"/>
      <c r="P862" s="67"/>
      <c r="Q862" s="67"/>
      <c r="R862" s="67"/>
      <c r="S862" s="67"/>
      <c r="T862" s="67"/>
      <c r="U862" s="67"/>
      <c r="V862" s="67"/>
      <c r="W862" s="67"/>
      <c r="X862" s="67"/>
      <c r="Y862" s="67"/>
      <c r="Z862" s="67"/>
    </row>
    <row r="863">
      <c r="A863" s="136"/>
      <c r="B863" s="131"/>
      <c r="C863" s="131"/>
      <c r="D863" s="131"/>
      <c r="E863" s="130"/>
      <c r="F863" s="67"/>
      <c r="G863" s="67"/>
      <c r="H863" s="67"/>
      <c r="I863" s="67"/>
      <c r="J863" s="67"/>
      <c r="K863" s="67"/>
      <c r="L863" s="67"/>
      <c r="M863" s="67"/>
      <c r="N863" s="67"/>
      <c r="O863" s="67"/>
      <c r="P863" s="67"/>
      <c r="Q863" s="67"/>
      <c r="R863" s="67"/>
      <c r="S863" s="67"/>
      <c r="T863" s="67"/>
      <c r="U863" s="67"/>
      <c r="V863" s="67"/>
      <c r="W863" s="67"/>
      <c r="X863" s="67"/>
      <c r="Y863" s="67"/>
      <c r="Z863" s="67"/>
    </row>
    <row r="864">
      <c r="A864" s="135"/>
      <c r="B864" s="125"/>
      <c r="C864" s="125"/>
      <c r="D864" s="125"/>
      <c r="E864" s="126"/>
      <c r="F864" s="67"/>
      <c r="G864" s="67"/>
      <c r="H864" s="67"/>
      <c r="I864" s="67"/>
      <c r="J864" s="67"/>
      <c r="K864" s="67"/>
      <c r="L864" s="67"/>
      <c r="M864" s="67"/>
      <c r="N864" s="67"/>
      <c r="O864" s="67"/>
      <c r="P864" s="67"/>
      <c r="Q864" s="67"/>
      <c r="R864" s="67"/>
      <c r="S864" s="67"/>
      <c r="T864" s="67"/>
      <c r="U864" s="67"/>
      <c r="V864" s="67"/>
      <c r="W864" s="67"/>
      <c r="X864" s="67"/>
      <c r="Y864" s="67"/>
      <c r="Z864" s="67"/>
    </row>
    <row r="865">
      <c r="A865" s="136"/>
      <c r="B865" s="131"/>
      <c r="C865" s="131"/>
      <c r="D865" s="131"/>
      <c r="E865" s="130"/>
      <c r="F865" s="67"/>
      <c r="G865" s="67"/>
      <c r="H865" s="67"/>
      <c r="I865" s="67"/>
      <c r="J865" s="67"/>
      <c r="K865" s="67"/>
      <c r="L865" s="67"/>
      <c r="M865" s="67"/>
      <c r="N865" s="67"/>
      <c r="O865" s="67"/>
      <c r="P865" s="67"/>
      <c r="Q865" s="67"/>
      <c r="R865" s="67"/>
      <c r="S865" s="67"/>
      <c r="T865" s="67"/>
      <c r="U865" s="67"/>
      <c r="V865" s="67"/>
      <c r="W865" s="67"/>
      <c r="X865" s="67"/>
      <c r="Y865" s="67"/>
      <c r="Z865" s="67"/>
    </row>
    <row r="866">
      <c r="A866" s="135"/>
      <c r="B866" s="125"/>
      <c r="C866" s="125"/>
      <c r="D866" s="125"/>
      <c r="E866" s="126"/>
      <c r="F866" s="67"/>
      <c r="G866" s="67"/>
      <c r="H866" s="67"/>
      <c r="I866" s="67"/>
      <c r="J866" s="67"/>
      <c r="K866" s="67"/>
      <c r="L866" s="67"/>
      <c r="M866" s="67"/>
      <c r="N866" s="67"/>
      <c r="O866" s="67"/>
      <c r="P866" s="67"/>
      <c r="Q866" s="67"/>
      <c r="R866" s="67"/>
      <c r="S866" s="67"/>
      <c r="T866" s="67"/>
      <c r="U866" s="67"/>
      <c r="V866" s="67"/>
      <c r="W866" s="67"/>
      <c r="X866" s="67"/>
      <c r="Y866" s="67"/>
      <c r="Z866" s="67"/>
    </row>
    <row r="867">
      <c r="A867" s="136"/>
      <c r="B867" s="131"/>
      <c r="C867" s="131"/>
      <c r="D867" s="131"/>
      <c r="E867" s="130"/>
      <c r="F867" s="67"/>
      <c r="G867" s="67"/>
      <c r="H867" s="67"/>
      <c r="I867" s="67"/>
      <c r="J867" s="67"/>
      <c r="K867" s="67"/>
      <c r="L867" s="67"/>
      <c r="M867" s="67"/>
      <c r="N867" s="67"/>
      <c r="O867" s="67"/>
      <c r="P867" s="67"/>
      <c r="Q867" s="67"/>
      <c r="R867" s="67"/>
      <c r="S867" s="67"/>
      <c r="T867" s="67"/>
      <c r="U867" s="67"/>
      <c r="V867" s="67"/>
      <c r="W867" s="67"/>
      <c r="X867" s="67"/>
      <c r="Y867" s="67"/>
      <c r="Z867" s="67"/>
    </row>
    <row r="868">
      <c r="A868" s="135"/>
      <c r="B868" s="125"/>
      <c r="C868" s="125"/>
      <c r="D868" s="125"/>
      <c r="E868" s="126"/>
      <c r="F868" s="67"/>
      <c r="G868" s="67"/>
      <c r="H868" s="67"/>
      <c r="I868" s="67"/>
      <c r="J868" s="67"/>
      <c r="K868" s="67"/>
      <c r="L868" s="67"/>
      <c r="M868" s="67"/>
      <c r="N868" s="67"/>
      <c r="O868" s="67"/>
      <c r="P868" s="67"/>
      <c r="Q868" s="67"/>
      <c r="R868" s="67"/>
      <c r="S868" s="67"/>
      <c r="T868" s="67"/>
      <c r="U868" s="67"/>
      <c r="V868" s="67"/>
      <c r="W868" s="67"/>
      <c r="X868" s="67"/>
      <c r="Y868" s="67"/>
      <c r="Z868" s="67"/>
    </row>
    <row r="869">
      <c r="A869" s="136"/>
      <c r="B869" s="131"/>
      <c r="C869" s="131"/>
      <c r="D869" s="131"/>
      <c r="E869" s="130"/>
      <c r="F869" s="67"/>
      <c r="G869" s="67"/>
      <c r="H869" s="67"/>
      <c r="I869" s="67"/>
      <c r="J869" s="67"/>
      <c r="K869" s="67"/>
      <c r="L869" s="67"/>
      <c r="M869" s="67"/>
      <c r="N869" s="67"/>
      <c r="O869" s="67"/>
      <c r="P869" s="67"/>
      <c r="Q869" s="67"/>
      <c r="R869" s="67"/>
      <c r="S869" s="67"/>
      <c r="T869" s="67"/>
      <c r="U869" s="67"/>
      <c r="V869" s="67"/>
      <c r="W869" s="67"/>
      <c r="X869" s="67"/>
      <c r="Y869" s="67"/>
      <c r="Z869" s="67"/>
    </row>
    <row r="870">
      <c r="A870" s="135"/>
      <c r="B870" s="125"/>
      <c r="C870" s="125"/>
      <c r="D870" s="125"/>
      <c r="E870" s="126"/>
      <c r="F870" s="67"/>
      <c r="G870" s="67"/>
      <c r="H870" s="67"/>
      <c r="I870" s="67"/>
      <c r="J870" s="67"/>
      <c r="K870" s="67"/>
      <c r="L870" s="67"/>
      <c r="M870" s="67"/>
      <c r="N870" s="67"/>
      <c r="O870" s="67"/>
      <c r="P870" s="67"/>
      <c r="Q870" s="67"/>
      <c r="R870" s="67"/>
      <c r="S870" s="67"/>
      <c r="T870" s="67"/>
      <c r="U870" s="67"/>
      <c r="V870" s="67"/>
      <c r="W870" s="67"/>
      <c r="X870" s="67"/>
      <c r="Y870" s="67"/>
      <c r="Z870" s="67"/>
    </row>
    <row r="871">
      <c r="A871" s="136"/>
      <c r="B871" s="131"/>
      <c r="C871" s="131"/>
      <c r="D871" s="131"/>
      <c r="E871" s="130"/>
      <c r="F871" s="67"/>
      <c r="G871" s="67"/>
      <c r="H871" s="67"/>
      <c r="I871" s="67"/>
      <c r="J871" s="67"/>
      <c r="K871" s="67"/>
      <c r="L871" s="67"/>
      <c r="M871" s="67"/>
      <c r="N871" s="67"/>
      <c r="O871" s="67"/>
      <c r="P871" s="67"/>
      <c r="Q871" s="67"/>
      <c r="R871" s="67"/>
      <c r="S871" s="67"/>
      <c r="T871" s="67"/>
      <c r="U871" s="67"/>
      <c r="V871" s="67"/>
      <c r="W871" s="67"/>
      <c r="X871" s="67"/>
      <c r="Y871" s="67"/>
      <c r="Z871" s="67"/>
    </row>
    <row r="872">
      <c r="A872" s="135"/>
      <c r="B872" s="125"/>
      <c r="C872" s="125"/>
      <c r="D872" s="125"/>
      <c r="E872" s="126"/>
      <c r="F872" s="67"/>
      <c r="G872" s="67"/>
      <c r="H872" s="67"/>
      <c r="I872" s="67"/>
      <c r="J872" s="67"/>
      <c r="K872" s="67"/>
      <c r="L872" s="67"/>
      <c r="M872" s="67"/>
      <c r="N872" s="67"/>
      <c r="O872" s="67"/>
      <c r="P872" s="67"/>
      <c r="Q872" s="67"/>
      <c r="R872" s="67"/>
      <c r="S872" s="67"/>
      <c r="T872" s="67"/>
      <c r="U872" s="67"/>
      <c r="V872" s="67"/>
      <c r="W872" s="67"/>
      <c r="X872" s="67"/>
      <c r="Y872" s="67"/>
      <c r="Z872" s="67"/>
    </row>
    <row r="873">
      <c r="A873" s="136"/>
      <c r="B873" s="131"/>
      <c r="C873" s="131"/>
      <c r="D873" s="131"/>
      <c r="E873" s="130"/>
      <c r="F873" s="67"/>
      <c r="G873" s="67"/>
      <c r="H873" s="67"/>
      <c r="I873" s="67"/>
      <c r="J873" s="67"/>
      <c r="K873" s="67"/>
      <c r="L873" s="67"/>
      <c r="M873" s="67"/>
      <c r="N873" s="67"/>
      <c r="O873" s="67"/>
      <c r="P873" s="67"/>
      <c r="Q873" s="67"/>
      <c r="R873" s="67"/>
      <c r="S873" s="67"/>
      <c r="T873" s="67"/>
      <c r="U873" s="67"/>
      <c r="V873" s="67"/>
      <c r="W873" s="67"/>
      <c r="X873" s="67"/>
      <c r="Y873" s="67"/>
      <c r="Z873" s="67"/>
    </row>
    <row r="874">
      <c r="A874" s="135"/>
      <c r="B874" s="125"/>
      <c r="C874" s="125"/>
      <c r="D874" s="125"/>
      <c r="E874" s="126"/>
      <c r="F874" s="67"/>
      <c r="G874" s="67"/>
      <c r="H874" s="67"/>
      <c r="I874" s="67"/>
      <c r="J874" s="67"/>
      <c r="K874" s="67"/>
      <c r="L874" s="67"/>
      <c r="M874" s="67"/>
      <c r="N874" s="67"/>
      <c r="O874" s="67"/>
      <c r="P874" s="67"/>
      <c r="Q874" s="67"/>
      <c r="R874" s="67"/>
      <c r="S874" s="67"/>
      <c r="T874" s="67"/>
      <c r="U874" s="67"/>
      <c r="V874" s="67"/>
      <c r="W874" s="67"/>
      <c r="X874" s="67"/>
      <c r="Y874" s="67"/>
      <c r="Z874" s="67"/>
    </row>
    <row r="875">
      <c r="A875" s="136"/>
      <c r="B875" s="131"/>
      <c r="C875" s="131"/>
      <c r="D875" s="131"/>
      <c r="E875" s="130"/>
      <c r="F875" s="67"/>
      <c r="G875" s="67"/>
      <c r="H875" s="67"/>
      <c r="I875" s="67"/>
      <c r="J875" s="67"/>
      <c r="K875" s="67"/>
      <c r="L875" s="67"/>
      <c r="M875" s="67"/>
      <c r="N875" s="67"/>
      <c r="O875" s="67"/>
      <c r="P875" s="67"/>
      <c r="Q875" s="67"/>
      <c r="R875" s="67"/>
      <c r="S875" s="67"/>
      <c r="T875" s="67"/>
      <c r="U875" s="67"/>
      <c r="V875" s="67"/>
      <c r="W875" s="67"/>
      <c r="X875" s="67"/>
      <c r="Y875" s="67"/>
      <c r="Z875" s="67"/>
    </row>
    <row r="876">
      <c r="A876" s="135"/>
      <c r="B876" s="125"/>
      <c r="C876" s="125"/>
      <c r="D876" s="125"/>
      <c r="E876" s="126"/>
      <c r="F876" s="67"/>
      <c r="G876" s="67"/>
      <c r="H876" s="67"/>
      <c r="I876" s="67"/>
      <c r="J876" s="67"/>
      <c r="K876" s="67"/>
      <c r="L876" s="67"/>
      <c r="M876" s="67"/>
      <c r="N876" s="67"/>
      <c r="O876" s="67"/>
      <c r="P876" s="67"/>
      <c r="Q876" s="67"/>
      <c r="R876" s="67"/>
      <c r="S876" s="67"/>
      <c r="T876" s="67"/>
      <c r="U876" s="67"/>
      <c r="V876" s="67"/>
      <c r="W876" s="67"/>
      <c r="X876" s="67"/>
      <c r="Y876" s="67"/>
      <c r="Z876" s="67"/>
    </row>
    <row r="877">
      <c r="A877" s="136"/>
      <c r="B877" s="131"/>
      <c r="C877" s="131"/>
      <c r="D877" s="131"/>
      <c r="E877" s="130"/>
      <c r="F877" s="67"/>
      <c r="G877" s="67"/>
      <c r="H877" s="67"/>
      <c r="I877" s="67"/>
      <c r="J877" s="67"/>
      <c r="K877" s="67"/>
      <c r="L877" s="67"/>
      <c r="M877" s="67"/>
      <c r="N877" s="67"/>
      <c r="O877" s="67"/>
      <c r="P877" s="67"/>
      <c r="Q877" s="67"/>
      <c r="R877" s="67"/>
      <c r="S877" s="67"/>
      <c r="T877" s="67"/>
      <c r="U877" s="67"/>
      <c r="V877" s="67"/>
      <c r="W877" s="67"/>
      <c r="X877" s="67"/>
      <c r="Y877" s="67"/>
      <c r="Z877" s="67"/>
    </row>
    <row r="878">
      <c r="A878" s="135"/>
      <c r="B878" s="125"/>
      <c r="C878" s="125"/>
      <c r="D878" s="125"/>
      <c r="E878" s="126"/>
      <c r="F878" s="67"/>
      <c r="G878" s="67"/>
      <c r="H878" s="67"/>
      <c r="I878" s="67"/>
      <c r="J878" s="67"/>
      <c r="K878" s="67"/>
      <c r="L878" s="67"/>
      <c r="M878" s="67"/>
      <c r="N878" s="67"/>
      <c r="O878" s="67"/>
      <c r="P878" s="67"/>
      <c r="Q878" s="67"/>
      <c r="R878" s="67"/>
      <c r="S878" s="67"/>
      <c r="T878" s="67"/>
      <c r="U878" s="67"/>
      <c r="V878" s="67"/>
      <c r="W878" s="67"/>
      <c r="X878" s="67"/>
      <c r="Y878" s="67"/>
      <c r="Z878" s="67"/>
    </row>
    <row r="879">
      <c r="A879" s="136"/>
      <c r="B879" s="131"/>
      <c r="C879" s="131"/>
      <c r="D879" s="131"/>
      <c r="E879" s="130"/>
      <c r="F879" s="67"/>
      <c r="G879" s="67"/>
      <c r="H879" s="67"/>
      <c r="I879" s="67"/>
      <c r="J879" s="67"/>
      <c r="K879" s="67"/>
      <c r="L879" s="67"/>
      <c r="M879" s="67"/>
      <c r="N879" s="67"/>
      <c r="O879" s="67"/>
      <c r="P879" s="67"/>
      <c r="Q879" s="67"/>
      <c r="R879" s="67"/>
      <c r="S879" s="67"/>
      <c r="T879" s="67"/>
      <c r="U879" s="67"/>
      <c r="V879" s="67"/>
      <c r="W879" s="67"/>
      <c r="X879" s="67"/>
      <c r="Y879" s="67"/>
      <c r="Z879" s="67"/>
    </row>
    <row r="880">
      <c r="A880" s="135"/>
      <c r="B880" s="125"/>
      <c r="C880" s="125"/>
      <c r="D880" s="125"/>
      <c r="E880" s="126"/>
      <c r="F880" s="67"/>
      <c r="G880" s="67"/>
      <c r="H880" s="67"/>
      <c r="I880" s="67"/>
      <c r="J880" s="67"/>
      <c r="K880" s="67"/>
      <c r="L880" s="67"/>
      <c r="M880" s="67"/>
      <c r="N880" s="67"/>
      <c r="O880" s="67"/>
      <c r="P880" s="67"/>
      <c r="Q880" s="67"/>
      <c r="R880" s="67"/>
      <c r="S880" s="67"/>
      <c r="T880" s="67"/>
      <c r="U880" s="67"/>
      <c r="V880" s="67"/>
      <c r="W880" s="67"/>
      <c r="X880" s="67"/>
      <c r="Y880" s="67"/>
      <c r="Z880" s="67"/>
    </row>
    <row r="881">
      <c r="A881" s="136"/>
      <c r="B881" s="131"/>
      <c r="C881" s="131"/>
      <c r="D881" s="131"/>
      <c r="E881" s="130"/>
      <c r="F881" s="67"/>
      <c r="G881" s="67"/>
      <c r="H881" s="67"/>
      <c r="I881" s="67"/>
      <c r="J881" s="67"/>
      <c r="K881" s="67"/>
      <c r="L881" s="67"/>
      <c r="M881" s="67"/>
      <c r="N881" s="67"/>
      <c r="O881" s="67"/>
      <c r="P881" s="67"/>
      <c r="Q881" s="67"/>
      <c r="R881" s="67"/>
      <c r="S881" s="67"/>
      <c r="T881" s="67"/>
      <c r="U881" s="67"/>
      <c r="V881" s="67"/>
      <c r="W881" s="67"/>
      <c r="X881" s="67"/>
      <c r="Y881" s="67"/>
      <c r="Z881" s="67"/>
    </row>
    <row r="882">
      <c r="A882" s="135"/>
      <c r="B882" s="125"/>
      <c r="C882" s="125"/>
      <c r="D882" s="125"/>
      <c r="E882" s="126"/>
      <c r="F882" s="67"/>
      <c r="G882" s="67"/>
      <c r="H882" s="67"/>
      <c r="I882" s="67"/>
      <c r="J882" s="67"/>
      <c r="K882" s="67"/>
      <c r="L882" s="67"/>
      <c r="M882" s="67"/>
      <c r="N882" s="67"/>
      <c r="O882" s="67"/>
      <c r="P882" s="67"/>
      <c r="Q882" s="67"/>
      <c r="R882" s="67"/>
      <c r="S882" s="67"/>
      <c r="T882" s="67"/>
      <c r="U882" s="67"/>
      <c r="V882" s="67"/>
      <c r="W882" s="67"/>
      <c r="X882" s="67"/>
      <c r="Y882" s="67"/>
      <c r="Z882" s="67"/>
    </row>
    <row r="883">
      <c r="A883" s="136"/>
      <c r="B883" s="131"/>
      <c r="C883" s="131"/>
      <c r="D883" s="131"/>
      <c r="E883" s="130"/>
      <c r="F883" s="67"/>
      <c r="G883" s="67"/>
      <c r="H883" s="67"/>
      <c r="I883" s="67"/>
      <c r="J883" s="67"/>
      <c r="K883" s="67"/>
      <c r="L883" s="67"/>
      <c r="M883" s="67"/>
      <c r="N883" s="67"/>
      <c r="O883" s="67"/>
      <c r="P883" s="67"/>
      <c r="Q883" s="67"/>
      <c r="R883" s="67"/>
      <c r="S883" s="67"/>
      <c r="T883" s="67"/>
      <c r="U883" s="67"/>
      <c r="V883" s="67"/>
      <c r="W883" s="67"/>
      <c r="X883" s="67"/>
      <c r="Y883" s="67"/>
      <c r="Z883" s="67"/>
    </row>
    <row r="884">
      <c r="A884" s="135"/>
      <c r="B884" s="125"/>
      <c r="C884" s="125"/>
      <c r="D884" s="125"/>
      <c r="E884" s="126"/>
      <c r="F884" s="67"/>
      <c r="G884" s="67"/>
      <c r="H884" s="67"/>
      <c r="I884" s="67"/>
      <c r="J884" s="67"/>
      <c r="K884" s="67"/>
      <c r="L884" s="67"/>
      <c r="M884" s="67"/>
      <c r="N884" s="67"/>
      <c r="O884" s="67"/>
      <c r="P884" s="67"/>
      <c r="Q884" s="67"/>
      <c r="R884" s="67"/>
      <c r="S884" s="67"/>
      <c r="T884" s="67"/>
      <c r="U884" s="67"/>
      <c r="V884" s="67"/>
      <c r="W884" s="67"/>
      <c r="X884" s="67"/>
      <c r="Y884" s="67"/>
      <c r="Z884" s="67"/>
    </row>
    <row r="885">
      <c r="A885" s="136"/>
      <c r="B885" s="131"/>
      <c r="C885" s="131"/>
      <c r="D885" s="131"/>
      <c r="E885" s="130"/>
      <c r="F885" s="67"/>
      <c r="G885" s="67"/>
      <c r="H885" s="67"/>
      <c r="I885" s="67"/>
      <c r="J885" s="67"/>
      <c r="K885" s="67"/>
      <c r="L885" s="67"/>
      <c r="M885" s="67"/>
      <c r="N885" s="67"/>
      <c r="O885" s="67"/>
      <c r="P885" s="67"/>
      <c r="Q885" s="67"/>
      <c r="R885" s="67"/>
      <c r="S885" s="67"/>
      <c r="T885" s="67"/>
      <c r="U885" s="67"/>
      <c r="V885" s="67"/>
      <c r="W885" s="67"/>
      <c r="X885" s="67"/>
      <c r="Y885" s="67"/>
      <c r="Z885" s="67"/>
    </row>
    <row r="886">
      <c r="A886" s="135"/>
      <c r="B886" s="125"/>
      <c r="C886" s="125"/>
      <c r="D886" s="125"/>
      <c r="E886" s="126"/>
      <c r="F886" s="67"/>
      <c r="G886" s="67"/>
      <c r="H886" s="67"/>
      <c r="I886" s="67"/>
      <c r="J886" s="67"/>
      <c r="K886" s="67"/>
      <c r="L886" s="67"/>
      <c r="M886" s="67"/>
      <c r="N886" s="67"/>
      <c r="O886" s="67"/>
      <c r="P886" s="67"/>
      <c r="Q886" s="67"/>
      <c r="R886" s="67"/>
      <c r="S886" s="67"/>
      <c r="T886" s="67"/>
      <c r="U886" s="67"/>
      <c r="V886" s="67"/>
      <c r="W886" s="67"/>
      <c r="X886" s="67"/>
      <c r="Y886" s="67"/>
      <c r="Z886" s="67"/>
    </row>
    <row r="887">
      <c r="A887" s="136"/>
      <c r="B887" s="131"/>
      <c r="C887" s="131"/>
      <c r="D887" s="131"/>
      <c r="E887" s="130"/>
      <c r="F887" s="67"/>
      <c r="G887" s="67"/>
      <c r="H887" s="67"/>
      <c r="I887" s="67"/>
      <c r="J887" s="67"/>
      <c r="K887" s="67"/>
      <c r="L887" s="67"/>
      <c r="M887" s="67"/>
      <c r="N887" s="67"/>
      <c r="O887" s="67"/>
      <c r="P887" s="67"/>
      <c r="Q887" s="67"/>
      <c r="R887" s="67"/>
      <c r="S887" s="67"/>
      <c r="T887" s="67"/>
      <c r="U887" s="67"/>
      <c r="V887" s="67"/>
      <c r="W887" s="67"/>
      <c r="X887" s="67"/>
      <c r="Y887" s="67"/>
      <c r="Z887" s="67"/>
    </row>
    <row r="888">
      <c r="A888" s="135"/>
      <c r="B888" s="125"/>
      <c r="C888" s="125"/>
      <c r="D888" s="125"/>
      <c r="E888" s="126"/>
      <c r="F888" s="67"/>
      <c r="G888" s="67"/>
      <c r="H888" s="67"/>
      <c r="I888" s="67"/>
      <c r="J888" s="67"/>
      <c r="K888" s="67"/>
      <c r="L888" s="67"/>
      <c r="M888" s="67"/>
      <c r="N888" s="67"/>
      <c r="O888" s="67"/>
      <c r="P888" s="67"/>
      <c r="Q888" s="67"/>
      <c r="R888" s="67"/>
      <c r="S888" s="67"/>
      <c r="T888" s="67"/>
      <c r="U888" s="67"/>
      <c r="V888" s="67"/>
      <c r="W888" s="67"/>
      <c r="X888" s="67"/>
      <c r="Y888" s="67"/>
      <c r="Z888" s="67"/>
    </row>
    <row r="889">
      <c r="A889" s="136"/>
      <c r="B889" s="131"/>
      <c r="C889" s="131"/>
      <c r="D889" s="131"/>
      <c r="E889" s="130"/>
      <c r="F889" s="67"/>
      <c r="G889" s="67"/>
      <c r="H889" s="67"/>
      <c r="I889" s="67"/>
      <c r="J889" s="67"/>
      <c r="K889" s="67"/>
      <c r="L889" s="67"/>
      <c r="M889" s="67"/>
      <c r="N889" s="67"/>
      <c r="O889" s="67"/>
      <c r="P889" s="67"/>
      <c r="Q889" s="67"/>
      <c r="R889" s="67"/>
      <c r="S889" s="67"/>
      <c r="T889" s="67"/>
      <c r="U889" s="67"/>
      <c r="V889" s="67"/>
      <c r="W889" s="67"/>
      <c r="X889" s="67"/>
      <c r="Y889" s="67"/>
      <c r="Z889" s="67"/>
    </row>
    <row r="890">
      <c r="A890" s="135"/>
      <c r="B890" s="125"/>
      <c r="C890" s="125"/>
      <c r="D890" s="125"/>
      <c r="E890" s="126"/>
      <c r="F890" s="67"/>
      <c r="G890" s="67"/>
      <c r="H890" s="67"/>
      <c r="I890" s="67"/>
      <c r="J890" s="67"/>
      <c r="K890" s="67"/>
      <c r="L890" s="67"/>
      <c r="M890" s="67"/>
      <c r="N890" s="67"/>
      <c r="O890" s="67"/>
      <c r="P890" s="67"/>
      <c r="Q890" s="67"/>
      <c r="R890" s="67"/>
      <c r="S890" s="67"/>
      <c r="T890" s="67"/>
      <c r="U890" s="67"/>
      <c r="V890" s="67"/>
      <c r="W890" s="67"/>
      <c r="X890" s="67"/>
      <c r="Y890" s="67"/>
      <c r="Z890" s="67"/>
    </row>
    <row r="891">
      <c r="A891" s="136"/>
      <c r="B891" s="131"/>
      <c r="C891" s="131"/>
      <c r="D891" s="131"/>
      <c r="E891" s="130"/>
      <c r="F891" s="67"/>
      <c r="G891" s="67"/>
      <c r="H891" s="67"/>
      <c r="I891" s="67"/>
      <c r="J891" s="67"/>
      <c r="K891" s="67"/>
      <c r="L891" s="67"/>
      <c r="M891" s="67"/>
      <c r="N891" s="67"/>
      <c r="O891" s="67"/>
      <c r="P891" s="67"/>
      <c r="Q891" s="67"/>
      <c r="R891" s="67"/>
      <c r="S891" s="67"/>
      <c r="T891" s="67"/>
      <c r="U891" s="67"/>
      <c r="V891" s="67"/>
      <c r="W891" s="67"/>
      <c r="X891" s="67"/>
      <c r="Y891" s="67"/>
      <c r="Z891" s="67"/>
    </row>
    <row r="892">
      <c r="A892" s="135"/>
      <c r="B892" s="125"/>
      <c r="C892" s="125"/>
      <c r="D892" s="125"/>
      <c r="E892" s="126"/>
      <c r="F892" s="67"/>
      <c r="G892" s="67"/>
      <c r="H892" s="67"/>
      <c r="I892" s="67"/>
      <c r="J892" s="67"/>
      <c r="K892" s="67"/>
      <c r="L892" s="67"/>
      <c r="M892" s="67"/>
      <c r="N892" s="67"/>
      <c r="O892" s="67"/>
      <c r="P892" s="67"/>
      <c r="Q892" s="67"/>
      <c r="R892" s="67"/>
      <c r="S892" s="67"/>
      <c r="T892" s="67"/>
      <c r="U892" s="67"/>
      <c r="V892" s="67"/>
      <c r="W892" s="67"/>
      <c r="X892" s="67"/>
      <c r="Y892" s="67"/>
      <c r="Z892" s="67"/>
    </row>
    <row r="893">
      <c r="A893" s="136"/>
      <c r="B893" s="131"/>
      <c r="C893" s="131"/>
      <c r="D893" s="131"/>
      <c r="E893" s="130"/>
      <c r="F893" s="67"/>
      <c r="G893" s="67"/>
      <c r="H893" s="67"/>
      <c r="I893" s="67"/>
      <c r="J893" s="67"/>
      <c r="K893" s="67"/>
      <c r="L893" s="67"/>
      <c r="M893" s="67"/>
      <c r="N893" s="67"/>
      <c r="O893" s="67"/>
      <c r="P893" s="67"/>
      <c r="Q893" s="67"/>
      <c r="R893" s="67"/>
      <c r="S893" s="67"/>
      <c r="T893" s="67"/>
      <c r="U893" s="67"/>
      <c r="V893" s="67"/>
      <c r="W893" s="67"/>
      <c r="X893" s="67"/>
      <c r="Y893" s="67"/>
      <c r="Z893" s="67"/>
    </row>
    <row r="894">
      <c r="A894" s="135"/>
      <c r="B894" s="125"/>
      <c r="C894" s="125"/>
      <c r="D894" s="125"/>
      <c r="E894" s="126"/>
      <c r="F894" s="67"/>
      <c r="G894" s="67"/>
      <c r="H894" s="67"/>
      <c r="I894" s="67"/>
      <c r="J894" s="67"/>
      <c r="K894" s="67"/>
      <c r="L894" s="67"/>
      <c r="M894" s="67"/>
      <c r="N894" s="67"/>
      <c r="O894" s="67"/>
      <c r="P894" s="67"/>
      <c r="Q894" s="67"/>
      <c r="R894" s="67"/>
      <c r="S894" s="67"/>
      <c r="T894" s="67"/>
      <c r="U894" s="67"/>
      <c r="V894" s="67"/>
      <c r="W894" s="67"/>
      <c r="X894" s="67"/>
      <c r="Y894" s="67"/>
      <c r="Z894" s="67"/>
    </row>
    <row r="895">
      <c r="A895" s="136"/>
      <c r="B895" s="131"/>
      <c r="C895" s="131"/>
      <c r="D895" s="131"/>
      <c r="E895" s="130"/>
      <c r="F895" s="67"/>
      <c r="G895" s="67"/>
      <c r="H895" s="67"/>
      <c r="I895" s="67"/>
      <c r="J895" s="67"/>
      <c r="K895" s="67"/>
      <c r="L895" s="67"/>
      <c r="M895" s="67"/>
      <c r="N895" s="67"/>
      <c r="O895" s="67"/>
      <c r="P895" s="67"/>
      <c r="Q895" s="67"/>
      <c r="R895" s="67"/>
      <c r="S895" s="67"/>
      <c r="T895" s="67"/>
      <c r="U895" s="67"/>
      <c r="V895" s="67"/>
      <c r="W895" s="67"/>
      <c r="X895" s="67"/>
      <c r="Y895" s="67"/>
      <c r="Z895" s="67"/>
    </row>
    <row r="896">
      <c r="A896" s="135"/>
      <c r="B896" s="125"/>
      <c r="C896" s="125"/>
      <c r="D896" s="125"/>
      <c r="E896" s="126"/>
      <c r="F896" s="67"/>
      <c r="G896" s="67"/>
      <c r="H896" s="67"/>
      <c r="I896" s="67"/>
      <c r="J896" s="67"/>
      <c r="K896" s="67"/>
      <c r="L896" s="67"/>
      <c r="M896" s="67"/>
      <c r="N896" s="67"/>
      <c r="O896" s="67"/>
      <c r="P896" s="67"/>
      <c r="Q896" s="67"/>
      <c r="R896" s="67"/>
      <c r="S896" s="67"/>
      <c r="T896" s="67"/>
      <c r="U896" s="67"/>
      <c r="V896" s="67"/>
      <c r="W896" s="67"/>
      <c r="X896" s="67"/>
      <c r="Y896" s="67"/>
      <c r="Z896" s="67"/>
    </row>
    <row r="897">
      <c r="A897" s="136"/>
      <c r="B897" s="131"/>
      <c r="C897" s="131"/>
      <c r="D897" s="131"/>
      <c r="E897" s="130"/>
      <c r="F897" s="67"/>
      <c r="G897" s="67"/>
      <c r="H897" s="67"/>
      <c r="I897" s="67"/>
      <c r="J897" s="67"/>
      <c r="K897" s="67"/>
      <c r="L897" s="67"/>
      <c r="M897" s="67"/>
      <c r="N897" s="67"/>
      <c r="O897" s="67"/>
      <c r="P897" s="67"/>
      <c r="Q897" s="67"/>
      <c r="R897" s="67"/>
      <c r="S897" s="67"/>
      <c r="T897" s="67"/>
      <c r="U897" s="67"/>
      <c r="V897" s="67"/>
      <c r="W897" s="67"/>
      <c r="X897" s="67"/>
      <c r="Y897" s="67"/>
      <c r="Z897" s="67"/>
    </row>
    <row r="898">
      <c r="A898" s="135"/>
      <c r="B898" s="125"/>
      <c r="C898" s="125"/>
      <c r="D898" s="125"/>
      <c r="E898" s="126"/>
      <c r="F898" s="67"/>
      <c r="G898" s="67"/>
      <c r="H898" s="67"/>
      <c r="I898" s="67"/>
      <c r="J898" s="67"/>
      <c r="K898" s="67"/>
      <c r="L898" s="67"/>
      <c r="M898" s="67"/>
      <c r="N898" s="67"/>
      <c r="O898" s="67"/>
      <c r="P898" s="67"/>
      <c r="Q898" s="67"/>
      <c r="R898" s="67"/>
      <c r="S898" s="67"/>
      <c r="T898" s="67"/>
      <c r="U898" s="67"/>
      <c r="V898" s="67"/>
      <c r="W898" s="67"/>
      <c r="X898" s="67"/>
      <c r="Y898" s="67"/>
      <c r="Z898" s="67"/>
    </row>
    <row r="899">
      <c r="A899" s="136"/>
      <c r="B899" s="131"/>
      <c r="C899" s="131"/>
      <c r="D899" s="131"/>
      <c r="E899" s="130"/>
      <c r="F899" s="67"/>
      <c r="G899" s="67"/>
      <c r="H899" s="67"/>
      <c r="I899" s="67"/>
      <c r="J899" s="67"/>
      <c r="K899" s="67"/>
      <c r="L899" s="67"/>
      <c r="M899" s="67"/>
      <c r="N899" s="67"/>
      <c r="O899" s="67"/>
      <c r="P899" s="67"/>
      <c r="Q899" s="67"/>
      <c r="R899" s="67"/>
      <c r="S899" s="67"/>
      <c r="T899" s="67"/>
      <c r="U899" s="67"/>
      <c r="V899" s="67"/>
      <c r="W899" s="67"/>
      <c r="X899" s="67"/>
      <c r="Y899" s="67"/>
      <c r="Z899" s="67"/>
    </row>
    <row r="900">
      <c r="A900" s="135"/>
      <c r="B900" s="125"/>
      <c r="C900" s="125"/>
      <c r="D900" s="125"/>
      <c r="E900" s="126"/>
      <c r="F900" s="67"/>
      <c r="G900" s="67"/>
      <c r="H900" s="67"/>
      <c r="I900" s="67"/>
      <c r="J900" s="67"/>
      <c r="K900" s="67"/>
      <c r="L900" s="67"/>
      <c r="M900" s="67"/>
      <c r="N900" s="67"/>
      <c r="O900" s="67"/>
      <c r="P900" s="67"/>
      <c r="Q900" s="67"/>
      <c r="R900" s="67"/>
      <c r="S900" s="67"/>
      <c r="T900" s="67"/>
      <c r="U900" s="67"/>
      <c r="V900" s="67"/>
      <c r="W900" s="67"/>
      <c r="X900" s="67"/>
      <c r="Y900" s="67"/>
      <c r="Z900" s="67"/>
    </row>
    <row r="901">
      <c r="A901" s="136"/>
      <c r="B901" s="131"/>
      <c r="C901" s="131"/>
      <c r="D901" s="131"/>
      <c r="E901" s="130"/>
      <c r="F901" s="67"/>
      <c r="G901" s="67"/>
      <c r="H901" s="67"/>
      <c r="I901" s="67"/>
      <c r="J901" s="67"/>
      <c r="K901" s="67"/>
      <c r="L901" s="67"/>
      <c r="M901" s="67"/>
      <c r="N901" s="67"/>
      <c r="O901" s="67"/>
      <c r="P901" s="67"/>
      <c r="Q901" s="67"/>
      <c r="R901" s="67"/>
      <c r="S901" s="67"/>
      <c r="T901" s="67"/>
      <c r="U901" s="67"/>
      <c r="V901" s="67"/>
      <c r="W901" s="67"/>
      <c r="X901" s="67"/>
      <c r="Y901" s="67"/>
      <c r="Z901" s="67"/>
    </row>
    <row r="902">
      <c r="A902" s="135"/>
      <c r="B902" s="125"/>
      <c r="C902" s="125"/>
      <c r="D902" s="125"/>
      <c r="E902" s="126"/>
      <c r="F902" s="67"/>
      <c r="G902" s="67"/>
      <c r="H902" s="67"/>
      <c r="I902" s="67"/>
      <c r="J902" s="67"/>
      <c r="K902" s="67"/>
      <c r="L902" s="67"/>
      <c r="M902" s="67"/>
      <c r="N902" s="67"/>
      <c r="O902" s="67"/>
      <c r="P902" s="67"/>
      <c r="Q902" s="67"/>
      <c r="R902" s="67"/>
      <c r="S902" s="67"/>
      <c r="T902" s="67"/>
      <c r="U902" s="67"/>
      <c r="V902" s="67"/>
      <c r="W902" s="67"/>
      <c r="X902" s="67"/>
      <c r="Y902" s="67"/>
      <c r="Z902" s="67"/>
    </row>
    <row r="903">
      <c r="A903" s="136"/>
      <c r="B903" s="131"/>
      <c r="C903" s="131"/>
      <c r="D903" s="131"/>
      <c r="E903" s="130"/>
      <c r="F903" s="67"/>
      <c r="G903" s="67"/>
      <c r="H903" s="67"/>
      <c r="I903" s="67"/>
      <c r="J903" s="67"/>
      <c r="K903" s="67"/>
      <c r="L903" s="67"/>
      <c r="M903" s="67"/>
      <c r="N903" s="67"/>
      <c r="O903" s="67"/>
      <c r="P903" s="67"/>
      <c r="Q903" s="67"/>
      <c r="R903" s="67"/>
      <c r="S903" s="67"/>
      <c r="T903" s="67"/>
      <c r="U903" s="67"/>
      <c r="V903" s="67"/>
      <c r="W903" s="67"/>
      <c r="X903" s="67"/>
      <c r="Y903" s="67"/>
      <c r="Z903" s="67"/>
    </row>
    <row r="904">
      <c r="A904" s="135"/>
      <c r="B904" s="125"/>
      <c r="C904" s="125"/>
      <c r="D904" s="125"/>
      <c r="E904" s="126"/>
      <c r="F904" s="67"/>
      <c r="G904" s="67"/>
      <c r="H904" s="67"/>
      <c r="I904" s="67"/>
      <c r="J904" s="67"/>
      <c r="K904" s="67"/>
      <c r="L904" s="67"/>
      <c r="M904" s="67"/>
      <c r="N904" s="67"/>
      <c r="O904" s="67"/>
      <c r="P904" s="67"/>
      <c r="Q904" s="67"/>
      <c r="R904" s="67"/>
      <c r="S904" s="67"/>
      <c r="T904" s="67"/>
      <c r="U904" s="67"/>
      <c r="V904" s="67"/>
      <c r="W904" s="67"/>
      <c r="X904" s="67"/>
      <c r="Y904" s="67"/>
      <c r="Z904" s="67"/>
    </row>
    <row r="905">
      <c r="A905" s="136"/>
      <c r="B905" s="131"/>
      <c r="C905" s="131"/>
      <c r="D905" s="131"/>
      <c r="E905" s="130"/>
      <c r="F905" s="67"/>
      <c r="G905" s="67"/>
      <c r="H905" s="67"/>
      <c r="I905" s="67"/>
      <c r="J905" s="67"/>
      <c r="K905" s="67"/>
      <c r="L905" s="67"/>
      <c r="M905" s="67"/>
      <c r="N905" s="67"/>
      <c r="O905" s="67"/>
      <c r="P905" s="67"/>
      <c r="Q905" s="67"/>
      <c r="R905" s="67"/>
      <c r="S905" s="67"/>
      <c r="T905" s="67"/>
      <c r="U905" s="67"/>
      <c r="V905" s="67"/>
      <c r="W905" s="67"/>
      <c r="X905" s="67"/>
      <c r="Y905" s="67"/>
      <c r="Z905" s="67"/>
    </row>
    <row r="906">
      <c r="A906" s="135"/>
      <c r="B906" s="125"/>
      <c r="C906" s="125"/>
      <c r="D906" s="125"/>
      <c r="E906" s="126"/>
      <c r="F906" s="67"/>
      <c r="G906" s="67"/>
      <c r="H906" s="67"/>
      <c r="I906" s="67"/>
      <c r="J906" s="67"/>
      <c r="K906" s="67"/>
      <c r="L906" s="67"/>
      <c r="M906" s="67"/>
      <c r="N906" s="67"/>
      <c r="O906" s="67"/>
      <c r="P906" s="67"/>
      <c r="Q906" s="67"/>
      <c r="R906" s="67"/>
      <c r="S906" s="67"/>
      <c r="T906" s="67"/>
      <c r="U906" s="67"/>
      <c r="V906" s="67"/>
      <c r="W906" s="67"/>
      <c r="X906" s="67"/>
      <c r="Y906" s="67"/>
      <c r="Z906" s="67"/>
    </row>
    <row r="907">
      <c r="A907" s="136"/>
      <c r="B907" s="131"/>
      <c r="C907" s="131"/>
      <c r="D907" s="131"/>
      <c r="E907" s="130"/>
      <c r="F907" s="67"/>
      <c r="G907" s="67"/>
      <c r="H907" s="67"/>
      <c r="I907" s="67"/>
      <c r="J907" s="67"/>
      <c r="K907" s="67"/>
      <c r="L907" s="67"/>
      <c r="M907" s="67"/>
      <c r="N907" s="67"/>
      <c r="O907" s="67"/>
      <c r="P907" s="67"/>
      <c r="Q907" s="67"/>
      <c r="R907" s="67"/>
      <c r="S907" s="67"/>
      <c r="T907" s="67"/>
      <c r="U907" s="67"/>
      <c r="V907" s="67"/>
      <c r="W907" s="67"/>
      <c r="X907" s="67"/>
      <c r="Y907" s="67"/>
      <c r="Z907" s="67"/>
    </row>
    <row r="908">
      <c r="A908" s="135"/>
      <c r="B908" s="125"/>
      <c r="C908" s="125"/>
      <c r="D908" s="125"/>
      <c r="E908" s="126"/>
      <c r="F908" s="67"/>
      <c r="G908" s="67"/>
      <c r="H908" s="67"/>
      <c r="I908" s="67"/>
      <c r="J908" s="67"/>
      <c r="K908" s="67"/>
      <c r="L908" s="67"/>
      <c r="M908" s="67"/>
      <c r="N908" s="67"/>
      <c r="O908" s="67"/>
      <c r="P908" s="67"/>
      <c r="Q908" s="67"/>
      <c r="R908" s="67"/>
      <c r="S908" s="67"/>
      <c r="T908" s="67"/>
      <c r="U908" s="67"/>
      <c r="V908" s="67"/>
      <c r="W908" s="67"/>
      <c r="X908" s="67"/>
      <c r="Y908" s="67"/>
      <c r="Z908" s="67"/>
    </row>
    <row r="909">
      <c r="A909" s="136"/>
      <c r="B909" s="131"/>
      <c r="C909" s="131"/>
      <c r="D909" s="131"/>
      <c r="E909" s="130"/>
      <c r="F909" s="67"/>
      <c r="G909" s="67"/>
      <c r="H909" s="67"/>
      <c r="I909" s="67"/>
      <c r="J909" s="67"/>
      <c r="K909" s="67"/>
      <c r="L909" s="67"/>
      <c r="M909" s="67"/>
      <c r="N909" s="67"/>
      <c r="O909" s="67"/>
      <c r="P909" s="67"/>
      <c r="Q909" s="67"/>
      <c r="R909" s="67"/>
      <c r="S909" s="67"/>
      <c r="T909" s="67"/>
      <c r="U909" s="67"/>
      <c r="V909" s="67"/>
      <c r="W909" s="67"/>
      <c r="X909" s="67"/>
      <c r="Y909" s="67"/>
      <c r="Z909" s="67"/>
    </row>
    <row r="910">
      <c r="A910" s="135"/>
      <c r="B910" s="125"/>
      <c r="C910" s="125"/>
      <c r="D910" s="125"/>
      <c r="E910" s="126"/>
      <c r="F910" s="67"/>
      <c r="G910" s="67"/>
      <c r="H910" s="67"/>
      <c r="I910" s="67"/>
      <c r="J910" s="67"/>
      <c r="K910" s="67"/>
      <c r="L910" s="67"/>
      <c r="M910" s="67"/>
      <c r="N910" s="67"/>
      <c r="O910" s="67"/>
      <c r="P910" s="67"/>
      <c r="Q910" s="67"/>
      <c r="R910" s="67"/>
      <c r="S910" s="67"/>
      <c r="T910" s="67"/>
      <c r="U910" s="67"/>
      <c r="V910" s="67"/>
      <c r="W910" s="67"/>
      <c r="X910" s="67"/>
      <c r="Y910" s="67"/>
      <c r="Z910" s="67"/>
    </row>
    <row r="911">
      <c r="A911" s="136"/>
      <c r="B911" s="131"/>
      <c r="C911" s="131"/>
      <c r="D911" s="131"/>
      <c r="E911" s="130"/>
      <c r="F911" s="67"/>
      <c r="G911" s="67"/>
      <c r="H911" s="67"/>
      <c r="I911" s="67"/>
      <c r="J911" s="67"/>
      <c r="K911" s="67"/>
      <c r="L911" s="67"/>
      <c r="M911" s="67"/>
      <c r="N911" s="67"/>
      <c r="O911" s="67"/>
      <c r="P911" s="67"/>
      <c r="Q911" s="67"/>
      <c r="R911" s="67"/>
      <c r="S911" s="67"/>
      <c r="T911" s="67"/>
      <c r="U911" s="67"/>
      <c r="V911" s="67"/>
      <c r="W911" s="67"/>
      <c r="X911" s="67"/>
      <c r="Y911" s="67"/>
      <c r="Z911" s="67"/>
    </row>
    <row r="912">
      <c r="A912" s="135"/>
      <c r="B912" s="125"/>
      <c r="C912" s="125"/>
      <c r="D912" s="125"/>
      <c r="E912" s="126"/>
      <c r="F912" s="67"/>
      <c r="G912" s="67"/>
      <c r="H912" s="67"/>
      <c r="I912" s="67"/>
      <c r="J912" s="67"/>
      <c r="K912" s="67"/>
      <c r="L912" s="67"/>
      <c r="M912" s="67"/>
      <c r="N912" s="67"/>
      <c r="O912" s="67"/>
      <c r="P912" s="67"/>
      <c r="Q912" s="67"/>
      <c r="R912" s="67"/>
      <c r="S912" s="67"/>
      <c r="T912" s="67"/>
      <c r="U912" s="67"/>
      <c r="V912" s="67"/>
      <c r="W912" s="67"/>
      <c r="X912" s="67"/>
      <c r="Y912" s="67"/>
      <c r="Z912" s="67"/>
    </row>
    <row r="913">
      <c r="A913" s="136"/>
      <c r="B913" s="131"/>
      <c r="C913" s="131"/>
      <c r="D913" s="131"/>
      <c r="E913" s="130"/>
      <c r="F913" s="67"/>
      <c r="G913" s="67"/>
      <c r="H913" s="67"/>
      <c r="I913" s="67"/>
      <c r="J913" s="67"/>
      <c r="K913" s="67"/>
      <c r="L913" s="67"/>
      <c r="M913" s="67"/>
      <c r="N913" s="67"/>
      <c r="O913" s="67"/>
      <c r="P913" s="67"/>
      <c r="Q913" s="67"/>
      <c r="R913" s="67"/>
      <c r="S913" s="67"/>
      <c r="T913" s="67"/>
      <c r="U913" s="67"/>
      <c r="V913" s="67"/>
      <c r="W913" s="67"/>
      <c r="X913" s="67"/>
      <c r="Y913" s="67"/>
      <c r="Z913" s="67"/>
    </row>
    <row r="914">
      <c r="A914" s="135"/>
      <c r="B914" s="125"/>
      <c r="C914" s="125"/>
      <c r="D914" s="125"/>
      <c r="E914" s="126"/>
      <c r="F914" s="67"/>
      <c r="G914" s="67"/>
      <c r="H914" s="67"/>
      <c r="I914" s="67"/>
      <c r="J914" s="67"/>
      <c r="K914" s="67"/>
      <c r="L914" s="67"/>
      <c r="M914" s="67"/>
      <c r="N914" s="67"/>
      <c r="O914" s="67"/>
      <c r="P914" s="67"/>
      <c r="Q914" s="67"/>
      <c r="R914" s="67"/>
      <c r="S914" s="67"/>
      <c r="T914" s="67"/>
      <c r="U914" s="67"/>
      <c r="V914" s="67"/>
      <c r="W914" s="67"/>
      <c r="X914" s="67"/>
      <c r="Y914" s="67"/>
      <c r="Z914" s="67"/>
    </row>
    <row r="915">
      <c r="A915" s="136"/>
      <c r="B915" s="131"/>
      <c r="C915" s="131"/>
      <c r="D915" s="131"/>
      <c r="E915" s="130"/>
      <c r="F915" s="67"/>
      <c r="G915" s="67"/>
      <c r="H915" s="67"/>
      <c r="I915" s="67"/>
      <c r="J915" s="67"/>
      <c r="K915" s="67"/>
      <c r="L915" s="67"/>
      <c r="M915" s="67"/>
      <c r="N915" s="67"/>
      <c r="O915" s="67"/>
      <c r="P915" s="67"/>
      <c r="Q915" s="67"/>
      <c r="R915" s="67"/>
      <c r="S915" s="67"/>
      <c r="T915" s="67"/>
      <c r="U915" s="67"/>
      <c r="V915" s="67"/>
      <c r="W915" s="67"/>
      <c r="X915" s="67"/>
      <c r="Y915" s="67"/>
      <c r="Z915" s="67"/>
    </row>
    <row r="916">
      <c r="A916" s="135"/>
      <c r="B916" s="125"/>
      <c r="C916" s="125"/>
      <c r="D916" s="125"/>
      <c r="E916" s="126"/>
      <c r="F916" s="67"/>
      <c r="G916" s="67"/>
      <c r="H916" s="67"/>
      <c r="I916" s="67"/>
      <c r="J916" s="67"/>
      <c r="K916" s="67"/>
      <c r="L916" s="67"/>
      <c r="M916" s="67"/>
      <c r="N916" s="67"/>
      <c r="O916" s="67"/>
      <c r="P916" s="67"/>
      <c r="Q916" s="67"/>
      <c r="R916" s="67"/>
      <c r="S916" s="67"/>
      <c r="T916" s="67"/>
      <c r="U916" s="67"/>
      <c r="V916" s="67"/>
      <c r="W916" s="67"/>
      <c r="X916" s="67"/>
      <c r="Y916" s="67"/>
      <c r="Z916" s="67"/>
    </row>
    <row r="917">
      <c r="A917" s="136"/>
      <c r="B917" s="131"/>
      <c r="C917" s="131"/>
      <c r="D917" s="131"/>
      <c r="E917" s="130"/>
      <c r="F917" s="67"/>
      <c r="G917" s="67"/>
      <c r="H917" s="67"/>
      <c r="I917" s="67"/>
      <c r="J917" s="67"/>
      <c r="K917" s="67"/>
      <c r="L917" s="67"/>
      <c r="M917" s="67"/>
      <c r="N917" s="67"/>
      <c r="O917" s="67"/>
      <c r="P917" s="67"/>
      <c r="Q917" s="67"/>
      <c r="R917" s="67"/>
      <c r="S917" s="67"/>
      <c r="T917" s="67"/>
      <c r="U917" s="67"/>
      <c r="V917" s="67"/>
      <c r="W917" s="67"/>
      <c r="X917" s="67"/>
      <c r="Y917" s="67"/>
      <c r="Z917" s="67"/>
    </row>
    <row r="918">
      <c r="A918" s="135"/>
      <c r="B918" s="125"/>
      <c r="C918" s="125"/>
      <c r="D918" s="125"/>
      <c r="E918" s="126"/>
      <c r="F918" s="67"/>
      <c r="G918" s="67"/>
      <c r="H918" s="67"/>
      <c r="I918" s="67"/>
      <c r="J918" s="67"/>
      <c r="K918" s="67"/>
      <c r="L918" s="67"/>
      <c r="M918" s="67"/>
      <c r="N918" s="67"/>
      <c r="O918" s="67"/>
      <c r="P918" s="67"/>
      <c r="Q918" s="67"/>
      <c r="R918" s="67"/>
      <c r="S918" s="67"/>
      <c r="T918" s="67"/>
      <c r="U918" s="67"/>
      <c r="V918" s="67"/>
      <c r="W918" s="67"/>
      <c r="X918" s="67"/>
      <c r="Y918" s="67"/>
      <c r="Z918" s="67"/>
    </row>
    <row r="919">
      <c r="A919" s="136"/>
      <c r="B919" s="131"/>
      <c r="C919" s="131"/>
      <c r="D919" s="131"/>
      <c r="E919" s="130"/>
      <c r="F919" s="67"/>
      <c r="G919" s="67"/>
      <c r="H919" s="67"/>
      <c r="I919" s="67"/>
      <c r="J919" s="67"/>
      <c r="K919" s="67"/>
      <c r="L919" s="67"/>
      <c r="M919" s="67"/>
      <c r="N919" s="67"/>
      <c r="O919" s="67"/>
      <c r="P919" s="67"/>
      <c r="Q919" s="67"/>
      <c r="R919" s="67"/>
      <c r="S919" s="67"/>
      <c r="T919" s="67"/>
      <c r="U919" s="67"/>
      <c r="V919" s="67"/>
      <c r="W919" s="67"/>
      <c r="X919" s="67"/>
      <c r="Y919" s="67"/>
      <c r="Z919" s="67"/>
    </row>
    <row r="920">
      <c r="A920" s="135"/>
      <c r="B920" s="125"/>
      <c r="C920" s="125"/>
      <c r="D920" s="125"/>
      <c r="E920" s="126"/>
      <c r="F920" s="67"/>
      <c r="G920" s="67"/>
      <c r="H920" s="67"/>
      <c r="I920" s="67"/>
      <c r="J920" s="67"/>
      <c r="K920" s="67"/>
      <c r="L920" s="67"/>
      <c r="M920" s="67"/>
      <c r="N920" s="67"/>
      <c r="O920" s="67"/>
      <c r="P920" s="67"/>
      <c r="Q920" s="67"/>
      <c r="R920" s="67"/>
      <c r="S920" s="67"/>
      <c r="T920" s="67"/>
      <c r="U920" s="67"/>
      <c r="V920" s="67"/>
      <c r="W920" s="67"/>
      <c r="X920" s="67"/>
      <c r="Y920" s="67"/>
      <c r="Z920" s="67"/>
    </row>
    <row r="921">
      <c r="A921" s="136"/>
      <c r="B921" s="131"/>
      <c r="C921" s="131"/>
      <c r="D921" s="131"/>
      <c r="E921" s="130"/>
      <c r="F921" s="67"/>
      <c r="G921" s="67"/>
      <c r="H921" s="67"/>
      <c r="I921" s="67"/>
      <c r="J921" s="67"/>
      <c r="K921" s="67"/>
      <c r="L921" s="67"/>
      <c r="M921" s="67"/>
      <c r="N921" s="67"/>
      <c r="O921" s="67"/>
      <c r="P921" s="67"/>
      <c r="Q921" s="67"/>
      <c r="R921" s="67"/>
      <c r="S921" s="67"/>
      <c r="T921" s="67"/>
      <c r="U921" s="67"/>
      <c r="V921" s="67"/>
      <c r="W921" s="67"/>
      <c r="X921" s="67"/>
      <c r="Y921" s="67"/>
      <c r="Z921" s="67"/>
    </row>
    <row r="922">
      <c r="A922" s="135"/>
      <c r="B922" s="125"/>
      <c r="C922" s="125"/>
      <c r="D922" s="125"/>
      <c r="E922" s="126"/>
      <c r="F922" s="67"/>
      <c r="G922" s="67"/>
      <c r="H922" s="67"/>
      <c r="I922" s="67"/>
      <c r="J922" s="67"/>
      <c r="K922" s="67"/>
      <c r="L922" s="67"/>
      <c r="M922" s="67"/>
      <c r="N922" s="67"/>
      <c r="O922" s="67"/>
      <c r="P922" s="67"/>
      <c r="Q922" s="67"/>
      <c r="R922" s="67"/>
      <c r="S922" s="67"/>
      <c r="T922" s="67"/>
      <c r="U922" s="67"/>
      <c r="V922" s="67"/>
      <c r="W922" s="67"/>
      <c r="X922" s="67"/>
      <c r="Y922" s="67"/>
      <c r="Z922" s="67"/>
    </row>
    <row r="923">
      <c r="A923" s="136"/>
      <c r="B923" s="131"/>
      <c r="C923" s="131"/>
      <c r="D923" s="131"/>
      <c r="E923" s="130"/>
      <c r="F923" s="67"/>
      <c r="G923" s="67"/>
      <c r="H923" s="67"/>
      <c r="I923" s="67"/>
      <c r="J923" s="67"/>
      <c r="K923" s="67"/>
      <c r="L923" s="67"/>
      <c r="M923" s="67"/>
      <c r="N923" s="67"/>
      <c r="O923" s="67"/>
      <c r="P923" s="67"/>
      <c r="Q923" s="67"/>
      <c r="R923" s="67"/>
      <c r="S923" s="67"/>
      <c r="T923" s="67"/>
      <c r="U923" s="67"/>
      <c r="V923" s="67"/>
      <c r="W923" s="67"/>
      <c r="X923" s="67"/>
      <c r="Y923" s="67"/>
      <c r="Z923" s="67"/>
    </row>
    <row r="924">
      <c r="A924" s="135"/>
      <c r="B924" s="125"/>
      <c r="C924" s="125"/>
      <c r="D924" s="125"/>
      <c r="E924" s="126"/>
      <c r="F924" s="67"/>
      <c r="G924" s="67"/>
      <c r="H924" s="67"/>
      <c r="I924" s="67"/>
      <c r="J924" s="67"/>
      <c r="K924" s="67"/>
      <c r="L924" s="67"/>
      <c r="M924" s="67"/>
      <c r="N924" s="67"/>
      <c r="O924" s="67"/>
      <c r="P924" s="67"/>
      <c r="Q924" s="67"/>
      <c r="R924" s="67"/>
      <c r="S924" s="67"/>
      <c r="T924" s="67"/>
      <c r="U924" s="67"/>
      <c r="V924" s="67"/>
      <c r="W924" s="67"/>
      <c r="X924" s="67"/>
      <c r="Y924" s="67"/>
      <c r="Z924" s="67"/>
    </row>
    <row r="925">
      <c r="A925" s="136"/>
      <c r="B925" s="131"/>
      <c r="C925" s="131"/>
      <c r="D925" s="131"/>
      <c r="E925" s="130"/>
      <c r="F925" s="67"/>
      <c r="G925" s="67"/>
      <c r="H925" s="67"/>
      <c r="I925" s="67"/>
      <c r="J925" s="67"/>
      <c r="K925" s="67"/>
      <c r="L925" s="67"/>
      <c r="M925" s="67"/>
      <c r="N925" s="67"/>
      <c r="O925" s="67"/>
      <c r="P925" s="67"/>
      <c r="Q925" s="67"/>
      <c r="R925" s="67"/>
      <c r="S925" s="67"/>
      <c r="T925" s="67"/>
      <c r="U925" s="67"/>
      <c r="V925" s="67"/>
      <c r="W925" s="67"/>
      <c r="X925" s="67"/>
      <c r="Y925" s="67"/>
      <c r="Z925" s="67"/>
    </row>
    <row r="926">
      <c r="A926" s="135"/>
      <c r="B926" s="125"/>
      <c r="C926" s="125"/>
      <c r="D926" s="125"/>
      <c r="E926" s="126"/>
      <c r="F926" s="67"/>
      <c r="G926" s="67"/>
      <c r="H926" s="67"/>
      <c r="I926" s="67"/>
      <c r="J926" s="67"/>
      <c r="K926" s="67"/>
      <c r="L926" s="67"/>
      <c r="M926" s="67"/>
      <c r="N926" s="67"/>
      <c r="O926" s="67"/>
      <c r="P926" s="67"/>
      <c r="Q926" s="67"/>
      <c r="R926" s="67"/>
      <c r="S926" s="67"/>
      <c r="T926" s="67"/>
      <c r="U926" s="67"/>
      <c r="V926" s="67"/>
      <c r="W926" s="67"/>
      <c r="X926" s="67"/>
      <c r="Y926" s="67"/>
      <c r="Z926" s="67"/>
    </row>
    <row r="927">
      <c r="A927" s="136"/>
      <c r="B927" s="131"/>
      <c r="C927" s="131"/>
      <c r="D927" s="131"/>
      <c r="E927" s="130"/>
      <c r="F927" s="67"/>
      <c r="G927" s="67"/>
      <c r="H927" s="67"/>
      <c r="I927" s="67"/>
      <c r="J927" s="67"/>
      <c r="K927" s="67"/>
      <c r="L927" s="67"/>
      <c r="M927" s="67"/>
      <c r="N927" s="67"/>
      <c r="O927" s="67"/>
      <c r="P927" s="67"/>
      <c r="Q927" s="67"/>
      <c r="R927" s="67"/>
      <c r="S927" s="67"/>
      <c r="T927" s="67"/>
      <c r="U927" s="67"/>
      <c r="V927" s="67"/>
      <c r="W927" s="67"/>
      <c r="X927" s="67"/>
      <c r="Y927" s="67"/>
      <c r="Z927" s="67"/>
    </row>
    <row r="928">
      <c r="A928" s="135"/>
      <c r="B928" s="125"/>
      <c r="C928" s="125"/>
      <c r="D928" s="125"/>
      <c r="E928" s="126"/>
      <c r="F928" s="67"/>
      <c r="G928" s="67"/>
      <c r="H928" s="67"/>
      <c r="I928" s="67"/>
      <c r="J928" s="67"/>
      <c r="K928" s="67"/>
      <c r="L928" s="67"/>
      <c r="M928" s="67"/>
      <c r="N928" s="67"/>
      <c r="O928" s="67"/>
      <c r="P928" s="67"/>
      <c r="Q928" s="67"/>
      <c r="R928" s="67"/>
      <c r="S928" s="67"/>
      <c r="T928" s="67"/>
      <c r="U928" s="67"/>
      <c r="V928" s="67"/>
      <c r="W928" s="67"/>
      <c r="X928" s="67"/>
      <c r="Y928" s="67"/>
      <c r="Z928" s="67"/>
    </row>
    <row r="929">
      <c r="A929" s="136"/>
      <c r="B929" s="131"/>
      <c r="C929" s="131"/>
      <c r="D929" s="131"/>
      <c r="E929" s="130"/>
      <c r="F929" s="67"/>
      <c r="G929" s="67"/>
      <c r="H929" s="67"/>
      <c r="I929" s="67"/>
      <c r="J929" s="67"/>
      <c r="K929" s="67"/>
      <c r="L929" s="67"/>
      <c r="M929" s="67"/>
      <c r="N929" s="67"/>
      <c r="O929" s="67"/>
      <c r="P929" s="67"/>
      <c r="Q929" s="67"/>
      <c r="R929" s="67"/>
      <c r="S929" s="67"/>
      <c r="T929" s="67"/>
      <c r="U929" s="67"/>
      <c r="V929" s="67"/>
      <c r="W929" s="67"/>
      <c r="X929" s="67"/>
      <c r="Y929" s="67"/>
      <c r="Z929" s="67"/>
    </row>
    <row r="930">
      <c r="A930" s="135"/>
      <c r="B930" s="125"/>
      <c r="C930" s="125"/>
      <c r="D930" s="125"/>
      <c r="E930" s="126"/>
      <c r="F930" s="67"/>
      <c r="G930" s="67"/>
      <c r="H930" s="67"/>
      <c r="I930" s="67"/>
      <c r="J930" s="67"/>
      <c r="K930" s="67"/>
      <c r="L930" s="67"/>
      <c r="M930" s="67"/>
      <c r="N930" s="67"/>
      <c r="O930" s="67"/>
      <c r="P930" s="67"/>
      <c r="Q930" s="67"/>
      <c r="R930" s="67"/>
      <c r="S930" s="67"/>
      <c r="T930" s="67"/>
      <c r="U930" s="67"/>
      <c r="V930" s="67"/>
      <c r="W930" s="67"/>
      <c r="X930" s="67"/>
      <c r="Y930" s="67"/>
      <c r="Z930" s="67"/>
    </row>
    <row r="931">
      <c r="A931" s="136"/>
      <c r="B931" s="131"/>
      <c r="C931" s="131"/>
      <c r="D931" s="131"/>
      <c r="E931" s="130"/>
      <c r="F931" s="67"/>
      <c r="G931" s="67"/>
      <c r="H931" s="67"/>
      <c r="I931" s="67"/>
      <c r="J931" s="67"/>
      <c r="K931" s="67"/>
      <c r="L931" s="67"/>
      <c r="M931" s="67"/>
      <c r="N931" s="67"/>
      <c r="O931" s="67"/>
      <c r="P931" s="67"/>
      <c r="Q931" s="67"/>
      <c r="R931" s="67"/>
      <c r="S931" s="67"/>
      <c r="T931" s="67"/>
      <c r="U931" s="67"/>
      <c r="V931" s="67"/>
      <c r="W931" s="67"/>
      <c r="X931" s="67"/>
      <c r="Y931" s="67"/>
      <c r="Z931" s="67"/>
    </row>
    <row r="932">
      <c r="A932" s="135"/>
      <c r="B932" s="125"/>
      <c r="C932" s="125"/>
      <c r="D932" s="125"/>
      <c r="E932" s="126"/>
      <c r="F932" s="67"/>
      <c r="G932" s="67"/>
      <c r="H932" s="67"/>
      <c r="I932" s="67"/>
      <c r="J932" s="67"/>
      <c r="K932" s="67"/>
      <c r="L932" s="67"/>
      <c r="M932" s="67"/>
      <c r="N932" s="67"/>
      <c r="O932" s="67"/>
      <c r="P932" s="67"/>
      <c r="Q932" s="67"/>
      <c r="R932" s="67"/>
      <c r="S932" s="67"/>
      <c r="T932" s="67"/>
      <c r="U932" s="67"/>
      <c r="V932" s="67"/>
      <c r="W932" s="67"/>
      <c r="X932" s="67"/>
      <c r="Y932" s="67"/>
      <c r="Z932" s="67"/>
    </row>
    <row r="933">
      <c r="A933" s="136"/>
      <c r="B933" s="131"/>
      <c r="C933" s="131"/>
      <c r="D933" s="131"/>
      <c r="E933" s="130"/>
      <c r="F933" s="67"/>
      <c r="G933" s="67"/>
      <c r="H933" s="67"/>
      <c r="I933" s="67"/>
      <c r="J933" s="67"/>
      <c r="K933" s="67"/>
      <c r="L933" s="67"/>
      <c r="M933" s="67"/>
      <c r="N933" s="67"/>
      <c r="O933" s="67"/>
      <c r="P933" s="67"/>
      <c r="Q933" s="67"/>
      <c r="R933" s="67"/>
      <c r="S933" s="67"/>
      <c r="T933" s="67"/>
      <c r="U933" s="67"/>
      <c r="V933" s="67"/>
      <c r="W933" s="67"/>
      <c r="X933" s="67"/>
      <c r="Y933" s="67"/>
      <c r="Z933" s="67"/>
    </row>
    <row r="934">
      <c r="A934" s="135"/>
      <c r="B934" s="125"/>
      <c r="C934" s="125"/>
      <c r="D934" s="125"/>
      <c r="E934" s="126"/>
      <c r="F934" s="67"/>
      <c r="G934" s="67"/>
      <c r="H934" s="67"/>
      <c r="I934" s="67"/>
      <c r="J934" s="67"/>
      <c r="K934" s="67"/>
      <c r="L934" s="67"/>
      <c r="M934" s="67"/>
      <c r="N934" s="67"/>
      <c r="O934" s="67"/>
      <c r="P934" s="67"/>
      <c r="Q934" s="67"/>
      <c r="R934" s="67"/>
      <c r="S934" s="67"/>
      <c r="T934" s="67"/>
      <c r="U934" s="67"/>
      <c r="V934" s="67"/>
      <c r="W934" s="67"/>
      <c r="X934" s="67"/>
      <c r="Y934" s="67"/>
      <c r="Z934" s="67"/>
    </row>
    <row r="935">
      <c r="A935" s="136"/>
      <c r="B935" s="131"/>
      <c r="C935" s="131"/>
      <c r="D935" s="131"/>
      <c r="E935" s="130"/>
      <c r="F935" s="67"/>
      <c r="G935" s="67"/>
      <c r="H935" s="67"/>
      <c r="I935" s="67"/>
      <c r="J935" s="67"/>
      <c r="K935" s="67"/>
      <c r="L935" s="67"/>
      <c r="M935" s="67"/>
      <c r="N935" s="67"/>
      <c r="O935" s="67"/>
      <c r="P935" s="67"/>
      <c r="Q935" s="67"/>
      <c r="R935" s="67"/>
      <c r="S935" s="67"/>
      <c r="T935" s="67"/>
      <c r="U935" s="67"/>
      <c r="V935" s="67"/>
      <c r="W935" s="67"/>
      <c r="X935" s="67"/>
      <c r="Y935" s="67"/>
      <c r="Z935" s="67"/>
    </row>
    <row r="936">
      <c r="A936" s="135"/>
      <c r="B936" s="125"/>
      <c r="C936" s="125"/>
      <c r="D936" s="125"/>
      <c r="E936" s="126"/>
      <c r="F936" s="67"/>
      <c r="G936" s="67"/>
      <c r="H936" s="67"/>
      <c r="I936" s="67"/>
      <c r="J936" s="67"/>
      <c r="K936" s="67"/>
      <c r="L936" s="67"/>
      <c r="M936" s="67"/>
      <c r="N936" s="67"/>
      <c r="O936" s="67"/>
      <c r="P936" s="67"/>
      <c r="Q936" s="67"/>
      <c r="R936" s="67"/>
      <c r="S936" s="67"/>
      <c r="T936" s="67"/>
      <c r="U936" s="67"/>
      <c r="V936" s="67"/>
      <c r="W936" s="67"/>
      <c r="X936" s="67"/>
      <c r="Y936" s="67"/>
      <c r="Z936" s="67"/>
    </row>
    <row r="937">
      <c r="A937" s="136"/>
      <c r="B937" s="131"/>
      <c r="C937" s="131"/>
      <c r="D937" s="131"/>
      <c r="E937" s="130"/>
      <c r="F937" s="67"/>
      <c r="G937" s="67"/>
      <c r="H937" s="67"/>
      <c r="I937" s="67"/>
      <c r="J937" s="67"/>
      <c r="K937" s="67"/>
      <c r="L937" s="67"/>
      <c r="M937" s="67"/>
      <c r="N937" s="67"/>
      <c r="O937" s="67"/>
      <c r="P937" s="67"/>
      <c r="Q937" s="67"/>
      <c r="R937" s="67"/>
      <c r="S937" s="67"/>
      <c r="T937" s="67"/>
      <c r="U937" s="67"/>
      <c r="V937" s="67"/>
      <c r="W937" s="67"/>
      <c r="X937" s="67"/>
      <c r="Y937" s="67"/>
      <c r="Z937" s="67"/>
    </row>
    <row r="938">
      <c r="A938" s="135"/>
      <c r="B938" s="125"/>
      <c r="C938" s="125"/>
      <c r="D938" s="125"/>
      <c r="E938" s="126"/>
      <c r="F938" s="67"/>
      <c r="G938" s="67"/>
      <c r="H938" s="67"/>
      <c r="I938" s="67"/>
      <c r="J938" s="67"/>
      <c r="K938" s="67"/>
      <c r="L938" s="67"/>
      <c r="M938" s="67"/>
      <c r="N938" s="67"/>
      <c r="O938" s="67"/>
      <c r="P938" s="67"/>
      <c r="Q938" s="67"/>
      <c r="R938" s="67"/>
      <c r="S938" s="67"/>
      <c r="T938" s="67"/>
      <c r="U938" s="67"/>
      <c r="V938" s="67"/>
      <c r="W938" s="67"/>
      <c r="X938" s="67"/>
      <c r="Y938" s="67"/>
      <c r="Z938" s="67"/>
    </row>
    <row r="939">
      <c r="A939" s="136"/>
      <c r="B939" s="131"/>
      <c r="C939" s="131"/>
      <c r="D939" s="131"/>
      <c r="E939" s="130"/>
      <c r="F939" s="67"/>
      <c r="G939" s="67"/>
      <c r="H939" s="67"/>
      <c r="I939" s="67"/>
      <c r="J939" s="67"/>
      <c r="K939" s="67"/>
      <c r="L939" s="67"/>
      <c r="M939" s="67"/>
      <c r="N939" s="67"/>
      <c r="O939" s="67"/>
      <c r="P939" s="67"/>
      <c r="Q939" s="67"/>
      <c r="R939" s="67"/>
      <c r="S939" s="67"/>
      <c r="T939" s="67"/>
      <c r="U939" s="67"/>
      <c r="V939" s="67"/>
      <c r="W939" s="67"/>
      <c r="X939" s="67"/>
      <c r="Y939" s="67"/>
      <c r="Z939" s="67"/>
    </row>
    <row r="940">
      <c r="A940" s="135"/>
      <c r="B940" s="125"/>
      <c r="C940" s="125"/>
      <c r="D940" s="125"/>
      <c r="E940" s="126"/>
      <c r="F940" s="67"/>
      <c r="G940" s="67"/>
      <c r="H940" s="67"/>
      <c r="I940" s="67"/>
      <c r="J940" s="67"/>
      <c r="K940" s="67"/>
      <c r="L940" s="67"/>
      <c r="M940" s="67"/>
      <c r="N940" s="67"/>
      <c r="O940" s="67"/>
      <c r="P940" s="67"/>
      <c r="Q940" s="67"/>
      <c r="R940" s="67"/>
      <c r="S940" s="67"/>
      <c r="T940" s="67"/>
      <c r="U940" s="67"/>
      <c r="V940" s="67"/>
      <c r="W940" s="67"/>
      <c r="X940" s="67"/>
      <c r="Y940" s="67"/>
      <c r="Z940" s="67"/>
    </row>
    <row r="941">
      <c r="A941" s="136"/>
      <c r="B941" s="131"/>
      <c r="C941" s="131"/>
      <c r="D941" s="131"/>
      <c r="E941" s="130"/>
      <c r="F941" s="67"/>
      <c r="G941" s="67"/>
      <c r="H941" s="67"/>
      <c r="I941" s="67"/>
      <c r="J941" s="67"/>
      <c r="K941" s="67"/>
      <c r="L941" s="67"/>
      <c r="M941" s="67"/>
      <c r="N941" s="67"/>
      <c r="O941" s="67"/>
      <c r="P941" s="67"/>
      <c r="Q941" s="67"/>
      <c r="R941" s="67"/>
      <c r="S941" s="67"/>
      <c r="T941" s="67"/>
      <c r="U941" s="67"/>
      <c r="V941" s="67"/>
      <c r="W941" s="67"/>
      <c r="X941" s="67"/>
      <c r="Y941" s="67"/>
      <c r="Z941" s="67"/>
    </row>
    <row r="942">
      <c r="A942" s="135"/>
      <c r="B942" s="125"/>
      <c r="C942" s="125"/>
      <c r="D942" s="125"/>
      <c r="E942" s="126"/>
      <c r="F942" s="67"/>
      <c r="G942" s="67"/>
      <c r="H942" s="67"/>
      <c r="I942" s="67"/>
      <c r="J942" s="67"/>
      <c r="K942" s="67"/>
      <c r="L942" s="67"/>
      <c r="M942" s="67"/>
      <c r="N942" s="67"/>
      <c r="O942" s="67"/>
      <c r="P942" s="67"/>
      <c r="Q942" s="67"/>
      <c r="R942" s="67"/>
      <c r="S942" s="67"/>
      <c r="T942" s="67"/>
      <c r="U942" s="67"/>
      <c r="V942" s="67"/>
      <c r="W942" s="67"/>
      <c r="X942" s="67"/>
      <c r="Y942" s="67"/>
      <c r="Z942" s="67"/>
    </row>
    <row r="943">
      <c r="A943" s="136"/>
      <c r="B943" s="131"/>
      <c r="C943" s="131"/>
      <c r="D943" s="131"/>
      <c r="E943" s="130"/>
      <c r="F943" s="67"/>
      <c r="G943" s="67"/>
      <c r="H943" s="67"/>
      <c r="I943" s="67"/>
      <c r="J943" s="67"/>
      <c r="K943" s="67"/>
      <c r="L943" s="67"/>
      <c r="M943" s="67"/>
      <c r="N943" s="67"/>
      <c r="O943" s="67"/>
      <c r="P943" s="67"/>
      <c r="Q943" s="67"/>
      <c r="R943" s="67"/>
      <c r="S943" s="67"/>
      <c r="T943" s="67"/>
      <c r="U943" s="67"/>
      <c r="V943" s="67"/>
      <c r="W943" s="67"/>
      <c r="X943" s="67"/>
      <c r="Y943" s="67"/>
      <c r="Z943" s="67"/>
    </row>
    <row r="944">
      <c r="A944" s="135"/>
      <c r="B944" s="125"/>
      <c r="C944" s="125"/>
      <c r="D944" s="125"/>
      <c r="E944" s="126"/>
      <c r="F944" s="67"/>
      <c r="G944" s="67"/>
      <c r="H944" s="67"/>
      <c r="I944" s="67"/>
      <c r="J944" s="67"/>
      <c r="K944" s="67"/>
      <c r="L944" s="67"/>
      <c r="M944" s="67"/>
      <c r="N944" s="67"/>
      <c r="O944" s="67"/>
      <c r="P944" s="67"/>
      <c r="Q944" s="67"/>
      <c r="R944" s="67"/>
      <c r="S944" s="67"/>
      <c r="T944" s="67"/>
      <c r="U944" s="67"/>
      <c r="V944" s="67"/>
      <c r="W944" s="67"/>
      <c r="X944" s="67"/>
      <c r="Y944" s="67"/>
      <c r="Z944" s="67"/>
    </row>
    <row r="945">
      <c r="A945" s="136"/>
      <c r="B945" s="131"/>
      <c r="C945" s="131"/>
      <c r="D945" s="131"/>
      <c r="E945" s="130"/>
      <c r="F945" s="67"/>
      <c r="G945" s="67"/>
      <c r="H945" s="67"/>
      <c r="I945" s="67"/>
      <c r="J945" s="67"/>
      <c r="K945" s="67"/>
      <c r="L945" s="67"/>
      <c r="M945" s="67"/>
      <c r="N945" s="67"/>
      <c r="O945" s="67"/>
      <c r="P945" s="67"/>
      <c r="Q945" s="67"/>
      <c r="R945" s="67"/>
      <c r="S945" s="67"/>
      <c r="T945" s="67"/>
      <c r="U945" s="67"/>
      <c r="V945" s="67"/>
      <c r="W945" s="67"/>
      <c r="X945" s="67"/>
      <c r="Y945" s="67"/>
      <c r="Z945" s="67"/>
    </row>
    <row r="946">
      <c r="A946" s="135"/>
      <c r="B946" s="125"/>
      <c r="C946" s="125"/>
      <c r="D946" s="125"/>
      <c r="E946" s="126"/>
      <c r="F946" s="67"/>
      <c r="G946" s="67"/>
      <c r="H946" s="67"/>
      <c r="I946" s="67"/>
      <c r="J946" s="67"/>
      <c r="K946" s="67"/>
      <c r="L946" s="67"/>
      <c r="M946" s="67"/>
      <c r="N946" s="67"/>
      <c r="O946" s="67"/>
      <c r="P946" s="67"/>
      <c r="Q946" s="67"/>
      <c r="R946" s="67"/>
      <c r="S946" s="67"/>
      <c r="T946" s="67"/>
      <c r="U946" s="67"/>
      <c r="V946" s="67"/>
      <c r="W946" s="67"/>
      <c r="X946" s="67"/>
      <c r="Y946" s="67"/>
      <c r="Z946" s="67"/>
    </row>
    <row r="947">
      <c r="A947" s="136"/>
      <c r="B947" s="131"/>
      <c r="C947" s="131"/>
      <c r="D947" s="131"/>
      <c r="E947" s="130"/>
      <c r="F947" s="67"/>
      <c r="G947" s="67"/>
      <c r="H947" s="67"/>
      <c r="I947" s="67"/>
      <c r="J947" s="67"/>
      <c r="K947" s="67"/>
      <c r="L947" s="67"/>
      <c r="M947" s="67"/>
      <c r="N947" s="67"/>
      <c r="O947" s="67"/>
      <c r="P947" s="67"/>
      <c r="Q947" s="67"/>
      <c r="R947" s="67"/>
      <c r="S947" s="67"/>
      <c r="T947" s="67"/>
      <c r="U947" s="67"/>
      <c r="V947" s="67"/>
      <c r="W947" s="67"/>
      <c r="X947" s="67"/>
      <c r="Y947" s="67"/>
      <c r="Z947" s="67"/>
    </row>
    <row r="948">
      <c r="A948" s="135"/>
      <c r="B948" s="125"/>
      <c r="C948" s="125"/>
      <c r="D948" s="125"/>
      <c r="E948" s="126"/>
      <c r="F948" s="67"/>
      <c r="G948" s="67"/>
      <c r="H948" s="67"/>
      <c r="I948" s="67"/>
      <c r="J948" s="67"/>
      <c r="K948" s="67"/>
      <c r="L948" s="67"/>
      <c r="M948" s="67"/>
      <c r="N948" s="67"/>
      <c r="O948" s="67"/>
      <c r="P948" s="67"/>
      <c r="Q948" s="67"/>
      <c r="R948" s="67"/>
      <c r="S948" s="67"/>
      <c r="T948" s="67"/>
      <c r="U948" s="67"/>
      <c r="V948" s="67"/>
      <c r="W948" s="67"/>
      <c r="X948" s="67"/>
      <c r="Y948" s="67"/>
      <c r="Z948" s="67"/>
    </row>
    <row r="949">
      <c r="A949" s="136"/>
      <c r="B949" s="131"/>
      <c r="C949" s="131"/>
      <c r="D949" s="131"/>
      <c r="E949" s="130"/>
      <c r="F949" s="67"/>
      <c r="G949" s="67"/>
      <c r="H949" s="67"/>
      <c r="I949" s="67"/>
      <c r="J949" s="67"/>
      <c r="K949" s="67"/>
      <c r="L949" s="67"/>
      <c r="M949" s="67"/>
      <c r="N949" s="67"/>
      <c r="O949" s="67"/>
      <c r="P949" s="67"/>
      <c r="Q949" s="67"/>
      <c r="R949" s="67"/>
      <c r="S949" s="67"/>
      <c r="T949" s="67"/>
      <c r="U949" s="67"/>
      <c r="V949" s="67"/>
      <c r="W949" s="67"/>
      <c r="X949" s="67"/>
      <c r="Y949" s="67"/>
      <c r="Z949" s="67"/>
    </row>
    <row r="950">
      <c r="A950" s="135"/>
      <c r="B950" s="125"/>
      <c r="C950" s="125"/>
      <c r="D950" s="125"/>
      <c r="E950" s="126"/>
      <c r="F950" s="67"/>
      <c r="G950" s="67"/>
      <c r="H950" s="67"/>
      <c r="I950" s="67"/>
      <c r="J950" s="67"/>
      <c r="K950" s="67"/>
      <c r="L950" s="67"/>
      <c r="M950" s="67"/>
      <c r="N950" s="67"/>
      <c r="O950" s="67"/>
      <c r="P950" s="67"/>
      <c r="Q950" s="67"/>
      <c r="R950" s="67"/>
      <c r="S950" s="67"/>
      <c r="T950" s="67"/>
      <c r="U950" s="67"/>
      <c r="V950" s="67"/>
      <c r="W950" s="67"/>
      <c r="X950" s="67"/>
      <c r="Y950" s="67"/>
      <c r="Z950" s="67"/>
    </row>
    <row r="951">
      <c r="A951" s="136"/>
      <c r="B951" s="131"/>
      <c r="C951" s="131"/>
      <c r="D951" s="131"/>
      <c r="E951" s="130"/>
      <c r="F951" s="67"/>
      <c r="G951" s="67"/>
      <c r="H951" s="67"/>
      <c r="I951" s="67"/>
      <c r="J951" s="67"/>
      <c r="K951" s="67"/>
      <c r="L951" s="67"/>
      <c r="M951" s="67"/>
      <c r="N951" s="67"/>
      <c r="O951" s="67"/>
      <c r="P951" s="67"/>
      <c r="Q951" s="67"/>
      <c r="R951" s="67"/>
      <c r="S951" s="67"/>
      <c r="T951" s="67"/>
      <c r="U951" s="67"/>
      <c r="V951" s="67"/>
      <c r="W951" s="67"/>
      <c r="X951" s="67"/>
      <c r="Y951" s="67"/>
      <c r="Z951" s="67"/>
    </row>
    <row r="952">
      <c r="A952" s="135"/>
      <c r="B952" s="125"/>
      <c r="C952" s="125"/>
      <c r="D952" s="125"/>
      <c r="E952" s="126"/>
      <c r="F952" s="67"/>
      <c r="G952" s="67"/>
      <c r="H952" s="67"/>
      <c r="I952" s="67"/>
      <c r="J952" s="67"/>
      <c r="K952" s="67"/>
      <c r="L952" s="67"/>
      <c r="M952" s="67"/>
      <c r="N952" s="67"/>
      <c r="O952" s="67"/>
      <c r="P952" s="67"/>
      <c r="Q952" s="67"/>
      <c r="R952" s="67"/>
      <c r="S952" s="67"/>
      <c r="T952" s="67"/>
      <c r="U952" s="67"/>
      <c r="V952" s="67"/>
      <c r="W952" s="67"/>
      <c r="X952" s="67"/>
      <c r="Y952" s="67"/>
      <c r="Z952" s="67"/>
    </row>
    <row r="953">
      <c r="A953" s="136"/>
      <c r="B953" s="131"/>
      <c r="C953" s="131"/>
      <c r="D953" s="131"/>
      <c r="E953" s="130"/>
      <c r="F953" s="67"/>
      <c r="G953" s="67"/>
      <c r="H953" s="67"/>
      <c r="I953" s="67"/>
      <c r="J953" s="67"/>
      <c r="K953" s="67"/>
      <c r="L953" s="67"/>
      <c r="M953" s="67"/>
      <c r="N953" s="67"/>
      <c r="O953" s="67"/>
      <c r="P953" s="67"/>
      <c r="Q953" s="67"/>
      <c r="R953" s="67"/>
      <c r="S953" s="67"/>
      <c r="T953" s="67"/>
      <c r="U953" s="67"/>
      <c r="V953" s="67"/>
      <c r="W953" s="67"/>
      <c r="X953" s="67"/>
      <c r="Y953" s="67"/>
      <c r="Z953" s="67"/>
    </row>
    <row r="954">
      <c r="A954" s="135"/>
      <c r="B954" s="125"/>
      <c r="C954" s="125"/>
      <c r="D954" s="125"/>
      <c r="E954" s="126"/>
      <c r="F954" s="67"/>
      <c r="G954" s="67"/>
      <c r="H954" s="67"/>
      <c r="I954" s="67"/>
      <c r="J954" s="67"/>
      <c r="K954" s="67"/>
      <c r="L954" s="67"/>
      <c r="M954" s="67"/>
      <c r="N954" s="67"/>
      <c r="O954" s="67"/>
      <c r="P954" s="67"/>
      <c r="Q954" s="67"/>
      <c r="R954" s="67"/>
      <c r="S954" s="67"/>
      <c r="T954" s="67"/>
      <c r="U954" s="67"/>
      <c r="V954" s="67"/>
      <c r="W954" s="67"/>
      <c r="X954" s="67"/>
      <c r="Y954" s="67"/>
      <c r="Z954" s="67"/>
    </row>
    <row r="955">
      <c r="A955" s="136"/>
      <c r="B955" s="131"/>
      <c r="C955" s="131"/>
      <c r="D955" s="131"/>
      <c r="E955" s="130"/>
      <c r="F955" s="67"/>
      <c r="G955" s="67"/>
      <c r="H955" s="67"/>
      <c r="I955" s="67"/>
      <c r="J955" s="67"/>
      <c r="K955" s="67"/>
      <c r="L955" s="67"/>
      <c r="M955" s="67"/>
      <c r="N955" s="67"/>
      <c r="O955" s="67"/>
      <c r="P955" s="67"/>
      <c r="Q955" s="67"/>
      <c r="R955" s="67"/>
      <c r="S955" s="67"/>
      <c r="T955" s="67"/>
      <c r="U955" s="67"/>
      <c r="V955" s="67"/>
      <c r="W955" s="67"/>
      <c r="X955" s="67"/>
      <c r="Y955" s="67"/>
      <c r="Z955" s="67"/>
    </row>
    <row r="956">
      <c r="A956" s="135"/>
      <c r="B956" s="125"/>
      <c r="C956" s="125"/>
      <c r="D956" s="125"/>
      <c r="E956" s="126"/>
      <c r="F956" s="67"/>
      <c r="G956" s="67"/>
      <c r="H956" s="67"/>
      <c r="I956" s="67"/>
      <c r="J956" s="67"/>
      <c r="K956" s="67"/>
      <c r="L956" s="67"/>
      <c r="M956" s="67"/>
      <c r="N956" s="67"/>
      <c r="O956" s="67"/>
      <c r="P956" s="67"/>
      <c r="Q956" s="67"/>
      <c r="R956" s="67"/>
      <c r="S956" s="67"/>
      <c r="T956" s="67"/>
      <c r="U956" s="67"/>
      <c r="V956" s="67"/>
      <c r="W956" s="67"/>
      <c r="X956" s="67"/>
      <c r="Y956" s="67"/>
      <c r="Z956" s="67"/>
    </row>
    <row r="957">
      <c r="A957" s="136"/>
      <c r="B957" s="131"/>
      <c r="C957" s="131"/>
      <c r="D957" s="131"/>
      <c r="E957" s="130"/>
      <c r="F957" s="67"/>
      <c r="G957" s="67"/>
      <c r="H957" s="67"/>
      <c r="I957" s="67"/>
      <c r="J957" s="67"/>
      <c r="K957" s="67"/>
      <c r="L957" s="67"/>
      <c r="M957" s="67"/>
      <c r="N957" s="67"/>
      <c r="O957" s="67"/>
      <c r="P957" s="67"/>
      <c r="Q957" s="67"/>
      <c r="R957" s="67"/>
      <c r="S957" s="67"/>
      <c r="T957" s="67"/>
      <c r="U957" s="67"/>
      <c r="V957" s="67"/>
      <c r="W957" s="67"/>
      <c r="X957" s="67"/>
      <c r="Y957" s="67"/>
      <c r="Z957" s="67"/>
    </row>
    <row r="958">
      <c r="A958" s="135"/>
      <c r="B958" s="125"/>
      <c r="C958" s="125"/>
      <c r="D958" s="125"/>
      <c r="E958" s="126"/>
      <c r="F958" s="67"/>
      <c r="G958" s="67"/>
      <c r="H958" s="67"/>
      <c r="I958" s="67"/>
      <c r="J958" s="67"/>
      <c r="K958" s="67"/>
      <c r="L958" s="67"/>
      <c r="M958" s="67"/>
      <c r="N958" s="67"/>
      <c r="O958" s="67"/>
      <c r="P958" s="67"/>
      <c r="Q958" s="67"/>
      <c r="R958" s="67"/>
      <c r="S958" s="67"/>
      <c r="T958" s="67"/>
      <c r="U958" s="67"/>
      <c r="V958" s="67"/>
      <c r="W958" s="67"/>
      <c r="X958" s="67"/>
      <c r="Y958" s="67"/>
      <c r="Z958" s="67"/>
    </row>
    <row r="959">
      <c r="A959" s="136"/>
      <c r="B959" s="131"/>
      <c r="C959" s="131"/>
      <c r="D959" s="131"/>
      <c r="E959" s="130"/>
      <c r="F959" s="67"/>
      <c r="G959" s="67"/>
      <c r="H959" s="67"/>
      <c r="I959" s="67"/>
      <c r="J959" s="67"/>
      <c r="K959" s="67"/>
      <c r="L959" s="67"/>
      <c r="M959" s="67"/>
      <c r="N959" s="67"/>
      <c r="O959" s="67"/>
      <c r="P959" s="67"/>
      <c r="Q959" s="67"/>
      <c r="R959" s="67"/>
      <c r="S959" s="67"/>
      <c r="T959" s="67"/>
      <c r="U959" s="67"/>
      <c r="V959" s="67"/>
      <c r="W959" s="67"/>
      <c r="X959" s="67"/>
      <c r="Y959" s="67"/>
      <c r="Z959" s="67"/>
    </row>
    <row r="960">
      <c r="A960" s="135"/>
      <c r="B960" s="125"/>
      <c r="C960" s="125"/>
      <c r="D960" s="125"/>
      <c r="E960" s="126"/>
      <c r="F960" s="67"/>
      <c r="G960" s="67"/>
      <c r="H960" s="67"/>
      <c r="I960" s="67"/>
      <c r="J960" s="67"/>
      <c r="K960" s="67"/>
      <c r="L960" s="67"/>
      <c r="M960" s="67"/>
      <c r="N960" s="67"/>
      <c r="O960" s="67"/>
      <c r="P960" s="67"/>
      <c r="Q960" s="67"/>
      <c r="R960" s="67"/>
      <c r="S960" s="67"/>
      <c r="T960" s="67"/>
      <c r="U960" s="67"/>
      <c r="V960" s="67"/>
      <c r="W960" s="67"/>
      <c r="X960" s="67"/>
      <c r="Y960" s="67"/>
      <c r="Z960" s="67"/>
    </row>
    <row r="961">
      <c r="A961" s="136"/>
      <c r="B961" s="131"/>
      <c r="C961" s="131"/>
      <c r="D961" s="131"/>
      <c r="E961" s="130"/>
      <c r="F961" s="67"/>
      <c r="G961" s="67"/>
      <c r="H961" s="67"/>
      <c r="I961" s="67"/>
      <c r="J961" s="67"/>
      <c r="K961" s="67"/>
      <c r="L961" s="67"/>
      <c r="M961" s="67"/>
      <c r="N961" s="67"/>
      <c r="O961" s="67"/>
      <c r="P961" s="67"/>
      <c r="Q961" s="67"/>
      <c r="R961" s="67"/>
      <c r="S961" s="67"/>
      <c r="T961" s="67"/>
      <c r="U961" s="67"/>
      <c r="V961" s="67"/>
      <c r="W961" s="67"/>
      <c r="X961" s="67"/>
      <c r="Y961" s="67"/>
      <c r="Z961" s="67"/>
    </row>
    <row r="962">
      <c r="A962" s="135"/>
      <c r="B962" s="125"/>
      <c r="C962" s="125"/>
      <c r="D962" s="125"/>
      <c r="E962" s="126"/>
      <c r="F962" s="67"/>
      <c r="G962" s="67"/>
      <c r="H962" s="67"/>
      <c r="I962" s="67"/>
      <c r="J962" s="67"/>
      <c r="K962" s="67"/>
      <c r="L962" s="67"/>
      <c r="M962" s="67"/>
      <c r="N962" s="67"/>
      <c r="O962" s="67"/>
      <c r="P962" s="67"/>
      <c r="Q962" s="67"/>
      <c r="R962" s="67"/>
      <c r="S962" s="67"/>
      <c r="T962" s="67"/>
      <c r="U962" s="67"/>
      <c r="V962" s="67"/>
      <c r="W962" s="67"/>
      <c r="X962" s="67"/>
      <c r="Y962" s="67"/>
      <c r="Z962" s="67"/>
    </row>
    <row r="963">
      <c r="A963" s="136"/>
      <c r="B963" s="131"/>
      <c r="C963" s="131"/>
      <c r="D963" s="131"/>
      <c r="E963" s="130"/>
      <c r="F963" s="67"/>
      <c r="G963" s="67"/>
      <c r="H963" s="67"/>
      <c r="I963" s="67"/>
      <c r="J963" s="67"/>
      <c r="K963" s="67"/>
      <c r="L963" s="67"/>
      <c r="M963" s="67"/>
      <c r="N963" s="67"/>
      <c r="O963" s="67"/>
      <c r="P963" s="67"/>
      <c r="Q963" s="67"/>
      <c r="R963" s="67"/>
      <c r="S963" s="67"/>
      <c r="T963" s="67"/>
      <c r="U963" s="67"/>
      <c r="V963" s="67"/>
      <c r="W963" s="67"/>
      <c r="X963" s="67"/>
      <c r="Y963" s="67"/>
      <c r="Z963" s="67"/>
    </row>
    <row r="964">
      <c r="A964" s="135"/>
      <c r="B964" s="125"/>
      <c r="C964" s="125"/>
      <c r="D964" s="125"/>
      <c r="E964" s="126"/>
      <c r="F964" s="67"/>
      <c r="G964" s="67"/>
      <c r="H964" s="67"/>
      <c r="I964" s="67"/>
      <c r="J964" s="67"/>
      <c r="K964" s="67"/>
      <c r="L964" s="67"/>
      <c r="M964" s="67"/>
      <c r="N964" s="67"/>
      <c r="O964" s="67"/>
      <c r="P964" s="67"/>
      <c r="Q964" s="67"/>
      <c r="R964" s="67"/>
      <c r="S964" s="67"/>
      <c r="T964" s="67"/>
      <c r="U964" s="67"/>
      <c r="V964" s="67"/>
      <c r="W964" s="67"/>
      <c r="X964" s="67"/>
      <c r="Y964" s="67"/>
      <c r="Z964" s="67"/>
    </row>
    <row r="965">
      <c r="A965" s="136"/>
      <c r="B965" s="131"/>
      <c r="C965" s="131"/>
      <c r="D965" s="131"/>
      <c r="E965" s="130"/>
      <c r="F965" s="67"/>
      <c r="G965" s="67"/>
      <c r="H965" s="67"/>
      <c r="I965" s="67"/>
      <c r="J965" s="67"/>
      <c r="K965" s="67"/>
      <c r="L965" s="67"/>
      <c r="M965" s="67"/>
      <c r="N965" s="67"/>
      <c r="O965" s="67"/>
      <c r="P965" s="67"/>
      <c r="Q965" s="67"/>
      <c r="R965" s="67"/>
      <c r="S965" s="67"/>
      <c r="T965" s="67"/>
      <c r="U965" s="67"/>
      <c r="V965" s="67"/>
      <c r="W965" s="67"/>
      <c r="X965" s="67"/>
      <c r="Y965" s="67"/>
      <c r="Z965" s="67"/>
    </row>
    <row r="966">
      <c r="A966" s="135"/>
      <c r="B966" s="125"/>
      <c r="C966" s="125"/>
      <c r="D966" s="125"/>
      <c r="E966" s="126"/>
      <c r="F966" s="67"/>
      <c r="G966" s="67"/>
      <c r="H966" s="67"/>
      <c r="I966" s="67"/>
      <c r="J966" s="67"/>
      <c r="K966" s="67"/>
      <c r="L966" s="67"/>
      <c r="M966" s="67"/>
      <c r="N966" s="67"/>
      <c r="O966" s="67"/>
      <c r="P966" s="67"/>
      <c r="Q966" s="67"/>
      <c r="R966" s="67"/>
      <c r="S966" s="67"/>
      <c r="T966" s="67"/>
      <c r="U966" s="67"/>
      <c r="V966" s="67"/>
      <c r="W966" s="67"/>
      <c r="X966" s="67"/>
      <c r="Y966" s="67"/>
      <c r="Z966" s="67"/>
    </row>
    <row r="967">
      <c r="A967" s="136"/>
      <c r="B967" s="131"/>
      <c r="C967" s="131"/>
      <c r="D967" s="131"/>
      <c r="E967" s="130"/>
      <c r="F967" s="67"/>
      <c r="G967" s="67"/>
      <c r="H967" s="67"/>
      <c r="I967" s="67"/>
      <c r="J967" s="67"/>
      <c r="K967" s="67"/>
      <c r="L967" s="67"/>
      <c r="M967" s="67"/>
      <c r="N967" s="67"/>
      <c r="O967" s="67"/>
      <c r="P967" s="67"/>
      <c r="Q967" s="67"/>
      <c r="R967" s="67"/>
      <c r="S967" s="67"/>
      <c r="T967" s="67"/>
      <c r="U967" s="67"/>
      <c r="V967" s="67"/>
      <c r="W967" s="67"/>
      <c r="X967" s="67"/>
      <c r="Y967" s="67"/>
      <c r="Z967" s="67"/>
    </row>
    <row r="968">
      <c r="A968" s="135"/>
      <c r="B968" s="125"/>
      <c r="C968" s="125"/>
      <c r="D968" s="125"/>
      <c r="E968" s="126"/>
      <c r="F968" s="67"/>
      <c r="G968" s="67"/>
      <c r="H968" s="67"/>
      <c r="I968" s="67"/>
      <c r="J968" s="67"/>
      <c r="K968" s="67"/>
      <c r="L968" s="67"/>
      <c r="M968" s="67"/>
      <c r="N968" s="67"/>
      <c r="O968" s="67"/>
      <c r="P968" s="67"/>
      <c r="Q968" s="67"/>
      <c r="R968" s="67"/>
      <c r="S968" s="67"/>
      <c r="T968" s="67"/>
      <c r="U968" s="67"/>
      <c r="V968" s="67"/>
      <c r="W968" s="67"/>
      <c r="X968" s="67"/>
      <c r="Y968" s="67"/>
      <c r="Z968" s="67"/>
    </row>
    <row r="969">
      <c r="A969" s="136"/>
      <c r="B969" s="131"/>
      <c r="C969" s="131"/>
      <c r="D969" s="131"/>
      <c r="E969" s="130"/>
      <c r="F969" s="67"/>
      <c r="G969" s="67"/>
      <c r="H969" s="67"/>
      <c r="I969" s="67"/>
      <c r="J969" s="67"/>
      <c r="K969" s="67"/>
      <c r="L969" s="67"/>
      <c r="M969" s="67"/>
      <c r="N969" s="67"/>
      <c r="O969" s="67"/>
      <c r="P969" s="67"/>
      <c r="Q969" s="67"/>
      <c r="R969" s="67"/>
      <c r="S969" s="67"/>
      <c r="T969" s="67"/>
      <c r="U969" s="67"/>
      <c r="V969" s="67"/>
      <c r="W969" s="67"/>
      <c r="X969" s="67"/>
      <c r="Y969" s="67"/>
      <c r="Z969" s="67"/>
    </row>
    <row r="970">
      <c r="A970" s="135"/>
      <c r="B970" s="125"/>
      <c r="C970" s="125"/>
      <c r="D970" s="125"/>
      <c r="E970" s="126"/>
      <c r="F970" s="67"/>
      <c r="G970" s="67"/>
      <c r="H970" s="67"/>
      <c r="I970" s="67"/>
      <c r="J970" s="67"/>
      <c r="K970" s="67"/>
      <c r="L970" s="67"/>
      <c r="M970" s="67"/>
      <c r="N970" s="67"/>
      <c r="O970" s="67"/>
      <c r="P970" s="67"/>
      <c r="Q970" s="67"/>
      <c r="R970" s="67"/>
      <c r="S970" s="67"/>
      <c r="T970" s="67"/>
      <c r="U970" s="67"/>
      <c r="V970" s="67"/>
      <c r="W970" s="67"/>
      <c r="X970" s="67"/>
      <c r="Y970" s="67"/>
      <c r="Z970" s="67"/>
    </row>
    <row r="971">
      <c r="A971" s="136"/>
      <c r="B971" s="131"/>
      <c r="C971" s="131"/>
      <c r="D971" s="131"/>
      <c r="E971" s="130"/>
      <c r="F971" s="67"/>
      <c r="G971" s="67"/>
      <c r="H971" s="67"/>
      <c r="I971" s="67"/>
      <c r="J971" s="67"/>
      <c r="K971" s="67"/>
      <c r="L971" s="67"/>
      <c r="M971" s="67"/>
      <c r="N971" s="67"/>
      <c r="O971" s="67"/>
      <c r="P971" s="67"/>
      <c r="Q971" s="67"/>
      <c r="R971" s="67"/>
      <c r="S971" s="67"/>
      <c r="T971" s="67"/>
      <c r="U971" s="67"/>
      <c r="V971" s="67"/>
      <c r="W971" s="67"/>
      <c r="X971" s="67"/>
      <c r="Y971" s="67"/>
      <c r="Z971" s="67"/>
    </row>
    <row r="972">
      <c r="A972" s="135"/>
      <c r="B972" s="125"/>
      <c r="C972" s="125"/>
      <c r="D972" s="125"/>
      <c r="E972" s="126"/>
      <c r="F972" s="67"/>
      <c r="G972" s="67"/>
      <c r="H972" s="67"/>
      <c r="I972" s="67"/>
      <c r="J972" s="67"/>
      <c r="K972" s="67"/>
      <c r="L972" s="67"/>
      <c r="M972" s="67"/>
      <c r="N972" s="67"/>
      <c r="O972" s="67"/>
      <c r="P972" s="67"/>
      <c r="Q972" s="67"/>
      <c r="R972" s="67"/>
      <c r="S972" s="67"/>
      <c r="T972" s="67"/>
      <c r="U972" s="67"/>
      <c r="V972" s="67"/>
      <c r="W972" s="67"/>
      <c r="X972" s="67"/>
      <c r="Y972" s="67"/>
      <c r="Z972" s="67"/>
    </row>
    <row r="973">
      <c r="A973" s="136"/>
      <c r="B973" s="131"/>
      <c r="C973" s="131"/>
      <c r="D973" s="131"/>
      <c r="E973" s="130"/>
      <c r="F973" s="67"/>
      <c r="G973" s="67"/>
      <c r="H973" s="67"/>
      <c r="I973" s="67"/>
      <c r="J973" s="67"/>
      <c r="K973" s="67"/>
      <c r="L973" s="67"/>
      <c r="M973" s="67"/>
      <c r="N973" s="67"/>
      <c r="O973" s="67"/>
      <c r="P973" s="67"/>
      <c r="Q973" s="67"/>
      <c r="R973" s="67"/>
      <c r="S973" s="67"/>
      <c r="T973" s="67"/>
      <c r="U973" s="67"/>
      <c r="V973" s="67"/>
      <c r="W973" s="67"/>
      <c r="X973" s="67"/>
      <c r="Y973" s="67"/>
      <c r="Z973" s="67"/>
    </row>
    <row r="974">
      <c r="A974" s="135"/>
      <c r="B974" s="125"/>
      <c r="C974" s="125"/>
      <c r="D974" s="125"/>
      <c r="E974" s="126"/>
      <c r="F974" s="67"/>
      <c r="G974" s="67"/>
      <c r="H974" s="67"/>
      <c r="I974" s="67"/>
      <c r="J974" s="67"/>
      <c r="K974" s="67"/>
      <c r="L974" s="67"/>
      <c r="M974" s="67"/>
      <c r="N974" s="67"/>
      <c r="O974" s="67"/>
      <c r="P974" s="67"/>
      <c r="Q974" s="67"/>
      <c r="R974" s="67"/>
      <c r="S974" s="67"/>
      <c r="T974" s="67"/>
      <c r="U974" s="67"/>
      <c r="V974" s="67"/>
      <c r="W974" s="67"/>
      <c r="X974" s="67"/>
      <c r="Y974" s="67"/>
      <c r="Z974" s="67"/>
    </row>
    <row r="975">
      <c r="A975" s="136"/>
      <c r="B975" s="131"/>
      <c r="C975" s="131"/>
      <c r="D975" s="131"/>
      <c r="E975" s="130"/>
      <c r="F975" s="67"/>
      <c r="G975" s="67"/>
      <c r="H975" s="67"/>
      <c r="I975" s="67"/>
      <c r="J975" s="67"/>
      <c r="K975" s="67"/>
      <c r="L975" s="67"/>
      <c r="M975" s="67"/>
      <c r="N975" s="67"/>
      <c r="O975" s="67"/>
      <c r="P975" s="67"/>
      <c r="Q975" s="67"/>
      <c r="R975" s="67"/>
      <c r="S975" s="67"/>
      <c r="T975" s="67"/>
      <c r="U975" s="67"/>
      <c r="V975" s="67"/>
      <c r="W975" s="67"/>
      <c r="X975" s="67"/>
      <c r="Y975" s="67"/>
      <c r="Z975" s="67"/>
    </row>
    <row r="976">
      <c r="A976" s="135"/>
      <c r="B976" s="125"/>
      <c r="C976" s="125"/>
      <c r="D976" s="125"/>
      <c r="E976" s="126"/>
      <c r="F976" s="67"/>
      <c r="G976" s="67"/>
      <c r="H976" s="67"/>
      <c r="I976" s="67"/>
      <c r="J976" s="67"/>
      <c r="K976" s="67"/>
      <c r="L976" s="67"/>
      <c r="M976" s="67"/>
      <c r="N976" s="67"/>
      <c r="O976" s="67"/>
      <c r="P976" s="67"/>
      <c r="Q976" s="67"/>
      <c r="R976" s="67"/>
      <c r="S976" s="67"/>
      <c r="T976" s="67"/>
      <c r="U976" s="67"/>
      <c r="V976" s="67"/>
      <c r="W976" s="67"/>
      <c r="X976" s="67"/>
      <c r="Y976" s="67"/>
      <c r="Z976" s="67"/>
    </row>
    <row r="977">
      <c r="A977" s="136"/>
      <c r="B977" s="131"/>
      <c r="C977" s="131"/>
      <c r="D977" s="131"/>
      <c r="E977" s="130"/>
      <c r="F977" s="67"/>
      <c r="G977" s="67"/>
      <c r="H977" s="67"/>
      <c r="I977" s="67"/>
      <c r="J977" s="67"/>
      <c r="K977" s="67"/>
      <c r="L977" s="67"/>
      <c r="M977" s="67"/>
      <c r="N977" s="67"/>
      <c r="O977" s="67"/>
      <c r="P977" s="67"/>
      <c r="Q977" s="67"/>
      <c r="R977" s="67"/>
      <c r="S977" s="67"/>
      <c r="T977" s="67"/>
      <c r="U977" s="67"/>
      <c r="V977" s="67"/>
      <c r="W977" s="67"/>
      <c r="X977" s="67"/>
      <c r="Y977" s="67"/>
      <c r="Z977" s="67"/>
    </row>
    <row r="978">
      <c r="A978" s="135"/>
      <c r="B978" s="125"/>
      <c r="C978" s="125"/>
      <c r="D978" s="125"/>
      <c r="E978" s="126"/>
      <c r="F978" s="67"/>
      <c r="G978" s="67"/>
      <c r="H978" s="67"/>
      <c r="I978" s="67"/>
      <c r="J978" s="67"/>
      <c r="K978" s="67"/>
      <c r="L978" s="67"/>
      <c r="M978" s="67"/>
      <c r="N978" s="67"/>
      <c r="O978" s="67"/>
      <c r="P978" s="67"/>
      <c r="Q978" s="67"/>
      <c r="R978" s="67"/>
      <c r="S978" s="67"/>
      <c r="T978" s="67"/>
      <c r="U978" s="67"/>
      <c r="V978" s="67"/>
      <c r="W978" s="67"/>
      <c r="X978" s="67"/>
      <c r="Y978" s="67"/>
      <c r="Z978" s="67"/>
    </row>
    <row r="979">
      <c r="A979" s="136"/>
      <c r="B979" s="131"/>
      <c r="C979" s="131"/>
      <c r="D979" s="131"/>
      <c r="E979" s="130"/>
      <c r="F979" s="67"/>
      <c r="G979" s="67"/>
      <c r="H979" s="67"/>
      <c r="I979" s="67"/>
      <c r="J979" s="67"/>
      <c r="K979" s="67"/>
      <c r="L979" s="67"/>
      <c r="M979" s="67"/>
      <c r="N979" s="67"/>
      <c r="O979" s="67"/>
      <c r="P979" s="67"/>
      <c r="Q979" s="67"/>
      <c r="R979" s="67"/>
      <c r="S979" s="67"/>
      <c r="T979" s="67"/>
      <c r="U979" s="67"/>
      <c r="V979" s="67"/>
      <c r="W979" s="67"/>
      <c r="X979" s="67"/>
      <c r="Y979" s="67"/>
      <c r="Z979" s="67"/>
    </row>
    <row r="980">
      <c r="A980" s="135"/>
      <c r="B980" s="125"/>
      <c r="C980" s="125"/>
      <c r="D980" s="125"/>
      <c r="E980" s="126"/>
      <c r="F980" s="67"/>
      <c r="G980" s="67"/>
      <c r="H980" s="67"/>
      <c r="I980" s="67"/>
      <c r="J980" s="67"/>
      <c r="K980" s="67"/>
      <c r="L980" s="67"/>
      <c r="M980" s="67"/>
      <c r="N980" s="67"/>
      <c r="O980" s="67"/>
      <c r="P980" s="67"/>
      <c r="Q980" s="67"/>
      <c r="R980" s="67"/>
      <c r="S980" s="67"/>
      <c r="T980" s="67"/>
      <c r="U980" s="67"/>
      <c r="V980" s="67"/>
      <c r="W980" s="67"/>
      <c r="X980" s="67"/>
      <c r="Y980" s="67"/>
      <c r="Z980" s="67"/>
    </row>
    <row r="981">
      <c r="A981" s="136"/>
      <c r="B981" s="131"/>
      <c r="C981" s="131"/>
      <c r="D981" s="131"/>
      <c r="E981" s="130"/>
      <c r="F981" s="67"/>
      <c r="G981" s="67"/>
      <c r="H981" s="67"/>
      <c r="I981" s="67"/>
      <c r="J981" s="67"/>
      <c r="K981" s="67"/>
      <c r="L981" s="67"/>
      <c r="M981" s="67"/>
      <c r="N981" s="67"/>
      <c r="O981" s="67"/>
      <c r="P981" s="67"/>
      <c r="Q981" s="67"/>
      <c r="R981" s="67"/>
      <c r="S981" s="67"/>
      <c r="T981" s="67"/>
      <c r="U981" s="67"/>
      <c r="V981" s="67"/>
      <c r="W981" s="67"/>
      <c r="X981" s="67"/>
      <c r="Y981" s="67"/>
      <c r="Z981" s="67"/>
    </row>
    <row r="982">
      <c r="A982" s="135"/>
      <c r="B982" s="125"/>
      <c r="C982" s="125"/>
      <c r="D982" s="125"/>
      <c r="E982" s="126"/>
      <c r="F982" s="67"/>
      <c r="G982" s="67"/>
      <c r="H982" s="67"/>
      <c r="I982" s="67"/>
      <c r="J982" s="67"/>
      <c r="K982" s="67"/>
      <c r="L982" s="67"/>
      <c r="M982" s="67"/>
      <c r="N982" s="67"/>
      <c r="O982" s="67"/>
      <c r="P982" s="67"/>
      <c r="Q982" s="67"/>
      <c r="R982" s="67"/>
      <c r="S982" s="67"/>
      <c r="T982" s="67"/>
      <c r="U982" s="67"/>
      <c r="V982" s="67"/>
      <c r="W982" s="67"/>
      <c r="X982" s="67"/>
      <c r="Y982" s="67"/>
      <c r="Z982" s="67"/>
    </row>
    <row r="983">
      <c r="A983" s="136"/>
      <c r="B983" s="131"/>
      <c r="C983" s="131"/>
      <c r="D983" s="131"/>
      <c r="E983" s="130"/>
      <c r="F983" s="67"/>
      <c r="G983" s="67"/>
      <c r="H983" s="67"/>
      <c r="I983" s="67"/>
      <c r="J983" s="67"/>
      <c r="K983" s="67"/>
      <c r="L983" s="67"/>
      <c r="M983" s="67"/>
      <c r="N983" s="67"/>
      <c r="O983" s="67"/>
      <c r="P983" s="67"/>
      <c r="Q983" s="67"/>
      <c r="R983" s="67"/>
      <c r="S983" s="67"/>
      <c r="T983" s="67"/>
      <c r="U983" s="67"/>
      <c r="V983" s="67"/>
      <c r="W983" s="67"/>
      <c r="X983" s="67"/>
      <c r="Y983" s="67"/>
      <c r="Z983" s="67"/>
    </row>
    <row r="984">
      <c r="A984" s="135"/>
      <c r="B984" s="125"/>
      <c r="C984" s="125"/>
      <c r="D984" s="125"/>
      <c r="E984" s="126"/>
      <c r="F984" s="67"/>
      <c r="G984" s="67"/>
      <c r="H984" s="67"/>
      <c r="I984" s="67"/>
      <c r="J984" s="67"/>
      <c r="K984" s="67"/>
      <c r="L984" s="67"/>
      <c r="M984" s="67"/>
      <c r="N984" s="67"/>
      <c r="O984" s="67"/>
      <c r="P984" s="67"/>
      <c r="Q984" s="67"/>
      <c r="R984" s="67"/>
      <c r="S984" s="67"/>
      <c r="T984" s="67"/>
      <c r="U984" s="67"/>
      <c r="V984" s="67"/>
      <c r="W984" s="67"/>
      <c r="X984" s="67"/>
      <c r="Y984" s="67"/>
      <c r="Z984" s="67"/>
    </row>
    <row r="985">
      <c r="A985" s="136"/>
      <c r="B985" s="131"/>
      <c r="C985" s="131"/>
      <c r="D985" s="131"/>
      <c r="E985" s="130"/>
      <c r="F985" s="67"/>
      <c r="G985" s="67"/>
      <c r="H985" s="67"/>
      <c r="I985" s="67"/>
      <c r="J985" s="67"/>
      <c r="K985" s="67"/>
      <c r="L985" s="67"/>
      <c r="M985" s="67"/>
      <c r="N985" s="67"/>
      <c r="O985" s="67"/>
      <c r="P985" s="67"/>
      <c r="Q985" s="67"/>
      <c r="R985" s="67"/>
      <c r="S985" s="67"/>
      <c r="T985" s="67"/>
      <c r="U985" s="67"/>
      <c r="V985" s="67"/>
      <c r="W985" s="67"/>
      <c r="X985" s="67"/>
      <c r="Y985" s="67"/>
      <c r="Z985" s="67"/>
    </row>
    <row r="986">
      <c r="A986" s="135"/>
      <c r="B986" s="125"/>
      <c r="C986" s="125"/>
      <c r="D986" s="125"/>
      <c r="E986" s="126"/>
      <c r="F986" s="67"/>
      <c r="G986" s="67"/>
      <c r="H986" s="67"/>
      <c r="I986" s="67"/>
      <c r="J986" s="67"/>
      <c r="K986" s="67"/>
      <c r="L986" s="67"/>
      <c r="M986" s="67"/>
      <c r="N986" s="67"/>
      <c r="O986" s="67"/>
      <c r="P986" s="67"/>
      <c r="Q986" s="67"/>
      <c r="R986" s="67"/>
      <c r="S986" s="67"/>
      <c r="T986" s="67"/>
      <c r="U986" s="67"/>
      <c r="V986" s="67"/>
      <c r="W986" s="67"/>
      <c r="X986" s="67"/>
      <c r="Y986" s="67"/>
      <c r="Z986" s="67"/>
    </row>
    <row r="987">
      <c r="A987" s="136"/>
      <c r="B987" s="131"/>
      <c r="C987" s="131"/>
      <c r="D987" s="131"/>
      <c r="E987" s="130"/>
      <c r="F987" s="67"/>
      <c r="G987" s="67"/>
      <c r="H987" s="67"/>
      <c r="I987" s="67"/>
      <c r="J987" s="67"/>
      <c r="K987" s="67"/>
      <c r="L987" s="67"/>
      <c r="M987" s="67"/>
      <c r="N987" s="67"/>
      <c r="O987" s="67"/>
      <c r="P987" s="67"/>
      <c r="Q987" s="67"/>
      <c r="R987" s="67"/>
      <c r="S987" s="67"/>
      <c r="T987" s="67"/>
      <c r="U987" s="67"/>
      <c r="V987" s="67"/>
      <c r="W987" s="67"/>
      <c r="X987" s="67"/>
      <c r="Y987" s="67"/>
      <c r="Z987" s="67"/>
    </row>
    <row r="988">
      <c r="A988" s="135"/>
      <c r="B988" s="125"/>
      <c r="C988" s="125"/>
      <c r="D988" s="125"/>
      <c r="E988" s="126"/>
      <c r="F988" s="67"/>
      <c r="G988" s="67"/>
      <c r="H988" s="67"/>
      <c r="I988" s="67"/>
      <c r="J988" s="67"/>
      <c r="K988" s="67"/>
      <c r="L988" s="67"/>
      <c r="M988" s="67"/>
      <c r="N988" s="67"/>
      <c r="O988" s="67"/>
      <c r="P988" s="67"/>
      <c r="Q988" s="67"/>
      <c r="R988" s="67"/>
      <c r="S988" s="67"/>
      <c r="T988" s="67"/>
      <c r="U988" s="67"/>
      <c r="V988" s="67"/>
      <c r="W988" s="67"/>
      <c r="X988" s="67"/>
      <c r="Y988" s="67"/>
      <c r="Z988" s="67"/>
    </row>
    <row r="989">
      <c r="A989" s="136"/>
      <c r="B989" s="131"/>
      <c r="C989" s="131"/>
      <c r="D989" s="131"/>
      <c r="E989" s="130"/>
      <c r="F989" s="67"/>
      <c r="G989" s="67"/>
      <c r="H989" s="67"/>
      <c r="I989" s="67"/>
      <c r="J989" s="67"/>
      <c r="K989" s="67"/>
      <c r="L989" s="67"/>
      <c r="M989" s="67"/>
      <c r="N989" s="67"/>
      <c r="O989" s="67"/>
      <c r="P989" s="67"/>
      <c r="Q989" s="67"/>
      <c r="R989" s="67"/>
      <c r="S989" s="67"/>
      <c r="T989" s="67"/>
      <c r="U989" s="67"/>
      <c r="V989" s="67"/>
      <c r="W989" s="67"/>
      <c r="X989" s="67"/>
      <c r="Y989" s="67"/>
      <c r="Z989" s="67"/>
    </row>
    <row r="990">
      <c r="A990" s="135"/>
      <c r="B990" s="125"/>
      <c r="C990" s="125"/>
      <c r="D990" s="125"/>
      <c r="E990" s="126"/>
      <c r="F990" s="67"/>
      <c r="G990" s="67"/>
      <c r="H990" s="67"/>
      <c r="I990" s="67"/>
      <c r="J990" s="67"/>
      <c r="K990" s="67"/>
      <c r="L990" s="67"/>
      <c r="M990" s="67"/>
      <c r="N990" s="67"/>
      <c r="O990" s="67"/>
      <c r="P990" s="67"/>
      <c r="Q990" s="67"/>
      <c r="R990" s="67"/>
      <c r="S990" s="67"/>
      <c r="T990" s="67"/>
      <c r="U990" s="67"/>
      <c r="V990" s="67"/>
      <c r="W990" s="67"/>
      <c r="X990" s="67"/>
      <c r="Y990" s="67"/>
      <c r="Z990" s="67"/>
    </row>
    <row r="991">
      <c r="A991" s="136"/>
      <c r="B991" s="131"/>
      <c r="C991" s="131"/>
      <c r="D991" s="131"/>
      <c r="E991" s="130"/>
      <c r="F991" s="67"/>
      <c r="G991" s="67"/>
      <c r="H991" s="67"/>
      <c r="I991" s="67"/>
      <c r="J991" s="67"/>
      <c r="K991" s="67"/>
      <c r="L991" s="67"/>
      <c r="M991" s="67"/>
      <c r="N991" s="67"/>
      <c r="O991" s="67"/>
      <c r="P991" s="67"/>
      <c r="Q991" s="67"/>
      <c r="R991" s="67"/>
      <c r="S991" s="67"/>
      <c r="T991" s="67"/>
      <c r="U991" s="67"/>
      <c r="V991" s="67"/>
      <c r="W991" s="67"/>
      <c r="X991" s="67"/>
      <c r="Y991" s="67"/>
      <c r="Z991" s="67"/>
    </row>
    <row r="992">
      <c r="A992" s="135"/>
      <c r="B992" s="125"/>
      <c r="C992" s="125"/>
      <c r="D992" s="125"/>
      <c r="E992" s="126"/>
      <c r="F992" s="67"/>
      <c r="G992" s="67"/>
      <c r="H992" s="67"/>
      <c r="I992" s="67"/>
      <c r="J992" s="67"/>
      <c r="K992" s="67"/>
      <c r="L992" s="67"/>
      <c r="M992" s="67"/>
      <c r="N992" s="67"/>
      <c r="O992" s="67"/>
      <c r="P992" s="67"/>
      <c r="Q992" s="67"/>
      <c r="R992" s="67"/>
      <c r="S992" s="67"/>
      <c r="T992" s="67"/>
      <c r="U992" s="67"/>
      <c r="V992" s="67"/>
      <c r="W992" s="67"/>
      <c r="X992" s="67"/>
      <c r="Y992" s="67"/>
      <c r="Z992" s="67"/>
    </row>
    <row r="993">
      <c r="A993" s="136"/>
      <c r="B993" s="131"/>
      <c r="C993" s="131"/>
      <c r="D993" s="131"/>
      <c r="E993" s="130"/>
      <c r="F993" s="67"/>
      <c r="G993" s="67"/>
      <c r="H993" s="67"/>
      <c r="I993" s="67"/>
      <c r="J993" s="67"/>
      <c r="K993" s="67"/>
      <c r="L993" s="67"/>
      <c r="M993" s="67"/>
      <c r="N993" s="67"/>
      <c r="O993" s="67"/>
      <c r="P993" s="67"/>
      <c r="Q993" s="67"/>
      <c r="R993" s="67"/>
      <c r="S993" s="67"/>
      <c r="T993" s="67"/>
      <c r="U993" s="67"/>
      <c r="V993" s="67"/>
      <c r="W993" s="67"/>
      <c r="X993" s="67"/>
      <c r="Y993" s="67"/>
      <c r="Z993" s="67"/>
    </row>
    <row r="994">
      <c r="A994" s="135"/>
      <c r="B994" s="125"/>
      <c r="C994" s="125"/>
      <c r="D994" s="125"/>
      <c r="E994" s="126"/>
      <c r="F994" s="67"/>
      <c r="G994" s="67"/>
      <c r="H994" s="67"/>
      <c r="I994" s="67"/>
      <c r="J994" s="67"/>
      <c r="K994" s="67"/>
      <c r="L994" s="67"/>
      <c r="M994" s="67"/>
      <c r="N994" s="67"/>
      <c r="O994" s="67"/>
      <c r="P994" s="67"/>
      <c r="Q994" s="67"/>
      <c r="R994" s="67"/>
      <c r="S994" s="67"/>
      <c r="T994" s="67"/>
      <c r="U994" s="67"/>
      <c r="V994" s="67"/>
      <c r="W994" s="67"/>
      <c r="X994" s="67"/>
      <c r="Y994" s="67"/>
      <c r="Z994" s="67"/>
    </row>
    <row r="995">
      <c r="A995" s="136"/>
      <c r="B995" s="131"/>
      <c r="C995" s="131"/>
      <c r="D995" s="131"/>
      <c r="E995" s="130"/>
      <c r="F995" s="67"/>
      <c r="G995" s="67"/>
      <c r="H995" s="67"/>
      <c r="I995" s="67"/>
      <c r="J995" s="67"/>
      <c r="K995" s="67"/>
      <c r="L995" s="67"/>
      <c r="M995" s="67"/>
      <c r="N995" s="67"/>
      <c r="O995" s="67"/>
      <c r="P995" s="67"/>
      <c r="Q995" s="67"/>
      <c r="R995" s="67"/>
      <c r="S995" s="67"/>
      <c r="T995" s="67"/>
      <c r="U995" s="67"/>
      <c r="V995" s="67"/>
      <c r="W995" s="67"/>
      <c r="X995" s="67"/>
      <c r="Y995" s="67"/>
      <c r="Z995" s="67"/>
    </row>
    <row r="996">
      <c r="A996" s="135"/>
      <c r="B996" s="125"/>
      <c r="C996" s="125"/>
      <c r="D996" s="125"/>
      <c r="E996" s="126"/>
      <c r="F996" s="67"/>
      <c r="G996" s="67"/>
      <c r="H996" s="67"/>
      <c r="I996" s="67"/>
      <c r="J996" s="67"/>
      <c r="K996" s="67"/>
      <c r="L996" s="67"/>
      <c r="M996" s="67"/>
      <c r="N996" s="67"/>
      <c r="O996" s="67"/>
      <c r="P996" s="67"/>
      <c r="Q996" s="67"/>
      <c r="R996" s="67"/>
      <c r="S996" s="67"/>
      <c r="T996" s="67"/>
      <c r="U996" s="67"/>
      <c r="V996" s="67"/>
      <c r="W996" s="67"/>
      <c r="X996" s="67"/>
      <c r="Y996" s="67"/>
      <c r="Z996" s="67"/>
    </row>
    <row r="997">
      <c r="A997" s="136"/>
      <c r="B997" s="131"/>
      <c r="C997" s="131"/>
      <c r="D997" s="131"/>
      <c r="E997" s="130"/>
      <c r="F997" s="67"/>
      <c r="G997" s="67"/>
      <c r="H997" s="67"/>
      <c r="I997" s="67"/>
      <c r="J997" s="67"/>
      <c r="K997" s="67"/>
      <c r="L997" s="67"/>
      <c r="M997" s="67"/>
      <c r="N997" s="67"/>
      <c r="O997" s="67"/>
      <c r="P997" s="67"/>
      <c r="Q997" s="67"/>
      <c r="R997" s="67"/>
      <c r="S997" s="67"/>
      <c r="T997" s="67"/>
      <c r="U997" s="67"/>
      <c r="V997" s="67"/>
      <c r="W997" s="67"/>
      <c r="X997" s="67"/>
      <c r="Y997" s="67"/>
      <c r="Z997" s="67"/>
    </row>
    <row r="998">
      <c r="A998" s="135"/>
      <c r="B998" s="125"/>
      <c r="C998" s="125"/>
      <c r="D998" s="125"/>
      <c r="E998" s="126"/>
      <c r="F998" s="67"/>
      <c r="G998" s="67"/>
      <c r="H998" s="67"/>
      <c r="I998" s="67"/>
      <c r="J998" s="67"/>
      <c r="K998" s="67"/>
      <c r="L998" s="67"/>
      <c r="M998" s="67"/>
      <c r="N998" s="67"/>
      <c r="O998" s="67"/>
      <c r="P998" s="67"/>
      <c r="Q998" s="67"/>
      <c r="R998" s="67"/>
      <c r="S998" s="67"/>
      <c r="T998" s="67"/>
      <c r="U998" s="67"/>
      <c r="V998" s="67"/>
      <c r="W998" s="67"/>
      <c r="X998" s="67"/>
      <c r="Y998" s="67"/>
      <c r="Z998" s="67"/>
    </row>
    <row r="999">
      <c r="A999" s="136"/>
      <c r="B999" s="131"/>
      <c r="C999" s="131"/>
      <c r="D999" s="131"/>
      <c r="E999" s="130"/>
      <c r="F999" s="67"/>
      <c r="G999" s="67"/>
      <c r="H999" s="67"/>
      <c r="I999" s="67"/>
      <c r="J999" s="67"/>
      <c r="K999" s="67"/>
      <c r="L999" s="67"/>
      <c r="M999" s="67"/>
      <c r="N999" s="67"/>
      <c r="O999" s="67"/>
      <c r="P999" s="67"/>
      <c r="Q999" s="67"/>
      <c r="R999" s="67"/>
      <c r="S999" s="67"/>
      <c r="T999" s="67"/>
      <c r="U999" s="67"/>
      <c r="V999" s="67"/>
      <c r="W999" s="67"/>
      <c r="X999" s="67"/>
      <c r="Y999" s="67"/>
      <c r="Z999" s="67"/>
    </row>
    <row r="1000">
      <c r="A1000" s="137"/>
      <c r="B1000" s="138"/>
      <c r="C1000" s="138"/>
      <c r="D1000" s="138"/>
      <c r="E1000" s="139"/>
      <c r="F1000" s="67"/>
      <c r="G1000" s="67"/>
      <c r="H1000" s="67"/>
      <c r="I1000" s="67"/>
      <c r="J1000" s="67"/>
      <c r="K1000" s="67"/>
      <c r="L1000" s="67"/>
      <c r="M1000" s="67"/>
      <c r="N1000" s="67"/>
      <c r="O1000" s="67"/>
      <c r="P1000" s="67"/>
      <c r="Q1000" s="67"/>
      <c r="R1000" s="67"/>
      <c r="S1000" s="67"/>
      <c r="T1000" s="67"/>
      <c r="U1000" s="67"/>
      <c r="V1000" s="67"/>
      <c r="W1000" s="67"/>
      <c r="X1000" s="67"/>
      <c r="Y1000" s="67"/>
      <c r="Z1000" s="67"/>
    </row>
  </sheetData>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3.5"/>
    <col customWidth="1" min="6" max="6" width="27.88"/>
  </cols>
  <sheetData>
    <row r="1">
      <c r="A1" s="140" t="s">
        <v>132</v>
      </c>
      <c r="B1" s="141" t="s">
        <v>413</v>
      </c>
      <c r="C1" s="141" t="s">
        <v>414</v>
      </c>
      <c r="D1" s="141" t="s">
        <v>415</v>
      </c>
      <c r="E1" s="141" t="s">
        <v>416</v>
      </c>
      <c r="F1" s="142" t="s">
        <v>417</v>
      </c>
      <c r="G1" s="67"/>
      <c r="H1" s="67"/>
      <c r="I1" s="67"/>
      <c r="J1" s="67"/>
      <c r="K1" s="67"/>
      <c r="L1" s="67"/>
      <c r="M1" s="67"/>
      <c r="N1" s="67"/>
      <c r="O1" s="67"/>
      <c r="P1" s="67"/>
      <c r="Q1" s="67"/>
      <c r="R1" s="67"/>
      <c r="S1" s="67"/>
      <c r="T1" s="67"/>
      <c r="U1" s="67"/>
      <c r="V1" s="67"/>
      <c r="W1" s="67"/>
      <c r="X1" s="67"/>
      <c r="Y1" s="67"/>
      <c r="Z1" s="67"/>
    </row>
    <row r="2">
      <c r="A2" s="135" t="s">
        <v>418</v>
      </c>
      <c r="B2" s="125" t="s">
        <v>419</v>
      </c>
      <c r="C2" s="125"/>
      <c r="D2" s="125" t="s">
        <v>420</v>
      </c>
      <c r="E2" s="123" t="s">
        <v>421</v>
      </c>
      <c r="F2" s="143" t="s">
        <v>422</v>
      </c>
      <c r="G2" s="67"/>
      <c r="H2" s="67"/>
      <c r="I2" s="67"/>
      <c r="J2" s="67"/>
      <c r="K2" s="67"/>
      <c r="L2" s="67"/>
      <c r="M2" s="67"/>
      <c r="N2" s="67"/>
      <c r="O2" s="67"/>
      <c r="P2" s="67"/>
      <c r="Q2" s="67"/>
      <c r="R2" s="67"/>
      <c r="S2" s="67"/>
      <c r="T2" s="67"/>
      <c r="U2" s="67"/>
      <c r="V2" s="67"/>
      <c r="W2" s="67"/>
      <c r="X2" s="67"/>
      <c r="Y2" s="67"/>
      <c r="Z2" s="67"/>
    </row>
    <row r="3">
      <c r="A3" s="136" t="s">
        <v>423</v>
      </c>
      <c r="B3" s="131">
        <f>989360038228</f>
        <v>989360038228</v>
      </c>
      <c r="C3" s="131" t="s">
        <v>53</v>
      </c>
      <c r="D3" s="131" t="s">
        <v>17</v>
      </c>
      <c r="E3" s="131" t="s">
        <v>116</v>
      </c>
      <c r="F3" s="144" t="s">
        <v>424</v>
      </c>
      <c r="G3" s="67"/>
      <c r="H3" s="67"/>
      <c r="I3" s="67"/>
      <c r="J3" s="67"/>
      <c r="K3" s="67"/>
      <c r="L3" s="67"/>
      <c r="M3" s="67"/>
      <c r="N3" s="67"/>
      <c r="O3" s="67"/>
      <c r="P3" s="67"/>
      <c r="Q3" s="67"/>
      <c r="R3" s="67"/>
      <c r="S3" s="67"/>
      <c r="T3" s="67"/>
      <c r="U3" s="67"/>
      <c r="V3" s="67"/>
      <c r="W3" s="67"/>
      <c r="X3" s="67"/>
      <c r="Y3" s="67"/>
      <c r="Z3" s="67"/>
    </row>
    <row r="4">
      <c r="A4" s="122" t="s">
        <v>425</v>
      </c>
      <c r="B4" s="124" t="s">
        <v>426</v>
      </c>
      <c r="C4" s="125"/>
      <c r="D4" s="125"/>
      <c r="E4" s="125"/>
      <c r="F4" s="143" t="s">
        <v>427</v>
      </c>
      <c r="G4" s="67"/>
      <c r="H4" s="67"/>
      <c r="I4" s="67"/>
      <c r="J4" s="67"/>
      <c r="K4" s="67"/>
      <c r="L4" s="67"/>
      <c r="M4" s="67"/>
      <c r="N4" s="67"/>
      <c r="O4" s="67"/>
      <c r="P4" s="67"/>
      <c r="Q4" s="67"/>
      <c r="R4" s="67"/>
      <c r="S4" s="67"/>
      <c r="T4" s="67"/>
      <c r="U4" s="67"/>
      <c r="V4" s="67"/>
      <c r="W4" s="67"/>
      <c r="X4" s="67"/>
      <c r="Y4" s="67"/>
      <c r="Z4" s="67"/>
    </row>
    <row r="5">
      <c r="A5" s="127" t="s">
        <v>428</v>
      </c>
      <c r="B5" s="129" t="s">
        <v>429</v>
      </c>
      <c r="C5" s="131"/>
      <c r="D5" s="131"/>
      <c r="E5" s="131"/>
      <c r="F5" s="145" t="s">
        <v>430</v>
      </c>
      <c r="G5" s="67"/>
      <c r="H5" s="67"/>
      <c r="I5" s="67"/>
      <c r="J5" s="67"/>
      <c r="K5" s="67"/>
      <c r="L5" s="67"/>
      <c r="M5" s="67"/>
      <c r="N5" s="67"/>
      <c r="O5" s="67"/>
      <c r="P5" s="67"/>
      <c r="Q5" s="67"/>
      <c r="R5" s="67"/>
      <c r="S5" s="67"/>
      <c r="T5" s="67"/>
      <c r="U5" s="67"/>
      <c r="V5" s="67"/>
      <c r="W5" s="67"/>
      <c r="X5" s="67"/>
      <c r="Y5" s="67"/>
      <c r="Z5" s="67"/>
    </row>
    <row r="6">
      <c r="A6" s="122" t="s">
        <v>400</v>
      </c>
      <c r="B6" s="124" t="s">
        <v>401</v>
      </c>
      <c r="C6" s="125"/>
      <c r="D6" s="125"/>
      <c r="E6" s="125"/>
      <c r="F6" s="143" t="s">
        <v>431</v>
      </c>
      <c r="G6" s="67"/>
      <c r="H6" s="67"/>
      <c r="I6" s="67"/>
      <c r="J6" s="67"/>
      <c r="K6" s="67"/>
      <c r="L6" s="67"/>
      <c r="M6" s="67"/>
      <c r="N6" s="67"/>
      <c r="O6" s="67"/>
      <c r="P6" s="67"/>
      <c r="Q6" s="67"/>
      <c r="R6" s="67"/>
      <c r="S6" s="67"/>
      <c r="T6" s="67"/>
      <c r="U6" s="67"/>
      <c r="V6" s="67"/>
      <c r="W6" s="67"/>
      <c r="X6" s="67"/>
      <c r="Y6" s="67"/>
      <c r="Z6" s="67"/>
    </row>
    <row r="7">
      <c r="A7" s="136"/>
      <c r="B7" s="131"/>
      <c r="C7" s="131"/>
      <c r="D7" s="131"/>
      <c r="E7" s="131"/>
      <c r="F7" s="144"/>
      <c r="G7" s="67"/>
      <c r="H7" s="67"/>
      <c r="I7" s="67"/>
      <c r="J7" s="67"/>
      <c r="K7" s="67"/>
      <c r="L7" s="67"/>
      <c r="M7" s="67"/>
      <c r="N7" s="67"/>
      <c r="O7" s="67"/>
      <c r="P7" s="67"/>
      <c r="Q7" s="67"/>
      <c r="R7" s="67"/>
      <c r="S7" s="67"/>
      <c r="T7" s="67"/>
      <c r="U7" s="67"/>
      <c r="V7" s="67"/>
      <c r="W7" s="67"/>
      <c r="X7" s="67"/>
      <c r="Y7" s="67"/>
      <c r="Z7" s="67"/>
    </row>
    <row r="8">
      <c r="A8" s="135"/>
      <c r="B8" s="125"/>
      <c r="C8" s="125"/>
      <c r="D8" s="125"/>
      <c r="E8" s="125"/>
      <c r="F8" s="146"/>
      <c r="G8" s="67"/>
      <c r="H8" s="67"/>
      <c r="I8" s="67"/>
      <c r="J8" s="67"/>
      <c r="K8" s="67"/>
      <c r="L8" s="67"/>
      <c r="M8" s="67"/>
      <c r="N8" s="67"/>
      <c r="O8" s="67"/>
      <c r="P8" s="67"/>
      <c r="Q8" s="67"/>
      <c r="R8" s="67"/>
      <c r="S8" s="67"/>
      <c r="T8" s="67"/>
      <c r="U8" s="67"/>
      <c r="V8" s="67"/>
      <c r="W8" s="67"/>
      <c r="X8" s="67"/>
      <c r="Y8" s="67"/>
      <c r="Z8" s="67"/>
    </row>
    <row r="9">
      <c r="A9" s="136"/>
      <c r="B9" s="131"/>
      <c r="C9" s="131"/>
      <c r="D9" s="131"/>
      <c r="E9" s="131"/>
      <c r="F9" s="144"/>
      <c r="G9" s="67"/>
      <c r="H9" s="67"/>
      <c r="I9" s="67"/>
      <c r="J9" s="67"/>
      <c r="K9" s="67"/>
      <c r="L9" s="67"/>
      <c r="M9" s="67"/>
      <c r="N9" s="67"/>
      <c r="O9" s="67"/>
      <c r="P9" s="67"/>
      <c r="Q9" s="67"/>
      <c r="R9" s="67"/>
      <c r="S9" s="67"/>
      <c r="T9" s="67"/>
      <c r="U9" s="67"/>
      <c r="V9" s="67"/>
      <c r="W9" s="67"/>
      <c r="X9" s="67"/>
      <c r="Y9" s="67"/>
      <c r="Z9" s="67"/>
    </row>
    <row r="10">
      <c r="A10" s="135"/>
      <c r="B10" s="125"/>
      <c r="C10" s="125"/>
      <c r="D10" s="125"/>
      <c r="E10" s="125"/>
      <c r="F10" s="146"/>
      <c r="G10" s="67"/>
      <c r="H10" s="67"/>
      <c r="I10" s="67"/>
      <c r="J10" s="67"/>
      <c r="K10" s="67"/>
      <c r="L10" s="67"/>
      <c r="M10" s="67"/>
      <c r="N10" s="67"/>
      <c r="O10" s="67"/>
      <c r="P10" s="67"/>
      <c r="Q10" s="67"/>
      <c r="R10" s="67"/>
      <c r="S10" s="67"/>
      <c r="T10" s="67"/>
      <c r="U10" s="67"/>
      <c r="V10" s="67"/>
      <c r="W10" s="67"/>
      <c r="X10" s="67"/>
      <c r="Y10" s="67"/>
      <c r="Z10" s="67"/>
    </row>
    <row r="11">
      <c r="A11" s="136"/>
      <c r="B11" s="131"/>
      <c r="C11" s="131"/>
      <c r="D11" s="131"/>
      <c r="E11" s="131"/>
      <c r="F11" s="144"/>
      <c r="G11" s="67"/>
      <c r="H11" s="67"/>
      <c r="I11" s="67"/>
      <c r="J11" s="67"/>
      <c r="K11" s="67"/>
      <c r="L11" s="67"/>
      <c r="M11" s="67"/>
      <c r="N11" s="67"/>
      <c r="O11" s="67"/>
      <c r="P11" s="67"/>
      <c r="Q11" s="67"/>
      <c r="R11" s="67"/>
      <c r="S11" s="67"/>
      <c r="T11" s="67"/>
      <c r="U11" s="67"/>
      <c r="V11" s="67"/>
      <c r="W11" s="67"/>
      <c r="X11" s="67"/>
      <c r="Y11" s="67"/>
      <c r="Z11" s="67"/>
    </row>
    <row r="12">
      <c r="A12" s="135"/>
      <c r="B12" s="125"/>
      <c r="C12" s="125"/>
      <c r="D12" s="125"/>
      <c r="E12" s="125"/>
      <c r="F12" s="146"/>
      <c r="G12" s="67"/>
      <c r="H12" s="67"/>
      <c r="I12" s="67"/>
      <c r="J12" s="67"/>
      <c r="K12" s="67"/>
      <c r="L12" s="67"/>
      <c r="M12" s="67"/>
      <c r="N12" s="67"/>
      <c r="O12" s="67"/>
      <c r="P12" s="67"/>
      <c r="Q12" s="67"/>
      <c r="R12" s="67"/>
      <c r="S12" s="67"/>
      <c r="T12" s="67"/>
      <c r="U12" s="67"/>
      <c r="V12" s="67"/>
      <c r="W12" s="67"/>
      <c r="X12" s="67"/>
      <c r="Y12" s="67"/>
      <c r="Z12" s="67"/>
    </row>
    <row r="13">
      <c r="A13" s="136"/>
      <c r="B13" s="131"/>
      <c r="C13" s="131"/>
      <c r="D13" s="131"/>
      <c r="E13" s="131"/>
      <c r="F13" s="144"/>
      <c r="G13" s="67"/>
      <c r="H13" s="67"/>
      <c r="I13" s="67"/>
      <c r="J13" s="67"/>
      <c r="K13" s="67"/>
      <c r="L13" s="67"/>
      <c r="M13" s="67"/>
      <c r="N13" s="67"/>
      <c r="O13" s="67"/>
      <c r="P13" s="67"/>
      <c r="Q13" s="67"/>
      <c r="R13" s="67"/>
      <c r="S13" s="67"/>
      <c r="T13" s="67"/>
      <c r="U13" s="67"/>
      <c r="V13" s="67"/>
      <c r="W13" s="67"/>
      <c r="X13" s="67"/>
      <c r="Y13" s="67"/>
      <c r="Z13" s="67"/>
    </row>
    <row r="14">
      <c r="A14" s="135"/>
      <c r="B14" s="125"/>
      <c r="C14" s="125"/>
      <c r="D14" s="125"/>
      <c r="E14" s="125"/>
      <c r="F14" s="146"/>
      <c r="G14" s="67"/>
      <c r="H14" s="67"/>
      <c r="I14" s="67"/>
      <c r="J14" s="67"/>
      <c r="K14" s="67"/>
      <c r="L14" s="67"/>
      <c r="M14" s="67"/>
      <c r="N14" s="67"/>
      <c r="O14" s="67"/>
      <c r="P14" s="67"/>
      <c r="Q14" s="67"/>
      <c r="R14" s="67"/>
      <c r="S14" s="67"/>
      <c r="T14" s="67"/>
      <c r="U14" s="67"/>
      <c r="V14" s="67"/>
      <c r="W14" s="67"/>
      <c r="X14" s="67"/>
      <c r="Y14" s="67"/>
      <c r="Z14" s="67"/>
    </row>
    <row r="15">
      <c r="A15" s="136"/>
      <c r="B15" s="131"/>
      <c r="C15" s="131"/>
      <c r="D15" s="131"/>
      <c r="E15" s="131"/>
      <c r="F15" s="144"/>
      <c r="G15" s="67"/>
      <c r="H15" s="67"/>
      <c r="I15" s="67"/>
      <c r="J15" s="67"/>
      <c r="K15" s="67"/>
      <c r="L15" s="67"/>
      <c r="M15" s="67"/>
      <c r="N15" s="67"/>
      <c r="O15" s="67"/>
      <c r="P15" s="67"/>
      <c r="Q15" s="67"/>
      <c r="R15" s="67"/>
      <c r="S15" s="67"/>
      <c r="T15" s="67"/>
      <c r="U15" s="67"/>
      <c r="V15" s="67"/>
      <c r="W15" s="67"/>
      <c r="X15" s="67"/>
      <c r="Y15" s="67"/>
      <c r="Z15" s="67"/>
    </row>
    <row r="16">
      <c r="A16" s="135"/>
      <c r="B16" s="125"/>
      <c r="C16" s="125"/>
      <c r="D16" s="125"/>
      <c r="E16" s="125"/>
      <c r="F16" s="146"/>
      <c r="G16" s="67"/>
      <c r="H16" s="67"/>
      <c r="I16" s="67"/>
      <c r="J16" s="67"/>
      <c r="K16" s="67"/>
      <c r="L16" s="67"/>
      <c r="M16" s="67"/>
      <c r="N16" s="67"/>
      <c r="O16" s="67"/>
      <c r="P16" s="67"/>
      <c r="Q16" s="67"/>
      <c r="R16" s="67"/>
      <c r="S16" s="67"/>
      <c r="T16" s="67"/>
      <c r="U16" s="67"/>
      <c r="V16" s="67"/>
      <c r="W16" s="67"/>
      <c r="X16" s="67"/>
      <c r="Y16" s="67"/>
      <c r="Z16" s="67"/>
    </row>
    <row r="17">
      <c r="A17" s="136"/>
      <c r="B17" s="131"/>
      <c r="C17" s="131"/>
      <c r="D17" s="131"/>
      <c r="E17" s="131"/>
      <c r="F17" s="144"/>
      <c r="G17" s="67"/>
      <c r="H17" s="67"/>
      <c r="I17" s="67"/>
      <c r="J17" s="67"/>
      <c r="K17" s="67"/>
      <c r="L17" s="67"/>
      <c r="M17" s="67"/>
      <c r="N17" s="67"/>
      <c r="O17" s="67"/>
      <c r="P17" s="67"/>
      <c r="Q17" s="67"/>
      <c r="R17" s="67"/>
      <c r="S17" s="67"/>
      <c r="T17" s="67"/>
      <c r="U17" s="67"/>
      <c r="V17" s="67"/>
      <c r="W17" s="67"/>
      <c r="X17" s="67"/>
      <c r="Y17" s="67"/>
      <c r="Z17" s="67"/>
    </row>
    <row r="18">
      <c r="A18" s="135"/>
      <c r="B18" s="125"/>
      <c r="C18" s="125"/>
      <c r="D18" s="125"/>
      <c r="E18" s="125"/>
      <c r="F18" s="146"/>
      <c r="G18" s="67"/>
      <c r="H18" s="67"/>
      <c r="I18" s="67"/>
      <c r="J18" s="67"/>
      <c r="K18" s="67"/>
      <c r="L18" s="67"/>
      <c r="M18" s="67"/>
      <c r="N18" s="67"/>
      <c r="O18" s="67"/>
      <c r="P18" s="67"/>
      <c r="Q18" s="67"/>
      <c r="R18" s="67"/>
      <c r="S18" s="67"/>
      <c r="T18" s="67"/>
      <c r="U18" s="67"/>
      <c r="V18" s="67"/>
      <c r="W18" s="67"/>
      <c r="X18" s="67"/>
      <c r="Y18" s="67"/>
      <c r="Z18" s="67"/>
    </row>
    <row r="19">
      <c r="A19" s="136"/>
      <c r="B19" s="131"/>
      <c r="C19" s="131"/>
      <c r="D19" s="131"/>
      <c r="E19" s="131"/>
      <c r="F19" s="144"/>
      <c r="G19" s="67"/>
      <c r="H19" s="67"/>
      <c r="I19" s="67"/>
      <c r="J19" s="67"/>
      <c r="K19" s="67"/>
      <c r="L19" s="67"/>
      <c r="M19" s="67"/>
      <c r="N19" s="67"/>
      <c r="O19" s="67"/>
      <c r="P19" s="67"/>
      <c r="Q19" s="67"/>
      <c r="R19" s="67"/>
      <c r="S19" s="67"/>
      <c r="T19" s="67"/>
      <c r="U19" s="67"/>
      <c r="V19" s="67"/>
      <c r="W19" s="67"/>
      <c r="X19" s="67"/>
      <c r="Y19" s="67"/>
      <c r="Z19" s="67"/>
    </row>
    <row r="20">
      <c r="A20" s="135"/>
      <c r="B20" s="125"/>
      <c r="C20" s="125"/>
      <c r="D20" s="125"/>
      <c r="E20" s="125"/>
      <c r="F20" s="146"/>
      <c r="G20" s="67"/>
      <c r="H20" s="67"/>
      <c r="I20" s="67"/>
      <c r="J20" s="67"/>
      <c r="K20" s="67"/>
      <c r="L20" s="67"/>
      <c r="M20" s="67"/>
      <c r="N20" s="67"/>
      <c r="O20" s="67"/>
      <c r="P20" s="67"/>
      <c r="Q20" s="67"/>
      <c r="R20" s="67"/>
      <c r="S20" s="67"/>
      <c r="T20" s="67"/>
      <c r="U20" s="67"/>
      <c r="V20" s="67"/>
      <c r="W20" s="67"/>
      <c r="X20" s="67"/>
      <c r="Y20" s="67"/>
      <c r="Z20" s="67"/>
    </row>
    <row r="21">
      <c r="A21" s="136"/>
      <c r="B21" s="131"/>
      <c r="C21" s="131"/>
      <c r="D21" s="131"/>
      <c r="E21" s="131"/>
      <c r="F21" s="144"/>
      <c r="G21" s="67"/>
      <c r="H21" s="67"/>
      <c r="I21" s="67"/>
      <c r="J21" s="67"/>
      <c r="K21" s="67"/>
      <c r="L21" s="67"/>
      <c r="M21" s="67"/>
      <c r="N21" s="67"/>
      <c r="O21" s="67"/>
      <c r="P21" s="67"/>
      <c r="Q21" s="67"/>
      <c r="R21" s="67"/>
      <c r="S21" s="67"/>
      <c r="T21" s="67"/>
      <c r="U21" s="67"/>
      <c r="V21" s="67"/>
      <c r="W21" s="67"/>
      <c r="X21" s="67"/>
      <c r="Y21" s="67"/>
      <c r="Z21" s="67"/>
    </row>
    <row r="22">
      <c r="A22" s="135"/>
      <c r="B22" s="125"/>
      <c r="C22" s="125"/>
      <c r="D22" s="125"/>
      <c r="E22" s="125"/>
      <c r="F22" s="146"/>
      <c r="G22" s="67"/>
      <c r="H22" s="67"/>
      <c r="I22" s="67"/>
      <c r="J22" s="67"/>
      <c r="K22" s="67"/>
      <c r="L22" s="67"/>
      <c r="M22" s="67"/>
      <c r="N22" s="67"/>
      <c r="O22" s="67"/>
      <c r="P22" s="67"/>
      <c r="Q22" s="67"/>
      <c r="R22" s="67"/>
      <c r="S22" s="67"/>
      <c r="T22" s="67"/>
      <c r="U22" s="67"/>
      <c r="V22" s="67"/>
      <c r="W22" s="67"/>
      <c r="X22" s="67"/>
      <c r="Y22" s="67"/>
      <c r="Z22" s="67"/>
    </row>
    <row r="23">
      <c r="A23" s="136"/>
      <c r="B23" s="131"/>
      <c r="C23" s="131"/>
      <c r="D23" s="131"/>
      <c r="E23" s="131"/>
      <c r="F23" s="144"/>
      <c r="G23" s="67"/>
      <c r="H23" s="67"/>
      <c r="I23" s="67"/>
      <c r="J23" s="67"/>
      <c r="K23" s="67"/>
      <c r="L23" s="67"/>
      <c r="M23" s="67"/>
      <c r="N23" s="67"/>
      <c r="O23" s="67"/>
      <c r="P23" s="67"/>
      <c r="Q23" s="67"/>
      <c r="R23" s="67"/>
      <c r="S23" s="67"/>
      <c r="T23" s="67"/>
      <c r="U23" s="67"/>
      <c r="V23" s="67"/>
      <c r="W23" s="67"/>
      <c r="X23" s="67"/>
      <c r="Y23" s="67"/>
      <c r="Z23" s="67"/>
    </row>
    <row r="24">
      <c r="A24" s="135"/>
      <c r="B24" s="125"/>
      <c r="C24" s="125"/>
      <c r="D24" s="125"/>
      <c r="E24" s="125"/>
      <c r="F24" s="146"/>
      <c r="G24" s="67"/>
      <c r="H24" s="67"/>
      <c r="I24" s="67"/>
      <c r="J24" s="67"/>
      <c r="K24" s="67"/>
      <c r="L24" s="67"/>
      <c r="M24" s="67"/>
      <c r="N24" s="67"/>
      <c r="O24" s="67"/>
      <c r="P24" s="67"/>
      <c r="Q24" s="67"/>
      <c r="R24" s="67"/>
      <c r="S24" s="67"/>
      <c r="T24" s="67"/>
      <c r="U24" s="67"/>
      <c r="V24" s="67"/>
      <c r="W24" s="67"/>
      <c r="X24" s="67"/>
      <c r="Y24" s="67"/>
      <c r="Z24" s="67"/>
    </row>
    <row r="25">
      <c r="A25" s="136"/>
      <c r="B25" s="131"/>
      <c r="C25" s="131"/>
      <c r="D25" s="131"/>
      <c r="E25" s="131"/>
      <c r="F25" s="144"/>
      <c r="G25" s="67"/>
      <c r="H25" s="67"/>
      <c r="I25" s="67"/>
      <c r="J25" s="67"/>
      <c r="K25" s="67"/>
      <c r="L25" s="67"/>
      <c r="M25" s="67"/>
      <c r="N25" s="67"/>
      <c r="O25" s="67"/>
      <c r="P25" s="67"/>
      <c r="Q25" s="67"/>
      <c r="R25" s="67"/>
      <c r="S25" s="67"/>
      <c r="T25" s="67"/>
      <c r="U25" s="67"/>
      <c r="V25" s="67"/>
      <c r="W25" s="67"/>
      <c r="X25" s="67"/>
      <c r="Y25" s="67"/>
      <c r="Z25" s="67"/>
    </row>
    <row r="26">
      <c r="A26" s="135"/>
      <c r="B26" s="125"/>
      <c r="C26" s="125"/>
      <c r="D26" s="125"/>
      <c r="E26" s="125"/>
      <c r="F26" s="146"/>
      <c r="G26" s="67"/>
      <c r="H26" s="67"/>
      <c r="I26" s="67"/>
      <c r="J26" s="67"/>
      <c r="K26" s="67"/>
      <c r="L26" s="67"/>
      <c r="M26" s="67"/>
      <c r="N26" s="67"/>
      <c r="O26" s="67"/>
      <c r="P26" s="67"/>
      <c r="Q26" s="67"/>
      <c r="R26" s="67"/>
      <c r="S26" s="67"/>
      <c r="T26" s="67"/>
      <c r="U26" s="67"/>
      <c r="V26" s="67"/>
      <c r="W26" s="67"/>
      <c r="X26" s="67"/>
      <c r="Y26" s="67"/>
      <c r="Z26" s="67"/>
    </row>
    <row r="27">
      <c r="A27" s="136"/>
      <c r="B27" s="131"/>
      <c r="C27" s="131"/>
      <c r="D27" s="131"/>
      <c r="E27" s="131"/>
      <c r="F27" s="144"/>
      <c r="G27" s="67"/>
      <c r="H27" s="67"/>
      <c r="I27" s="67"/>
      <c r="J27" s="67"/>
      <c r="K27" s="67"/>
      <c r="L27" s="67"/>
      <c r="M27" s="67"/>
      <c r="N27" s="67"/>
      <c r="O27" s="67"/>
      <c r="P27" s="67"/>
      <c r="Q27" s="67"/>
      <c r="R27" s="67"/>
      <c r="S27" s="67"/>
      <c r="T27" s="67"/>
      <c r="U27" s="67"/>
      <c r="V27" s="67"/>
      <c r="W27" s="67"/>
      <c r="X27" s="67"/>
      <c r="Y27" s="67"/>
      <c r="Z27" s="67"/>
    </row>
    <row r="28">
      <c r="A28" s="135"/>
      <c r="B28" s="125"/>
      <c r="C28" s="125"/>
      <c r="D28" s="125"/>
      <c r="E28" s="125"/>
      <c r="F28" s="146"/>
      <c r="G28" s="67"/>
      <c r="H28" s="67"/>
      <c r="I28" s="67"/>
      <c r="J28" s="67"/>
      <c r="K28" s="67"/>
      <c r="L28" s="67"/>
      <c r="M28" s="67"/>
      <c r="N28" s="67"/>
      <c r="O28" s="67"/>
      <c r="P28" s="67"/>
      <c r="Q28" s="67"/>
      <c r="R28" s="67"/>
      <c r="S28" s="67"/>
      <c r="T28" s="67"/>
      <c r="U28" s="67"/>
      <c r="V28" s="67"/>
      <c r="W28" s="67"/>
      <c r="X28" s="67"/>
      <c r="Y28" s="67"/>
      <c r="Z28" s="67"/>
    </row>
    <row r="29">
      <c r="A29" s="136"/>
      <c r="B29" s="131"/>
      <c r="C29" s="131"/>
      <c r="D29" s="131"/>
      <c r="E29" s="131"/>
      <c r="F29" s="144"/>
      <c r="G29" s="67"/>
      <c r="H29" s="67"/>
      <c r="I29" s="67"/>
      <c r="J29" s="67"/>
      <c r="K29" s="67"/>
      <c r="L29" s="67"/>
      <c r="M29" s="67"/>
      <c r="N29" s="67"/>
      <c r="O29" s="67"/>
      <c r="P29" s="67"/>
      <c r="Q29" s="67"/>
      <c r="R29" s="67"/>
      <c r="S29" s="67"/>
      <c r="T29" s="67"/>
      <c r="U29" s="67"/>
      <c r="V29" s="67"/>
      <c r="W29" s="67"/>
      <c r="X29" s="67"/>
      <c r="Y29" s="67"/>
      <c r="Z29" s="67"/>
    </row>
    <row r="30">
      <c r="A30" s="135"/>
      <c r="B30" s="125"/>
      <c r="C30" s="125"/>
      <c r="D30" s="125"/>
      <c r="E30" s="125"/>
      <c r="F30" s="146"/>
      <c r="G30" s="67"/>
      <c r="H30" s="67"/>
      <c r="I30" s="67"/>
      <c r="J30" s="67"/>
      <c r="K30" s="67"/>
      <c r="L30" s="67"/>
      <c r="M30" s="67"/>
      <c r="N30" s="67"/>
      <c r="O30" s="67"/>
      <c r="P30" s="67"/>
      <c r="Q30" s="67"/>
      <c r="R30" s="67"/>
      <c r="S30" s="67"/>
      <c r="T30" s="67"/>
      <c r="U30" s="67"/>
      <c r="V30" s="67"/>
      <c r="W30" s="67"/>
      <c r="X30" s="67"/>
      <c r="Y30" s="67"/>
      <c r="Z30" s="67"/>
    </row>
    <row r="31">
      <c r="A31" s="136"/>
      <c r="B31" s="131"/>
      <c r="C31" s="131"/>
      <c r="D31" s="131"/>
      <c r="E31" s="131"/>
      <c r="F31" s="144"/>
      <c r="G31" s="67"/>
      <c r="H31" s="67"/>
      <c r="I31" s="67"/>
      <c r="J31" s="67"/>
      <c r="K31" s="67"/>
      <c r="L31" s="67"/>
      <c r="M31" s="67"/>
      <c r="N31" s="67"/>
      <c r="O31" s="67"/>
      <c r="P31" s="67"/>
      <c r="Q31" s="67"/>
      <c r="R31" s="67"/>
      <c r="S31" s="67"/>
      <c r="T31" s="67"/>
      <c r="U31" s="67"/>
      <c r="V31" s="67"/>
      <c r="W31" s="67"/>
      <c r="X31" s="67"/>
      <c r="Y31" s="67"/>
      <c r="Z31" s="67"/>
    </row>
    <row r="32">
      <c r="A32" s="135"/>
      <c r="B32" s="125"/>
      <c r="C32" s="125"/>
      <c r="D32" s="125"/>
      <c r="E32" s="125"/>
      <c r="F32" s="146"/>
      <c r="G32" s="67"/>
      <c r="H32" s="67"/>
      <c r="I32" s="67"/>
      <c r="J32" s="67"/>
      <c r="K32" s="67"/>
      <c r="L32" s="67"/>
      <c r="M32" s="67"/>
      <c r="N32" s="67"/>
      <c r="O32" s="67"/>
      <c r="P32" s="67"/>
      <c r="Q32" s="67"/>
      <c r="R32" s="67"/>
      <c r="S32" s="67"/>
      <c r="T32" s="67"/>
      <c r="U32" s="67"/>
      <c r="V32" s="67"/>
      <c r="W32" s="67"/>
      <c r="X32" s="67"/>
      <c r="Y32" s="67"/>
      <c r="Z32" s="67"/>
    </row>
    <row r="33">
      <c r="A33" s="136"/>
      <c r="B33" s="131"/>
      <c r="C33" s="131"/>
      <c r="D33" s="131"/>
      <c r="E33" s="131"/>
      <c r="F33" s="144"/>
      <c r="G33" s="67"/>
      <c r="H33" s="67"/>
      <c r="I33" s="67"/>
      <c r="J33" s="67"/>
      <c r="K33" s="67"/>
      <c r="L33" s="67"/>
      <c r="M33" s="67"/>
      <c r="N33" s="67"/>
      <c r="O33" s="67"/>
      <c r="P33" s="67"/>
      <c r="Q33" s="67"/>
      <c r="R33" s="67"/>
      <c r="S33" s="67"/>
      <c r="T33" s="67"/>
      <c r="U33" s="67"/>
      <c r="V33" s="67"/>
      <c r="W33" s="67"/>
      <c r="X33" s="67"/>
      <c r="Y33" s="67"/>
      <c r="Z33" s="67"/>
    </row>
    <row r="34">
      <c r="A34" s="135"/>
      <c r="B34" s="125"/>
      <c r="C34" s="125"/>
      <c r="D34" s="125"/>
      <c r="E34" s="125"/>
      <c r="F34" s="146"/>
      <c r="G34" s="67"/>
      <c r="H34" s="67"/>
      <c r="I34" s="67"/>
      <c r="J34" s="67"/>
      <c r="K34" s="67"/>
      <c r="L34" s="67"/>
      <c r="M34" s="67"/>
      <c r="N34" s="67"/>
      <c r="O34" s="67"/>
      <c r="P34" s="67"/>
      <c r="Q34" s="67"/>
      <c r="R34" s="67"/>
      <c r="S34" s="67"/>
      <c r="T34" s="67"/>
      <c r="U34" s="67"/>
      <c r="V34" s="67"/>
      <c r="W34" s="67"/>
      <c r="X34" s="67"/>
      <c r="Y34" s="67"/>
      <c r="Z34" s="67"/>
    </row>
    <row r="35">
      <c r="A35" s="136"/>
      <c r="B35" s="131"/>
      <c r="C35" s="131"/>
      <c r="D35" s="131"/>
      <c r="E35" s="131"/>
      <c r="F35" s="144"/>
      <c r="G35" s="67"/>
      <c r="H35" s="67"/>
      <c r="I35" s="67"/>
      <c r="J35" s="67"/>
      <c r="K35" s="67"/>
      <c r="L35" s="67"/>
      <c r="M35" s="67"/>
      <c r="N35" s="67"/>
      <c r="O35" s="67"/>
      <c r="P35" s="67"/>
      <c r="Q35" s="67"/>
      <c r="R35" s="67"/>
      <c r="S35" s="67"/>
      <c r="T35" s="67"/>
      <c r="U35" s="67"/>
      <c r="V35" s="67"/>
      <c r="W35" s="67"/>
      <c r="X35" s="67"/>
      <c r="Y35" s="67"/>
      <c r="Z35" s="67"/>
    </row>
    <row r="36">
      <c r="A36" s="135"/>
      <c r="B36" s="125"/>
      <c r="C36" s="125"/>
      <c r="D36" s="125"/>
      <c r="E36" s="125"/>
      <c r="F36" s="146"/>
      <c r="G36" s="67"/>
      <c r="H36" s="67"/>
      <c r="I36" s="67"/>
      <c r="J36" s="67"/>
      <c r="K36" s="67"/>
      <c r="L36" s="67"/>
      <c r="M36" s="67"/>
      <c r="N36" s="67"/>
      <c r="O36" s="67"/>
      <c r="P36" s="67"/>
      <c r="Q36" s="67"/>
      <c r="R36" s="67"/>
      <c r="S36" s="67"/>
      <c r="T36" s="67"/>
      <c r="U36" s="67"/>
      <c r="V36" s="67"/>
      <c r="W36" s="67"/>
      <c r="X36" s="67"/>
      <c r="Y36" s="67"/>
      <c r="Z36" s="67"/>
    </row>
    <row r="37">
      <c r="A37" s="136"/>
      <c r="B37" s="131"/>
      <c r="C37" s="131"/>
      <c r="D37" s="131"/>
      <c r="E37" s="131"/>
      <c r="F37" s="144"/>
      <c r="G37" s="67"/>
      <c r="H37" s="67"/>
      <c r="I37" s="67"/>
      <c r="J37" s="67"/>
      <c r="K37" s="67"/>
      <c r="L37" s="67"/>
      <c r="M37" s="67"/>
      <c r="N37" s="67"/>
      <c r="O37" s="67"/>
      <c r="P37" s="67"/>
      <c r="Q37" s="67"/>
      <c r="R37" s="67"/>
      <c r="S37" s="67"/>
      <c r="T37" s="67"/>
      <c r="U37" s="67"/>
      <c r="V37" s="67"/>
      <c r="W37" s="67"/>
      <c r="X37" s="67"/>
      <c r="Y37" s="67"/>
      <c r="Z37" s="67"/>
    </row>
    <row r="38">
      <c r="A38" s="135"/>
      <c r="B38" s="125"/>
      <c r="C38" s="125"/>
      <c r="D38" s="125"/>
      <c r="E38" s="125"/>
      <c r="F38" s="146"/>
      <c r="G38" s="67"/>
      <c r="H38" s="67"/>
      <c r="I38" s="67"/>
      <c r="J38" s="67"/>
      <c r="K38" s="67"/>
      <c r="L38" s="67"/>
      <c r="M38" s="67"/>
      <c r="N38" s="67"/>
      <c r="O38" s="67"/>
      <c r="P38" s="67"/>
      <c r="Q38" s="67"/>
      <c r="R38" s="67"/>
      <c r="S38" s="67"/>
      <c r="T38" s="67"/>
      <c r="U38" s="67"/>
      <c r="V38" s="67"/>
      <c r="W38" s="67"/>
      <c r="X38" s="67"/>
      <c r="Y38" s="67"/>
      <c r="Z38" s="67"/>
    </row>
    <row r="39">
      <c r="A39" s="136"/>
      <c r="B39" s="131"/>
      <c r="C39" s="131"/>
      <c r="D39" s="131"/>
      <c r="E39" s="131"/>
      <c r="F39" s="144"/>
      <c r="G39" s="67"/>
      <c r="H39" s="67"/>
      <c r="I39" s="67"/>
      <c r="J39" s="67"/>
      <c r="K39" s="67"/>
      <c r="L39" s="67"/>
      <c r="M39" s="67"/>
      <c r="N39" s="67"/>
      <c r="O39" s="67"/>
      <c r="P39" s="67"/>
      <c r="Q39" s="67"/>
      <c r="R39" s="67"/>
      <c r="S39" s="67"/>
      <c r="T39" s="67"/>
      <c r="U39" s="67"/>
      <c r="V39" s="67"/>
      <c r="W39" s="67"/>
      <c r="X39" s="67"/>
      <c r="Y39" s="67"/>
      <c r="Z39" s="67"/>
    </row>
    <row r="40">
      <c r="A40" s="135"/>
      <c r="B40" s="125"/>
      <c r="C40" s="125"/>
      <c r="D40" s="125"/>
      <c r="E40" s="125"/>
      <c r="F40" s="146"/>
      <c r="G40" s="67"/>
      <c r="H40" s="67"/>
      <c r="I40" s="67"/>
      <c r="J40" s="67"/>
      <c r="K40" s="67"/>
      <c r="L40" s="67"/>
      <c r="M40" s="67"/>
      <c r="N40" s="67"/>
      <c r="O40" s="67"/>
      <c r="P40" s="67"/>
      <c r="Q40" s="67"/>
      <c r="R40" s="67"/>
      <c r="S40" s="67"/>
      <c r="T40" s="67"/>
      <c r="U40" s="67"/>
      <c r="V40" s="67"/>
      <c r="W40" s="67"/>
      <c r="X40" s="67"/>
      <c r="Y40" s="67"/>
      <c r="Z40" s="67"/>
    </row>
    <row r="41">
      <c r="A41" s="136"/>
      <c r="B41" s="131"/>
      <c r="C41" s="131"/>
      <c r="D41" s="131"/>
      <c r="E41" s="131"/>
      <c r="F41" s="144"/>
      <c r="G41" s="67"/>
      <c r="H41" s="67"/>
      <c r="I41" s="67"/>
      <c r="J41" s="67"/>
      <c r="K41" s="67"/>
      <c r="L41" s="67"/>
      <c r="M41" s="67"/>
      <c r="N41" s="67"/>
      <c r="O41" s="67"/>
      <c r="P41" s="67"/>
      <c r="Q41" s="67"/>
      <c r="R41" s="67"/>
      <c r="S41" s="67"/>
      <c r="T41" s="67"/>
      <c r="U41" s="67"/>
      <c r="V41" s="67"/>
      <c r="W41" s="67"/>
      <c r="X41" s="67"/>
      <c r="Y41" s="67"/>
      <c r="Z41" s="67"/>
    </row>
    <row r="42">
      <c r="A42" s="135"/>
      <c r="B42" s="125"/>
      <c r="C42" s="125"/>
      <c r="D42" s="125"/>
      <c r="E42" s="125"/>
      <c r="F42" s="146"/>
      <c r="G42" s="67"/>
      <c r="H42" s="67"/>
      <c r="I42" s="67"/>
      <c r="J42" s="67"/>
      <c r="K42" s="67"/>
      <c r="L42" s="67"/>
      <c r="M42" s="67"/>
      <c r="N42" s="67"/>
      <c r="O42" s="67"/>
      <c r="P42" s="67"/>
      <c r="Q42" s="67"/>
      <c r="R42" s="67"/>
      <c r="S42" s="67"/>
      <c r="T42" s="67"/>
      <c r="U42" s="67"/>
      <c r="V42" s="67"/>
      <c r="W42" s="67"/>
      <c r="X42" s="67"/>
      <c r="Y42" s="67"/>
      <c r="Z42" s="67"/>
    </row>
    <row r="43">
      <c r="A43" s="136"/>
      <c r="B43" s="131"/>
      <c r="C43" s="131"/>
      <c r="D43" s="131"/>
      <c r="E43" s="131"/>
      <c r="F43" s="144"/>
      <c r="G43" s="67"/>
      <c r="H43" s="67"/>
      <c r="I43" s="67"/>
      <c r="J43" s="67"/>
      <c r="K43" s="67"/>
      <c r="L43" s="67"/>
      <c r="M43" s="67"/>
      <c r="N43" s="67"/>
      <c r="O43" s="67"/>
      <c r="P43" s="67"/>
      <c r="Q43" s="67"/>
      <c r="R43" s="67"/>
      <c r="S43" s="67"/>
      <c r="T43" s="67"/>
      <c r="U43" s="67"/>
      <c r="V43" s="67"/>
      <c r="W43" s="67"/>
      <c r="X43" s="67"/>
      <c r="Y43" s="67"/>
      <c r="Z43" s="67"/>
    </row>
    <row r="44">
      <c r="A44" s="135"/>
      <c r="B44" s="125"/>
      <c r="C44" s="125"/>
      <c r="D44" s="125"/>
      <c r="E44" s="125"/>
      <c r="F44" s="146"/>
      <c r="G44" s="67"/>
      <c r="H44" s="67"/>
      <c r="I44" s="67"/>
      <c r="J44" s="67"/>
      <c r="K44" s="67"/>
      <c r="L44" s="67"/>
      <c r="M44" s="67"/>
      <c r="N44" s="67"/>
      <c r="O44" s="67"/>
      <c r="P44" s="67"/>
      <c r="Q44" s="67"/>
      <c r="R44" s="67"/>
      <c r="S44" s="67"/>
      <c r="T44" s="67"/>
      <c r="U44" s="67"/>
      <c r="V44" s="67"/>
      <c r="W44" s="67"/>
      <c r="X44" s="67"/>
      <c r="Y44" s="67"/>
      <c r="Z44" s="67"/>
    </row>
    <row r="45">
      <c r="A45" s="136"/>
      <c r="B45" s="131"/>
      <c r="C45" s="131"/>
      <c r="D45" s="131"/>
      <c r="E45" s="131"/>
      <c r="F45" s="144"/>
      <c r="G45" s="67"/>
      <c r="H45" s="67"/>
      <c r="I45" s="67"/>
      <c r="J45" s="67"/>
      <c r="K45" s="67"/>
      <c r="L45" s="67"/>
      <c r="M45" s="67"/>
      <c r="N45" s="67"/>
      <c r="O45" s="67"/>
      <c r="P45" s="67"/>
      <c r="Q45" s="67"/>
      <c r="R45" s="67"/>
      <c r="S45" s="67"/>
      <c r="T45" s="67"/>
      <c r="U45" s="67"/>
      <c r="V45" s="67"/>
      <c r="W45" s="67"/>
      <c r="X45" s="67"/>
      <c r="Y45" s="67"/>
      <c r="Z45" s="67"/>
    </row>
    <row r="46">
      <c r="A46" s="135"/>
      <c r="B46" s="125"/>
      <c r="C46" s="125"/>
      <c r="D46" s="125"/>
      <c r="E46" s="125"/>
      <c r="F46" s="146"/>
      <c r="G46" s="67"/>
      <c r="H46" s="67"/>
      <c r="I46" s="67"/>
      <c r="J46" s="67"/>
      <c r="K46" s="67"/>
      <c r="L46" s="67"/>
      <c r="M46" s="67"/>
      <c r="N46" s="67"/>
      <c r="O46" s="67"/>
      <c r="P46" s="67"/>
      <c r="Q46" s="67"/>
      <c r="R46" s="67"/>
      <c r="S46" s="67"/>
      <c r="T46" s="67"/>
      <c r="U46" s="67"/>
      <c r="V46" s="67"/>
      <c r="W46" s="67"/>
      <c r="X46" s="67"/>
      <c r="Y46" s="67"/>
      <c r="Z46" s="67"/>
    </row>
    <row r="47">
      <c r="A47" s="136"/>
      <c r="B47" s="131"/>
      <c r="C47" s="131"/>
      <c r="D47" s="131"/>
      <c r="E47" s="131"/>
      <c r="F47" s="144"/>
      <c r="G47" s="67"/>
      <c r="H47" s="67"/>
      <c r="I47" s="67"/>
      <c r="J47" s="67"/>
      <c r="K47" s="67"/>
      <c r="L47" s="67"/>
      <c r="M47" s="67"/>
      <c r="N47" s="67"/>
      <c r="O47" s="67"/>
      <c r="P47" s="67"/>
      <c r="Q47" s="67"/>
      <c r="R47" s="67"/>
      <c r="S47" s="67"/>
      <c r="T47" s="67"/>
      <c r="U47" s="67"/>
      <c r="V47" s="67"/>
      <c r="W47" s="67"/>
      <c r="X47" s="67"/>
      <c r="Y47" s="67"/>
      <c r="Z47" s="67"/>
    </row>
    <row r="48">
      <c r="A48" s="135"/>
      <c r="B48" s="125"/>
      <c r="C48" s="125"/>
      <c r="D48" s="125"/>
      <c r="E48" s="125"/>
      <c r="F48" s="146"/>
      <c r="G48" s="67"/>
      <c r="H48" s="67"/>
      <c r="I48" s="67"/>
      <c r="J48" s="67"/>
      <c r="K48" s="67"/>
      <c r="L48" s="67"/>
      <c r="M48" s="67"/>
      <c r="N48" s="67"/>
      <c r="O48" s="67"/>
      <c r="P48" s="67"/>
      <c r="Q48" s="67"/>
      <c r="R48" s="67"/>
      <c r="S48" s="67"/>
      <c r="T48" s="67"/>
      <c r="U48" s="67"/>
      <c r="V48" s="67"/>
      <c r="W48" s="67"/>
      <c r="X48" s="67"/>
      <c r="Y48" s="67"/>
      <c r="Z48" s="67"/>
    </row>
    <row r="49">
      <c r="A49" s="136"/>
      <c r="B49" s="131"/>
      <c r="C49" s="131"/>
      <c r="D49" s="131"/>
      <c r="E49" s="131"/>
      <c r="F49" s="144"/>
      <c r="G49" s="67"/>
      <c r="H49" s="67"/>
      <c r="I49" s="67"/>
      <c r="J49" s="67"/>
      <c r="K49" s="67"/>
      <c r="L49" s="67"/>
      <c r="M49" s="67"/>
      <c r="N49" s="67"/>
      <c r="O49" s="67"/>
      <c r="P49" s="67"/>
      <c r="Q49" s="67"/>
      <c r="R49" s="67"/>
      <c r="S49" s="67"/>
      <c r="T49" s="67"/>
      <c r="U49" s="67"/>
      <c r="V49" s="67"/>
      <c r="W49" s="67"/>
      <c r="X49" s="67"/>
      <c r="Y49" s="67"/>
      <c r="Z49" s="67"/>
    </row>
    <row r="50">
      <c r="A50" s="135"/>
      <c r="B50" s="125"/>
      <c r="C50" s="125"/>
      <c r="D50" s="125"/>
      <c r="E50" s="125"/>
      <c r="F50" s="146"/>
      <c r="G50" s="67"/>
      <c r="H50" s="67"/>
      <c r="I50" s="67"/>
      <c r="J50" s="67"/>
      <c r="K50" s="67"/>
      <c r="L50" s="67"/>
      <c r="M50" s="67"/>
      <c r="N50" s="67"/>
      <c r="O50" s="67"/>
      <c r="P50" s="67"/>
      <c r="Q50" s="67"/>
      <c r="R50" s="67"/>
      <c r="S50" s="67"/>
      <c r="T50" s="67"/>
      <c r="U50" s="67"/>
      <c r="V50" s="67"/>
      <c r="W50" s="67"/>
      <c r="X50" s="67"/>
      <c r="Y50" s="67"/>
      <c r="Z50" s="67"/>
    </row>
    <row r="51">
      <c r="A51" s="136"/>
      <c r="B51" s="131"/>
      <c r="C51" s="131"/>
      <c r="D51" s="131"/>
      <c r="E51" s="131"/>
      <c r="F51" s="144"/>
      <c r="G51" s="67"/>
      <c r="H51" s="67"/>
      <c r="I51" s="67"/>
      <c r="J51" s="67"/>
      <c r="K51" s="67"/>
      <c r="L51" s="67"/>
      <c r="M51" s="67"/>
      <c r="N51" s="67"/>
      <c r="O51" s="67"/>
      <c r="P51" s="67"/>
      <c r="Q51" s="67"/>
      <c r="R51" s="67"/>
      <c r="S51" s="67"/>
      <c r="T51" s="67"/>
      <c r="U51" s="67"/>
      <c r="V51" s="67"/>
      <c r="W51" s="67"/>
      <c r="X51" s="67"/>
      <c r="Y51" s="67"/>
      <c r="Z51" s="67"/>
    </row>
    <row r="52">
      <c r="A52" s="135"/>
      <c r="B52" s="125"/>
      <c r="C52" s="125"/>
      <c r="D52" s="125"/>
      <c r="E52" s="125"/>
      <c r="F52" s="146"/>
      <c r="G52" s="67"/>
      <c r="H52" s="67"/>
      <c r="I52" s="67"/>
      <c r="J52" s="67"/>
      <c r="K52" s="67"/>
      <c r="L52" s="67"/>
      <c r="M52" s="67"/>
      <c r="N52" s="67"/>
      <c r="O52" s="67"/>
      <c r="P52" s="67"/>
      <c r="Q52" s="67"/>
      <c r="R52" s="67"/>
      <c r="S52" s="67"/>
      <c r="T52" s="67"/>
      <c r="U52" s="67"/>
      <c r="V52" s="67"/>
      <c r="W52" s="67"/>
      <c r="X52" s="67"/>
      <c r="Y52" s="67"/>
      <c r="Z52" s="67"/>
    </row>
    <row r="53">
      <c r="A53" s="136"/>
      <c r="B53" s="131"/>
      <c r="C53" s="131"/>
      <c r="D53" s="131"/>
      <c r="E53" s="131"/>
      <c r="F53" s="144"/>
      <c r="G53" s="67"/>
      <c r="H53" s="67"/>
      <c r="I53" s="67"/>
      <c r="J53" s="67"/>
      <c r="K53" s="67"/>
      <c r="L53" s="67"/>
      <c r="M53" s="67"/>
      <c r="N53" s="67"/>
      <c r="O53" s="67"/>
      <c r="P53" s="67"/>
      <c r="Q53" s="67"/>
      <c r="R53" s="67"/>
      <c r="S53" s="67"/>
      <c r="T53" s="67"/>
      <c r="U53" s="67"/>
      <c r="V53" s="67"/>
      <c r="W53" s="67"/>
      <c r="X53" s="67"/>
      <c r="Y53" s="67"/>
      <c r="Z53" s="67"/>
    </row>
    <row r="54">
      <c r="A54" s="135"/>
      <c r="B54" s="125"/>
      <c r="C54" s="125"/>
      <c r="D54" s="125"/>
      <c r="E54" s="125"/>
      <c r="F54" s="146"/>
      <c r="G54" s="67"/>
      <c r="H54" s="67"/>
      <c r="I54" s="67"/>
      <c r="J54" s="67"/>
      <c r="K54" s="67"/>
      <c r="L54" s="67"/>
      <c r="M54" s="67"/>
      <c r="N54" s="67"/>
      <c r="O54" s="67"/>
      <c r="P54" s="67"/>
      <c r="Q54" s="67"/>
      <c r="R54" s="67"/>
      <c r="S54" s="67"/>
      <c r="T54" s="67"/>
      <c r="U54" s="67"/>
      <c r="V54" s="67"/>
      <c r="W54" s="67"/>
      <c r="X54" s="67"/>
      <c r="Y54" s="67"/>
      <c r="Z54" s="67"/>
    </row>
    <row r="55">
      <c r="A55" s="136"/>
      <c r="B55" s="131"/>
      <c r="C55" s="131"/>
      <c r="D55" s="131"/>
      <c r="E55" s="131"/>
      <c r="F55" s="144"/>
      <c r="G55" s="67"/>
      <c r="H55" s="67"/>
      <c r="I55" s="67"/>
      <c r="J55" s="67"/>
      <c r="K55" s="67"/>
      <c r="L55" s="67"/>
      <c r="M55" s="67"/>
      <c r="N55" s="67"/>
      <c r="O55" s="67"/>
      <c r="P55" s="67"/>
      <c r="Q55" s="67"/>
      <c r="R55" s="67"/>
      <c r="S55" s="67"/>
      <c r="T55" s="67"/>
      <c r="U55" s="67"/>
      <c r="V55" s="67"/>
      <c r="W55" s="67"/>
      <c r="X55" s="67"/>
      <c r="Y55" s="67"/>
      <c r="Z55" s="67"/>
    </row>
    <row r="56">
      <c r="A56" s="135"/>
      <c r="B56" s="125"/>
      <c r="C56" s="125"/>
      <c r="D56" s="125"/>
      <c r="E56" s="125"/>
      <c r="F56" s="146"/>
      <c r="G56" s="67"/>
      <c r="H56" s="67"/>
      <c r="I56" s="67"/>
      <c r="J56" s="67"/>
      <c r="K56" s="67"/>
      <c r="L56" s="67"/>
      <c r="M56" s="67"/>
      <c r="N56" s="67"/>
      <c r="O56" s="67"/>
      <c r="P56" s="67"/>
      <c r="Q56" s="67"/>
      <c r="R56" s="67"/>
      <c r="S56" s="67"/>
      <c r="T56" s="67"/>
      <c r="U56" s="67"/>
      <c r="V56" s="67"/>
      <c r="W56" s="67"/>
      <c r="X56" s="67"/>
      <c r="Y56" s="67"/>
      <c r="Z56" s="67"/>
    </row>
    <row r="57">
      <c r="A57" s="136"/>
      <c r="B57" s="131"/>
      <c r="C57" s="131"/>
      <c r="D57" s="131"/>
      <c r="E57" s="131"/>
      <c r="F57" s="144"/>
      <c r="G57" s="67"/>
      <c r="H57" s="67"/>
      <c r="I57" s="67"/>
      <c r="J57" s="67"/>
      <c r="K57" s="67"/>
      <c r="L57" s="67"/>
      <c r="M57" s="67"/>
      <c r="N57" s="67"/>
      <c r="O57" s="67"/>
      <c r="P57" s="67"/>
      <c r="Q57" s="67"/>
      <c r="R57" s="67"/>
      <c r="S57" s="67"/>
      <c r="T57" s="67"/>
      <c r="U57" s="67"/>
      <c r="V57" s="67"/>
      <c r="W57" s="67"/>
      <c r="X57" s="67"/>
      <c r="Y57" s="67"/>
      <c r="Z57" s="67"/>
    </row>
    <row r="58">
      <c r="A58" s="135"/>
      <c r="B58" s="125"/>
      <c r="C58" s="125"/>
      <c r="D58" s="125"/>
      <c r="E58" s="125"/>
      <c r="F58" s="146"/>
      <c r="G58" s="67"/>
      <c r="H58" s="67"/>
      <c r="I58" s="67"/>
      <c r="J58" s="67"/>
      <c r="K58" s="67"/>
      <c r="L58" s="67"/>
      <c r="M58" s="67"/>
      <c r="N58" s="67"/>
      <c r="O58" s="67"/>
      <c r="P58" s="67"/>
      <c r="Q58" s="67"/>
      <c r="R58" s="67"/>
      <c r="S58" s="67"/>
      <c r="T58" s="67"/>
      <c r="U58" s="67"/>
      <c r="V58" s="67"/>
      <c r="W58" s="67"/>
      <c r="X58" s="67"/>
      <c r="Y58" s="67"/>
      <c r="Z58" s="67"/>
    </row>
    <row r="59">
      <c r="A59" s="136"/>
      <c r="B59" s="131"/>
      <c r="C59" s="131"/>
      <c r="D59" s="131"/>
      <c r="E59" s="131"/>
      <c r="F59" s="144"/>
      <c r="G59" s="67"/>
      <c r="H59" s="67"/>
      <c r="I59" s="67"/>
      <c r="J59" s="67"/>
      <c r="K59" s="67"/>
      <c r="L59" s="67"/>
      <c r="M59" s="67"/>
      <c r="N59" s="67"/>
      <c r="O59" s="67"/>
      <c r="P59" s="67"/>
      <c r="Q59" s="67"/>
      <c r="R59" s="67"/>
      <c r="S59" s="67"/>
      <c r="T59" s="67"/>
      <c r="U59" s="67"/>
      <c r="V59" s="67"/>
      <c r="W59" s="67"/>
      <c r="X59" s="67"/>
      <c r="Y59" s="67"/>
      <c r="Z59" s="67"/>
    </row>
    <row r="60">
      <c r="A60" s="135"/>
      <c r="B60" s="125"/>
      <c r="C60" s="125"/>
      <c r="D60" s="125"/>
      <c r="E60" s="125"/>
      <c r="F60" s="146"/>
      <c r="G60" s="67"/>
      <c r="H60" s="67"/>
      <c r="I60" s="67"/>
      <c r="J60" s="67"/>
      <c r="K60" s="67"/>
      <c r="L60" s="67"/>
      <c r="M60" s="67"/>
      <c r="N60" s="67"/>
      <c r="O60" s="67"/>
      <c r="P60" s="67"/>
      <c r="Q60" s="67"/>
      <c r="R60" s="67"/>
      <c r="S60" s="67"/>
      <c r="T60" s="67"/>
      <c r="U60" s="67"/>
      <c r="V60" s="67"/>
      <c r="W60" s="67"/>
      <c r="X60" s="67"/>
      <c r="Y60" s="67"/>
      <c r="Z60" s="67"/>
    </row>
    <row r="61">
      <c r="A61" s="136"/>
      <c r="B61" s="131"/>
      <c r="C61" s="131"/>
      <c r="D61" s="131"/>
      <c r="E61" s="131"/>
      <c r="F61" s="144"/>
      <c r="G61" s="67"/>
      <c r="H61" s="67"/>
      <c r="I61" s="67"/>
      <c r="J61" s="67"/>
      <c r="K61" s="67"/>
      <c r="L61" s="67"/>
      <c r="M61" s="67"/>
      <c r="N61" s="67"/>
      <c r="O61" s="67"/>
      <c r="P61" s="67"/>
      <c r="Q61" s="67"/>
      <c r="R61" s="67"/>
      <c r="S61" s="67"/>
      <c r="T61" s="67"/>
      <c r="U61" s="67"/>
      <c r="V61" s="67"/>
      <c r="W61" s="67"/>
      <c r="X61" s="67"/>
      <c r="Y61" s="67"/>
      <c r="Z61" s="67"/>
    </row>
    <row r="62">
      <c r="A62" s="135"/>
      <c r="B62" s="125"/>
      <c r="C62" s="125"/>
      <c r="D62" s="125"/>
      <c r="E62" s="125"/>
      <c r="F62" s="146"/>
      <c r="G62" s="67"/>
      <c r="H62" s="67"/>
      <c r="I62" s="67"/>
      <c r="J62" s="67"/>
      <c r="K62" s="67"/>
      <c r="L62" s="67"/>
      <c r="M62" s="67"/>
      <c r="N62" s="67"/>
      <c r="O62" s="67"/>
      <c r="P62" s="67"/>
      <c r="Q62" s="67"/>
      <c r="R62" s="67"/>
      <c r="S62" s="67"/>
      <c r="T62" s="67"/>
      <c r="U62" s="67"/>
      <c r="V62" s="67"/>
      <c r="W62" s="67"/>
      <c r="X62" s="67"/>
      <c r="Y62" s="67"/>
      <c r="Z62" s="67"/>
    </row>
    <row r="63">
      <c r="A63" s="136"/>
      <c r="B63" s="131"/>
      <c r="C63" s="131"/>
      <c r="D63" s="131"/>
      <c r="E63" s="131"/>
      <c r="F63" s="144"/>
      <c r="G63" s="67"/>
      <c r="H63" s="67"/>
      <c r="I63" s="67"/>
      <c r="J63" s="67"/>
      <c r="K63" s="67"/>
      <c r="L63" s="67"/>
      <c r="M63" s="67"/>
      <c r="N63" s="67"/>
      <c r="O63" s="67"/>
      <c r="P63" s="67"/>
      <c r="Q63" s="67"/>
      <c r="R63" s="67"/>
      <c r="S63" s="67"/>
      <c r="T63" s="67"/>
      <c r="U63" s="67"/>
      <c r="V63" s="67"/>
      <c r="W63" s="67"/>
      <c r="X63" s="67"/>
      <c r="Y63" s="67"/>
      <c r="Z63" s="67"/>
    </row>
    <row r="64">
      <c r="A64" s="135"/>
      <c r="B64" s="125"/>
      <c r="C64" s="125"/>
      <c r="D64" s="125"/>
      <c r="E64" s="125"/>
      <c r="F64" s="146"/>
      <c r="G64" s="67"/>
      <c r="H64" s="67"/>
      <c r="I64" s="67"/>
      <c r="J64" s="67"/>
      <c r="K64" s="67"/>
      <c r="L64" s="67"/>
      <c r="M64" s="67"/>
      <c r="N64" s="67"/>
      <c r="O64" s="67"/>
      <c r="P64" s="67"/>
      <c r="Q64" s="67"/>
      <c r="R64" s="67"/>
      <c r="S64" s="67"/>
      <c r="T64" s="67"/>
      <c r="U64" s="67"/>
      <c r="V64" s="67"/>
      <c r="W64" s="67"/>
      <c r="X64" s="67"/>
      <c r="Y64" s="67"/>
      <c r="Z64" s="67"/>
    </row>
    <row r="65">
      <c r="A65" s="136"/>
      <c r="B65" s="131"/>
      <c r="C65" s="131"/>
      <c r="D65" s="131"/>
      <c r="E65" s="131"/>
      <c r="F65" s="144"/>
      <c r="G65" s="67"/>
      <c r="H65" s="67"/>
      <c r="I65" s="67"/>
      <c r="J65" s="67"/>
      <c r="K65" s="67"/>
      <c r="L65" s="67"/>
      <c r="M65" s="67"/>
      <c r="N65" s="67"/>
      <c r="O65" s="67"/>
      <c r="P65" s="67"/>
      <c r="Q65" s="67"/>
      <c r="R65" s="67"/>
      <c r="S65" s="67"/>
      <c r="T65" s="67"/>
      <c r="U65" s="67"/>
      <c r="V65" s="67"/>
      <c r="W65" s="67"/>
      <c r="X65" s="67"/>
      <c r="Y65" s="67"/>
      <c r="Z65" s="67"/>
    </row>
    <row r="66">
      <c r="A66" s="135"/>
      <c r="B66" s="125"/>
      <c r="C66" s="125"/>
      <c r="D66" s="125"/>
      <c r="E66" s="125"/>
      <c r="F66" s="146"/>
      <c r="G66" s="67"/>
      <c r="H66" s="67"/>
      <c r="I66" s="67"/>
      <c r="J66" s="67"/>
      <c r="K66" s="67"/>
      <c r="L66" s="67"/>
      <c r="M66" s="67"/>
      <c r="N66" s="67"/>
      <c r="O66" s="67"/>
      <c r="P66" s="67"/>
      <c r="Q66" s="67"/>
      <c r="R66" s="67"/>
      <c r="S66" s="67"/>
      <c r="T66" s="67"/>
      <c r="U66" s="67"/>
      <c r="V66" s="67"/>
      <c r="W66" s="67"/>
      <c r="X66" s="67"/>
      <c r="Y66" s="67"/>
      <c r="Z66" s="67"/>
    </row>
    <row r="67">
      <c r="A67" s="136"/>
      <c r="B67" s="131"/>
      <c r="C67" s="131"/>
      <c r="D67" s="131"/>
      <c r="E67" s="131"/>
      <c r="F67" s="144"/>
      <c r="G67" s="67"/>
      <c r="H67" s="67"/>
      <c r="I67" s="67"/>
      <c r="J67" s="67"/>
      <c r="K67" s="67"/>
      <c r="L67" s="67"/>
      <c r="M67" s="67"/>
      <c r="N67" s="67"/>
      <c r="O67" s="67"/>
      <c r="P67" s="67"/>
      <c r="Q67" s="67"/>
      <c r="R67" s="67"/>
      <c r="S67" s="67"/>
      <c r="T67" s="67"/>
      <c r="U67" s="67"/>
      <c r="V67" s="67"/>
      <c r="W67" s="67"/>
      <c r="X67" s="67"/>
      <c r="Y67" s="67"/>
      <c r="Z67" s="67"/>
    </row>
    <row r="68">
      <c r="A68" s="135"/>
      <c r="B68" s="125"/>
      <c r="C68" s="125"/>
      <c r="D68" s="125"/>
      <c r="E68" s="125"/>
      <c r="F68" s="146"/>
      <c r="G68" s="67"/>
      <c r="H68" s="67"/>
      <c r="I68" s="67"/>
      <c r="J68" s="67"/>
      <c r="K68" s="67"/>
      <c r="L68" s="67"/>
      <c r="M68" s="67"/>
      <c r="N68" s="67"/>
      <c r="O68" s="67"/>
      <c r="P68" s="67"/>
      <c r="Q68" s="67"/>
      <c r="R68" s="67"/>
      <c r="S68" s="67"/>
      <c r="T68" s="67"/>
      <c r="U68" s="67"/>
      <c r="V68" s="67"/>
      <c r="W68" s="67"/>
      <c r="X68" s="67"/>
      <c r="Y68" s="67"/>
      <c r="Z68" s="67"/>
    </row>
    <row r="69">
      <c r="A69" s="136"/>
      <c r="B69" s="131"/>
      <c r="C69" s="131"/>
      <c r="D69" s="131"/>
      <c r="E69" s="131"/>
      <c r="F69" s="144"/>
      <c r="G69" s="67"/>
      <c r="H69" s="67"/>
      <c r="I69" s="67"/>
      <c r="J69" s="67"/>
      <c r="K69" s="67"/>
      <c r="L69" s="67"/>
      <c r="M69" s="67"/>
      <c r="N69" s="67"/>
      <c r="O69" s="67"/>
      <c r="P69" s="67"/>
      <c r="Q69" s="67"/>
      <c r="R69" s="67"/>
      <c r="S69" s="67"/>
      <c r="T69" s="67"/>
      <c r="U69" s="67"/>
      <c r="V69" s="67"/>
      <c r="W69" s="67"/>
      <c r="X69" s="67"/>
      <c r="Y69" s="67"/>
      <c r="Z69" s="67"/>
    </row>
    <row r="70">
      <c r="A70" s="135"/>
      <c r="B70" s="125"/>
      <c r="C70" s="125"/>
      <c r="D70" s="125"/>
      <c r="E70" s="125"/>
      <c r="F70" s="146"/>
      <c r="G70" s="67"/>
      <c r="H70" s="67"/>
      <c r="I70" s="67"/>
      <c r="J70" s="67"/>
      <c r="K70" s="67"/>
      <c r="L70" s="67"/>
      <c r="M70" s="67"/>
      <c r="N70" s="67"/>
      <c r="O70" s="67"/>
      <c r="P70" s="67"/>
      <c r="Q70" s="67"/>
      <c r="R70" s="67"/>
      <c r="S70" s="67"/>
      <c r="T70" s="67"/>
      <c r="U70" s="67"/>
      <c r="V70" s="67"/>
      <c r="W70" s="67"/>
      <c r="X70" s="67"/>
      <c r="Y70" s="67"/>
      <c r="Z70" s="67"/>
    </row>
    <row r="71">
      <c r="A71" s="136"/>
      <c r="B71" s="131"/>
      <c r="C71" s="131"/>
      <c r="D71" s="131"/>
      <c r="E71" s="131"/>
      <c r="F71" s="144"/>
      <c r="G71" s="67"/>
      <c r="H71" s="67"/>
      <c r="I71" s="67"/>
      <c r="J71" s="67"/>
      <c r="K71" s="67"/>
      <c r="L71" s="67"/>
      <c r="M71" s="67"/>
      <c r="N71" s="67"/>
      <c r="O71" s="67"/>
      <c r="P71" s="67"/>
      <c r="Q71" s="67"/>
      <c r="R71" s="67"/>
      <c r="S71" s="67"/>
      <c r="T71" s="67"/>
      <c r="U71" s="67"/>
      <c r="V71" s="67"/>
      <c r="W71" s="67"/>
      <c r="X71" s="67"/>
      <c r="Y71" s="67"/>
      <c r="Z71" s="67"/>
    </row>
    <row r="72">
      <c r="A72" s="135"/>
      <c r="B72" s="125"/>
      <c r="C72" s="125"/>
      <c r="D72" s="125"/>
      <c r="E72" s="125"/>
      <c r="F72" s="146"/>
      <c r="G72" s="67"/>
      <c r="H72" s="67"/>
      <c r="I72" s="67"/>
      <c r="J72" s="67"/>
      <c r="K72" s="67"/>
      <c r="L72" s="67"/>
      <c r="M72" s="67"/>
      <c r="N72" s="67"/>
      <c r="O72" s="67"/>
      <c r="P72" s="67"/>
      <c r="Q72" s="67"/>
      <c r="R72" s="67"/>
      <c r="S72" s="67"/>
      <c r="T72" s="67"/>
      <c r="U72" s="67"/>
      <c r="V72" s="67"/>
      <c r="W72" s="67"/>
      <c r="X72" s="67"/>
      <c r="Y72" s="67"/>
      <c r="Z72" s="67"/>
    </row>
    <row r="73">
      <c r="A73" s="136"/>
      <c r="B73" s="131"/>
      <c r="C73" s="131"/>
      <c r="D73" s="131"/>
      <c r="E73" s="131"/>
      <c r="F73" s="144"/>
      <c r="G73" s="67"/>
      <c r="H73" s="67"/>
      <c r="I73" s="67"/>
      <c r="J73" s="67"/>
      <c r="K73" s="67"/>
      <c r="L73" s="67"/>
      <c r="M73" s="67"/>
      <c r="N73" s="67"/>
      <c r="O73" s="67"/>
      <c r="P73" s="67"/>
      <c r="Q73" s="67"/>
      <c r="R73" s="67"/>
      <c r="S73" s="67"/>
      <c r="T73" s="67"/>
      <c r="U73" s="67"/>
      <c r="V73" s="67"/>
      <c r="W73" s="67"/>
      <c r="X73" s="67"/>
      <c r="Y73" s="67"/>
      <c r="Z73" s="67"/>
    </row>
    <row r="74">
      <c r="A74" s="135"/>
      <c r="B74" s="125"/>
      <c r="C74" s="125"/>
      <c r="D74" s="125"/>
      <c r="E74" s="125"/>
      <c r="F74" s="146"/>
      <c r="G74" s="67"/>
      <c r="H74" s="67"/>
      <c r="I74" s="67"/>
      <c r="J74" s="67"/>
      <c r="K74" s="67"/>
      <c r="L74" s="67"/>
      <c r="M74" s="67"/>
      <c r="N74" s="67"/>
      <c r="O74" s="67"/>
      <c r="P74" s="67"/>
      <c r="Q74" s="67"/>
      <c r="R74" s="67"/>
      <c r="S74" s="67"/>
      <c r="T74" s="67"/>
      <c r="U74" s="67"/>
      <c r="V74" s="67"/>
      <c r="W74" s="67"/>
      <c r="X74" s="67"/>
      <c r="Y74" s="67"/>
      <c r="Z74" s="67"/>
    </row>
    <row r="75">
      <c r="A75" s="136"/>
      <c r="B75" s="131"/>
      <c r="C75" s="131"/>
      <c r="D75" s="131"/>
      <c r="E75" s="131"/>
      <c r="F75" s="144"/>
      <c r="G75" s="67"/>
      <c r="H75" s="67"/>
      <c r="I75" s="67"/>
      <c r="J75" s="67"/>
      <c r="K75" s="67"/>
      <c r="L75" s="67"/>
      <c r="M75" s="67"/>
      <c r="N75" s="67"/>
      <c r="O75" s="67"/>
      <c r="P75" s="67"/>
      <c r="Q75" s="67"/>
      <c r="R75" s="67"/>
      <c r="S75" s="67"/>
      <c r="T75" s="67"/>
      <c r="U75" s="67"/>
      <c r="V75" s="67"/>
      <c r="W75" s="67"/>
      <c r="X75" s="67"/>
      <c r="Y75" s="67"/>
      <c r="Z75" s="67"/>
    </row>
    <row r="76">
      <c r="A76" s="135"/>
      <c r="B76" s="125"/>
      <c r="C76" s="125"/>
      <c r="D76" s="125"/>
      <c r="E76" s="125"/>
      <c r="F76" s="146"/>
      <c r="G76" s="67"/>
      <c r="H76" s="67"/>
      <c r="I76" s="67"/>
      <c r="J76" s="67"/>
      <c r="K76" s="67"/>
      <c r="L76" s="67"/>
      <c r="M76" s="67"/>
      <c r="N76" s="67"/>
      <c r="O76" s="67"/>
      <c r="P76" s="67"/>
      <c r="Q76" s="67"/>
      <c r="R76" s="67"/>
      <c r="S76" s="67"/>
      <c r="T76" s="67"/>
      <c r="U76" s="67"/>
      <c r="V76" s="67"/>
      <c r="W76" s="67"/>
      <c r="X76" s="67"/>
      <c r="Y76" s="67"/>
      <c r="Z76" s="67"/>
    </row>
    <row r="77">
      <c r="A77" s="136"/>
      <c r="B77" s="131"/>
      <c r="C77" s="131"/>
      <c r="D77" s="131"/>
      <c r="E77" s="131"/>
      <c r="F77" s="144"/>
      <c r="G77" s="67"/>
      <c r="H77" s="67"/>
      <c r="I77" s="67"/>
      <c r="J77" s="67"/>
      <c r="K77" s="67"/>
      <c r="L77" s="67"/>
      <c r="M77" s="67"/>
      <c r="N77" s="67"/>
      <c r="O77" s="67"/>
      <c r="P77" s="67"/>
      <c r="Q77" s="67"/>
      <c r="R77" s="67"/>
      <c r="S77" s="67"/>
      <c r="T77" s="67"/>
      <c r="U77" s="67"/>
      <c r="V77" s="67"/>
      <c r="W77" s="67"/>
      <c r="X77" s="67"/>
      <c r="Y77" s="67"/>
      <c r="Z77" s="67"/>
    </row>
    <row r="78">
      <c r="A78" s="135"/>
      <c r="B78" s="125"/>
      <c r="C78" s="125"/>
      <c r="D78" s="125"/>
      <c r="E78" s="125"/>
      <c r="F78" s="146"/>
      <c r="G78" s="67"/>
      <c r="H78" s="67"/>
      <c r="I78" s="67"/>
      <c r="J78" s="67"/>
      <c r="K78" s="67"/>
      <c r="L78" s="67"/>
      <c r="M78" s="67"/>
      <c r="N78" s="67"/>
      <c r="O78" s="67"/>
      <c r="P78" s="67"/>
      <c r="Q78" s="67"/>
      <c r="R78" s="67"/>
      <c r="S78" s="67"/>
      <c r="T78" s="67"/>
      <c r="U78" s="67"/>
      <c r="V78" s="67"/>
      <c r="W78" s="67"/>
      <c r="X78" s="67"/>
      <c r="Y78" s="67"/>
      <c r="Z78" s="67"/>
    </row>
    <row r="79">
      <c r="A79" s="136"/>
      <c r="B79" s="131"/>
      <c r="C79" s="131"/>
      <c r="D79" s="131"/>
      <c r="E79" s="131"/>
      <c r="F79" s="144"/>
      <c r="G79" s="67"/>
      <c r="H79" s="67"/>
      <c r="I79" s="67"/>
      <c r="J79" s="67"/>
      <c r="K79" s="67"/>
      <c r="L79" s="67"/>
      <c r="M79" s="67"/>
      <c r="N79" s="67"/>
      <c r="O79" s="67"/>
      <c r="P79" s="67"/>
      <c r="Q79" s="67"/>
      <c r="R79" s="67"/>
      <c r="S79" s="67"/>
      <c r="T79" s="67"/>
      <c r="U79" s="67"/>
      <c r="V79" s="67"/>
      <c r="W79" s="67"/>
      <c r="X79" s="67"/>
      <c r="Y79" s="67"/>
      <c r="Z79" s="67"/>
    </row>
    <row r="80">
      <c r="A80" s="135"/>
      <c r="B80" s="125"/>
      <c r="C80" s="125"/>
      <c r="D80" s="125"/>
      <c r="E80" s="125"/>
      <c r="F80" s="146"/>
      <c r="G80" s="67"/>
      <c r="H80" s="67"/>
      <c r="I80" s="67"/>
      <c r="J80" s="67"/>
      <c r="K80" s="67"/>
      <c r="L80" s="67"/>
      <c r="M80" s="67"/>
      <c r="N80" s="67"/>
      <c r="O80" s="67"/>
      <c r="P80" s="67"/>
      <c r="Q80" s="67"/>
      <c r="R80" s="67"/>
      <c r="S80" s="67"/>
      <c r="T80" s="67"/>
      <c r="U80" s="67"/>
      <c r="V80" s="67"/>
      <c r="W80" s="67"/>
      <c r="X80" s="67"/>
      <c r="Y80" s="67"/>
      <c r="Z80" s="67"/>
    </row>
    <row r="81">
      <c r="A81" s="136"/>
      <c r="B81" s="131"/>
      <c r="C81" s="131"/>
      <c r="D81" s="131"/>
      <c r="E81" s="131"/>
      <c r="F81" s="144"/>
      <c r="G81" s="67"/>
      <c r="H81" s="67"/>
      <c r="I81" s="67"/>
      <c r="J81" s="67"/>
      <c r="K81" s="67"/>
      <c r="L81" s="67"/>
      <c r="M81" s="67"/>
      <c r="N81" s="67"/>
      <c r="O81" s="67"/>
      <c r="P81" s="67"/>
      <c r="Q81" s="67"/>
      <c r="R81" s="67"/>
      <c r="S81" s="67"/>
      <c r="T81" s="67"/>
      <c r="U81" s="67"/>
      <c r="V81" s="67"/>
      <c r="W81" s="67"/>
      <c r="X81" s="67"/>
      <c r="Y81" s="67"/>
      <c r="Z81" s="67"/>
    </row>
    <row r="82">
      <c r="A82" s="135"/>
      <c r="B82" s="125"/>
      <c r="C82" s="125"/>
      <c r="D82" s="125"/>
      <c r="E82" s="125"/>
      <c r="F82" s="146"/>
      <c r="G82" s="67"/>
      <c r="H82" s="67"/>
      <c r="I82" s="67"/>
      <c r="J82" s="67"/>
      <c r="K82" s="67"/>
      <c r="L82" s="67"/>
      <c r="M82" s="67"/>
      <c r="N82" s="67"/>
      <c r="O82" s="67"/>
      <c r="P82" s="67"/>
      <c r="Q82" s="67"/>
      <c r="R82" s="67"/>
      <c r="S82" s="67"/>
      <c r="T82" s="67"/>
      <c r="U82" s="67"/>
      <c r="V82" s="67"/>
      <c r="W82" s="67"/>
      <c r="X82" s="67"/>
      <c r="Y82" s="67"/>
      <c r="Z82" s="67"/>
    </row>
    <row r="83">
      <c r="A83" s="136"/>
      <c r="B83" s="131"/>
      <c r="C83" s="131"/>
      <c r="D83" s="131"/>
      <c r="E83" s="131"/>
      <c r="F83" s="144"/>
      <c r="G83" s="67"/>
      <c r="H83" s="67"/>
      <c r="I83" s="67"/>
      <c r="J83" s="67"/>
      <c r="K83" s="67"/>
      <c r="L83" s="67"/>
      <c r="M83" s="67"/>
      <c r="N83" s="67"/>
      <c r="O83" s="67"/>
      <c r="P83" s="67"/>
      <c r="Q83" s="67"/>
      <c r="R83" s="67"/>
      <c r="S83" s="67"/>
      <c r="T83" s="67"/>
      <c r="U83" s="67"/>
      <c r="V83" s="67"/>
      <c r="W83" s="67"/>
      <c r="X83" s="67"/>
      <c r="Y83" s="67"/>
      <c r="Z83" s="67"/>
    </row>
    <row r="84">
      <c r="A84" s="135"/>
      <c r="B84" s="125"/>
      <c r="C84" s="125"/>
      <c r="D84" s="125"/>
      <c r="E84" s="125"/>
      <c r="F84" s="146"/>
      <c r="G84" s="67"/>
      <c r="H84" s="67"/>
      <c r="I84" s="67"/>
      <c r="J84" s="67"/>
      <c r="K84" s="67"/>
      <c r="L84" s="67"/>
      <c r="M84" s="67"/>
      <c r="N84" s="67"/>
      <c r="O84" s="67"/>
      <c r="P84" s="67"/>
      <c r="Q84" s="67"/>
      <c r="R84" s="67"/>
      <c r="S84" s="67"/>
      <c r="T84" s="67"/>
      <c r="U84" s="67"/>
      <c r="V84" s="67"/>
      <c r="W84" s="67"/>
      <c r="X84" s="67"/>
      <c r="Y84" s="67"/>
      <c r="Z84" s="67"/>
    </row>
    <row r="85">
      <c r="A85" s="136"/>
      <c r="B85" s="131"/>
      <c r="C85" s="131"/>
      <c r="D85" s="131"/>
      <c r="E85" s="131"/>
      <c r="F85" s="144"/>
      <c r="G85" s="67"/>
      <c r="H85" s="67"/>
      <c r="I85" s="67"/>
      <c r="J85" s="67"/>
      <c r="K85" s="67"/>
      <c r="L85" s="67"/>
      <c r="M85" s="67"/>
      <c r="N85" s="67"/>
      <c r="O85" s="67"/>
      <c r="P85" s="67"/>
      <c r="Q85" s="67"/>
      <c r="R85" s="67"/>
      <c r="S85" s="67"/>
      <c r="T85" s="67"/>
      <c r="U85" s="67"/>
      <c r="V85" s="67"/>
      <c r="W85" s="67"/>
      <c r="X85" s="67"/>
      <c r="Y85" s="67"/>
      <c r="Z85" s="67"/>
    </row>
    <row r="86">
      <c r="A86" s="135"/>
      <c r="B86" s="125"/>
      <c r="C86" s="125"/>
      <c r="D86" s="125"/>
      <c r="E86" s="125"/>
      <c r="F86" s="146"/>
      <c r="G86" s="67"/>
      <c r="H86" s="67"/>
      <c r="I86" s="67"/>
      <c r="J86" s="67"/>
      <c r="K86" s="67"/>
      <c r="L86" s="67"/>
      <c r="M86" s="67"/>
      <c r="N86" s="67"/>
      <c r="O86" s="67"/>
      <c r="P86" s="67"/>
      <c r="Q86" s="67"/>
      <c r="R86" s="67"/>
      <c r="S86" s="67"/>
      <c r="T86" s="67"/>
      <c r="U86" s="67"/>
      <c r="V86" s="67"/>
      <c r="W86" s="67"/>
      <c r="X86" s="67"/>
      <c r="Y86" s="67"/>
      <c r="Z86" s="67"/>
    </row>
    <row r="87">
      <c r="A87" s="136"/>
      <c r="B87" s="131"/>
      <c r="C87" s="131"/>
      <c r="D87" s="131"/>
      <c r="E87" s="131"/>
      <c r="F87" s="144"/>
      <c r="G87" s="67"/>
      <c r="H87" s="67"/>
      <c r="I87" s="67"/>
      <c r="J87" s="67"/>
      <c r="K87" s="67"/>
      <c r="L87" s="67"/>
      <c r="M87" s="67"/>
      <c r="N87" s="67"/>
      <c r="O87" s="67"/>
      <c r="P87" s="67"/>
      <c r="Q87" s="67"/>
      <c r="R87" s="67"/>
      <c r="S87" s="67"/>
      <c r="T87" s="67"/>
      <c r="U87" s="67"/>
      <c r="V87" s="67"/>
      <c r="W87" s="67"/>
      <c r="X87" s="67"/>
      <c r="Y87" s="67"/>
      <c r="Z87" s="67"/>
    </row>
    <row r="88">
      <c r="A88" s="135"/>
      <c r="B88" s="125"/>
      <c r="C88" s="125"/>
      <c r="D88" s="125"/>
      <c r="E88" s="125"/>
      <c r="F88" s="146"/>
      <c r="G88" s="67"/>
      <c r="H88" s="67"/>
      <c r="I88" s="67"/>
      <c r="J88" s="67"/>
      <c r="K88" s="67"/>
      <c r="L88" s="67"/>
      <c r="M88" s="67"/>
      <c r="N88" s="67"/>
      <c r="O88" s="67"/>
      <c r="P88" s="67"/>
      <c r="Q88" s="67"/>
      <c r="R88" s="67"/>
      <c r="S88" s="67"/>
      <c r="T88" s="67"/>
      <c r="U88" s="67"/>
      <c r="V88" s="67"/>
      <c r="W88" s="67"/>
      <c r="X88" s="67"/>
      <c r="Y88" s="67"/>
      <c r="Z88" s="67"/>
    </row>
    <row r="89">
      <c r="A89" s="136"/>
      <c r="B89" s="131"/>
      <c r="C89" s="131"/>
      <c r="D89" s="131"/>
      <c r="E89" s="131"/>
      <c r="F89" s="144"/>
      <c r="G89" s="67"/>
      <c r="H89" s="67"/>
      <c r="I89" s="67"/>
      <c r="J89" s="67"/>
      <c r="K89" s="67"/>
      <c r="L89" s="67"/>
      <c r="M89" s="67"/>
      <c r="N89" s="67"/>
      <c r="O89" s="67"/>
      <c r="P89" s="67"/>
      <c r="Q89" s="67"/>
      <c r="R89" s="67"/>
      <c r="S89" s="67"/>
      <c r="T89" s="67"/>
      <c r="U89" s="67"/>
      <c r="V89" s="67"/>
      <c r="W89" s="67"/>
      <c r="X89" s="67"/>
      <c r="Y89" s="67"/>
      <c r="Z89" s="67"/>
    </row>
    <row r="90">
      <c r="A90" s="135"/>
      <c r="B90" s="125"/>
      <c r="C90" s="125"/>
      <c r="D90" s="125"/>
      <c r="E90" s="125"/>
      <c r="F90" s="146"/>
      <c r="G90" s="67"/>
      <c r="H90" s="67"/>
      <c r="I90" s="67"/>
      <c r="J90" s="67"/>
      <c r="K90" s="67"/>
      <c r="L90" s="67"/>
      <c r="M90" s="67"/>
      <c r="N90" s="67"/>
      <c r="O90" s="67"/>
      <c r="P90" s="67"/>
      <c r="Q90" s="67"/>
      <c r="R90" s="67"/>
      <c r="S90" s="67"/>
      <c r="T90" s="67"/>
      <c r="U90" s="67"/>
      <c r="V90" s="67"/>
      <c r="W90" s="67"/>
      <c r="X90" s="67"/>
      <c r="Y90" s="67"/>
      <c r="Z90" s="67"/>
    </row>
    <row r="91">
      <c r="A91" s="136"/>
      <c r="B91" s="131"/>
      <c r="C91" s="131"/>
      <c r="D91" s="131"/>
      <c r="E91" s="131"/>
      <c r="F91" s="144"/>
      <c r="G91" s="67"/>
      <c r="H91" s="67"/>
      <c r="I91" s="67"/>
      <c r="J91" s="67"/>
      <c r="K91" s="67"/>
      <c r="L91" s="67"/>
      <c r="M91" s="67"/>
      <c r="N91" s="67"/>
      <c r="O91" s="67"/>
      <c r="P91" s="67"/>
      <c r="Q91" s="67"/>
      <c r="R91" s="67"/>
      <c r="S91" s="67"/>
      <c r="T91" s="67"/>
      <c r="U91" s="67"/>
      <c r="V91" s="67"/>
      <c r="W91" s="67"/>
      <c r="X91" s="67"/>
      <c r="Y91" s="67"/>
      <c r="Z91" s="67"/>
    </row>
    <row r="92">
      <c r="A92" s="135"/>
      <c r="B92" s="125"/>
      <c r="C92" s="125"/>
      <c r="D92" s="125"/>
      <c r="E92" s="125"/>
      <c r="F92" s="146"/>
      <c r="G92" s="67"/>
      <c r="H92" s="67"/>
      <c r="I92" s="67"/>
      <c r="J92" s="67"/>
      <c r="K92" s="67"/>
      <c r="L92" s="67"/>
      <c r="M92" s="67"/>
      <c r="N92" s="67"/>
      <c r="O92" s="67"/>
      <c r="P92" s="67"/>
      <c r="Q92" s="67"/>
      <c r="R92" s="67"/>
      <c r="S92" s="67"/>
      <c r="T92" s="67"/>
      <c r="U92" s="67"/>
      <c r="V92" s="67"/>
      <c r="W92" s="67"/>
      <c r="X92" s="67"/>
      <c r="Y92" s="67"/>
      <c r="Z92" s="67"/>
    </row>
    <row r="93">
      <c r="A93" s="136"/>
      <c r="B93" s="131"/>
      <c r="C93" s="131"/>
      <c r="D93" s="131"/>
      <c r="E93" s="131"/>
      <c r="F93" s="144"/>
      <c r="G93" s="67"/>
      <c r="H93" s="67"/>
      <c r="I93" s="67"/>
      <c r="J93" s="67"/>
      <c r="K93" s="67"/>
      <c r="L93" s="67"/>
      <c r="M93" s="67"/>
      <c r="N93" s="67"/>
      <c r="O93" s="67"/>
      <c r="P93" s="67"/>
      <c r="Q93" s="67"/>
      <c r="R93" s="67"/>
      <c r="S93" s="67"/>
      <c r="T93" s="67"/>
      <c r="U93" s="67"/>
      <c r="V93" s="67"/>
      <c r="W93" s="67"/>
      <c r="X93" s="67"/>
      <c r="Y93" s="67"/>
      <c r="Z93" s="67"/>
    </row>
    <row r="94">
      <c r="A94" s="135"/>
      <c r="B94" s="125"/>
      <c r="C94" s="125"/>
      <c r="D94" s="125"/>
      <c r="E94" s="125"/>
      <c r="F94" s="146"/>
      <c r="G94" s="67"/>
      <c r="H94" s="67"/>
      <c r="I94" s="67"/>
      <c r="J94" s="67"/>
      <c r="K94" s="67"/>
      <c r="L94" s="67"/>
      <c r="M94" s="67"/>
      <c r="N94" s="67"/>
      <c r="O94" s="67"/>
      <c r="P94" s="67"/>
      <c r="Q94" s="67"/>
      <c r="R94" s="67"/>
      <c r="S94" s="67"/>
      <c r="T94" s="67"/>
      <c r="U94" s="67"/>
      <c r="V94" s="67"/>
      <c r="W94" s="67"/>
      <c r="X94" s="67"/>
      <c r="Y94" s="67"/>
      <c r="Z94" s="67"/>
    </row>
    <row r="95">
      <c r="A95" s="136"/>
      <c r="B95" s="131"/>
      <c r="C95" s="131"/>
      <c r="D95" s="131"/>
      <c r="E95" s="131"/>
      <c r="F95" s="144"/>
      <c r="G95" s="67"/>
      <c r="H95" s="67"/>
      <c r="I95" s="67"/>
      <c r="J95" s="67"/>
      <c r="K95" s="67"/>
      <c r="L95" s="67"/>
      <c r="M95" s="67"/>
      <c r="N95" s="67"/>
      <c r="O95" s="67"/>
      <c r="P95" s="67"/>
      <c r="Q95" s="67"/>
      <c r="R95" s="67"/>
      <c r="S95" s="67"/>
      <c r="T95" s="67"/>
      <c r="U95" s="67"/>
      <c r="V95" s="67"/>
      <c r="W95" s="67"/>
      <c r="X95" s="67"/>
      <c r="Y95" s="67"/>
      <c r="Z95" s="67"/>
    </row>
    <row r="96">
      <c r="A96" s="135"/>
      <c r="B96" s="125"/>
      <c r="C96" s="125"/>
      <c r="D96" s="125"/>
      <c r="E96" s="125"/>
      <c r="F96" s="146"/>
      <c r="G96" s="67"/>
      <c r="H96" s="67"/>
      <c r="I96" s="67"/>
      <c r="J96" s="67"/>
      <c r="K96" s="67"/>
      <c r="L96" s="67"/>
      <c r="M96" s="67"/>
      <c r="N96" s="67"/>
      <c r="O96" s="67"/>
      <c r="P96" s="67"/>
      <c r="Q96" s="67"/>
      <c r="R96" s="67"/>
      <c r="S96" s="67"/>
      <c r="T96" s="67"/>
      <c r="U96" s="67"/>
      <c r="V96" s="67"/>
      <c r="W96" s="67"/>
      <c r="X96" s="67"/>
      <c r="Y96" s="67"/>
      <c r="Z96" s="67"/>
    </row>
    <row r="97">
      <c r="A97" s="136"/>
      <c r="B97" s="131"/>
      <c r="C97" s="131"/>
      <c r="D97" s="131"/>
      <c r="E97" s="131"/>
      <c r="F97" s="144"/>
      <c r="G97" s="67"/>
      <c r="H97" s="67"/>
      <c r="I97" s="67"/>
      <c r="J97" s="67"/>
      <c r="K97" s="67"/>
      <c r="L97" s="67"/>
      <c r="M97" s="67"/>
      <c r="N97" s="67"/>
      <c r="O97" s="67"/>
      <c r="P97" s="67"/>
      <c r="Q97" s="67"/>
      <c r="R97" s="67"/>
      <c r="S97" s="67"/>
      <c r="T97" s="67"/>
      <c r="U97" s="67"/>
      <c r="V97" s="67"/>
      <c r="W97" s="67"/>
      <c r="X97" s="67"/>
      <c r="Y97" s="67"/>
      <c r="Z97" s="67"/>
    </row>
    <row r="98">
      <c r="A98" s="135"/>
      <c r="B98" s="125"/>
      <c r="C98" s="125"/>
      <c r="D98" s="125"/>
      <c r="E98" s="125"/>
      <c r="F98" s="146"/>
      <c r="G98" s="67"/>
      <c r="H98" s="67"/>
      <c r="I98" s="67"/>
      <c r="J98" s="67"/>
      <c r="K98" s="67"/>
      <c r="L98" s="67"/>
      <c r="M98" s="67"/>
      <c r="N98" s="67"/>
      <c r="O98" s="67"/>
      <c r="P98" s="67"/>
      <c r="Q98" s="67"/>
      <c r="R98" s="67"/>
      <c r="S98" s="67"/>
      <c r="T98" s="67"/>
      <c r="U98" s="67"/>
      <c r="V98" s="67"/>
      <c r="W98" s="67"/>
      <c r="X98" s="67"/>
      <c r="Y98" s="67"/>
      <c r="Z98" s="67"/>
    </row>
    <row r="99">
      <c r="A99" s="136"/>
      <c r="B99" s="131"/>
      <c r="C99" s="131"/>
      <c r="D99" s="131"/>
      <c r="E99" s="131"/>
      <c r="F99" s="144"/>
      <c r="G99" s="67"/>
      <c r="H99" s="67"/>
      <c r="I99" s="67"/>
      <c r="J99" s="67"/>
      <c r="K99" s="67"/>
      <c r="L99" s="67"/>
      <c r="M99" s="67"/>
      <c r="N99" s="67"/>
      <c r="O99" s="67"/>
      <c r="P99" s="67"/>
      <c r="Q99" s="67"/>
      <c r="R99" s="67"/>
      <c r="S99" s="67"/>
      <c r="T99" s="67"/>
      <c r="U99" s="67"/>
      <c r="V99" s="67"/>
      <c r="W99" s="67"/>
      <c r="X99" s="67"/>
      <c r="Y99" s="67"/>
      <c r="Z99" s="67"/>
    </row>
    <row r="100">
      <c r="A100" s="135"/>
      <c r="B100" s="125"/>
      <c r="C100" s="125"/>
      <c r="D100" s="125"/>
      <c r="E100" s="125"/>
      <c r="F100" s="146"/>
      <c r="G100" s="67"/>
      <c r="H100" s="67"/>
      <c r="I100" s="67"/>
      <c r="J100" s="67"/>
      <c r="K100" s="67"/>
      <c r="L100" s="67"/>
      <c r="M100" s="67"/>
      <c r="N100" s="67"/>
      <c r="O100" s="67"/>
      <c r="P100" s="67"/>
      <c r="Q100" s="67"/>
      <c r="R100" s="67"/>
      <c r="S100" s="67"/>
      <c r="T100" s="67"/>
      <c r="U100" s="67"/>
      <c r="V100" s="67"/>
      <c r="W100" s="67"/>
      <c r="X100" s="67"/>
      <c r="Y100" s="67"/>
      <c r="Z100" s="67"/>
    </row>
    <row r="101">
      <c r="A101" s="136"/>
      <c r="B101" s="131"/>
      <c r="C101" s="131"/>
      <c r="D101" s="131"/>
      <c r="E101" s="131"/>
      <c r="F101" s="144"/>
      <c r="G101" s="67"/>
      <c r="H101" s="67"/>
      <c r="I101" s="67"/>
      <c r="J101" s="67"/>
      <c r="K101" s="67"/>
      <c r="L101" s="67"/>
      <c r="M101" s="67"/>
      <c r="N101" s="67"/>
      <c r="O101" s="67"/>
      <c r="P101" s="67"/>
      <c r="Q101" s="67"/>
      <c r="R101" s="67"/>
      <c r="S101" s="67"/>
      <c r="T101" s="67"/>
      <c r="U101" s="67"/>
      <c r="V101" s="67"/>
      <c r="W101" s="67"/>
      <c r="X101" s="67"/>
      <c r="Y101" s="67"/>
      <c r="Z101" s="67"/>
    </row>
    <row r="102">
      <c r="A102" s="135"/>
      <c r="B102" s="125"/>
      <c r="C102" s="125"/>
      <c r="D102" s="125"/>
      <c r="E102" s="125"/>
      <c r="F102" s="146"/>
      <c r="G102" s="67"/>
      <c r="H102" s="67"/>
      <c r="I102" s="67"/>
      <c r="J102" s="67"/>
      <c r="K102" s="67"/>
      <c r="L102" s="67"/>
      <c r="M102" s="67"/>
      <c r="N102" s="67"/>
      <c r="O102" s="67"/>
      <c r="P102" s="67"/>
      <c r="Q102" s="67"/>
      <c r="R102" s="67"/>
      <c r="S102" s="67"/>
      <c r="T102" s="67"/>
      <c r="U102" s="67"/>
      <c r="V102" s="67"/>
      <c r="W102" s="67"/>
      <c r="X102" s="67"/>
      <c r="Y102" s="67"/>
      <c r="Z102" s="67"/>
    </row>
    <row r="103">
      <c r="A103" s="136"/>
      <c r="B103" s="131"/>
      <c r="C103" s="131"/>
      <c r="D103" s="131"/>
      <c r="E103" s="131"/>
      <c r="F103" s="144"/>
      <c r="G103" s="67"/>
      <c r="H103" s="67"/>
      <c r="I103" s="67"/>
      <c r="J103" s="67"/>
      <c r="K103" s="67"/>
      <c r="L103" s="67"/>
      <c r="M103" s="67"/>
      <c r="N103" s="67"/>
      <c r="O103" s="67"/>
      <c r="P103" s="67"/>
      <c r="Q103" s="67"/>
      <c r="R103" s="67"/>
      <c r="S103" s="67"/>
      <c r="T103" s="67"/>
      <c r="U103" s="67"/>
      <c r="V103" s="67"/>
      <c r="W103" s="67"/>
      <c r="X103" s="67"/>
      <c r="Y103" s="67"/>
      <c r="Z103" s="67"/>
    </row>
    <row r="104">
      <c r="A104" s="135"/>
      <c r="B104" s="125"/>
      <c r="C104" s="125"/>
      <c r="D104" s="125"/>
      <c r="E104" s="125"/>
      <c r="F104" s="146"/>
      <c r="G104" s="67"/>
      <c r="H104" s="67"/>
      <c r="I104" s="67"/>
      <c r="J104" s="67"/>
      <c r="K104" s="67"/>
      <c r="L104" s="67"/>
      <c r="M104" s="67"/>
      <c r="N104" s="67"/>
      <c r="O104" s="67"/>
      <c r="P104" s="67"/>
      <c r="Q104" s="67"/>
      <c r="R104" s="67"/>
      <c r="S104" s="67"/>
      <c r="T104" s="67"/>
      <c r="U104" s="67"/>
      <c r="V104" s="67"/>
      <c r="W104" s="67"/>
      <c r="X104" s="67"/>
      <c r="Y104" s="67"/>
      <c r="Z104" s="67"/>
    </row>
    <row r="105">
      <c r="A105" s="136"/>
      <c r="B105" s="131"/>
      <c r="C105" s="131"/>
      <c r="D105" s="131"/>
      <c r="E105" s="131"/>
      <c r="F105" s="144"/>
      <c r="G105" s="67"/>
      <c r="H105" s="67"/>
      <c r="I105" s="67"/>
      <c r="J105" s="67"/>
      <c r="K105" s="67"/>
      <c r="L105" s="67"/>
      <c r="M105" s="67"/>
      <c r="N105" s="67"/>
      <c r="O105" s="67"/>
      <c r="P105" s="67"/>
      <c r="Q105" s="67"/>
      <c r="R105" s="67"/>
      <c r="S105" s="67"/>
      <c r="T105" s="67"/>
      <c r="U105" s="67"/>
      <c r="V105" s="67"/>
      <c r="W105" s="67"/>
      <c r="X105" s="67"/>
      <c r="Y105" s="67"/>
      <c r="Z105" s="67"/>
    </row>
    <row r="106">
      <c r="A106" s="135"/>
      <c r="B106" s="125"/>
      <c r="C106" s="125"/>
      <c r="D106" s="125"/>
      <c r="E106" s="125"/>
      <c r="F106" s="146"/>
      <c r="G106" s="67"/>
      <c r="H106" s="67"/>
      <c r="I106" s="67"/>
      <c r="J106" s="67"/>
      <c r="K106" s="67"/>
      <c r="L106" s="67"/>
      <c r="M106" s="67"/>
      <c r="N106" s="67"/>
      <c r="O106" s="67"/>
      <c r="P106" s="67"/>
      <c r="Q106" s="67"/>
      <c r="R106" s="67"/>
      <c r="S106" s="67"/>
      <c r="T106" s="67"/>
      <c r="U106" s="67"/>
      <c r="V106" s="67"/>
      <c r="W106" s="67"/>
      <c r="X106" s="67"/>
      <c r="Y106" s="67"/>
      <c r="Z106" s="67"/>
    </row>
    <row r="107">
      <c r="A107" s="136"/>
      <c r="B107" s="131"/>
      <c r="C107" s="131"/>
      <c r="D107" s="131"/>
      <c r="E107" s="131"/>
      <c r="F107" s="144"/>
      <c r="G107" s="67"/>
      <c r="H107" s="67"/>
      <c r="I107" s="67"/>
      <c r="J107" s="67"/>
      <c r="K107" s="67"/>
      <c r="L107" s="67"/>
      <c r="M107" s="67"/>
      <c r="N107" s="67"/>
      <c r="O107" s="67"/>
      <c r="P107" s="67"/>
      <c r="Q107" s="67"/>
      <c r="R107" s="67"/>
      <c r="S107" s="67"/>
      <c r="T107" s="67"/>
      <c r="U107" s="67"/>
      <c r="V107" s="67"/>
      <c r="W107" s="67"/>
      <c r="X107" s="67"/>
      <c r="Y107" s="67"/>
      <c r="Z107" s="67"/>
    </row>
    <row r="108">
      <c r="A108" s="135"/>
      <c r="B108" s="125"/>
      <c r="C108" s="125"/>
      <c r="D108" s="125"/>
      <c r="E108" s="125"/>
      <c r="F108" s="146"/>
      <c r="G108" s="67"/>
      <c r="H108" s="67"/>
      <c r="I108" s="67"/>
      <c r="J108" s="67"/>
      <c r="K108" s="67"/>
      <c r="L108" s="67"/>
      <c r="M108" s="67"/>
      <c r="N108" s="67"/>
      <c r="O108" s="67"/>
      <c r="P108" s="67"/>
      <c r="Q108" s="67"/>
      <c r="R108" s="67"/>
      <c r="S108" s="67"/>
      <c r="T108" s="67"/>
      <c r="U108" s="67"/>
      <c r="V108" s="67"/>
      <c r="W108" s="67"/>
      <c r="X108" s="67"/>
      <c r="Y108" s="67"/>
      <c r="Z108" s="67"/>
    </row>
    <row r="109">
      <c r="A109" s="136"/>
      <c r="B109" s="131"/>
      <c r="C109" s="131"/>
      <c r="D109" s="131"/>
      <c r="E109" s="131"/>
      <c r="F109" s="144"/>
      <c r="G109" s="67"/>
      <c r="H109" s="67"/>
      <c r="I109" s="67"/>
      <c r="J109" s="67"/>
      <c r="K109" s="67"/>
      <c r="L109" s="67"/>
      <c r="M109" s="67"/>
      <c r="N109" s="67"/>
      <c r="O109" s="67"/>
      <c r="P109" s="67"/>
      <c r="Q109" s="67"/>
      <c r="R109" s="67"/>
      <c r="S109" s="67"/>
      <c r="T109" s="67"/>
      <c r="U109" s="67"/>
      <c r="V109" s="67"/>
      <c r="W109" s="67"/>
      <c r="X109" s="67"/>
      <c r="Y109" s="67"/>
      <c r="Z109" s="67"/>
    </row>
    <row r="110">
      <c r="A110" s="135"/>
      <c r="B110" s="125"/>
      <c r="C110" s="125"/>
      <c r="D110" s="125"/>
      <c r="E110" s="125"/>
      <c r="F110" s="146"/>
      <c r="G110" s="67"/>
      <c r="H110" s="67"/>
      <c r="I110" s="67"/>
      <c r="J110" s="67"/>
      <c r="K110" s="67"/>
      <c r="L110" s="67"/>
      <c r="M110" s="67"/>
      <c r="N110" s="67"/>
      <c r="O110" s="67"/>
      <c r="P110" s="67"/>
      <c r="Q110" s="67"/>
      <c r="R110" s="67"/>
      <c r="S110" s="67"/>
      <c r="T110" s="67"/>
      <c r="U110" s="67"/>
      <c r="V110" s="67"/>
      <c r="W110" s="67"/>
      <c r="X110" s="67"/>
      <c r="Y110" s="67"/>
      <c r="Z110" s="67"/>
    </row>
    <row r="111">
      <c r="A111" s="136"/>
      <c r="B111" s="131"/>
      <c r="C111" s="131"/>
      <c r="D111" s="131"/>
      <c r="E111" s="131"/>
      <c r="F111" s="144"/>
      <c r="G111" s="67"/>
      <c r="H111" s="67"/>
      <c r="I111" s="67"/>
      <c r="J111" s="67"/>
      <c r="K111" s="67"/>
      <c r="L111" s="67"/>
      <c r="M111" s="67"/>
      <c r="N111" s="67"/>
      <c r="O111" s="67"/>
      <c r="P111" s="67"/>
      <c r="Q111" s="67"/>
      <c r="R111" s="67"/>
      <c r="S111" s="67"/>
      <c r="T111" s="67"/>
      <c r="U111" s="67"/>
      <c r="V111" s="67"/>
      <c r="W111" s="67"/>
      <c r="X111" s="67"/>
      <c r="Y111" s="67"/>
      <c r="Z111" s="67"/>
    </row>
    <row r="112">
      <c r="A112" s="135"/>
      <c r="B112" s="125"/>
      <c r="C112" s="125"/>
      <c r="D112" s="125"/>
      <c r="E112" s="125"/>
      <c r="F112" s="146"/>
      <c r="G112" s="67"/>
      <c r="H112" s="67"/>
      <c r="I112" s="67"/>
      <c r="J112" s="67"/>
      <c r="K112" s="67"/>
      <c r="L112" s="67"/>
      <c r="M112" s="67"/>
      <c r="N112" s="67"/>
      <c r="O112" s="67"/>
      <c r="P112" s="67"/>
      <c r="Q112" s="67"/>
      <c r="R112" s="67"/>
      <c r="S112" s="67"/>
      <c r="T112" s="67"/>
      <c r="U112" s="67"/>
      <c r="V112" s="67"/>
      <c r="W112" s="67"/>
      <c r="X112" s="67"/>
      <c r="Y112" s="67"/>
      <c r="Z112" s="67"/>
    </row>
    <row r="113">
      <c r="A113" s="136"/>
      <c r="B113" s="131"/>
      <c r="C113" s="131"/>
      <c r="D113" s="131"/>
      <c r="E113" s="131"/>
      <c r="F113" s="144"/>
      <c r="G113" s="67"/>
      <c r="H113" s="67"/>
      <c r="I113" s="67"/>
      <c r="J113" s="67"/>
      <c r="K113" s="67"/>
      <c r="L113" s="67"/>
      <c r="M113" s="67"/>
      <c r="N113" s="67"/>
      <c r="O113" s="67"/>
      <c r="P113" s="67"/>
      <c r="Q113" s="67"/>
      <c r="R113" s="67"/>
      <c r="S113" s="67"/>
      <c r="T113" s="67"/>
      <c r="U113" s="67"/>
      <c r="V113" s="67"/>
      <c r="W113" s="67"/>
      <c r="X113" s="67"/>
      <c r="Y113" s="67"/>
      <c r="Z113" s="67"/>
    </row>
    <row r="114">
      <c r="A114" s="135"/>
      <c r="B114" s="125"/>
      <c r="C114" s="125"/>
      <c r="D114" s="125"/>
      <c r="E114" s="125"/>
      <c r="F114" s="146"/>
      <c r="G114" s="67"/>
      <c r="H114" s="67"/>
      <c r="I114" s="67"/>
      <c r="J114" s="67"/>
      <c r="K114" s="67"/>
      <c r="L114" s="67"/>
      <c r="M114" s="67"/>
      <c r="N114" s="67"/>
      <c r="O114" s="67"/>
      <c r="P114" s="67"/>
      <c r="Q114" s="67"/>
      <c r="R114" s="67"/>
      <c r="S114" s="67"/>
      <c r="T114" s="67"/>
      <c r="U114" s="67"/>
      <c r="V114" s="67"/>
      <c r="W114" s="67"/>
      <c r="X114" s="67"/>
      <c r="Y114" s="67"/>
      <c r="Z114" s="67"/>
    </row>
    <row r="115">
      <c r="A115" s="136"/>
      <c r="B115" s="131"/>
      <c r="C115" s="131"/>
      <c r="D115" s="131"/>
      <c r="E115" s="131"/>
      <c r="F115" s="144"/>
      <c r="G115" s="67"/>
      <c r="H115" s="67"/>
      <c r="I115" s="67"/>
      <c r="J115" s="67"/>
      <c r="K115" s="67"/>
      <c r="L115" s="67"/>
      <c r="M115" s="67"/>
      <c r="N115" s="67"/>
      <c r="O115" s="67"/>
      <c r="P115" s="67"/>
      <c r="Q115" s="67"/>
      <c r="R115" s="67"/>
      <c r="S115" s="67"/>
      <c r="T115" s="67"/>
      <c r="U115" s="67"/>
      <c r="V115" s="67"/>
      <c r="W115" s="67"/>
      <c r="X115" s="67"/>
      <c r="Y115" s="67"/>
      <c r="Z115" s="67"/>
    </row>
    <row r="116">
      <c r="A116" s="135"/>
      <c r="B116" s="125"/>
      <c r="C116" s="125"/>
      <c r="D116" s="125"/>
      <c r="E116" s="125"/>
      <c r="F116" s="146"/>
      <c r="G116" s="67"/>
      <c r="H116" s="67"/>
      <c r="I116" s="67"/>
      <c r="J116" s="67"/>
      <c r="K116" s="67"/>
      <c r="L116" s="67"/>
      <c r="M116" s="67"/>
      <c r="N116" s="67"/>
      <c r="O116" s="67"/>
      <c r="P116" s="67"/>
      <c r="Q116" s="67"/>
      <c r="R116" s="67"/>
      <c r="S116" s="67"/>
      <c r="T116" s="67"/>
      <c r="U116" s="67"/>
      <c r="V116" s="67"/>
      <c r="W116" s="67"/>
      <c r="X116" s="67"/>
      <c r="Y116" s="67"/>
      <c r="Z116" s="67"/>
    </row>
    <row r="117">
      <c r="A117" s="136"/>
      <c r="B117" s="131"/>
      <c r="C117" s="131"/>
      <c r="D117" s="131"/>
      <c r="E117" s="131"/>
      <c r="F117" s="144"/>
      <c r="G117" s="67"/>
      <c r="H117" s="67"/>
      <c r="I117" s="67"/>
      <c r="J117" s="67"/>
      <c r="K117" s="67"/>
      <c r="L117" s="67"/>
      <c r="M117" s="67"/>
      <c r="N117" s="67"/>
      <c r="O117" s="67"/>
      <c r="P117" s="67"/>
      <c r="Q117" s="67"/>
      <c r="R117" s="67"/>
      <c r="S117" s="67"/>
      <c r="T117" s="67"/>
      <c r="U117" s="67"/>
      <c r="V117" s="67"/>
      <c r="W117" s="67"/>
      <c r="X117" s="67"/>
      <c r="Y117" s="67"/>
      <c r="Z117" s="67"/>
    </row>
    <row r="118">
      <c r="A118" s="135"/>
      <c r="B118" s="125"/>
      <c r="C118" s="125"/>
      <c r="D118" s="125"/>
      <c r="E118" s="125"/>
      <c r="F118" s="146"/>
      <c r="G118" s="67"/>
      <c r="H118" s="67"/>
      <c r="I118" s="67"/>
      <c r="J118" s="67"/>
      <c r="K118" s="67"/>
      <c r="L118" s="67"/>
      <c r="M118" s="67"/>
      <c r="N118" s="67"/>
      <c r="O118" s="67"/>
      <c r="P118" s="67"/>
      <c r="Q118" s="67"/>
      <c r="R118" s="67"/>
      <c r="S118" s="67"/>
      <c r="T118" s="67"/>
      <c r="U118" s="67"/>
      <c r="V118" s="67"/>
      <c r="W118" s="67"/>
      <c r="X118" s="67"/>
      <c r="Y118" s="67"/>
      <c r="Z118" s="67"/>
    </row>
    <row r="119">
      <c r="A119" s="136"/>
      <c r="B119" s="131"/>
      <c r="C119" s="131"/>
      <c r="D119" s="131"/>
      <c r="E119" s="131"/>
      <c r="F119" s="144"/>
      <c r="G119" s="67"/>
      <c r="H119" s="67"/>
      <c r="I119" s="67"/>
      <c r="J119" s="67"/>
      <c r="K119" s="67"/>
      <c r="L119" s="67"/>
      <c r="M119" s="67"/>
      <c r="N119" s="67"/>
      <c r="O119" s="67"/>
      <c r="P119" s="67"/>
      <c r="Q119" s="67"/>
      <c r="R119" s="67"/>
      <c r="S119" s="67"/>
      <c r="T119" s="67"/>
      <c r="U119" s="67"/>
      <c r="V119" s="67"/>
      <c r="W119" s="67"/>
      <c r="X119" s="67"/>
      <c r="Y119" s="67"/>
      <c r="Z119" s="67"/>
    </row>
    <row r="120">
      <c r="A120" s="135"/>
      <c r="B120" s="125"/>
      <c r="C120" s="125"/>
      <c r="D120" s="125"/>
      <c r="E120" s="125"/>
      <c r="F120" s="146"/>
      <c r="G120" s="67"/>
      <c r="H120" s="67"/>
      <c r="I120" s="67"/>
      <c r="J120" s="67"/>
      <c r="K120" s="67"/>
      <c r="L120" s="67"/>
      <c r="M120" s="67"/>
      <c r="N120" s="67"/>
      <c r="O120" s="67"/>
      <c r="P120" s="67"/>
      <c r="Q120" s="67"/>
      <c r="R120" s="67"/>
      <c r="S120" s="67"/>
      <c r="T120" s="67"/>
      <c r="U120" s="67"/>
      <c r="V120" s="67"/>
      <c r="W120" s="67"/>
      <c r="X120" s="67"/>
      <c r="Y120" s="67"/>
      <c r="Z120" s="67"/>
    </row>
    <row r="121">
      <c r="A121" s="136"/>
      <c r="B121" s="131"/>
      <c r="C121" s="131"/>
      <c r="D121" s="131"/>
      <c r="E121" s="131"/>
      <c r="F121" s="144"/>
      <c r="G121" s="67"/>
      <c r="H121" s="67"/>
      <c r="I121" s="67"/>
      <c r="J121" s="67"/>
      <c r="K121" s="67"/>
      <c r="L121" s="67"/>
      <c r="M121" s="67"/>
      <c r="N121" s="67"/>
      <c r="O121" s="67"/>
      <c r="P121" s="67"/>
      <c r="Q121" s="67"/>
      <c r="R121" s="67"/>
      <c r="S121" s="67"/>
      <c r="T121" s="67"/>
      <c r="U121" s="67"/>
      <c r="V121" s="67"/>
      <c r="W121" s="67"/>
      <c r="X121" s="67"/>
      <c r="Y121" s="67"/>
      <c r="Z121" s="67"/>
    </row>
    <row r="122">
      <c r="A122" s="135"/>
      <c r="B122" s="125"/>
      <c r="C122" s="125"/>
      <c r="D122" s="125"/>
      <c r="E122" s="125"/>
      <c r="F122" s="146"/>
      <c r="G122" s="67"/>
      <c r="H122" s="67"/>
      <c r="I122" s="67"/>
      <c r="J122" s="67"/>
      <c r="K122" s="67"/>
      <c r="L122" s="67"/>
      <c r="M122" s="67"/>
      <c r="N122" s="67"/>
      <c r="O122" s="67"/>
      <c r="P122" s="67"/>
      <c r="Q122" s="67"/>
      <c r="R122" s="67"/>
      <c r="S122" s="67"/>
      <c r="T122" s="67"/>
      <c r="U122" s="67"/>
      <c r="V122" s="67"/>
      <c r="W122" s="67"/>
      <c r="X122" s="67"/>
      <c r="Y122" s="67"/>
      <c r="Z122" s="67"/>
    </row>
    <row r="123">
      <c r="A123" s="136"/>
      <c r="B123" s="131"/>
      <c r="C123" s="131"/>
      <c r="D123" s="131"/>
      <c r="E123" s="131"/>
      <c r="F123" s="144"/>
      <c r="G123" s="67"/>
      <c r="H123" s="67"/>
      <c r="I123" s="67"/>
      <c r="J123" s="67"/>
      <c r="K123" s="67"/>
      <c r="L123" s="67"/>
      <c r="M123" s="67"/>
      <c r="N123" s="67"/>
      <c r="O123" s="67"/>
      <c r="P123" s="67"/>
      <c r="Q123" s="67"/>
      <c r="R123" s="67"/>
      <c r="S123" s="67"/>
      <c r="T123" s="67"/>
      <c r="U123" s="67"/>
      <c r="V123" s="67"/>
      <c r="W123" s="67"/>
      <c r="X123" s="67"/>
      <c r="Y123" s="67"/>
      <c r="Z123" s="67"/>
    </row>
    <row r="124">
      <c r="A124" s="135"/>
      <c r="B124" s="125"/>
      <c r="C124" s="125"/>
      <c r="D124" s="125"/>
      <c r="E124" s="125"/>
      <c r="F124" s="146"/>
      <c r="G124" s="67"/>
      <c r="H124" s="67"/>
      <c r="I124" s="67"/>
      <c r="J124" s="67"/>
      <c r="K124" s="67"/>
      <c r="L124" s="67"/>
      <c r="M124" s="67"/>
      <c r="N124" s="67"/>
      <c r="O124" s="67"/>
      <c r="P124" s="67"/>
      <c r="Q124" s="67"/>
      <c r="R124" s="67"/>
      <c r="S124" s="67"/>
      <c r="T124" s="67"/>
      <c r="U124" s="67"/>
      <c r="V124" s="67"/>
      <c r="W124" s="67"/>
      <c r="X124" s="67"/>
      <c r="Y124" s="67"/>
      <c r="Z124" s="67"/>
    </row>
    <row r="125">
      <c r="A125" s="136"/>
      <c r="B125" s="131"/>
      <c r="C125" s="131"/>
      <c r="D125" s="131"/>
      <c r="E125" s="131"/>
      <c r="F125" s="144"/>
      <c r="G125" s="67"/>
      <c r="H125" s="67"/>
      <c r="I125" s="67"/>
      <c r="J125" s="67"/>
      <c r="K125" s="67"/>
      <c r="L125" s="67"/>
      <c r="M125" s="67"/>
      <c r="N125" s="67"/>
      <c r="O125" s="67"/>
      <c r="P125" s="67"/>
      <c r="Q125" s="67"/>
      <c r="R125" s="67"/>
      <c r="S125" s="67"/>
      <c r="T125" s="67"/>
      <c r="U125" s="67"/>
      <c r="V125" s="67"/>
      <c r="W125" s="67"/>
      <c r="X125" s="67"/>
      <c r="Y125" s="67"/>
      <c r="Z125" s="67"/>
    </row>
    <row r="126">
      <c r="A126" s="135"/>
      <c r="B126" s="125"/>
      <c r="C126" s="125"/>
      <c r="D126" s="125"/>
      <c r="E126" s="125"/>
      <c r="F126" s="146"/>
      <c r="G126" s="67"/>
      <c r="H126" s="67"/>
      <c r="I126" s="67"/>
      <c r="J126" s="67"/>
      <c r="K126" s="67"/>
      <c r="L126" s="67"/>
      <c r="M126" s="67"/>
      <c r="N126" s="67"/>
      <c r="O126" s="67"/>
      <c r="P126" s="67"/>
      <c r="Q126" s="67"/>
      <c r="R126" s="67"/>
      <c r="S126" s="67"/>
      <c r="T126" s="67"/>
      <c r="U126" s="67"/>
      <c r="V126" s="67"/>
      <c r="W126" s="67"/>
      <c r="X126" s="67"/>
      <c r="Y126" s="67"/>
      <c r="Z126" s="67"/>
    </row>
    <row r="127">
      <c r="A127" s="136"/>
      <c r="B127" s="131"/>
      <c r="C127" s="131"/>
      <c r="D127" s="131"/>
      <c r="E127" s="131"/>
      <c r="F127" s="144"/>
      <c r="G127" s="67"/>
      <c r="H127" s="67"/>
      <c r="I127" s="67"/>
      <c r="J127" s="67"/>
      <c r="K127" s="67"/>
      <c r="L127" s="67"/>
      <c r="M127" s="67"/>
      <c r="N127" s="67"/>
      <c r="O127" s="67"/>
      <c r="P127" s="67"/>
      <c r="Q127" s="67"/>
      <c r="R127" s="67"/>
      <c r="S127" s="67"/>
      <c r="T127" s="67"/>
      <c r="U127" s="67"/>
      <c r="V127" s="67"/>
      <c r="W127" s="67"/>
      <c r="X127" s="67"/>
      <c r="Y127" s="67"/>
      <c r="Z127" s="67"/>
    </row>
    <row r="128">
      <c r="A128" s="135"/>
      <c r="B128" s="125"/>
      <c r="C128" s="125"/>
      <c r="D128" s="125"/>
      <c r="E128" s="125"/>
      <c r="F128" s="146"/>
      <c r="G128" s="67"/>
      <c r="H128" s="67"/>
      <c r="I128" s="67"/>
      <c r="J128" s="67"/>
      <c r="K128" s="67"/>
      <c r="L128" s="67"/>
      <c r="M128" s="67"/>
      <c r="N128" s="67"/>
      <c r="O128" s="67"/>
      <c r="P128" s="67"/>
      <c r="Q128" s="67"/>
      <c r="R128" s="67"/>
      <c r="S128" s="67"/>
      <c r="T128" s="67"/>
      <c r="U128" s="67"/>
      <c r="V128" s="67"/>
      <c r="W128" s="67"/>
      <c r="X128" s="67"/>
      <c r="Y128" s="67"/>
      <c r="Z128" s="67"/>
    </row>
    <row r="129">
      <c r="A129" s="136"/>
      <c r="B129" s="131"/>
      <c r="C129" s="131"/>
      <c r="D129" s="131"/>
      <c r="E129" s="131"/>
      <c r="F129" s="144"/>
      <c r="G129" s="67"/>
      <c r="H129" s="67"/>
      <c r="I129" s="67"/>
      <c r="J129" s="67"/>
      <c r="K129" s="67"/>
      <c r="L129" s="67"/>
      <c r="M129" s="67"/>
      <c r="N129" s="67"/>
      <c r="O129" s="67"/>
      <c r="P129" s="67"/>
      <c r="Q129" s="67"/>
      <c r="R129" s="67"/>
      <c r="S129" s="67"/>
      <c r="T129" s="67"/>
      <c r="U129" s="67"/>
      <c r="V129" s="67"/>
      <c r="W129" s="67"/>
      <c r="X129" s="67"/>
      <c r="Y129" s="67"/>
      <c r="Z129" s="67"/>
    </row>
    <row r="130">
      <c r="A130" s="135"/>
      <c r="B130" s="125"/>
      <c r="C130" s="125"/>
      <c r="D130" s="125"/>
      <c r="E130" s="125"/>
      <c r="F130" s="146"/>
      <c r="G130" s="67"/>
      <c r="H130" s="67"/>
      <c r="I130" s="67"/>
      <c r="J130" s="67"/>
      <c r="K130" s="67"/>
      <c r="L130" s="67"/>
      <c r="M130" s="67"/>
      <c r="N130" s="67"/>
      <c r="O130" s="67"/>
      <c r="P130" s="67"/>
      <c r="Q130" s="67"/>
      <c r="R130" s="67"/>
      <c r="S130" s="67"/>
      <c r="T130" s="67"/>
      <c r="U130" s="67"/>
      <c r="V130" s="67"/>
      <c r="W130" s="67"/>
      <c r="X130" s="67"/>
      <c r="Y130" s="67"/>
      <c r="Z130" s="67"/>
    </row>
    <row r="131">
      <c r="A131" s="136"/>
      <c r="B131" s="131"/>
      <c r="C131" s="131"/>
      <c r="D131" s="131"/>
      <c r="E131" s="131"/>
      <c r="F131" s="144"/>
      <c r="G131" s="67"/>
      <c r="H131" s="67"/>
      <c r="I131" s="67"/>
      <c r="J131" s="67"/>
      <c r="K131" s="67"/>
      <c r="L131" s="67"/>
      <c r="M131" s="67"/>
      <c r="N131" s="67"/>
      <c r="O131" s="67"/>
      <c r="P131" s="67"/>
      <c r="Q131" s="67"/>
      <c r="R131" s="67"/>
      <c r="S131" s="67"/>
      <c r="T131" s="67"/>
      <c r="U131" s="67"/>
      <c r="V131" s="67"/>
      <c r="W131" s="67"/>
      <c r="X131" s="67"/>
      <c r="Y131" s="67"/>
      <c r="Z131" s="67"/>
    </row>
    <row r="132">
      <c r="A132" s="135"/>
      <c r="B132" s="125"/>
      <c r="C132" s="125"/>
      <c r="D132" s="125"/>
      <c r="E132" s="125"/>
      <c r="F132" s="146"/>
      <c r="G132" s="67"/>
      <c r="H132" s="67"/>
      <c r="I132" s="67"/>
      <c r="J132" s="67"/>
      <c r="K132" s="67"/>
      <c r="L132" s="67"/>
      <c r="M132" s="67"/>
      <c r="N132" s="67"/>
      <c r="O132" s="67"/>
      <c r="P132" s="67"/>
      <c r="Q132" s="67"/>
      <c r="R132" s="67"/>
      <c r="S132" s="67"/>
      <c r="T132" s="67"/>
      <c r="U132" s="67"/>
      <c r="V132" s="67"/>
      <c r="W132" s="67"/>
      <c r="X132" s="67"/>
      <c r="Y132" s="67"/>
      <c r="Z132" s="67"/>
    </row>
    <row r="133">
      <c r="A133" s="136"/>
      <c r="B133" s="131"/>
      <c r="C133" s="131"/>
      <c r="D133" s="131"/>
      <c r="E133" s="131"/>
      <c r="F133" s="144"/>
      <c r="G133" s="67"/>
      <c r="H133" s="67"/>
      <c r="I133" s="67"/>
      <c r="J133" s="67"/>
      <c r="K133" s="67"/>
      <c r="L133" s="67"/>
      <c r="M133" s="67"/>
      <c r="N133" s="67"/>
      <c r="O133" s="67"/>
      <c r="P133" s="67"/>
      <c r="Q133" s="67"/>
      <c r="R133" s="67"/>
      <c r="S133" s="67"/>
      <c r="T133" s="67"/>
      <c r="U133" s="67"/>
      <c r="V133" s="67"/>
      <c r="W133" s="67"/>
      <c r="X133" s="67"/>
      <c r="Y133" s="67"/>
      <c r="Z133" s="67"/>
    </row>
    <row r="134">
      <c r="A134" s="135"/>
      <c r="B134" s="125"/>
      <c r="C134" s="125"/>
      <c r="D134" s="125"/>
      <c r="E134" s="125"/>
      <c r="F134" s="146"/>
      <c r="G134" s="67"/>
      <c r="H134" s="67"/>
      <c r="I134" s="67"/>
      <c r="J134" s="67"/>
      <c r="K134" s="67"/>
      <c r="L134" s="67"/>
      <c r="M134" s="67"/>
      <c r="N134" s="67"/>
      <c r="O134" s="67"/>
      <c r="P134" s="67"/>
      <c r="Q134" s="67"/>
      <c r="R134" s="67"/>
      <c r="S134" s="67"/>
      <c r="T134" s="67"/>
      <c r="U134" s="67"/>
      <c r="V134" s="67"/>
      <c r="W134" s="67"/>
      <c r="X134" s="67"/>
      <c r="Y134" s="67"/>
      <c r="Z134" s="67"/>
    </row>
    <row r="135">
      <c r="A135" s="136"/>
      <c r="B135" s="131"/>
      <c r="C135" s="131"/>
      <c r="D135" s="131"/>
      <c r="E135" s="131"/>
      <c r="F135" s="144"/>
      <c r="G135" s="67"/>
      <c r="H135" s="67"/>
      <c r="I135" s="67"/>
      <c r="J135" s="67"/>
      <c r="K135" s="67"/>
      <c r="L135" s="67"/>
      <c r="M135" s="67"/>
      <c r="N135" s="67"/>
      <c r="O135" s="67"/>
      <c r="P135" s="67"/>
      <c r="Q135" s="67"/>
      <c r="R135" s="67"/>
      <c r="S135" s="67"/>
      <c r="T135" s="67"/>
      <c r="U135" s="67"/>
      <c r="V135" s="67"/>
      <c r="W135" s="67"/>
      <c r="X135" s="67"/>
      <c r="Y135" s="67"/>
      <c r="Z135" s="67"/>
    </row>
    <row r="136">
      <c r="A136" s="135"/>
      <c r="B136" s="125"/>
      <c r="C136" s="125"/>
      <c r="D136" s="125"/>
      <c r="E136" s="125"/>
      <c r="F136" s="146"/>
      <c r="G136" s="67"/>
      <c r="H136" s="67"/>
      <c r="I136" s="67"/>
      <c r="J136" s="67"/>
      <c r="K136" s="67"/>
      <c r="L136" s="67"/>
      <c r="M136" s="67"/>
      <c r="N136" s="67"/>
      <c r="O136" s="67"/>
      <c r="P136" s="67"/>
      <c r="Q136" s="67"/>
      <c r="R136" s="67"/>
      <c r="S136" s="67"/>
      <c r="T136" s="67"/>
      <c r="U136" s="67"/>
      <c r="V136" s="67"/>
      <c r="W136" s="67"/>
      <c r="X136" s="67"/>
      <c r="Y136" s="67"/>
      <c r="Z136" s="67"/>
    </row>
    <row r="137">
      <c r="A137" s="136"/>
      <c r="B137" s="131"/>
      <c r="C137" s="131"/>
      <c r="D137" s="131"/>
      <c r="E137" s="131"/>
      <c r="F137" s="144"/>
      <c r="G137" s="67"/>
      <c r="H137" s="67"/>
      <c r="I137" s="67"/>
      <c r="J137" s="67"/>
      <c r="K137" s="67"/>
      <c r="L137" s="67"/>
      <c r="M137" s="67"/>
      <c r="N137" s="67"/>
      <c r="O137" s="67"/>
      <c r="P137" s="67"/>
      <c r="Q137" s="67"/>
      <c r="R137" s="67"/>
      <c r="S137" s="67"/>
      <c r="T137" s="67"/>
      <c r="U137" s="67"/>
      <c r="V137" s="67"/>
      <c r="W137" s="67"/>
      <c r="X137" s="67"/>
      <c r="Y137" s="67"/>
      <c r="Z137" s="67"/>
    </row>
    <row r="138">
      <c r="A138" s="135"/>
      <c r="B138" s="125"/>
      <c r="C138" s="125"/>
      <c r="D138" s="125"/>
      <c r="E138" s="125"/>
      <c r="F138" s="146"/>
      <c r="G138" s="67"/>
      <c r="H138" s="67"/>
      <c r="I138" s="67"/>
      <c r="J138" s="67"/>
      <c r="K138" s="67"/>
      <c r="L138" s="67"/>
      <c r="M138" s="67"/>
      <c r="N138" s="67"/>
      <c r="O138" s="67"/>
      <c r="P138" s="67"/>
      <c r="Q138" s="67"/>
      <c r="R138" s="67"/>
      <c r="S138" s="67"/>
      <c r="T138" s="67"/>
      <c r="U138" s="67"/>
      <c r="V138" s="67"/>
      <c r="W138" s="67"/>
      <c r="X138" s="67"/>
      <c r="Y138" s="67"/>
      <c r="Z138" s="67"/>
    </row>
    <row r="139">
      <c r="A139" s="136"/>
      <c r="B139" s="131"/>
      <c r="C139" s="131"/>
      <c r="D139" s="131"/>
      <c r="E139" s="131"/>
      <c r="F139" s="144"/>
      <c r="G139" s="67"/>
      <c r="H139" s="67"/>
      <c r="I139" s="67"/>
      <c r="J139" s="67"/>
      <c r="K139" s="67"/>
      <c r="L139" s="67"/>
      <c r="M139" s="67"/>
      <c r="N139" s="67"/>
      <c r="O139" s="67"/>
      <c r="P139" s="67"/>
      <c r="Q139" s="67"/>
      <c r="R139" s="67"/>
      <c r="S139" s="67"/>
      <c r="T139" s="67"/>
      <c r="U139" s="67"/>
      <c r="V139" s="67"/>
      <c r="W139" s="67"/>
      <c r="X139" s="67"/>
      <c r="Y139" s="67"/>
      <c r="Z139" s="67"/>
    </row>
    <row r="140">
      <c r="A140" s="135"/>
      <c r="B140" s="125"/>
      <c r="C140" s="125"/>
      <c r="D140" s="125"/>
      <c r="E140" s="125"/>
      <c r="F140" s="146"/>
      <c r="G140" s="67"/>
      <c r="H140" s="67"/>
      <c r="I140" s="67"/>
      <c r="J140" s="67"/>
      <c r="K140" s="67"/>
      <c r="L140" s="67"/>
      <c r="M140" s="67"/>
      <c r="N140" s="67"/>
      <c r="O140" s="67"/>
      <c r="P140" s="67"/>
      <c r="Q140" s="67"/>
      <c r="R140" s="67"/>
      <c r="S140" s="67"/>
      <c r="T140" s="67"/>
      <c r="U140" s="67"/>
      <c r="V140" s="67"/>
      <c r="W140" s="67"/>
      <c r="X140" s="67"/>
      <c r="Y140" s="67"/>
      <c r="Z140" s="67"/>
    </row>
    <row r="141">
      <c r="A141" s="136"/>
      <c r="B141" s="131"/>
      <c r="C141" s="131"/>
      <c r="D141" s="131"/>
      <c r="E141" s="131"/>
      <c r="F141" s="144"/>
      <c r="G141" s="67"/>
      <c r="H141" s="67"/>
      <c r="I141" s="67"/>
      <c r="J141" s="67"/>
      <c r="K141" s="67"/>
      <c r="L141" s="67"/>
      <c r="M141" s="67"/>
      <c r="N141" s="67"/>
      <c r="O141" s="67"/>
      <c r="P141" s="67"/>
      <c r="Q141" s="67"/>
      <c r="R141" s="67"/>
      <c r="S141" s="67"/>
      <c r="T141" s="67"/>
      <c r="U141" s="67"/>
      <c r="V141" s="67"/>
      <c r="W141" s="67"/>
      <c r="X141" s="67"/>
      <c r="Y141" s="67"/>
      <c r="Z141" s="67"/>
    </row>
    <row r="142">
      <c r="A142" s="135"/>
      <c r="B142" s="125"/>
      <c r="C142" s="125"/>
      <c r="D142" s="125"/>
      <c r="E142" s="125"/>
      <c r="F142" s="146"/>
      <c r="G142" s="67"/>
      <c r="H142" s="67"/>
      <c r="I142" s="67"/>
      <c r="J142" s="67"/>
      <c r="K142" s="67"/>
      <c r="L142" s="67"/>
      <c r="M142" s="67"/>
      <c r="N142" s="67"/>
      <c r="O142" s="67"/>
      <c r="P142" s="67"/>
      <c r="Q142" s="67"/>
      <c r="R142" s="67"/>
      <c r="S142" s="67"/>
      <c r="T142" s="67"/>
      <c r="U142" s="67"/>
      <c r="V142" s="67"/>
      <c r="W142" s="67"/>
      <c r="X142" s="67"/>
      <c r="Y142" s="67"/>
      <c r="Z142" s="67"/>
    </row>
    <row r="143">
      <c r="A143" s="136"/>
      <c r="B143" s="131"/>
      <c r="C143" s="131"/>
      <c r="D143" s="131"/>
      <c r="E143" s="131"/>
      <c r="F143" s="144"/>
      <c r="G143" s="67"/>
      <c r="H143" s="67"/>
      <c r="I143" s="67"/>
      <c r="J143" s="67"/>
      <c r="K143" s="67"/>
      <c r="L143" s="67"/>
      <c r="M143" s="67"/>
      <c r="N143" s="67"/>
      <c r="O143" s="67"/>
      <c r="P143" s="67"/>
      <c r="Q143" s="67"/>
      <c r="R143" s="67"/>
      <c r="S143" s="67"/>
      <c r="T143" s="67"/>
      <c r="U143" s="67"/>
      <c r="V143" s="67"/>
      <c r="W143" s="67"/>
      <c r="X143" s="67"/>
      <c r="Y143" s="67"/>
      <c r="Z143" s="67"/>
    </row>
    <row r="144">
      <c r="A144" s="135"/>
      <c r="B144" s="125"/>
      <c r="C144" s="125"/>
      <c r="D144" s="125"/>
      <c r="E144" s="125"/>
      <c r="F144" s="146"/>
      <c r="G144" s="67"/>
      <c r="H144" s="67"/>
      <c r="I144" s="67"/>
      <c r="J144" s="67"/>
      <c r="K144" s="67"/>
      <c r="L144" s="67"/>
      <c r="M144" s="67"/>
      <c r="N144" s="67"/>
      <c r="O144" s="67"/>
      <c r="P144" s="67"/>
      <c r="Q144" s="67"/>
      <c r="R144" s="67"/>
      <c r="S144" s="67"/>
      <c r="T144" s="67"/>
      <c r="U144" s="67"/>
      <c r="V144" s="67"/>
      <c r="W144" s="67"/>
      <c r="X144" s="67"/>
      <c r="Y144" s="67"/>
      <c r="Z144" s="67"/>
    </row>
    <row r="145">
      <c r="A145" s="136"/>
      <c r="B145" s="131"/>
      <c r="C145" s="131"/>
      <c r="D145" s="131"/>
      <c r="E145" s="131"/>
      <c r="F145" s="144"/>
      <c r="G145" s="67"/>
      <c r="H145" s="67"/>
      <c r="I145" s="67"/>
      <c r="J145" s="67"/>
      <c r="K145" s="67"/>
      <c r="L145" s="67"/>
      <c r="M145" s="67"/>
      <c r="N145" s="67"/>
      <c r="O145" s="67"/>
      <c r="P145" s="67"/>
      <c r="Q145" s="67"/>
      <c r="R145" s="67"/>
      <c r="S145" s="67"/>
      <c r="T145" s="67"/>
      <c r="U145" s="67"/>
      <c r="V145" s="67"/>
      <c r="W145" s="67"/>
      <c r="X145" s="67"/>
      <c r="Y145" s="67"/>
      <c r="Z145" s="67"/>
    </row>
    <row r="146">
      <c r="A146" s="135"/>
      <c r="B146" s="125"/>
      <c r="C146" s="125"/>
      <c r="D146" s="125"/>
      <c r="E146" s="125"/>
      <c r="F146" s="146"/>
      <c r="G146" s="67"/>
      <c r="H146" s="67"/>
      <c r="I146" s="67"/>
      <c r="J146" s="67"/>
      <c r="K146" s="67"/>
      <c r="L146" s="67"/>
      <c r="M146" s="67"/>
      <c r="N146" s="67"/>
      <c r="O146" s="67"/>
      <c r="P146" s="67"/>
      <c r="Q146" s="67"/>
      <c r="R146" s="67"/>
      <c r="S146" s="67"/>
      <c r="T146" s="67"/>
      <c r="U146" s="67"/>
      <c r="V146" s="67"/>
      <c r="W146" s="67"/>
      <c r="X146" s="67"/>
      <c r="Y146" s="67"/>
      <c r="Z146" s="67"/>
    </row>
    <row r="147">
      <c r="A147" s="136"/>
      <c r="B147" s="131"/>
      <c r="C147" s="131"/>
      <c r="D147" s="131"/>
      <c r="E147" s="131"/>
      <c r="F147" s="144"/>
      <c r="G147" s="67"/>
      <c r="H147" s="67"/>
      <c r="I147" s="67"/>
      <c r="J147" s="67"/>
      <c r="K147" s="67"/>
      <c r="L147" s="67"/>
      <c r="M147" s="67"/>
      <c r="N147" s="67"/>
      <c r="O147" s="67"/>
      <c r="P147" s="67"/>
      <c r="Q147" s="67"/>
      <c r="R147" s="67"/>
      <c r="S147" s="67"/>
      <c r="T147" s="67"/>
      <c r="U147" s="67"/>
      <c r="V147" s="67"/>
      <c r="W147" s="67"/>
      <c r="X147" s="67"/>
      <c r="Y147" s="67"/>
      <c r="Z147" s="67"/>
    </row>
    <row r="148">
      <c r="A148" s="135"/>
      <c r="B148" s="125"/>
      <c r="C148" s="125"/>
      <c r="D148" s="125"/>
      <c r="E148" s="125"/>
      <c r="F148" s="146"/>
      <c r="G148" s="67"/>
      <c r="H148" s="67"/>
      <c r="I148" s="67"/>
      <c r="J148" s="67"/>
      <c r="K148" s="67"/>
      <c r="L148" s="67"/>
      <c r="M148" s="67"/>
      <c r="N148" s="67"/>
      <c r="O148" s="67"/>
      <c r="P148" s="67"/>
      <c r="Q148" s="67"/>
      <c r="R148" s="67"/>
      <c r="S148" s="67"/>
      <c r="T148" s="67"/>
      <c r="U148" s="67"/>
      <c r="V148" s="67"/>
      <c r="W148" s="67"/>
      <c r="X148" s="67"/>
      <c r="Y148" s="67"/>
      <c r="Z148" s="67"/>
    </row>
    <row r="149">
      <c r="A149" s="136"/>
      <c r="B149" s="131"/>
      <c r="C149" s="131"/>
      <c r="D149" s="131"/>
      <c r="E149" s="131"/>
      <c r="F149" s="144"/>
      <c r="G149" s="67"/>
      <c r="H149" s="67"/>
      <c r="I149" s="67"/>
      <c r="J149" s="67"/>
      <c r="K149" s="67"/>
      <c r="L149" s="67"/>
      <c r="M149" s="67"/>
      <c r="N149" s="67"/>
      <c r="O149" s="67"/>
      <c r="P149" s="67"/>
      <c r="Q149" s="67"/>
      <c r="R149" s="67"/>
      <c r="S149" s="67"/>
      <c r="T149" s="67"/>
      <c r="U149" s="67"/>
      <c r="V149" s="67"/>
      <c r="W149" s="67"/>
      <c r="X149" s="67"/>
      <c r="Y149" s="67"/>
      <c r="Z149" s="67"/>
    </row>
    <row r="150">
      <c r="A150" s="135"/>
      <c r="B150" s="125"/>
      <c r="C150" s="125"/>
      <c r="D150" s="125"/>
      <c r="E150" s="125"/>
      <c r="F150" s="146"/>
      <c r="G150" s="67"/>
      <c r="H150" s="67"/>
      <c r="I150" s="67"/>
      <c r="J150" s="67"/>
      <c r="K150" s="67"/>
      <c r="L150" s="67"/>
      <c r="M150" s="67"/>
      <c r="N150" s="67"/>
      <c r="O150" s="67"/>
      <c r="P150" s="67"/>
      <c r="Q150" s="67"/>
      <c r="R150" s="67"/>
      <c r="S150" s="67"/>
      <c r="T150" s="67"/>
      <c r="U150" s="67"/>
      <c r="V150" s="67"/>
      <c r="W150" s="67"/>
      <c r="X150" s="67"/>
      <c r="Y150" s="67"/>
      <c r="Z150" s="67"/>
    </row>
    <row r="151">
      <c r="A151" s="136"/>
      <c r="B151" s="131"/>
      <c r="C151" s="131"/>
      <c r="D151" s="131"/>
      <c r="E151" s="131"/>
      <c r="F151" s="144"/>
      <c r="G151" s="67"/>
      <c r="H151" s="67"/>
      <c r="I151" s="67"/>
      <c r="J151" s="67"/>
      <c r="K151" s="67"/>
      <c r="L151" s="67"/>
      <c r="M151" s="67"/>
      <c r="N151" s="67"/>
      <c r="O151" s="67"/>
      <c r="P151" s="67"/>
      <c r="Q151" s="67"/>
      <c r="R151" s="67"/>
      <c r="S151" s="67"/>
      <c r="T151" s="67"/>
      <c r="U151" s="67"/>
      <c r="V151" s="67"/>
      <c r="W151" s="67"/>
      <c r="X151" s="67"/>
      <c r="Y151" s="67"/>
      <c r="Z151" s="67"/>
    </row>
    <row r="152">
      <c r="A152" s="135"/>
      <c r="B152" s="125"/>
      <c r="C152" s="125"/>
      <c r="D152" s="125"/>
      <c r="E152" s="125"/>
      <c r="F152" s="146"/>
      <c r="G152" s="67"/>
      <c r="H152" s="67"/>
      <c r="I152" s="67"/>
      <c r="J152" s="67"/>
      <c r="K152" s="67"/>
      <c r="L152" s="67"/>
      <c r="M152" s="67"/>
      <c r="N152" s="67"/>
      <c r="O152" s="67"/>
      <c r="P152" s="67"/>
      <c r="Q152" s="67"/>
      <c r="R152" s="67"/>
      <c r="S152" s="67"/>
      <c r="T152" s="67"/>
      <c r="U152" s="67"/>
      <c r="V152" s="67"/>
      <c r="W152" s="67"/>
      <c r="X152" s="67"/>
      <c r="Y152" s="67"/>
      <c r="Z152" s="67"/>
    </row>
    <row r="153">
      <c r="A153" s="136"/>
      <c r="B153" s="131"/>
      <c r="C153" s="131"/>
      <c r="D153" s="131"/>
      <c r="E153" s="131"/>
      <c r="F153" s="144"/>
      <c r="G153" s="67"/>
      <c r="H153" s="67"/>
      <c r="I153" s="67"/>
      <c r="J153" s="67"/>
      <c r="K153" s="67"/>
      <c r="L153" s="67"/>
      <c r="M153" s="67"/>
      <c r="N153" s="67"/>
      <c r="O153" s="67"/>
      <c r="P153" s="67"/>
      <c r="Q153" s="67"/>
      <c r="R153" s="67"/>
      <c r="S153" s="67"/>
      <c r="T153" s="67"/>
      <c r="U153" s="67"/>
      <c r="V153" s="67"/>
      <c r="W153" s="67"/>
      <c r="X153" s="67"/>
      <c r="Y153" s="67"/>
      <c r="Z153" s="67"/>
    </row>
    <row r="154">
      <c r="A154" s="135"/>
      <c r="B154" s="125"/>
      <c r="C154" s="125"/>
      <c r="D154" s="125"/>
      <c r="E154" s="125"/>
      <c r="F154" s="146"/>
      <c r="G154" s="67"/>
      <c r="H154" s="67"/>
      <c r="I154" s="67"/>
      <c r="J154" s="67"/>
      <c r="K154" s="67"/>
      <c r="L154" s="67"/>
      <c r="M154" s="67"/>
      <c r="N154" s="67"/>
      <c r="O154" s="67"/>
      <c r="P154" s="67"/>
      <c r="Q154" s="67"/>
      <c r="R154" s="67"/>
      <c r="S154" s="67"/>
      <c r="T154" s="67"/>
      <c r="U154" s="67"/>
      <c r="V154" s="67"/>
      <c r="W154" s="67"/>
      <c r="X154" s="67"/>
      <c r="Y154" s="67"/>
      <c r="Z154" s="67"/>
    </row>
    <row r="155">
      <c r="A155" s="136"/>
      <c r="B155" s="131"/>
      <c r="C155" s="131"/>
      <c r="D155" s="131"/>
      <c r="E155" s="131"/>
      <c r="F155" s="144"/>
      <c r="G155" s="67"/>
      <c r="H155" s="67"/>
      <c r="I155" s="67"/>
      <c r="J155" s="67"/>
      <c r="K155" s="67"/>
      <c r="L155" s="67"/>
      <c r="M155" s="67"/>
      <c r="N155" s="67"/>
      <c r="O155" s="67"/>
      <c r="P155" s="67"/>
      <c r="Q155" s="67"/>
      <c r="R155" s="67"/>
      <c r="S155" s="67"/>
      <c r="T155" s="67"/>
      <c r="U155" s="67"/>
      <c r="V155" s="67"/>
      <c r="W155" s="67"/>
      <c r="X155" s="67"/>
      <c r="Y155" s="67"/>
      <c r="Z155" s="67"/>
    </row>
    <row r="156">
      <c r="A156" s="135"/>
      <c r="B156" s="125"/>
      <c r="C156" s="125"/>
      <c r="D156" s="125"/>
      <c r="E156" s="125"/>
      <c r="F156" s="146"/>
      <c r="G156" s="67"/>
      <c r="H156" s="67"/>
      <c r="I156" s="67"/>
      <c r="J156" s="67"/>
      <c r="K156" s="67"/>
      <c r="L156" s="67"/>
      <c r="M156" s="67"/>
      <c r="N156" s="67"/>
      <c r="O156" s="67"/>
      <c r="P156" s="67"/>
      <c r="Q156" s="67"/>
      <c r="R156" s="67"/>
      <c r="S156" s="67"/>
      <c r="T156" s="67"/>
      <c r="U156" s="67"/>
      <c r="V156" s="67"/>
      <c r="W156" s="67"/>
      <c r="X156" s="67"/>
      <c r="Y156" s="67"/>
      <c r="Z156" s="67"/>
    </row>
    <row r="157">
      <c r="A157" s="136"/>
      <c r="B157" s="131"/>
      <c r="C157" s="131"/>
      <c r="D157" s="131"/>
      <c r="E157" s="131"/>
      <c r="F157" s="144"/>
      <c r="G157" s="67"/>
      <c r="H157" s="67"/>
      <c r="I157" s="67"/>
      <c r="J157" s="67"/>
      <c r="K157" s="67"/>
      <c r="L157" s="67"/>
      <c r="M157" s="67"/>
      <c r="N157" s="67"/>
      <c r="O157" s="67"/>
      <c r="P157" s="67"/>
      <c r="Q157" s="67"/>
      <c r="R157" s="67"/>
      <c r="S157" s="67"/>
      <c r="T157" s="67"/>
      <c r="U157" s="67"/>
      <c r="V157" s="67"/>
      <c r="W157" s="67"/>
      <c r="X157" s="67"/>
      <c r="Y157" s="67"/>
      <c r="Z157" s="67"/>
    </row>
    <row r="158">
      <c r="A158" s="135"/>
      <c r="B158" s="125"/>
      <c r="C158" s="125"/>
      <c r="D158" s="125"/>
      <c r="E158" s="125"/>
      <c r="F158" s="146"/>
      <c r="G158" s="67"/>
      <c r="H158" s="67"/>
      <c r="I158" s="67"/>
      <c r="J158" s="67"/>
      <c r="K158" s="67"/>
      <c r="L158" s="67"/>
      <c r="M158" s="67"/>
      <c r="N158" s="67"/>
      <c r="O158" s="67"/>
      <c r="P158" s="67"/>
      <c r="Q158" s="67"/>
      <c r="R158" s="67"/>
      <c r="S158" s="67"/>
      <c r="T158" s="67"/>
      <c r="U158" s="67"/>
      <c r="V158" s="67"/>
      <c r="W158" s="67"/>
      <c r="X158" s="67"/>
      <c r="Y158" s="67"/>
      <c r="Z158" s="67"/>
    </row>
    <row r="159">
      <c r="A159" s="136"/>
      <c r="B159" s="131"/>
      <c r="C159" s="131"/>
      <c r="D159" s="131"/>
      <c r="E159" s="131"/>
      <c r="F159" s="144"/>
      <c r="G159" s="67"/>
      <c r="H159" s="67"/>
      <c r="I159" s="67"/>
      <c r="J159" s="67"/>
      <c r="K159" s="67"/>
      <c r="L159" s="67"/>
      <c r="M159" s="67"/>
      <c r="N159" s="67"/>
      <c r="O159" s="67"/>
      <c r="P159" s="67"/>
      <c r="Q159" s="67"/>
      <c r="R159" s="67"/>
      <c r="S159" s="67"/>
      <c r="T159" s="67"/>
      <c r="U159" s="67"/>
      <c r="V159" s="67"/>
      <c r="W159" s="67"/>
      <c r="X159" s="67"/>
      <c r="Y159" s="67"/>
      <c r="Z159" s="67"/>
    </row>
    <row r="160">
      <c r="A160" s="135"/>
      <c r="B160" s="125"/>
      <c r="C160" s="125"/>
      <c r="D160" s="125"/>
      <c r="E160" s="125"/>
      <c r="F160" s="146"/>
      <c r="G160" s="67"/>
      <c r="H160" s="67"/>
      <c r="I160" s="67"/>
      <c r="J160" s="67"/>
      <c r="K160" s="67"/>
      <c r="L160" s="67"/>
      <c r="M160" s="67"/>
      <c r="N160" s="67"/>
      <c r="O160" s="67"/>
      <c r="P160" s="67"/>
      <c r="Q160" s="67"/>
      <c r="R160" s="67"/>
      <c r="S160" s="67"/>
      <c r="T160" s="67"/>
      <c r="U160" s="67"/>
      <c r="V160" s="67"/>
      <c r="W160" s="67"/>
      <c r="X160" s="67"/>
      <c r="Y160" s="67"/>
      <c r="Z160" s="67"/>
    </row>
    <row r="161">
      <c r="A161" s="136"/>
      <c r="B161" s="131"/>
      <c r="C161" s="131"/>
      <c r="D161" s="131"/>
      <c r="E161" s="131"/>
      <c r="F161" s="144"/>
      <c r="G161" s="67"/>
      <c r="H161" s="67"/>
      <c r="I161" s="67"/>
      <c r="J161" s="67"/>
      <c r="K161" s="67"/>
      <c r="L161" s="67"/>
      <c r="M161" s="67"/>
      <c r="N161" s="67"/>
      <c r="O161" s="67"/>
      <c r="P161" s="67"/>
      <c r="Q161" s="67"/>
      <c r="R161" s="67"/>
      <c r="S161" s="67"/>
      <c r="T161" s="67"/>
      <c r="U161" s="67"/>
      <c r="V161" s="67"/>
      <c r="W161" s="67"/>
      <c r="X161" s="67"/>
      <c r="Y161" s="67"/>
      <c r="Z161" s="67"/>
    </row>
    <row r="162">
      <c r="A162" s="135"/>
      <c r="B162" s="125"/>
      <c r="C162" s="125"/>
      <c r="D162" s="125"/>
      <c r="E162" s="125"/>
      <c r="F162" s="146"/>
      <c r="G162" s="67"/>
      <c r="H162" s="67"/>
      <c r="I162" s="67"/>
      <c r="J162" s="67"/>
      <c r="K162" s="67"/>
      <c r="L162" s="67"/>
      <c r="M162" s="67"/>
      <c r="N162" s="67"/>
      <c r="O162" s="67"/>
      <c r="P162" s="67"/>
      <c r="Q162" s="67"/>
      <c r="R162" s="67"/>
      <c r="S162" s="67"/>
      <c r="T162" s="67"/>
      <c r="U162" s="67"/>
      <c r="V162" s="67"/>
      <c r="W162" s="67"/>
      <c r="X162" s="67"/>
      <c r="Y162" s="67"/>
      <c r="Z162" s="67"/>
    </row>
    <row r="163">
      <c r="A163" s="136"/>
      <c r="B163" s="131"/>
      <c r="C163" s="131"/>
      <c r="D163" s="131"/>
      <c r="E163" s="131"/>
      <c r="F163" s="144"/>
      <c r="G163" s="67"/>
      <c r="H163" s="67"/>
      <c r="I163" s="67"/>
      <c r="J163" s="67"/>
      <c r="K163" s="67"/>
      <c r="L163" s="67"/>
      <c r="M163" s="67"/>
      <c r="N163" s="67"/>
      <c r="O163" s="67"/>
      <c r="P163" s="67"/>
      <c r="Q163" s="67"/>
      <c r="R163" s="67"/>
      <c r="S163" s="67"/>
      <c r="T163" s="67"/>
      <c r="U163" s="67"/>
      <c r="V163" s="67"/>
      <c r="W163" s="67"/>
      <c r="X163" s="67"/>
      <c r="Y163" s="67"/>
      <c r="Z163" s="67"/>
    </row>
    <row r="164">
      <c r="A164" s="135"/>
      <c r="B164" s="125"/>
      <c r="C164" s="125"/>
      <c r="D164" s="125"/>
      <c r="E164" s="125"/>
      <c r="F164" s="146"/>
      <c r="G164" s="67"/>
      <c r="H164" s="67"/>
      <c r="I164" s="67"/>
      <c r="J164" s="67"/>
      <c r="K164" s="67"/>
      <c r="L164" s="67"/>
      <c r="M164" s="67"/>
      <c r="N164" s="67"/>
      <c r="O164" s="67"/>
      <c r="P164" s="67"/>
      <c r="Q164" s="67"/>
      <c r="R164" s="67"/>
      <c r="S164" s="67"/>
      <c r="T164" s="67"/>
      <c r="U164" s="67"/>
      <c r="V164" s="67"/>
      <c r="W164" s="67"/>
      <c r="X164" s="67"/>
      <c r="Y164" s="67"/>
      <c r="Z164" s="67"/>
    </row>
    <row r="165">
      <c r="A165" s="136"/>
      <c r="B165" s="131"/>
      <c r="C165" s="131"/>
      <c r="D165" s="131"/>
      <c r="E165" s="131"/>
      <c r="F165" s="144"/>
      <c r="G165" s="67"/>
      <c r="H165" s="67"/>
      <c r="I165" s="67"/>
      <c r="J165" s="67"/>
      <c r="K165" s="67"/>
      <c r="L165" s="67"/>
      <c r="M165" s="67"/>
      <c r="N165" s="67"/>
      <c r="O165" s="67"/>
      <c r="P165" s="67"/>
      <c r="Q165" s="67"/>
      <c r="R165" s="67"/>
      <c r="S165" s="67"/>
      <c r="T165" s="67"/>
      <c r="U165" s="67"/>
      <c r="V165" s="67"/>
      <c r="W165" s="67"/>
      <c r="X165" s="67"/>
      <c r="Y165" s="67"/>
      <c r="Z165" s="67"/>
    </row>
    <row r="166">
      <c r="A166" s="135"/>
      <c r="B166" s="125"/>
      <c r="C166" s="125"/>
      <c r="D166" s="125"/>
      <c r="E166" s="125"/>
      <c r="F166" s="146"/>
      <c r="G166" s="67"/>
      <c r="H166" s="67"/>
      <c r="I166" s="67"/>
      <c r="J166" s="67"/>
      <c r="K166" s="67"/>
      <c r="L166" s="67"/>
      <c r="M166" s="67"/>
      <c r="N166" s="67"/>
      <c r="O166" s="67"/>
      <c r="P166" s="67"/>
      <c r="Q166" s="67"/>
      <c r="R166" s="67"/>
      <c r="S166" s="67"/>
      <c r="T166" s="67"/>
      <c r="U166" s="67"/>
      <c r="V166" s="67"/>
      <c r="W166" s="67"/>
      <c r="X166" s="67"/>
      <c r="Y166" s="67"/>
      <c r="Z166" s="67"/>
    </row>
    <row r="167">
      <c r="A167" s="136"/>
      <c r="B167" s="131"/>
      <c r="C167" s="131"/>
      <c r="D167" s="131"/>
      <c r="E167" s="131"/>
      <c r="F167" s="144"/>
      <c r="G167" s="67"/>
      <c r="H167" s="67"/>
      <c r="I167" s="67"/>
      <c r="J167" s="67"/>
      <c r="K167" s="67"/>
      <c r="L167" s="67"/>
      <c r="M167" s="67"/>
      <c r="N167" s="67"/>
      <c r="O167" s="67"/>
      <c r="P167" s="67"/>
      <c r="Q167" s="67"/>
      <c r="R167" s="67"/>
      <c r="S167" s="67"/>
      <c r="T167" s="67"/>
      <c r="U167" s="67"/>
      <c r="V167" s="67"/>
      <c r="W167" s="67"/>
      <c r="X167" s="67"/>
      <c r="Y167" s="67"/>
      <c r="Z167" s="67"/>
    </row>
    <row r="168">
      <c r="A168" s="135"/>
      <c r="B168" s="125"/>
      <c r="C168" s="125"/>
      <c r="D168" s="125"/>
      <c r="E168" s="125"/>
      <c r="F168" s="146"/>
      <c r="G168" s="67"/>
      <c r="H168" s="67"/>
      <c r="I168" s="67"/>
      <c r="J168" s="67"/>
      <c r="K168" s="67"/>
      <c r="L168" s="67"/>
      <c r="M168" s="67"/>
      <c r="N168" s="67"/>
      <c r="O168" s="67"/>
      <c r="P168" s="67"/>
      <c r="Q168" s="67"/>
      <c r="R168" s="67"/>
      <c r="S168" s="67"/>
      <c r="T168" s="67"/>
      <c r="U168" s="67"/>
      <c r="V168" s="67"/>
      <c r="W168" s="67"/>
      <c r="X168" s="67"/>
      <c r="Y168" s="67"/>
      <c r="Z168" s="67"/>
    </row>
    <row r="169">
      <c r="A169" s="136"/>
      <c r="B169" s="131"/>
      <c r="C169" s="131"/>
      <c r="D169" s="131"/>
      <c r="E169" s="131"/>
      <c r="F169" s="144"/>
      <c r="G169" s="67"/>
      <c r="H169" s="67"/>
      <c r="I169" s="67"/>
      <c r="J169" s="67"/>
      <c r="K169" s="67"/>
      <c r="L169" s="67"/>
      <c r="M169" s="67"/>
      <c r="N169" s="67"/>
      <c r="O169" s="67"/>
      <c r="P169" s="67"/>
      <c r="Q169" s="67"/>
      <c r="R169" s="67"/>
      <c r="S169" s="67"/>
      <c r="T169" s="67"/>
      <c r="U169" s="67"/>
      <c r="V169" s="67"/>
      <c r="W169" s="67"/>
      <c r="X169" s="67"/>
      <c r="Y169" s="67"/>
      <c r="Z169" s="67"/>
    </row>
    <row r="170">
      <c r="A170" s="135"/>
      <c r="B170" s="125"/>
      <c r="C170" s="125"/>
      <c r="D170" s="125"/>
      <c r="E170" s="125"/>
      <c r="F170" s="146"/>
      <c r="G170" s="67"/>
      <c r="H170" s="67"/>
      <c r="I170" s="67"/>
      <c r="J170" s="67"/>
      <c r="K170" s="67"/>
      <c r="L170" s="67"/>
      <c r="M170" s="67"/>
      <c r="N170" s="67"/>
      <c r="O170" s="67"/>
      <c r="P170" s="67"/>
      <c r="Q170" s="67"/>
      <c r="R170" s="67"/>
      <c r="S170" s="67"/>
      <c r="T170" s="67"/>
      <c r="U170" s="67"/>
      <c r="V170" s="67"/>
      <c r="W170" s="67"/>
      <c r="X170" s="67"/>
      <c r="Y170" s="67"/>
      <c r="Z170" s="67"/>
    </row>
    <row r="171">
      <c r="A171" s="136"/>
      <c r="B171" s="131"/>
      <c r="C171" s="131"/>
      <c r="D171" s="131"/>
      <c r="E171" s="131"/>
      <c r="F171" s="144"/>
      <c r="G171" s="67"/>
      <c r="H171" s="67"/>
      <c r="I171" s="67"/>
      <c r="J171" s="67"/>
      <c r="K171" s="67"/>
      <c r="L171" s="67"/>
      <c r="M171" s="67"/>
      <c r="N171" s="67"/>
      <c r="O171" s="67"/>
      <c r="P171" s="67"/>
      <c r="Q171" s="67"/>
      <c r="R171" s="67"/>
      <c r="S171" s="67"/>
      <c r="T171" s="67"/>
      <c r="U171" s="67"/>
      <c r="V171" s="67"/>
      <c r="W171" s="67"/>
      <c r="X171" s="67"/>
      <c r="Y171" s="67"/>
      <c r="Z171" s="67"/>
    </row>
    <row r="172">
      <c r="A172" s="135"/>
      <c r="B172" s="125"/>
      <c r="C172" s="125"/>
      <c r="D172" s="125"/>
      <c r="E172" s="125"/>
      <c r="F172" s="146"/>
      <c r="G172" s="67"/>
      <c r="H172" s="67"/>
      <c r="I172" s="67"/>
      <c r="J172" s="67"/>
      <c r="K172" s="67"/>
      <c r="L172" s="67"/>
      <c r="M172" s="67"/>
      <c r="N172" s="67"/>
      <c r="O172" s="67"/>
      <c r="P172" s="67"/>
      <c r="Q172" s="67"/>
      <c r="R172" s="67"/>
      <c r="S172" s="67"/>
      <c r="T172" s="67"/>
      <c r="U172" s="67"/>
      <c r="V172" s="67"/>
      <c r="W172" s="67"/>
      <c r="X172" s="67"/>
      <c r="Y172" s="67"/>
      <c r="Z172" s="67"/>
    </row>
    <row r="173">
      <c r="A173" s="136"/>
      <c r="B173" s="131"/>
      <c r="C173" s="131"/>
      <c r="D173" s="131"/>
      <c r="E173" s="131"/>
      <c r="F173" s="144"/>
      <c r="G173" s="67"/>
      <c r="H173" s="67"/>
      <c r="I173" s="67"/>
      <c r="J173" s="67"/>
      <c r="K173" s="67"/>
      <c r="L173" s="67"/>
      <c r="M173" s="67"/>
      <c r="N173" s="67"/>
      <c r="O173" s="67"/>
      <c r="P173" s="67"/>
      <c r="Q173" s="67"/>
      <c r="R173" s="67"/>
      <c r="S173" s="67"/>
      <c r="T173" s="67"/>
      <c r="U173" s="67"/>
      <c r="V173" s="67"/>
      <c r="W173" s="67"/>
      <c r="X173" s="67"/>
      <c r="Y173" s="67"/>
      <c r="Z173" s="67"/>
    </row>
    <row r="174">
      <c r="A174" s="135"/>
      <c r="B174" s="125"/>
      <c r="C174" s="125"/>
      <c r="D174" s="125"/>
      <c r="E174" s="125"/>
      <c r="F174" s="146"/>
      <c r="G174" s="67"/>
      <c r="H174" s="67"/>
      <c r="I174" s="67"/>
      <c r="J174" s="67"/>
      <c r="K174" s="67"/>
      <c r="L174" s="67"/>
      <c r="M174" s="67"/>
      <c r="N174" s="67"/>
      <c r="O174" s="67"/>
      <c r="P174" s="67"/>
      <c r="Q174" s="67"/>
      <c r="R174" s="67"/>
      <c r="S174" s="67"/>
      <c r="T174" s="67"/>
      <c r="U174" s="67"/>
      <c r="V174" s="67"/>
      <c r="W174" s="67"/>
      <c r="X174" s="67"/>
      <c r="Y174" s="67"/>
      <c r="Z174" s="67"/>
    </row>
    <row r="175">
      <c r="A175" s="136"/>
      <c r="B175" s="131"/>
      <c r="C175" s="131"/>
      <c r="D175" s="131"/>
      <c r="E175" s="131"/>
      <c r="F175" s="144"/>
      <c r="G175" s="67"/>
      <c r="H175" s="67"/>
      <c r="I175" s="67"/>
      <c r="J175" s="67"/>
      <c r="K175" s="67"/>
      <c r="L175" s="67"/>
      <c r="M175" s="67"/>
      <c r="N175" s="67"/>
      <c r="O175" s="67"/>
      <c r="P175" s="67"/>
      <c r="Q175" s="67"/>
      <c r="R175" s="67"/>
      <c r="S175" s="67"/>
      <c r="T175" s="67"/>
      <c r="U175" s="67"/>
      <c r="V175" s="67"/>
      <c r="W175" s="67"/>
      <c r="X175" s="67"/>
      <c r="Y175" s="67"/>
      <c r="Z175" s="67"/>
    </row>
    <row r="176">
      <c r="A176" s="135"/>
      <c r="B176" s="125"/>
      <c r="C176" s="125"/>
      <c r="D176" s="125"/>
      <c r="E176" s="125"/>
      <c r="F176" s="146"/>
      <c r="G176" s="67"/>
      <c r="H176" s="67"/>
      <c r="I176" s="67"/>
      <c r="J176" s="67"/>
      <c r="K176" s="67"/>
      <c r="L176" s="67"/>
      <c r="M176" s="67"/>
      <c r="N176" s="67"/>
      <c r="O176" s="67"/>
      <c r="P176" s="67"/>
      <c r="Q176" s="67"/>
      <c r="R176" s="67"/>
      <c r="S176" s="67"/>
      <c r="T176" s="67"/>
      <c r="U176" s="67"/>
      <c r="V176" s="67"/>
      <c r="W176" s="67"/>
      <c r="X176" s="67"/>
      <c r="Y176" s="67"/>
      <c r="Z176" s="67"/>
    </row>
    <row r="177">
      <c r="A177" s="136"/>
      <c r="B177" s="131"/>
      <c r="C177" s="131"/>
      <c r="D177" s="131"/>
      <c r="E177" s="131"/>
      <c r="F177" s="144"/>
      <c r="G177" s="67"/>
      <c r="H177" s="67"/>
      <c r="I177" s="67"/>
      <c r="J177" s="67"/>
      <c r="K177" s="67"/>
      <c r="L177" s="67"/>
      <c r="M177" s="67"/>
      <c r="N177" s="67"/>
      <c r="O177" s="67"/>
      <c r="P177" s="67"/>
      <c r="Q177" s="67"/>
      <c r="R177" s="67"/>
      <c r="S177" s="67"/>
      <c r="T177" s="67"/>
      <c r="U177" s="67"/>
      <c r="V177" s="67"/>
      <c r="W177" s="67"/>
      <c r="X177" s="67"/>
      <c r="Y177" s="67"/>
      <c r="Z177" s="67"/>
    </row>
    <row r="178">
      <c r="A178" s="135"/>
      <c r="B178" s="125"/>
      <c r="C178" s="125"/>
      <c r="D178" s="125"/>
      <c r="E178" s="125"/>
      <c r="F178" s="146"/>
      <c r="G178" s="67"/>
      <c r="H178" s="67"/>
      <c r="I178" s="67"/>
      <c r="J178" s="67"/>
      <c r="K178" s="67"/>
      <c r="L178" s="67"/>
      <c r="M178" s="67"/>
      <c r="N178" s="67"/>
      <c r="O178" s="67"/>
      <c r="P178" s="67"/>
      <c r="Q178" s="67"/>
      <c r="R178" s="67"/>
      <c r="S178" s="67"/>
      <c r="T178" s="67"/>
      <c r="U178" s="67"/>
      <c r="V178" s="67"/>
      <c r="W178" s="67"/>
      <c r="X178" s="67"/>
      <c r="Y178" s="67"/>
      <c r="Z178" s="67"/>
    </row>
    <row r="179">
      <c r="A179" s="136"/>
      <c r="B179" s="131"/>
      <c r="C179" s="131"/>
      <c r="D179" s="131"/>
      <c r="E179" s="131"/>
      <c r="F179" s="144"/>
      <c r="G179" s="67"/>
      <c r="H179" s="67"/>
      <c r="I179" s="67"/>
      <c r="J179" s="67"/>
      <c r="K179" s="67"/>
      <c r="L179" s="67"/>
      <c r="M179" s="67"/>
      <c r="N179" s="67"/>
      <c r="O179" s="67"/>
      <c r="P179" s="67"/>
      <c r="Q179" s="67"/>
      <c r="R179" s="67"/>
      <c r="S179" s="67"/>
      <c r="T179" s="67"/>
      <c r="U179" s="67"/>
      <c r="V179" s="67"/>
      <c r="W179" s="67"/>
      <c r="X179" s="67"/>
      <c r="Y179" s="67"/>
      <c r="Z179" s="67"/>
    </row>
    <row r="180">
      <c r="A180" s="135"/>
      <c r="B180" s="125"/>
      <c r="C180" s="125"/>
      <c r="D180" s="125"/>
      <c r="E180" s="125"/>
      <c r="F180" s="146"/>
      <c r="G180" s="67"/>
      <c r="H180" s="67"/>
      <c r="I180" s="67"/>
      <c r="J180" s="67"/>
      <c r="K180" s="67"/>
      <c r="L180" s="67"/>
      <c r="M180" s="67"/>
      <c r="N180" s="67"/>
      <c r="O180" s="67"/>
      <c r="P180" s="67"/>
      <c r="Q180" s="67"/>
      <c r="R180" s="67"/>
      <c r="S180" s="67"/>
      <c r="T180" s="67"/>
      <c r="U180" s="67"/>
      <c r="V180" s="67"/>
      <c r="W180" s="67"/>
      <c r="X180" s="67"/>
      <c r="Y180" s="67"/>
      <c r="Z180" s="67"/>
    </row>
    <row r="181">
      <c r="A181" s="136"/>
      <c r="B181" s="131"/>
      <c r="C181" s="131"/>
      <c r="D181" s="131"/>
      <c r="E181" s="131"/>
      <c r="F181" s="144"/>
      <c r="G181" s="67"/>
      <c r="H181" s="67"/>
      <c r="I181" s="67"/>
      <c r="J181" s="67"/>
      <c r="K181" s="67"/>
      <c r="L181" s="67"/>
      <c r="M181" s="67"/>
      <c r="N181" s="67"/>
      <c r="O181" s="67"/>
      <c r="P181" s="67"/>
      <c r="Q181" s="67"/>
      <c r="R181" s="67"/>
      <c r="S181" s="67"/>
      <c r="T181" s="67"/>
      <c r="U181" s="67"/>
      <c r="V181" s="67"/>
      <c r="W181" s="67"/>
      <c r="X181" s="67"/>
      <c r="Y181" s="67"/>
      <c r="Z181" s="67"/>
    </row>
    <row r="182">
      <c r="A182" s="135"/>
      <c r="B182" s="125"/>
      <c r="C182" s="125"/>
      <c r="D182" s="125"/>
      <c r="E182" s="125"/>
      <c r="F182" s="146"/>
      <c r="G182" s="67"/>
      <c r="H182" s="67"/>
      <c r="I182" s="67"/>
      <c r="J182" s="67"/>
      <c r="K182" s="67"/>
      <c r="L182" s="67"/>
      <c r="M182" s="67"/>
      <c r="N182" s="67"/>
      <c r="O182" s="67"/>
      <c r="P182" s="67"/>
      <c r="Q182" s="67"/>
      <c r="R182" s="67"/>
      <c r="S182" s="67"/>
      <c r="T182" s="67"/>
      <c r="U182" s="67"/>
      <c r="V182" s="67"/>
      <c r="W182" s="67"/>
      <c r="X182" s="67"/>
      <c r="Y182" s="67"/>
      <c r="Z182" s="67"/>
    </row>
    <row r="183">
      <c r="A183" s="136"/>
      <c r="B183" s="131"/>
      <c r="C183" s="131"/>
      <c r="D183" s="131"/>
      <c r="E183" s="131"/>
      <c r="F183" s="144"/>
      <c r="G183" s="67"/>
      <c r="H183" s="67"/>
      <c r="I183" s="67"/>
      <c r="J183" s="67"/>
      <c r="K183" s="67"/>
      <c r="L183" s="67"/>
      <c r="M183" s="67"/>
      <c r="N183" s="67"/>
      <c r="O183" s="67"/>
      <c r="P183" s="67"/>
      <c r="Q183" s="67"/>
      <c r="R183" s="67"/>
      <c r="S183" s="67"/>
      <c r="T183" s="67"/>
      <c r="U183" s="67"/>
      <c r="V183" s="67"/>
      <c r="W183" s="67"/>
      <c r="X183" s="67"/>
      <c r="Y183" s="67"/>
      <c r="Z183" s="67"/>
    </row>
    <row r="184">
      <c r="A184" s="135"/>
      <c r="B184" s="125"/>
      <c r="C184" s="125"/>
      <c r="D184" s="125"/>
      <c r="E184" s="125"/>
      <c r="F184" s="146"/>
      <c r="G184" s="67"/>
      <c r="H184" s="67"/>
      <c r="I184" s="67"/>
      <c r="J184" s="67"/>
      <c r="K184" s="67"/>
      <c r="L184" s="67"/>
      <c r="M184" s="67"/>
      <c r="N184" s="67"/>
      <c r="O184" s="67"/>
      <c r="P184" s="67"/>
      <c r="Q184" s="67"/>
      <c r="R184" s="67"/>
      <c r="S184" s="67"/>
      <c r="T184" s="67"/>
      <c r="U184" s="67"/>
      <c r="V184" s="67"/>
      <c r="W184" s="67"/>
      <c r="X184" s="67"/>
      <c r="Y184" s="67"/>
      <c r="Z184" s="67"/>
    </row>
    <row r="185">
      <c r="A185" s="136"/>
      <c r="B185" s="131"/>
      <c r="C185" s="131"/>
      <c r="D185" s="131"/>
      <c r="E185" s="131"/>
      <c r="F185" s="144"/>
      <c r="G185" s="67"/>
      <c r="H185" s="67"/>
      <c r="I185" s="67"/>
      <c r="J185" s="67"/>
      <c r="K185" s="67"/>
      <c r="L185" s="67"/>
      <c r="M185" s="67"/>
      <c r="N185" s="67"/>
      <c r="O185" s="67"/>
      <c r="P185" s="67"/>
      <c r="Q185" s="67"/>
      <c r="R185" s="67"/>
      <c r="S185" s="67"/>
      <c r="T185" s="67"/>
      <c r="U185" s="67"/>
      <c r="V185" s="67"/>
      <c r="W185" s="67"/>
      <c r="X185" s="67"/>
      <c r="Y185" s="67"/>
      <c r="Z185" s="67"/>
    </row>
    <row r="186">
      <c r="A186" s="135"/>
      <c r="B186" s="125"/>
      <c r="C186" s="125"/>
      <c r="D186" s="125"/>
      <c r="E186" s="125"/>
      <c r="F186" s="146"/>
      <c r="G186" s="67"/>
      <c r="H186" s="67"/>
      <c r="I186" s="67"/>
      <c r="J186" s="67"/>
      <c r="K186" s="67"/>
      <c r="L186" s="67"/>
      <c r="M186" s="67"/>
      <c r="N186" s="67"/>
      <c r="O186" s="67"/>
      <c r="P186" s="67"/>
      <c r="Q186" s="67"/>
      <c r="R186" s="67"/>
      <c r="S186" s="67"/>
      <c r="T186" s="67"/>
      <c r="U186" s="67"/>
      <c r="V186" s="67"/>
      <c r="W186" s="67"/>
      <c r="X186" s="67"/>
      <c r="Y186" s="67"/>
      <c r="Z186" s="67"/>
    </row>
    <row r="187">
      <c r="A187" s="136"/>
      <c r="B187" s="131"/>
      <c r="C187" s="131"/>
      <c r="D187" s="131"/>
      <c r="E187" s="131"/>
      <c r="F187" s="144"/>
      <c r="G187" s="67"/>
      <c r="H187" s="67"/>
      <c r="I187" s="67"/>
      <c r="J187" s="67"/>
      <c r="K187" s="67"/>
      <c r="L187" s="67"/>
      <c r="M187" s="67"/>
      <c r="N187" s="67"/>
      <c r="O187" s="67"/>
      <c r="P187" s="67"/>
      <c r="Q187" s="67"/>
      <c r="R187" s="67"/>
      <c r="S187" s="67"/>
      <c r="T187" s="67"/>
      <c r="U187" s="67"/>
      <c r="V187" s="67"/>
      <c r="W187" s="67"/>
      <c r="X187" s="67"/>
      <c r="Y187" s="67"/>
      <c r="Z187" s="67"/>
    </row>
    <row r="188">
      <c r="A188" s="135"/>
      <c r="B188" s="125"/>
      <c r="C188" s="125"/>
      <c r="D188" s="125"/>
      <c r="E188" s="125"/>
      <c r="F188" s="146"/>
      <c r="G188" s="67"/>
      <c r="H188" s="67"/>
      <c r="I188" s="67"/>
      <c r="J188" s="67"/>
      <c r="K188" s="67"/>
      <c r="L188" s="67"/>
      <c r="M188" s="67"/>
      <c r="N188" s="67"/>
      <c r="O188" s="67"/>
      <c r="P188" s="67"/>
      <c r="Q188" s="67"/>
      <c r="R188" s="67"/>
      <c r="S188" s="67"/>
      <c r="T188" s="67"/>
      <c r="U188" s="67"/>
      <c r="V188" s="67"/>
      <c r="W188" s="67"/>
      <c r="X188" s="67"/>
      <c r="Y188" s="67"/>
      <c r="Z188" s="67"/>
    </row>
    <row r="189">
      <c r="A189" s="136"/>
      <c r="B189" s="131"/>
      <c r="C189" s="131"/>
      <c r="D189" s="131"/>
      <c r="E189" s="131"/>
      <c r="F189" s="144"/>
      <c r="G189" s="67"/>
      <c r="H189" s="67"/>
      <c r="I189" s="67"/>
      <c r="J189" s="67"/>
      <c r="K189" s="67"/>
      <c r="L189" s="67"/>
      <c r="M189" s="67"/>
      <c r="N189" s="67"/>
      <c r="O189" s="67"/>
      <c r="P189" s="67"/>
      <c r="Q189" s="67"/>
      <c r="R189" s="67"/>
      <c r="S189" s="67"/>
      <c r="T189" s="67"/>
      <c r="U189" s="67"/>
      <c r="V189" s="67"/>
      <c r="W189" s="67"/>
      <c r="X189" s="67"/>
      <c r="Y189" s="67"/>
      <c r="Z189" s="67"/>
    </row>
    <row r="190">
      <c r="A190" s="135"/>
      <c r="B190" s="125"/>
      <c r="C190" s="125"/>
      <c r="D190" s="125"/>
      <c r="E190" s="125"/>
      <c r="F190" s="146"/>
      <c r="G190" s="67"/>
      <c r="H190" s="67"/>
      <c r="I190" s="67"/>
      <c r="J190" s="67"/>
      <c r="K190" s="67"/>
      <c r="L190" s="67"/>
      <c r="M190" s="67"/>
      <c r="N190" s="67"/>
      <c r="O190" s="67"/>
      <c r="P190" s="67"/>
      <c r="Q190" s="67"/>
      <c r="R190" s="67"/>
      <c r="S190" s="67"/>
      <c r="T190" s="67"/>
      <c r="U190" s="67"/>
      <c r="V190" s="67"/>
      <c r="W190" s="67"/>
      <c r="X190" s="67"/>
      <c r="Y190" s="67"/>
      <c r="Z190" s="67"/>
    </row>
    <row r="191">
      <c r="A191" s="136"/>
      <c r="B191" s="131"/>
      <c r="C191" s="131"/>
      <c r="D191" s="131"/>
      <c r="E191" s="131"/>
      <c r="F191" s="144"/>
      <c r="G191" s="67"/>
      <c r="H191" s="67"/>
      <c r="I191" s="67"/>
      <c r="J191" s="67"/>
      <c r="K191" s="67"/>
      <c r="L191" s="67"/>
      <c r="M191" s="67"/>
      <c r="N191" s="67"/>
      <c r="O191" s="67"/>
      <c r="P191" s="67"/>
      <c r="Q191" s="67"/>
      <c r="R191" s="67"/>
      <c r="S191" s="67"/>
      <c r="T191" s="67"/>
      <c r="U191" s="67"/>
      <c r="V191" s="67"/>
      <c r="W191" s="67"/>
      <c r="X191" s="67"/>
      <c r="Y191" s="67"/>
      <c r="Z191" s="67"/>
    </row>
    <row r="192">
      <c r="A192" s="135"/>
      <c r="B192" s="125"/>
      <c r="C192" s="125"/>
      <c r="D192" s="125"/>
      <c r="E192" s="125"/>
      <c r="F192" s="146"/>
      <c r="G192" s="67"/>
      <c r="H192" s="67"/>
      <c r="I192" s="67"/>
      <c r="J192" s="67"/>
      <c r="K192" s="67"/>
      <c r="L192" s="67"/>
      <c r="M192" s="67"/>
      <c r="N192" s="67"/>
      <c r="O192" s="67"/>
      <c r="P192" s="67"/>
      <c r="Q192" s="67"/>
      <c r="R192" s="67"/>
      <c r="S192" s="67"/>
      <c r="T192" s="67"/>
      <c r="U192" s="67"/>
      <c r="V192" s="67"/>
      <c r="W192" s="67"/>
      <c r="X192" s="67"/>
      <c r="Y192" s="67"/>
      <c r="Z192" s="67"/>
    </row>
    <row r="193">
      <c r="A193" s="136"/>
      <c r="B193" s="131"/>
      <c r="C193" s="131"/>
      <c r="D193" s="131"/>
      <c r="E193" s="131"/>
      <c r="F193" s="144"/>
      <c r="G193" s="67"/>
      <c r="H193" s="67"/>
      <c r="I193" s="67"/>
      <c r="J193" s="67"/>
      <c r="K193" s="67"/>
      <c r="L193" s="67"/>
      <c r="M193" s="67"/>
      <c r="N193" s="67"/>
      <c r="O193" s="67"/>
      <c r="P193" s="67"/>
      <c r="Q193" s="67"/>
      <c r="R193" s="67"/>
      <c r="S193" s="67"/>
      <c r="T193" s="67"/>
      <c r="U193" s="67"/>
      <c r="V193" s="67"/>
      <c r="W193" s="67"/>
      <c r="X193" s="67"/>
      <c r="Y193" s="67"/>
      <c r="Z193" s="67"/>
    </row>
    <row r="194">
      <c r="A194" s="135"/>
      <c r="B194" s="125"/>
      <c r="C194" s="125"/>
      <c r="D194" s="125"/>
      <c r="E194" s="125"/>
      <c r="F194" s="146"/>
      <c r="G194" s="67"/>
      <c r="H194" s="67"/>
      <c r="I194" s="67"/>
      <c r="J194" s="67"/>
      <c r="K194" s="67"/>
      <c r="L194" s="67"/>
      <c r="M194" s="67"/>
      <c r="N194" s="67"/>
      <c r="O194" s="67"/>
      <c r="P194" s="67"/>
      <c r="Q194" s="67"/>
      <c r="R194" s="67"/>
      <c r="S194" s="67"/>
      <c r="T194" s="67"/>
      <c r="U194" s="67"/>
      <c r="V194" s="67"/>
      <c r="W194" s="67"/>
      <c r="X194" s="67"/>
      <c r="Y194" s="67"/>
      <c r="Z194" s="67"/>
    </row>
    <row r="195">
      <c r="A195" s="136"/>
      <c r="B195" s="131"/>
      <c r="C195" s="131"/>
      <c r="D195" s="131"/>
      <c r="E195" s="131"/>
      <c r="F195" s="144"/>
      <c r="G195" s="67"/>
      <c r="H195" s="67"/>
      <c r="I195" s="67"/>
      <c r="J195" s="67"/>
      <c r="K195" s="67"/>
      <c r="L195" s="67"/>
      <c r="M195" s="67"/>
      <c r="N195" s="67"/>
      <c r="O195" s="67"/>
      <c r="P195" s="67"/>
      <c r="Q195" s="67"/>
      <c r="R195" s="67"/>
      <c r="S195" s="67"/>
      <c r="T195" s="67"/>
      <c r="U195" s="67"/>
      <c r="V195" s="67"/>
      <c r="W195" s="67"/>
      <c r="X195" s="67"/>
      <c r="Y195" s="67"/>
      <c r="Z195" s="67"/>
    </row>
    <row r="196">
      <c r="A196" s="135"/>
      <c r="B196" s="125"/>
      <c r="C196" s="125"/>
      <c r="D196" s="125"/>
      <c r="E196" s="125"/>
      <c r="F196" s="146"/>
      <c r="G196" s="67"/>
      <c r="H196" s="67"/>
      <c r="I196" s="67"/>
      <c r="J196" s="67"/>
      <c r="K196" s="67"/>
      <c r="L196" s="67"/>
      <c r="M196" s="67"/>
      <c r="N196" s="67"/>
      <c r="O196" s="67"/>
      <c r="P196" s="67"/>
      <c r="Q196" s="67"/>
      <c r="R196" s="67"/>
      <c r="S196" s="67"/>
      <c r="T196" s="67"/>
      <c r="U196" s="67"/>
      <c r="V196" s="67"/>
      <c r="W196" s="67"/>
      <c r="X196" s="67"/>
      <c r="Y196" s="67"/>
      <c r="Z196" s="67"/>
    </row>
    <row r="197">
      <c r="A197" s="136"/>
      <c r="B197" s="131"/>
      <c r="C197" s="131"/>
      <c r="D197" s="131"/>
      <c r="E197" s="131"/>
      <c r="F197" s="144"/>
      <c r="G197" s="67"/>
      <c r="H197" s="67"/>
      <c r="I197" s="67"/>
      <c r="J197" s="67"/>
      <c r="K197" s="67"/>
      <c r="L197" s="67"/>
      <c r="M197" s="67"/>
      <c r="N197" s="67"/>
      <c r="O197" s="67"/>
      <c r="P197" s="67"/>
      <c r="Q197" s="67"/>
      <c r="R197" s="67"/>
      <c r="S197" s="67"/>
      <c r="T197" s="67"/>
      <c r="U197" s="67"/>
      <c r="V197" s="67"/>
      <c r="W197" s="67"/>
      <c r="X197" s="67"/>
      <c r="Y197" s="67"/>
      <c r="Z197" s="67"/>
    </row>
    <row r="198">
      <c r="A198" s="135"/>
      <c r="B198" s="125"/>
      <c r="C198" s="125"/>
      <c r="D198" s="125"/>
      <c r="E198" s="125"/>
      <c r="F198" s="146"/>
      <c r="G198" s="67"/>
      <c r="H198" s="67"/>
      <c r="I198" s="67"/>
      <c r="J198" s="67"/>
      <c r="K198" s="67"/>
      <c r="L198" s="67"/>
      <c r="M198" s="67"/>
      <c r="N198" s="67"/>
      <c r="O198" s="67"/>
      <c r="P198" s="67"/>
      <c r="Q198" s="67"/>
      <c r="R198" s="67"/>
      <c r="S198" s="67"/>
      <c r="T198" s="67"/>
      <c r="U198" s="67"/>
      <c r="V198" s="67"/>
      <c r="W198" s="67"/>
      <c r="X198" s="67"/>
      <c r="Y198" s="67"/>
      <c r="Z198" s="67"/>
    </row>
    <row r="199">
      <c r="A199" s="136"/>
      <c r="B199" s="131"/>
      <c r="C199" s="131"/>
      <c r="D199" s="131"/>
      <c r="E199" s="131"/>
      <c r="F199" s="144"/>
      <c r="G199" s="67"/>
      <c r="H199" s="67"/>
      <c r="I199" s="67"/>
      <c r="J199" s="67"/>
      <c r="K199" s="67"/>
      <c r="L199" s="67"/>
      <c r="M199" s="67"/>
      <c r="N199" s="67"/>
      <c r="O199" s="67"/>
      <c r="P199" s="67"/>
      <c r="Q199" s="67"/>
      <c r="R199" s="67"/>
      <c r="S199" s="67"/>
      <c r="T199" s="67"/>
      <c r="U199" s="67"/>
      <c r="V199" s="67"/>
      <c r="W199" s="67"/>
      <c r="X199" s="67"/>
      <c r="Y199" s="67"/>
      <c r="Z199" s="67"/>
    </row>
    <row r="200">
      <c r="A200" s="135"/>
      <c r="B200" s="125"/>
      <c r="C200" s="125"/>
      <c r="D200" s="125"/>
      <c r="E200" s="125"/>
      <c r="F200" s="146"/>
      <c r="G200" s="67"/>
      <c r="H200" s="67"/>
      <c r="I200" s="67"/>
      <c r="J200" s="67"/>
      <c r="K200" s="67"/>
      <c r="L200" s="67"/>
      <c r="M200" s="67"/>
      <c r="N200" s="67"/>
      <c r="O200" s="67"/>
      <c r="P200" s="67"/>
      <c r="Q200" s="67"/>
      <c r="R200" s="67"/>
      <c r="S200" s="67"/>
      <c r="T200" s="67"/>
      <c r="U200" s="67"/>
      <c r="V200" s="67"/>
      <c r="W200" s="67"/>
      <c r="X200" s="67"/>
      <c r="Y200" s="67"/>
      <c r="Z200" s="67"/>
    </row>
    <row r="201">
      <c r="A201" s="136"/>
      <c r="B201" s="131"/>
      <c r="C201" s="131"/>
      <c r="D201" s="131"/>
      <c r="E201" s="131"/>
      <c r="F201" s="144"/>
      <c r="G201" s="67"/>
      <c r="H201" s="67"/>
      <c r="I201" s="67"/>
      <c r="J201" s="67"/>
      <c r="K201" s="67"/>
      <c r="L201" s="67"/>
      <c r="M201" s="67"/>
      <c r="N201" s="67"/>
      <c r="O201" s="67"/>
      <c r="P201" s="67"/>
      <c r="Q201" s="67"/>
      <c r="R201" s="67"/>
      <c r="S201" s="67"/>
      <c r="T201" s="67"/>
      <c r="U201" s="67"/>
      <c r="V201" s="67"/>
      <c r="W201" s="67"/>
      <c r="X201" s="67"/>
      <c r="Y201" s="67"/>
      <c r="Z201" s="67"/>
    </row>
    <row r="202">
      <c r="A202" s="135"/>
      <c r="B202" s="125"/>
      <c r="C202" s="125"/>
      <c r="D202" s="125"/>
      <c r="E202" s="125"/>
      <c r="F202" s="146"/>
      <c r="G202" s="67"/>
      <c r="H202" s="67"/>
      <c r="I202" s="67"/>
      <c r="J202" s="67"/>
      <c r="K202" s="67"/>
      <c r="L202" s="67"/>
      <c r="M202" s="67"/>
      <c r="N202" s="67"/>
      <c r="O202" s="67"/>
      <c r="P202" s="67"/>
      <c r="Q202" s="67"/>
      <c r="R202" s="67"/>
      <c r="S202" s="67"/>
      <c r="T202" s="67"/>
      <c r="U202" s="67"/>
      <c r="V202" s="67"/>
      <c r="W202" s="67"/>
      <c r="X202" s="67"/>
      <c r="Y202" s="67"/>
      <c r="Z202" s="67"/>
    </row>
    <row r="203">
      <c r="A203" s="136"/>
      <c r="B203" s="131"/>
      <c r="C203" s="131"/>
      <c r="D203" s="131"/>
      <c r="E203" s="131"/>
      <c r="F203" s="144"/>
      <c r="G203" s="67"/>
      <c r="H203" s="67"/>
      <c r="I203" s="67"/>
      <c r="J203" s="67"/>
      <c r="K203" s="67"/>
      <c r="L203" s="67"/>
      <c r="M203" s="67"/>
      <c r="N203" s="67"/>
      <c r="O203" s="67"/>
      <c r="P203" s="67"/>
      <c r="Q203" s="67"/>
      <c r="R203" s="67"/>
      <c r="S203" s="67"/>
      <c r="T203" s="67"/>
      <c r="U203" s="67"/>
      <c r="V203" s="67"/>
      <c r="W203" s="67"/>
      <c r="X203" s="67"/>
      <c r="Y203" s="67"/>
      <c r="Z203" s="67"/>
    </row>
    <row r="204">
      <c r="A204" s="135"/>
      <c r="B204" s="125"/>
      <c r="C204" s="125"/>
      <c r="D204" s="125"/>
      <c r="E204" s="125"/>
      <c r="F204" s="146"/>
      <c r="G204" s="67"/>
      <c r="H204" s="67"/>
      <c r="I204" s="67"/>
      <c r="J204" s="67"/>
      <c r="K204" s="67"/>
      <c r="L204" s="67"/>
      <c r="M204" s="67"/>
      <c r="N204" s="67"/>
      <c r="O204" s="67"/>
      <c r="P204" s="67"/>
      <c r="Q204" s="67"/>
      <c r="R204" s="67"/>
      <c r="S204" s="67"/>
      <c r="T204" s="67"/>
      <c r="U204" s="67"/>
      <c r="V204" s="67"/>
      <c r="W204" s="67"/>
      <c r="X204" s="67"/>
      <c r="Y204" s="67"/>
      <c r="Z204" s="67"/>
    </row>
    <row r="205">
      <c r="A205" s="136"/>
      <c r="B205" s="131"/>
      <c r="C205" s="131"/>
      <c r="D205" s="131"/>
      <c r="E205" s="131"/>
      <c r="F205" s="144"/>
      <c r="G205" s="67"/>
      <c r="H205" s="67"/>
      <c r="I205" s="67"/>
      <c r="J205" s="67"/>
      <c r="K205" s="67"/>
      <c r="L205" s="67"/>
      <c r="M205" s="67"/>
      <c r="N205" s="67"/>
      <c r="O205" s="67"/>
      <c r="P205" s="67"/>
      <c r="Q205" s="67"/>
      <c r="R205" s="67"/>
      <c r="S205" s="67"/>
      <c r="T205" s="67"/>
      <c r="U205" s="67"/>
      <c r="V205" s="67"/>
      <c r="W205" s="67"/>
      <c r="X205" s="67"/>
      <c r="Y205" s="67"/>
      <c r="Z205" s="67"/>
    </row>
    <row r="206">
      <c r="A206" s="135"/>
      <c r="B206" s="125"/>
      <c r="C206" s="125"/>
      <c r="D206" s="125"/>
      <c r="E206" s="125"/>
      <c r="F206" s="146"/>
      <c r="G206" s="67"/>
      <c r="H206" s="67"/>
      <c r="I206" s="67"/>
      <c r="J206" s="67"/>
      <c r="K206" s="67"/>
      <c r="L206" s="67"/>
      <c r="M206" s="67"/>
      <c r="N206" s="67"/>
      <c r="O206" s="67"/>
      <c r="P206" s="67"/>
      <c r="Q206" s="67"/>
      <c r="R206" s="67"/>
      <c r="S206" s="67"/>
      <c r="T206" s="67"/>
      <c r="U206" s="67"/>
      <c r="V206" s="67"/>
      <c r="W206" s="67"/>
      <c r="X206" s="67"/>
      <c r="Y206" s="67"/>
      <c r="Z206" s="67"/>
    </row>
    <row r="207">
      <c r="A207" s="136"/>
      <c r="B207" s="131"/>
      <c r="C207" s="131"/>
      <c r="D207" s="131"/>
      <c r="E207" s="131"/>
      <c r="F207" s="144"/>
      <c r="G207" s="67"/>
      <c r="H207" s="67"/>
      <c r="I207" s="67"/>
      <c r="J207" s="67"/>
      <c r="K207" s="67"/>
      <c r="L207" s="67"/>
      <c r="M207" s="67"/>
      <c r="N207" s="67"/>
      <c r="O207" s="67"/>
      <c r="P207" s="67"/>
      <c r="Q207" s="67"/>
      <c r="R207" s="67"/>
      <c r="S207" s="67"/>
      <c r="T207" s="67"/>
      <c r="U207" s="67"/>
      <c r="V207" s="67"/>
      <c r="W207" s="67"/>
      <c r="X207" s="67"/>
      <c r="Y207" s="67"/>
      <c r="Z207" s="67"/>
    </row>
    <row r="208">
      <c r="A208" s="135"/>
      <c r="B208" s="125"/>
      <c r="C208" s="125"/>
      <c r="D208" s="125"/>
      <c r="E208" s="125"/>
      <c r="F208" s="146"/>
      <c r="G208" s="67"/>
      <c r="H208" s="67"/>
      <c r="I208" s="67"/>
      <c r="J208" s="67"/>
      <c r="K208" s="67"/>
      <c r="L208" s="67"/>
      <c r="M208" s="67"/>
      <c r="N208" s="67"/>
      <c r="O208" s="67"/>
      <c r="P208" s="67"/>
      <c r="Q208" s="67"/>
      <c r="R208" s="67"/>
      <c r="S208" s="67"/>
      <c r="T208" s="67"/>
      <c r="U208" s="67"/>
      <c r="V208" s="67"/>
      <c r="W208" s="67"/>
      <c r="X208" s="67"/>
      <c r="Y208" s="67"/>
      <c r="Z208" s="67"/>
    </row>
    <row r="209">
      <c r="A209" s="136"/>
      <c r="B209" s="131"/>
      <c r="C209" s="131"/>
      <c r="D209" s="131"/>
      <c r="E209" s="131"/>
      <c r="F209" s="144"/>
      <c r="G209" s="67"/>
      <c r="H209" s="67"/>
      <c r="I209" s="67"/>
      <c r="J209" s="67"/>
      <c r="K209" s="67"/>
      <c r="L209" s="67"/>
      <c r="M209" s="67"/>
      <c r="N209" s="67"/>
      <c r="O209" s="67"/>
      <c r="P209" s="67"/>
      <c r="Q209" s="67"/>
      <c r="R209" s="67"/>
      <c r="S209" s="67"/>
      <c r="T209" s="67"/>
      <c r="U209" s="67"/>
      <c r="V209" s="67"/>
      <c r="W209" s="67"/>
      <c r="X209" s="67"/>
      <c r="Y209" s="67"/>
      <c r="Z209" s="67"/>
    </row>
    <row r="210">
      <c r="A210" s="135"/>
      <c r="B210" s="125"/>
      <c r="C210" s="125"/>
      <c r="D210" s="125"/>
      <c r="E210" s="125"/>
      <c r="F210" s="146"/>
      <c r="G210" s="67"/>
      <c r="H210" s="67"/>
      <c r="I210" s="67"/>
      <c r="J210" s="67"/>
      <c r="K210" s="67"/>
      <c r="L210" s="67"/>
      <c r="M210" s="67"/>
      <c r="N210" s="67"/>
      <c r="O210" s="67"/>
      <c r="P210" s="67"/>
      <c r="Q210" s="67"/>
      <c r="R210" s="67"/>
      <c r="S210" s="67"/>
      <c r="T210" s="67"/>
      <c r="U210" s="67"/>
      <c r="V210" s="67"/>
      <c r="W210" s="67"/>
      <c r="X210" s="67"/>
      <c r="Y210" s="67"/>
      <c r="Z210" s="67"/>
    </row>
    <row r="211">
      <c r="A211" s="136"/>
      <c r="B211" s="131"/>
      <c r="C211" s="131"/>
      <c r="D211" s="131"/>
      <c r="E211" s="131"/>
      <c r="F211" s="144"/>
      <c r="G211" s="67"/>
      <c r="H211" s="67"/>
      <c r="I211" s="67"/>
      <c r="J211" s="67"/>
      <c r="K211" s="67"/>
      <c r="L211" s="67"/>
      <c r="M211" s="67"/>
      <c r="N211" s="67"/>
      <c r="O211" s="67"/>
      <c r="P211" s="67"/>
      <c r="Q211" s="67"/>
      <c r="R211" s="67"/>
      <c r="S211" s="67"/>
      <c r="T211" s="67"/>
      <c r="U211" s="67"/>
      <c r="V211" s="67"/>
      <c r="W211" s="67"/>
      <c r="X211" s="67"/>
      <c r="Y211" s="67"/>
      <c r="Z211" s="67"/>
    </row>
    <row r="212">
      <c r="A212" s="135"/>
      <c r="B212" s="125"/>
      <c r="C212" s="125"/>
      <c r="D212" s="125"/>
      <c r="E212" s="125"/>
      <c r="F212" s="146"/>
      <c r="G212" s="67"/>
      <c r="H212" s="67"/>
      <c r="I212" s="67"/>
      <c r="J212" s="67"/>
      <c r="K212" s="67"/>
      <c r="L212" s="67"/>
      <c r="M212" s="67"/>
      <c r="N212" s="67"/>
      <c r="O212" s="67"/>
      <c r="P212" s="67"/>
      <c r="Q212" s="67"/>
      <c r="R212" s="67"/>
      <c r="S212" s="67"/>
      <c r="T212" s="67"/>
      <c r="U212" s="67"/>
      <c r="V212" s="67"/>
      <c r="W212" s="67"/>
      <c r="X212" s="67"/>
      <c r="Y212" s="67"/>
      <c r="Z212" s="67"/>
    </row>
    <row r="213">
      <c r="A213" s="136"/>
      <c r="B213" s="131"/>
      <c r="C213" s="131"/>
      <c r="D213" s="131"/>
      <c r="E213" s="131"/>
      <c r="F213" s="144"/>
      <c r="G213" s="67"/>
      <c r="H213" s="67"/>
      <c r="I213" s="67"/>
      <c r="J213" s="67"/>
      <c r="K213" s="67"/>
      <c r="L213" s="67"/>
      <c r="M213" s="67"/>
      <c r="N213" s="67"/>
      <c r="O213" s="67"/>
      <c r="P213" s="67"/>
      <c r="Q213" s="67"/>
      <c r="R213" s="67"/>
      <c r="S213" s="67"/>
      <c r="T213" s="67"/>
      <c r="U213" s="67"/>
      <c r="V213" s="67"/>
      <c r="W213" s="67"/>
      <c r="X213" s="67"/>
      <c r="Y213" s="67"/>
      <c r="Z213" s="67"/>
    </row>
    <row r="214">
      <c r="A214" s="135"/>
      <c r="B214" s="125"/>
      <c r="C214" s="125"/>
      <c r="D214" s="125"/>
      <c r="E214" s="125"/>
      <c r="F214" s="146"/>
      <c r="G214" s="67"/>
      <c r="H214" s="67"/>
      <c r="I214" s="67"/>
      <c r="J214" s="67"/>
      <c r="K214" s="67"/>
      <c r="L214" s="67"/>
      <c r="M214" s="67"/>
      <c r="N214" s="67"/>
      <c r="O214" s="67"/>
      <c r="P214" s="67"/>
      <c r="Q214" s="67"/>
      <c r="R214" s="67"/>
      <c r="S214" s="67"/>
      <c r="T214" s="67"/>
      <c r="U214" s="67"/>
      <c r="V214" s="67"/>
      <c r="W214" s="67"/>
      <c r="X214" s="67"/>
      <c r="Y214" s="67"/>
      <c r="Z214" s="67"/>
    </row>
    <row r="215">
      <c r="A215" s="136"/>
      <c r="B215" s="131"/>
      <c r="C215" s="131"/>
      <c r="D215" s="131"/>
      <c r="E215" s="131"/>
      <c r="F215" s="144"/>
      <c r="G215" s="67"/>
      <c r="H215" s="67"/>
      <c r="I215" s="67"/>
      <c r="J215" s="67"/>
      <c r="K215" s="67"/>
      <c r="L215" s="67"/>
      <c r="M215" s="67"/>
      <c r="N215" s="67"/>
      <c r="O215" s="67"/>
      <c r="P215" s="67"/>
      <c r="Q215" s="67"/>
      <c r="R215" s="67"/>
      <c r="S215" s="67"/>
      <c r="T215" s="67"/>
      <c r="U215" s="67"/>
      <c r="V215" s="67"/>
      <c r="W215" s="67"/>
      <c r="X215" s="67"/>
      <c r="Y215" s="67"/>
      <c r="Z215" s="67"/>
    </row>
    <row r="216">
      <c r="A216" s="135"/>
      <c r="B216" s="125"/>
      <c r="C216" s="125"/>
      <c r="D216" s="125"/>
      <c r="E216" s="125"/>
      <c r="F216" s="146"/>
      <c r="G216" s="67"/>
      <c r="H216" s="67"/>
      <c r="I216" s="67"/>
      <c r="J216" s="67"/>
      <c r="K216" s="67"/>
      <c r="L216" s="67"/>
      <c r="M216" s="67"/>
      <c r="N216" s="67"/>
      <c r="O216" s="67"/>
      <c r="P216" s="67"/>
      <c r="Q216" s="67"/>
      <c r="R216" s="67"/>
      <c r="S216" s="67"/>
      <c r="T216" s="67"/>
      <c r="U216" s="67"/>
      <c r="V216" s="67"/>
      <c r="W216" s="67"/>
      <c r="X216" s="67"/>
      <c r="Y216" s="67"/>
      <c r="Z216" s="67"/>
    </row>
    <row r="217">
      <c r="A217" s="136"/>
      <c r="B217" s="131"/>
      <c r="C217" s="131"/>
      <c r="D217" s="131"/>
      <c r="E217" s="131"/>
      <c r="F217" s="144"/>
      <c r="G217" s="67"/>
      <c r="H217" s="67"/>
      <c r="I217" s="67"/>
      <c r="J217" s="67"/>
      <c r="K217" s="67"/>
      <c r="L217" s="67"/>
      <c r="M217" s="67"/>
      <c r="N217" s="67"/>
      <c r="O217" s="67"/>
      <c r="P217" s="67"/>
      <c r="Q217" s="67"/>
      <c r="R217" s="67"/>
      <c r="S217" s="67"/>
      <c r="T217" s="67"/>
      <c r="U217" s="67"/>
      <c r="V217" s="67"/>
      <c r="W217" s="67"/>
      <c r="X217" s="67"/>
      <c r="Y217" s="67"/>
      <c r="Z217" s="67"/>
    </row>
    <row r="218">
      <c r="A218" s="135"/>
      <c r="B218" s="125"/>
      <c r="C218" s="125"/>
      <c r="D218" s="125"/>
      <c r="E218" s="125"/>
      <c r="F218" s="146"/>
      <c r="G218" s="67"/>
      <c r="H218" s="67"/>
      <c r="I218" s="67"/>
      <c r="J218" s="67"/>
      <c r="K218" s="67"/>
      <c r="L218" s="67"/>
      <c r="M218" s="67"/>
      <c r="N218" s="67"/>
      <c r="O218" s="67"/>
      <c r="P218" s="67"/>
      <c r="Q218" s="67"/>
      <c r="R218" s="67"/>
      <c r="S218" s="67"/>
      <c r="T218" s="67"/>
      <c r="U218" s="67"/>
      <c r="V218" s="67"/>
      <c r="W218" s="67"/>
      <c r="X218" s="67"/>
      <c r="Y218" s="67"/>
      <c r="Z218" s="67"/>
    </row>
    <row r="219">
      <c r="A219" s="136"/>
      <c r="B219" s="131"/>
      <c r="C219" s="131"/>
      <c r="D219" s="131"/>
      <c r="E219" s="131"/>
      <c r="F219" s="144"/>
      <c r="G219" s="67"/>
      <c r="H219" s="67"/>
      <c r="I219" s="67"/>
      <c r="J219" s="67"/>
      <c r="K219" s="67"/>
      <c r="L219" s="67"/>
      <c r="M219" s="67"/>
      <c r="N219" s="67"/>
      <c r="O219" s="67"/>
      <c r="P219" s="67"/>
      <c r="Q219" s="67"/>
      <c r="R219" s="67"/>
      <c r="S219" s="67"/>
      <c r="T219" s="67"/>
      <c r="U219" s="67"/>
      <c r="V219" s="67"/>
      <c r="W219" s="67"/>
      <c r="X219" s="67"/>
      <c r="Y219" s="67"/>
      <c r="Z219" s="67"/>
    </row>
    <row r="220">
      <c r="A220" s="135"/>
      <c r="B220" s="125"/>
      <c r="C220" s="125"/>
      <c r="D220" s="125"/>
      <c r="E220" s="125"/>
      <c r="F220" s="146"/>
      <c r="G220" s="67"/>
      <c r="H220" s="67"/>
      <c r="I220" s="67"/>
      <c r="J220" s="67"/>
      <c r="K220" s="67"/>
      <c r="L220" s="67"/>
      <c r="M220" s="67"/>
      <c r="N220" s="67"/>
      <c r="O220" s="67"/>
      <c r="P220" s="67"/>
      <c r="Q220" s="67"/>
      <c r="R220" s="67"/>
      <c r="S220" s="67"/>
      <c r="T220" s="67"/>
      <c r="U220" s="67"/>
      <c r="V220" s="67"/>
      <c r="W220" s="67"/>
      <c r="X220" s="67"/>
      <c r="Y220" s="67"/>
      <c r="Z220" s="67"/>
    </row>
    <row r="221">
      <c r="A221" s="136"/>
      <c r="B221" s="131"/>
      <c r="C221" s="131"/>
      <c r="D221" s="131"/>
      <c r="E221" s="131"/>
      <c r="F221" s="144"/>
      <c r="G221" s="67"/>
      <c r="H221" s="67"/>
      <c r="I221" s="67"/>
      <c r="J221" s="67"/>
      <c r="K221" s="67"/>
      <c r="L221" s="67"/>
      <c r="M221" s="67"/>
      <c r="N221" s="67"/>
      <c r="O221" s="67"/>
      <c r="P221" s="67"/>
      <c r="Q221" s="67"/>
      <c r="R221" s="67"/>
      <c r="S221" s="67"/>
      <c r="T221" s="67"/>
      <c r="U221" s="67"/>
      <c r="V221" s="67"/>
      <c r="W221" s="67"/>
      <c r="X221" s="67"/>
      <c r="Y221" s="67"/>
      <c r="Z221" s="67"/>
    </row>
    <row r="222">
      <c r="A222" s="135"/>
      <c r="B222" s="125"/>
      <c r="C222" s="125"/>
      <c r="D222" s="125"/>
      <c r="E222" s="125"/>
      <c r="F222" s="146"/>
      <c r="G222" s="67"/>
      <c r="H222" s="67"/>
      <c r="I222" s="67"/>
      <c r="J222" s="67"/>
      <c r="K222" s="67"/>
      <c r="L222" s="67"/>
      <c r="M222" s="67"/>
      <c r="N222" s="67"/>
      <c r="O222" s="67"/>
      <c r="P222" s="67"/>
      <c r="Q222" s="67"/>
      <c r="R222" s="67"/>
      <c r="S222" s="67"/>
      <c r="T222" s="67"/>
      <c r="U222" s="67"/>
      <c r="V222" s="67"/>
      <c r="W222" s="67"/>
      <c r="X222" s="67"/>
      <c r="Y222" s="67"/>
      <c r="Z222" s="67"/>
    </row>
    <row r="223">
      <c r="A223" s="136"/>
      <c r="B223" s="131"/>
      <c r="C223" s="131"/>
      <c r="D223" s="131"/>
      <c r="E223" s="131"/>
      <c r="F223" s="144"/>
      <c r="G223" s="67"/>
      <c r="H223" s="67"/>
      <c r="I223" s="67"/>
      <c r="J223" s="67"/>
      <c r="K223" s="67"/>
      <c r="L223" s="67"/>
      <c r="M223" s="67"/>
      <c r="N223" s="67"/>
      <c r="O223" s="67"/>
      <c r="P223" s="67"/>
      <c r="Q223" s="67"/>
      <c r="R223" s="67"/>
      <c r="S223" s="67"/>
      <c r="T223" s="67"/>
      <c r="U223" s="67"/>
      <c r="V223" s="67"/>
      <c r="W223" s="67"/>
      <c r="X223" s="67"/>
      <c r="Y223" s="67"/>
      <c r="Z223" s="67"/>
    </row>
    <row r="224">
      <c r="A224" s="135"/>
      <c r="B224" s="125"/>
      <c r="C224" s="125"/>
      <c r="D224" s="125"/>
      <c r="E224" s="125"/>
      <c r="F224" s="146"/>
      <c r="G224" s="67"/>
      <c r="H224" s="67"/>
      <c r="I224" s="67"/>
      <c r="J224" s="67"/>
      <c r="K224" s="67"/>
      <c r="L224" s="67"/>
      <c r="M224" s="67"/>
      <c r="N224" s="67"/>
      <c r="O224" s="67"/>
      <c r="P224" s="67"/>
      <c r="Q224" s="67"/>
      <c r="R224" s="67"/>
      <c r="S224" s="67"/>
      <c r="T224" s="67"/>
      <c r="U224" s="67"/>
      <c r="V224" s="67"/>
      <c r="W224" s="67"/>
      <c r="X224" s="67"/>
      <c r="Y224" s="67"/>
      <c r="Z224" s="67"/>
    </row>
    <row r="225">
      <c r="A225" s="136"/>
      <c r="B225" s="131"/>
      <c r="C225" s="131"/>
      <c r="D225" s="131"/>
      <c r="E225" s="131"/>
      <c r="F225" s="144"/>
      <c r="G225" s="67"/>
      <c r="H225" s="67"/>
      <c r="I225" s="67"/>
      <c r="J225" s="67"/>
      <c r="K225" s="67"/>
      <c r="L225" s="67"/>
      <c r="M225" s="67"/>
      <c r="N225" s="67"/>
      <c r="O225" s="67"/>
      <c r="P225" s="67"/>
      <c r="Q225" s="67"/>
      <c r="R225" s="67"/>
      <c r="S225" s="67"/>
      <c r="T225" s="67"/>
      <c r="U225" s="67"/>
      <c r="V225" s="67"/>
      <c r="W225" s="67"/>
      <c r="X225" s="67"/>
      <c r="Y225" s="67"/>
      <c r="Z225" s="67"/>
    </row>
    <row r="226">
      <c r="A226" s="135"/>
      <c r="B226" s="125"/>
      <c r="C226" s="125"/>
      <c r="D226" s="125"/>
      <c r="E226" s="125"/>
      <c r="F226" s="146"/>
      <c r="G226" s="67"/>
      <c r="H226" s="67"/>
      <c r="I226" s="67"/>
      <c r="J226" s="67"/>
      <c r="K226" s="67"/>
      <c r="L226" s="67"/>
      <c r="M226" s="67"/>
      <c r="N226" s="67"/>
      <c r="O226" s="67"/>
      <c r="P226" s="67"/>
      <c r="Q226" s="67"/>
      <c r="R226" s="67"/>
      <c r="S226" s="67"/>
      <c r="T226" s="67"/>
      <c r="U226" s="67"/>
      <c r="V226" s="67"/>
      <c r="W226" s="67"/>
      <c r="X226" s="67"/>
      <c r="Y226" s="67"/>
      <c r="Z226" s="67"/>
    </row>
    <row r="227">
      <c r="A227" s="136"/>
      <c r="B227" s="131"/>
      <c r="C227" s="131"/>
      <c r="D227" s="131"/>
      <c r="E227" s="131"/>
      <c r="F227" s="144"/>
      <c r="G227" s="67"/>
      <c r="H227" s="67"/>
      <c r="I227" s="67"/>
      <c r="J227" s="67"/>
      <c r="K227" s="67"/>
      <c r="L227" s="67"/>
      <c r="M227" s="67"/>
      <c r="N227" s="67"/>
      <c r="O227" s="67"/>
      <c r="P227" s="67"/>
      <c r="Q227" s="67"/>
      <c r="R227" s="67"/>
      <c r="S227" s="67"/>
      <c r="T227" s="67"/>
      <c r="U227" s="67"/>
      <c r="V227" s="67"/>
      <c r="W227" s="67"/>
      <c r="X227" s="67"/>
      <c r="Y227" s="67"/>
      <c r="Z227" s="67"/>
    </row>
    <row r="228">
      <c r="A228" s="135"/>
      <c r="B228" s="125"/>
      <c r="C228" s="125"/>
      <c r="D228" s="125"/>
      <c r="E228" s="125"/>
      <c r="F228" s="146"/>
      <c r="G228" s="67"/>
      <c r="H228" s="67"/>
      <c r="I228" s="67"/>
      <c r="J228" s="67"/>
      <c r="K228" s="67"/>
      <c r="L228" s="67"/>
      <c r="M228" s="67"/>
      <c r="N228" s="67"/>
      <c r="O228" s="67"/>
      <c r="P228" s="67"/>
      <c r="Q228" s="67"/>
      <c r="R228" s="67"/>
      <c r="S228" s="67"/>
      <c r="T228" s="67"/>
      <c r="U228" s="67"/>
      <c r="V228" s="67"/>
      <c r="W228" s="67"/>
      <c r="X228" s="67"/>
      <c r="Y228" s="67"/>
      <c r="Z228" s="67"/>
    </row>
    <row r="229">
      <c r="A229" s="136"/>
      <c r="B229" s="131"/>
      <c r="C229" s="131"/>
      <c r="D229" s="131"/>
      <c r="E229" s="131"/>
      <c r="F229" s="144"/>
      <c r="G229" s="67"/>
      <c r="H229" s="67"/>
      <c r="I229" s="67"/>
      <c r="J229" s="67"/>
      <c r="K229" s="67"/>
      <c r="L229" s="67"/>
      <c r="M229" s="67"/>
      <c r="N229" s="67"/>
      <c r="O229" s="67"/>
      <c r="P229" s="67"/>
      <c r="Q229" s="67"/>
      <c r="R229" s="67"/>
      <c r="S229" s="67"/>
      <c r="T229" s="67"/>
      <c r="U229" s="67"/>
      <c r="V229" s="67"/>
      <c r="W229" s="67"/>
      <c r="X229" s="67"/>
      <c r="Y229" s="67"/>
      <c r="Z229" s="67"/>
    </row>
    <row r="230">
      <c r="A230" s="135"/>
      <c r="B230" s="125"/>
      <c r="C230" s="125"/>
      <c r="D230" s="125"/>
      <c r="E230" s="125"/>
      <c r="F230" s="146"/>
      <c r="G230" s="67"/>
      <c r="H230" s="67"/>
      <c r="I230" s="67"/>
      <c r="J230" s="67"/>
      <c r="K230" s="67"/>
      <c r="L230" s="67"/>
      <c r="M230" s="67"/>
      <c r="N230" s="67"/>
      <c r="O230" s="67"/>
      <c r="P230" s="67"/>
      <c r="Q230" s="67"/>
      <c r="R230" s="67"/>
      <c r="S230" s="67"/>
      <c r="T230" s="67"/>
      <c r="U230" s="67"/>
      <c r="V230" s="67"/>
      <c r="W230" s="67"/>
      <c r="X230" s="67"/>
      <c r="Y230" s="67"/>
      <c r="Z230" s="67"/>
    </row>
    <row r="231">
      <c r="A231" s="136"/>
      <c r="B231" s="131"/>
      <c r="C231" s="131"/>
      <c r="D231" s="131"/>
      <c r="E231" s="131"/>
      <c r="F231" s="144"/>
      <c r="G231" s="67"/>
      <c r="H231" s="67"/>
      <c r="I231" s="67"/>
      <c r="J231" s="67"/>
      <c r="K231" s="67"/>
      <c r="L231" s="67"/>
      <c r="M231" s="67"/>
      <c r="N231" s="67"/>
      <c r="O231" s="67"/>
      <c r="P231" s="67"/>
      <c r="Q231" s="67"/>
      <c r="R231" s="67"/>
      <c r="S231" s="67"/>
      <c r="T231" s="67"/>
      <c r="U231" s="67"/>
      <c r="V231" s="67"/>
      <c r="W231" s="67"/>
      <c r="X231" s="67"/>
      <c r="Y231" s="67"/>
      <c r="Z231" s="67"/>
    </row>
    <row r="232">
      <c r="A232" s="135"/>
      <c r="B232" s="125"/>
      <c r="C232" s="125"/>
      <c r="D232" s="125"/>
      <c r="E232" s="125"/>
      <c r="F232" s="146"/>
      <c r="G232" s="67"/>
      <c r="H232" s="67"/>
      <c r="I232" s="67"/>
      <c r="J232" s="67"/>
      <c r="K232" s="67"/>
      <c r="L232" s="67"/>
      <c r="M232" s="67"/>
      <c r="N232" s="67"/>
      <c r="O232" s="67"/>
      <c r="P232" s="67"/>
      <c r="Q232" s="67"/>
      <c r="R232" s="67"/>
      <c r="S232" s="67"/>
      <c r="T232" s="67"/>
      <c r="U232" s="67"/>
      <c r="V232" s="67"/>
      <c r="W232" s="67"/>
      <c r="X232" s="67"/>
      <c r="Y232" s="67"/>
      <c r="Z232" s="67"/>
    </row>
    <row r="233">
      <c r="A233" s="136"/>
      <c r="B233" s="131"/>
      <c r="C233" s="131"/>
      <c r="D233" s="131"/>
      <c r="E233" s="131"/>
      <c r="F233" s="144"/>
      <c r="G233" s="67"/>
      <c r="H233" s="67"/>
      <c r="I233" s="67"/>
      <c r="J233" s="67"/>
      <c r="K233" s="67"/>
      <c r="L233" s="67"/>
      <c r="M233" s="67"/>
      <c r="N233" s="67"/>
      <c r="O233" s="67"/>
      <c r="P233" s="67"/>
      <c r="Q233" s="67"/>
      <c r="R233" s="67"/>
      <c r="S233" s="67"/>
      <c r="T233" s="67"/>
      <c r="U233" s="67"/>
      <c r="V233" s="67"/>
      <c r="W233" s="67"/>
      <c r="X233" s="67"/>
      <c r="Y233" s="67"/>
      <c r="Z233" s="67"/>
    </row>
    <row r="234">
      <c r="A234" s="135"/>
      <c r="B234" s="125"/>
      <c r="C234" s="125"/>
      <c r="D234" s="125"/>
      <c r="E234" s="125"/>
      <c r="F234" s="146"/>
      <c r="G234" s="67"/>
      <c r="H234" s="67"/>
      <c r="I234" s="67"/>
      <c r="J234" s="67"/>
      <c r="K234" s="67"/>
      <c r="L234" s="67"/>
      <c r="M234" s="67"/>
      <c r="N234" s="67"/>
      <c r="O234" s="67"/>
      <c r="P234" s="67"/>
      <c r="Q234" s="67"/>
      <c r="R234" s="67"/>
      <c r="S234" s="67"/>
      <c r="T234" s="67"/>
      <c r="U234" s="67"/>
      <c r="V234" s="67"/>
      <c r="W234" s="67"/>
      <c r="X234" s="67"/>
      <c r="Y234" s="67"/>
      <c r="Z234" s="67"/>
    </row>
    <row r="235">
      <c r="A235" s="136"/>
      <c r="B235" s="131"/>
      <c r="C235" s="131"/>
      <c r="D235" s="131"/>
      <c r="E235" s="131"/>
      <c r="F235" s="144"/>
      <c r="G235" s="67"/>
      <c r="H235" s="67"/>
      <c r="I235" s="67"/>
      <c r="J235" s="67"/>
      <c r="K235" s="67"/>
      <c r="L235" s="67"/>
      <c r="M235" s="67"/>
      <c r="N235" s="67"/>
      <c r="O235" s="67"/>
      <c r="P235" s="67"/>
      <c r="Q235" s="67"/>
      <c r="R235" s="67"/>
      <c r="S235" s="67"/>
      <c r="T235" s="67"/>
      <c r="U235" s="67"/>
      <c r="V235" s="67"/>
      <c r="W235" s="67"/>
      <c r="X235" s="67"/>
      <c r="Y235" s="67"/>
      <c r="Z235" s="67"/>
    </row>
    <row r="236">
      <c r="A236" s="135"/>
      <c r="B236" s="125"/>
      <c r="C236" s="125"/>
      <c r="D236" s="125"/>
      <c r="E236" s="125"/>
      <c r="F236" s="146"/>
      <c r="G236" s="67"/>
      <c r="H236" s="67"/>
      <c r="I236" s="67"/>
      <c r="J236" s="67"/>
      <c r="K236" s="67"/>
      <c r="L236" s="67"/>
      <c r="M236" s="67"/>
      <c r="N236" s="67"/>
      <c r="O236" s="67"/>
      <c r="P236" s="67"/>
      <c r="Q236" s="67"/>
      <c r="R236" s="67"/>
      <c r="S236" s="67"/>
      <c r="T236" s="67"/>
      <c r="U236" s="67"/>
      <c r="V236" s="67"/>
      <c r="W236" s="67"/>
      <c r="X236" s="67"/>
      <c r="Y236" s="67"/>
      <c r="Z236" s="67"/>
    </row>
    <row r="237">
      <c r="A237" s="136"/>
      <c r="B237" s="131"/>
      <c r="C237" s="131"/>
      <c r="D237" s="131"/>
      <c r="E237" s="131"/>
      <c r="F237" s="144"/>
      <c r="G237" s="67"/>
      <c r="H237" s="67"/>
      <c r="I237" s="67"/>
      <c r="J237" s="67"/>
      <c r="K237" s="67"/>
      <c r="L237" s="67"/>
      <c r="M237" s="67"/>
      <c r="N237" s="67"/>
      <c r="O237" s="67"/>
      <c r="P237" s="67"/>
      <c r="Q237" s="67"/>
      <c r="R237" s="67"/>
      <c r="S237" s="67"/>
      <c r="T237" s="67"/>
      <c r="U237" s="67"/>
      <c r="V237" s="67"/>
      <c r="W237" s="67"/>
      <c r="X237" s="67"/>
      <c r="Y237" s="67"/>
      <c r="Z237" s="67"/>
    </row>
    <row r="238">
      <c r="A238" s="135"/>
      <c r="B238" s="125"/>
      <c r="C238" s="125"/>
      <c r="D238" s="125"/>
      <c r="E238" s="125"/>
      <c r="F238" s="146"/>
      <c r="G238" s="67"/>
      <c r="H238" s="67"/>
      <c r="I238" s="67"/>
      <c r="J238" s="67"/>
      <c r="K238" s="67"/>
      <c r="L238" s="67"/>
      <c r="M238" s="67"/>
      <c r="N238" s="67"/>
      <c r="O238" s="67"/>
      <c r="P238" s="67"/>
      <c r="Q238" s="67"/>
      <c r="R238" s="67"/>
      <c r="S238" s="67"/>
      <c r="T238" s="67"/>
      <c r="U238" s="67"/>
      <c r="V238" s="67"/>
      <c r="W238" s="67"/>
      <c r="X238" s="67"/>
      <c r="Y238" s="67"/>
      <c r="Z238" s="67"/>
    </row>
    <row r="239">
      <c r="A239" s="136"/>
      <c r="B239" s="131"/>
      <c r="C239" s="131"/>
      <c r="D239" s="131"/>
      <c r="E239" s="131"/>
      <c r="F239" s="144"/>
      <c r="G239" s="67"/>
      <c r="H239" s="67"/>
      <c r="I239" s="67"/>
      <c r="J239" s="67"/>
      <c r="K239" s="67"/>
      <c r="L239" s="67"/>
      <c r="M239" s="67"/>
      <c r="N239" s="67"/>
      <c r="O239" s="67"/>
      <c r="P239" s="67"/>
      <c r="Q239" s="67"/>
      <c r="R239" s="67"/>
      <c r="S239" s="67"/>
      <c r="T239" s="67"/>
      <c r="U239" s="67"/>
      <c r="V239" s="67"/>
      <c r="W239" s="67"/>
      <c r="X239" s="67"/>
      <c r="Y239" s="67"/>
      <c r="Z239" s="67"/>
    </row>
    <row r="240">
      <c r="A240" s="135"/>
      <c r="B240" s="125"/>
      <c r="C240" s="125"/>
      <c r="D240" s="125"/>
      <c r="E240" s="125"/>
      <c r="F240" s="146"/>
      <c r="G240" s="67"/>
      <c r="H240" s="67"/>
      <c r="I240" s="67"/>
      <c r="J240" s="67"/>
      <c r="K240" s="67"/>
      <c r="L240" s="67"/>
      <c r="M240" s="67"/>
      <c r="N240" s="67"/>
      <c r="O240" s="67"/>
      <c r="P240" s="67"/>
      <c r="Q240" s="67"/>
      <c r="R240" s="67"/>
      <c r="S240" s="67"/>
      <c r="T240" s="67"/>
      <c r="U240" s="67"/>
      <c r="V240" s="67"/>
      <c r="W240" s="67"/>
      <c r="X240" s="67"/>
      <c r="Y240" s="67"/>
      <c r="Z240" s="67"/>
    </row>
    <row r="241">
      <c r="A241" s="136"/>
      <c r="B241" s="131"/>
      <c r="C241" s="131"/>
      <c r="D241" s="131"/>
      <c r="E241" s="131"/>
      <c r="F241" s="144"/>
      <c r="G241" s="67"/>
      <c r="H241" s="67"/>
      <c r="I241" s="67"/>
      <c r="J241" s="67"/>
      <c r="K241" s="67"/>
      <c r="L241" s="67"/>
      <c r="M241" s="67"/>
      <c r="N241" s="67"/>
      <c r="O241" s="67"/>
      <c r="P241" s="67"/>
      <c r="Q241" s="67"/>
      <c r="R241" s="67"/>
      <c r="S241" s="67"/>
      <c r="T241" s="67"/>
      <c r="U241" s="67"/>
      <c r="V241" s="67"/>
      <c r="W241" s="67"/>
      <c r="X241" s="67"/>
      <c r="Y241" s="67"/>
      <c r="Z241" s="67"/>
    </row>
    <row r="242">
      <c r="A242" s="135"/>
      <c r="B242" s="125"/>
      <c r="C242" s="125"/>
      <c r="D242" s="125"/>
      <c r="E242" s="125"/>
      <c r="F242" s="146"/>
      <c r="G242" s="67"/>
      <c r="H242" s="67"/>
      <c r="I242" s="67"/>
      <c r="J242" s="67"/>
      <c r="K242" s="67"/>
      <c r="L242" s="67"/>
      <c r="M242" s="67"/>
      <c r="N242" s="67"/>
      <c r="O242" s="67"/>
      <c r="P242" s="67"/>
      <c r="Q242" s="67"/>
      <c r="R242" s="67"/>
      <c r="S242" s="67"/>
      <c r="T242" s="67"/>
      <c r="U242" s="67"/>
      <c r="V242" s="67"/>
      <c r="W242" s="67"/>
      <c r="X242" s="67"/>
      <c r="Y242" s="67"/>
      <c r="Z242" s="67"/>
    </row>
    <row r="243">
      <c r="A243" s="136"/>
      <c r="B243" s="131"/>
      <c r="C243" s="131"/>
      <c r="D243" s="131"/>
      <c r="E243" s="131"/>
      <c r="F243" s="144"/>
      <c r="G243" s="67"/>
      <c r="H243" s="67"/>
      <c r="I243" s="67"/>
      <c r="J243" s="67"/>
      <c r="K243" s="67"/>
      <c r="L243" s="67"/>
      <c r="M243" s="67"/>
      <c r="N243" s="67"/>
      <c r="O243" s="67"/>
      <c r="P243" s="67"/>
      <c r="Q243" s="67"/>
      <c r="R243" s="67"/>
      <c r="S243" s="67"/>
      <c r="T243" s="67"/>
      <c r="U243" s="67"/>
      <c r="V243" s="67"/>
      <c r="W243" s="67"/>
      <c r="X243" s="67"/>
      <c r="Y243" s="67"/>
      <c r="Z243" s="67"/>
    </row>
    <row r="244">
      <c r="A244" s="135"/>
      <c r="B244" s="125"/>
      <c r="C244" s="125"/>
      <c r="D244" s="125"/>
      <c r="E244" s="125"/>
      <c r="F244" s="146"/>
      <c r="G244" s="67"/>
      <c r="H244" s="67"/>
      <c r="I244" s="67"/>
      <c r="J244" s="67"/>
      <c r="K244" s="67"/>
      <c r="L244" s="67"/>
      <c r="M244" s="67"/>
      <c r="N244" s="67"/>
      <c r="O244" s="67"/>
      <c r="P244" s="67"/>
      <c r="Q244" s="67"/>
      <c r="R244" s="67"/>
      <c r="S244" s="67"/>
      <c r="T244" s="67"/>
      <c r="U244" s="67"/>
      <c r="V244" s="67"/>
      <c r="W244" s="67"/>
      <c r="X244" s="67"/>
      <c r="Y244" s="67"/>
      <c r="Z244" s="67"/>
    </row>
    <row r="245">
      <c r="A245" s="136"/>
      <c r="B245" s="131"/>
      <c r="C245" s="131"/>
      <c r="D245" s="131"/>
      <c r="E245" s="131"/>
      <c r="F245" s="144"/>
      <c r="G245" s="67"/>
      <c r="H245" s="67"/>
      <c r="I245" s="67"/>
      <c r="J245" s="67"/>
      <c r="K245" s="67"/>
      <c r="L245" s="67"/>
      <c r="M245" s="67"/>
      <c r="N245" s="67"/>
      <c r="O245" s="67"/>
      <c r="P245" s="67"/>
      <c r="Q245" s="67"/>
      <c r="R245" s="67"/>
      <c r="S245" s="67"/>
      <c r="T245" s="67"/>
      <c r="U245" s="67"/>
      <c r="V245" s="67"/>
      <c r="W245" s="67"/>
      <c r="X245" s="67"/>
      <c r="Y245" s="67"/>
      <c r="Z245" s="67"/>
    </row>
    <row r="246">
      <c r="A246" s="135"/>
      <c r="B246" s="125"/>
      <c r="C246" s="125"/>
      <c r="D246" s="125"/>
      <c r="E246" s="125"/>
      <c r="F246" s="146"/>
      <c r="G246" s="67"/>
      <c r="H246" s="67"/>
      <c r="I246" s="67"/>
      <c r="J246" s="67"/>
      <c r="K246" s="67"/>
      <c r="L246" s="67"/>
      <c r="M246" s="67"/>
      <c r="N246" s="67"/>
      <c r="O246" s="67"/>
      <c r="P246" s="67"/>
      <c r="Q246" s="67"/>
      <c r="R246" s="67"/>
      <c r="S246" s="67"/>
      <c r="T246" s="67"/>
      <c r="U246" s="67"/>
      <c r="V246" s="67"/>
      <c r="W246" s="67"/>
      <c r="X246" s="67"/>
      <c r="Y246" s="67"/>
      <c r="Z246" s="67"/>
    </row>
    <row r="247">
      <c r="A247" s="136"/>
      <c r="B247" s="131"/>
      <c r="C247" s="131"/>
      <c r="D247" s="131"/>
      <c r="E247" s="131"/>
      <c r="F247" s="144"/>
      <c r="G247" s="67"/>
      <c r="H247" s="67"/>
      <c r="I247" s="67"/>
      <c r="J247" s="67"/>
      <c r="K247" s="67"/>
      <c r="L247" s="67"/>
      <c r="M247" s="67"/>
      <c r="N247" s="67"/>
      <c r="O247" s="67"/>
      <c r="P247" s="67"/>
      <c r="Q247" s="67"/>
      <c r="R247" s="67"/>
      <c r="S247" s="67"/>
      <c r="T247" s="67"/>
      <c r="U247" s="67"/>
      <c r="V247" s="67"/>
      <c r="W247" s="67"/>
      <c r="X247" s="67"/>
      <c r="Y247" s="67"/>
      <c r="Z247" s="67"/>
    </row>
    <row r="248">
      <c r="A248" s="135"/>
      <c r="B248" s="125"/>
      <c r="C248" s="125"/>
      <c r="D248" s="125"/>
      <c r="E248" s="125"/>
      <c r="F248" s="146"/>
      <c r="G248" s="67"/>
      <c r="H248" s="67"/>
      <c r="I248" s="67"/>
      <c r="J248" s="67"/>
      <c r="K248" s="67"/>
      <c r="L248" s="67"/>
      <c r="M248" s="67"/>
      <c r="N248" s="67"/>
      <c r="O248" s="67"/>
      <c r="P248" s="67"/>
      <c r="Q248" s="67"/>
      <c r="R248" s="67"/>
      <c r="S248" s="67"/>
      <c r="T248" s="67"/>
      <c r="U248" s="67"/>
      <c r="V248" s="67"/>
      <c r="W248" s="67"/>
      <c r="X248" s="67"/>
      <c r="Y248" s="67"/>
      <c r="Z248" s="67"/>
    </row>
    <row r="249">
      <c r="A249" s="136"/>
      <c r="B249" s="131"/>
      <c r="C249" s="131"/>
      <c r="D249" s="131"/>
      <c r="E249" s="131"/>
      <c r="F249" s="144"/>
      <c r="G249" s="67"/>
      <c r="H249" s="67"/>
      <c r="I249" s="67"/>
      <c r="J249" s="67"/>
      <c r="K249" s="67"/>
      <c r="L249" s="67"/>
      <c r="M249" s="67"/>
      <c r="N249" s="67"/>
      <c r="O249" s="67"/>
      <c r="P249" s="67"/>
      <c r="Q249" s="67"/>
      <c r="R249" s="67"/>
      <c r="S249" s="67"/>
      <c r="T249" s="67"/>
      <c r="U249" s="67"/>
      <c r="V249" s="67"/>
      <c r="W249" s="67"/>
      <c r="X249" s="67"/>
      <c r="Y249" s="67"/>
      <c r="Z249" s="67"/>
    </row>
    <row r="250">
      <c r="A250" s="135"/>
      <c r="B250" s="125"/>
      <c r="C250" s="125"/>
      <c r="D250" s="125"/>
      <c r="E250" s="125"/>
      <c r="F250" s="146"/>
      <c r="G250" s="67"/>
      <c r="H250" s="67"/>
      <c r="I250" s="67"/>
      <c r="J250" s="67"/>
      <c r="K250" s="67"/>
      <c r="L250" s="67"/>
      <c r="M250" s="67"/>
      <c r="N250" s="67"/>
      <c r="O250" s="67"/>
      <c r="P250" s="67"/>
      <c r="Q250" s="67"/>
      <c r="R250" s="67"/>
      <c r="S250" s="67"/>
      <c r="T250" s="67"/>
      <c r="U250" s="67"/>
      <c r="V250" s="67"/>
      <c r="W250" s="67"/>
      <c r="X250" s="67"/>
      <c r="Y250" s="67"/>
      <c r="Z250" s="67"/>
    </row>
    <row r="251">
      <c r="A251" s="136"/>
      <c r="B251" s="131"/>
      <c r="C251" s="131"/>
      <c r="D251" s="131"/>
      <c r="E251" s="131"/>
      <c r="F251" s="144"/>
      <c r="G251" s="67"/>
      <c r="H251" s="67"/>
      <c r="I251" s="67"/>
      <c r="J251" s="67"/>
      <c r="K251" s="67"/>
      <c r="L251" s="67"/>
      <c r="M251" s="67"/>
      <c r="N251" s="67"/>
      <c r="O251" s="67"/>
      <c r="P251" s="67"/>
      <c r="Q251" s="67"/>
      <c r="R251" s="67"/>
      <c r="S251" s="67"/>
      <c r="T251" s="67"/>
      <c r="U251" s="67"/>
      <c r="V251" s="67"/>
      <c r="W251" s="67"/>
      <c r="X251" s="67"/>
      <c r="Y251" s="67"/>
      <c r="Z251" s="67"/>
    </row>
    <row r="252">
      <c r="A252" s="135"/>
      <c r="B252" s="125"/>
      <c r="C252" s="125"/>
      <c r="D252" s="125"/>
      <c r="E252" s="125"/>
      <c r="F252" s="146"/>
      <c r="G252" s="67"/>
      <c r="H252" s="67"/>
      <c r="I252" s="67"/>
      <c r="J252" s="67"/>
      <c r="K252" s="67"/>
      <c r="L252" s="67"/>
      <c r="M252" s="67"/>
      <c r="N252" s="67"/>
      <c r="O252" s="67"/>
      <c r="P252" s="67"/>
      <c r="Q252" s="67"/>
      <c r="R252" s="67"/>
      <c r="S252" s="67"/>
      <c r="T252" s="67"/>
      <c r="U252" s="67"/>
      <c r="V252" s="67"/>
      <c r="W252" s="67"/>
      <c r="X252" s="67"/>
      <c r="Y252" s="67"/>
      <c r="Z252" s="67"/>
    </row>
    <row r="253">
      <c r="A253" s="136"/>
      <c r="B253" s="131"/>
      <c r="C253" s="131"/>
      <c r="D253" s="131"/>
      <c r="E253" s="131"/>
      <c r="F253" s="144"/>
      <c r="G253" s="67"/>
      <c r="H253" s="67"/>
      <c r="I253" s="67"/>
      <c r="J253" s="67"/>
      <c r="K253" s="67"/>
      <c r="L253" s="67"/>
      <c r="M253" s="67"/>
      <c r="N253" s="67"/>
      <c r="O253" s="67"/>
      <c r="P253" s="67"/>
      <c r="Q253" s="67"/>
      <c r="R253" s="67"/>
      <c r="S253" s="67"/>
      <c r="T253" s="67"/>
      <c r="U253" s="67"/>
      <c r="V253" s="67"/>
      <c r="W253" s="67"/>
      <c r="X253" s="67"/>
      <c r="Y253" s="67"/>
      <c r="Z253" s="67"/>
    </row>
    <row r="254">
      <c r="A254" s="135"/>
      <c r="B254" s="125"/>
      <c r="C254" s="125"/>
      <c r="D254" s="125"/>
      <c r="E254" s="125"/>
      <c r="F254" s="146"/>
      <c r="G254" s="67"/>
      <c r="H254" s="67"/>
      <c r="I254" s="67"/>
      <c r="J254" s="67"/>
      <c r="K254" s="67"/>
      <c r="L254" s="67"/>
      <c r="M254" s="67"/>
      <c r="N254" s="67"/>
      <c r="O254" s="67"/>
      <c r="P254" s="67"/>
      <c r="Q254" s="67"/>
      <c r="R254" s="67"/>
      <c r="S254" s="67"/>
      <c r="T254" s="67"/>
      <c r="U254" s="67"/>
      <c r="V254" s="67"/>
      <c r="W254" s="67"/>
      <c r="X254" s="67"/>
      <c r="Y254" s="67"/>
      <c r="Z254" s="67"/>
    </row>
    <row r="255">
      <c r="A255" s="136"/>
      <c r="B255" s="131"/>
      <c r="C255" s="131"/>
      <c r="D255" s="131"/>
      <c r="E255" s="131"/>
      <c r="F255" s="144"/>
      <c r="G255" s="67"/>
      <c r="H255" s="67"/>
      <c r="I255" s="67"/>
      <c r="J255" s="67"/>
      <c r="K255" s="67"/>
      <c r="L255" s="67"/>
      <c r="M255" s="67"/>
      <c r="N255" s="67"/>
      <c r="O255" s="67"/>
      <c r="P255" s="67"/>
      <c r="Q255" s="67"/>
      <c r="R255" s="67"/>
      <c r="S255" s="67"/>
      <c r="T255" s="67"/>
      <c r="U255" s="67"/>
      <c r="V255" s="67"/>
      <c r="W255" s="67"/>
      <c r="X255" s="67"/>
      <c r="Y255" s="67"/>
      <c r="Z255" s="67"/>
    </row>
    <row r="256">
      <c r="A256" s="135"/>
      <c r="B256" s="125"/>
      <c r="C256" s="125"/>
      <c r="D256" s="125"/>
      <c r="E256" s="125"/>
      <c r="F256" s="146"/>
      <c r="G256" s="67"/>
      <c r="H256" s="67"/>
      <c r="I256" s="67"/>
      <c r="J256" s="67"/>
      <c r="K256" s="67"/>
      <c r="L256" s="67"/>
      <c r="M256" s="67"/>
      <c r="N256" s="67"/>
      <c r="O256" s="67"/>
      <c r="P256" s="67"/>
      <c r="Q256" s="67"/>
      <c r="R256" s="67"/>
      <c r="S256" s="67"/>
      <c r="T256" s="67"/>
      <c r="U256" s="67"/>
      <c r="V256" s="67"/>
      <c r="W256" s="67"/>
      <c r="X256" s="67"/>
      <c r="Y256" s="67"/>
      <c r="Z256" s="67"/>
    </row>
    <row r="257">
      <c r="A257" s="136"/>
      <c r="B257" s="131"/>
      <c r="C257" s="131"/>
      <c r="D257" s="131"/>
      <c r="E257" s="131"/>
      <c r="F257" s="144"/>
      <c r="G257" s="67"/>
      <c r="H257" s="67"/>
      <c r="I257" s="67"/>
      <c r="J257" s="67"/>
      <c r="K257" s="67"/>
      <c r="L257" s="67"/>
      <c r="M257" s="67"/>
      <c r="N257" s="67"/>
      <c r="O257" s="67"/>
      <c r="P257" s="67"/>
      <c r="Q257" s="67"/>
      <c r="R257" s="67"/>
      <c r="S257" s="67"/>
      <c r="T257" s="67"/>
      <c r="U257" s="67"/>
      <c r="V257" s="67"/>
      <c r="W257" s="67"/>
      <c r="X257" s="67"/>
      <c r="Y257" s="67"/>
      <c r="Z257" s="67"/>
    </row>
    <row r="258">
      <c r="A258" s="135"/>
      <c r="B258" s="125"/>
      <c r="C258" s="125"/>
      <c r="D258" s="125"/>
      <c r="E258" s="125"/>
      <c r="F258" s="146"/>
      <c r="G258" s="67"/>
      <c r="H258" s="67"/>
      <c r="I258" s="67"/>
      <c r="J258" s="67"/>
      <c r="K258" s="67"/>
      <c r="L258" s="67"/>
      <c r="M258" s="67"/>
      <c r="N258" s="67"/>
      <c r="O258" s="67"/>
      <c r="P258" s="67"/>
      <c r="Q258" s="67"/>
      <c r="R258" s="67"/>
      <c r="S258" s="67"/>
      <c r="T258" s="67"/>
      <c r="U258" s="67"/>
      <c r="V258" s="67"/>
      <c r="W258" s="67"/>
      <c r="X258" s="67"/>
      <c r="Y258" s="67"/>
      <c r="Z258" s="67"/>
    </row>
    <row r="259">
      <c r="A259" s="136"/>
      <c r="B259" s="131"/>
      <c r="C259" s="131"/>
      <c r="D259" s="131"/>
      <c r="E259" s="131"/>
      <c r="F259" s="144"/>
      <c r="G259" s="67"/>
      <c r="H259" s="67"/>
      <c r="I259" s="67"/>
      <c r="J259" s="67"/>
      <c r="K259" s="67"/>
      <c r="L259" s="67"/>
      <c r="M259" s="67"/>
      <c r="N259" s="67"/>
      <c r="O259" s="67"/>
      <c r="P259" s="67"/>
      <c r="Q259" s="67"/>
      <c r="R259" s="67"/>
      <c r="S259" s="67"/>
      <c r="T259" s="67"/>
      <c r="U259" s="67"/>
      <c r="V259" s="67"/>
      <c r="W259" s="67"/>
      <c r="X259" s="67"/>
      <c r="Y259" s="67"/>
      <c r="Z259" s="67"/>
    </row>
    <row r="260">
      <c r="A260" s="135"/>
      <c r="B260" s="125"/>
      <c r="C260" s="125"/>
      <c r="D260" s="125"/>
      <c r="E260" s="125"/>
      <c r="F260" s="146"/>
      <c r="G260" s="67"/>
      <c r="H260" s="67"/>
      <c r="I260" s="67"/>
      <c r="J260" s="67"/>
      <c r="K260" s="67"/>
      <c r="L260" s="67"/>
      <c r="M260" s="67"/>
      <c r="N260" s="67"/>
      <c r="O260" s="67"/>
      <c r="P260" s="67"/>
      <c r="Q260" s="67"/>
      <c r="R260" s="67"/>
      <c r="S260" s="67"/>
      <c r="T260" s="67"/>
      <c r="U260" s="67"/>
      <c r="V260" s="67"/>
      <c r="W260" s="67"/>
      <c r="X260" s="67"/>
      <c r="Y260" s="67"/>
      <c r="Z260" s="67"/>
    </row>
    <row r="261">
      <c r="A261" s="136"/>
      <c r="B261" s="131"/>
      <c r="C261" s="131"/>
      <c r="D261" s="131"/>
      <c r="E261" s="131"/>
      <c r="F261" s="144"/>
      <c r="G261" s="67"/>
      <c r="H261" s="67"/>
      <c r="I261" s="67"/>
      <c r="J261" s="67"/>
      <c r="K261" s="67"/>
      <c r="L261" s="67"/>
      <c r="M261" s="67"/>
      <c r="N261" s="67"/>
      <c r="O261" s="67"/>
      <c r="P261" s="67"/>
      <c r="Q261" s="67"/>
      <c r="R261" s="67"/>
      <c r="S261" s="67"/>
      <c r="T261" s="67"/>
      <c r="U261" s="67"/>
      <c r="V261" s="67"/>
      <c r="W261" s="67"/>
      <c r="X261" s="67"/>
      <c r="Y261" s="67"/>
      <c r="Z261" s="67"/>
    </row>
    <row r="262">
      <c r="A262" s="135"/>
      <c r="B262" s="125"/>
      <c r="C262" s="125"/>
      <c r="D262" s="125"/>
      <c r="E262" s="125"/>
      <c r="F262" s="146"/>
      <c r="G262" s="67"/>
      <c r="H262" s="67"/>
      <c r="I262" s="67"/>
      <c r="J262" s="67"/>
      <c r="K262" s="67"/>
      <c r="L262" s="67"/>
      <c r="M262" s="67"/>
      <c r="N262" s="67"/>
      <c r="O262" s="67"/>
      <c r="P262" s="67"/>
      <c r="Q262" s="67"/>
      <c r="R262" s="67"/>
      <c r="S262" s="67"/>
      <c r="T262" s="67"/>
      <c r="U262" s="67"/>
      <c r="V262" s="67"/>
      <c r="W262" s="67"/>
      <c r="X262" s="67"/>
      <c r="Y262" s="67"/>
      <c r="Z262" s="67"/>
    </row>
    <row r="263">
      <c r="A263" s="136"/>
      <c r="B263" s="131"/>
      <c r="C263" s="131"/>
      <c r="D263" s="131"/>
      <c r="E263" s="131"/>
      <c r="F263" s="144"/>
      <c r="G263" s="67"/>
      <c r="H263" s="67"/>
      <c r="I263" s="67"/>
      <c r="J263" s="67"/>
      <c r="K263" s="67"/>
      <c r="L263" s="67"/>
      <c r="M263" s="67"/>
      <c r="N263" s="67"/>
      <c r="O263" s="67"/>
      <c r="P263" s="67"/>
      <c r="Q263" s="67"/>
      <c r="R263" s="67"/>
      <c r="S263" s="67"/>
      <c r="T263" s="67"/>
      <c r="U263" s="67"/>
      <c r="V263" s="67"/>
      <c r="W263" s="67"/>
      <c r="X263" s="67"/>
      <c r="Y263" s="67"/>
      <c r="Z263" s="67"/>
    </row>
    <row r="264">
      <c r="A264" s="135"/>
      <c r="B264" s="125"/>
      <c r="C264" s="125"/>
      <c r="D264" s="125"/>
      <c r="E264" s="125"/>
      <c r="F264" s="146"/>
      <c r="G264" s="67"/>
      <c r="H264" s="67"/>
      <c r="I264" s="67"/>
      <c r="J264" s="67"/>
      <c r="K264" s="67"/>
      <c r="L264" s="67"/>
      <c r="M264" s="67"/>
      <c r="N264" s="67"/>
      <c r="O264" s="67"/>
      <c r="P264" s="67"/>
      <c r="Q264" s="67"/>
      <c r="R264" s="67"/>
      <c r="S264" s="67"/>
      <c r="T264" s="67"/>
      <c r="U264" s="67"/>
      <c r="V264" s="67"/>
      <c r="W264" s="67"/>
      <c r="X264" s="67"/>
      <c r="Y264" s="67"/>
      <c r="Z264" s="67"/>
    </row>
    <row r="265">
      <c r="A265" s="136"/>
      <c r="B265" s="131"/>
      <c r="C265" s="131"/>
      <c r="D265" s="131"/>
      <c r="E265" s="131"/>
      <c r="F265" s="144"/>
      <c r="G265" s="67"/>
      <c r="H265" s="67"/>
      <c r="I265" s="67"/>
      <c r="J265" s="67"/>
      <c r="K265" s="67"/>
      <c r="L265" s="67"/>
      <c r="M265" s="67"/>
      <c r="N265" s="67"/>
      <c r="O265" s="67"/>
      <c r="P265" s="67"/>
      <c r="Q265" s="67"/>
      <c r="R265" s="67"/>
      <c r="S265" s="67"/>
      <c r="T265" s="67"/>
      <c r="U265" s="67"/>
      <c r="V265" s="67"/>
      <c r="W265" s="67"/>
      <c r="X265" s="67"/>
      <c r="Y265" s="67"/>
      <c r="Z265" s="67"/>
    </row>
    <row r="266">
      <c r="A266" s="135"/>
      <c r="B266" s="125"/>
      <c r="C266" s="125"/>
      <c r="D266" s="125"/>
      <c r="E266" s="125"/>
      <c r="F266" s="146"/>
      <c r="G266" s="67"/>
      <c r="H266" s="67"/>
      <c r="I266" s="67"/>
      <c r="J266" s="67"/>
      <c r="K266" s="67"/>
      <c r="L266" s="67"/>
      <c r="M266" s="67"/>
      <c r="N266" s="67"/>
      <c r="O266" s="67"/>
      <c r="P266" s="67"/>
      <c r="Q266" s="67"/>
      <c r="R266" s="67"/>
      <c r="S266" s="67"/>
      <c r="T266" s="67"/>
      <c r="U266" s="67"/>
      <c r="V266" s="67"/>
      <c r="W266" s="67"/>
      <c r="X266" s="67"/>
      <c r="Y266" s="67"/>
      <c r="Z266" s="67"/>
    </row>
    <row r="267">
      <c r="A267" s="136"/>
      <c r="B267" s="131"/>
      <c r="C267" s="131"/>
      <c r="D267" s="131"/>
      <c r="E267" s="131"/>
      <c r="F267" s="144"/>
      <c r="G267" s="67"/>
      <c r="H267" s="67"/>
      <c r="I267" s="67"/>
      <c r="J267" s="67"/>
      <c r="K267" s="67"/>
      <c r="L267" s="67"/>
      <c r="M267" s="67"/>
      <c r="N267" s="67"/>
      <c r="O267" s="67"/>
      <c r="P267" s="67"/>
      <c r="Q267" s="67"/>
      <c r="R267" s="67"/>
      <c r="S267" s="67"/>
      <c r="T267" s="67"/>
      <c r="U267" s="67"/>
      <c r="V267" s="67"/>
      <c r="W267" s="67"/>
      <c r="X267" s="67"/>
      <c r="Y267" s="67"/>
      <c r="Z267" s="67"/>
    </row>
    <row r="268">
      <c r="A268" s="135"/>
      <c r="B268" s="125"/>
      <c r="C268" s="125"/>
      <c r="D268" s="125"/>
      <c r="E268" s="125"/>
      <c r="F268" s="146"/>
      <c r="G268" s="67"/>
      <c r="H268" s="67"/>
      <c r="I268" s="67"/>
      <c r="J268" s="67"/>
      <c r="K268" s="67"/>
      <c r="L268" s="67"/>
      <c r="M268" s="67"/>
      <c r="N268" s="67"/>
      <c r="O268" s="67"/>
      <c r="P268" s="67"/>
      <c r="Q268" s="67"/>
      <c r="R268" s="67"/>
      <c r="S268" s="67"/>
      <c r="T268" s="67"/>
      <c r="U268" s="67"/>
      <c r="V268" s="67"/>
      <c r="W268" s="67"/>
      <c r="X268" s="67"/>
      <c r="Y268" s="67"/>
      <c r="Z268" s="67"/>
    </row>
    <row r="269">
      <c r="A269" s="136"/>
      <c r="B269" s="131"/>
      <c r="C269" s="131"/>
      <c r="D269" s="131"/>
      <c r="E269" s="131"/>
      <c r="F269" s="144"/>
      <c r="G269" s="67"/>
      <c r="H269" s="67"/>
      <c r="I269" s="67"/>
      <c r="J269" s="67"/>
      <c r="K269" s="67"/>
      <c r="L269" s="67"/>
      <c r="M269" s="67"/>
      <c r="N269" s="67"/>
      <c r="O269" s="67"/>
      <c r="P269" s="67"/>
      <c r="Q269" s="67"/>
      <c r="R269" s="67"/>
      <c r="S269" s="67"/>
      <c r="T269" s="67"/>
      <c r="U269" s="67"/>
      <c r="V269" s="67"/>
      <c r="W269" s="67"/>
      <c r="X269" s="67"/>
      <c r="Y269" s="67"/>
      <c r="Z269" s="67"/>
    </row>
    <row r="270">
      <c r="A270" s="135"/>
      <c r="B270" s="125"/>
      <c r="C270" s="125"/>
      <c r="D270" s="125"/>
      <c r="E270" s="125"/>
      <c r="F270" s="146"/>
      <c r="G270" s="67"/>
      <c r="H270" s="67"/>
      <c r="I270" s="67"/>
      <c r="J270" s="67"/>
      <c r="K270" s="67"/>
      <c r="L270" s="67"/>
      <c r="M270" s="67"/>
      <c r="N270" s="67"/>
      <c r="O270" s="67"/>
      <c r="P270" s="67"/>
      <c r="Q270" s="67"/>
      <c r="R270" s="67"/>
      <c r="S270" s="67"/>
      <c r="T270" s="67"/>
      <c r="U270" s="67"/>
      <c r="V270" s="67"/>
      <c r="W270" s="67"/>
      <c r="X270" s="67"/>
      <c r="Y270" s="67"/>
      <c r="Z270" s="67"/>
    </row>
    <row r="271">
      <c r="A271" s="136"/>
      <c r="B271" s="131"/>
      <c r="C271" s="131"/>
      <c r="D271" s="131"/>
      <c r="E271" s="131"/>
      <c r="F271" s="144"/>
      <c r="G271" s="67"/>
      <c r="H271" s="67"/>
      <c r="I271" s="67"/>
      <c r="J271" s="67"/>
      <c r="K271" s="67"/>
      <c r="L271" s="67"/>
      <c r="M271" s="67"/>
      <c r="N271" s="67"/>
      <c r="O271" s="67"/>
      <c r="P271" s="67"/>
      <c r="Q271" s="67"/>
      <c r="R271" s="67"/>
      <c r="S271" s="67"/>
      <c r="T271" s="67"/>
      <c r="U271" s="67"/>
      <c r="V271" s="67"/>
      <c r="W271" s="67"/>
      <c r="X271" s="67"/>
      <c r="Y271" s="67"/>
      <c r="Z271" s="67"/>
    </row>
    <row r="272">
      <c r="A272" s="135"/>
      <c r="B272" s="125"/>
      <c r="C272" s="125"/>
      <c r="D272" s="125"/>
      <c r="E272" s="125"/>
      <c r="F272" s="146"/>
      <c r="G272" s="67"/>
      <c r="H272" s="67"/>
      <c r="I272" s="67"/>
      <c r="J272" s="67"/>
      <c r="K272" s="67"/>
      <c r="L272" s="67"/>
      <c r="M272" s="67"/>
      <c r="N272" s="67"/>
      <c r="O272" s="67"/>
      <c r="P272" s="67"/>
      <c r="Q272" s="67"/>
      <c r="R272" s="67"/>
      <c r="S272" s="67"/>
      <c r="T272" s="67"/>
      <c r="U272" s="67"/>
      <c r="V272" s="67"/>
      <c r="W272" s="67"/>
      <c r="X272" s="67"/>
      <c r="Y272" s="67"/>
      <c r="Z272" s="67"/>
    </row>
    <row r="273">
      <c r="A273" s="136"/>
      <c r="B273" s="131"/>
      <c r="C273" s="131"/>
      <c r="D273" s="131"/>
      <c r="E273" s="131"/>
      <c r="F273" s="144"/>
      <c r="G273" s="67"/>
      <c r="H273" s="67"/>
      <c r="I273" s="67"/>
      <c r="J273" s="67"/>
      <c r="K273" s="67"/>
      <c r="L273" s="67"/>
      <c r="M273" s="67"/>
      <c r="N273" s="67"/>
      <c r="O273" s="67"/>
      <c r="P273" s="67"/>
      <c r="Q273" s="67"/>
      <c r="R273" s="67"/>
      <c r="S273" s="67"/>
      <c r="T273" s="67"/>
      <c r="U273" s="67"/>
      <c r="V273" s="67"/>
      <c r="W273" s="67"/>
      <c r="X273" s="67"/>
      <c r="Y273" s="67"/>
      <c r="Z273" s="67"/>
    </row>
    <row r="274">
      <c r="A274" s="135"/>
      <c r="B274" s="125"/>
      <c r="C274" s="125"/>
      <c r="D274" s="125"/>
      <c r="E274" s="125"/>
      <c r="F274" s="146"/>
      <c r="G274" s="67"/>
      <c r="H274" s="67"/>
      <c r="I274" s="67"/>
      <c r="J274" s="67"/>
      <c r="K274" s="67"/>
      <c r="L274" s="67"/>
      <c r="M274" s="67"/>
      <c r="N274" s="67"/>
      <c r="O274" s="67"/>
      <c r="P274" s="67"/>
      <c r="Q274" s="67"/>
      <c r="R274" s="67"/>
      <c r="S274" s="67"/>
      <c r="T274" s="67"/>
      <c r="U274" s="67"/>
      <c r="V274" s="67"/>
      <c r="W274" s="67"/>
      <c r="X274" s="67"/>
      <c r="Y274" s="67"/>
      <c r="Z274" s="67"/>
    </row>
    <row r="275">
      <c r="A275" s="136"/>
      <c r="B275" s="131"/>
      <c r="C275" s="131"/>
      <c r="D275" s="131"/>
      <c r="E275" s="131"/>
      <c r="F275" s="144"/>
      <c r="G275" s="67"/>
      <c r="H275" s="67"/>
      <c r="I275" s="67"/>
      <c r="J275" s="67"/>
      <c r="K275" s="67"/>
      <c r="L275" s="67"/>
      <c r="M275" s="67"/>
      <c r="N275" s="67"/>
      <c r="O275" s="67"/>
      <c r="P275" s="67"/>
      <c r="Q275" s="67"/>
      <c r="R275" s="67"/>
      <c r="S275" s="67"/>
      <c r="T275" s="67"/>
      <c r="U275" s="67"/>
      <c r="V275" s="67"/>
      <c r="W275" s="67"/>
      <c r="X275" s="67"/>
      <c r="Y275" s="67"/>
      <c r="Z275" s="67"/>
    </row>
    <row r="276">
      <c r="A276" s="135"/>
      <c r="B276" s="125"/>
      <c r="C276" s="125"/>
      <c r="D276" s="125"/>
      <c r="E276" s="125"/>
      <c r="F276" s="146"/>
      <c r="G276" s="67"/>
      <c r="H276" s="67"/>
      <c r="I276" s="67"/>
      <c r="J276" s="67"/>
      <c r="K276" s="67"/>
      <c r="L276" s="67"/>
      <c r="M276" s="67"/>
      <c r="N276" s="67"/>
      <c r="O276" s="67"/>
      <c r="P276" s="67"/>
      <c r="Q276" s="67"/>
      <c r="R276" s="67"/>
      <c r="S276" s="67"/>
      <c r="T276" s="67"/>
      <c r="U276" s="67"/>
      <c r="V276" s="67"/>
      <c r="W276" s="67"/>
      <c r="X276" s="67"/>
      <c r="Y276" s="67"/>
      <c r="Z276" s="67"/>
    </row>
    <row r="277">
      <c r="A277" s="136"/>
      <c r="B277" s="131"/>
      <c r="C277" s="131"/>
      <c r="D277" s="131"/>
      <c r="E277" s="131"/>
      <c r="F277" s="144"/>
      <c r="G277" s="67"/>
      <c r="H277" s="67"/>
      <c r="I277" s="67"/>
      <c r="J277" s="67"/>
      <c r="K277" s="67"/>
      <c r="L277" s="67"/>
      <c r="M277" s="67"/>
      <c r="N277" s="67"/>
      <c r="O277" s="67"/>
      <c r="P277" s="67"/>
      <c r="Q277" s="67"/>
      <c r="R277" s="67"/>
      <c r="S277" s="67"/>
      <c r="T277" s="67"/>
      <c r="U277" s="67"/>
      <c r="V277" s="67"/>
      <c r="W277" s="67"/>
      <c r="X277" s="67"/>
      <c r="Y277" s="67"/>
      <c r="Z277" s="67"/>
    </row>
    <row r="278">
      <c r="A278" s="135"/>
      <c r="B278" s="125"/>
      <c r="C278" s="125"/>
      <c r="D278" s="125"/>
      <c r="E278" s="125"/>
      <c r="F278" s="146"/>
      <c r="G278" s="67"/>
      <c r="H278" s="67"/>
      <c r="I278" s="67"/>
      <c r="J278" s="67"/>
      <c r="K278" s="67"/>
      <c r="L278" s="67"/>
      <c r="M278" s="67"/>
      <c r="N278" s="67"/>
      <c r="O278" s="67"/>
      <c r="P278" s="67"/>
      <c r="Q278" s="67"/>
      <c r="R278" s="67"/>
      <c r="S278" s="67"/>
      <c r="T278" s="67"/>
      <c r="U278" s="67"/>
      <c r="V278" s="67"/>
      <c r="W278" s="67"/>
      <c r="X278" s="67"/>
      <c r="Y278" s="67"/>
      <c r="Z278" s="67"/>
    </row>
    <row r="279">
      <c r="A279" s="136"/>
      <c r="B279" s="131"/>
      <c r="C279" s="131"/>
      <c r="D279" s="131"/>
      <c r="E279" s="131"/>
      <c r="F279" s="144"/>
      <c r="G279" s="67"/>
      <c r="H279" s="67"/>
      <c r="I279" s="67"/>
      <c r="J279" s="67"/>
      <c r="K279" s="67"/>
      <c r="L279" s="67"/>
      <c r="M279" s="67"/>
      <c r="N279" s="67"/>
      <c r="O279" s="67"/>
      <c r="P279" s="67"/>
      <c r="Q279" s="67"/>
      <c r="R279" s="67"/>
      <c r="S279" s="67"/>
      <c r="T279" s="67"/>
      <c r="U279" s="67"/>
      <c r="V279" s="67"/>
      <c r="W279" s="67"/>
      <c r="X279" s="67"/>
      <c r="Y279" s="67"/>
      <c r="Z279" s="67"/>
    </row>
    <row r="280">
      <c r="A280" s="135"/>
      <c r="B280" s="125"/>
      <c r="C280" s="125"/>
      <c r="D280" s="125"/>
      <c r="E280" s="125"/>
      <c r="F280" s="146"/>
      <c r="G280" s="67"/>
      <c r="H280" s="67"/>
      <c r="I280" s="67"/>
      <c r="J280" s="67"/>
      <c r="K280" s="67"/>
      <c r="L280" s="67"/>
      <c r="M280" s="67"/>
      <c r="N280" s="67"/>
      <c r="O280" s="67"/>
      <c r="P280" s="67"/>
      <c r="Q280" s="67"/>
      <c r="R280" s="67"/>
      <c r="S280" s="67"/>
      <c r="T280" s="67"/>
      <c r="U280" s="67"/>
      <c r="V280" s="67"/>
      <c r="W280" s="67"/>
      <c r="X280" s="67"/>
      <c r="Y280" s="67"/>
      <c r="Z280" s="67"/>
    </row>
    <row r="281">
      <c r="A281" s="136"/>
      <c r="B281" s="131"/>
      <c r="C281" s="131"/>
      <c r="D281" s="131"/>
      <c r="E281" s="131"/>
      <c r="F281" s="144"/>
      <c r="G281" s="67"/>
      <c r="H281" s="67"/>
      <c r="I281" s="67"/>
      <c r="J281" s="67"/>
      <c r="K281" s="67"/>
      <c r="L281" s="67"/>
      <c r="M281" s="67"/>
      <c r="N281" s="67"/>
      <c r="O281" s="67"/>
      <c r="P281" s="67"/>
      <c r="Q281" s="67"/>
      <c r="R281" s="67"/>
      <c r="S281" s="67"/>
      <c r="T281" s="67"/>
      <c r="U281" s="67"/>
      <c r="V281" s="67"/>
      <c r="W281" s="67"/>
      <c r="X281" s="67"/>
      <c r="Y281" s="67"/>
      <c r="Z281" s="67"/>
    </row>
    <row r="282">
      <c r="A282" s="135"/>
      <c r="B282" s="125"/>
      <c r="C282" s="125"/>
      <c r="D282" s="125"/>
      <c r="E282" s="125"/>
      <c r="F282" s="146"/>
      <c r="G282" s="67"/>
      <c r="H282" s="67"/>
      <c r="I282" s="67"/>
      <c r="J282" s="67"/>
      <c r="K282" s="67"/>
      <c r="L282" s="67"/>
      <c r="M282" s="67"/>
      <c r="N282" s="67"/>
      <c r="O282" s="67"/>
      <c r="P282" s="67"/>
      <c r="Q282" s="67"/>
      <c r="R282" s="67"/>
      <c r="S282" s="67"/>
      <c r="T282" s="67"/>
      <c r="U282" s="67"/>
      <c r="V282" s="67"/>
      <c r="W282" s="67"/>
      <c r="X282" s="67"/>
      <c r="Y282" s="67"/>
      <c r="Z282" s="67"/>
    </row>
    <row r="283">
      <c r="A283" s="136"/>
      <c r="B283" s="131"/>
      <c r="C283" s="131"/>
      <c r="D283" s="131"/>
      <c r="E283" s="131"/>
      <c r="F283" s="144"/>
      <c r="G283" s="67"/>
      <c r="H283" s="67"/>
      <c r="I283" s="67"/>
      <c r="J283" s="67"/>
      <c r="K283" s="67"/>
      <c r="L283" s="67"/>
      <c r="M283" s="67"/>
      <c r="N283" s="67"/>
      <c r="O283" s="67"/>
      <c r="P283" s="67"/>
      <c r="Q283" s="67"/>
      <c r="R283" s="67"/>
      <c r="S283" s="67"/>
      <c r="T283" s="67"/>
      <c r="U283" s="67"/>
      <c r="V283" s="67"/>
      <c r="W283" s="67"/>
      <c r="X283" s="67"/>
      <c r="Y283" s="67"/>
      <c r="Z283" s="67"/>
    </row>
    <row r="284">
      <c r="A284" s="135"/>
      <c r="B284" s="125"/>
      <c r="C284" s="125"/>
      <c r="D284" s="125"/>
      <c r="E284" s="125"/>
      <c r="F284" s="146"/>
      <c r="G284" s="67"/>
      <c r="H284" s="67"/>
      <c r="I284" s="67"/>
      <c r="J284" s="67"/>
      <c r="K284" s="67"/>
      <c r="L284" s="67"/>
      <c r="M284" s="67"/>
      <c r="N284" s="67"/>
      <c r="O284" s="67"/>
      <c r="P284" s="67"/>
      <c r="Q284" s="67"/>
      <c r="R284" s="67"/>
      <c r="S284" s="67"/>
      <c r="T284" s="67"/>
      <c r="U284" s="67"/>
      <c r="V284" s="67"/>
      <c r="W284" s="67"/>
      <c r="X284" s="67"/>
      <c r="Y284" s="67"/>
      <c r="Z284" s="67"/>
    </row>
    <row r="285">
      <c r="A285" s="136"/>
      <c r="B285" s="131"/>
      <c r="C285" s="131"/>
      <c r="D285" s="131"/>
      <c r="E285" s="131"/>
      <c r="F285" s="144"/>
      <c r="G285" s="67"/>
      <c r="H285" s="67"/>
      <c r="I285" s="67"/>
      <c r="J285" s="67"/>
      <c r="K285" s="67"/>
      <c r="L285" s="67"/>
      <c r="M285" s="67"/>
      <c r="N285" s="67"/>
      <c r="O285" s="67"/>
      <c r="P285" s="67"/>
      <c r="Q285" s="67"/>
      <c r="R285" s="67"/>
      <c r="S285" s="67"/>
      <c r="T285" s="67"/>
      <c r="U285" s="67"/>
      <c r="V285" s="67"/>
      <c r="W285" s="67"/>
      <c r="X285" s="67"/>
      <c r="Y285" s="67"/>
      <c r="Z285" s="67"/>
    </row>
    <row r="286">
      <c r="A286" s="135"/>
      <c r="B286" s="125"/>
      <c r="C286" s="125"/>
      <c r="D286" s="125"/>
      <c r="E286" s="125"/>
      <c r="F286" s="146"/>
      <c r="G286" s="67"/>
      <c r="H286" s="67"/>
      <c r="I286" s="67"/>
      <c r="J286" s="67"/>
      <c r="K286" s="67"/>
      <c r="L286" s="67"/>
      <c r="M286" s="67"/>
      <c r="N286" s="67"/>
      <c r="O286" s="67"/>
      <c r="P286" s="67"/>
      <c r="Q286" s="67"/>
      <c r="R286" s="67"/>
      <c r="S286" s="67"/>
      <c r="T286" s="67"/>
      <c r="U286" s="67"/>
      <c r="V286" s="67"/>
      <c r="W286" s="67"/>
      <c r="X286" s="67"/>
      <c r="Y286" s="67"/>
      <c r="Z286" s="67"/>
    </row>
    <row r="287">
      <c r="A287" s="136"/>
      <c r="B287" s="131"/>
      <c r="C287" s="131"/>
      <c r="D287" s="131"/>
      <c r="E287" s="131"/>
      <c r="F287" s="144"/>
      <c r="G287" s="67"/>
      <c r="H287" s="67"/>
      <c r="I287" s="67"/>
      <c r="J287" s="67"/>
      <c r="K287" s="67"/>
      <c r="L287" s="67"/>
      <c r="M287" s="67"/>
      <c r="N287" s="67"/>
      <c r="O287" s="67"/>
      <c r="P287" s="67"/>
      <c r="Q287" s="67"/>
      <c r="R287" s="67"/>
      <c r="S287" s="67"/>
      <c r="T287" s="67"/>
      <c r="U287" s="67"/>
      <c r="V287" s="67"/>
      <c r="W287" s="67"/>
      <c r="X287" s="67"/>
      <c r="Y287" s="67"/>
      <c r="Z287" s="67"/>
    </row>
    <row r="288">
      <c r="A288" s="135"/>
      <c r="B288" s="125"/>
      <c r="C288" s="125"/>
      <c r="D288" s="125"/>
      <c r="E288" s="125"/>
      <c r="F288" s="146"/>
      <c r="G288" s="67"/>
      <c r="H288" s="67"/>
      <c r="I288" s="67"/>
      <c r="J288" s="67"/>
      <c r="K288" s="67"/>
      <c r="L288" s="67"/>
      <c r="M288" s="67"/>
      <c r="N288" s="67"/>
      <c r="O288" s="67"/>
      <c r="P288" s="67"/>
      <c r="Q288" s="67"/>
      <c r="R288" s="67"/>
      <c r="S288" s="67"/>
      <c r="T288" s="67"/>
      <c r="U288" s="67"/>
      <c r="V288" s="67"/>
      <c r="W288" s="67"/>
      <c r="X288" s="67"/>
      <c r="Y288" s="67"/>
      <c r="Z288" s="67"/>
    </row>
    <row r="289">
      <c r="A289" s="136"/>
      <c r="B289" s="131"/>
      <c r="C289" s="131"/>
      <c r="D289" s="131"/>
      <c r="E289" s="131"/>
      <c r="F289" s="144"/>
      <c r="G289" s="67"/>
      <c r="H289" s="67"/>
      <c r="I289" s="67"/>
      <c r="J289" s="67"/>
      <c r="K289" s="67"/>
      <c r="L289" s="67"/>
      <c r="M289" s="67"/>
      <c r="N289" s="67"/>
      <c r="O289" s="67"/>
      <c r="P289" s="67"/>
      <c r="Q289" s="67"/>
      <c r="R289" s="67"/>
      <c r="S289" s="67"/>
      <c r="T289" s="67"/>
      <c r="U289" s="67"/>
      <c r="V289" s="67"/>
      <c r="W289" s="67"/>
      <c r="X289" s="67"/>
      <c r="Y289" s="67"/>
      <c r="Z289" s="67"/>
    </row>
    <row r="290">
      <c r="A290" s="135"/>
      <c r="B290" s="125"/>
      <c r="C290" s="125"/>
      <c r="D290" s="125"/>
      <c r="E290" s="125"/>
      <c r="F290" s="146"/>
      <c r="G290" s="67"/>
      <c r="H290" s="67"/>
      <c r="I290" s="67"/>
      <c r="J290" s="67"/>
      <c r="K290" s="67"/>
      <c r="L290" s="67"/>
      <c r="M290" s="67"/>
      <c r="N290" s="67"/>
      <c r="O290" s="67"/>
      <c r="P290" s="67"/>
      <c r="Q290" s="67"/>
      <c r="R290" s="67"/>
      <c r="S290" s="67"/>
      <c r="T290" s="67"/>
      <c r="U290" s="67"/>
      <c r="V290" s="67"/>
      <c r="W290" s="67"/>
      <c r="X290" s="67"/>
      <c r="Y290" s="67"/>
      <c r="Z290" s="67"/>
    </row>
    <row r="291">
      <c r="A291" s="136"/>
      <c r="B291" s="131"/>
      <c r="C291" s="131"/>
      <c r="D291" s="131"/>
      <c r="E291" s="131"/>
      <c r="F291" s="144"/>
      <c r="G291" s="67"/>
      <c r="H291" s="67"/>
      <c r="I291" s="67"/>
      <c r="J291" s="67"/>
      <c r="K291" s="67"/>
      <c r="L291" s="67"/>
      <c r="M291" s="67"/>
      <c r="N291" s="67"/>
      <c r="O291" s="67"/>
      <c r="P291" s="67"/>
      <c r="Q291" s="67"/>
      <c r="R291" s="67"/>
      <c r="S291" s="67"/>
      <c r="T291" s="67"/>
      <c r="U291" s="67"/>
      <c r="V291" s="67"/>
      <c r="W291" s="67"/>
      <c r="X291" s="67"/>
      <c r="Y291" s="67"/>
      <c r="Z291" s="67"/>
    </row>
    <row r="292">
      <c r="A292" s="135"/>
      <c r="B292" s="125"/>
      <c r="C292" s="125"/>
      <c r="D292" s="125"/>
      <c r="E292" s="125"/>
      <c r="F292" s="146"/>
      <c r="G292" s="67"/>
      <c r="H292" s="67"/>
      <c r="I292" s="67"/>
      <c r="J292" s="67"/>
      <c r="K292" s="67"/>
      <c r="L292" s="67"/>
      <c r="M292" s="67"/>
      <c r="N292" s="67"/>
      <c r="O292" s="67"/>
      <c r="P292" s="67"/>
      <c r="Q292" s="67"/>
      <c r="R292" s="67"/>
      <c r="S292" s="67"/>
      <c r="T292" s="67"/>
      <c r="U292" s="67"/>
      <c r="V292" s="67"/>
      <c r="W292" s="67"/>
      <c r="X292" s="67"/>
      <c r="Y292" s="67"/>
      <c r="Z292" s="67"/>
    </row>
    <row r="293">
      <c r="A293" s="136"/>
      <c r="B293" s="131"/>
      <c r="C293" s="131"/>
      <c r="D293" s="131"/>
      <c r="E293" s="131"/>
      <c r="F293" s="144"/>
      <c r="G293" s="67"/>
      <c r="H293" s="67"/>
      <c r="I293" s="67"/>
      <c r="J293" s="67"/>
      <c r="K293" s="67"/>
      <c r="L293" s="67"/>
      <c r="M293" s="67"/>
      <c r="N293" s="67"/>
      <c r="O293" s="67"/>
      <c r="P293" s="67"/>
      <c r="Q293" s="67"/>
      <c r="R293" s="67"/>
      <c r="S293" s="67"/>
      <c r="T293" s="67"/>
      <c r="U293" s="67"/>
      <c r="V293" s="67"/>
      <c r="W293" s="67"/>
      <c r="X293" s="67"/>
      <c r="Y293" s="67"/>
      <c r="Z293" s="67"/>
    </row>
    <row r="294">
      <c r="A294" s="135"/>
      <c r="B294" s="125"/>
      <c r="C294" s="125"/>
      <c r="D294" s="125"/>
      <c r="E294" s="125"/>
      <c r="F294" s="146"/>
      <c r="G294" s="67"/>
      <c r="H294" s="67"/>
      <c r="I294" s="67"/>
      <c r="J294" s="67"/>
      <c r="K294" s="67"/>
      <c r="L294" s="67"/>
      <c r="M294" s="67"/>
      <c r="N294" s="67"/>
      <c r="O294" s="67"/>
      <c r="P294" s="67"/>
      <c r="Q294" s="67"/>
      <c r="R294" s="67"/>
      <c r="S294" s="67"/>
      <c r="T294" s="67"/>
      <c r="U294" s="67"/>
      <c r="V294" s="67"/>
      <c r="W294" s="67"/>
      <c r="X294" s="67"/>
      <c r="Y294" s="67"/>
      <c r="Z294" s="67"/>
    </row>
    <row r="295">
      <c r="A295" s="136"/>
      <c r="B295" s="131"/>
      <c r="C295" s="131"/>
      <c r="D295" s="131"/>
      <c r="E295" s="131"/>
      <c r="F295" s="144"/>
      <c r="G295" s="67"/>
      <c r="H295" s="67"/>
      <c r="I295" s="67"/>
      <c r="J295" s="67"/>
      <c r="K295" s="67"/>
      <c r="L295" s="67"/>
      <c r="M295" s="67"/>
      <c r="N295" s="67"/>
      <c r="O295" s="67"/>
      <c r="P295" s="67"/>
      <c r="Q295" s="67"/>
      <c r="R295" s="67"/>
      <c r="S295" s="67"/>
      <c r="T295" s="67"/>
      <c r="U295" s="67"/>
      <c r="V295" s="67"/>
      <c r="W295" s="67"/>
      <c r="X295" s="67"/>
      <c r="Y295" s="67"/>
      <c r="Z295" s="67"/>
    </row>
    <row r="296">
      <c r="A296" s="135"/>
      <c r="B296" s="125"/>
      <c r="C296" s="125"/>
      <c r="D296" s="125"/>
      <c r="E296" s="125"/>
      <c r="F296" s="146"/>
      <c r="G296" s="67"/>
      <c r="H296" s="67"/>
      <c r="I296" s="67"/>
      <c r="J296" s="67"/>
      <c r="K296" s="67"/>
      <c r="L296" s="67"/>
      <c r="M296" s="67"/>
      <c r="N296" s="67"/>
      <c r="O296" s="67"/>
      <c r="P296" s="67"/>
      <c r="Q296" s="67"/>
      <c r="R296" s="67"/>
      <c r="S296" s="67"/>
      <c r="T296" s="67"/>
      <c r="U296" s="67"/>
      <c r="V296" s="67"/>
      <c r="W296" s="67"/>
      <c r="X296" s="67"/>
      <c r="Y296" s="67"/>
      <c r="Z296" s="67"/>
    </row>
    <row r="297">
      <c r="A297" s="136"/>
      <c r="B297" s="131"/>
      <c r="C297" s="131"/>
      <c r="D297" s="131"/>
      <c r="E297" s="131"/>
      <c r="F297" s="144"/>
      <c r="G297" s="67"/>
      <c r="H297" s="67"/>
      <c r="I297" s="67"/>
      <c r="J297" s="67"/>
      <c r="K297" s="67"/>
      <c r="L297" s="67"/>
      <c r="M297" s="67"/>
      <c r="N297" s="67"/>
      <c r="O297" s="67"/>
      <c r="P297" s="67"/>
      <c r="Q297" s="67"/>
      <c r="R297" s="67"/>
      <c r="S297" s="67"/>
      <c r="T297" s="67"/>
      <c r="U297" s="67"/>
      <c r="V297" s="67"/>
      <c r="W297" s="67"/>
      <c r="X297" s="67"/>
      <c r="Y297" s="67"/>
      <c r="Z297" s="67"/>
    </row>
    <row r="298">
      <c r="A298" s="135"/>
      <c r="B298" s="125"/>
      <c r="C298" s="125"/>
      <c r="D298" s="125"/>
      <c r="E298" s="125"/>
      <c r="F298" s="146"/>
      <c r="G298" s="67"/>
      <c r="H298" s="67"/>
      <c r="I298" s="67"/>
      <c r="J298" s="67"/>
      <c r="K298" s="67"/>
      <c r="L298" s="67"/>
      <c r="M298" s="67"/>
      <c r="N298" s="67"/>
      <c r="O298" s="67"/>
      <c r="P298" s="67"/>
      <c r="Q298" s="67"/>
      <c r="R298" s="67"/>
      <c r="S298" s="67"/>
      <c r="T298" s="67"/>
      <c r="U298" s="67"/>
      <c r="V298" s="67"/>
      <c r="W298" s="67"/>
      <c r="X298" s="67"/>
      <c r="Y298" s="67"/>
      <c r="Z298" s="67"/>
    </row>
    <row r="299">
      <c r="A299" s="136"/>
      <c r="B299" s="131"/>
      <c r="C299" s="131"/>
      <c r="D299" s="131"/>
      <c r="E299" s="131"/>
      <c r="F299" s="144"/>
      <c r="G299" s="67"/>
      <c r="H299" s="67"/>
      <c r="I299" s="67"/>
      <c r="J299" s="67"/>
      <c r="K299" s="67"/>
      <c r="L299" s="67"/>
      <c r="M299" s="67"/>
      <c r="N299" s="67"/>
      <c r="O299" s="67"/>
      <c r="P299" s="67"/>
      <c r="Q299" s="67"/>
      <c r="R299" s="67"/>
      <c r="S299" s="67"/>
      <c r="T299" s="67"/>
      <c r="U299" s="67"/>
      <c r="V299" s="67"/>
      <c r="W299" s="67"/>
      <c r="X299" s="67"/>
      <c r="Y299" s="67"/>
      <c r="Z299" s="67"/>
    </row>
    <row r="300">
      <c r="A300" s="135"/>
      <c r="B300" s="125"/>
      <c r="C300" s="125"/>
      <c r="D300" s="125"/>
      <c r="E300" s="125"/>
      <c r="F300" s="146"/>
      <c r="G300" s="67"/>
      <c r="H300" s="67"/>
      <c r="I300" s="67"/>
      <c r="J300" s="67"/>
      <c r="K300" s="67"/>
      <c r="L300" s="67"/>
      <c r="M300" s="67"/>
      <c r="N300" s="67"/>
      <c r="O300" s="67"/>
      <c r="P300" s="67"/>
      <c r="Q300" s="67"/>
      <c r="R300" s="67"/>
      <c r="S300" s="67"/>
      <c r="T300" s="67"/>
      <c r="U300" s="67"/>
      <c r="V300" s="67"/>
      <c r="W300" s="67"/>
      <c r="X300" s="67"/>
      <c r="Y300" s="67"/>
      <c r="Z300" s="67"/>
    </row>
    <row r="301">
      <c r="A301" s="136"/>
      <c r="B301" s="131"/>
      <c r="C301" s="131"/>
      <c r="D301" s="131"/>
      <c r="E301" s="131"/>
      <c r="F301" s="144"/>
      <c r="G301" s="67"/>
      <c r="H301" s="67"/>
      <c r="I301" s="67"/>
      <c r="J301" s="67"/>
      <c r="K301" s="67"/>
      <c r="L301" s="67"/>
      <c r="M301" s="67"/>
      <c r="N301" s="67"/>
      <c r="O301" s="67"/>
      <c r="P301" s="67"/>
      <c r="Q301" s="67"/>
      <c r="R301" s="67"/>
      <c r="S301" s="67"/>
      <c r="T301" s="67"/>
      <c r="U301" s="67"/>
      <c r="V301" s="67"/>
      <c r="W301" s="67"/>
      <c r="X301" s="67"/>
      <c r="Y301" s="67"/>
      <c r="Z301" s="67"/>
    </row>
    <row r="302">
      <c r="A302" s="135"/>
      <c r="B302" s="125"/>
      <c r="C302" s="125"/>
      <c r="D302" s="125"/>
      <c r="E302" s="125"/>
      <c r="F302" s="146"/>
      <c r="G302" s="67"/>
      <c r="H302" s="67"/>
      <c r="I302" s="67"/>
      <c r="J302" s="67"/>
      <c r="K302" s="67"/>
      <c r="L302" s="67"/>
      <c r="M302" s="67"/>
      <c r="N302" s="67"/>
      <c r="O302" s="67"/>
      <c r="P302" s="67"/>
      <c r="Q302" s="67"/>
      <c r="R302" s="67"/>
      <c r="S302" s="67"/>
      <c r="T302" s="67"/>
      <c r="U302" s="67"/>
      <c r="V302" s="67"/>
      <c r="W302" s="67"/>
      <c r="X302" s="67"/>
      <c r="Y302" s="67"/>
      <c r="Z302" s="67"/>
    </row>
    <row r="303">
      <c r="A303" s="136"/>
      <c r="B303" s="131"/>
      <c r="C303" s="131"/>
      <c r="D303" s="131"/>
      <c r="E303" s="131"/>
      <c r="F303" s="144"/>
      <c r="G303" s="67"/>
      <c r="H303" s="67"/>
      <c r="I303" s="67"/>
      <c r="J303" s="67"/>
      <c r="K303" s="67"/>
      <c r="L303" s="67"/>
      <c r="M303" s="67"/>
      <c r="N303" s="67"/>
      <c r="O303" s="67"/>
      <c r="P303" s="67"/>
      <c r="Q303" s="67"/>
      <c r="R303" s="67"/>
      <c r="S303" s="67"/>
      <c r="T303" s="67"/>
      <c r="U303" s="67"/>
      <c r="V303" s="67"/>
      <c r="W303" s="67"/>
      <c r="X303" s="67"/>
      <c r="Y303" s="67"/>
      <c r="Z303" s="67"/>
    </row>
    <row r="304">
      <c r="A304" s="135"/>
      <c r="B304" s="125"/>
      <c r="C304" s="125"/>
      <c r="D304" s="125"/>
      <c r="E304" s="125"/>
      <c r="F304" s="146"/>
      <c r="G304" s="67"/>
      <c r="H304" s="67"/>
      <c r="I304" s="67"/>
      <c r="J304" s="67"/>
      <c r="K304" s="67"/>
      <c r="L304" s="67"/>
      <c r="M304" s="67"/>
      <c r="N304" s="67"/>
      <c r="O304" s="67"/>
      <c r="P304" s="67"/>
      <c r="Q304" s="67"/>
      <c r="R304" s="67"/>
      <c r="S304" s="67"/>
      <c r="T304" s="67"/>
      <c r="U304" s="67"/>
      <c r="V304" s="67"/>
      <c r="W304" s="67"/>
      <c r="X304" s="67"/>
      <c r="Y304" s="67"/>
      <c r="Z304" s="67"/>
    </row>
    <row r="305">
      <c r="A305" s="136"/>
      <c r="B305" s="131"/>
      <c r="C305" s="131"/>
      <c r="D305" s="131"/>
      <c r="E305" s="131"/>
      <c r="F305" s="144"/>
      <c r="G305" s="67"/>
      <c r="H305" s="67"/>
      <c r="I305" s="67"/>
      <c r="J305" s="67"/>
      <c r="K305" s="67"/>
      <c r="L305" s="67"/>
      <c r="M305" s="67"/>
      <c r="N305" s="67"/>
      <c r="O305" s="67"/>
      <c r="P305" s="67"/>
      <c r="Q305" s="67"/>
      <c r="R305" s="67"/>
      <c r="S305" s="67"/>
      <c r="T305" s="67"/>
      <c r="U305" s="67"/>
      <c r="V305" s="67"/>
      <c r="W305" s="67"/>
      <c r="X305" s="67"/>
      <c r="Y305" s="67"/>
      <c r="Z305" s="67"/>
    </row>
    <row r="306">
      <c r="A306" s="135"/>
      <c r="B306" s="125"/>
      <c r="C306" s="125"/>
      <c r="D306" s="125"/>
      <c r="E306" s="125"/>
      <c r="F306" s="146"/>
      <c r="G306" s="67"/>
      <c r="H306" s="67"/>
      <c r="I306" s="67"/>
      <c r="J306" s="67"/>
      <c r="K306" s="67"/>
      <c r="L306" s="67"/>
      <c r="M306" s="67"/>
      <c r="N306" s="67"/>
      <c r="O306" s="67"/>
      <c r="P306" s="67"/>
      <c r="Q306" s="67"/>
      <c r="R306" s="67"/>
      <c r="S306" s="67"/>
      <c r="T306" s="67"/>
      <c r="U306" s="67"/>
      <c r="V306" s="67"/>
      <c r="W306" s="67"/>
      <c r="X306" s="67"/>
      <c r="Y306" s="67"/>
      <c r="Z306" s="67"/>
    </row>
    <row r="307">
      <c r="A307" s="136"/>
      <c r="B307" s="131"/>
      <c r="C307" s="131"/>
      <c r="D307" s="131"/>
      <c r="E307" s="131"/>
      <c r="F307" s="144"/>
      <c r="G307" s="67"/>
      <c r="H307" s="67"/>
      <c r="I307" s="67"/>
      <c r="J307" s="67"/>
      <c r="K307" s="67"/>
      <c r="L307" s="67"/>
      <c r="M307" s="67"/>
      <c r="N307" s="67"/>
      <c r="O307" s="67"/>
      <c r="P307" s="67"/>
      <c r="Q307" s="67"/>
      <c r="R307" s="67"/>
      <c r="S307" s="67"/>
      <c r="T307" s="67"/>
      <c r="U307" s="67"/>
      <c r="V307" s="67"/>
      <c r="W307" s="67"/>
      <c r="X307" s="67"/>
      <c r="Y307" s="67"/>
      <c r="Z307" s="67"/>
    </row>
    <row r="308">
      <c r="A308" s="135"/>
      <c r="B308" s="125"/>
      <c r="C308" s="125"/>
      <c r="D308" s="125"/>
      <c r="E308" s="125"/>
      <c r="F308" s="146"/>
      <c r="G308" s="67"/>
      <c r="H308" s="67"/>
      <c r="I308" s="67"/>
      <c r="J308" s="67"/>
      <c r="K308" s="67"/>
      <c r="L308" s="67"/>
      <c r="M308" s="67"/>
      <c r="N308" s="67"/>
      <c r="O308" s="67"/>
      <c r="P308" s="67"/>
      <c r="Q308" s="67"/>
      <c r="R308" s="67"/>
      <c r="S308" s="67"/>
      <c r="T308" s="67"/>
      <c r="U308" s="67"/>
      <c r="V308" s="67"/>
      <c r="W308" s="67"/>
      <c r="X308" s="67"/>
      <c r="Y308" s="67"/>
      <c r="Z308" s="67"/>
    </row>
    <row r="309">
      <c r="A309" s="136"/>
      <c r="B309" s="131"/>
      <c r="C309" s="131"/>
      <c r="D309" s="131"/>
      <c r="E309" s="131"/>
      <c r="F309" s="144"/>
      <c r="G309" s="67"/>
      <c r="H309" s="67"/>
      <c r="I309" s="67"/>
      <c r="J309" s="67"/>
      <c r="K309" s="67"/>
      <c r="L309" s="67"/>
      <c r="M309" s="67"/>
      <c r="N309" s="67"/>
      <c r="O309" s="67"/>
      <c r="P309" s="67"/>
      <c r="Q309" s="67"/>
      <c r="R309" s="67"/>
      <c r="S309" s="67"/>
      <c r="T309" s="67"/>
      <c r="U309" s="67"/>
      <c r="V309" s="67"/>
      <c r="W309" s="67"/>
      <c r="X309" s="67"/>
      <c r="Y309" s="67"/>
      <c r="Z309" s="67"/>
    </row>
    <row r="310">
      <c r="A310" s="135"/>
      <c r="B310" s="125"/>
      <c r="C310" s="125"/>
      <c r="D310" s="125"/>
      <c r="E310" s="125"/>
      <c r="F310" s="146"/>
      <c r="G310" s="67"/>
      <c r="H310" s="67"/>
      <c r="I310" s="67"/>
      <c r="J310" s="67"/>
      <c r="K310" s="67"/>
      <c r="L310" s="67"/>
      <c r="M310" s="67"/>
      <c r="N310" s="67"/>
      <c r="O310" s="67"/>
      <c r="P310" s="67"/>
      <c r="Q310" s="67"/>
      <c r="R310" s="67"/>
      <c r="S310" s="67"/>
      <c r="T310" s="67"/>
      <c r="U310" s="67"/>
      <c r="V310" s="67"/>
      <c r="W310" s="67"/>
      <c r="X310" s="67"/>
      <c r="Y310" s="67"/>
      <c r="Z310" s="67"/>
    </row>
    <row r="311">
      <c r="A311" s="136"/>
      <c r="B311" s="131"/>
      <c r="C311" s="131"/>
      <c r="D311" s="131"/>
      <c r="E311" s="131"/>
      <c r="F311" s="144"/>
      <c r="G311" s="67"/>
      <c r="H311" s="67"/>
      <c r="I311" s="67"/>
      <c r="J311" s="67"/>
      <c r="K311" s="67"/>
      <c r="L311" s="67"/>
      <c r="M311" s="67"/>
      <c r="N311" s="67"/>
      <c r="O311" s="67"/>
      <c r="P311" s="67"/>
      <c r="Q311" s="67"/>
      <c r="R311" s="67"/>
      <c r="S311" s="67"/>
      <c r="T311" s="67"/>
      <c r="U311" s="67"/>
      <c r="V311" s="67"/>
      <c r="W311" s="67"/>
      <c r="X311" s="67"/>
      <c r="Y311" s="67"/>
      <c r="Z311" s="67"/>
    </row>
    <row r="312">
      <c r="A312" s="135"/>
      <c r="B312" s="125"/>
      <c r="C312" s="125"/>
      <c r="D312" s="125"/>
      <c r="E312" s="125"/>
      <c r="F312" s="146"/>
      <c r="G312" s="67"/>
      <c r="H312" s="67"/>
      <c r="I312" s="67"/>
      <c r="J312" s="67"/>
      <c r="K312" s="67"/>
      <c r="L312" s="67"/>
      <c r="M312" s="67"/>
      <c r="N312" s="67"/>
      <c r="O312" s="67"/>
      <c r="P312" s="67"/>
      <c r="Q312" s="67"/>
      <c r="R312" s="67"/>
      <c r="S312" s="67"/>
      <c r="T312" s="67"/>
      <c r="U312" s="67"/>
      <c r="V312" s="67"/>
      <c r="W312" s="67"/>
      <c r="X312" s="67"/>
      <c r="Y312" s="67"/>
      <c r="Z312" s="67"/>
    </row>
    <row r="313">
      <c r="A313" s="136"/>
      <c r="B313" s="131"/>
      <c r="C313" s="131"/>
      <c r="D313" s="131"/>
      <c r="E313" s="131"/>
      <c r="F313" s="144"/>
      <c r="G313" s="67"/>
      <c r="H313" s="67"/>
      <c r="I313" s="67"/>
      <c r="J313" s="67"/>
      <c r="K313" s="67"/>
      <c r="L313" s="67"/>
      <c r="M313" s="67"/>
      <c r="N313" s="67"/>
      <c r="O313" s="67"/>
      <c r="P313" s="67"/>
      <c r="Q313" s="67"/>
      <c r="R313" s="67"/>
      <c r="S313" s="67"/>
      <c r="T313" s="67"/>
      <c r="U313" s="67"/>
      <c r="V313" s="67"/>
      <c r="W313" s="67"/>
      <c r="X313" s="67"/>
      <c r="Y313" s="67"/>
      <c r="Z313" s="67"/>
    </row>
    <row r="314">
      <c r="A314" s="135"/>
      <c r="B314" s="125"/>
      <c r="C314" s="125"/>
      <c r="D314" s="125"/>
      <c r="E314" s="125"/>
      <c r="F314" s="146"/>
      <c r="G314" s="67"/>
      <c r="H314" s="67"/>
      <c r="I314" s="67"/>
      <c r="J314" s="67"/>
      <c r="K314" s="67"/>
      <c r="L314" s="67"/>
      <c r="M314" s="67"/>
      <c r="N314" s="67"/>
      <c r="O314" s="67"/>
      <c r="P314" s="67"/>
      <c r="Q314" s="67"/>
      <c r="R314" s="67"/>
      <c r="S314" s="67"/>
      <c r="T314" s="67"/>
      <c r="U314" s="67"/>
      <c r="V314" s="67"/>
      <c r="W314" s="67"/>
      <c r="X314" s="67"/>
      <c r="Y314" s="67"/>
      <c r="Z314" s="67"/>
    </row>
    <row r="315">
      <c r="A315" s="136"/>
      <c r="B315" s="131"/>
      <c r="C315" s="131"/>
      <c r="D315" s="131"/>
      <c r="E315" s="131"/>
      <c r="F315" s="144"/>
      <c r="G315" s="67"/>
      <c r="H315" s="67"/>
      <c r="I315" s="67"/>
      <c r="J315" s="67"/>
      <c r="K315" s="67"/>
      <c r="L315" s="67"/>
      <c r="M315" s="67"/>
      <c r="N315" s="67"/>
      <c r="O315" s="67"/>
      <c r="P315" s="67"/>
      <c r="Q315" s="67"/>
      <c r="R315" s="67"/>
      <c r="S315" s="67"/>
      <c r="T315" s="67"/>
      <c r="U315" s="67"/>
      <c r="V315" s="67"/>
      <c r="W315" s="67"/>
      <c r="X315" s="67"/>
      <c r="Y315" s="67"/>
      <c r="Z315" s="67"/>
    </row>
    <row r="316">
      <c r="A316" s="135"/>
      <c r="B316" s="125"/>
      <c r="C316" s="125"/>
      <c r="D316" s="125"/>
      <c r="E316" s="125"/>
      <c r="F316" s="146"/>
      <c r="G316" s="67"/>
      <c r="H316" s="67"/>
      <c r="I316" s="67"/>
      <c r="J316" s="67"/>
      <c r="K316" s="67"/>
      <c r="L316" s="67"/>
      <c r="M316" s="67"/>
      <c r="N316" s="67"/>
      <c r="O316" s="67"/>
      <c r="P316" s="67"/>
      <c r="Q316" s="67"/>
      <c r="R316" s="67"/>
      <c r="S316" s="67"/>
      <c r="T316" s="67"/>
      <c r="U316" s="67"/>
      <c r="V316" s="67"/>
      <c r="W316" s="67"/>
      <c r="X316" s="67"/>
      <c r="Y316" s="67"/>
      <c r="Z316" s="67"/>
    </row>
    <row r="317">
      <c r="A317" s="136"/>
      <c r="B317" s="131"/>
      <c r="C317" s="131"/>
      <c r="D317" s="131"/>
      <c r="E317" s="131"/>
      <c r="F317" s="144"/>
      <c r="G317" s="67"/>
      <c r="H317" s="67"/>
      <c r="I317" s="67"/>
      <c r="J317" s="67"/>
      <c r="K317" s="67"/>
      <c r="L317" s="67"/>
      <c r="M317" s="67"/>
      <c r="N317" s="67"/>
      <c r="O317" s="67"/>
      <c r="P317" s="67"/>
      <c r="Q317" s="67"/>
      <c r="R317" s="67"/>
      <c r="S317" s="67"/>
      <c r="T317" s="67"/>
      <c r="U317" s="67"/>
      <c r="V317" s="67"/>
      <c r="W317" s="67"/>
      <c r="X317" s="67"/>
      <c r="Y317" s="67"/>
      <c r="Z317" s="67"/>
    </row>
    <row r="318">
      <c r="A318" s="135"/>
      <c r="B318" s="125"/>
      <c r="C318" s="125"/>
      <c r="D318" s="125"/>
      <c r="E318" s="125"/>
      <c r="F318" s="146"/>
      <c r="G318" s="67"/>
      <c r="H318" s="67"/>
      <c r="I318" s="67"/>
      <c r="J318" s="67"/>
      <c r="K318" s="67"/>
      <c r="L318" s="67"/>
      <c r="M318" s="67"/>
      <c r="N318" s="67"/>
      <c r="O318" s="67"/>
      <c r="P318" s="67"/>
      <c r="Q318" s="67"/>
      <c r="R318" s="67"/>
      <c r="S318" s="67"/>
      <c r="T318" s="67"/>
      <c r="U318" s="67"/>
      <c r="V318" s="67"/>
      <c r="W318" s="67"/>
      <c r="X318" s="67"/>
      <c r="Y318" s="67"/>
      <c r="Z318" s="67"/>
    </row>
    <row r="319">
      <c r="A319" s="136"/>
      <c r="B319" s="131"/>
      <c r="C319" s="131"/>
      <c r="D319" s="131"/>
      <c r="E319" s="131"/>
      <c r="F319" s="144"/>
      <c r="G319" s="67"/>
      <c r="H319" s="67"/>
      <c r="I319" s="67"/>
      <c r="J319" s="67"/>
      <c r="K319" s="67"/>
      <c r="L319" s="67"/>
      <c r="M319" s="67"/>
      <c r="N319" s="67"/>
      <c r="O319" s="67"/>
      <c r="P319" s="67"/>
      <c r="Q319" s="67"/>
      <c r="R319" s="67"/>
      <c r="S319" s="67"/>
      <c r="T319" s="67"/>
      <c r="U319" s="67"/>
      <c r="V319" s="67"/>
      <c r="W319" s="67"/>
      <c r="X319" s="67"/>
      <c r="Y319" s="67"/>
      <c r="Z319" s="67"/>
    </row>
    <row r="320">
      <c r="A320" s="135"/>
      <c r="B320" s="125"/>
      <c r="C320" s="125"/>
      <c r="D320" s="125"/>
      <c r="E320" s="125"/>
      <c r="F320" s="146"/>
      <c r="G320" s="67"/>
      <c r="H320" s="67"/>
      <c r="I320" s="67"/>
      <c r="J320" s="67"/>
      <c r="K320" s="67"/>
      <c r="L320" s="67"/>
      <c r="M320" s="67"/>
      <c r="N320" s="67"/>
      <c r="O320" s="67"/>
      <c r="P320" s="67"/>
      <c r="Q320" s="67"/>
      <c r="R320" s="67"/>
      <c r="S320" s="67"/>
      <c r="T320" s="67"/>
      <c r="U320" s="67"/>
      <c r="V320" s="67"/>
      <c r="W320" s="67"/>
      <c r="X320" s="67"/>
      <c r="Y320" s="67"/>
      <c r="Z320" s="67"/>
    </row>
    <row r="321">
      <c r="A321" s="136"/>
      <c r="B321" s="131"/>
      <c r="C321" s="131"/>
      <c r="D321" s="131"/>
      <c r="E321" s="131"/>
      <c r="F321" s="144"/>
      <c r="G321" s="67"/>
      <c r="H321" s="67"/>
      <c r="I321" s="67"/>
      <c r="J321" s="67"/>
      <c r="K321" s="67"/>
      <c r="L321" s="67"/>
      <c r="M321" s="67"/>
      <c r="N321" s="67"/>
      <c r="O321" s="67"/>
      <c r="P321" s="67"/>
      <c r="Q321" s="67"/>
      <c r="R321" s="67"/>
      <c r="S321" s="67"/>
      <c r="T321" s="67"/>
      <c r="U321" s="67"/>
      <c r="V321" s="67"/>
      <c r="W321" s="67"/>
      <c r="X321" s="67"/>
      <c r="Y321" s="67"/>
      <c r="Z321" s="67"/>
    </row>
    <row r="322">
      <c r="A322" s="135"/>
      <c r="B322" s="125"/>
      <c r="C322" s="125"/>
      <c r="D322" s="125"/>
      <c r="E322" s="125"/>
      <c r="F322" s="146"/>
      <c r="G322" s="67"/>
      <c r="H322" s="67"/>
      <c r="I322" s="67"/>
      <c r="J322" s="67"/>
      <c r="K322" s="67"/>
      <c r="L322" s="67"/>
      <c r="M322" s="67"/>
      <c r="N322" s="67"/>
      <c r="O322" s="67"/>
      <c r="P322" s="67"/>
      <c r="Q322" s="67"/>
      <c r="R322" s="67"/>
      <c r="S322" s="67"/>
      <c r="T322" s="67"/>
      <c r="U322" s="67"/>
      <c r="V322" s="67"/>
      <c r="W322" s="67"/>
      <c r="X322" s="67"/>
      <c r="Y322" s="67"/>
      <c r="Z322" s="67"/>
    </row>
    <row r="323">
      <c r="A323" s="136"/>
      <c r="B323" s="131"/>
      <c r="C323" s="131"/>
      <c r="D323" s="131"/>
      <c r="E323" s="131"/>
      <c r="F323" s="144"/>
      <c r="G323" s="67"/>
      <c r="H323" s="67"/>
      <c r="I323" s="67"/>
      <c r="J323" s="67"/>
      <c r="K323" s="67"/>
      <c r="L323" s="67"/>
      <c r="M323" s="67"/>
      <c r="N323" s="67"/>
      <c r="O323" s="67"/>
      <c r="P323" s="67"/>
      <c r="Q323" s="67"/>
      <c r="R323" s="67"/>
      <c r="S323" s="67"/>
      <c r="T323" s="67"/>
      <c r="U323" s="67"/>
      <c r="V323" s="67"/>
      <c r="W323" s="67"/>
      <c r="X323" s="67"/>
      <c r="Y323" s="67"/>
      <c r="Z323" s="67"/>
    </row>
    <row r="324">
      <c r="A324" s="135"/>
      <c r="B324" s="125"/>
      <c r="C324" s="125"/>
      <c r="D324" s="125"/>
      <c r="E324" s="125"/>
      <c r="F324" s="146"/>
      <c r="G324" s="67"/>
      <c r="H324" s="67"/>
      <c r="I324" s="67"/>
      <c r="J324" s="67"/>
      <c r="K324" s="67"/>
      <c r="L324" s="67"/>
      <c r="M324" s="67"/>
      <c r="N324" s="67"/>
      <c r="O324" s="67"/>
      <c r="P324" s="67"/>
      <c r="Q324" s="67"/>
      <c r="R324" s="67"/>
      <c r="S324" s="67"/>
      <c r="T324" s="67"/>
      <c r="U324" s="67"/>
      <c r="V324" s="67"/>
      <c r="W324" s="67"/>
      <c r="X324" s="67"/>
      <c r="Y324" s="67"/>
      <c r="Z324" s="67"/>
    </row>
    <row r="325">
      <c r="A325" s="136"/>
      <c r="B325" s="131"/>
      <c r="C325" s="131"/>
      <c r="D325" s="131"/>
      <c r="E325" s="131"/>
      <c r="F325" s="144"/>
      <c r="G325" s="67"/>
      <c r="H325" s="67"/>
      <c r="I325" s="67"/>
      <c r="J325" s="67"/>
      <c r="K325" s="67"/>
      <c r="L325" s="67"/>
      <c r="M325" s="67"/>
      <c r="N325" s="67"/>
      <c r="O325" s="67"/>
      <c r="P325" s="67"/>
      <c r="Q325" s="67"/>
      <c r="R325" s="67"/>
      <c r="S325" s="67"/>
      <c r="T325" s="67"/>
      <c r="U325" s="67"/>
      <c r="V325" s="67"/>
      <c r="W325" s="67"/>
      <c r="X325" s="67"/>
      <c r="Y325" s="67"/>
      <c r="Z325" s="67"/>
    </row>
    <row r="326">
      <c r="A326" s="135"/>
      <c r="B326" s="125"/>
      <c r="C326" s="125"/>
      <c r="D326" s="125"/>
      <c r="E326" s="125"/>
      <c r="F326" s="146"/>
      <c r="G326" s="67"/>
      <c r="H326" s="67"/>
      <c r="I326" s="67"/>
      <c r="J326" s="67"/>
      <c r="K326" s="67"/>
      <c r="L326" s="67"/>
      <c r="M326" s="67"/>
      <c r="N326" s="67"/>
      <c r="O326" s="67"/>
      <c r="P326" s="67"/>
      <c r="Q326" s="67"/>
      <c r="R326" s="67"/>
      <c r="S326" s="67"/>
      <c r="T326" s="67"/>
      <c r="U326" s="67"/>
      <c r="V326" s="67"/>
      <c r="W326" s="67"/>
      <c r="X326" s="67"/>
      <c r="Y326" s="67"/>
      <c r="Z326" s="67"/>
    </row>
    <row r="327">
      <c r="A327" s="136"/>
      <c r="B327" s="131"/>
      <c r="C327" s="131"/>
      <c r="D327" s="131"/>
      <c r="E327" s="131"/>
      <c r="F327" s="144"/>
      <c r="G327" s="67"/>
      <c r="H327" s="67"/>
      <c r="I327" s="67"/>
      <c r="J327" s="67"/>
      <c r="K327" s="67"/>
      <c r="L327" s="67"/>
      <c r="M327" s="67"/>
      <c r="N327" s="67"/>
      <c r="O327" s="67"/>
      <c r="P327" s="67"/>
      <c r="Q327" s="67"/>
      <c r="R327" s="67"/>
      <c r="S327" s="67"/>
      <c r="T327" s="67"/>
      <c r="U327" s="67"/>
      <c r="V327" s="67"/>
      <c r="W327" s="67"/>
      <c r="X327" s="67"/>
      <c r="Y327" s="67"/>
      <c r="Z327" s="67"/>
    </row>
    <row r="328">
      <c r="A328" s="135"/>
      <c r="B328" s="125"/>
      <c r="C328" s="125"/>
      <c r="D328" s="125"/>
      <c r="E328" s="125"/>
      <c r="F328" s="146"/>
      <c r="G328" s="67"/>
      <c r="H328" s="67"/>
      <c r="I328" s="67"/>
      <c r="J328" s="67"/>
      <c r="K328" s="67"/>
      <c r="L328" s="67"/>
      <c r="M328" s="67"/>
      <c r="N328" s="67"/>
      <c r="O328" s="67"/>
      <c r="P328" s="67"/>
      <c r="Q328" s="67"/>
      <c r="R328" s="67"/>
      <c r="S328" s="67"/>
      <c r="T328" s="67"/>
      <c r="U328" s="67"/>
      <c r="V328" s="67"/>
      <c r="W328" s="67"/>
      <c r="X328" s="67"/>
      <c r="Y328" s="67"/>
      <c r="Z328" s="67"/>
    </row>
    <row r="329">
      <c r="A329" s="136"/>
      <c r="B329" s="131"/>
      <c r="C329" s="131"/>
      <c r="D329" s="131"/>
      <c r="E329" s="131"/>
      <c r="F329" s="144"/>
      <c r="G329" s="67"/>
      <c r="H329" s="67"/>
      <c r="I329" s="67"/>
      <c r="J329" s="67"/>
      <c r="K329" s="67"/>
      <c r="L329" s="67"/>
      <c r="M329" s="67"/>
      <c r="N329" s="67"/>
      <c r="O329" s="67"/>
      <c r="P329" s="67"/>
      <c r="Q329" s="67"/>
      <c r="R329" s="67"/>
      <c r="S329" s="67"/>
      <c r="T329" s="67"/>
      <c r="U329" s="67"/>
      <c r="V329" s="67"/>
      <c r="W329" s="67"/>
      <c r="X329" s="67"/>
      <c r="Y329" s="67"/>
      <c r="Z329" s="67"/>
    </row>
    <row r="330">
      <c r="A330" s="135"/>
      <c r="B330" s="125"/>
      <c r="C330" s="125"/>
      <c r="D330" s="125"/>
      <c r="E330" s="125"/>
      <c r="F330" s="146"/>
      <c r="G330" s="67"/>
      <c r="H330" s="67"/>
      <c r="I330" s="67"/>
      <c r="J330" s="67"/>
      <c r="K330" s="67"/>
      <c r="L330" s="67"/>
      <c r="M330" s="67"/>
      <c r="N330" s="67"/>
      <c r="O330" s="67"/>
      <c r="P330" s="67"/>
      <c r="Q330" s="67"/>
      <c r="R330" s="67"/>
      <c r="S330" s="67"/>
      <c r="T330" s="67"/>
      <c r="U330" s="67"/>
      <c r="V330" s="67"/>
      <c r="W330" s="67"/>
      <c r="X330" s="67"/>
      <c r="Y330" s="67"/>
      <c r="Z330" s="67"/>
    </row>
    <row r="331">
      <c r="A331" s="136"/>
      <c r="B331" s="131"/>
      <c r="C331" s="131"/>
      <c r="D331" s="131"/>
      <c r="E331" s="131"/>
      <c r="F331" s="144"/>
      <c r="G331" s="67"/>
      <c r="H331" s="67"/>
      <c r="I331" s="67"/>
      <c r="J331" s="67"/>
      <c r="K331" s="67"/>
      <c r="L331" s="67"/>
      <c r="M331" s="67"/>
      <c r="N331" s="67"/>
      <c r="O331" s="67"/>
      <c r="P331" s="67"/>
      <c r="Q331" s="67"/>
      <c r="R331" s="67"/>
      <c r="S331" s="67"/>
      <c r="T331" s="67"/>
      <c r="U331" s="67"/>
      <c r="V331" s="67"/>
      <c r="W331" s="67"/>
      <c r="X331" s="67"/>
      <c r="Y331" s="67"/>
      <c r="Z331" s="67"/>
    </row>
    <row r="332">
      <c r="A332" s="135"/>
      <c r="B332" s="125"/>
      <c r="C332" s="125"/>
      <c r="D332" s="125"/>
      <c r="E332" s="125"/>
      <c r="F332" s="146"/>
      <c r="G332" s="67"/>
      <c r="H332" s="67"/>
      <c r="I332" s="67"/>
      <c r="J332" s="67"/>
      <c r="K332" s="67"/>
      <c r="L332" s="67"/>
      <c r="M332" s="67"/>
      <c r="N332" s="67"/>
      <c r="O332" s="67"/>
      <c r="P332" s="67"/>
      <c r="Q332" s="67"/>
      <c r="R332" s="67"/>
      <c r="S332" s="67"/>
      <c r="T332" s="67"/>
      <c r="U332" s="67"/>
      <c r="V332" s="67"/>
      <c r="W332" s="67"/>
      <c r="X332" s="67"/>
      <c r="Y332" s="67"/>
      <c r="Z332" s="67"/>
    </row>
    <row r="333">
      <c r="A333" s="136"/>
      <c r="B333" s="131"/>
      <c r="C333" s="131"/>
      <c r="D333" s="131"/>
      <c r="E333" s="131"/>
      <c r="F333" s="144"/>
      <c r="G333" s="67"/>
      <c r="H333" s="67"/>
      <c r="I333" s="67"/>
      <c r="J333" s="67"/>
      <c r="K333" s="67"/>
      <c r="L333" s="67"/>
      <c r="M333" s="67"/>
      <c r="N333" s="67"/>
      <c r="O333" s="67"/>
      <c r="P333" s="67"/>
      <c r="Q333" s="67"/>
      <c r="R333" s="67"/>
      <c r="S333" s="67"/>
      <c r="T333" s="67"/>
      <c r="U333" s="67"/>
      <c r="V333" s="67"/>
      <c r="W333" s="67"/>
      <c r="X333" s="67"/>
      <c r="Y333" s="67"/>
      <c r="Z333" s="67"/>
    </row>
    <row r="334">
      <c r="A334" s="135"/>
      <c r="B334" s="125"/>
      <c r="C334" s="125"/>
      <c r="D334" s="125"/>
      <c r="E334" s="125"/>
      <c r="F334" s="146"/>
      <c r="G334" s="67"/>
      <c r="H334" s="67"/>
      <c r="I334" s="67"/>
      <c r="J334" s="67"/>
      <c r="K334" s="67"/>
      <c r="L334" s="67"/>
      <c r="M334" s="67"/>
      <c r="N334" s="67"/>
      <c r="O334" s="67"/>
      <c r="P334" s="67"/>
      <c r="Q334" s="67"/>
      <c r="R334" s="67"/>
      <c r="S334" s="67"/>
      <c r="T334" s="67"/>
      <c r="U334" s="67"/>
      <c r="V334" s="67"/>
      <c r="W334" s="67"/>
      <c r="X334" s="67"/>
      <c r="Y334" s="67"/>
      <c r="Z334" s="67"/>
    </row>
    <row r="335">
      <c r="A335" s="136"/>
      <c r="B335" s="131"/>
      <c r="C335" s="131"/>
      <c r="D335" s="131"/>
      <c r="E335" s="131"/>
      <c r="F335" s="144"/>
      <c r="G335" s="67"/>
      <c r="H335" s="67"/>
      <c r="I335" s="67"/>
      <c r="J335" s="67"/>
      <c r="K335" s="67"/>
      <c r="L335" s="67"/>
      <c r="M335" s="67"/>
      <c r="N335" s="67"/>
      <c r="O335" s="67"/>
      <c r="P335" s="67"/>
      <c r="Q335" s="67"/>
      <c r="R335" s="67"/>
      <c r="S335" s="67"/>
      <c r="T335" s="67"/>
      <c r="U335" s="67"/>
      <c r="V335" s="67"/>
      <c r="W335" s="67"/>
      <c r="X335" s="67"/>
      <c r="Y335" s="67"/>
      <c r="Z335" s="67"/>
    </row>
    <row r="336">
      <c r="A336" s="135"/>
      <c r="B336" s="125"/>
      <c r="C336" s="125"/>
      <c r="D336" s="125"/>
      <c r="E336" s="125"/>
      <c r="F336" s="146"/>
      <c r="G336" s="67"/>
      <c r="H336" s="67"/>
      <c r="I336" s="67"/>
      <c r="J336" s="67"/>
      <c r="K336" s="67"/>
      <c r="L336" s="67"/>
      <c r="M336" s="67"/>
      <c r="N336" s="67"/>
      <c r="O336" s="67"/>
      <c r="P336" s="67"/>
      <c r="Q336" s="67"/>
      <c r="R336" s="67"/>
      <c r="S336" s="67"/>
      <c r="T336" s="67"/>
      <c r="U336" s="67"/>
      <c r="V336" s="67"/>
      <c r="W336" s="67"/>
      <c r="X336" s="67"/>
      <c r="Y336" s="67"/>
      <c r="Z336" s="67"/>
    </row>
    <row r="337">
      <c r="A337" s="136"/>
      <c r="B337" s="131"/>
      <c r="C337" s="131"/>
      <c r="D337" s="131"/>
      <c r="E337" s="131"/>
      <c r="F337" s="144"/>
      <c r="G337" s="67"/>
      <c r="H337" s="67"/>
      <c r="I337" s="67"/>
      <c r="J337" s="67"/>
      <c r="K337" s="67"/>
      <c r="L337" s="67"/>
      <c r="M337" s="67"/>
      <c r="N337" s="67"/>
      <c r="O337" s="67"/>
      <c r="P337" s="67"/>
      <c r="Q337" s="67"/>
      <c r="R337" s="67"/>
      <c r="S337" s="67"/>
      <c r="T337" s="67"/>
      <c r="U337" s="67"/>
      <c r="V337" s="67"/>
      <c r="W337" s="67"/>
      <c r="X337" s="67"/>
      <c r="Y337" s="67"/>
      <c r="Z337" s="67"/>
    </row>
    <row r="338">
      <c r="A338" s="135"/>
      <c r="B338" s="125"/>
      <c r="C338" s="125"/>
      <c r="D338" s="125"/>
      <c r="E338" s="125"/>
      <c r="F338" s="146"/>
      <c r="G338" s="67"/>
      <c r="H338" s="67"/>
      <c r="I338" s="67"/>
      <c r="J338" s="67"/>
      <c r="K338" s="67"/>
      <c r="L338" s="67"/>
      <c r="M338" s="67"/>
      <c r="N338" s="67"/>
      <c r="O338" s="67"/>
      <c r="P338" s="67"/>
      <c r="Q338" s="67"/>
      <c r="R338" s="67"/>
      <c r="S338" s="67"/>
      <c r="T338" s="67"/>
      <c r="U338" s="67"/>
      <c r="V338" s="67"/>
      <c r="W338" s="67"/>
      <c r="X338" s="67"/>
      <c r="Y338" s="67"/>
      <c r="Z338" s="67"/>
    </row>
    <row r="339">
      <c r="A339" s="136"/>
      <c r="B339" s="131"/>
      <c r="C339" s="131"/>
      <c r="D339" s="131"/>
      <c r="E339" s="131"/>
      <c r="F339" s="144"/>
      <c r="G339" s="67"/>
      <c r="H339" s="67"/>
      <c r="I339" s="67"/>
      <c r="J339" s="67"/>
      <c r="K339" s="67"/>
      <c r="L339" s="67"/>
      <c r="M339" s="67"/>
      <c r="N339" s="67"/>
      <c r="O339" s="67"/>
      <c r="P339" s="67"/>
      <c r="Q339" s="67"/>
      <c r="R339" s="67"/>
      <c r="S339" s="67"/>
      <c r="T339" s="67"/>
      <c r="U339" s="67"/>
      <c r="V339" s="67"/>
      <c r="W339" s="67"/>
      <c r="X339" s="67"/>
      <c r="Y339" s="67"/>
      <c r="Z339" s="67"/>
    </row>
    <row r="340">
      <c r="A340" s="135"/>
      <c r="B340" s="125"/>
      <c r="C340" s="125"/>
      <c r="D340" s="125"/>
      <c r="E340" s="125"/>
      <c r="F340" s="146"/>
      <c r="G340" s="67"/>
      <c r="H340" s="67"/>
      <c r="I340" s="67"/>
      <c r="J340" s="67"/>
      <c r="K340" s="67"/>
      <c r="L340" s="67"/>
      <c r="M340" s="67"/>
      <c r="N340" s="67"/>
      <c r="O340" s="67"/>
      <c r="P340" s="67"/>
      <c r="Q340" s="67"/>
      <c r="R340" s="67"/>
      <c r="S340" s="67"/>
      <c r="T340" s="67"/>
      <c r="U340" s="67"/>
      <c r="V340" s="67"/>
      <c r="W340" s="67"/>
      <c r="X340" s="67"/>
      <c r="Y340" s="67"/>
      <c r="Z340" s="67"/>
    </row>
    <row r="341">
      <c r="A341" s="136"/>
      <c r="B341" s="131"/>
      <c r="C341" s="131"/>
      <c r="D341" s="131"/>
      <c r="E341" s="131"/>
      <c r="F341" s="144"/>
      <c r="G341" s="67"/>
      <c r="H341" s="67"/>
      <c r="I341" s="67"/>
      <c r="J341" s="67"/>
      <c r="K341" s="67"/>
      <c r="L341" s="67"/>
      <c r="M341" s="67"/>
      <c r="N341" s="67"/>
      <c r="O341" s="67"/>
      <c r="P341" s="67"/>
      <c r="Q341" s="67"/>
      <c r="R341" s="67"/>
      <c r="S341" s="67"/>
      <c r="T341" s="67"/>
      <c r="U341" s="67"/>
      <c r="V341" s="67"/>
      <c r="W341" s="67"/>
      <c r="X341" s="67"/>
      <c r="Y341" s="67"/>
      <c r="Z341" s="67"/>
    </row>
    <row r="342">
      <c r="A342" s="135"/>
      <c r="B342" s="125"/>
      <c r="C342" s="125"/>
      <c r="D342" s="125"/>
      <c r="E342" s="125"/>
      <c r="F342" s="146"/>
      <c r="G342" s="67"/>
      <c r="H342" s="67"/>
      <c r="I342" s="67"/>
      <c r="J342" s="67"/>
      <c r="K342" s="67"/>
      <c r="L342" s="67"/>
      <c r="M342" s="67"/>
      <c r="N342" s="67"/>
      <c r="O342" s="67"/>
      <c r="P342" s="67"/>
      <c r="Q342" s="67"/>
      <c r="R342" s="67"/>
      <c r="S342" s="67"/>
      <c r="T342" s="67"/>
      <c r="U342" s="67"/>
      <c r="V342" s="67"/>
      <c r="W342" s="67"/>
      <c r="X342" s="67"/>
      <c r="Y342" s="67"/>
      <c r="Z342" s="67"/>
    </row>
    <row r="343">
      <c r="A343" s="136"/>
      <c r="B343" s="131"/>
      <c r="C343" s="131"/>
      <c r="D343" s="131"/>
      <c r="E343" s="131"/>
      <c r="F343" s="144"/>
      <c r="G343" s="67"/>
      <c r="H343" s="67"/>
      <c r="I343" s="67"/>
      <c r="J343" s="67"/>
      <c r="K343" s="67"/>
      <c r="L343" s="67"/>
      <c r="M343" s="67"/>
      <c r="N343" s="67"/>
      <c r="O343" s="67"/>
      <c r="P343" s="67"/>
      <c r="Q343" s="67"/>
      <c r="R343" s="67"/>
      <c r="S343" s="67"/>
      <c r="T343" s="67"/>
      <c r="U343" s="67"/>
      <c r="V343" s="67"/>
      <c r="W343" s="67"/>
      <c r="X343" s="67"/>
      <c r="Y343" s="67"/>
      <c r="Z343" s="67"/>
    </row>
    <row r="344">
      <c r="A344" s="135"/>
      <c r="B344" s="125"/>
      <c r="C344" s="125"/>
      <c r="D344" s="125"/>
      <c r="E344" s="125"/>
      <c r="F344" s="146"/>
      <c r="G344" s="67"/>
      <c r="H344" s="67"/>
      <c r="I344" s="67"/>
      <c r="J344" s="67"/>
      <c r="K344" s="67"/>
      <c r="L344" s="67"/>
      <c r="M344" s="67"/>
      <c r="N344" s="67"/>
      <c r="O344" s="67"/>
      <c r="P344" s="67"/>
      <c r="Q344" s="67"/>
      <c r="R344" s="67"/>
      <c r="S344" s="67"/>
      <c r="T344" s="67"/>
      <c r="U344" s="67"/>
      <c r="V344" s="67"/>
      <c r="W344" s="67"/>
      <c r="X344" s="67"/>
      <c r="Y344" s="67"/>
      <c r="Z344" s="67"/>
    </row>
    <row r="345">
      <c r="A345" s="136"/>
      <c r="B345" s="131"/>
      <c r="C345" s="131"/>
      <c r="D345" s="131"/>
      <c r="E345" s="131"/>
      <c r="F345" s="144"/>
      <c r="G345" s="67"/>
      <c r="H345" s="67"/>
      <c r="I345" s="67"/>
      <c r="J345" s="67"/>
      <c r="K345" s="67"/>
      <c r="L345" s="67"/>
      <c r="M345" s="67"/>
      <c r="N345" s="67"/>
      <c r="O345" s="67"/>
      <c r="P345" s="67"/>
      <c r="Q345" s="67"/>
      <c r="R345" s="67"/>
      <c r="S345" s="67"/>
      <c r="T345" s="67"/>
      <c r="U345" s="67"/>
      <c r="V345" s="67"/>
      <c r="W345" s="67"/>
      <c r="X345" s="67"/>
      <c r="Y345" s="67"/>
      <c r="Z345" s="67"/>
    </row>
    <row r="346">
      <c r="A346" s="135"/>
      <c r="B346" s="125"/>
      <c r="C346" s="125"/>
      <c r="D346" s="125"/>
      <c r="E346" s="125"/>
      <c r="F346" s="146"/>
      <c r="G346" s="67"/>
      <c r="H346" s="67"/>
      <c r="I346" s="67"/>
      <c r="J346" s="67"/>
      <c r="K346" s="67"/>
      <c r="L346" s="67"/>
      <c r="M346" s="67"/>
      <c r="N346" s="67"/>
      <c r="O346" s="67"/>
      <c r="P346" s="67"/>
      <c r="Q346" s="67"/>
      <c r="R346" s="67"/>
      <c r="S346" s="67"/>
      <c r="T346" s="67"/>
      <c r="U346" s="67"/>
      <c r="V346" s="67"/>
      <c r="W346" s="67"/>
      <c r="X346" s="67"/>
      <c r="Y346" s="67"/>
      <c r="Z346" s="67"/>
    </row>
    <row r="347">
      <c r="A347" s="136"/>
      <c r="B347" s="131"/>
      <c r="C347" s="131"/>
      <c r="D347" s="131"/>
      <c r="E347" s="131"/>
      <c r="F347" s="144"/>
      <c r="G347" s="67"/>
      <c r="H347" s="67"/>
      <c r="I347" s="67"/>
      <c r="J347" s="67"/>
      <c r="K347" s="67"/>
      <c r="L347" s="67"/>
      <c r="M347" s="67"/>
      <c r="N347" s="67"/>
      <c r="O347" s="67"/>
      <c r="P347" s="67"/>
      <c r="Q347" s="67"/>
      <c r="R347" s="67"/>
      <c r="S347" s="67"/>
      <c r="T347" s="67"/>
      <c r="U347" s="67"/>
      <c r="V347" s="67"/>
      <c r="W347" s="67"/>
      <c r="X347" s="67"/>
      <c r="Y347" s="67"/>
      <c r="Z347" s="67"/>
    </row>
    <row r="348">
      <c r="A348" s="135"/>
      <c r="B348" s="125"/>
      <c r="C348" s="125"/>
      <c r="D348" s="125"/>
      <c r="E348" s="125"/>
      <c r="F348" s="146"/>
      <c r="G348" s="67"/>
      <c r="H348" s="67"/>
      <c r="I348" s="67"/>
      <c r="J348" s="67"/>
      <c r="K348" s="67"/>
      <c r="L348" s="67"/>
      <c r="M348" s="67"/>
      <c r="N348" s="67"/>
      <c r="O348" s="67"/>
      <c r="P348" s="67"/>
      <c r="Q348" s="67"/>
      <c r="R348" s="67"/>
      <c r="S348" s="67"/>
      <c r="T348" s="67"/>
      <c r="U348" s="67"/>
      <c r="V348" s="67"/>
      <c r="W348" s="67"/>
      <c r="X348" s="67"/>
      <c r="Y348" s="67"/>
      <c r="Z348" s="67"/>
    </row>
    <row r="349">
      <c r="A349" s="136"/>
      <c r="B349" s="131"/>
      <c r="C349" s="131"/>
      <c r="D349" s="131"/>
      <c r="E349" s="131"/>
      <c r="F349" s="144"/>
      <c r="G349" s="67"/>
      <c r="H349" s="67"/>
      <c r="I349" s="67"/>
      <c r="J349" s="67"/>
      <c r="K349" s="67"/>
      <c r="L349" s="67"/>
      <c r="M349" s="67"/>
      <c r="N349" s="67"/>
      <c r="O349" s="67"/>
      <c r="P349" s="67"/>
      <c r="Q349" s="67"/>
      <c r="R349" s="67"/>
      <c r="S349" s="67"/>
      <c r="T349" s="67"/>
      <c r="U349" s="67"/>
      <c r="V349" s="67"/>
      <c r="W349" s="67"/>
      <c r="X349" s="67"/>
      <c r="Y349" s="67"/>
      <c r="Z349" s="67"/>
    </row>
    <row r="350">
      <c r="A350" s="135"/>
      <c r="B350" s="125"/>
      <c r="C350" s="125"/>
      <c r="D350" s="125"/>
      <c r="E350" s="125"/>
      <c r="F350" s="146"/>
      <c r="G350" s="67"/>
      <c r="H350" s="67"/>
      <c r="I350" s="67"/>
      <c r="J350" s="67"/>
      <c r="K350" s="67"/>
      <c r="L350" s="67"/>
      <c r="M350" s="67"/>
      <c r="N350" s="67"/>
      <c r="O350" s="67"/>
      <c r="P350" s="67"/>
      <c r="Q350" s="67"/>
      <c r="R350" s="67"/>
      <c r="S350" s="67"/>
      <c r="T350" s="67"/>
      <c r="U350" s="67"/>
      <c r="V350" s="67"/>
      <c r="W350" s="67"/>
      <c r="X350" s="67"/>
      <c r="Y350" s="67"/>
      <c r="Z350" s="67"/>
    </row>
    <row r="351">
      <c r="A351" s="136"/>
      <c r="B351" s="131"/>
      <c r="C351" s="131"/>
      <c r="D351" s="131"/>
      <c r="E351" s="131"/>
      <c r="F351" s="144"/>
      <c r="G351" s="67"/>
      <c r="H351" s="67"/>
      <c r="I351" s="67"/>
      <c r="J351" s="67"/>
      <c r="K351" s="67"/>
      <c r="L351" s="67"/>
      <c r="M351" s="67"/>
      <c r="N351" s="67"/>
      <c r="O351" s="67"/>
      <c r="P351" s="67"/>
      <c r="Q351" s="67"/>
      <c r="R351" s="67"/>
      <c r="S351" s="67"/>
      <c r="T351" s="67"/>
      <c r="U351" s="67"/>
      <c r="V351" s="67"/>
      <c r="W351" s="67"/>
      <c r="X351" s="67"/>
      <c r="Y351" s="67"/>
      <c r="Z351" s="67"/>
    </row>
    <row r="352">
      <c r="A352" s="135"/>
      <c r="B352" s="125"/>
      <c r="C352" s="125"/>
      <c r="D352" s="125"/>
      <c r="E352" s="125"/>
      <c r="F352" s="146"/>
      <c r="G352" s="67"/>
      <c r="H352" s="67"/>
      <c r="I352" s="67"/>
      <c r="J352" s="67"/>
      <c r="K352" s="67"/>
      <c r="L352" s="67"/>
      <c r="M352" s="67"/>
      <c r="N352" s="67"/>
      <c r="O352" s="67"/>
      <c r="P352" s="67"/>
      <c r="Q352" s="67"/>
      <c r="R352" s="67"/>
      <c r="S352" s="67"/>
      <c r="T352" s="67"/>
      <c r="U352" s="67"/>
      <c r="V352" s="67"/>
      <c r="W352" s="67"/>
      <c r="X352" s="67"/>
      <c r="Y352" s="67"/>
      <c r="Z352" s="67"/>
    </row>
    <row r="353">
      <c r="A353" s="136"/>
      <c r="B353" s="131"/>
      <c r="C353" s="131"/>
      <c r="D353" s="131"/>
      <c r="E353" s="131"/>
      <c r="F353" s="144"/>
      <c r="G353" s="67"/>
      <c r="H353" s="67"/>
      <c r="I353" s="67"/>
      <c r="J353" s="67"/>
      <c r="K353" s="67"/>
      <c r="L353" s="67"/>
      <c r="M353" s="67"/>
      <c r="N353" s="67"/>
      <c r="O353" s="67"/>
      <c r="P353" s="67"/>
      <c r="Q353" s="67"/>
      <c r="R353" s="67"/>
      <c r="S353" s="67"/>
      <c r="T353" s="67"/>
      <c r="U353" s="67"/>
      <c r="V353" s="67"/>
      <c r="W353" s="67"/>
      <c r="X353" s="67"/>
      <c r="Y353" s="67"/>
      <c r="Z353" s="67"/>
    </row>
    <row r="354">
      <c r="A354" s="135"/>
      <c r="B354" s="125"/>
      <c r="C354" s="125"/>
      <c r="D354" s="125"/>
      <c r="E354" s="125"/>
      <c r="F354" s="146"/>
      <c r="G354" s="67"/>
      <c r="H354" s="67"/>
      <c r="I354" s="67"/>
      <c r="J354" s="67"/>
      <c r="K354" s="67"/>
      <c r="L354" s="67"/>
      <c r="M354" s="67"/>
      <c r="N354" s="67"/>
      <c r="O354" s="67"/>
      <c r="P354" s="67"/>
      <c r="Q354" s="67"/>
      <c r="R354" s="67"/>
      <c r="S354" s="67"/>
      <c r="T354" s="67"/>
      <c r="U354" s="67"/>
      <c r="V354" s="67"/>
      <c r="W354" s="67"/>
      <c r="X354" s="67"/>
      <c r="Y354" s="67"/>
      <c r="Z354" s="67"/>
    </row>
    <row r="355">
      <c r="A355" s="136"/>
      <c r="B355" s="131"/>
      <c r="C355" s="131"/>
      <c r="D355" s="131"/>
      <c r="E355" s="131"/>
      <c r="F355" s="144"/>
      <c r="G355" s="67"/>
      <c r="H355" s="67"/>
      <c r="I355" s="67"/>
      <c r="J355" s="67"/>
      <c r="K355" s="67"/>
      <c r="L355" s="67"/>
      <c r="M355" s="67"/>
      <c r="N355" s="67"/>
      <c r="O355" s="67"/>
      <c r="P355" s="67"/>
      <c r="Q355" s="67"/>
      <c r="R355" s="67"/>
      <c r="S355" s="67"/>
      <c r="T355" s="67"/>
      <c r="U355" s="67"/>
      <c r="V355" s="67"/>
      <c r="W355" s="67"/>
      <c r="X355" s="67"/>
      <c r="Y355" s="67"/>
      <c r="Z355" s="67"/>
    </row>
    <row r="356">
      <c r="A356" s="135"/>
      <c r="B356" s="125"/>
      <c r="C356" s="125"/>
      <c r="D356" s="125"/>
      <c r="E356" s="125"/>
      <c r="F356" s="146"/>
      <c r="G356" s="67"/>
      <c r="H356" s="67"/>
      <c r="I356" s="67"/>
      <c r="J356" s="67"/>
      <c r="K356" s="67"/>
      <c r="L356" s="67"/>
      <c r="M356" s="67"/>
      <c r="N356" s="67"/>
      <c r="O356" s="67"/>
      <c r="P356" s="67"/>
      <c r="Q356" s="67"/>
      <c r="R356" s="67"/>
      <c r="S356" s="67"/>
      <c r="T356" s="67"/>
      <c r="U356" s="67"/>
      <c r="V356" s="67"/>
      <c r="W356" s="67"/>
      <c r="X356" s="67"/>
      <c r="Y356" s="67"/>
      <c r="Z356" s="67"/>
    </row>
    <row r="357">
      <c r="A357" s="136"/>
      <c r="B357" s="131"/>
      <c r="C357" s="131"/>
      <c r="D357" s="131"/>
      <c r="E357" s="131"/>
      <c r="F357" s="144"/>
      <c r="G357" s="67"/>
      <c r="H357" s="67"/>
      <c r="I357" s="67"/>
      <c r="J357" s="67"/>
      <c r="K357" s="67"/>
      <c r="L357" s="67"/>
      <c r="M357" s="67"/>
      <c r="N357" s="67"/>
      <c r="O357" s="67"/>
      <c r="P357" s="67"/>
      <c r="Q357" s="67"/>
      <c r="R357" s="67"/>
      <c r="S357" s="67"/>
      <c r="T357" s="67"/>
      <c r="U357" s="67"/>
      <c r="V357" s="67"/>
      <c r="W357" s="67"/>
      <c r="X357" s="67"/>
      <c r="Y357" s="67"/>
      <c r="Z357" s="67"/>
    </row>
    <row r="358">
      <c r="A358" s="135"/>
      <c r="B358" s="125"/>
      <c r="C358" s="125"/>
      <c r="D358" s="125"/>
      <c r="E358" s="125"/>
      <c r="F358" s="146"/>
      <c r="G358" s="67"/>
      <c r="H358" s="67"/>
      <c r="I358" s="67"/>
      <c r="J358" s="67"/>
      <c r="K358" s="67"/>
      <c r="L358" s="67"/>
      <c r="M358" s="67"/>
      <c r="N358" s="67"/>
      <c r="O358" s="67"/>
      <c r="P358" s="67"/>
      <c r="Q358" s="67"/>
      <c r="R358" s="67"/>
      <c r="S358" s="67"/>
      <c r="T358" s="67"/>
      <c r="U358" s="67"/>
      <c r="V358" s="67"/>
      <c r="W358" s="67"/>
      <c r="X358" s="67"/>
      <c r="Y358" s="67"/>
      <c r="Z358" s="67"/>
    </row>
    <row r="359">
      <c r="A359" s="136"/>
      <c r="B359" s="131"/>
      <c r="C359" s="131"/>
      <c r="D359" s="131"/>
      <c r="E359" s="131"/>
      <c r="F359" s="144"/>
      <c r="G359" s="67"/>
      <c r="H359" s="67"/>
      <c r="I359" s="67"/>
      <c r="J359" s="67"/>
      <c r="K359" s="67"/>
      <c r="L359" s="67"/>
      <c r="M359" s="67"/>
      <c r="N359" s="67"/>
      <c r="O359" s="67"/>
      <c r="P359" s="67"/>
      <c r="Q359" s="67"/>
      <c r="R359" s="67"/>
      <c r="S359" s="67"/>
      <c r="T359" s="67"/>
      <c r="U359" s="67"/>
      <c r="V359" s="67"/>
      <c r="W359" s="67"/>
      <c r="X359" s="67"/>
      <c r="Y359" s="67"/>
      <c r="Z359" s="67"/>
    </row>
    <row r="360">
      <c r="A360" s="135"/>
      <c r="B360" s="125"/>
      <c r="C360" s="125"/>
      <c r="D360" s="125"/>
      <c r="E360" s="125"/>
      <c r="F360" s="146"/>
      <c r="G360" s="67"/>
      <c r="H360" s="67"/>
      <c r="I360" s="67"/>
      <c r="J360" s="67"/>
      <c r="K360" s="67"/>
      <c r="L360" s="67"/>
      <c r="M360" s="67"/>
      <c r="N360" s="67"/>
      <c r="O360" s="67"/>
      <c r="P360" s="67"/>
      <c r="Q360" s="67"/>
      <c r="R360" s="67"/>
      <c r="S360" s="67"/>
      <c r="T360" s="67"/>
      <c r="U360" s="67"/>
      <c r="V360" s="67"/>
      <c r="W360" s="67"/>
      <c r="X360" s="67"/>
      <c r="Y360" s="67"/>
      <c r="Z360" s="67"/>
    </row>
    <row r="361">
      <c r="A361" s="136"/>
      <c r="B361" s="131"/>
      <c r="C361" s="131"/>
      <c r="D361" s="131"/>
      <c r="E361" s="131"/>
      <c r="F361" s="144"/>
      <c r="G361" s="67"/>
      <c r="H361" s="67"/>
      <c r="I361" s="67"/>
      <c r="J361" s="67"/>
      <c r="K361" s="67"/>
      <c r="L361" s="67"/>
      <c r="M361" s="67"/>
      <c r="N361" s="67"/>
      <c r="O361" s="67"/>
      <c r="P361" s="67"/>
      <c r="Q361" s="67"/>
      <c r="R361" s="67"/>
      <c r="S361" s="67"/>
      <c r="T361" s="67"/>
      <c r="U361" s="67"/>
      <c r="V361" s="67"/>
      <c r="W361" s="67"/>
      <c r="X361" s="67"/>
      <c r="Y361" s="67"/>
      <c r="Z361" s="67"/>
    </row>
    <row r="362">
      <c r="A362" s="135"/>
      <c r="B362" s="125"/>
      <c r="C362" s="125"/>
      <c r="D362" s="125"/>
      <c r="E362" s="125"/>
      <c r="F362" s="146"/>
      <c r="G362" s="67"/>
      <c r="H362" s="67"/>
      <c r="I362" s="67"/>
      <c r="J362" s="67"/>
      <c r="K362" s="67"/>
      <c r="L362" s="67"/>
      <c r="M362" s="67"/>
      <c r="N362" s="67"/>
      <c r="O362" s="67"/>
      <c r="P362" s="67"/>
      <c r="Q362" s="67"/>
      <c r="R362" s="67"/>
      <c r="S362" s="67"/>
      <c r="T362" s="67"/>
      <c r="U362" s="67"/>
      <c r="V362" s="67"/>
      <c r="W362" s="67"/>
      <c r="X362" s="67"/>
      <c r="Y362" s="67"/>
      <c r="Z362" s="67"/>
    </row>
    <row r="363">
      <c r="A363" s="136"/>
      <c r="B363" s="131"/>
      <c r="C363" s="131"/>
      <c r="D363" s="131"/>
      <c r="E363" s="131"/>
      <c r="F363" s="144"/>
      <c r="G363" s="67"/>
      <c r="H363" s="67"/>
      <c r="I363" s="67"/>
      <c r="J363" s="67"/>
      <c r="K363" s="67"/>
      <c r="L363" s="67"/>
      <c r="M363" s="67"/>
      <c r="N363" s="67"/>
      <c r="O363" s="67"/>
      <c r="P363" s="67"/>
      <c r="Q363" s="67"/>
      <c r="R363" s="67"/>
      <c r="S363" s="67"/>
      <c r="T363" s="67"/>
      <c r="U363" s="67"/>
      <c r="V363" s="67"/>
      <c r="W363" s="67"/>
      <c r="X363" s="67"/>
      <c r="Y363" s="67"/>
      <c r="Z363" s="67"/>
    </row>
    <row r="364">
      <c r="A364" s="135"/>
      <c r="B364" s="125"/>
      <c r="C364" s="125"/>
      <c r="D364" s="125"/>
      <c r="E364" s="125"/>
      <c r="F364" s="146"/>
      <c r="G364" s="67"/>
      <c r="H364" s="67"/>
      <c r="I364" s="67"/>
      <c r="J364" s="67"/>
      <c r="K364" s="67"/>
      <c r="L364" s="67"/>
      <c r="M364" s="67"/>
      <c r="N364" s="67"/>
      <c r="O364" s="67"/>
      <c r="P364" s="67"/>
      <c r="Q364" s="67"/>
      <c r="R364" s="67"/>
      <c r="S364" s="67"/>
      <c r="T364" s="67"/>
      <c r="U364" s="67"/>
      <c r="V364" s="67"/>
      <c r="W364" s="67"/>
      <c r="X364" s="67"/>
      <c r="Y364" s="67"/>
      <c r="Z364" s="67"/>
    </row>
    <row r="365">
      <c r="A365" s="136"/>
      <c r="B365" s="131"/>
      <c r="C365" s="131"/>
      <c r="D365" s="131"/>
      <c r="E365" s="131"/>
      <c r="F365" s="144"/>
      <c r="G365" s="67"/>
      <c r="H365" s="67"/>
      <c r="I365" s="67"/>
      <c r="J365" s="67"/>
      <c r="K365" s="67"/>
      <c r="L365" s="67"/>
      <c r="M365" s="67"/>
      <c r="N365" s="67"/>
      <c r="O365" s="67"/>
      <c r="P365" s="67"/>
      <c r="Q365" s="67"/>
      <c r="R365" s="67"/>
      <c r="S365" s="67"/>
      <c r="T365" s="67"/>
      <c r="U365" s="67"/>
      <c r="V365" s="67"/>
      <c r="W365" s="67"/>
      <c r="X365" s="67"/>
      <c r="Y365" s="67"/>
      <c r="Z365" s="67"/>
    </row>
    <row r="366">
      <c r="A366" s="135"/>
      <c r="B366" s="125"/>
      <c r="C366" s="125"/>
      <c r="D366" s="125"/>
      <c r="E366" s="125"/>
      <c r="F366" s="146"/>
      <c r="G366" s="67"/>
      <c r="H366" s="67"/>
      <c r="I366" s="67"/>
      <c r="J366" s="67"/>
      <c r="K366" s="67"/>
      <c r="L366" s="67"/>
      <c r="M366" s="67"/>
      <c r="N366" s="67"/>
      <c r="O366" s="67"/>
      <c r="P366" s="67"/>
      <c r="Q366" s="67"/>
      <c r="R366" s="67"/>
      <c r="S366" s="67"/>
      <c r="T366" s="67"/>
      <c r="U366" s="67"/>
      <c r="V366" s="67"/>
      <c r="W366" s="67"/>
      <c r="X366" s="67"/>
      <c r="Y366" s="67"/>
      <c r="Z366" s="67"/>
    </row>
    <row r="367">
      <c r="A367" s="136"/>
      <c r="B367" s="131"/>
      <c r="C367" s="131"/>
      <c r="D367" s="131"/>
      <c r="E367" s="131"/>
      <c r="F367" s="144"/>
      <c r="G367" s="67"/>
      <c r="H367" s="67"/>
      <c r="I367" s="67"/>
      <c r="J367" s="67"/>
      <c r="K367" s="67"/>
      <c r="L367" s="67"/>
      <c r="M367" s="67"/>
      <c r="N367" s="67"/>
      <c r="O367" s="67"/>
      <c r="P367" s="67"/>
      <c r="Q367" s="67"/>
      <c r="R367" s="67"/>
      <c r="S367" s="67"/>
      <c r="T367" s="67"/>
      <c r="U367" s="67"/>
      <c r="V367" s="67"/>
      <c r="W367" s="67"/>
      <c r="X367" s="67"/>
      <c r="Y367" s="67"/>
      <c r="Z367" s="67"/>
    </row>
    <row r="368">
      <c r="A368" s="135"/>
      <c r="B368" s="125"/>
      <c r="C368" s="125"/>
      <c r="D368" s="125"/>
      <c r="E368" s="125"/>
      <c r="F368" s="146"/>
      <c r="G368" s="67"/>
      <c r="H368" s="67"/>
      <c r="I368" s="67"/>
      <c r="J368" s="67"/>
      <c r="K368" s="67"/>
      <c r="L368" s="67"/>
      <c r="M368" s="67"/>
      <c r="N368" s="67"/>
      <c r="O368" s="67"/>
      <c r="P368" s="67"/>
      <c r="Q368" s="67"/>
      <c r="R368" s="67"/>
      <c r="S368" s="67"/>
      <c r="T368" s="67"/>
      <c r="U368" s="67"/>
      <c r="V368" s="67"/>
      <c r="W368" s="67"/>
      <c r="X368" s="67"/>
      <c r="Y368" s="67"/>
      <c r="Z368" s="67"/>
    </row>
    <row r="369">
      <c r="A369" s="136"/>
      <c r="B369" s="131"/>
      <c r="C369" s="131"/>
      <c r="D369" s="131"/>
      <c r="E369" s="131"/>
      <c r="F369" s="144"/>
      <c r="G369" s="67"/>
      <c r="H369" s="67"/>
      <c r="I369" s="67"/>
      <c r="J369" s="67"/>
      <c r="K369" s="67"/>
      <c r="L369" s="67"/>
      <c r="M369" s="67"/>
      <c r="N369" s="67"/>
      <c r="O369" s="67"/>
      <c r="P369" s="67"/>
      <c r="Q369" s="67"/>
      <c r="R369" s="67"/>
      <c r="S369" s="67"/>
      <c r="T369" s="67"/>
      <c r="U369" s="67"/>
      <c r="V369" s="67"/>
      <c r="W369" s="67"/>
      <c r="X369" s="67"/>
      <c r="Y369" s="67"/>
      <c r="Z369" s="67"/>
    </row>
    <row r="370">
      <c r="A370" s="135"/>
      <c r="B370" s="125"/>
      <c r="C370" s="125"/>
      <c r="D370" s="125"/>
      <c r="E370" s="125"/>
      <c r="F370" s="146"/>
      <c r="G370" s="67"/>
      <c r="H370" s="67"/>
      <c r="I370" s="67"/>
      <c r="J370" s="67"/>
      <c r="K370" s="67"/>
      <c r="L370" s="67"/>
      <c r="M370" s="67"/>
      <c r="N370" s="67"/>
      <c r="O370" s="67"/>
      <c r="P370" s="67"/>
      <c r="Q370" s="67"/>
      <c r="R370" s="67"/>
      <c r="S370" s="67"/>
      <c r="T370" s="67"/>
      <c r="U370" s="67"/>
      <c r="V370" s="67"/>
      <c r="W370" s="67"/>
      <c r="X370" s="67"/>
      <c r="Y370" s="67"/>
      <c r="Z370" s="67"/>
    </row>
    <row r="371">
      <c r="A371" s="136"/>
      <c r="B371" s="131"/>
      <c r="C371" s="131"/>
      <c r="D371" s="131"/>
      <c r="E371" s="131"/>
      <c r="F371" s="144"/>
      <c r="G371" s="67"/>
      <c r="H371" s="67"/>
      <c r="I371" s="67"/>
      <c r="J371" s="67"/>
      <c r="K371" s="67"/>
      <c r="L371" s="67"/>
      <c r="M371" s="67"/>
      <c r="N371" s="67"/>
      <c r="O371" s="67"/>
      <c r="P371" s="67"/>
      <c r="Q371" s="67"/>
      <c r="R371" s="67"/>
      <c r="S371" s="67"/>
      <c r="T371" s="67"/>
      <c r="U371" s="67"/>
      <c r="V371" s="67"/>
      <c r="W371" s="67"/>
      <c r="X371" s="67"/>
      <c r="Y371" s="67"/>
      <c r="Z371" s="67"/>
    </row>
    <row r="372">
      <c r="A372" s="135"/>
      <c r="B372" s="125"/>
      <c r="C372" s="125"/>
      <c r="D372" s="125"/>
      <c r="E372" s="125"/>
      <c r="F372" s="146"/>
      <c r="G372" s="67"/>
      <c r="H372" s="67"/>
      <c r="I372" s="67"/>
      <c r="J372" s="67"/>
      <c r="K372" s="67"/>
      <c r="L372" s="67"/>
      <c r="M372" s="67"/>
      <c r="N372" s="67"/>
      <c r="O372" s="67"/>
      <c r="P372" s="67"/>
      <c r="Q372" s="67"/>
      <c r="R372" s="67"/>
      <c r="S372" s="67"/>
      <c r="T372" s="67"/>
      <c r="U372" s="67"/>
      <c r="V372" s="67"/>
      <c r="W372" s="67"/>
      <c r="X372" s="67"/>
      <c r="Y372" s="67"/>
      <c r="Z372" s="67"/>
    </row>
    <row r="373">
      <c r="A373" s="136"/>
      <c r="B373" s="131"/>
      <c r="C373" s="131"/>
      <c r="D373" s="131"/>
      <c r="E373" s="131"/>
      <c r="F373" s="144"/>
      <c r="G373" s="67"/>
      <c r="H373" s="67"/>
      <c r="I373" s="67"/>
      <c r="J373" s="67"/>
      <c r="K373" s="67"/>
      <c r="L373" s="67"/>
      <c r="M373" s="67"/>
      <c r="N373" s="67"/>
      <c r="O373" s="67"/>
      <c r="P373" s="67"/>
      <c r="Q373" s="67"/>
      <c r="R373" s="67"/>
      <c r="S373" s="67"/>
      <c r="T373" s="67"/>
      <c r="U373" s="67"/>
      <c r="V373" s="67"/>
      <c r="W373" s="67"/>
      <c r="X373" s="67"/>
      <c r="Y373" s="67"/>
      <c r="Z373" s="67"/>
    </row>
    <row r="374">
      <c r="A374" s="135"/>
      <c r="B374" s="125"/>
      <c r="C374" s="125"/>
      <c r="D374" s="125"/>
      <c r="E374" s="125"/>
      <c r="F374" s="146"/>
      <c r="G374" s="67"/>
      <c r="H374" s="67"/>
      <c r="I374" s="67"/>
      <c r="J374" s="67"/>
      <c r="K374" s="67"/>
      <c r="L374" s="67"/>
      <c r="M374" s="67"/>
      <c r="N374" s="67"/>
      <c r="O374" s="67"/>
      <c r="P374" s="67"/>
      <c r="Q374" s="67"/>
      <c r="R374" s="67"/>
      <c r="S374" s="67"/>
      <c r="T374" s="67"/>
      <c r="U374" s="67"/>
      <c r="V374" s="67"/>
      <c r="W374" s="67"/>
      <c r="X374" s="67"/>
      <c r="Y374" s="67"/>
      <c r="Z374" s="67"/>
    </row>
    <row r="375">
      <c r="A375" s="136"/>
      <c r="B375" s="131"/>
      <c r="C375" s="131"/>
      <c r="D375" s="131"/>
      <c r="E375" s="131"/>
      <c r="F375" s="144"/>
      <c r="G375" s="67"/>
      <c r="H375" s="67"/>
      <c r="I375" s="67"/>
      <c r="J375" s="67"/>
      <c r="K375" s="67"/>
      <c r="L375" s="67"/>
      <c r="M375" s="67"/>
      <c r="N375" s="67"/>
      <c r="O375" s="67"/>
      <c r="P375" s="67"/>
      <c r="Q375" s="67"/>
      <c r="R375" s="67"/>
      <c r="S375" s="67"/>
      <c r="T375" s="67"/>
      <c r="U375" s="67"/>
      <c r="V375" s="67"/>
      <c r="W375" s="67"/>
      <c r="X375" s="67"/>
      <c r="Y375" s="67"/>
      <c r="Z375" s="67"/>
    </row>
    <row r="376">
      <c r="A376" s="135"/>
      <c r="B376" s="125"/>
      <c r="C376" s="125"/>
      <c r="D376" s="125"/>
      <c r="E376" s="125"/>
      <c r="F376" s="146"/>
      <c r="G376" s="67"/>
      <c r="H376" s="67"/>
      <c r="I376" s="67"/>
      <c r="J376" s="67"/>
      <c r="K376" s="67"/>
      <c r="L376" s="67"/>
      <c r="M376" s="67"/>
      <c r="N376" s="67"/>
      <c r="O376" s="67"/>
      <c r="P376" s="67"/>
      <c r="Q376" s="67"/>
      <c r="R376" s="67"/>
      <c r="S376" s="67"/>
      <c r="T376" s="67"/>
      <c r="U376" s="67"/>
      <c r="V376" s="67"/>
      <c r="W376" s="67"/>
      <c r="X376" s="67"/>
      <c r="Y376" s="67"/>
      <c r="Z376" s="67"/>
    </row>
    <row r="377">
      <c r="A377" s="136"/>
      <c r="B377" s="131"/>
      <c r="C377" s="131"/>
      <c r="D377" s="131"/>
      <c r="E377" s="131"/>
      <c r="F377" s="144"/>
      <c r="G377" s="67"/>
      <c r="H377" s="67"/>
      <c r="I377" s="67"/>
      <c r="J377" s="67"/>
      <c r="K377" s="67"/>
      <c r="L377" s="67"/>
      <c r="M377" s="67"/>
      <c r="N377" s="67"/>
      <c r="O377" s="67"/>
      <c r="P377" s="67"/>
      <c r="Q377" s="67"/>
      <c r="R377" s="67"/>
      <c r="S377" s="67"/>
      <c r="T377" s="67"/>
      <c r="U377" s="67"/>
      <c r="V377" s="67"/>
      <c r="W377" s="67"/>
      <c r="X377" s="67"/>
      <c r="Y377" s="67"/>
      <c r="Z377" s="67"/>
    </row>
    <row r="378">
      <c r="A378" s="135"/>
      <c r="B378" s="125"/>
      <c r="C378" s="125"/>
      <c r="D378" s="125"/>
      <c r="E378" s="125"/>
      <c r="F378" s="146"/>
      <c r="G378" s="67"/>
      <c r="H378" s="67"/>
      <c r="I378" s="67"/>
      <c r="J378" s="67"/>
      <c r="K378" s="67"/>
      <c r="L378" s="67"/>
      <c r="M378" s="67"/>
      <c r="N378" s="67"/>
      <c r="O378" s="67"/>
      <c r="P378" s="67"/>
      <c r="Q378" s="67"/>
      <c r="R378" s="67"/>
      <c r="S378" s="67"/>
      <c r="T378" s="67"/>
      <c r="U378" s="67"/>
      <c r="V378" s="67"/>
      <c r="W378" s="67"/>
      <c r="X378" s="67"/>
      <c r="Y378" s="67"/>
      <c r="Z378" s="67"/>
    </row>
    <row r="379">
      <c r="A379" s="136"/>
      <c r="B379" s="131"/>
      <c r="C379" s="131"/>
      <c r="D379" s="131"/>
      <c r="E379" s="131"/>
      <c r="F379" s="144"/>
      <c r="G379" s="67"/>
      <c r="H379" s="67"/>
      <c r="I379" s="67"/>
      <c r="J379" s="67"/>
      <c r="K379" s="67"/>
      <c r="L379" s="67"/>
      <c r="M379" s="67"/>
      <c r="N379" s="67"/>
      <c r="O379" s="67"/>
      <c r="P379" s="67"/>
      <c r="Q379" s="67"/>
      <c r="R379" s="67"/>
      <c r="S379" s="67"/>
      <c r="T379" s="67"/>
      <c r="U379" s="67"/>
      <c r="V379" s="67"/>
      <c r="W379" s="67"/>
      <c r="X379" s="67"/>
      <c r="Y379" s="67"/>
      <c r="Z379" s="67"/>
    </row>
    <row r="380">
      <c r="A380" s="135"/>
      <c r="B380" s="125"/>
      <c r="C380" s="125"/>
      <c r="D380" s="125"/>
      <c r="E380" s="125"/>
      <c r="F380" s="146"/>
      <c r="G380" s="67"/>
      <c r="H380" s="67"/>
      <c r="I380" s="67"/>
      <c r="J380" s="67"/>
      <c r="K380" s="67"/>
      <c r="L380" s="67"/>
      <c r="M380" s="67"/>
      <c r="N380" s="67"/>
      <c r="O380" s="67"/>
      <c r="P380" s="67"/>
      <c r="Q380" s="67"/>
      <c r="R380" s="67"/>
      <c r="S380" s="67"/>
      <c r="T380" s="67"/>
      <c r="U380" s="67"/>
      <c r="V380" s="67"/>
      <c r="W380" s="67"/>
      <c r="X380" s="67"/>
      <c r="Y380" s="67"/>
      <c r="Z380" s="67"/>
    </row>
    <row r="381">
      <c r="A381" s="136"/>
      <c r="B381" s="131"/>
      <c r="C381" s="131"/>
      <c r="D381" s="131"/>
      <c r="E381" s="131"/>
      <c r="F381" s="144"/>
      <c r="G381" s="67"/>
      <c r="H381" s="67"/>
      <c r="I381" s="67"/>
      <c r="J381" s="67"/>
      <c r="K381" s="67"/>
      <c r="L381" s="67"/>
      <c r="M381" s="67"/>
      <c r="N381" s="67"/>
      <c r="O381" s="67"/>
      <c r="P381" s="67"/>
      <c r="Q381" s="67"/>
      <c r="R381" s="67"/>
      <c r="S381" s="67"/>
      <c r="T381" s="67"/>
      <c r="U381" s="67"/>
      <c r="V381" s="67"/>
      <c r="W381" s="67"/>
      <c r="X381" s="67"/>
      <c r="Y381" s="67"/>
      <c r="Z381" s="67"/>
    </row>
    <row r="382">
      <c r="A382" s="135"/>
      <c r="B382" s="125"/>
      <c r="C382" s="125"/>
      <c r="D382" s="125"/>
      <c r="E382" s="125"/>
      <c r="F382" s="146"/>
      <c r="G382" s="67"/>
      <c r="H382" s="67"/>
      <c r="I382" s="67"/>
      <c r="J382" s="67"/>
      <c r="K382" s="67"/>
      <c r="L382" s="67"/>
      <c r="M382" s="67"/>
      <c r="N382" s="67"/>
      <c r="O382" s="67"/>
      <c r="P382" s="67"/>
      <c r="Q382" s="67"/>
      <c r="R382" s="67"/>
      <c r="S382" s="67"/>
      <c r="T382" s="67"/>
      <c r="U382" s="67"/>
      <c r="V382" s="67"/>
      <c r="W382" s="67"/>
      <c r="X382" s="67"/>
      <c r="Y382" s="67"/>
      <c r="Z382" s="67"/>
    </row>
    <row r="383">
      <c r="A383" s="136"/>
      <c r="B383" s="131"/>
      <c r="C383" s="131"/>
      <c r="D383" s="131"/>
      <c r="E383" s="131"/>
      <c r="F383" s="144"/>
      <c r="G383" s="67"/>
      <c r="H383" s="67"/>
      <c r="I383" s="67"/>
      <c r="J383" s="67"/>
      <c r="K383" s="67"/>
      <c r="L383" s="67"/>
      <c r="M383" s="67"/>
      <c r="N383" s="67"/>
      <c r="O383" s="67"/>
      <c r="P383" s="67"/>
      <c r="Q383" s="67"/>
      <c r="R383" s="67"/>
      <c r="S383" s="67"/>
      <c r="T383" s="67"/>
      <c r="U383" s="67"/>
      <c r="V383" s="67"/>
      <c r="W383" s="67"/>
      <c r="X383" s="67"/>
      <c r="Y383" s="67"/>
      <c r="Z383" s="67"/>
    </row>
    <row r="384">
      <c r="A384" s="135"/>
      <c r="B384" s="125"/>
      <c r="C384" s="125"/>
      <c r="D384" s="125"/>
      <c r="E384" s="125"/>
      <c r="F384" s="146"/>
      <c r="G384" s="67"/>
      <c r="H384" s="67"/>
      <c r="I384" s="67"/>
      <c r="J384" s="67"/>
      <c r="K384" s="67"/>
      <c r="L384" s="67"/>
      <c r="M384" s="67"/>
      <c r="N384" s="67"/>
      <c r="O384" s="67"/>
      <c r="P384" s="67"/>
      <c r="Q384" s="67"/>
      <c r="R384" s="67"/>
      <c r="S384" s="67"/>
      <c r="T384" s="67"/>
      <c r="U384" s="67"/>
      <c r="V384" s="67"/>
      <c r="W384" s="67"/>
      <c r="X384" s="67"/>
      <c r="Y384" s="67"/>
      <c r="Z384" s="67"/>
    </row>
    <row r="385">
      <c r="A385" s="136"/>
      <c r="B385" s="131"/>
      <c r="C385" s="131"/>
      <c r="D385" s="131"/>
      <c r="E385" s="131"/>
      <c r="F385" s="144"/>
      <c r="G385" s="67"/>
      <c r="H385" s="67"/>
      <c r="I385" s="67"/>
      <c r="J385" s="67"/>
      <c r="K385" s="67"/>
      <c r="L385" s="67"/>
      <c r="M385" s="67"/>
      <c r="N385" s="67"/>
      <c r="O385" s="67"/>
      <c r="P385" s="67"/>
      <c r="Q385" s="67"/>
      <c r="R385" s="67"/>
      <c r="S385" s="67"/>
      <c r="T385" s="67"/>
      <c r="U385" s="67"/>
      <c r="V385" s="67"/>
      <c r="W385" s="67"/>
      <c r="X385" s="67"/>
      <c r="Y385" s="67"/>
      <c r="Z385" s="67"/>
    </row>
    <row r="386">
      <c r="A386" s="135"/>
      <c r="B386" s="125"/>
      <c r="C386" s="125"/>
      <c r="D386" s="125"/>
      <c r="E386" s="125"/>
      <c r="F386" s="146"/>
      <c r="G386" s="67"/>
      <c r="H386" s="67"/>
      <c r="I386" s="67"/>
      <c r="J386" s="67"/>
      <c r="K386" s="67"/>
      <c r="L386" s="67"/>
      <c r="M386" s="67"/>
      <c r="N386" s="67"/>
      <c r="O386" s="67"/>
      <c r="P386" s="67"/>
      <c r="Q386" s="67"/>
      <c r="R386" s="67"/>
      <c r="S386" s="67"/>
      <c r="T386" s="67"/>
      <c r="U386" s="67"/>
      <c r="V386" s="67"/>
      <c r="W386" s="67"/>
      <c r="X386" s="67"/>
      <c r="Y386" s="67"/>
      <c r="Z386" s="67"/>
    </row>
    <row r="387">
      <c r="A387" s="136"/>
      <c r="B387" s="131"/>
      <c r="C387" s="131"/>
      <c r="D387" s="131"/>
      <c r="E387" s="131"/>
      <c r="F387" s="144"/>
      <c r="G387" s="67"/>
      <c r="H387" s="67"/>
      <c r="I387" s="67"/>
      <c r="J387" s="67"/>
      <c r="K387" s="67"/>
      <c r="L387" s="67"/>
      <c r="M387" s="67"/>
      <c r="N387" s="67"/>
      <c r="O387" s="67"/>
      <c r="P387" s="67"/>
      <c r="Q387" s="67"/>
      <c r="R387" s="67"/>
      <c r="S387" s="67"/>
      <c r="T387" s="67"/>
      <c r="U387" s="67"/>
      <c r="V387" s="67"/>
      <c r="W387" s="67"/>
      <c r="X387" s="67"/>
      <c r="Y387" s="67"/>
      <c r="Z387" s="67"/>
    </row>
    <row r="388">
      <c r="A388" s="135"/>
      <c r="B388" s="125"/>
      <c r="C388" s="125"/>
      <c r="D388" s="125"/>
      <c r="E388" s="125"/>
      <c r="F388" s="146"/>
      <c r="G388" s="67"/>
      <c r="H388" s="67"/>
      <c r="I388" s="67"/>
      <c r="J388" s="67"/>
      <c r="K388" s="67"/>
      <c r="L388" s="67"/>
      <c r="M388" s="67"/>
      <c r="N388" s="67"/>
      <c r="O388" s="67"/>
      <c r="P388" s="67"/>
      <c r="Q388" s="67"/>
      <c r="R388" s="67"/>
      <c r="S388" s="67"/>
      <c r="T388" s="67"/>
      <c r="U388" s="67"/>
      <c r="V388" s="67"/>
      <c r="W388" s="67"/>
      <c r="X388" s="67"/>
      <c r="Y388" s="67"/>
      <c r="Z388" s="67"/>
    </row>
    <row r="389">
      <c r="A389" s="136"/>
      <c r="B389" s="131"/>
      <c r="C389" s="131"/>
      <c r="D389" s="131"/>
      <c r="E389" s="131"/>
      <c r="F389" s="144"/>
      <c r="G389" s="67"/>
      <c r="H389" s="67"/>
      <c r="I389" s="67"/>
      <c r="J389" s="67"/>
      <c r="K389" s="67"/>
      <c r="L389" s="67"/>
      <c r="M389" s="67"/>
      <c r="N389" s="67"/>
      <c r="O389" s="67"/>
      <c r="P389" s="67"/>
      <c r="Q389" s="67"/>
      <c r="R389" s="67"/>
      <c r="S389" s="67"/>
      <c r="T389" s="67"/>
      <c r="U389" s="67"/>
      <c r="V389" s="67"/>
      <c r="W389" s="67"/>
      <c r="X389" s="67"/>
      <c r="Y389" s="67"/>
      <c r="Z389" s="67"/>
    </row>
    <row r="390">
      <c r="A390" s="135"/>
      <c r="B390" s="125"/>
      <c r="C390" s="125"/>
      <c r="D390" s="125"/>
      <c r="E390" s="125"/>
      <c r="F390" s="146"/>
      <c r="G390" s="67"/>
      <c r="H390" s="67"/>
      <c r="I390" s="67"/>
      <c r="J390" s="67"/>
      <c r="K390" s="67"/>
      <c r="L390" s="67"/>
      <c r="M390" s="67"/>
      <c r="N390" s="67"/>
      <c r="O390" s="67"/>
      <c r="P390" s="67"/>
      <c r="Q390" s="67"/>
      <c r="R390" s="67"/>
      <c r="S390" s="67"/>
      <c r="T390" s="67"/>
      <c r="U390" s="67"/>
      <c r="V390" s="67"/>
      <c r="W390" s="67"/>
      <c r="X390" s="67"/>
      <c r="Y390" s="67"/>
      <c r="Z390" s="67"/>
    </row>
    <row r="391">
      <c r="A391" s="136"/>
      <c r="B391" s="131"/>
      <c r="C391" s="131"/>
      <c r="D391" s="131"/>
      <c r="E391" s="131"/>
      <c r="F391" s="144"/>
      <c r="G391" s="67"/>
      <c r="H391" s="67"/>
      <c r="I391" s="67"/>
      <c r="J391" s="67"/>
      <c r="K391" s="67"/>
      <c r="L391" s="67"/>
      <c r="M391" s="67"/>
      <c r="N391" s="67"/>
      <c r="O391" s="67"/>
      <c r="P391" s="67"/>
      <c r="Q391" s="67"/>
      <c r="R391" s="67"/>
      <c r="S391" s="67"/>
      <c r="T391" s="67"/>
      <c r="U391" s="67"/>
      <c r="V391" s="67"/>
      <c r="W391" s="67"/>
      <c r="X391" s="67"/>
      <c r="Y391" s="67"/>
      <c r="Z391" s="67"/>
    </row>
    <row r="392">
      <c r="A392" s="135"/>
      <c r="B392" s="125"/>
      <c r="C392" s="125"/>
      <c r="D392" s="125"/>
      <c r="E392" s="125"/>
      <c r="F392" s="146"/>
      <c r="G392" s="67"/>
      <c r="H392" s="67"/>
      <c r="I392" s="67"/>
      <c r="J392" s="67"/>
      <c r="K392" s="67"/>
      <c r="L392" s="67"/>
      <c r="M392" s="67"/>
      <c r="N392" s="67"/>
      <c r="O392" s="67"/>
      <c r="P392" s="67"/>
      <c r="Q392" s="67"/>
      <c r="R392" s="67"/>
      <c r="S392" s="67"/>
      <c r="T392" s="67"/>
      <c r="U392" s="67"/>
      <c r="V392" s="67"/>
      <c r="W392" s="67"/>
      <c r="X392" s="67"/>
      <c r="Y392" s="67"/>
      <c r="Z392" s="67"/>
    </row>
    <row r="393">
      <c r="A393" s="136"/>
      <c r="B393" s="131"/>
      <c r="C393" s="131"/>
      <c r="D393" s="131"/>
      <c r="E393" s="131"/>
      <c r="F393" s="144"/>
      <c r="G393" s="67"/>
      <c r="H393" s="67"/>
      <c r="I393" s="67"/>
      <c r="J393" s="67"/>
      <c r="K393" s="67"/>
      <c r="L393" s="67"/>
      <c r="M393" s="67"/>
      <c r="N393" s="67"/>
      <c r="O393" s="67"/>
      <c r="P393" s="67"/>
      <c r="Q393" s="67"/>
      <c r="R393" s="67"/>
      <c r="S393" s="67"/>
      <c r="T393" s="67"/>
      <c r="U393" s="67"/>
      <c r="V393" s="67"/>
      <c r="W393" s="67"/>
      <c r="X393" s="67"/>
      <c r="Y393" s="67"/>
      <c r="Z393" s="67"/>
    </row>
    <row r="394">
      <c r="A394" s="135"/>
      <c r="B394" s="125"/>
      <c r="C394" s="125"/>
      <c r="D394" s="125"/>
      <c r="E394" s="125"/>
      <c r="F394" s="146"/>
      <c r="G394" s="67"/>
      <c r="H394" s="67"/>
      <c r="I394" s="67"/>
      <c r="J394" s="67"/>
      <c r="K394" s="67"/>
      <c r="L394" s="67"/>
      <c r="M394" s="67"/>
      <c r="N394" s="67"/>
      <c r="O394" s="67"/>
      <c r="P394" s="67"/>
      <c r="Q394" s="67"/>
      <c r="R394" s="67"/>
      <c r="S394" s="67"/>
      <c r="T394" s="67"/>
      <c r="U394" s="67"/>
      <c r="V394" s="67"/>
      <c r="W394" s="67"/>
      <c r="X394" s="67"/>
      <c r="Y394" s="67"/>
      <c r="Z394" s="67"/>
    </row>
    <row r="395">
      <c r="A395" s="136"/>
      <c r="B395" s="131"/>
      <c r="C395" s="131"/>
      <c r="D395" s="131"/>
      <c r="E395" s="131"/>
      <c r="F395" s="144"/>
      <c r="G395" s="67"/>
      <c r="H395" s="67"/>
      <c r="I395" s="67"/>
      <c r="J395" s="67"/>
      <c r="K395" s="67"/>
      <c r="L395" s="67"/>
      <c r="M395" s="67"/>
      <c r="N395" s="67"/>
      <c r="O395" s="67"/>
      <c r="P395" s="67"/>
      <c r="Q395" s="67"/>
      <c r="R395" s="67"/>
      <c r="S395" s="67"/>
      <c r="T395" s="67"/>
      <c r="U395" s="67"/>
      <c r="V395" s="67"/>
      <c r="W395" s="67"/>
      <c r="X395" s="67"/>
      <c r="Y395" s="67"/>
      <c r="Z395" s="67"/>
    </row>
    <row r="396">
      <c r="A396" s="135"/>
      <c r="B396" s="125"/>
      <c r="C396" s="125"/>
      <c r="D396" s="125"/>
      <c r="E396" s="125"/>
      <c r="F396" s="146"/>
      <c r="G396" s="67"/>
      <c r="H396" s="67"/>
      <c r="I396" s="67"/>
      <c r="J396" s="67"/>
      <c r="K396" s="67"/>
      <c r="L396" s="67"/>
      <c r="M396" s="67"/>
      <c r="N396" s="67"/>
      <c r="O396" s="67"/>
      <c r="P396" s="67"/>
      <c r="Q396" s="67"/>
      <c r="R396" s="67"/>
      <c r="S396" s="67"/>
      <c r="T396" s="67"/>
      <c r="U396" s="67"/>
      <c r="V396" s="67"/>
      <c r="W396" s="67"/>
      <c r="X396" s="67"/>
      <c r="Y396" s="67"/>
      <c r="Z396" s="67"/>
    </row>
    <row r="397">
      <c r="A397" s="136"/>
      <c r="B397" s="131"/>
      <c r="C397" s="131"/>
      <c r="D397" s="131"/>
      <c r="E397" s="131"/>
      <c r="F397" s="144"/>
      <c r="G397" s="67"/>
      <c r="H397" s="67"/>
      <c r="I397" s="67"/>
      <c r="J397" s="67"/>
      <c r="K397" s="67"/>
      <c r="L397" s="67"/>
      <c r="M397" s="67"/>
      <c r="N397" s="67"/>
      <c r="O397" s="67"/>
      <c r="P397" s="67"/>
      <c r="Q397" s="67"/>
      <c r="R397" s="67"/>
      <c r="S397" s="67"/>
      <c r="T397" s="67"/>
      <c r="U397" s="67"/>
      <c r="V397" s="67"/>
      <c r="W397" s="67"/>
      <c r="X397" s="67"/>
      <c r="Y397" s="67"/>
      <c r="Z397" s="67"/>
    </row>
    <row r="398">
      <c r="A398" s="135"/>
      <c r="B398" s="125"/>
      <c r="C398" s="125"/>
      <c r="D398" s="125"/>
      <c r="E398" s="125"/>
      <c r="F398" s="146"/>
      <c r="G398" s="67"/>
      <c r="H398" s="67"/>
      <c r="I398" s="67"/>
      <c r="J398" s="67"/>
      <c r="K398" s="67"/>
      <c r="L398" s="67"/>
      <c r="M398" s="67"/>
      <c r="N398" s="67"/>
      <c r="O398" s="67"/>
      <c r="P398" s="67"/>
      <c r="Q398" s="67"/>
      <c r="R398" s="67"/>
      <c r="S398" s="67"/>
      <c r="T398" s="67"/>
      <c r="U398" s="67"/>
      <c r="V398" s="67"/>
      <c r="W398" s="67"/>
      <c r="X398" s="67"/>
      <c r="Y398" s="67"/>
      <c r="Z398" s="67"/>
    </row>
    <row r="399">
      <c r="A399" s="136"/>
      <c r="B399" s="131"/>
      <c r="C399" s="131"/>
      <c r="D399" s="131"/>
      <c r="E399" s="131"/>
      <c r="F399" s="144"/>
      <c r="G399" s="67"/>
      <c r="H399" s="67"/>
      <c r="I399" s="67"/>
      <c r="J399" s="67"/>
      <c r="K399" s="67"/>
      <c r="L399" s="67"/>
      <c r="M399" s="67"/>
      <c r="N399" s="67"/>
      <c r="O399" s="67"/>
      <c r="P399" s="67"/>
      <c r="Q399" s="67"/>
      <c r="R399" s="67"/>
      <c r="S399" s="67"/>
      <c r="T399" s="67"/>
      <c r="U399" s="67"/>
      <c r="V399" s="67"/>
      <c r="W399" s="67"/>
      <c r="X399" s="67"/>
      <c r="Y399" s="67"/>
      <c r="Z399" s="67"/>
    </row>
    <row r="400">
      <c r="A400" s="135"/>
      <c r="B400" s="125"/>
      <c r="C400" s="125"/>
      <c r="D400" s="125"/>
      <c r="E400" s="125"/>
      <c r="F400" s="146"/>
      <c r="G400" s="67"/>
      <c r="H400" s="67"/>
      <c r="I400" s="67"/>
      <c r="J400" s="67"/>
      <c r="K400" s="67"/>
      <c r="L400" s="67"/>
      <c r="M400" s="67"/>
      <c r="N400" s="67"/>
      <c r="O400" s="67"/>
      <c r="P400" s="67"/>
      <c r="Q400" s="67"/>
      <c r="R400" s="67"/>
      <c r="S400" s="67"/>
      <c r="T400" s="67"/>
      <c r="U400" s="67"/>
      <c r="V400" s="67"/>
      <c r="W400" s="67"/>
      <c r="X400" s="67"/>
      <c r="Y400" s="67"/>
      <c r="Z400" s="67"/>
    </row>
    <row r="401">
      <c r="A401" s="136"/>
      <c r="B401" s="131"/>
      <c r="C401" s="131"/>
      <c r="D401" s="131"/>
      <c r="E401" s="131"/>
      <c r="F401" s="144"/>
      <c r="G401" s="67"/>
      <c r="H401" s="67"/>
      <c r="I401" s="67"/>
      <c r="J401" s="67"/>
      <c r="K401" s="67"/>
      <c r="L401" s="67"/>
      <c r="M401" s="67"/>
      <c r="N401" s="67"/>
      <c r="O401" s="67"/>
      <c r="P401" s="67"/>
      <c r="Q401" s="67"/>
      <c r="R401" s="67"/>
      <c r="S401" s="67"/>
      <c r="T401" s="67"/>
      <c r="U401" s="67"/>
      <c r="V401" s="67"/>
      <c r="W401" s="67"/>
      <c r="X401" s="67"/>
      <c r="Y401" s="67"/>
      <c r="Z401" s="67"/>
    </row>
    <row r="402">
      <c r="A402" s="135"/>
      <c r="B402" s="125"/>
      <c r="C402" s="125"/>
      <c r="D402" s="125"/>
      <c r="E402" s="125"/>
      <c r="F402" s="146"/>
      <c r="G402" s="67"/>
      <c r="H402" s="67"/>
      <c r="I402" s="67"/>
      <c r="J402" s="67"/>
      <c r="K402" s="67"/>
      <c r="L402" s="67"/>
      <c r="M402" s="67"/>
      <c r="N402" s="67"/>
      <c r="O402" s="67"/>
      <c r="P402" s="67"/>
      <c r="Q402" s="67"/>
      <c r="R402" s="67"/>
      <c r="S402" s="67"/>
      <c r="T402" s="67"/>
      <c r="U402" s="67"/>
      <c r="V402" s="67"/>
      <c r="W402" s="67"/>
      <c r="X402" s="67"/>
      <c r="Y402" s="67"/>
      <c r="Z402" s="67"/>
    </row>
    <row r="403">
      <c r="A403" s="136"/>
      <c r="B403" s="131"/>
      <c r="C403" s="131"/>
      <c r="D403" s="131"/>
      <c r="E403" s="131"/>
      <c r="F403" s="144"/>
      <c r="G403" s="67"/>
      <c r="H403" s="67"/>
      <c r="I403" s="67"/>
      <c r="J403" s="67"/>
      <c r="K403" s="67"/>
      <c r="L403" s="67"/>
      <c r="M403" s="67"/>
      <c r="N403" s="67"/>
      <c r="O403" s="67"/>
      <c r="P403" s="67"/>
      <c r="Q403" s="67"/>
      <c r="R403" s="67"/>
      <c r="S403" s="67"/>
      <c r="T403" s="67"/>
      <c r="U403" s="67"/>
      <c r="V403" s="67"/>
      <c r="W403" s="67"/>
      <c r="X403" s="67"/>
      <c r="Y403" s="67"/>
      <c r="Z403" s="67"/>
    </row>
    <row r="404">
      <c r="A404" s="135"/>
      <c r="B404" s="125"/>
      <c r="C404" s="125"/>
      <c r="D404" s="125"/>
      <c r="E404" s="125"/>
      <c r="F404" s="146"/>
      <c r="G404" s="67"/>
      <c r="H404" s="67"/>
      <c r="I404" s="67"/>
      <c r="J404" s="67"/>
      <c r="K404" s="67"/>
      <c r="L404" s="67"/>
      <c r="M404" s="67"/>
      <c r="N404" s="67"/>
      <c r="O404" s="67"/>
      <c r="P404" s="67"/>
      <c r="Q404" s="67"/>
      <c r="R404" s="67"/>
      <c r="S404" s="67"/>
      <c r="T404" s="67"/>
      <c r="U404" s="67"/>
      <c r="V404" s="67"/>
      <c r="W404" s="67"/>
      <c r="X404" s="67"/>
      <c r="Y404" s="67"/>
      <c r="Z404" s="67"/>
    </row>
    <row r="405">
      <c r="A405" s="136"/>
      <c r="B405" s="131"/>
      <c r="C405" s="131"/>
      <c r="D405" s="131"/>
      <c r="E405" s="131"/>
      <c r="F405" s="144"/>
      <c r="G405" s="67"/>
      <c r="H405" s="67"/>
      <c r="I405" s="67"/>
      <c r="J405" s="67"/>
      <c r="K405" s="67"/>
      <c r="L405" s="67"/>
      <c r="M405" s="67"/>
      <c r="N405" s="67"/>
      <c r="O405" s="67"/>
      <c r="P405" s="67"/>
      <c r="Q405" s="67"/>
      <c r="R405" s="67"/>
      <c r="S405" s="67"/>
      <c r="T405" s="67"/>
      <c r="U405" s="67"/>
      <c r="V405" s="67"/>
      <c r="W405" s="67"/>
      <c r="X405" s="67"/>
      <c r="Y405" s="67"/>
      <c r="Z405" s="67"/>
    </row>
    <row r="406">
      <c r="A406" s="135"/>
      <c r="B406" s="125"/>
      <c r="C406" s="125"/>
      <c r="D406" s="125"/>
      <c r="E406" s="125"/>
      <c r="F406" s="146"/>
      <c r="G406" s="67"/>
      <c r="H406" s="67"/>
      <c r="I406" s="67"/>
      <c r="J406" s="67"/>
      <c r="K406" s="67"/>
      <c r="L406" s="67"/>
      <c r="M406" s="67"/>
      <c r="N406" s="67"/>
      <c r="O406" s="67"/>
      <c r="P406" s="67"/>
      <c r="Q406" s="67"/>
      <c r="R406" s="67"/>
      <c r="S406" s="67"/>
      <c r="T406" s="67"/>
      <c r="U406" s="67"/>
      <c r="V406" s="67"/>
      <c r="W406" s="67"/>
      <c r="X406" s="67"/>
      <c r="Y406" s="67"/>
      <c r="Z406" s="67"/>
    </row>
    <row r="407">
      <c r="A407" s="136"/>
      <c r="B407" s="131"/>
      <c r="C407" s="131"/>
      <c r="D407" s="131"/>
      <c r="E407" s="131"/>
      <c r="F407" s="144"/>
      <c r="G407" s="67"/>
      <c r="H407" s="67"/>
      <c r="I407" s="67"/>
      <c r="J407" s="67"/>
      <c r="K407" s="67"/>
      <c r="L407" s="67"/>
      <c r="M407" s="67"/>
      <c r="N407" s="67"/>
      <c r="O407" s="67"/>
      <c r="P407" s="67"/>
      <c r="Q407" s="67"/>
      <c r="R407" s="67"/>
      <c r="S407" s="67"/>
      <c r="T407" s="67"/>
      <c r="U407" s="67"/>
      <c r="V407" s="67"/>
      <c r="W407" s="67"/>
      <c r="X407" s="67"/>
      <c r="Y407" s="67"/>
      <c r="Z407" s="67"/>
    </row>
    <row r="408">
      <c r="A408" s="135"/>
      <c r="B408" s="125"/>
      <c r="C408" s="125"/>
      <c r="D408" s="125"/>
      <c r="E408" s="125"/>
      <c r="F408" s="146"/>
      <c r="G408" s="67"/>
      <c r="H408" s="67"/>
      <c r="I408" s="67"/>
      <c r="J408" s="67"/>
      <c r="K408" s="67"/>
      <c r="L408" s="67"/>
      <c r="M408" s="67"/>
      <c r="N408" s="67"/>
      <c r="O408" s="67"/>
      <c r="P408" s="67"/>
      <c r="Q408" s="67"/>
      <c r="R408" s="67"/>
      <c r="S408" s="67"/>
      <c r="T408" s="67"/>
      <c r="U408" s="67"/>
      <c r="V408" s="67"/>
      <c r="W408" s="67"/>
      <c r="X408" s="67"/>
      <c r="Y408" s="67"/>
      <c r="Z408" s="67"/>
    </row>
    <row r="409">
      <c r="A409" s="136"/>
      <c r="B409" s="131"/>
      <c r="C409" s="131"/>
      <c r="D409" s="131"/>
      <c r="E409" s="131"/>
      <c r="F409" s="144"/>
      <c r="G409" s="67"/>
      <c r="H409" s="67"/>
      <c r="I409" s="67"/>
      <c r="J409" s="67"/>
      <c r="K409" s="67"/>
      <c r="L409" s="67"/>
      <c r="M409" s="67"/>
      <c r="N409" s="67"/>
      <c r="O409" s="67"/>
      <c r="P409" s="67"/>
      <c r="Q409" s="67"/>
      <c r="R409" s="67"/>
      <c r="S409" s="67"/>
      <c r="T409" s="67"/>
      <c r="U409" s="67"/>
      <c r="V409" s="67"/>
      <c r="W409" s="67"/>
      <c r="X409" s="67"/>
      <c r="Y409" s="67"/>
      <c r="Z409" s="67"/>
    </row>
    <row r="410">
      <c r="A410" s="135"/>
      <c r="B410" s="125"/>
      <c r="C410" s="125"/>
      <c r="D410" s="125"/>
      <c r="E410" s="125"/>
      <c r="F410" s="146"/>
      <c r="G410" s="67"/>
      <c r="H410" s="67"/>
      <c r="I410" s="67"/>
      <c r="J410" s="67"/>
      <c r="K410" s="67"/>
      <c r="L410" s="67"/>
      <c r="M410" s="67"/>
      <c r="N410" s="67"/>
      <c r="O410" s="67"/>
      <c r="P410" s="67"/>
      <c r="Q410" s="67"/>
      <c r="R410" s="67"/>
      <c r="S410" s="67"/>
      <c r="T410" s="67"/>
      <c r="U410" s="67"/>
      <c r="V410" s="67"/>
      <c r="W410" s="67"/>
      <c r="X410" s="67"/>
      <c r="Y410" s="67"/>
      <c r="Z410" s="67"/>
    </row>
    <row r="411">
      <c r="A411" s="136"/>
      <c r="B411" s="131"/>
      <c r="C411" s="131"/>
      <c r="D411" s="131"/>
      <c r="E411" s="131"/>
      <c r="F411" s="144"/>
      <c r="G411" s="67"/>
      <c r="H411" s="67"/>
      <c r="I411" s="67"/>
      <c r="J411" s="67"/>
      <c r="K411" s="67"/>
      <c r="L411" s="67"/>
      <c r="M411" s="67"/>
      <c r="N411" s="67"/>
      <c r="O411" s="67"/>
      <c r="P411" s="67"/>
      <c r="Q411" s="67"/>
      <c r="R411" s="67"/>
      <c r="S411" s="67"/>
      <c r="T411" s="67"/>
      <c r="U411" s="67"/>
      <c r="V411" s="67"/>
      <c r="W411" s="67"/>
      <c r="X411" s="67"/>
      <c r="Y411" s="67"/>
      <c r="Z411" s="67"/>
    </row>
    <row r="412">
      <c r="A412" s="135"/>
      <c r="B412" s="125"/>
      <c r="C412" s="125"/>
      <c r="D412" s="125"/>
      <c r="E412" s="125"/>
      <c r="F412" s="146"/>
      <c r="G412" s="67"/>
      <c r="H412" s="67"/>
      <c r="I412" s="67"/>
      <c r="J412" s="67"/>
      <c r="K412" s="67"/>
      <c r="L412" s="67"/>
      <c r="M412" s="67"/>
      <c r="N412" s="67"/>
      <c r="O412" s="67"/>
      <c r="P412" s="67"/>
      <c r="Q412" s="67"/>
      <c r="R412" s="67"/>
      <c r="S412" s="67"/>
      <c r="T412" s="67"/>
      <c r="U412" s="67"/>
      <c r="V412" s="67"/>
      <c r="W412" s="67"/>
      <c r="X412" s="67"/>
      <c r="Y412" s="67"/>
      <c r="Z412" s="67"/>
    </row>
    <row r="413">
      <c r="A413" s="136"/>
      <c r="B413" s="131"/>
      <c r="C413" s="131"/>
      <c r="D413" s="131"/>
      <c r="E413" s="131"/>
      <c r="F413" s="144"/>
      <c r="G413" s="67"/>
      <c r="H413" s="67"/>
      <c r="I413" s="67"/>
      <c r="J413" s="67"/>
      <c r="K413" s="67"/>
      <c r="L413" s="67"/>
      <c r="M413" s="67"/>
      <c r="N413" s="67"/>
      <c r="O413" s="67"/>
      <c r="P413" s="67"/>
      <c r="Q413" s="67"/>
      <c r="R413" s="67"/>
      <c r="S413" s="67"/>
      <c r="T413" s="67"/>
      <c r="U413" s="67"/>
      <c r="V413" s="67"/>
      <c r="W413" s="67"/>
      <c r="X413" s="67"/>
      <c r="Y413" s="67"/>
      <c r="Z413" s="67"/>
    </row>
    <row r="414">
      <c r="A414" s="135"/>
      <c r="B414" s="125"/>
      <c r="C414" s="125"/>
      <c r="D414" s="125"/>
      <c r="E414" s="125"/>
      <c r="F414" s="146"/>
      <c r="G414" s="67"/>
      <c r="H414" s="67"/>
      <c r="I414" s="67"/>
      <c r="J414" s="67"/>
      <c r="K414" s="67"/>
      <c r="L414" s="67"/>
      <c r="M414" s="67"/>
      <c r="N414" s="67"/>
      <c r="O414" s="67"/>
      <c r="P414" s="67"/>
      <c r="Q414" s="67"/>
      <c r="R414" s="67"/>
      <c r="S414" s="67"/>
      <c r="T414" s="67"/>
      <c r="U414" s="67"/>
      <c r="V414" s="67"/>
      <c r="W414" s="67"/>
      <c r="X414" s="67"/>
      <c r="Y414" s="67"/>
      <c r="Z414" s="67"/>
    </row>
    <row r="415">
      <c r="A415" s="136"/>
      <c r="B415" s="131"/>
      <c r="C415" s="131"/>
      <c r="D415" s="131"/>
      <c r="E415" s="131"/>
      <c r="F415" s="144"/>
      <c r="G415" s="67"/>
      <c r="H415" s="67"/>
      <c r="I415" s="67"/>
      <c r="J415" s="67"/>
      <c r="K415" s="67"/>
      <c r="L415" s="67"/>
      <c r="M415" s="67"/>
      <c r="N415" s="67"/>
      <c r="O415" s="67"/>
      <c r="P415" s="67"/>
      <c r="Q415" s="67"/>
      <c r="R415" s="67"/>
      <c r="S415" s="67"/>
      <c r="T415" s="67"/>
      <c r="U415" s="67"/>
      <c r="V415" s="67"/>
      <c r="W415" s="67"/>
      <c r="X415" s="67"/>
      <c r="Y415" s="67"/>
      <c r="Z415" s="67"/>
    </row>
    <row r="416">
      <c r="A416" s="135"/>
      <c r="B416" s="125"/>
      <c r="C416" s="125"/>
      <c r="D416" s="125"/>
      <c r="E416" s="125"/>
      <c r="F416" s="146"/>
      <c r="G416" s="67"/>
      <c r="H416" s="67"/>
      <c r="I416" s="67"/>
      <c r="J416" s="67"/>
      <c r="K416" s="67"/>
      <c r="L416" s="67"/>
      <c r="M416" s="67"/>
      <c r="N416" s="67"/>
      <c r="O416" s="67"/>
      <c r="P416" s="67"/>
      <c r="Q416" s="67"/>
      <c r="R416" s="67"/>
      <c r="S416" s="67"/>
      <c r="T416" s="67"/>
      <c r="U416" s="67"/>
      <c r="V416" s="67"/>
      <c r="W416" s="67"/>
      <c r="X416" s="67"/>
      <c r="Y416" s="67"/>
      <c r="Z416" s="67"/>
    </row>
    <row r="417">
      <c r="A417" s="136"/>
      <c r="B417" s="131"/>
      <c r="C417" s="131"/>
      <c r="D417" s="131"/>
      <c r="E417" s="131"/>
      <c r="F417" s="144"/>
      <c r="G417" s="67"/>
      <c r="H417" s="67"/>
      <c r="I417" s="67"/>
      <c r="J417" s="67"/>
      <c r="K417" s="67"/>
      <c r="L417" s="67"/>
      <c r="M417" s="67"/>
      <c r="N417" s="67"/>
      <c r="O417" s="67"/>
      <c r="P417" s="67"/>
      <c r="Q417" s="67"/>
      <c r="R417" s="67"/>
      <c r="S417" s="67"/>
      <c r="T417" s="67"/>
      <c r="U417" s="67"/>
      <c r="V417" s="67"/>
      <c r="W417" s="67"/>
      <c r="X417" s="67"/>
      <c r="Y417" s="67"/>
      <c r="Z417" s="67"/>
    </row>
    <row r="418">
      <c r="A418" s="135"/>
      <c r="B418" s="125"/>
      <c r="C418" s="125"/>
      <c r="D418" s="125"/>
      <c r="E418" s="125"/>
      <c r="F418" s="146"/>
      <c r="G418" s="67"/>
      <c r="H418" s="67"/>
      <c r="I418" s="67"/>
      <c r="J418" s="67"/>
      <c r="K418" s="67"/>
      <c r="L418" s="67"/>
      <c r="M418" s="67"/>
      <c r="N418" s="67"/>
      <c r="O418" s="67"/>
      <c r="P418" s="67"/>
      <c r="Q418" s="67"/>
      <c r="R418" s="67"/>
      <c r="S418" s="67"/>
      <c r="T418" s="67"/>
      <c r="U418" s="67"/>
      <c r="V418" s="67"/>
      <c r="W418" s="67"/>
      <c r="X418" s="67"/>
      <c r="Y418" s="67"/>
      <c r="Z418" s="67"/>
    </row>
    <row r="419">
      <c r="A419" s="136"/>
      <c r="B419" s="131"/>
      <c r="C419" s="131"/>
      <c r="D419" s="131"/>
      <c r="E419" s="131"/>
      <c r="F419" s="144"/>
      <c r="G419" s="67"/>
      <c r="H419" s="67"/>
      <c r="I419" s="67"/>
      <c r="J419" s="67"/>
      <c r="K419" s="67"/>
      <c r="L419" s="67"/>
      <c r="M419" s="67"/>
      <c r="N419" s="67"/>
      <c r="O419" s="67"/>
      <c r="P419" s="67"/>
      <c r="Q419" s="67"/>
      <c r="R419" s="67"/>
      <c r="S419" s="67"/>
      <c r="T419" s="67"/>
      <c r="U419" s="67"/>
      <c r="V419" s="67"/>
      <c r="W419" s="67"/>
      <c r="X419" s="67"/>
      <c r="Y419" s="67"/>
      <c r="Z419" s="67"/>
    </row>
    <row r="420">
      <c r="A420" s="135"/>
      <c r="B420" s="125"/>
      <c r="C420" s="125"/>
      <c r="D420" s="125"/>
      <c r="E420" s="125"/>
      <c r="F420" s="146"/>
      <c r="G420" s="67"/>
      <c r="H420" s="67"/>
      <c r="I420" s="67"/>
      <c r="J420" s="67"/>
      <c r="K420" s="67"/>
      <c r="L420" s="67"/>
      <c r="M420" s="67"/>
      <c r="N420" s="67"/>
      <c r="O420" s="67"/>
      <c r="P420" s="67"/>
      <c r="Q420" s="67"/>
      <c r="R420" s="67"/>
      <c r="S420" s="67"/>
      <c r="T420" s="67"/>
      <c r="U420" s="67"/>
      <c r="V420" s="67"/>
      <c r="W420" s="67"/>
      <c r="X420" s="67"/>
      <c r="Y420" s="67"/>
      <c r="Z420" s="67"/>
    </row>
    <row r="421">
      <c r="A421" s="136"/>
      <c r="B421" s="131"/>
      <c r="C421" s="131"/>
      <c r="D421" s="131"/>
      <c r="E421" s="131"/>
      <c r="F421" s="144"/>
      <c r="G421" s="67"/>
      <c r="H421" s="67"/>
      <c r="I421" s="67"/>
      <c r="J421" s="67"/>
      <c r="K421" s="67"/>
      <c r="L421" s="67"/>
      <c r="M421" s="67"/>
      <c r="N421" s="67"/>
      <c r="O421" s="67"/>
      <c r="P421" s="67"/>
      <c r="Q421" s="67"/>
      <c r="R421" s="67"/>
      <c r="S421" s="67"/>
      <c r="T421" s="67"/>
      <c r="U421" s="67"/>
      <c r="V421" s="67"/>
      <c r="W421" s="67"/>
      <c r="X421" s="67"/>
      <c r="Y421" s="67"/>
      <c r="Z421" s="67"/>
    </row>
    <row r="422">
      <c r="A422" s="135"/>
      <c r="B422" s="125"/>
      <c r="C422" s="125"/>
      <c r="D422" s="125"/>
      <c r="E422" s="125"/>
      <c r="F422" s="146"/>
      <c r="G422" s="67"/>
      <c r="H422" s="67"/>
      <c r="I422" s="67"/>
      <c r="J422" s="67"/>
      <c r="K422" s="67"/>
      <c r="L422" s="67"/>
      <c r="M422" s="67"/>
      <c r="N422" s="67"/>
      <c r="O422" s="67"/>
      <c r="P422" s="67"/>
      <c r="Q422" s="67"/>
      <c r="R422" s="67"/>
      <c r="S422" s="67"/>
      <c r="T422" s="67"/>
      <c r="U422" s="67"/>
      <c r="V422" s="67"/>
      <c r="W422" s="67"/>
      <c r="X422" s="67"/>
      <c r="Y422" s="67"/>
      <c r="Z422" s="67"/>
    </row>
    <row r="423">
      <c r="A423" s="136"/>
      <c r="B423" s="131"/>
      <c r="C423" s="131"/>
      <c r="D423" s="131"/>
      <c r="E423" s="131"/>
      <c r="F423" s="144"/>
      <c r="G423" s="67"/>
      <c r="H423" s="67"/>
      <c r="I423" s="67"/>
      <c r="J423" s="67"/>
      <c r="K423" s="67"/>
      <c r="L423" s="67"/>
      <c r="M423" s="67"/>
      <c r="N423" s="67"/>
      <c r="O423" s="67"/>
      <c r="P423" s="67"/>
      <c r="Q423" s="67"/>
      <c r="R423" s="67"/>
      <c r="S423" s="67"/>
      <c r="T423" s="67"/>
      <c r="U423" s="67"/>
      <c r="V423" s="67"/>
      <c r="W423" s="67"/>
      <c r="X423" s="67"/>
      <c r="Y423" s="67"/>
      <c r="Z423" s="67"/>
    </row>
    <row r="424">
      <c r="A424" s="135"/>
      <c r="B424" s="125"/>
      <c r="C424" s="125"/>
      <c r="D424" s="125"/>
      <c r="E424" s="125"/>
      <c r="F424" s="146"/>
      <c r="G424" s="67"/>
      <c r="H424" s="67"/>
      <c r="I424" s="67"/>
      <c r="J424" s="67"/>
      <c r="K424" s="67"/>
      <c r="L424" s="67"/>
      <c r="M424" s="67"/>
      <c r="N424" s="67"/>
      <c r="O424" s="67"/>
      <c r="P424" s="67"/>
      <c r="Q424" s="67"/>
      <c r="R424" s="67"/>
      <c r="S424" s="67"/>
      <c r="T424" s="67"/>
      <c r="U424" s="67"/>
      <c r="V424" s="67"/>
      <c r="W424" s="67"/>
      <c r="X424" s="67"/>
      <c r="Y424" s="67"/>
      <c r="Z424" s="67"/>
    </row>
    <row r="425">
      <c r="A425" s="136"/>
      <c r="B425" s="131"/>
      <c r="C425" s="131"/>
      <c r="D425" s="131"/>
      <c r="E425" s="131"/>
      <c r="F425" s="144"/>
      <c r="G425" s="67"/>
      <c r="H425" s="67"/>
      <c r="I425" s="67"/>
      <c r="J425" s="67"/>
      <c r="K425" s="67"/>
      <c r="L425" s="67"/>
      <c r="M425" s="67"/>
      <c r="N425" s="67"/>
      <c r="O425" s="67"/>
      <c r="P425" s="67"/>
      <c r="Q425" s="67"/>
      <c r="R425" s="67"/>
      <c r="S425" s="67"/>
      <c r="T425" s="67"/>
      <c r="U425" s="67"/>
      <c r="V425" s="67"/>
      <c r="W425" s="67"/>
      <c r="X425" s="67"/>
      <c r="Y425" s="67"/>
      <c r="Z425" s="67"/>
    </row>
    <row r="426">
      <c r="A426" s="135"/>
      <c r="B426" s="125"/>
      <c r="C426" s="125"/>
      <c r="D426" s="125"/>
      <c r="E426" s="125"/>
      <c r="F426" s="146"/>
      <c r="G426" s="67"/>
      <c r="H426" s="67"/>
      <c r="I426" s="67"/>
      <c r="J426" s="67"/>
      <c r="K426" s="67"/>
      <c r="L426" s="67"/>
      <c r="M426" s="67"/>
      <c r="N426" s="67"/>
      <c r="O426" s="67"/>
      <c r="P426" s="67"/>
      <c r="Q426" s="67"/>
      <c r="R426" s="67"/>
      <c r="S426" s="67"/>
      <c r="T426" s="67"/>
      <c r="U426" s="67"/>
      <c r="V426" s="67"/>
      <c r="W426" s="67"/>
      <c r="X426" s="67"/>
      <c r="Y426" s="67"/>
      <c r="Z426" s="67"/>
    </row>
    <row r="427">
      <c r="A427" s="136"/>
      <c r="B427" s="131"/>
      <c r="C427" s="131"/>
      <c r="D427" s="131"/>
      <c r="E427" s="131"/>
      <c r="F427" s="144"/>
      <c r="G427" s="67"/>
      <c r="H427" s="67"/>
      <c r="I427" s="67"/>
      <c r="J427" s="67"/>
      <c r="K427" s="67"/>
      <c r="L427" s="67"/>
      <c r="M427" s="67"/>
      <c r="N427" s="67"/>
      <c r="O427" s="67"/>
      <c r="P427" s="67"/>
      <c r="Q427" s="67"/>
      <c r="R427" s="67"/>
      <c r="S427" s="67"/>
      <c r="T427" s="67"/>
      <c r="U427" s="67"/>
      <c r="V427" s="67"/>
      <c r="W427" s="67"/>
      <c r="X427" s="67"/>
      <c r="Y427" s="67"/>
      <c r="Z427" s="67"/>
    </row>
    <row r="428">
      <c r="A428" s="135"/>
      <c r="B428" s="125"/>
      <c r="C428" s="125"/>
      <c r="D428" s="125"/>
      <c r="E428" s="125"/>
      <c r="F428" s="146"/>
      <c r="G428" s="67"/>
      <c r="H428" s="67"/>
      <c r="I428" s="67"/>
      <c r="J428" s="67"/>
      <c r="K428" s="67"/>
      <c r="L428" s="67"/>
      <c r="M428" s="67"/>
      <c r="N428" s="67"/>
      <c r="O428" s="67"/>
      <c r="P428" s="67"/>
      <c r="Q428" s="67"/>
      <c r="R428" s="67"/>
      <c r="S428" s="67"/>
      <c r="T428" s="67"/>
      <c r="U428" s="67"/>
      <c r="V428" s="67"/>
      <c r="W428" s="67"/>
      <c r="X428" s="67"/>
      <c r="Y428" s="67"/>
      <c r="Z428" s="67"/>
    </row>
    <row r="429">
      <c r="A429" s="136"/>
      <c r="B429" s="131"/>
      <c r="C429" s="131"/>
      <c r="D429" s="131"/>
      <c r="E429" s="131"/>
      <c r="F429" s="144"/>
      <c r="G429" s="67"/>
      <c r="H429" s="67"/>
      <c r="I429" s="67"/>
      <c r="J429" s="67"/>
      <c r="K429" s="67"/>
      <c r="L429" s="67"/>
      <c r="M429" s="67"/>
      <c r="N429" s="67"/>
      <c r="O429" s="67"/>
      <c r="P429" s="67"/>
      <c r="Q429" s="67"/>
      <c r="R429" s="67"/>
      <c r="S429" s="67"/>
      <c r="T429" s="67"/>
      <c r="U429" s="67"/>
      <c r="V429" s="67"/>
      <c r="W429" s="67"/>
      <c r="X429" s="67"/>
      <c r="Y429" s="67"/>
      <c r="Z429" s="67"/>
    </row>
    <row r="430">
      <c r="A430" s="135"/>
      <c r="B430" s="125"/>
      <c r="C430" s="125"/>
      <c r="D430" s="125"/>
      <c r="E430" s="125"/>
      <c r="F430" s="146"/>
      <c r="G430" s="67"/>
      <c r="H430" s="67"/>
      <c r="I430" s="67"/>
      <c r="J430" s="67"/>
      <c r="K430" s="67"/>
      <c r="L430" s="67"/>
      <c r="M430" s="67"/>
      <c r="N430" s="67"/>
      <c r="O430" s="67"/>
      <c r="P430" s="67"/>
      <c r="Q430" s="67"/>
      <c r="R430" s="67"/>
      <c r="S430" s="67"/>
      <c r="T430" s="67"/>
      <c r="U430" s="67"/>
      <c r="V430" s="67"/>
      <c r="W430" s="67"/>
      <c r="X430" s="67"/>
      <c r="Y430" s="67"/>
      <c r="Z430" s="67"/>
    </row>
    <row r="431">
      <c r="A431" s="136"/>
      <c r="B431" s="131"/>
      <c r="C431" s="131"/>
      <c r="D431" s="131"/>
      <c r="E431" s="131"/>
      <c r="F431" s="144"/>
      <c r="G431" s="67"/>
      <c r="H431" s="67"/>
      <c r="I431" s="67"/>
      <c r="J431" s="67"/>
      <c r="K431" s="67"/>
      <c r="L431" s="67"/>
      <c r="M431" s="67"/>
      <c r="N431" s="67"/>
      <c r="O431" s="67"/>
      <c r="P431" s="67"/>
      <c r="Q431" s="67"/>
      <c r="R431" s="67"/>
      <c r="S431" s="67"/>
      <c r="T431" s="67"/>
      <c r="U431" s="67"/>
      <c r="V431" s="67"/>
      <c r="W431" s="67"/>
      <c r="X431" s="67"/>
      <c r="Y431" s="67"/>
      <c r="Z431" s="67"/>
    </row>
    <row r="432">
      <c r="A432" s="135"/>
      <c r="B432" s="125"/>
      <c r="C432" s="125"/>
      <c r="D432" s="125"/>
      <c r="E432" s="125"/>
      <c r="F432" s="146"/>
      <c r="G432" s="67"/>
      <c r="H432" s="67"/>
      <c r="I432" s="67"/>
      <c r="J432" s="67"/>
      <c r="K432" s="67"/>
      <c r="L432" s="67"/>
      <c r="M432" s="67"/>
      <c r="N432" s="67"/>
      <c r="O432" s="67"/>
      <c r="P432" s="67"/>
      <c r="Q432" s="67"/>
      <c r="R432" s="67"/>
      <c r="S432" s="67"/>
      <c r="T432" s="67"/>
      <c r="U432" s="67"/>
      <c r="V432" s="67"/>
      <c r="W432" s="67"/>
      <c r="X432" s="67"/>
      <c r="Y432" s="67"/>
      <c r="Z432" s="67"/>
    </row>
    <row r="433">
      <c r="A433" s="136"/>
      <c r="B433" s="131"/>
      <c r="C433" s="131"/>
      <c r="D433" s="131"/>
      <c r="E433" s="131"/>
      <c r="F433" s="144"/>
      <c r="G433" s="67"/>
      <c r="H433" s="67"/>
      <c r="I433" s="67"/>
      <c r="J433" s="67"/>
      <c r="K433" s="67"/>
      <c r="L433" s="67"/>
      <c r="M433" s="67"/>
      <c r="N433" s="67"/>
      <c r="O433" s="67"/>
      <c r="P433" s="67"/>
      <c r="Q433" s="67"/>
      <c r="R433" s="67"/>
      <c r="S433" s="67"/>
      <c r="T433" s="67"/>
      <c r="U433" s="67"/>
      <c r="V433" s="67"/>
      <c r="W433" s="67"/>
      <c r="X433" s="67"/>
      <c r="Y433" s="67"/>
      <c r="Z433" s="67"/>
    </row>
    <row r="434">
      <c r="A434" s="135"/>
      <c r="B434" s="125"/>
      <c r="C434" s="125"/>
      <c r="D434" s="125"/>
      <c r="E434" s="125"/>
      <c r="F434" s="146"/>
      <c r="G434" s="67"/>
      <c r="H434" s="67"/>
      <c r="I434" s="67"/>
      <c r="J434" s="67"/>
      <c r="K434" s="67"/>
      <c r="L434" s="67"/>
      <c r="M434" s="67"/>
      <c r="N434" s="67"/>
      <c r="O434" s="67"/>
      <c r="P434" s="67"/>
      <c r="Q434" s="67"/>
      <c r="R434" s="67"/>
      <c r="S434" s="67"/>
      <c r="T434" s="67"/>
      <c r="U434" s="67"/>
      <c r="V434" s="67"/>
      <c r="W434" s="67"/>
      <c r="X434" s="67"/>
      <c r="Y434" s="67"/>
      <c r="Z434" s="67"/>
    </row>
    <row r="435">
      <c r="A435" s="136"/>
      <c r="B435" s="131"/>
      <c r="C435" s="131"/>
      <c r="D435" s="131"/>
      <c r="E435" s="131"/>
      <c r="F435" s="144"/>
      <c r="G435" s="67"/>
      <c r="H435" s="67"/>
      <c r="I435" s="67"/>
      <c r="J435" s="67"/>
      <c r="K435" s="67"/>
      <c r="L435" s="67"/>
      <c r="M435" s="67"/>
      <c r="N435" s="67"/>
      <c r="O435" s="67"/>
      <c r="P435" s="67"/>
      <c r="Q435" s="67"/>
      <c r="R435" s="67"/>
      <c r="S435" s="67"/>
      <c r="T435" s="67"/>
      <c r="U435" s="67"/>
      <c r="V435" s="67"/>
      <c r="W435" s="67"/>
      <c r="X435" s="67"/>
      <c r="Y435" s="67"/>
      <c r="Z435" s="67"/>
    </row>
    <row r="436">
      <c r="A436" s="135"/>
      <c r="B436" s="125"/>
      <c r="C436" s="125"/>
      <c r="D436" s="125"/>
      <c r="E436" s="125"/>
      <c r="F436" s="146"/>
      <c r="G436" s="67"/>
      <c r="H436" s="67"/>
      <c r="I436" s="67"/>
      <c r="J436" s="67"/>
      <c r="K436" s="67"/>
      <c r="L436" s="67"/>
      <c r="M436" s="67"/>
      <c r="N436" s="67"/>
      <c r="O436" s="67"/>
      <c r="P436" s="67"/>
      <c r="Q436" s="67"/>
      <c r="R436" s="67"/>
      <c r="S436" s="67"/>
      <c r="T436" s="67"/>
      <c r="U436" s="67"/>
      <c r="V436" s="67"/>
      <c r="W436" s="67"/>
      <c r="X436" s="67"/>
      <c r="Y436" s="67"/>
      <c r="Z436" s="67"/>
    </row>
    <row r="437">
      <c r="A437" s="136"/>
      <c r="B437" s="131"/>
      <c r="C437" s="131"/>
      <c r="D437" s="131"/>
      <c r="E437" s="131"/>
      <c r="F437" s="144"/>
      <c r="G437" s="67"/>
      <c r="H437" s="67"/>
      <c r="I437" s="67"/>
      <c r="J437" s="67"/>
      <c r="K437" s="67"/>
      <c r="L437" s="67"/>
      <c r="M437" s="67"/>
      <c r="N437" s="67"/>
      <c r="O437" s="67"/>
      <c r="P437" s="67"/>
      <c r="Q437" s="67"/>
      <c r="R437" s="67"/>
      <c r="S437" s="67"/>
      <c r="T437" s="67"/>
      <c r="U437" s="67"/>
      <c r="V437" s="67"/>
      <c r="W437" s="67"/>
      <c r="X437" s="67"/>
      <c r="Y437" s="67"/>
      <c r="Z437" s="67"/>
    </row>
    <row r="438">
      <c r="A438" s="135"/>
      <c r="B438" s="125"/>
      <c r="C438" s="125"/>
      <c r="D438" s="125"/>
      <c r="E438" s="125"/>
      <c r="F438" s="146"/>
      <c r="G438" s="67"/>
      <c r="H438" s="67"/>
      <c r="I438" s="67"/>
      <c r="J438" s="67"/>
      <c r="K438" s="67"/>
      <c r="L438" s="67"/>
      <c r="M438" s="67"/>
      <c r="N438" s="67"/>
      <c r="O438" s="67"/>
      <c r="P438" s="67"/>
      <c r="Q438" s="67"/>
      <c r="R438" s="67"/>
      <c r="S438" s="67"/>
      <c r="T438" s="67"/>
      <c r="U438" s="67"/>
      <c r="V438" s="67"/>
      <c r="W438" s="67"/>
      <c r="X438" s="67"/>
      <c r="Y438" s="67"/>
      <c r="Z438" s="67"/>
    </row>
    <row r="439">
      <c r="A439" s="136"/>
      <c r="B439" s="131"/>
      <c r="C439" s="131"/>
      <c r="D439" s="131"/>
      <c r="E439" s="131"/>
      <c r="F439" s="144"/>
      <c r="G439" s="67"/>
      <c r="H439" s="67"/>
      <c r="I439" s="67"/>
      <c r="J439" s="67"/>
      <c r="K439" s="67"/>
      <c r="L439" s="67"/>
      <c r="M439" s="67"/>
      <c r="N439" s="67"/>
      <c r="O439" s="67"/>
      <c r="P439" s="67"/>
      <c r="Q439" s="67"/>
      <c r="R439" s="67"/>
      <c r="S439" s="67"/>
      <c r="T439" s="67"/>
      <c r="U439" s="67"/>
      <c r="V439" s="67"/>
      <c r="W439" s="67"/>
      <c r="X439" s="67"/>
      <c r="Y439" s="67"/>
      <c r="Z439" s="67"/>
    </row>
    <row r="440">
      <c r="A440" s="135"/>
      <c r="B440" s="125"/>
      <c r="C440" s="125"/>
      <c r="D440" s="125"/>
      <c r="E440" s="125"/>
      <c r="F440" s="146"/>
      <c r="G440" s="67"/>
      <c r="H440" s="67"/>
      <c r="I440" s="67"/>
      <c r="J440" s="67"/>
      <c r="K440" s="67"/>
      <c r="L440" s="67"/>
      <c r="M440" s="67"/>
      <c r="N440" s="67"/>
      <c r="O440" s="67"/>
      <c r="P440" s="67"/>
      <c r="Q440" s="67"/>
      <c r="R440" s="67"/>
      <c r="S440" s="67"/>
      <c r="T440" s="67"/>
      <c r="U440" s="67"/>
      <c r="V440" s="67"/>
      <c r="W440" s="67"/>
      <c r="X440" s="67"/>
      <c r="Y440" s="67"/>
      <c r="Z440" s="67"/>
    </row>
    <row r="441">
      <c r="A441" s="136"/>
      <c r="B441" s="131"/>
      <c r="C441" s="131"/>
      <c r="D441" s="131"/>
      <c r="E441" s="131"/>
      <c r="F441" s="144"/>
      <c r="G441" s="67"/>
      <c r="H441" s="67"/>
      <c r="I441" s="67"/>
      <c r="J441" s="67"/>
      <c r="K441" s="67"/>
      <c r="L441" s="67"/>
      <c r="M441" s="67"/>
      <c r="N441" s="67"/>
      <c r="O441" s="67"/>
      <c r="P441" s="67"/>
      <c r="Q441" s="67"/>
      <c r="R441" s="67"/>
      <c r="S441" s="67"/>
      <c r="T441" s="67"/>
      <c r="U441" s="67"/>
      <c r="V441" s="67"/>
      <c r="W441" s="67"/>
      <c r="X441" s="67"/>
      <c r="Y441" s="67"/>
      <c r="Z441" s="67"/>
    </row>
    <row r="442">
      <c r="A442" s="135"/>
      <c r="B442" s="125"/>
      <c r="C442" s="125"/>
      <c r="D442" s="125"/>
      <c r="E442" s="125"/>
      <c r="F442" s="146"/>
      <c r="G442" s="67"/>
      <c r="H442" s="67"/>
      <c r="I442" s="67"/>
      <c r="J442" s="67"/>
      <c r="K442" s="67"/>
      <c r="L442" s="67"/>
      <c r="M442" s="67"/>
      <c r="N442" s="67"/>
      <c r="O442" s="67"/>
      <c r="P442" s="67"/>
      <c r="Q442" s="67"/>
      <c r="R442" s="67"/>
      <c r="S442" s="67"/>
      <c r="T442" s="67"/>
      <c r="U442" s="67"/>
      <c r="V442" s="67"/>
      <c r="W442" s="67"/>
      <c r="X442" s="67"/>
      <c r="Y442" s="67"/>
      <c r="Z442" s="67"/>
    </row>
    <row r="443">
      <c r="A443" s="136"/>
      <c r="B443" s="131"/>
      <c r="C443" s="131"/>
      <c r="D443" s="131"/>
      <c r="E443" s="131"/>
      <c r="F443" s="144"/>
      <c r="G443" s="67"/>
      <c r="H443" s="67"/>
      <c r="I443" s="67"/>
      <c r="J443" s="67"/>
      <c r="K443" s="67"/>
      <c r="L443" s="67"/>
      <c r="M443" s="67"/>
      <c r="N443" s="67"/>
      <c r="O443" s="67"/>
      <c r="P443" s="67"/>
      <c r="Q443" s="67"/>
      <c r="R443" s="67"/>
      <c r="S443" s="67"/>
      <c r="T443" s="67"/>
      <c r="U443" s="67"/>
      <c r="V443" s="67"/>
      <c r="W443" s="67"/>
      <c r="X443" s="67"/>
      <c r="Y443" s="67"/>
      <c r="Z443" s="67"/>
    </row>
    <row r="444">
      <c r="A444" s="135"/>
      <c r="B444" s="125"/>
      <c r="C444" s="125"/>
      <c r="D444" s="125"/>
      <c r="E444" s="125"/>
      <c r="F444" s="146"/>
      <c r="G444" s="67"/>
      <c r="H444" s="67"/>
      <c r="I444" s="67"/>
      <c r="J444" s="67"/>
      <c r="K444" s="67"/>
      <c r="L444" s="67"/>
      <c r="M444" s="67"/>
      <c r="N444" s="67"/>
      <c r="O444" s="67"/>
      <c r="P444" s="67"/>
      <c r="Q444" s="67"/>
      <c r="R444" s="67"/>
      <c r="S444" s="67"/>
      <c r="T444" s="67"/>
      <c r="U444" s="67"/>
      <c r="V444" s="67"/>
      <c r="W444" s="67"/>
      <c r="X444" s="67"/>
      <c r="Y444" s="67"/>
      <c r="Z444" s="67"/>
    </row>
    <row r="445">
      <c r="A445" s="136"/>
      <c r="B445" s="131"/>
      <c r="C445" s="131"/>
      <c r="D445" s="131"/>
      <c r="E445" s="131"/>
      <c r="F445" s="144"/>
      <c r="G445" s="67"/>
      <c r="H445" s="67"/>
      <c r="I445" s="67"/>
      <c r="J445" s="67"/>
      <c r="K445" s="67"/>
      <c r="L445" s="67"/>
      <c r="M445" s="67"/>
      <c r="N445" s="67"/>
      <c r="O445" s="67"/>
      <c r="P445" s="67"/>
      <c r="Q445" s="67"/>
      <c r="R445" s="67"/>
      <c r="S445" s="67"/>
      <c r="T445" s="67"/>
      <c r="U445" s="67"/>
      <c r="V445" s="67"/>
      <c r="W445" s="67"/>
      <c r="X445" s="67"/>
      <c r="Y445" s="67"/>
      <c r="Z445" s="67"/>
    </row>
    <row r="446">
      <c r="A446" s="135"/>
      <c r="B446" s="125"/>
      <c r="C446" s="125"/>
      <c r="D446" s="125"/>
      <c r="E446" s="125"/>
      <c r="F446" s="146"/>
      <c r="G446" s="67"/>
      <c r="H446" s="67"/>
      <c r="I446" s="67"/>
      <c r="J446" s="67"/>
      <c r="K446" s="67"/>
      <c r="L446" s="67"/>
      <c r="M446" s="67"/>
      <c r="N446" s="67"/>
      <c r="O446" s="67"/>
      <c r="P446" s="67"/>
      <c r="Q446" s="67"/>
      <c r="R446" s="67"/>
      <c r="S446" s="67"/>
      <c r="T446" s="67"/>
      <c r="U446" s="67"/>
      <c r="V446" s="67"/>
      <c r="W446" s="67"/>
      <c r="X446" s="67"/>
      <c r="Y446" s="67"/>
      <c r="Z446" s="67"/>
    </row>
    <row r="447">
      <c r="A447" s="136"/>
      <c r="B447" s="131"/>
      <c r="C447" s="131"/>
      <c r="D447" s="131"/>
      <c r="E447" s="131"/>
      <c r="F447" s="144"/>
      <c r="G447" s="67"/>
      <c r="H447" s="67"/>
      <c r="I447" s="67"/>
      <c r="J447" s="67"/>
      <c r="K447" s="67"/>
      <c r="L447" s="67"/>
      <c r="M447" s="67"/>
      <c r="N447" s="67"/>
      <c r="O447" s="67"/>
      <c r="P447" s="67"/>
      <c r="Q447" s="67"/>
      <c r="R447" s="67"/>
      <c r="S447" s="67"/>
      <c r="T447" s="67"/>
      <c r="U447" s="67"/>
      <c r="V447" s="67"/>
      <c r="W447" s="67"/>
      <c r="X447" s="67"/>
      <c r="Y447" s="67"/>
      <c r="Z447" s="67"/>
    </row>
    <row r="448">
      <c r="A448" s="135"/>
      <c r="B448" s="125"/>
      <c r="C448" s="125"/>
      <c r="D448" s="125"/>
      <c r="E448" s="125"/>
      <c r="F448" s="146"/>
      <c r="G448" s="67"/>
      <c r="H448" s="67"/>
      <c r="I448" s="67"/>
      <c r="J448" s="67"/>
      <c r="K448" s="67"/>
      <c r="L448" s="67"/>
      <c r="M448" s="67"/>
      <c r="N448" s="67"/>
      <c r="O448" s="67"/>
      <c r="P448" s="67"/>
      <c r="Q448" s="67"/>
      <c r="R448" s="67"/>
      <c r="S448" s="67"/>
      <c r="T448" s="67"/>
      <c r="U448" s="67"/>
      <c r="V448" s="67"/>
      <c r="W448" s="67"/>
      <c r="X448" s="67"/>
      <c r="Y448" s="67"/>
      <c r="Z448" s="67"/>
    </row>
    <row r="449">
      <c r="A449" s="136"/>
      <c r="B449" s="131"/>
      <c r="C449" s="131"/>
      <c r="D449" s="131"/>
      <c r="E449" s="131"/>
      <c r="F449" s="144"/>
      <c r="G449" s="67"/>
      <c r="H449" s="67"/>
      <c r="I449" s="67"/>
      <c r="J449" s="67"/>
      <c r="K449" s="67"/>
      <c r="L449" s="67"/>
      <c r="M449" s="67"/>
      <c r="N449" s="67"/>
      <c r="O449" s="67"/>
      <c r="P449" s="67"/>
      <c r="Q449" s="67"/>
      <c r="R449" s="67"/>
      <c r="S449" s="67"/>
      <c r="T449" s="67"/>
      <c r="U449" s="67"/>
      <c r="V449" s="67"/>
      <c r="W449" s="67"/>
      <c r="X449" s="67"/>
      <c r="Y449" s="67"/>
      <c r="Z449" s="67"/>
    </row>
    <row r="450">
      <c r="A450" s="135"/>
      <c r="B450" s="125"/>
      <c r="C450" s="125"/>
      <c r="D450" s="125"/>
      <c r="E450" s="125"/>
      <c r="F450" s="146"/>
      <c r="G450" s="67"/>
      <c r="H450" s="67"/>
      <c r="I450" s="67"/>
      <c r="J450" s="67"/>
      <c r="K450" s="67"/>
      <c r="L450" s="67"/>
      <c r="M450" s="67"/>
      <c r="N450" s="67"/>
      <c r="O450" s="67"/>
      <c r="P450" s="67"/>
      <c r="Q450" s="67"/>
      <c r="R450" s="67"/>
      <c r="S450" s="67"/>
      <c r="T450" s="67"/>
      <c r="U450" s="67"/>
      <c r="V450" s="67"/>
      <c r="W450" s="67"/>
      <c r="X450" s="67"/>
      <c r="Y450" s="67"/>
      <c r="Z450" s="67"/>
    </row>
    <row r="451">
      <c r="A451" s="136"/>
      <c r="B451" s="131"/>
      <c r="C451" s="131"/>
      <c r="D451" s="131"/>
      <c r="E451" s="131"/>
      <c r="F451" s="144"/>
      <c r="G451" s="67"/>
      <c r="H451" s="67"/>
      <c r="I451" s="67"/>
      <c r="J451" s="67"/>
      <c r="K451" s="67"/>
      <c r="L451" s="67"/>
      <c r="M451" s="67"/>
      <c r="N451" s="67"/>
      <c r="O451" s="67"/>
      <c r="P451" s="67"/>
      <c r="Q451" s="67"/>
      <c r="R451" s="67"/>
      <c r="S451" s="67"/>
      <c r="T451" s="67"/>
      <c r="U451" s="67"/>
      <c r="V451" s="67"/>
      <c r="W451" s="67"/>
      <c r="X451" s="67"/>
      <c r="Y451" s="67"/>
      <c r="Z451" s="67"/>
    </row>
    <row r="452">
      <c r="A452" s="135"/>
      <c r="B452" s="125"/>
      <c r="C452" s="125"/>
      <c r="D452" s="125"/>
      <c r="E452" s="125"/>
      <c r="F452" s="146"/>
      <c r="G452" s="67"/>
      <c r="H452" s="67"/>
      <c r="I452" s="67"/>
      <c r="J452" s="67"/>
      <c r="K452" s="67"/>
      <c r="L452" s="67"/>
      <c r="M452" s="67"/>
      <c r="N452" s="67"/>
      <c r="O452" s="67"/>
      <c r="P452" s="67"/>
      <c r="Q452" s="67"/>
      <c r="R452" s="67"/>
      <c r="S452" s="67"/>
      <c r="T452" s="67"/>
      <c r="U452" s="67"/>
      <c r="V452" s="67"/>
      <c r="W452" s="67"/>
      <c r="X452" s="67"/>
      <c r="Y452" s="67"/>
      <c r="Z452" s="67"/>
    </row>
    <row r="453">
      <c r="A453" s="136"/>
      <c r="B453" s="131"/>
      <c r="C453" s="131"/>
      <c r="D453" s="131"/>
      <c r="E453" s="131"/>
      <c r="F453" s="144"/>
      <c r="G453" s="67"/>
      <c r="H453" s="67"/>
      <c r="I453" s="67"/>
      <c r="J453" s="67"/>
      <c r="K453" s="67"/>
      <c r="L453" s="67"/>
      <c r="M453" s="67"/>
      <c r="N453" s="67"/>
      <c r="O453" s="67"/>
      <c r="P453" s="67"/>
      <c r="Q453" s="67"/>
      <c r="R453" s="67"/>
      <c r="S453" s="67"/>
      <c r="T453" s="67"/>
      <c r="U453" s="67"/>
      <c r="V453" s="67"/>
      <c r="W453" s="67"/>
      <c r="X453" s="67"/>
      <c r="Y453" s="67"/>
      <c r="Z453" s="67"/>
    </row>
    <row r="454">
      <c r="A454" s="135"/>
      <c r="B454" s="125"/>
      <c r="C454" s="125"/>
      <c r="D454" s="125"/>
      <c r="E454" s="125"/>
      <c r="F454" s="146"/>
      <c r="G454" s="67"/>
      <c r="H454" s="67"/>
      <c r="I454" s="67"/>
      <c r="J454" s="67"/>
      <c r="K454" s="67"/>
      <c r="L454" s="67"/>
      <c r="M454" s="67"/>
      <c r="N454" s="67"/>
      <c r="O454" s="67"/>
      <c r="P454" s="67"/>
      <c r="Q454" s="67"/>
      <c r="R454" s="67"/>
      <c r="S454" s="67"/>
      <c r="T454" s="67"/>
      <c r="U454" s="67"/>
      <c r="V454" s="67"/>
      <c r="W454" s="67"/>
      <c r="X454" s="67"/>
      <c r="Y454" s="67"/>
      <c r="Z454" s="67"/>
    </row>
    <row r="455">
      <c r="A455" s="136"/>
      <c r="B455" s="131"/>
      <c r="C455" s="131"/>
      <c r="D455" s="131"/>
      <c r="E455" s="131"/>
      <c r="F455" s="144"/>
      <c r="G455" s="67"/>
      <c r="H455" s="67"/>
      <c r="I455" s="67"/>
      <c r="J455" s="67"/>
      <c r="K455" s="67"/>
      <c r="L455" s="67"/>
      <c r="M455" s="67"/>
      <c r="N455" s="67"/>
      <c r="O455" s="67"/>
      <c r="P455" s="67"/>
      <c r="Q455" s="67"/>
      <c r="R455" s="67"/>
      <c r="S455" s="67"/>
      <c r="T455" s="67"/>
      <c r="U455" s="67"/>
      <c r="V455" s="67"/>
      <c r="W455" s="67"/>
      <c r="X455" s="67"/>
      <c r="Y455" s="67"/>
      <c r="Z455" s="67"/>
    </row>
    <row r="456">
      <c r="A456" s="135"/>
      <c r="B456" s="125"/>
      <c r="C456" s="125"/>
      <c r="D456" s="125"/>
      <c r="E456" s="125"/>
      <c r="F456" s="146"/>
      <c r="G456" s="67"/>
      <c r="H456" s="67"/>
      <c r="I456" s="67"/>
      <c r="J456" s="67"/>
      <c r="K456" s="67"/>
      <c r="L456" s="67"/>
      <c r="M456" s="67"/>
      <c r="N456" s="67"/>
      <c r="O456" s="67"/>
      <c r="P456" s="67"/>
      <c r="Q456" s="67"/>
      <c r="R456" s="67"/>
      <c r="S456" s="67"/>
      <c r="T456" s="67"/>
      <c r="U456" s="67"/>
      <c r="V456" s="67"/>
      <c r="W456" s="67"/>
      <c r="X456" s="67"/>
      <c r="Y456" s="67"/>
      <c r="Z456" s="67"/>
    </row>
    <row r="457">
      <c r="A457" s="136"/>
      <c r="B457" s="131"/>
      <c r="C457" s="131"/>
      <c r="D457" s="131"/>
      <c r="E457" s="131"/>
      <c r="F457" s="144"/>
      <c r="G457" s="67"/>
      <c r="H457" s="67"/>
      <c r="I457" s="67"/>
      <c r="J457" s="67"/>
      <c r="K457" s="67"/>
      <c r="L457" s="67"/>
      <c r="M457" s="67"/>
      <c r="N457" s="67"/>
      <c r="O457" s="67"/>
      <c r="P457" s="67"/>
      <c r="Q457" s="67"/>
      <c r="R457" s="67"/>
      <c r="S457" s="67"/>
      <c r="T457" s="67"/>
      <c r="U457" s="67"/>
      <c r="V457" s="67"/>
      <c r="W457" s="67"/>
      <c r="X457" s="67"/>
      <c r="Y457" s="67"/>
      <c r="Z457" s="67"/>
    </row>
    <row r="458">
      <c r="A458" s="135"/>
      <c r="B458" s="125"/>
      <c r="C458" s="125"/>
      <c r="D458" s="125"/>
      <c r="E458" s="125"/>
      <c r="F458" s="146"/>
      <c r="G458" s="67"/>
      <c r="H458" s="67"/>
      <c r="I458" s="67"/>
      <c r="J458" s="67"/>
      <c r="K458" s="67"/>
      <c r="L458" s="67"/>
      <c r="M458" s="67"/>
      <c r="N458" s="67"/>
      <c r="O458" s="67"/>
      <c r="P458" s="67"/>
      <c r="Q458" s="67"/>
      <c r="R458" s="67"/>
      <c r="S458" s="67"/>
      <c r="T458" s="67"/>
      <c r="U458" s="67"/>
      <c r="V458" s="67"/>
      <c r="W458" s="67"/>
      <c r="X458" s="67"/>
      <c r="Y458" s="67"/>
      <c r="Z458" s="67"/>
    </row>
    <row r="459">
      <c r="A459" s="136"/>
      <c r="B459" s="131"/>
      <c r="C459" s="131"/>
      <c r="D459" s="131"/>
      <c r="E459" s="131"/>
      <c r="F459" s="144"/>
      <c r="G459" s="67"/>
      <c r="H459" s="67"/>
      <c r="I459" s="67"/>
      <c r="J459" s="67"/>
      <c r="K459" s="67"/>
      <c r="L459" s="67"/>
      <c r="M459" s="67"/>
      <c r="N459" s="67"/>
      <c r="O459" s="67"/>
      <c r="P459" s="67"/>
      <c r="Q459" s="67"/>
      <c r="R459" s="67"/>
      <c r="S459" s="67"/>
      <c r="T459" s="67"/>
      <c r="U459" s="67"/>
      <c r="V459" s="67"/>
      <c r="W459" s="67"/>
      <c r="X459" s="67"/>
      <c r="Y459" s="67"/>
      <c r="Z459" s="67"/>
    </row>
    <row r="460">
      <c r="A460" s="135"/>
      <c r="B460" s="125"/>
      <c r="C460" s="125"/>
      <c r="D460" s="125"/>
      <c r="E460" s="125"/>
      <c r="F460" s="146"/>
      <c r="G460" s="67"/>
      <c r="H460" s="67"/>
      <c r="I460" s="67"/>
      <c r="J460" s="67"/>
      <c r="K460" s="67"/>
      <c r="L460" s="67"/>
      <c r="M460" s="67"/>
      <c r="N460" s="67"/>
      <c r="O460" s="67"/>
      <c r="P460" s="67"/>
      <c r="Q460" s="67"/>
      <c r="R460" s="67"/>
      <c r="S460" s="67"/>
      <c r="T460" s="67"/>
      <c r="U460" s="67"/>
      <c r="V460" s="67"/>
      <c r="W460" s="67"/>
      <c r="X460" s="67"/>
      <c r="Y460" s="67"/>
      <c r="Z460" s="67"/>
    </row>
    <row r="461">
      <c r="A461" s="136"/>
      <c r="B461" s="131"/>
      <c r="C461" s="131"/>
      <c r="D461" s="131"/>
      <c r="E461" s="131"/>
      <c r="F461" s="144"/>
      <c r="G461" s="67"/>
      <c r="H461" s="67"/>
      <c r="I461" s="67"/>
      <c r="J461" s="67"/>
      <c r="K461" s="67"/>
      <c r="L461" s="67"/>
      <c r="M461" s="67"/>
      <c r="N461" s="67"/>
      <c r="O461" s="67"/>
      <c r="P461" s="67"/>
      <c r="Q461" s="67"/>
      <c r="R461" s="67"/>
      <c r="S461" s="67"/>
      <c r="T461" s="67"/>
      <c r="U461" s="67"/>
      <c r="V461" s="67"/>
      <c r="W461" s="67"/>
      <c r="X461" s="67"/>
      <c r="Y461" s="67"/>
      <c r="Z461" s="67"/>
    </row>
    <row r="462">
      <c r="A462" s="135"/>
      <c r="B462" s="125"/>
      <c r="C462" s="125"/>
      <c r="D462" s="125"/>
      <c r="E462" s="125"/>
      <c r="F462" s="146"/>
      <c r="G462" s="67"/>
      <c r="H462" s="67"/>
      <c r="I462" s="67"/>
      <c r="J462" s="67"/>
      <c r="K462" s="67"/>
      <c r="L462" s="67"/>
      <c r="M462" s="67"/>
      <c r="N462" s="67"/>
      <c r="O462" s="67"/>
      <c r="P462" s="67"/>
      <c r="Q462" s="67"/>
      <c r="R462" s="67"/>
      <c r="S462" s="67"/>
      <c r="T462" s="67"/>
      <c r="U462" s="67"/>
      <c r="V462" s="67"/>
      <c r="W462" s="67"/>
      <c r="X462" s="67"/>
      <c r="Y462" s="67"/>
      <c r="Z462" s="67"/>
    </row>
    <row r="463">
      <c r="A463" s="136"/>
      <c r="B463" s="131"/>
      <c r="C463" s="131"/>
      <c r="D463" s="131"/>
      <c r="E463" s="131"/>
      <c r="F463" s="144"/>
      <c r="G463" s="67"/>
      <c r="H463" s="67"/>
      <c r="I463" s="67"/>
      <c r="J463" s="67"/>
      <c r="K463" s="67"/>
      <c r="L463" s="67"/>
      <c r="M463" s="67"/>
      <c r="N463" s="67"/>
      <c r="O463" s="67"/>
      <c r="P463" s="67"/>
      <c r="Q463" s="67"/>
      <c r="R463" s="67"/>
      <c r="S463" s="67"/>
      <c r="T463" s="67"/>
      <c r="U463" s="67"/>
      <c r="V463" s="67"/>
      <c r="W463" s="67"/>
      <c r="X463" s="67"/>
      <c r="Y463" s="67"/>
      <c r="Z463" s="67"/>
    </row>
    <row r="464">
      <c r="A464" s="135"/>
      <c r="B464" s="125"/>
      <c r="C464" s="125"/>
      <c r="D464" s="125"/>
      <c r="E464" s="125"/>
      <c r="F464" s="146"/>
      <c r="G464" s="67"/>
      <c r="H464" s="67"/>
      <c r="I464" s="67"/>
      <c r="J464" s="67"/>
      <c r="K464" s="67"/>
      <c r="L464" s="67"/>
      <c r="M464" s="67"/>
      <c r="N464" s="67"/>
      <c r="O464" s="67"/>
      <c r="P464" s="67"/>
      <c r="Q464" s="67"/>
      <c r="R464" s="67"/>
      <c r="S464" s="67"/>
      <c r="T464" s="67"/>
      <c r="U464" s="67"/>
      <c r="V464" s="67"/>
      <c r="W464" s="67"/>
      <c r="X464" s="67"/>
      <c r="Y464" s="67"/>
      <c r="Z464" s="67"/>
    </row>
    <row r="465">
      <c r="A465" s="136"/>
      <c r="B465" s="131"/>
      <c r="C465" s="131"/>
      <c r="D465" s="131"/>
      <c r="E465" s="131"/>
      <c r="F465" s="144"/>
      <c r="G465" s="67"/>
      <c r="H465" s="67"/>
      <c r="I465" s="67"/>
      <c r="J465" s="67"/>
      <c r="K465" s="67"/>
      <c r="L465" s="67"/>
      <c r="M465" s="67"/>
      <c r="N465" s="67"/>
      <c r="O465" s="67"/>
      <c r="P465" s="67"/>
      <c r="Q465" s="67"/>
      <c r="R465" s="67"/>
      <c r="S465" s="67"/>
      <c r="T465" s="67"/>
      <c r="U465" s="67"/>
      <c r="V465" s="67"/>
      <c r="W465" s="67"/>
      <c r="X465" s="67"/>
      <c r="Y465" s="67"/>
      <c r="Z465" s="67"/>
    </row>
    <row r="466">
      <c r="A466" s="135"/>
      <c r="B466" s="125"/>
      <c r="C466" s="125"/>
      <c r="D466" s="125"/>
      <c r="E466" s="125"/>
      <c r="F466" s="146"/>
      <c r="G466" s="67"/>
      <c r="H466" s="67"/>
      <c r="I466" s="67"/>
      <c r="J466" s="67"/>
      <c r="K466" s="67"/>
      <c r="L466" s="67"/>
      <c r="M466" s="67"/>
      <c r="N466" s="67"/>
      <c r="O466" s="67"/>
      <c r="P466" s="67"/>
      <c r="Q466" s="67"/>
      <c r="R466" s="67"/>
      <c r="S466" s="67"/>
      <c r="T466" s="67"/>
      <c r="U466" s="67"/>
      <c r="V466" s="67"/>
      <c r="W466" s="67"/>
      <c r="X466" s="67"/>
      <c r="Y466" s="67"/>
      <c r="Z466" s="67"/>
    </row>
    <row r="467">
      <c r="A467" s="136"/>
      <c r="B467" s="131"/>
      <c r="C467" s="131"/>
      <c r="D467" s="131"/>
      <c r="E467" s="131"/>
      <c r="F467" s="144"/>
      <c r="G467" s="67"/>
      <c r="H467" s="67"/>
      <c r="I467" s="67"/>
      <c r="J467" s="67"/>
      <c r="K467" s="67"/>
      <c r="L467" s="67"/>
      <c r="M467" s="67"/>
      <c r="N467" s="67"/>
      <c r="O467" s="67"/>
      <c r="P467" s="67"/>
      <c r="Q467" s="67"/>
      <c r="R467" s="67"/>
      <c r="S467" s="67"/>
      <c r="T467" s="67"/>
      <c r="U467" s="67"/>
      <c r="V467" s="67"/>
      <c r="W467" s="67"/>
      <c r="X467" s="67"/>
      <c r="Y467" s="67"/>
      <c r="Z467" s="67"/>
    </row>
    <row r="468">
      <c r="A468" s="135"/>
      <c r="B468" s="125"/>
      <c r="C468" s="125"/>
      <c r="D468" s="125"/>
      <c r="E468" s="125"/>
      <c r="F468" s="146"/>
      <c r="G468" s="67"/>
      <c r="H468" s="67"/>
      <c r="I468" s="67"/>
      <c r="J468" s="67"/>
      <c r="K468" s="67"/>
      <c r="L468" s="67"/>
      <c r="M468" s="67"/>
      <c r="N468" s="67"/>
      <c r="O468" s="67"/>
      <c r="P468" s="67"/>
      <c r="Q468" s="67"/>
      <c r="R468" s="67"/>
      <c r="S468" s="67"/>
      <c r="T468" s="67"/>
      <c r="U468" s="67"/>
      <c r="V468" s="67"/>
      <c r="W468" s="67"/>
      <c r="X468" s="67"/>
      <c r="Y468" s="67"/>
      <c r="Z468" s="67"/>
    </row>
    <row r="469">
      <c r="A469" s="136"/>
      <c r="B469" s="131"/>
      <c r="C469" s="131"/>
      <c r="D469" s="131"/>
      <c r="E469" s="131"/>
      <c r="F469" s="144"/>
      <c r="G469" s="67"/>
      <c r="H469" s="67"/>
      <c r="I469" s="67"/>
      <c r="J469" s="67"/>
      <c r="K469" s="67"/>
      <c r="L469" s="67"/>
      <c r="M469" s="67"/>
      <c r="N469" s="67"/>
      <c r="O469" s="67"/>
      <c r="P469" s="67"/>
      <c r="Q469" s="67"/>
      <c r="R469" s="67"/>
      <c r="S469" s="67"/>
      <c r="T469" s="67"/>
      <c r="U469" s="67"/>
      <c r="V469" s="67"/>
      <c r="W469" s="67"/>
      <c r="X469" s="67"/>
      <c r="Y469" s="67"/>
      <c r="Z469" s="67"/>
    </row>
    <row r="470">
      <c r="A470" s="135"/>
      <c r="B470" s="125"/>
      <c r="C470" s="125"/>
      <c r="D470" s="125"/>
      <c r="E470" s="125"/>
      <c r="F470" s="146"/>
      <c r="G470" s="67"/>
      <c r="H470" s="67"/>
      <c r="I470" s="67"/>
      <c r="J470" s="67"/>
      <c r="K470" s="67"/>
      <c r="L470" s="67"/>
      <c r="M470" s="67"/>
      <c r="N470" s="67"/>
      <c r="O470" s="67"/>
      <c r="P470" s="67"/>
      <c r="Q470" s="67"/>
      <c r="R470" s="67"/>
      <c r="S470" s="67"/>
      <c r="T470" s="67"/>
      <c r="U470" s="67"/>
      <c r="V470" s="67"/>
      <c r="W470" s="67"/>
      <c r="X470" s="67"/>
      <c r="Y470" s="67"/>
      <c r="Z470" s="67"/>
    </row>
    <row r="471">
      <c r="A471" s="136"/>
      <c r="B471" s="131"/>
      <c r="C471" s="131"/>
      <c r="D471" s="131"/>
      <c r="E471" s="131"/>
      <c r="F471" s="144"/>
      <c r="G471" s="67"/>
      <c r="H471" s="67"/>
      <c r="I471" s="67"/>
      <c r="J471" s="67"/>
      <c r="K471" s="67"/>
      <c r="L471" s="67"/>
      <c r="M471" s="67"/>
      <c r="N471" s="67"/>
      <c r="O471" s="67"/>
      <c r="P471" s="67"/>
      <c r="Q471" s="67"/>
      <c r="R471" s="67"/>
      <c r="S471" s="67"/>
      <c r="T471" s="67"/>
      <c r="U471" s="67"/>
      <c r="V471" s="67"/>
      <c r="W471" s="67"/>
      <c r="X471" s="67"/>
      <c r="Y471" s="67"/>
      <c r="Z471" s="67"/>
    </row>
    <row r="472">
      <c r="A472" s="135"/>
      <c r="B472" s="125"/>
      <c r="C472" s="125"/>
      <c r="D472" s="125"/>
      <c r="E472" s="125"/>
      <c r="F472" s="146"/>
      <c r="G472" s="67"/>
      <c r="H472" s="67"/>
      <c r="I472" s="67"/>
      <c r="J472" s="67"/>
      <c r="K472" s="67"/>
      <c r="L472" s="67"/>
      <c r="M472" s="67"/>
      <c r="N472" s="67"/>
      <c r="O472" s="67"/>
      <c r="P472" s="67"/>
      <c r="Q472" s="67"/>
      <c r="R472" s="67"/>
      <c r="S472" s="67"/>
      <c r="T472" s="67"/>
      <c r="U472" s="67"/>
      <c r="V472" s="67"/>
      <c r="W472" s="67"/>
      <c r="X472" s="67"/>
      <c r="Y472" s="67"/>
      <c r="Z472" s="67"/>
    </row>
    <row r="473">
      <c r="A473" s="136"/>
      <c r="B473" s="131"/>
      <c r="C473" s="131"/>
      <c r="D473" s="131"/>
      <c r="E473" s="131"/>
      <c r="F473" s="144"/>
      <c r="G473" s="67"/>
      <c r="H473" s="67"/>
      <c r="I473" s="67"/>
      <c r="J473" s="67"/>
      <c r="K473" s="67"/>
      <c r="L473" s="67"/>
      <c r="M473" s="67"/>
      <c r="N473" s="67"/>
      <c r="O473" s="67"/>
      <c r="P473" s="67"/>
      <c r="Q473" s="67"/>
      <c r="R473" s="67"/>
      <c r="S473" s="67"/>
      <c r="T473" s="67"/>
      <c r="U473" s="67"/>
      <c r="V473" s="67"/>
      <c r="W473" s="67"/>
      <c r="X473" s="67"/>
      <c r="Y473" s="67"/>
      <c r="Z473" s="67"/>
    </row>
    <row r="474">
      <c r="A474" s="135"/>
      <c r="B474" s="125"/>
      <c r="C474" s="125"/>
      <c r="D474" s="125"/>
      <c r="E474" s="125"/>
      <c r="F474" s="146"/>
      <c r="G474" s="67"/>
      <c r="H474" s="67"/>
      <c r="I474" s="67"/>
      <c r="J474" s="67"/>
      <c r="K474" s="67"/>
      <c r="L474" s="67"/>
      <c r="M474" s="67"/>
      <c r="N474" s="67"/>
      <c r="O474" s="67"/>
      <c r="P474" s="67"/>
      <c r="Q474" s="67"/>
      <c r="R474" s="67"/>
      <c r="S474" s="67"/>
      <c r="T474" s="67"/>
      <c r="U474" s="67"/>
      <c r="V474" s="67"/>
      <c r="W474" s="67"/>
      <c r="X474" s="67"/>
      <c r="Y474" s="67"/>
      <c r="Z474" s="67"/>
    </row>
    <row r="475">
      <c r="A475" s="136"/>
      <c r="B475" s="131"/>
      <c r="C475" s="131"/>
      <c r="D475" s="131"/>
      <c r="E475" s="131"/>
      <c r="F475" s="144"/>
      <c r="G475" s="67"/>
      <c r="H475" s="67"/>
      <c r="I475" s="67"/>
      <c r="J475" s="67"/>
      <c r="K475" s="67"/>
      <c r="L475" s="67"/>
      <c r="M475" s="67"/>
      <c r="N475" s="67"/>
      <c r="O475" s="67"/>
      <c r="P475" s="67"/>
      <c r="Q475" s="67"/>
      <c r="R475" s="67"/>
      <c r="S475" s="67"/>
      <c r="T475" s="67"/>
      <c r="U475" s="67"/>
      <c r="V475" s="67"/>
      <c r="W475" s="67"/>
      <c r="X475" s="67"/>
      <c r="Y475" s="67"/>
      <c r="Z475" s="67"/>
    </row>
    <row r="476">
      <c r="A476" s="135"/>
      <c r="B476" s="125"/>
      <c r="C476" s="125"/>
      <c r="D476" s="125"/>
      <c r="E476" s="125"/>
      <c r="F476" s="146"/>
      <c r="G476" s="67"/>
      <c r="H476" s="67"/>
      <c r="I476" s="67"/>
      <c r="J476" s="67"/>
      <c r="K476" s="67"/>
      <c r="L476" s="67"/>
      <c r="M476" s="67"/>
      <c r="N476" s="67"/>
      <c r="O476" s="67"/>
      <c r="P476" s="67"/>
      <c r="Q476" s="67"/>
      <c r="R476" s="67"/>
      <c r="S476" s="67"/>
      <c r="T476" s="67"/>
      <c r="U476" s="67"/>
      <c r="V476" s="67"/>
      <c r="W476" s="67"/>
      <c r="X476" s="67"/>
      <c r="Y476" s="67"/>
      <c r="Z476" s="67"/>
    </row>
    <row r="477">
      <c r="A477" s="136"/>
      <c r="B477" s="131"/>
      <c r="C477" s="131"/>
      <c r="D477" s="131"/>
      <c r="E477" s="131"/>
      <c r="F477" s="144"/>
      <c r="G477" s="67"/>
      <c r="H477" s="67"/>
      <c r="I477" s="67"/>
      <c r="J477" s="67"/>
      <c r="K477" s="67"/>
      <c r="L477" s="67"/>
      <c r="M477" s="67"/>
      <c r="N477" s="67"/>
      <c r="O477" s="67"/>
      <c r="P477" s="67"/>
      <c r="Q477" s="67"/>
      <c r="R477" s="67"/>
      <c r="S477" s="67"/>
      <c r="T477" s="67"/>
      <c r="U477" s="67"/>
      <c r="V477" s="67"/>
      <c r="W477" s="67"/>
      <c r="X477" s="67"/>
      <c r="Y477" s="67"/>
      <c r="Z477" s="67"/>
    </row>
    <row r="478">
      <c r="A478" s="135"/>
      <c r="B478" s="125"/>
      <c r="C478" s="125"/>
      <c r="D478" s="125"/>
      <c r="E478" s="125"/>
      <c r="F478" s="146"/>
      <c r="G478" s="67"/>
      <c r="H478" s="67"/>
      <c r="I478" s="67"/>
      <c r="J478" s="67"/>
      <c r="K478" s="67"/>
      <c r="L478" s="67"/>
      <c r="M478" s="67"/>
      <c r="N478" s="67"/>
      <c r="O478" s="67"/>
      <c r="P478" s="67"/>
      <c r="Q478" s="67"/>
      <c r="R478" s="67"/>
      <c r="S478" s="67"/>
      <c r="T478" s="67"/>
      <c r="U478" s="67"/>
      <c r="V478" s="67"/>
      <c r="W478" s="67"/>
      <c r="X478" s="67"/>
      <c r="Y478" s="67"/>
      <c r="Z478" s="67"/>
    </row>
    <row r="479">
      <c r="A479" s="136"/>
      <c r="B479" s="131"/>
      <c r="C479" s="131"/>
      <c r="D479" s="131"/>
      <c r="E479" s="131"/>
      <c r="F479" s="144"/>
      <c r="G479" s="67"/>
      <c r="H479" s="67"/>
      <c r="I479" s="67"/>
      <c r="J479" s="67"/>
      <c r="K479" s="67"/>
      <c r="L479" s="67"/>
      <c r="M479" s="67"/>
      <c r="N479" s="67"/>
      <c r="O479" s="67"/>
      <c r="P479" s="67"/>
      <c r="Q479" s="67"/>
      <c r="R479" s="67"/>
      <c r="S479" s="67"/>
      <c r="T479" s="67"/>
      <c r="U479" s="67"/>
      <c r="V479" s="67"/>
      <c r="W479" s="67"/>
      <c r="X479" s="67"/>
      <c r="Y479" s="67"/>
      <c r="Z479" s="67"/>
    </row>
    <row r="480">
      <c r="A480" s="135"/>
      <c r="B480" s="125"/>
      <c r="C480" s="125"/>
      <c r="D480" s="125"/>
      <c r="E480" s="125"/>
      <c r="F480" s="146"/>
      <c r="G480" s="67"/>
      <c r="H480" s="67"/>
      <c r="I480" s="67"/>
      <c r="J480" s="67"/>
      <c r="K480" s="67"/>
      <c r="L480" s="67"/>
      <c r="M480" s="67"/>
      <c r="N480" s="67"/>
      <c r="O480" s="67"/>
      <c r="P480" s="67"/>
      <c r="Q480" s="67"/>
      <c r="R480" s="67"/>
      <c r="S480" s="67"/>
      <c r="T480" s="67"/>
      <c r="U480" s="67"/>
      <c r="V480" s="67"/>
      <c r="W480" s="67"/>
      <c r="X480" s="67"/>
      <c r="Y480" s="67"/>
      <c r="Z480" s="67"/>
    </row>
    <row r="481">
      <c r="A481" s="136"/>
      <c r="B481" s="131"/>
      <c r="C481" s="131"/>
      <c r="D481" s="131"/>
      <c r="E481" s="131"/>
      <c r="F481" s="144"/>
      <c r="G481" s="67"/>
      <c r="H481" s="67"/>
      <c r="I481" s="67"/>
      <c r="J481" s="67"/>
      <c r="K481" s="67"/>
      <c r="L481" s="67"/>
      <c r="M481" s="67"/>
      <c r="N481" s="67"/>
      <c r="O481" s="67"/>
      <c r="P481" s="67"/>
      <c r="Q481" s="67"/>
      <c r="R481" s="67"/>
      <c r="S481" s="67"/>
      <c r="T481" s="67"/>
      <c r="U481" s="67"/>
      <c r="V481" s="67"/>
      <c r="W481" s="67"/>
      <c r="X481" s="67"/>
      <c r="Y481" s="67"/>
      <c r="Z481" s="67"/>
    </row>
    <row r="482">
      <c r="A482" s="135"/>
      <c r="B482" s="125"/>
      <c r="C482" s="125"/>
      <c r="D482" s="125"/>
      <c r="E482" s="125"/>
      <c r="F482" s="146"/>
      <c r="G482" s="67"/>
      <c r="H482" s="67"/>
      <c r="I482" s="67"/>
      <c r="J482" s="67"/>
      <c r="K482" s="67"/>
      <c r="L482" s="67"/>
      <c r="M482" s="67"/>
      <c r="N482" s="67"/>
      <c r="O482" s="67"/>
      <c r="P482" s="67"/>
      <c r="Q482" s="67"/>
      <c r="R482" s="67"/>
      <c r="S482" s="67"/>
      <c r="T482" s="67"/>
      <c r="U482" s="67"/>
      <c r="V482" s="67"/>
      <c r="W482" s="67"/>
      <c r="X482" s="67"/>
      <c r="Y482" s="67"/>
      <c r="Z482" s="67"/>
    </row>
    <row r="483">
      <c r="A483" s="136"/>
      <c r="B483" s="131"/>
      <c r="C483" s="131"/>
      <c r="D483" s="131"/>
      <c r="E483" s="131"/>
      <c r="F483" s="144"/>
      <c r="G483" s="67"/>
      <c r="H483" s="67"/>
      <c r="I483" s="67"/>
      <c r="J483" s="67"/>
      <c r="K483" s="67"/>
      <c r="L483" s="67"/>
      <c r="M483" s="67"/>
      <c r="N483" s="67"/>
      <c r="O483" s="67"/>
      <c r="P483" s="67"/>
      <c r="Q483" s="67"/>
      <c r="R483" s="67"/>
      <c r="S483" s="67"/>
      <c r="T483" s="67"/>
      <c r="U483" s="67"/>
      <c r="V483" s="67"/>
      <c r="W483" s="67"/>
      <c r="X483" s="67"/>
      <c r="Y483" s="67"/>
      <c r="Z483" s="67"/>
    </row>
    <row r="484">
      <c r="A484" s="135"/>
      <c r="B484" s="125"/>
      <c r="C484" s="125"/>
      <c r="D484" s="125"/>
      <c r="E484" s="125"/>
      <c r="F484" s="146"/>
      <c r="G484" s="67"/>
      <c r="H484" s="67"/>
      <c r="I484" s="67"/>
      <c r="J484" s="67"/>
      <c r="K484" s="67"/>
      <c r="L484" s="67"/>
      <c r="M484" s="67"/>
      <c r="N484" s="67"/>
      <c r="O484" s="67"/>
      <c r="P484" s="67"/>
      <c r="Q484" s="67"/>
      <c r="R484" s="67"/>
      <c r="S484" s="67"/>
      <c r="T484" s="67"/>
      <c r="U484" s="67"/>
      <c r="V484" s="67"/>
      <c r="W484" s="67"/>
      <c r="X484" s="67"/>
      <c r="Y484" s="67"/>
      <c r="Z484" s="67"/>
    </row>
    <row r="485">
      <c r="A485" s="136"/>
      <c r="B485" s="131"/>
      <c r="C485" s="131"/>
      <c r="D485" s="131"/>
      <c r="E485" s="131"/>
      <c r="F485" s="144"/>
      <c r="G485" s="67"/>
      <c r="H485" s="67"/>
      <c r="I485" s="67"/>
      <c r="J485" s="67"/>
      <c r="K485" s="67"/>
      <c r="L485" s="67"/>
      <c r="M485" s="67"/>
      <c r="N485" s="67"/>
      <c r="O485" s="67"/>
      <c r="P485" s="67"/>
      <c r="Q485" s="67"/>
      <c r="R485" s="67"/>
      <c r="S485" s="67"/>
      <c r="T485" s="67"/>
      <c r="U485" s="67"/>
      <c r="V485" s="67"/>
      <c r="W485" s="67"/>
      <c r="X485" s="67"/>
      <c r="Y485" s="67"/>
      <c r="Z485" s="67"/>
    </row>
    <row r="486">
      <c r="A486" s="135"/>
      <c r="B486" s="125"/>
      <c r="C486" s="125"/>
      <c r="D486" s="125"/>
      <c r="E486" s="125"/>
      <c r="F486" s="146"/>
      <c r="G486" s="67"/>
      <c r="H486" s="67"/>
      <c r="I486" s="67"/>
      <c r="J486" s="67"/>
      <c r="K486" s="67"/>
      <c r="L486" s="67"/>
      <c r="M486" s="67"/>
      <c r="N486" s="67"/>
      <c r="O486" s="67"/>
      <c r="P486" s="67"/>
      <c r="Q486" s="67"/>
      <c r="R486" s="67"/>
      <c r="S486" s="67"/>
      <c r="T486" s="67"/>
      <c r="U486" s="67"/>
      <c r="V486" s="67"/>
      <c r="W486" s="67"/>
      <c r="X486" s="67"/>
      <c r="Y486" s="67"/>
      <c r="Z486" s="67"/>
    </row>
    <row r="487">
      <c r="A487" s="136"/>
      <c r="B487" s="131"/>
      <c r="C487" s="131"/>
      <c r="D487" s="131"/>
      <c r="E487" s="131"/>
      <c r="F487" s="144"/>
      <c r="G487" s="67"/>
      <c r="H487" s="67"/>
      <c r="I487" s="67"/>
      <c r="J487" s="67"/>
      <c r="K487" s="67"/>
      <c r="L487" s="67"/>
      <c r="M487" s="67"/>
      <c r="N487" s="67"/>
      <c r="O487" s="67"/>
      <c r="P487" s="67"/>
      <c r="Q487" s="67"/>
      <c r="R487" s="67"/>
      <c r="S487" s="67"/>
      <c r="T487" s="67"/>
      <c r="U487" s="67"/>
      <c r="V487" s="67"/>
      <c r="W487" s="67"/>
      <c r="X487" s="67"/>
      <c r="Y487" s="67"/>
      <c r="Z487" s="67"/>
    </row>
    <row r="488">
      <c r="A488" s="135"/>
      <c r="B488" s="125"/>
      <c r="C488" s="125"/>
      <c r="D488" s="125"/>
      <c r="E488" s="125"/>
      <c r="F488" s="146"/>
      <c r="G488" s="67"/>
      <c r="H488" s="67"/>
      <c r="I488" s="67"/>
      <c r="J488" s="67"/>
      <c r="K488" s="67"/>
      <c r="L488" s="67"/>
      <c r="M488" s="67"/>
      <c r="N488" s="67"/>
      <c r="O488" s="67"/>
      <c r="P488" s="67"/>
      <c r="Q488" s="67"/>
      <c r="R488" s="67"/>
      <c r="S488" s="67"/>
      <c r="T488" s="67"/>
      <c r="U488" s="67"/>
      <c r="V488" s="67"/>
      <c r="W488" s="67"/>
      <c r="X488" s="67"/>
      <c r="Y488" s="67"/>
      <c r="Z488" s="67"/>
    </row>
    <row r="489">
      <c r="A489" s="136"/>
      <c r="B489" s="131"/>
      <c r="C489" s="131"/>
      <c r="D489" s="131"/>
      <c r="E489" s="131"/>
      <c r="F489" s="144"/>
      <c r="G489" s="67"/>
      <c r="H489" s="67"/>
      <c r="I489" s="67"/>
      <c r="J489" s="67"/>
      <c r="K489" s="67"/>
      <c r="L489" s="67"/>
      <c r="M489" s="67"/>
      <c r="N489" s="67"/>
      <c r="O489" s="67"/>
      <c r="P489" s="67"/>
      <c r="Q489" s="67"/>
      <c r="R489" s="67"/>
      <c r="S489" s="67"/>
      <c r="T489" s="67"/>
      <c r="U489" s="67"/>
      <c r="V489" s="67"/>
      <c r="W489" s="67"/>
      <c r="X489" s="67"/>
      <c r="Y489" s="67"/>
      <c r="Z489" s="67"/>
    </row>
    <row r="490">
      <c r="A490" s="135"/>
      <c r="B490" s="125"/>
      <c r="C490" s="125"/>
      <c r="D490" s="125"/>
      <c r="E490" s="125"/>
      <c r="F490" s="146"/>
      <c r="G490" s="67"/>
      <c r="H490" s="67"/>
      <c r="I490" s="67"/>
      <c r="J490" s="67"/>
      <c r="K490" s="67"/>
      <c r="L490" s="67"/>
      <c r="M490" s="67"/>
      <c r="N490" s="67"/>
      <c r="O490" s="67"/>
      <c r="P490" s="67"/>
      <c r="Q490" s="67"/>
      <c r="R490" s="67"/>
      <c r="S490" s="67"/>
      <c r="T490" s="67"/>
      <c r="U490" s="67"/>
      <c r="V490" s="67"/>
      <c r="W490" s="67"/>
      <c r="X490" s="67"/>
      <c r="Y490" s="67"/>
      <c r="Z490" s="67"/>
    </row>
    <row r="491">
      <c r="A491" s="136"/>
      <c r="B491" s="131"/>
      <c r="C491" s="131"/>
      <c r="D491" s="131"/>
      <c r="E491" s="131"/>
      <c r="F491" s="144"/>
      <c r="G491" s="67"/>
      <c r="H491" s="67"/>
      <c r="I491" s="67"/>
      <c r="J491" s="67"/>
      <c r="K491" s="67"/>
      <c r="L491" s="67"/>
      <c r="M491" s="67"/>
      <c r="N491" s="67"/>
      <c r="O491" s="67"/>
      <c r="P491" s="67"/>
      <c r="Q491" s="67"/>
      <c r="R491" s="67"/>
      <c r="S491" s="67"/>
      <c r="T491" s="67"/>
      <c r="U491" s="67"/>
      <c r="V491" s="67"/>
      <c r="W491" s="67"/>
      <c r="X491" s="67"/>
      <c r="Y491" s="67"/>
      <c r="Z491" s="67"/>
    </row>
    <row r="492">
      <c r="A492" s="135"/>
      <c r="B492" s="125"/>
      <c r="C492" s="125"/>
      <c r="D492" s="125"/>
      <c r="E492" s="125"/>
      <c r="F492" s="146"/>
      <c r="G492" s="67"/>
      <c r="H492" s="67"/>
      <c r="I492" s="67"/>
      <c r="J492" s="67"/>
      <c r="K492" s="67"/>
      <c r="L492" s="67"/>
      <c r="M492" s="67"/>
      <c r="N492" s="67"/>
      <c r="O492" s="67"/>
      <c r="P492" s="67"/>
      <c r="Q492" s="67"/>
      <c r="R492" s="67"/>
      <c r="S492" s="67"/>
      <c r="T492" s="67"/>
      <c r="U492" s="67"/>
      <c r="V492" s="67"/>
      <c r="W492" s="67"/>
      <c r="X492" s="67"/>
      <c r="Y492" s="67"/>
      <c r="Z492" s="67"/>
    </row>
    <row r="493">
      <c r="A493" s="136"/>
      <c r="B493" s="131"/>
      <c r="C493" s="131"/>
      <c r="D493" s="131"/>
      <c r="E493" s="131"/>
      <c r="F493" s="144"/>
      <c r="G493" s="67"/>
      <c r="H493" s="67"/>
      <c r="I493" s="67"/>
      <c r="J493" s="67"/>
      <c r="K493" s="67"/>
      <c r="L493" s="67"/>
      <c r="M493" s="67"/>
      <c r="N493" s="67"/>
      <c r="O493" s="67"/>
      <c r="P493" s="67"/>
      <c r="Q493" s="67"/>
      <c r="R493" s="67"/>
      <c r="S493" s="67"/>
      <c r="T493" s="67"/>
      <c r="U493" s="67"/>
      <c r="V493" s="67"/>
      <c r="W493" s="67"/>
      <c r="X493" s="67"/>
      <c r="Y493" s="67"/>
      <c r="Z493" s="67"/>
    </row>
    <row r="494">
      <c r="A494" s="135"/>
      <c r="B494" s="125"/>
      <c r="C494" s="125"/>
      <c r="D494" s="125"/>
      <c r="E494" s="125"/>
      <c r="F494" s="146"/>
      <c r="G494" s="67"/>
      <c r="H494" s="67"/>
      <c r="I494" s="67"/>
      <c r="J494" s="67"/>
      <c r="K494" s="67"/>
      <c r="L494" s="67"/>
      <c r="M494" s="67"/>
      <c r="N494" s="67"/>
      <c r="O494" s="67"/>
      <c r="P494" s="67"/>
      <c r="Q494" s="67"/>
      <c r="R494" s="67"/>
      <c r="S494" s="67"/>
      <c r="T494" s="67"/>
      <c r="U494" s="67"/>
      <c r="V494" s="67"/>
      <c r="W494" s="67"/>
      <c r="X494" s="67"/>
      <c r="Y494" s="67"/>
      <c r="Z494" s="67"/>
    </row>
    <row r="495">
      <c r="A495" s="136"/>
      <c r="B495" s="131"/>
      <c r="C495" s="131"/>
      <c r="D495" s="131"/>
      <c r="E495" s="131"/>
      <c r="F495" s="144"/>
      <c r="G495" s="67"/>
      <c r="H495" s="67"/>
      <c r="I495" s="67"/>
      <c r="J495" s="67"/>
      <c r="K495" s="67"/>
      <c r="L495" s="67"/>
      <c r="M495" s="67"/>
      <c r="N495" s="67"/>
      <c r="O495" s="67"/>
      <c r="P495" s="67"/>
      <c r="Q495" s="67"/>
      <c r="R495" s="67"/>
      <c r="S495" s="67"/>
      <c r="T495" s="67"/>
      <c r="U495" s="67"/>
      <c r="V495" s="67"/>
      <c r="W495" s="67"/>
      <c r="X495" s="67"/>
      <c r="Y495" s="67"/>
      <c r="Z495" s="67"/>
    </row>
    <row r="496">
      <c r="A496" s="135"/>
      <c r="B496" s="125"/>
      <c r="C496" s="125"/>
      <c r="D496" s="125"/>
      <c r="E496" s="125"/>
      <c r="F496" s="146"/>
      <c r="G496" s="67"/>
      <c r="H496" s="67"/>
      <c r="I496" s="67"/>
      <c r="J496" s="67"/>
      <c r="K496" s="67"/>
      <c r="L496" s="67"/>
      <c r="M496" s="67"/>
      <c r="N496" s="67"/>
      <c r="O496" s="67"/>
      <c r="P496" s="67"/>
      <c r="Q496" s="67"/>
      <c r="R496" s="67"/>
      <c r="S496" s="67"/>
      <c r="T496" s="67"/>
      <c r="U496" s="67"/>
      <c r="V496" s="67"/>
      <c r="W496" s="67"/>
      <c r="X496" s="67"/>
      <c r="Y496" s="67"/>
      <c r="Z496" s="67"/>
    </row>
    <row r="497">
      <c r="A497" s="136"/>
      <c r="B497" s="131"/>
      <c r="C497" s="131"/>
      <c r="D497" s="131"/>
      <c r="E497" s="131"/>
      <c r="F497" s="144"/>
      <c r="G497" s="67"/>
      <c r="H497" s="67"/>
      <c r="I497" s="67"/>
      <c r="J497" s="67"/>
      <c r="K497" s="67"/>
      <c r="L497" s="67"/>
      <c r="M497" s="67"/>
      <c r="N497" s="67"/>
      <c r="O497" s="67"/>
      <c r="P497" s="67"/>
      <c r="Q497" s="67"/>
      <c r="R497" s="67"/>
      <c r="S497" s="67"/>
      <c r="T497" s="67"/>
      <c r="U497" s="67"/>
      <c r="V497" s="67"/>
      <c r="W497" s="67"/>
      <c r="X497" s="67"/>
      <c r="Y497" s="67"/>
      <c r="Z497" s="67"/>
    </row>
    <row r="498">
      <c r="A498" s="135"/>
      <c r="B498" s="125"/>
      <c r="C498" s="125"/>
      <c r="D498" s="125"/>
      <c r="E498" s="125"/>
      <c r="F498" s="146"/>
      <c r="G498" s="67"/>
      <c r="H498" s="67"/>
      <c r="I498" s="67"/>
      <c r="J498" s="67"/>
      <c r="K498" s="67"/>
      <c r="L498" s="67"/>
      <c r="M498" s="67"/>
      <c r="N498" s="67"/>
      <c r="O498" s="67"/>
      <c r="P498" s="67"/>
      <c r="Q498" s="67"/>
      <c r="R498" s="67"/>
      <c r="S498" s="67"/>
      <c r="T498" s="67"/>
      <c r="U498" s="67"/>
      <c r="V498" s="67"/>
      <c r="W498" s="67"/>
      <c r="X498" s="67"/>
      <c r="Y498" s="67"/>
      <c r="Z498" s="67"/>
    </row>
    <row r="499">
      <c r="A499" s="136"/>
      <c r="B499" s="131"/>
      <c r="C499" s="131"/>
      <c r="D499" s="131"/>
      <c r="E499" s="131"/>
      <c r="F499" s="144"/>
      <c r="G499" s="67"/>
      <c r="H499" s="67"/>
      <c r="I499" s="67"/>
      <c r="J499" s="67"/>
      <c r="K499" s="67"/>
      <c r="L499" s="67"/>
      <c r="M499" s="67"/>
      <c r="N499" s="67"/>
      <c r="O499" s="67"/>
      <c r="P499" s="67"/>
      <c r="Q499" s="67"/>
      <c r="R499" s="67"/>
      <c r="S499" s="67"/>
      <c r="T499" s="67"/>
      <c r="U499" s="67"/>
      <c r="V499" s="67"/>
      <c r="W499" s="67"/>
      <c r="X499" s="67"/>
      <c r="Y499" s="67"/>
      <c r="Z499" s="67"/>
    </row>
    <row r="500">
      <c r="A500" s="135"/>
      <c r="B500" s="125"/>
      <c r="C500" s="125"/>
      <c r="D500" s="125"/>
      <c r="E500" s="125"/>
      <c r="F500" s="146"/>
      <c r="G500" s="67"/>
      <c r="H500" s="67"/>
      <c r="I500" s="67"/>
      <c r="J500" s="67"/>
      <c r="K500" s="67"/>
      <c r="L500" s="67"/>
      <c r="M500" s="67"/>
      <c r="N500" s="67"/>
      <c r="O500" s="67"/>
      <c r="P500" s="67"/>
      <c r="Q500" s="67"/>
      <c r="R500" s="67"/>
      <c r="S500" s="67"/>
      <c r="T500" s="67"/>
      <c r="U500" s="67"/>
      <c r="V500" s="67"/>
      <c r="W500" s="67"/>
      <c r="X500" s="67"/>
      <c r="Y500" s="67"/>
      <c r="Z500" s="67"/>
    </row>
    <row r="501">
      <c r="A501" s="136"/>
      <c r="B501" s="131"/>
      <c r="C501" s="131"/>
      <c r="D501" s="131"/>
      <c r="E501" s="131"/>
      <c r="F501" s="144"/>
      <c r="G501" s="67"/>
      <c r="H501" s="67"/>
      <c r="I501" s="67"/>
      <c r="J501" s="67"/>
      <c r="K501" s="67"/>
      <c r="L501" s="67"/>
      <c r="M501" s="67"/>
      <c r="N501" s="67"/>
      <c r="O501" s="67"/>
      <c r="P501" s="67"/>
      <c r="Q501" s="67"/>
      <c r="R501" s="67"/>
      <c r="S501" s="67"/>
      <c r="T501" s="67"/>
      <c r="U501" s="67"/>
      <c r="V501" s="67"/>
      <c r="W501" s="67"/>
      <c r="X501" s="67"/>
      <c r="Y501" s="67"/>
      <c r="Z501" s="67"/>
    </row>
    <row r="502">
      <c r="A502" s="135"/>
      <c r="B502" s="125"/>
      <c r="C502" s="125"/>
      <c r="D502" s="125"/>
      <c r="E502" s="125"/>
      <c r="F502" s="146"/>
      <c r="G502" s="67"/>
      <c r="H502" s="67"/>
      <c r="I502" s="67"/>
      <c r="J502" s="67"/>
      <c r="K502" s="67"/>
      <c r="L502" s="67"/>
      <c r="M502" s="67"/>
      <c r="N502" s="67"/>
      <c r="O502" s="67"/>
      <c r="P502" s="67"/>
      <c r="Q502" s="67"/>
      <c r="R502" s="67"/>
      <c r="S502" s="67"/>
      <c r="T502" s="67"/>
      <c r="U502" s="67"/>
      <c r="V502" s="67"/>
      <c r="W502" s="67"/>
      <c r="X502" s="67"/>
      <c r="Y502" s="67"/>
      <c r="Z502" s="67"/>
    </row>
    <row r="503">
      <c r="A503" s="136"/>
      <c r="B503" s="131"/>
      <c r="C503" s="131"/>
      <c r="D503" s="131"/>
      <c r="E503" s="131"/>
      <c r="F503" s="144"/>
      <c r="G503" s="67"/>
      <c r="H503" s="67"/>
      <c r="I503" s="67"/>
      <c r="J503" s="67"/>
      <c r="K503" s="67"/>
      <c r="L503" s="67"/>
      <c r="M503" s="67"/>
      <c r="N503" s="67"/>
      <c r="O503" s="67"/>
      <c r="P503" s="67"/>
      <c r="Q503" s="67"/>
      <c r="R503" s="67"/>
      <c r="S503" s="67"/>
      <c r="T503" s="67"/>
      <c r="U503" s="67"/>
      <c r="V503" s="67"/>
      <c r="W503" s="67"/>
      <c r="X503" s="67"/>
      <c r="Y503" s="67"/>
      <c r="Z503" s="67"/>
    </row>
    <row r="504">
      <c r="A504" s="135"/>
      <c r="B504" s="125"/>
      <c r="C504" s="125"/>
      <c r="D504" s="125"/>
      <c r="E504" s="125"/>
      <c r="F504" s="146"/>
      <c r="G504" s="67"/>
      <c r="H504" s="67"/>
      <c r="I504" s="67"/>
      <c r="J504" s="67"/>
      <c r="K504" s="67"/>
      <c r="L504" s="67"/>
      <c r="M504" s="67"/>
      <c r="N504" s="67"/>
      <c r="O504" s="67"/>
      <c r="P504" s="67"/>
      <c r="Q504" s="67"/>
      <c r="R504" s="67"/>
      <c r="S504" s="67"/>
      <c r="T504" s="67"/>
      <c r="U504" s="67"/>
      <c r="V504" s="67"/>
      <c r="W504" s="67"/>
      <c r="X504" s="67"/>
      <c r="Y504" s="67"/>
      <c r="Z504" s="67"/>
    </row>
    <row r="505">
      <c r="A505" s="136"/>
      <c r="B505" s="131"/>
      <c r="C505" s="131"/>
      <c r="D505" s="131"/>
      <c r="E505" s="131"/>
      <c r="F505" s="144"/>
      <c r="G505" s="67"/>
      <c r="H505" s="67"/>
      <c r="I505" s="67"/>
      <c r="J505" s="67"/>
      <c r="K505" s="67"/>
      <c r="L505" s="67"/>
      <c r="M505" s="67"/>
      <c r="N505" s="67"/>
      <c r="O505" s="67"/>
      <c r="P505" s="67"/>
      <c r="Q505" s="67"/>
      <c r="R505" s="67"/>
      <c r="S505" s="67"/>
      <c r="T505" s="67"/>
      <c r="U505" s="67"/>
      <c r="V505" s="67"/>
      <c r="W505" s="67"/>
      <c r="X505" s="67"/>
      <c r="Y505" s="67"/>
      <c r="Z505" s="67"/>
    </row>
    <row r="506">
      <c r="A506" s="135"/>
      <c r="B506" s="125"/>
      <c r="C506" s="125"/>
      <c r="D506" s="125"/>
      <c r="E506" s="125"/>
      <c r="F506" s="146"/>
      <c r="G506" s="67"/>
      <c r="H506" s="67"/>
      <c r="I506" s="67"/>
      <c r="J506" s="67"/>
      <c r="K506" s="67"/>
      <c r="L506" s="67"/>
      <c r="M506" s="67"/>
      <c r="N506" s="67"/>
      <c r="O506" s="67"/>
      <c r="P506" s="67"/>
      <c r="Q506" s="67"/>
      <c r="R506" s="67"/>
      <c r="S506" s="67"/>
      <c r="T506" s="67"/>
      <c r="U506" s="67"/>
      <c r="V506" s="67"/>
      <c r="W506" s="67"/>
      <c r="X506" s="67"/>
      <c r="Y506" s="67"/>
      <c r="Z506" s="67"/>
    </row>
    <row r="507">
      <c r="A507" s="136"/>
      <c r="B507" s="131"/>
      <c r="C507" s="131"/>
      <c r="D507" s="131"/>
      <c r="E507" s="131"/>
      <c r="F507" s="144"/>
      <c r="G507" s="67"/>
      <c r="H507" s="67"/>
      <c r="I507" s="67"/>
      <c r="J507" s="67"/>
      <c r="K507" s="67"/>
      <c r="L507" s="67"/>
      <c r="M507" s="67"/>
      <c r="N507" s="67"/>
      <c r="O507" s="67"/>
      <c r="P507" s="67"/>
      <c r="Q507" s="67"/>
      <c r="R507" s="67"/>
      <c r="S507" s="67"/>
      <c r="T507" s="67"/>
      <c r="U507" s="67"/>
      <c r="V507" s="67"/>
      <c r="W507" s="67"/>
      <c r="X507" s="67"/>
      <c r="Y507" s="67"/>
      <c r="Z507" s="67"/>
    </row>
    <row r="508">
      <c r="A508" s="135"/>
      <c r="B508" s="125"/>
      <c r="C508" s="125"/>
      <c r="D508" s="125"/>
      <c r="E508" s="125"/>
      <c r="F508" s="146"/>
      <c r="G508" s="67"/>
      <c r="H508" s="67"/>
      <c r="I508" s="67"/>
      <c r="J508" s="67"/>
      <c r="K508" s="67"/>
      <c r="L508" s="67"/>
      <c r="M508" s="67"/>
      <c r="N508" s="67"/>
      <c r="O508" s="67"/>
      <c r="P508" s="67"/>
      <c r="Q508" s="67"/>
      <c r="R508" s="67"/>
      <c r="S508" s="67"/>
      <c r="T508" s="67"/>
      <c r="U508" s="67"/>
      <c r="V508" s="67"/>
      <c r="W508" s="67"/>
      <c r="X508" s="67"/>
      <c r="Y508" s="67"/>
      <c r="Z508" s="67"/>
    </row>
    <row r="509">
      <c r="A509" s="136"/>
      <c r="B509" s="131"/>
      <c r="C509" s="131"/>
      <c r="D509" s="131"/>
      <c r="E509" s="131"/>
      <c r="F509" s="144"/>
      <c r="G509" s="67"/>
      <c r="H509" s="67"/>
      <c r="I509" s="67"/>
      <c r="J509" s="67"/>
      <c r="K509" s="67"/>
      <c r="L509" s="67"/>
      <c r="M509" s="67"/>
      <c r="N509" s="67"/>
      <c r="O509" s="67"/>
      <c r="P509" s="67"/>
      <c r="Q509" s="67"/>
      <c r="R509" s="67"/>
      <c r="S509" s="67"/>
      <c r="T509" s="67"/>
      <c r="U509" s="67"/>
      <c r="V509" s="67"/>
      <c r="W509" s="67"/>
      <c r="X509" s="67"/>
      <c r="Y509" s="67"/>
      <c r="Z509" s="67"/>
    </row>
    <row r="510">
      <c r="A510" s="135"/>
      <c r="B510" s="125"/>
      <c r="C510" s="125"/>
      <c r="D510" s="125"/>
      <c r="E510" s="125"/>
      <c r="F510" s="146"/>
      <c r="G510" s="67"/>
      <c r="H510" s="67"/>
      <c r="I510" s="67"/>
      <c r="J510" s="67"/>
      <c r="K510" s="67"/>
      <c r="L510" s="67"/>
      <c r="M510" s="67"/>
      <c r="N510" s="67"/>
      <c r="O510" s="67"/>
      <c r="P510" s="67"/>
      <c r="Q510" s="67"/>
      <c r="R510" s="67"/>
      <c r="S510" s="67"/>
      <c r="T510" s="67"/>
      <c r="U510" s="67"/>
      <c r="V510" s="67"/>
      <c r="W510" s="67"/>
      <c r="X510" s="67"/>
      <c r="Y510" s="67"/>
      <c r="Z510" s="67"/>
    </row>
    <row r="511">
      <c r="A511" s="136"/>
      <c r="B511" s="131"/>
      <c r="C511" s="131"/>
      <c r="D511" s="131"/>
      <c r="E511" s="131"/>
      <c r="F511" s="144"/>
      <c r="G511" s="67"/>
      <c r="H511" s="67"/>
      <c r="I511" s="67"/>
      <c r="J511" s="67"/>
      <c r="K511" s="67"/>
      <c r="L511" s="67"/>
      <c r="M511" s="67"/>
      <c r="N511" s="67"/>
      <c r="O511" s="67"/>
      <c r="P511" s="67"/>
      <c r="Q511" s="67"/>
      <c r="R511" s="67"/>
      <c r="S511" s="67"/>
      <c r="T511" s="67"/>
      <c r="U511" s="67"/>
      <c r="V511" s="67"/>
      <c r="W511" s="67"/>
      <c r="X511" s="67"/>
      <c r="Y511" s="67"/>
      <c r="Z511" s="67"/>
    </row>
    <row r="512">
      <c r="A512" s="135"/>
      <c r="B512" s="125"/>
      <c r="C512" s="125"/>
      <c r="D512" s="125"/>
      <c r="E512" s="125"/>
      <c r="F512" s="146"/>
      <c r="G512" s="67"/>
      <c r="H512" s="67"/>
      <c r="I512" s="67"/>
      <c r="J512" s="67"/>
      <c r="K512" s="67"/>
      <c r="L512" s="67"/>
      <c r="M512" s="67"/>
      <c r="N512" s="67"/>
      <c r="O512" s="67"/>
      <c r="P512" s="67"/>
      <c r="Q512" s="67"/>
      <c r="R512" s="67"/>
      <c r="S512" s="67"/>
      <c r="T512" s="67"/>
      <c r="U512" s="67"/>
      <c r="V512" s="67"/>
      <c r="W512" s="67"/>
      <c r="X512" s="67"/>
      <c r="Y512" s="67"/>
      <c r="Z512" s="67"/>
    </row>
    <row r="513">
      <c r="A513" s="136"/>
      <c r="B513" s="131"/>
      <c r="C513" s="131"/>
      <c r="D513" s="131"/>
      <c r="E513" s="131"/>
      <c r="F513" s="144"/>
      <c r="G513" s="67"/>
      <c r="H513" s="67"/>
      <c r="I513" s="67"/>
      <c r="J513" s="67"/>
      <c r="K513" s="67"/>
      <c r="L513" s="67"/>
      <c r="M513" s="67"/>
      <c r="N513" s="67"/>
      <c r="O513" s="67"/>
      <c r="P513" s="67"/>
      <c r="Q513" s="67"/>
      <c r="R513" s="67"/>
      <c r="S513" s="67"/>
      <c r="T513" s="67"/>
      <c r="U513" s="67"/>
      <c r="V513" s="67"/>
      <c r="W513" s="67"/>
      <c r="X513" s="67"/>
      <c r="Y513" s="67"/>
      <c r="Z513" s="67"/>
    </row>
    <row r="514">
      <c r="A514" s="135"/>
      <c r="B514" s="125"/>
      <c r="C514" s="125"/>
      <c r="D514" s="125"/>
      <c r="E514" s="125"/>
      <c r="F514" s="146"/>
      <c r="G514" s="67"/>
      <c r="H514" s="67"/>
      <c r="I514" s="67"/>
      <c r="J514" s="67"/>
      <c r="K514" s="67"/>
      <c r="L514" s="67"/>
      <c r="M514" s="67"/>
      <c r="N514" s="67"/>
      <c r="O514" s="67"/>
      <c r="P514" s="67"/>
      <c r="Q514" s="67"/>
      <c r="R514" s="67"/>
      <c r="S514" s="67"/>
      <c r="T514" s="67"/>
      <c r="U514" s="67"/>
      <c r="V514" s="67"/>
      <c r="W514" s="67"/>
      <c r="X514" s="67"/>
      <c r="Y514" s="67"/>
      <c r="Z514" s="67"/>
    </row>
    <row r="515">
      <c r="A515" s="136"/>
      <c r="B515" s="131"/>
      <c r="C515" s="131"/>
      <c r="D515" s="131"/>
      <c r="E515" s="131"/>
      <c r="F515" s="144"/>
      <c r="G515" s="67"/>
      <c r="H515" s="67"/>
      <c r="I515" s="67"/>
      <c r="J515" s="67"/>
      <c r="K515" s="67"/>
      <c r="L515" s="67"/>
      <c r="M515" s="67"/>
      <c r="N515" s="67"/>
      <c r="O515" s="67"/>
      <c r="P515" s="67"/>
      <c r="Q515" s="67"/>
      <c r="R515" s="67"/>
      <c r="S515" s="67"/>
      <c r="T515" s="67"/>
      <c r="U515" s="67"/>
      <c r="V515" s="67"/>
      <c r="W515" s="67"/>
      <c r="X515" s="67"/>
      <c r="Y515" s="67"/>
      <c r="Z515" s="67"/>
    </row>
    <row r="516">
      <c r="A516" s="135"/>
      <c r="B516" s="125"/>
      <c r="C516" s="125"/>
      <c r="D516" s="125"/>
      <c r="E516" s="125"/>
      <c r="F516" s="146"/>
      <c r="G516" s="67"/>
      <c r="H516" s="67"/>
      <c r="I516" s="67"/>
      <c r="J516" s="67"/>
      <c r="K516" s="67"/>
      <c r="L516" s="67"/>
      <c r="M516" s="67"/>
      <c r="N516" s="67"/>
      <c r="O516" s="67"/>
      <c r="P516" s="67"/>
      <c r="Q516" s="67"/>
      <c r="R516" s="67"/>
      <c r="S516" s="67"/>
      <c r="T516" s="67"/>
      <c r="U516" s="67"/>
      <c r="V516" s="67"/>
      <c r="W516" s="67"/>
      <c r="X516" s="67"/>
      <c r="Y516" s="67"/>
      <c r="Z516" s="67"/>
    </row>
    <row r="517">
      <c r="A517" s="136"/>
      <c r="B517" s="131"/>
      <c r="C517" s="131"/>
      <c r="D517" s="131"/>
      <c r="E517" s="131"/>
      <c r="F517" s="144"/>
      <c r="G517" s="67"/>
      <c r="H517" s="67"/>
      <c r="I517" s="67"/>
      <c r="J517" s="67"/>
      <c r="K517" s="67"/>
      <c r="L517" s="67"/>
      <c r="M517" s="67"/>
      <c r="N517" s="67"/>
      <c r="O517" s="67"/>
      <c r="P517" s="67"/>
      <c r="Q517" s="67"/>
      <c r="R517" s="67"/>
      <c r="S517" s="67"/>
      <c r="T517" s="67"/>
      <c r="U517" s="67"/>
      <c r="V517" s="67"/>
      <c r="W517" s="67"/>
      <c r="X517" s="67"/>
      <c r="Y517" s="67"/>
      <c r="Z517" s="67"/>
    </row>
    <row r="518">
      <c r="A518" s="135"/>
      <c r="B518" s="125"/>
      <c r="C518" s="125"/>
      <c r="D518" s="125"/>
      <c r="E518" s="125"/>
      <c r="F518" s="146"/>
      <c r="G518" s="67"/>
      <c r="H518" s="67"/>
      <c r="I518" s="67"/>
      <c r="J518" s="67"/>
      <c r="K518" s="67"/>
      <c r="L518" s="67"/>
      <c r="M518" s="67"/>
      <c r="N518" s="67"/>
      <c r="O518" s="67"/>
      <c r="P518" s="67"/>
      <c r="Q518" s="67"/>
      <c r="R518" s="67"/>
      <c r="S518" s="67"/>
      <c r="T518" s="67"/>
      <c r="U518" s="67"/>
      <c r="V518" s="67"/>
      <c r="W518" s="67"/>
      <c r="X518" s="67"/>
      <c r="Y518" s="67"/>
      <c r="Z518" s="67"/>
    </row>
    <row r="519">
      <c r="A519" s="136"/>
      <c r="B519" s="131"/>
      <c r="C519" s="131"/>
      <c r="D519" s="131"/>
      <c r="E519" s="131"/>
      <c r="F519" s="144"/>
      <c r="G519" s="67"/>
      <c r="H519" s="67"/>
      <c r="I519" s="67"/>
      <c r="J519" s="67"/>
      <c r="K519" s="67"/>
      <c r="L519" s="67"/>
      <c r="M519" s="67"/>
      <c r="N519" s="67"/>
      <c r="O519" s="67"/>
      <c r="P519" s="67"/>
      <c r="Q519" s="67"/>
      <c r="R519" s="67"/>
      <c r="S519" s="67"/>
      <c r="T519" s="67"/>
      <c r="U519" s="67"/>
      <c r="V519" s="67"/>
      <c r="W519" s="67"/>
      <c r="X519" s="67"/>
      <c r="Y519" s="67"/>
      <c r="Z519" s="67"/>
    </row>
    <row r="520">
      <c r="A520" s="135"/>
      <c r="B520" s="125"/>
      <c r="C520" s="125"/>
      <c r="D520" s="125"/>
      <c r="E520" s="125"/>
      <c r="F520" s="146"/>
      <c r="G520" s="67"/>
      <c r="H520" s="67"/>
      <c r="I520" s="67"/>
      <c r="J520" s="67"/>
      <c r="K520" s="67"/>
      <c r="L520" s="67"/>
      <c r="M520" s="67"/>
      <c r="N520" s="67"/>
      <c r="O520" s="67"/>
      <c r="P520" s="67"/>
      <c r="Q520" s="67"/>
      <c r="R520" s="67"/>
      <c r="S520" s="67"/>
      <c r="T520" s="67"/>
      <c r="U520" s="67"/>
      <c r="V520" s="67"/>
      <c r="W520" s="67"/>
      <c r="X520" s="67"/>
      <c r="Y520" s="67"/>
      <c r="Z520" s="67"/>
    </row>
    <row r="521">
      <c r="A521" s="136"/>
      <c r="B521" s="131"/>
      <c r="C521" s="131"/>
      <c r="D521" s="131"/>
      <c r="E521" s="131"/>
      <c r="F521" s="144"/>
      <c r="G521" s="67"/>
      <c r="H521" s="67"/>
      <c r="I521" s="67"/>
      <c r="J521" s="67"/>
      <c r="K521" s="67"/>
      <c r="L521" s="67"/>
      <c r="M521" s="67"/>
      <c r="N521" s="67"/>
      <c r="O521" s="67"/>
      <c r="P521" s="67"/>
      <c r="Q521" s="67"/>
      <c r="R521" s="67"/>
      <c r="S521" s="67"/>
      <c r="T521" s="67"/>
      <c r="U521" s="67"/>
      <c r="V521" s="67"/>
      <c r="W521" s="67"/>
      <c r="X521" s="67"/>
      <c r="Y521" s="67"/>
      <c r="Z521" s="67"/>
    </row>
    <row r="522">
      <c r="A522" s="135"/>
      <c r="B522" s="125"/>
      <c r="C522" s="125"/>
      <c r="D522" s="125"/>
      <c r="E522" s="125"/>
      <c r="F522" s="146"/>
      <c r="G522" s="67"/>
      <c r="H522" s="67"/>
      <c r="I522" s="67"/>
      <c r="J522" s="67"/>
      <c r="K522" s="67"/>
      <c r="L522" s="67"/>
      <c r="M522" s="67"/>
      <c r="N522" s="67"/>
      <c r="O522" s="67"/>
      <c r="P522" s="67"/>
      <c r="Q522" s="67"/>
      <c r="R522" s="67"/>
      <c r="S522" s="67"/>
      <c r="T522" s="67"/>
      <c r="U522" s="67"/>
      <c r="V522" s="67"/>
      <c r="W522" s="67"/>
      <c r="X522" s="67"/>
      <c r="Y522" s="67"/>
      <c r="Z522" s="67"/>
    </row>
    <row r="523">
      <c r="A523" s="136"/>
      <c r="B523" s="131"/>
      <c r="C523" s="131"/>
      <c r="D523" s="131"/>
      <c r="E523" s="131"/>
      <c r="F523" s="144"/>
      <c r="G523" s="67"/>
      <c r="H523" s="67"/>
      <c r="I523" s="67"/>
      <c r="J523" s="67"/>
      <c r="K523" s="67"/>
      <c r="L523" s="67"/>
      <c r="M523" s="67"/>
      <c r="N523" s="67"/>
      <c r="O523" s="67"/>
      <c r="P523" s="67"/>
      <c r="Q523" s="67"/>
      <c r="R523" s="67"/>
      <c r="S523" s="67"/>
      <c r="T523" s="67"/>
      <c r="U523" s="67"/>
      <c r="V523" s="67"/>
      <c r="W523" s="67"/>
      <c r="X523" s="67"/>
      <c r="Y523" s="67"/>
      <c r="Z523" s="67"/>
    </row>
    <row r="524">
      <c r="A524" s="135"/>
      <c r="B524" s="125"/>
      <c r="C524" s="125"/>
      <c r="D524" s="125"/>
      <c r="E524" s="125"/>
      <c r="F524" s="146"/>
      <c r="G524" s="67"/>
      <c r="H524" s="67"/>
      <c r="I524" s="67"/>
      <c r="J524" s="67"/>
      <c r="K524" s="67"/>
      <c r="L524" s="67"/>
      <c r="M524" s="67"/>
      <c r="N524" s="67"/>
      <c r="O524" s="67"/>
      <c r="P524" s="67"/>
      <c r="Q524" s="67"/>
      <c r="R524" s="67"/>
      <c r="S524" s="67"/>
      <c r="T524" s="67"/>
      <c r="U524" s="67"/>
      <c r="V524" s="67"/>
      <c r="W524" s="67"/>
      <c r="X524" s="67"/>
      <c r="Y524" s="67"/>
      <c r="Z524" s="67"/>
    </row>
    <row r="525">
      <c r="A525" s="136"/>
      <c r="B525" s="131"/>
      <c r="C525" s="131"/>
      <c r="D525" s="131"/>
      <c r="E525" s="131"/>
      <c r="F525" s="144"/>
      <c r="G525" s="67"/>
      <c r="H525" s="67"/>
      <c r="I525" s="67"/>
      <c r="J525" s="67"/>
      <c r="K525" s="67"/>
      <c r="L525" s="67"/>
      <c r="M525" s="67"/>
      <c r="N525" s="67"/>
      <c r="O525" s="67"/>
      <c r="P525" s="67"/>
      <c r="Q525" s="67"/>
      <c r="R525" s="67"/>
      <c r="S525" s="67"/>
      <c r="T525" s="67"/>
      <c r="U525" s="67"/>
      <c r="V525" s="67"/>
      <c r="W525" s="67"/>
      <c r="X525" s="67"/>
      <c r="Y525" s="67"/>
      <c r="Z525" s="67"/>
    </row>
    <row r="526">
      <c r="A526" s="135"/>
      <c r="B526" s="125"/>
      <c r="C526" s="125"/>
      <c r="D526" s="125"/>
      <c r="E526" s="125"/>
      <c r="F526" s="146"/>
      <c r="G526" s="67"/>
      <c r="H526" s="67"/>
      <c r="I526" s="67"/>
      <c r="J526" s="67"/>
      <c r="K526" s="67"/>
      <c r="L526" s="67"/>
      <c r="M526" s="67"/>
      <c r="N526" s="67"/>
      <c r="O526" s="67"/>
      <c r="P526" s="67"/>
      <c r="Q526" s="67"/>
      <c r="R526" s="67"/>
      <c r="S526" s="67"/>
      <c r="T526" s="67"/>
      <c r="U526" s="67"/>
      <c r="V526" s="67"/>
      <c r="W526" s="67"/>
      <c r="X526" s="67"/>
      <c r="Y526" s="67"/>
      <c r="Z526" s="67"/>
    </row>
    <row r="527">
      <c r="A527" s="136"/>
      <c r="B527" s="131"/>
      <c r="C527" s="131"/>
      <c r="D527" s="131"/>
      <c r="E527" s="131"/>
      <c r="F527" s="144"/>
      <c r="G527" s="67"/>
      <c r="H527" s="67"/>
      <c r="I527" s="67"/>
      <c r="J527" s="67"/>
      <c r="K527" s="67"/>
      <c r="L527" s="67"/>
      <c r="M527" s="67"/>
      <c r="N527" s="67"/>
      <c r="O527" s="67"/>
      <c r="P527" s="67"/>
      <c r="Q527" s="67"/>
      <c r="R527" s="67"/>
      <c r="S527" s="67"/>
      <c r="T527" s="67"/>
      <c r="U527" s="67"/>
      <c r="V527" s="67"/>
      <c r="W527" s="67"/>
      <c r="X527" s="67"/>
      <c r="Y527" s="67"/>
      <c r="Z527" s="67"/>
    </row>
    <row r="528">
      <c r="A528" s="135"/>
      <c r="B528" s="125"/>
      <c r="C528" s="125"/>
      <c r="D528" s="125"/>
      <c r="E528" s="125"/>
      <c r="F528" s="146"/>
      <c r="G528" s="67"/>
      <c r="H528" s="67"/>
      <c r="I528" s="67"/>
      <c r="J528" s="67"/>
      <c r="K528" s="67"/>
      <c r="L528" s="67"/>
      <c r="M528" s="67"/>
      <c r="N528" s="67"/>
      <c r="O528" s="67"/>
      <c r="P528" s="67"/>
      <c r="Q528" s="67"/>
      <c r="R528" s="67"/>
      <c r="S528" s="67"/>
      <c r="T528" s="67"/>
      <c r="U528" s="67"/>
      <c r="V528" s="67"/>
      <c r="W528" s="67"/>
      <c r="X528" s="67"/>
      <c r="Y528" s="67"/>
      <c r="Z528" s="67"/>
    </row>
    <row r="529">
      <c r="A529" s="136"/>
      <c r="B529" s="131"/>
      <c r="C529" s="131"/>
      <c r="D529" s="131"/>
      <c r="E529" s="131"/>
      <c r="F529" s="144"/>
      <c r="G529" s="67"/>
      <c r="H529" s="67"/>
      <c r="I529" s="67"/>
      <c r="J529" s="67"/>
      <c r="K529" s="67"/>
      <c r="L529" s="67"/>
      <c r="M529" s="67"/>
      <c r="N529" s="67"/>
      <c r="O529" s="67"/>
      <c r="P529" s="67"/>
      <c r="Q529" s="67"/>
      <c r="R529" s="67"/>
      <c r="S529" s="67"/>
      <c r="T529" s="67"/>
      <c r="U529" s="67"/>
      <c r="V529" s="67"/>
      <c r="W529" s="67"/>
      <c r="X529" s="67"/>
      <c r="Y529" s="67"/>
      <c r="Z529" s="67"/>
    </row>
    <row r="530">
      <c r="A530" s="135"/>
      <c r="B530" s="125"/>
      <c r="C530" s="125"/>
      <c r="D530" s="125"/>
      <c r="E530" s="125"/>
      <c r="F530" s="146"/>
      <c r="G530" s="67"/>
      <c r="H530" s="67"/>
      <c r="I530" s="67"/>
      <c r="J530" s="67"/>
      <c r="K530" s="67"/>
      <c r="L530" s="67"/>
      <c r="M530" s="67"/>
      <c r="N530" s="67"/>
      <c r="O530" s="67"/>
      <c r="P530" s="67"/>
      <c r="Q530" s="67"/>
      <c r="R530" s="67"/>
      <c r="S530" s="67"/>
      <c r="T530" s="67"/>
      <c r="U530" s="67"/>
      <c r="V530" s="67"/>
      <c r="W530" s="67"/>
      <c r="X530" s="67"/>
      <c r="Y530" s="67"/>
      <c r="Z530" s="67"/>
    </row>
    <row r="531">
      <c r="A531" s="136"/>
      <c r="B531" s="131"/>
      <c r="C531" s="131"/>
      <c r="D531" s="131"/>
      <c r="E531" s="131"/>
      <c r="F531" s="144"/>
      <c r="G531" s="67"/>
      <c r="H531" s="67"/>
      <c r="I531" s="67"/>
      <c r="J531" s="67"/>
      <c r="K531" s="67"/>
      <c r="L531" s="67"/>
      <c r="M531" s="67"/>
      <c r="N531" s="67"/>
      <c r="O531" s="67"/>
      <c r="P531" s="67"/>
      <c r="Q531" s="67"/>
      <c r="R531" s="67"/>
      <c r="S531" s="67"/>
      <c r="T531" s="67"/>
      <c r="U531" s="67"/>
      <c r="V531" s="67"/>
      <c r="W531" s="67"/>
      <c r="X531" s="67"/>
      <c r="Y531" s="67"/>
      <c r="Z531" s="67"/>
    </row>
    <row r="532">
      <c r="A532" s="135"/>
      <c r="B532" s="125"/>
      <c r="C532" s="125"/>
      <c r="D532" s="125"/>
      <c r="E532" s="125"/>
      <c r="F532" s="146"/>
      <c r="G532" s="67"/>
      <c r="H532" s="67"/>
      <c r="I532" s="67"/>
      <c r="J532" s="67"/>
      <c r="K532" s="67"/>
      <c r="L532" s="67"/>
      <c r="M532" s="67"/>
      <c r="N532" s="67"/>
      <c r="O532" s="67"/>
      <c r="P532" s="67"/>
      <c r="Q532" s="67"/>
      <c r="R532" s="67"/>
      <c r="S532" s="67"/>
      <c r="T532" s="67"/>
      <c r="U532" s="67"/>
      <c r="V532" s="67"/>
      <c r="W532" s="67"/>
      <c r="X532" s="67"/>
      <c r="Y532" s="67"/>
      <c r="Z532" s="67"/>
    </row>
    <row r="533">
      <c r="A533" s="136"/>
      <c r="B533" s="131"/>
      <c r="C533" s="131"/>
      <c r="D533" s="131"/>
      <c r="E533" s="131"/>
      <c r="F533" s="144"/>
      <c r="G533" s="67"/>
      <c r="H533" s="67"/>
      <c r="I533" s="67"/>
      <c r="J533" s="67"/>
      <c r="K533" s="67"/>
      <c r="L533" s="67"/>
      <c r="M533" s="67"/>
      <c r="N533" s="67"/>
      <c r="O533" s="67"/>
      <c r="P533" s="67"/>
      <c r="Q533" s="67"/>
      <c r="R533" s="67"/>
      <c r="S533" s="67"/>
      <c r="T533" s="67"/>
      <c r="U533" s="67"/>
      <c r="V533" s="67"/>
      <c r="W533" s="67"/>
      <c r="X533" s="67"/>
      <c r="Y533" s="67"/>
      <c r="Z533" s="67"/>
    </row>
    <row r="534">
      <c r="A534" s="135"/>
      <c r="B534" s="125"/>
      <c r="C534" s="125"/>
      <c r="D534" s="125"/>
      <c r="E534" s="125"/>
      <c r="F534" s="146"/>
      <c r="G534" s="67"/>
      <c r="H534" s="67"/>
      <c r="I534" s="67"/>
      <c r="J534" s="67"/>
      <c r="K534" s="67"/>
      <c r="L534" s="67"/>
      <c r="M534" s="67"/>
      <c r="N534" s="67"/>
      <c r="O534" s="67"/>
      <c r="P534" s="67"/>
      <c r="Q534" s="67"/>
      <c r="R534" s="67"/>
      <c r="S534" s="67"/>
      <c r="T534" s="67"/>
      <c r="U534" s="67"/>
      <c r="V534" s="67"/>
      <c r="W534" s="67"/>
      <c r="X534" s="67"/>
      <c r="Y534" s="67"/>
      <c r="Z534" s="67"/>
    </row>
    <row r="535">
      <c r="A535" s="136"/>
      <c r="B535" s="131"/>
      <c r="C535" s="131"/>
      <c r="D535" s="131"/>
      <c r="E535" s="131"/>
      <c r="F535" s="144"/>
      <c r="G535" s="67"/>
      <c r="H535" s="67"/>
      <c r="I535" s="67"/>
      <c r="J535" s="67"/>
      <c r="K535" s="67"/>
      <c r="L535" s="67"/>
      <c r="M535" s="67"/>
      <c r="N535" s="67"/>
      <c r="O535" s="67"/>
      <c r="P535" s="67"/>
      <c r="Q535" s="67"/>
      <c r="R535" s="67"/>
      <c r="S535" s="67"/>
      <c r="T535" s="67"/>
      <c r="U535" s="67"/>
      <c r="V535" s="67"/>
      <c r="W535" s="67"/>
      <c r="X535" s="67"/>
      <c r="Y535" s="67"/>
      <c r="Z535" s="67"/>
    </row>
    <row r="536">
      <c r="A536" s="135"/>
      <c r="B536" s="125"/>
      <c r="C536" s="125"/>
      <c r="D536" s="125"/>
      <c r="E536" s="125"/>
      <c r="F536" s="146"/>
      <c r="G536" s="67"/>
      <c r="H536" s="67"/>
      <c r="I536" s="67"/>
      <c r="J536" s="67"/>
      <c r="K536" s="67"/>
      <c r="L536" s="67"/>
      <c r="M536" s="67"/>
      <c r="N536" s="67"/>
      <c r="O536" s="67"/>
      <c r="P536" s="67"/>
      <c r="Q536" s="67"/>
      <c r="R536" s="67"/>
      <c r="S536" s="67"/>
      <c r="T536" s="67"/>
      <c r="U536" s="67"/>
      <c r="V536" s="67"/>
      <c r="W536" s="67"/>
      <c r="X536" s="67"/>
      <c r="Y536" s="67"/>
      <c r="Z536" s="67"/>
    </row>
    <row r="537">
      <c r="A537" s="136"/>
      <c r="B537" s="131"/>
      <c r="C537" s="131"/>
      <c r="D537" s="131"/>
      <c r="E537" s="131"/>
      <c r="F537" s="144"/>
      <c r="G537" s="67"/>
      <c r="H537" s="67"/>
      <c r="I537" s="67"/>
      <c r="J537" s="67"/>
      <c r="K537" s="67"/>
      <c r="L537" s="67"/>
      <c r="M537" s="67"/>
      <c r="N537" s="67"/>
      <c r="O537" s="67"/>
      <c r="P537" s="67"/>
      <c r="Q537" s="67"/>
      <c r="R537" s="67"/>
      <c r="S537" s="67"/>
      <c r="T537" s="67"/>
      <c r="U537" s="67"/>
      <c r="V537" s="67"/>
      <c r="W537" s="67"/>
      <c r="X537" s="67"/>
      <c r="Y537" s="67"/>
      <c r="Z537" s="67"/>
    </row>
    <row r="538">
      <c r="A538" s="135"/>
      <c r="B538" s="125"/>
      <c r="C538" s="125"/>
      <c r="D538" s="125"/>
      <c r="E538" s="125"/>
      <c r="F538" s="146"/>
      <c r="G538" s="67"/>
      <c r="H538" s="67"/>
      <c r="I538" s="67"/>
      <c r="J538" s="67"/>
      <c r="K538" s="67"/>
      <c r="L538" s="67"/>
      <c r="M538" s="67"/>
      <c r="N538" s="67"/>
      <c r="O538" s="67"/>
      <c r="P538" s="67"/>
      <c r="Q538" s="67"/>
      <c r="R538" s="67"/>
      <c r="S538" s="67"/>
      <c r="T538" s="67"/>
      <c r="U538" s="67"/>
      <c r="V538" s="67"/>
      <c r="W538" s="67"/>
      <c r="X538" s="67"/>
      <c r="Y538" s="67"/>
      <c r="Z538" s="67"/>
    </row>
    <row r="539">
      <c r="A539" s="136"/>
      <c r="B539" s="131"/>
      <c r="C539" s="131"/>
      <c r="D539" s="131"/>
      <c r="E539" s="131"/>
      <c r="F539" s="144"/>
      <c r="G539" s="67"/>
      <c r="H539" s="67"/>
      <c r="I539" s="67"/>
      <c r="J539" s="67"/>
      <c r="K539" s="67"/>
      <c r="L539" s="67"/>
      <c r="M539" s="67"/>
      <c r="N539" s="67"/>
      <c r="O539" s="67"/>
      <c r="P539" s="67"/>
      <c r="Q539" s="67"/>
      <c r="R539" s="67"/>
      <c r="S539" s="67"/>
      <c r="T539" s="67"/>
      <c r="U539" s="67"/>
      <c r="V539" s="67"/>
      <c r="W539" s="67"/>
      <c r="X539" s="67"/>
      <c r="Y539" s="67"/>
      <c r="Z539" s="67"/>
    </row>
    <row r="540">
      <c r="A540" s="135"/>
      <c r="B540" s="125"/>
      <c r="C540" s="125"/>
      <c r="D540" s="125"/>
      <c r="E540" s="125"/>
      <c r="F540" s="146"/>
      <c r="G540" s="67"/>
      <c r="H540" s="67"/>
      <c r="I540" s="67"/>
      <c r="J540" s="67"/>
      <c r="K540" s="67"/>
      <c r="L540" s="67"/>
      <c r="M540" s="67"/>
      <c r="N540" s="67"/>
      <c r="O540" s="67"/>
      <c r="P540" s="67"/>
      <c r="Q540" s="67"/>
      <c r="R540" s="67"/>
      <c r="S540" s="67"/>
      <c r="T540" s="67"/>
      <c r="U540" s="67"/>
      <c r="V540" s="67"/>
      <c r="W540" s="67"/>
      <c r="X540" s="67"/>
      <c r="Y540" s="67"/>
      <c r="Z540" s="67"/>
    </row>
    <row r="541">
      <c r="A541" s="136"/>
      <c r="B541" s="131"/>
      <c r="C541" s="131"/>
      <c r="D541" s="131"/>
      <c r="E541" s="131"/>
      <c r="F541" s="144"/>
      <c r="G541" s="67"/>
      <c r="H541" s="67"/>
      <c r="I541" s="67"/>
      <c r="J541" s="67"/>
      <c r="K541" s="67"/>
      <c r="L541" s="67"/>
      <c r="M541" s="67"/>
      <c r="N541" s="67"/>
      <c r="O541" s="67"/>
      <c r="P541" s="67"/>
      <c r="Q541" s="67"/>
      <c r="R541" s="67"/>
      <c r="S541" s="67"/>
      <c r="T541" s="67"/>
      <c r="U541" s="67"/>
      <c r="V541" s="67"/>
      <c r="W541" s="67"/>
      <c r="X541" s="67"/>
      <c r="Y541" s="67"/>
      <c r="Z541" s="67"/>
    </row>
    <row r="542">
      <c r="A542" s="135"/>
      <c r="B542" s="125"/>
      <c r="C542" s="125"/>
      <c r="D542" s="125"/>
      <c r="E542" s="125"/>
      <c r="F542" s="146"/>
      <c r="G542" s="67"/>
      <c r="H542" s="67"/>
      <c r="I542" s="67"/>
      <c r="J542" s="67"/>
      <c r="K542" s="67"/>
      <c r="L542" s="67"/>
      <c r="M542" s="67"/>
      <c r="N542" s="67"/>
      <c r="O542" s="67"/>
      <c r="P542" s="67"/>
      <c r="Q542" s="67"/>
      <c r="R542" s="67"/>
      <c r="S542" s="67"/>
      <c r="T542" s="67"/>
      <c r="U542" s="67"/>
      <c r="V542" s="67"/>
      <c r="W542" s="67"/>
      <c r="X542" s="67"/>
      <c r="Y542" s="67"/>
      <c r="Z542" s="67"/>
    </row>
    <row r="543">
      <c r="A543" s="136"/>
      <c r="B543" s="131"/>
      <c r="C543" s="131"/>
      <c r="D543" s="131"/>
      <c r="E543" s="131"/>
      <c r="F543" s="144"/>
      <c r="G543" s="67"/>
      <c r="H543" s="67"/>
      <c r="I543" s="67"/>
      <c r="J543" s="67"/>
      <c r="K543" s="67"/>
      <c r="L543" s="67"/>
      <c r="M543" s="67"/>
      <c r="N543" s="67"/>
      <c r="O543" s="67"/>
      <c r="P543" s="67"/>
      <c r="Q543" s="67"/>
      <c r="R543" s="67"/>
      <c r="S543" s="67"/>
      <c r="T543" s="67"/>
      <c r="U543" s="67"/>
      <c r="V543" s="67"/>
      <c r="W543" s="67"/>
      <c r="X543" s="67"/>
      <c r="Y543" s="67"/>
      <c r="Z543" s="67"/>
    </row>
    <row r="544">
      <c r="A544" s="135"/>
      <c r="B544" s="125"/>
      <c r="C544" s="125"/>
      <c r="D544" s="125"/>
      <c r="E544" s="125"/>
      <c r="F544" s="146"/>
      <c r="G544" s="67"/>
      <c r="H544" s="67"/>
      <c r="I544" s="67"/>
      <c r="J544" s="67"/>
      <c r="K544" s="67"/>
      <c r="L544" s="67"/>
      <c r="M544" s="67"/>
      <c r="N544" s="67"/>
      <c r="O544" s="67"/>
      <c r="P544" s="67"/>
      <c r="Q544" s="67"/>
      <c r="R544" s="67"/>
      <c r="S544" s="67"/>
      <c r="T544" s="67"/>
      <c r="U544" s="67"/>
      <c r="V544" s="67"/>
      <c r="W544" s="67"/>
      <c r="X544" s="67"/>
      <c r="Y544" s="67"/>
      <c r="Z544" s="67"/>
    </row>
    <row r="545">
      <c r="A545" s="136"/>
      <c r="B545" s="131"/>
      <c r="C545" s="131"/>
      <c r="D545" s="131"/>
      <c r="E545" s="131"/>
      <c r="F545" s="144"/>
      <c r="G545" s="67"/>
      <c r="H545" s="67"/>
      <c r="I545" s="67"/>
      <c r="J545" s="67"/>
      <c r="K545" s="67"/>
      <c r="L545" s="67"/>
      <c r="M545" s="67"/>
      <c r="N545" s="67"/>
      <c r="O545" s="67"/>
      <c r="P545" s="67"/>
      <c r="Q545" s="67"/>
      <c r="R545" s="67"/>
      <c r="S545" s="67"/>
      <c r="T545" s="67"/>
      <c r="U545" s="67"/>
      <c r="V545" s="67"/>
      <c r="W545" s="67"/>
      <c r="X545" s="67"/>
      <c r="Y545" s="67"/>
      <c r="Z545" s="67"/>
    </row>
    <row r="546">
      <c r="A546" s="135"/>
      <c r="B546" s="125"/>
      <c r="C546" s="125"/>
      <c r="D546" s="125"/>
      <c r="E546" s="125"/>
      <c r="F546" s="146"/>
      <c r="G546" s="67"/>
      <c r="H546" s="67"/>
      <c r="I546" s="67"/>
      <c r="J546" s="67"/>
      <c r="K546" s="67"/>
      <c r="L546" s="67"/>
      <c r="M546" s="67"/>
      <c r="N546" s="67"/>
      <c r="O546" s="67"/>
      <c r="P546" s="67"/>
      <c r="Q546" s="67"/>
      <c r="R546" s="67"/>
      <c r="S546" s="67"/>
      <c r="T546" s="67"/>
      <c r="U546" s="67"/>
      <c r="V546" s="67"/>
      <c r="W546" s="67"/>
      <c r="X546" s="67"/>
      <c r="Y546" s="67"/>
      <c r="Z546" s="67"/>
    </row>
    <row r="547">
      <c r="A547" s="136"/>
      <c r="B547" s="131"/>
      <c r="C547" s="131"/>
      <c r="D547" s="131"/>
      <c r="E547" s="131"/>
      <c r="F547" s="144"/>
      <c r="G547" s="67"/>
      <c r="H547" s="67"/>
      <c r="I547" s="67"/>
      <c r="J547" s="67"/>
      <c r="K547" s="67"/>
      <c r="L547" s="67"/>
      <c r="M547" s="67"/>
      <c r="N547" s="67"/>
      <c r="O547" s="67"/>
      <c r="P547" s="67"/>
      <c r="Q547" s="67"/>
      <c r="R547" s="67"/>
      <c r="S547" s="67"/>
      <c r="T547" s="67"/>
      <c r="U547" s="67"/>
      <c r="V547" s="67"/>
      <c r="W547" s="67"/>
      <c r="X547" s="67"/>
      <c r="Y547" s="67"/>
      <c r="Z547" s="67"/>
    </row>
    <row r="548">
      <c r="A548" s="135"/>
      <c r="B548" s="125"/>
      <c r="C548" s="125"/>
      <c r="D548" s="125"/>
      <c r="E548" s="125"/>
      <c r="F548" s="146"/>
      <c r="G548" s="67"/>
      <c r="H548" s="67"/>
      <c r="I548" s="67"/>
      <c r="J548" s="67"/>
      <c r="K548" s="67"/>
      <c r="L548" s="67"/>
      <c r="M548" s="67"/>
      <c r="N548" s="67"/>
      <c r="O548" s="67"/>
      <c r="P548" s="67"/>
      <c r="Q548" s="67"/>
      <c r="R548" s="67"/>
      <c r="S548" s="67"/>
      <c r="T548" s="67"/>
      <c r="U548" s="67"/>
      <c r="V548" s="67"/>
      <c r="W548" s="67"/>
      <c r="X548" s="67"/>
      <c r="Y548" s="67"/>
      <c r="Z548" s="67"/>
    </row>
    <row r="549">
      <c r="A549" s="136"/>
      <c r="B549" s="131"/>
      <c r="C549" s="131"/>
      <c r="D549" s="131"/>
      <c r="E549" s="131"/>
      <c r="F549" s="144"/>
      <c r="G549" s="67"/>
      <c r="H549" s="67"/>
      <c r="I549" s="67"/>
      <c r="J549" s="67"/>
      <c r="K549" s="67"/>
      <c r="L549" s="67"/>
      <c r="M549" s="67"/>
      <c r="N549" s="67"/>
      <c r="O549" s="67"/>
      <c r="P549" s="67"/>
      <c r="Q549" s="67"/>
      <c r="R549" s="67"/>
      <c r="S549" s="67"/>
      <c r="T549" s="67"/>
      <c r="U549" s="67"/>
      <c r="V549" s="67"/>
      <c r="W549" s="67"/>
      <c r="X549" s="67"/>
      <c r="Y549" s="67"/>
      <c r="Z549" s="67"/>
    </row>
    <row r="550">
      <c r="A550" s="135"/>
      <c r="B550" s="125"/>
      <c r="C550" s="125"/>
      <c r="D550" s="125"/>
      <c r="E550" s="125"/>
      <c r="F550" s="146"/>
      <c r="G550" s="67"/>
      <c r="H550" s="67"/>
      <c r="I550" s="67"/>
      <c r="J550" s="67"/>
      <c r="K550" s="67"/>
      <c r="L550" s="67"/>
      <c r="M550" s="67"/>
      <c r="N550" s="67"/>
      <c r="O550" s="67"/>
      <c r="P550" s="67"/>
      <c r="Q550" s="67"/>
      <c r="R550" s="67"/>
      <c r="S550" s="67"/>
      <c r="T550" s="67"/>
      <c r="U550" s="67"/>
      <c r="V550" s="67"/>
      <c r="W550" s="67"/>
      <c r="X550" s="67"/>
      <c r="Y550" s="67"/>
      <c r="Z550" s="67"/>
    </row>
    <row r="551">
      <c r="A551" s="136"/>
      <c r="B551" s="131"/>
      <c r="C551" s="131"/>
      <c r="D551" s="131"/>
      <c r="E551" s="131"/>
      <c r="F551" s="144"/>
      <c r="G551" s="67"/>
      <c r="H551" s="67"/>
      <c r="I551" s="67"/>
      <c r="J551" s="67"/>
      <c r="K551" s="67"/>
      <c r="L551" s="67"/>
      <c r="M551" s="67"/>
      <c r="N551" s="67"/>
      <c r="O551" s="67"/>
      <c r="P551" s="67"/>
      <c r="Q551" s="67"/>
      <c r="R551" s="67"/>
      <c r="S551" s="67"/>
      <c r="T551" s="67"/>
      <c r="U551" s="67"/>
      <c r="V551" s="67"/>
      <c r="W551" s="67"/>
      <c r="X551" s="67"/>
      <c r="Y551" s="67"/>
      <c r="Z551" s="67"/>
    </row>
    <row r="552">
      <c r="A552" s="135"/>
      <c r="B552" s="125"/>
      <c r="C552" s="125"/>
      <c r="D552" s="125"/>
      <c r="E552" s="125"/>
      <c r="F552" s="146"/>
      <c r="G552" s="67"/>
      <c r="H552" s="67"/>
      <c r="I552" s="67"/>
      <c r="J552" s="67"/>
      <c r="K552" s="67"/>
      <c r="L552" s="67"/>
      <c r="M552" s="67"/>
      <c r="N552" s="67"/>
      <c r="O552" s="67"/>
      <c r="P552" s="67"/>
      <c r="Q552" s="67"/>
      <c r="R552" s="67"/>
      <c r="S552" s="67"/>
      <c r="T552" s="67"/>
      <c r="U552" s="67"/>
      <c r="V552" s="67"/>
      <c r="W552" s="67"/>
      <c r="X552" s="67"/>
      <c r="Y552" s="67"/>
      <c r="Z552" s="67"/>
    </row>
    <row r="553">
      <c r="A553" s="136"/>
      <c r="B553" s="131"/>
      <c r="C553" s="131"/>
      <c r="D553" s="131"/>
      <c r="E553" s="131"/>
      <c r="F553" s="144"/>
      <c r="G553" s="67"/>
      <c r="H553" s="67"/>
      <c r="I553" s="67"/>
      <c r="J553" s="67"/>
      <c r="K553" s="67"/>
      <c r="L553" s="67"/>
      <c r="M553" s="67"/>
      <c r="N553" s="67"/>
      <c r="O553" s="67"/>
      <c r="P553" s="67"/>
      <c r="Q553" s="67"/>
      <c r="R553" s="67"/>
      <c r="S553" s="67"/>
      <c r="T553" s="67"/>
      <c r="U553" s="67"/>
      <c r="V553" s="67"/>
      <c r="W553" s="67"/>
      <c r="X553" s="67"/>
      <c r="Y553" s="67"/>
      <c r="Z553" s="67"/>
    </row>
    <row r="554">
      <c r="A554" s="135"/>
      <c r="B554" s="125"/>
      <c r="C554" s="125"/>
      <c r="D554" s="125"/>
      <c r="E554" s="125"/>
      <c r="F554" s="146"/>
      <c r="G554" s="67"/>
      <c r="H554" s="67"/>
      <c r="I554" s="67"/>
      <c r="J554" s="67"/>
      <c r="K554" s="67"/>
      <c r="L554" s="67"/>
      <c r="M554" s="67"/>
      <c r="N554" s="67"/>
      <c r="O554" s="67"/>
      <c r="P554" s="67"/>
      <c r="Q554" s="67"/>
      <c r="R554" s="67"/>
      <c r="S554" s="67"/>
      <c r="T554" s="67"/>
      <c r="U554" s="67"/>
      <c r="V554" s="67"/>
      <c r="W554" s="67"/>
      <c r="X554" s="67"/>
      <c r="Y554" s="67"/>
      <c r="Z554" s="67"/>
    </row>
    <row r="555">
      <c r="A555" s="136"/>
      <c r="B555" s="131"/>
      <c r="C555" s="131"/>
      <c r="D555" s="131"/>
      <c r="E555" s="131"/>
      <c r="F555" s="144"/>
      <c r="G555" s="67"/>
      <c r="H555" s="67"/>
      <c r="I555" s="67"/>
      <c r="J555" s="67"/>
      <c r="K555" s="67"/>
      <c r="L555" s="67"/>
      <c r="M555" s="67"/>
      <c r="N555" s="67"/>
      <c r="O555" s="67"/>
      <c r="P555" s="67"/>
      <c r="Q555" s="67"/>
      <c r="R555" s="67"/>
      <c r="S555" s="67"/>
      <c r="T555" s="67"/>
      <c r="U555" s="67"/>
      <c r="V555" s="67"/>
      <c r="W555" s="67"/>
      <c r="X555" s="67"/>
      <c r="Y555" s="67"/>
      <c r="Z555" s="67"/>
    </row>
    <row r="556">
      <c r="A556" s="135"/>
      <c r="B556" s="125"/>
      <c r="C556" s="125"/>
      <c r="D556" s="125"/>
      <c r="E556" s="125"/>
      <c r="F556" s="146"/>
      <c r="G556" s="67"/>
      <c r="H556" s="67"/>
      <c r="I556" s="67"/>
      <c r="J556" s="67"/>
      <c r="K556" s="67"/>
      <c r="L556" s="67"/>
      <c r="M556" s="67"/>
      <c r="N556" s="67"/>
      <c r="O556" s="67"/>
      <c r="P556" s="67"/>
      <c r="Q556" s="67"/>
      <c r="R556" s="67"/>
      <c r="S556" s="67"/>
      <c r="T556" s="67"/>
      <c r="U556" s="67"/>
      <c r="V556" s="67"/>
      <c r="W556" s="67"/>
      <c r="X556" s="67"/>
      <c r="Y556" s="67"/>
      <c r="Z556" s="67"/>
    </row>
    <row r="557">
      <c r="A557" s="136"/>
      <c r="B557" s="131"/>
      <c r="C557" s="131"/>
      <c r="D557" s="131"/>
      <c r="E557" s="131"/>
      <c r="F557" s="144"/>
      <c r="G557" s="67"/>
      <c r="H557" s="67"/>
      <c r="I557" s="67"/>
      <c r="J557" s="67"/>
      <c r="K557" s="67"/>
      <c r="L557" s="67"/>
      <c r="M557" s="67"/>
      <c r="N557" s="67"/>
      <c r="O557" s="67"/>
      <c r="P557" s="67"/>
      <c r="Q557" s="67"/>
      <c r="R557" s="67"/>
      <c r="S557" s="67"/>
      <c r="T557" s="67"/>
      <c r="U557" s="67"/>
      <c r="V557" s="67"/>
      <c r="W557" s="67"/>
      <c r="X557" s="67"/>
      <c r="Y557" s="67"/>
      <c r="Z557" s="67"/>
    </row>
    <row r="558">
      <c r="A558" s="135"/>
      <c r="B558" s="125"/>
      <c r="C558" s="125"/>
      <c r="D558" s="125"/>
      <c r="E558" s="125"/>
      <c r="F558" s="146"/>
      <c r="G558" s="67"/>
      <c r="H558" s="67"/>
      <c r="I558" s="67"/>
      <c r="J558" s="67"/>
      <c r="K558" s="67"/>
      <c r="L558" s="67"/>
      <c r="M558" s="67"/>
      <c r="N558" s="67"/>
      <c r="O558" s="67"/>
      <c r="P558" s="67"/>
      <c r="Q558" s="67"/>
      <c r="R558" s="67"/>
      <c r="S558" s="67"/>
      <c r="T558" s="67"/>
      <c r="U558" s="67"/>
      <c r="V558" s="67"/>
      <c r="W558" s="67"/>
      <c r="X558" s="67"/>
      <c r="Y558" s="67"/>
      <c r="Z558" s="67"/>
    </row>
    <row r="559">
      <c r="A559" s="136"/>
      <c r="B559" s="131"/>
      <c r="C559" s="131"/>
      <c r="D559" s="131"/>
      <c r="E559" s="131"/>
      <c r="F559" s="144"/>
      <c r="G559" s="67"/>
      <c r="H559" s="67"/>
      <c r="I559" s="67"/>
      <c r="J559" s="67"/>
      <c r="K559" s="67"/>
      <c r="L559" s="67"/>
      <c r="M559" s="67"/>
      <c r="N559" s="67"/>
      <c r="O559" s="67"/>
      <c r="P559" s="67"/>
      <c r="Q559" s="67"/>
      <c r="R559" s="67"/>
      <c r="S559" s="67"/>
      <c r="T559" s="67"/>
      <c r="U559" s="67"/>
      <c r="V559" s="67"/>
      <c r="W559" s="67"/>
      <c r="X559" s="67"/>
      <c r="Y559" s="67"/>
      <c r="Z559" s="67"/>
    </row>
    <row r="560">
      <c r="A560" s="135"/>
      <c r="B560" s="125"/>
      <c r="C560" s="125"/>
      <c r="D560" s="125"/>
      <c r="E560" s="125"/>
      <c r="F560" s="146"/>
      <c r="G560" s="67"/>
      <c r="H560" s="67"/>
      <c r="I560" s="67"/>
      <c r="J560" s="67"/>
      <c r="K560" s="67"/>
      <c r="L560" s="67"/>
      <c r="M560" s="67"/>
      <c r="N560" s="67"/>
      <c r="O560" s="67"/>
      <c r="P560" s="67"/>
      <c r="Q560" s="67"/>
      <c r="R560" s="67"/>
      <c r="S560" s="67"/>
      <c r="T560" s="67"/>
      <c r="U560" s="67"/>
      <c r="V560" s="67"/>
      <c r="W560" s="67"/>
      <c r="X560" s="67"/>
      <c r="Y560" s="67"/>
      <c r="Z560" s="67"/>
    </row>
    <row r="561">
      <c r="A561" s="136"/>
      <c r="B561" s="131"/>
      <c r="C561" s="131"/>
      <c r="D561" s="131"/>
      <c r="E561" s="131"/>
      <c r="F561" s="144"/>
      <c r="G561" s="67"/>
      <c r="H561" s="67"/>
      <c r="I561" s="67"/>
      <c r="J561" s="67"/>
      <c r="K561" s="67"/>
      <c r="L561" s="67"/>
      <c r="M561" s="67"/>
      <c r="N561" s="67"/>
      <c r="O561" s="67"/>
      <c r="P561" s="67"/>
      <c r="Q561" s="67"/>
      <c r="R561" s="67"/>
      <c r="S561" s="67"/>
      <c r="T561" s="67"/>
      <c r="U561" s="67"/>
      <c r="V561" s="67"/>
      <c r="W561" s="67"/>
      <c r="X561" s="67"/>
      <c r="Y561" s="67"/>
      <c r="Z561" s="67"/>
    </row>
    <row r="562">
      <c r="A562" s="135"/>
      <c r="B562" s="125"/>
      <c r="C562" s="125"/>
      <c r="D562" s="125"/>
      <c r="E562" s="125"/>
      <c r="F562" s="146"/>
      <c r="G562" s="67"/>
      <c r="H562" s="67"/>
      <c r="I562" s="67"/>
      <c r="J562" s="67"/>
      <c r="K562" s="67"/>
      <c r="L562" s="67"/>
      <c r="M562" s="67"/>
      <c r="N562" s="67"/>
      <c r="O562" s="67"/>
      <c r="P562" s="67"/>
      <c r="Q562" s="67"/>
      <c r="R562" s="67"/>
      <c r="S562" s="67"/>
      <c r="T562" s="67"/>
      <c r="U562" s="67"/>
      <c r="V562" s="67"/>
      <c r="W562" s="67"/>
      <c r="X562" s="67"/>
      <c r="Y562" s="67"/>
      <c r="Z562" s="67"/>
    </row>
    <row r="563">
      <c r="A563" s="136"/>
      <c r="B563" s="131"/>
      <c r="C563" s="131"/>
      <c r="D563" s="131"/>
      <c r="E563" s="131"/>
      <c r="F563" s="144"/>
      <c r="G563" s="67"/>
      <c r="H563" s="67"/>
      <c r="I563" s="67"/>
      <c r="J563" s="67"/>
      <c r="K563" s="67"/>
      <c r="L563" s="67"/>
      <c r="M563" s="67"/>
      <c r="N563" s="67"/>
      <c r="O563" s="67"/>
      <c r="P563" s="67"/>
      <c r="Q563" s="67"/>
      <c r="R563" s="67"/>
      <c r="S563" s="67"/>
      <c r="T563" s="67"/>
      <c r="U563" s="67"/>
      <c r="V563" s="67"/>
      <c r="W563" s="67"/>
      <c r="X563" s="67"/>
      <c r="Y563" s="67"/>
      <c r="Z563" s="67"/>
    </row>
    <row r="564">
      <c r="A564" s="135"/>
      <c r="B564" s="125"/>
      <c r="C564" s="125"/>
      <c r="D564" s="125"/>
      <c r="E564" s="125"/>
      <c r="F564" s="146"/>
      <c r="G564" s="67"/>
      <c r="H564" s="67"/>
      <c r="I564" s="67"/>
      <c r="J564" s="67"/>
      <c r="K564" s="67"/>
      <c r="L564" s="67"/>
      <c r="M564" s="67"/>
      <c r="N564" s="67"/>
      <c r="O564" s="67"/>
      <c r="P564" s="67"/>
      <c r="Q564" s="67"/>
      <c r="R564" s="67"/>
      <c r="S564" s="67"/>
      <c r="T564" s="67"/>
      <c r="U564" s="67"/>
      <c r="V564" s="67"/>
      <c r="W564" s="67"/>
      <c r="X564" s="67"/>
      <c r="Y564" s="67"/>
      <c r="Z564" s="67"/>
    </row>
    <row r="565">
      <c r="A565" s="136"/>
      <c r="B565" s="131"/>
      <c r="C565" s="131"/>
      <c r="D565" s="131"/>
      <c r="E565" s="131"/>
      <c r="F565" s="144"/>
      <c r="G565" s="67"/>
      <c r="H565" s="67"/>
      <c r="I565" s="67"/>
      <c r="J565" s="67"/>
      <c r="K565" s="67"/>
      <c r="L565" s="67"/>
      <c r="M565" s="67"/>
      <c r="N565" s="67"/>
      <c r="O565" s="67"/>
      <c r="P565" s="67"/>
      <c r="Q565" s="67"/>
      <c r="R565" s="67"/>
      <c r="S565" s="67"/>
      <c r="T565" s="67"/>
      <c r="U565" s="67"/>
      <c r="V565" s="67"/>
      <c r="W565" s="67"/>
      <c r="X565" s="67"/>
      <c r="Y565" s="67"/>
      <c r="Z565" s="67"/>
    </row>
    <row r="566">
      <c r="A566" s="135"/>
      <c r="B566" s="125"/>
      <c r="C566" s="125"/>
      <c r="D566" s="125"/>
      <c r="E566" s="125"/>
      <c r="F566" s="146"/>
      <c r="G566" s="67"/>
      <c r="H566" s="67"/>
      <c r="I566" s="67"/>
      <c r="J566" s="67"/>
      <c r="K566" s="67"/>
      <c r="L566" s="67"/>
      <c r="M566" s="67"/>
      <c r="N566" s="67"/>
      <c r="O566" s="67"/>
      <c r="P566" s="67"/>
      <c r="Q566" s="67"/>
      <c r="R566" s="67"/>
      <c r="S566" s="67"/>
      <c r="T566" s="67"/>
      <c r="U566" s="67"/>
      <c r="V566" s="67"/>
      <c r="W566" s="67"/>
      <c r="X566" s="67"/>
      <c r="Y566" s="67"/>
      <c r="Z566" s="67"/>
    </row>
    <row r="567">
      <c r="A567" s="136"/>
      <c r="B567" s="131"/>
      <c r="C567" s="131"/>
      <c r="D567" s="131"/>
      <c r="E567" s="131"/>
      <c r="F567" s="144"/>
      <c r="G567" s="67"/>
      <c r="H567" s="67"/>
      <c r="I567" s="67"/>
      <c r="J567" s="67"/>
      <c r="K567" s="67"/>
      <c r="L567" s="67"/>
      <c r="M567" s="67"/>
      <c r="N567" s="67"/>
      <c r="O567" s="67"/>
      <c r="P567" s="67"/>
      <c r="Q567" s="67"/>
      <c r="R567" s="67"/>
      <c r="S567" s="67"/>
      <c r="T567" s="67"/>
      <c r="U567" s="67"/>
      <c r="V567" s="67"/>
      <c r="W567" s="67"/>
      <c r="X567" s="67"/>
      <c r="Y567" s="67"/>
      <c r="Z567" s="67"/>
    </row>
    <row r="568">
      <c r="A568" s="135"/>
      <c r="B568" s="125"/>
      <c r="C568" s="125"/>
      <c r="D568" s="125"/>
      <c r="E568" s="125"/>
      <c r="F568" s="146"/>
      <c r="G568" s="67"/>
      <c r="H568" s="67"/>
      <c r="I568" s="67"/>
      <c r="J568" s="67"/>
      <c r="K568" s="67"/>
      <c r="L568" s="67"/>
      <c r="M568" s="67"/>
      <c r="N568" s="67"/>
      <c r="O568" s="67"/>
      <c r="P568" s="67"/>
      <c r="Q568" s="67"/>
      <c r="R568" s="67"/>
      <c r="S568" s="67"/>
      <c r="T568" s="67"/>
      <c r="U568" s="67"/>
      <c r="V568" s="67"/>
      <c r="W568" s="67"/>
      <c r="X568" s="67"/>
      <c r="Y568" s="67"/>
      <c r="Z568" s="67"/>
    </row>
    <row r="569">
      <c r="A569" s="136"/>
      <c r="B569" s="131"/>
      <c r="C569" s="131"/>
      <c r="D569" s="131"/>
      <c r="E569" s="131"/>
      <c r="F569" s="144"/>
      <c r="G569" s="67"/>
      <c r="H569" s="67"/>
      <c r="I569" s="67"/>
      <c r="J569" s="67"/>
      <c r="K569" s="67"/>
      <c r="L569" s="67"/>
      <c r="M569" s="67"/>
      <c r="N569" s="67"/>
      <c r="O569" s="67"/>
      <c r="P569" s="67"/>
      <c r="Q569" s="67"/>
      <c r="R569" s="67"/>
      <c r="S569" s="67"/>
      <c r="T569" s="67"/>
      <c r="U569" s="67"/>
      <c r="V569" s="67"/>
      <c r="W569" s="67"/>
      <c r="X569" s="67"/>
      <c r="Y569" s="67"/>
      <c r="Z569" s="67"/>
    </row>
    <row r="570">
      <c r="A570" s="135"/>
      <c r="B570" s="125"/>
      <c r="C570" s="125"/>
      <c r="D570" s="125"/>
      <c r="E570" s="125"/>
      <c r="F570" s="146"/>
      <c r="G570" s="67"/>
      <c r="H570" s="67"/>
      <c r="I570" s="67"/>
      <c r="J570" s="67"/>
      <c r="K570" s="67"/>
      <c r="L570" s="67"/>
      <c r="M570" s="67"/>
      <c r="N570" s="67"/>
      <c r="O570" s="67"/>
      <c r="P570" s="67"/>
      <c r="Q570" s="67"/>
      <c r="R570" s="67"/>
      <c r="S570" s="67"/>
      <c r="T570" s="67"/>
      <c r="U570" s="67"/>
      <c r="V570" s="67"/>
      <c r="W570" s="67"/>
      <c r="X570" s="67"/>
      <c r="Y570" s="67"/>
      <c r="Z570" s="67"/>
    </row>
    <row r="571">
      <c r="A571" s="136"/>
      <c r="B571" s="131"/>
      <c r="C571" s="131"/>
      <c r="D571" s="131"/>
      <c r="E571" s="131"/>
      <c r="F571" s="144"/>
      <c r="G571" s="67"/>
      <c r="H571" s="67"/>
      <c r="I571" s="67"/>
      <c r="J571" s="67"/>
      <c r="K571" s="67"/>
      <c r="L571" s="67"/>
      <c r="M571" s="67"/>
      <c r="N571" s="67"/>
      <c r="O571" s="67"/>
      <c r="P571" s="67"/>
      <c r="Q571" s="67"/>
      <c r="R571" s="67"/>
      <c r="S571" s="67"/>
      <c r="T571" s="67"/>
      <c r="U571" s="67"/>
      <c r="V571" s="67"/>
      <c r="W571" s="67"/>
      <c r="X571" s="67"/>
      <c r="Y571" s="67"/>
      <c r="Z571" s="67"/>
    </row>
    <row r="572">
      <c r="A572" s="135"/>
      <c r="B572" s="125"/>
      <c r="C572" s="125"/>
      <c r="D572" s="125"/>
      <c r="E572" s="125"/>
      <c r="F572" s="146"/>
      <c r="G572" s="67"/>
      <c r="H572" s="67"/>
      <c r="I572" s="67"/>
      <c r="J572" s="67"/>
      <c r="K572" s="67"/>
      <c r="L572" s="67"/>
      <c r="M572" s="67"/>
      <c r="N572" s="67"/>
      <c r="O572" s="67"/>
      <c r="P572" s="67"/>
      <c r="Q572" s="67"/>
      <c r="R572" s="67"/>
      <c r="S572" s="67"/>
      <c r="T572" s="67"/>
      <c r="U572" s="67"/>
      <c r="V572" s="67"/>
      <c r="W572" s="67"/>
      <c r="X572" s="67"/>
      <c r="Y572" s="67"/>
      <c r="Z572" s="67"/>
    </row>
    <row r="573">
      <c r="A573" s="136"/>
      <c r="B573" s="131"/>
      <c r="C573" s="131"/>
      <c r="D573" s="131"/>
      <c r="E573" s="131"/>
      <c r="F573" s="144"/>
      <c r="G573" s="67"/>
      <c r="H573" s="67"/>
      <c r="I573" s="67"/>
      <c r="J573" s="67"/>
      <c r="K573" s="67"/>
      <c r="L573" s="67"/>
      <c r="M573" s="67"/>
      <c r="N573" s="67"/>
      <c r="O573" s="67"/>
      <c r="P573" s="67"/>
      <c r="Q573" s="67"/>
      <c r="R573" s="67"/>
      <c r="S573" s="67"/>
      <c r="T573" s="67"/>
      <c r="U573" s="67"/>
      <c r="V573" s="67"/>
      <c r="W573" s="67"/>
      <c r="X573" s="67"/>
      <c r="Y573" s="67"/>
      <c r="Z573" s="67"/>
    </row>
    <row r="574">
      <c r="A574" s="135"/>
      <c r="B574" s="125"/>
      <c r="C574" s="125"/>
      <c r="D574" s="125"/>
      <c r="E574" s="125"/>
      <c r="F574" s="146"/>
      <c r="G574" s="67"/>
      <c r="H574" s="67"/>
      <c r="I574" s="67"/>
      <c r="J574" s="67"/>
      <c r="K574" s="67"/>
      <c r="L574" s="67"/>
      <c r="M574" s="67"/>
      <c r="N574" s="67"/>
      <c r="O574" s="67"/>
      <c r="P574" s="67"/>
      <c r="Q574" s="67"/>
      <c r="R574" s="67"/>
      <c r="S574" s="67"/>
      <c r="T574" s="67"/>
      <c r="U574" s="67"/>
      <c r="V574" s="67"/>
      <c r="W574" s="67"/>
      <c r="X574" s="67"/>
      <c r="Y574" s="67"/>
      <c r="Z574" s="67"/>
    </row>
    <row r="575">
      <c r="A575" s="136"/>
      <c r="B575" s="131"/>
      <c r="C575" s="131"/>
      <c r="D575" s="131"/>
      <c r="E575" s="131"/>
      <c r="F575" s="144"/>
      <c r="G575" s="67"/>
      <c r="H575" s="67"/>
      <c r="I575" s="67"/>
      <c r="J575" s="67"/>
      <c r="K575" s="67"/>
      <c r="L575" s="67"/>
      <c r="M575" s="67"/>
      <c r="N575" s="67"/>
      <c r="O575" s="67"/>
      <c r="P575" s="67"/>
      <c r="Q575" s="67"/>
      <c r="R575" s="67"/>
      <c r="S575" s="67"/>
      <c r="T575" s="67"/>
      <c r="U575" s="67"/>
      <c r="V575" s="67"/>
      <c r="W575" s="67"/>
      <c r="X575" s="67"/>
      <c r="Y575" s="67"/>
      <c r="Z575" s="67"/>
    </row>
    <row r="576">
      <c r="A576" s="135"/>
      <c r="B576" s="125"/>
      <c r="C576" s="125"/>
      <c r="D576" s="125"/>
      <c r="E576" s="125"/>
      <c r="F576" s="146"/>
      <c r="G576" s="67"/>
      <c r="H576" s="67"/>
      <c r="I576" s="67"/>
      <c r="J576" s="67"/>
      <c r="K576" s="67"/>
      <c r="L576" s="67"/>
      <c r="M576" s="67"/>
      <c r="N576" s="67"/>
      <c r="O576" s="67"/>
      <c r="P576" s="67"/>
      <c r="Q576" s="67"/>
      <c r="R576" s="67"/>
      <c r="S576" s="67"/>
      <c r="T576" s="67"/>
      <c r="U576" s="67"/>
      <c r="V576" s="67"/>
      <c r="W576" s="67"/>
      <c r="X576" s="67"/>
      <c r="Y576" s="67"/>
      <c r="Z576" s="67"/>
    </row>
    <row r="577">
      <c r="A577" s="136"/>
      <c r="B577" s="131"/>
      <c r="C577" s="131"/>
      <c r="D577" s="131"/>
      <c r="E577" s="131"/>
      <c r="F577" s="144"/>
      <c r="G577" s="67"/>
      <c r="H577" s="67"/>
      <c r="I577" s="67"/>
      <c r="J577" s="67"/>
      <c r="K577" s="67"/>
      <c r="L577" s="67"/>
      <c r="M577" s="67"/>
      <c r="N577" s="67"/>
      <c r="O577" s="67"/>
      <c r="P577" s="67"/>
      <c r="Q577" s="67"/>
      <c r="R577" s="67"/>
      <c r="S577" s="67"/>
      <c r="T577" s="67"/>
      <c r="U577" s="67"/>
      <c r="V577" s="67"/>
      <c r="W577" s="67"/>
      <c r="X577" s="67"/>
      <c r="Y577" s="67"/>
      <c r="Z577" s="67"/>
    </row>
    <row r="578">
      <c r="A578" s="135"/>
      <c r="B578" s="125"/>
      <c r="C578" s="125"/>
      <c r="D578" s="125"/>
      <c r="E578" s="125"/>
      <c r="F578" s="146"/>
      <c r="G578" s="67"/>
      <c r="H578" s="67"/>
      <c r="I578" s="67"/>
      <c r="J578" s="67"/>
      <c r="K578" s="67"/>
      <c r="L578" s="67"/>
      <c r="M578" s="67"/>
      <c r="N578" s="67"/>
      <c r="O578" s="67"/>
      <c r="P578" s="67"/>
      <c r="Q578" s="67"/>
      <c r="R578" s="67"/>
      <c r="S578" s="67"/>
      <c r="T578" s="67"/>
      <c r="U578" s="67"/>
      <c r="V578" s="67"/>
      <c r="W578" s="67"/>
      <c r="X578" s="67"/>
      <c r="Y578" s="67"/>
      <c r="Z578" s="67"/>
    </row>
    <row r="579">
      <c r="A579" s="136"/>
      <c r="B579" s="131"/>
      <c r="C579" s="131"/>
      <c r="D579" s="131"/>
      <c r="E579" s="131"/>
      <c r="F579" s="144"/>
      <c r="G579" s="67"/>
      <c r="H579" s="67"/>
      <c r="I579" s="67"/>
      <c r="J579" s="67"/>
      <c r="K579" s="67"/>
      <c r="L579" s="67"/>
      <c r="M579" s="67"/>
      <c r="N579" s="67"/>
      <c r="O579" s="67"/>
      <c r="P579" s="67"/>
      <c r="Q579" s="67"/>
      <c r="R579" s="67"/>
      <c r="S579" s="67"/>
      <c r="T579" s="67"/>
      <c r="U579" s="67"/>
      <c r="V579" s="67"/>
      <c r="W579" s="67"/>
      <c r="X579" s="67"/>
      <c r="Y579" s="67"/>
      <c r="Z579" s="67"/>
    </row>
    <row r="580">
      <c r="A580" s="135"/>
      <c r="B580" s="125"/>
      <c r="C580" s="125"/>
      <c r="D580" s="125"/>
      <c r="E580" s="125"/>
      <c r="F580" s="146"/>
      <c r="G580" s="67"/>
      <c r="H580" s="67"/>
      <c r="I580" s="67"/>
      <c r="J580" s="67"/>
      <c r="K580" s="67"/>
      <c r="L580" s="67"/>
      <c r="M580" s="67"/>
      <c r="N580" s="67"/>
      <c r="O580" s="67"/>
      <c r="P580" s="67"/>
      <c r="Q580" s="67"/>
      <c r="R580" s="67"/>
      <c r="S580" s="67"/>
      <c r="T580" s="67"/>
      <c r="U580" s="67"/>
      <c r="V580" s="67"/>
      <c r="W580" s="67"/>
      <c r="X580" s="67"/>
      <c r="Y580" s="67"/>
      <c r="Z580" s="67"/>
    </row>
    <row r="581">
      <c r="A581" s="136"/>
      <c r="B581" s="131"/>
      <c r="C581" s="131"/>
      <c r="D581" s="131"/>
      <c r="E581" s="131"/>
      <c r="F581" s="144"/>
      <c r="G581" s="67"/>
      <c r="H581" s="67"/>
      <c r="I581" s="67"/>
      <c r="J581" s="67"/>
      <c r="K581" s="67"/>
      <c r="L581" s="67"/>
      <c r="M581" s="67"/>
      <c r="N581" s="67"/>
      <c r="O581" s="67"/>
      <c r="P581" s="67"/>
      <c r="Q581" s="67"/>
      <c r="R581" s="67"/>
      <c r="S581" s="67"/>
      <c r="T581" s="67"/>
      <c r="U581" s="67"/>
      <c r="V581" s="67"/>
      <c r="W581" s="67"/>
      <c r="X581" s="67"/>
      <c r="Y581" s="67"/>
      <c r="Z581" s="67"/>
    </row>
    <row r="582">
      <c r="A582" s="135"/>
      <c r="B582" s="125"/>
      <c r="C582" s="125"/>
      <c r="D582" s="125"/>
      <c r="E582" s="125"/>
      <c r="F582" s="146"/>
      <c r="G582" s="67"/>
      <c r="H582" s="67"/>
      <c r="I582" s="67"/>
      <c r="J582" s="67"/>
      <c r="K582" s="67"/>
      <c r="L582" s="67"/>
      <c r="M582" s="67"/>
      <c r="N582" s="67"/>
      <c r="O582" s="67"/>
      <c r="P582" s="67"/>
      <c r="Q582" s="67"/>
      <c r="R582" s="67"/>
      <c r="S582" s="67"/>
      <c r="T582" s="67"/>
      <c r="U582" s="67"/>
      <c r="V582" s="67"/>
      <c r="W582" s="67"/>
      <c r="X582" s="67"/>
      <c r="Y582" s="67"/>
      <c r="Z582" s="67"/>
    </row>
    <row r="583">
      <c r="A583" s="136"/>
      <c r="B583" s="131"/>
      <c r="C583" s="131"/>
      <c r="D583" s="131"/>
      <c r="E583" s="131"/>
      <c r="F583" s="144"/>
      <c r="G583" s="67"/>
      <c r="H583" s="67"/>
      <c r="I583" s="67"/>
      <c r="J583" s="67"/>
      <c r="K583" s="67"/>
      <c r="L583" s="67"/>
      <c r="M583" s="67"/>
      <c r="N583" s="67"/>
      <c r="O583" s="67"/>
      <c r="P583" s="67"/>
      <c r="Q583" s="67"/>
      <c r="R583" s="67"/>
      <c r="S583" s="67"/>
      <c r="T583" s="67"/>
      <c r="U583" s="67"/>
      <c r="V583" s="67"/>
      <c r="W583" s="67"/>
      <c r="X583" s="67"/>
      <c r="Y583" s="67"/>
      <c r="Z583" s="67"/>
    </row>
    <row r="584">
      <c r="A584" s="135"/>
      <c r="B584" s="125"/>
      <c r="C584" s="125"/>
      <c r="D584" s="125"/>
      <c r="E584" s="125"/>
      <c r="F584" s="146"/>
      <c r="G584" s="67"/>
      <c r="H584" s="67"/>
      <c r="I584" s="67"/>
      <c r="J584" s="67"/>
      <c r="K584" s="67"/>
      <c r="L584" s="67"/>
      <c r="M584" s="67"/>
      <c r="N584" s="67"/>
      <c r="O584" s="67"/>
      <c r="P584" s="67"/>
      <c r="Q584" s="67"/>
      <c r="R584" s="67"/>
      <c r="S584" s="67"/>
      <c r="T584" s="67"/>
      <c r="U584" s="67"/>
      <c r="V584" s="67"/>
      <c r="W584" s="67"/>
      <c r="X584" s="67"/>
      <c r="Y584" s="67"/>
      <c r="Z584" s="67"/>
    </row>
    <row r="585">
      <c r="A585" s="136"/>
      <c r="B585" s="131"/>
      <c r="C585" s="131"/>
      <c r="D585" s="131"/>
      <c r="E585" s="131"/>
      <c r="F585" s="144"/>
      <c r="G585" s="67"/>
      <c r="H585" s="67"/>
      <c r="I585" s="67"/>
      <c r="J585" s="67"/>
      <c r="K585" s="67"/>
      <c r="L585" s="67"/>
      <c r="M585" s="67"/>
      <c r="N585" s="67"/>
      <c r="O585" s="67"/>
      <c r="P585" s="67"/>
      <c r="Q585" s="67"/>
      <c r="R585" s="67"/>
      <c r="S585" s="67"/>
      <c r="T585" s="67"/>
      <c r="U585" s="67"/>
      <c r="V585" s="67"/>
      <c r="W585" s="67"/>
      <c r="X585" s="67"/>
      <c r="Y585" s="67"/>
      <c r="Z585" s="67"/>
    </row>
    <row r="586">
      <c r="A586" s="135"/>
      <c r="B586" s="125"/>
      <c r="C586" s="125"/>
      <c r="D586" s="125"/>
      <c r="E586" s="125"/>
      <c r="F586" s="146"/>
      <c r="G586" s="67"/>
      <c r="H586" s="67"/>
      <c r="I586" s="67"/>
      <c r="J586" s="67"/>
      <c r="K586" s="67"/>
      <c r="L586" s="67"/>
      <c r="M586" s="67"/>
      <c r="N586" s="67"/>
      <c r="O586" s="67"/>
      <c r="P586" s="67"/>
      <c r="Q586" s="67"/>
      <c r="R586" s="67"/>
      <c r="S586" s="67"/>
      <c r="T586" s="67"/>
      <c r="U586" s="67"/>
      <c r="V586" s="67"/>
      <c r="W586" s="67"/>
      <c r="X586" s="67"/>
      <c r="Y586" s="67"/>
      <c r="Z586" s="67"/>
    </row>
    <row r="587">
      <c r="A587" s="136"/>
      <c r="B587" s="131"/>
      <c r="C587" s="131"/>
      <c r="D587" s="131"/>
      <c r="E587" s="131"/>
      <c r="F587" s="144"/>
      <c r="G587" s="67"/>
      <c r="H587" s="67"/>
      <c r="I587" s="67"/>
      <c r="J587" s="67"/>
      <c r="K587" s="67"/>
      <c r="L587" s="67"/>
      <c r="M587" s="67"/>
      <c r="N587" s="67"/>
      <c r="O587" s="67"/>
      <c r="P587" s="67"/>
      <c r="Q587" s="67"/>
      <c r="R587" s="67"/>
      <c r="S587" s="67"/>
      <c r="T587" s="67"/>
      <c r="U587" s="67"/>
      <c r="V587" s="67"/>
      <c r="W587" s="67"/>
      <c r="X587" s="67"/>
      <c r="Y587" s="67"/>
      <c r="Z587" s="67"/>
    </row>
    <row r="588">
      <c r="A588" s="135"/>
      <c r="B588" s="125"/>
      <c r="C588" s="125"/>
      <c r="D588" s="125"/>
      <c r="E588" s="125"/>
      <c r="F588" s="146"/>
      <c r="G588" s="67"/>
      <c r="H588" s="67"/>
      <c r="I588" s="67"/>
      <c r="J588" s="67"/>
      <c r="K588" s="67"/>
      <c r="L588" s="67"/>
      <c r="M588" s="67"/>
      <c r="N588" s="67"/>
      <c r="O588" s="67"/>
      <c r="P588" s="67"/>
      <c r="Q588" s="67"/>
      <c r="R588" s="67"/>
      <c r="S588" s="67"/>
      <c r="T588" s="67"/>
      <c r="U588" s="67"/>
      <c r="V588" s="67"/>
      <c r="W588" s="67"/>
      <c r="X588" s="67"/>
      <c r="Y588" s="67"/>
      <c r="Z588" s="67"/>
    </row>
    <row r="589">
      <c r="A589" s="136"/>
      <c r="B589" s="131"/>
      <c r="C589" s="131"/>
      <c r="D589" s="131"/>
      <c r="E589" s="131"/>
      <c r="F589" s="144"/>
      <c r="G589" s="67"/>
      <c r="H589" s="67"/>
      <c r="I589" s="67"/>
      <c r="J589" s="67"/>
      <c r="K589" s="67"/>
      <c r="L589" s="67"/>
      <c r="M589" s="67"/>
      <c r="N589" s="67"/>
      <c r="O589" s="67"/>
      <c r="P589" s="67"/>
      <c r="Q589" s="67"/>
      <c r="R589" s="67"/>
      <c r="S589" s="67"/>
      <c r="T589" s="67"/>
      <c r="U589" s="67"/>
      <c r="V589" s="67"/>
      <c r="W589" s="67"/>
      <c r="X589" s="67"/>
      <c r="Y589" s="67"/>
      <c r="Z589" s="67"/>
    </row>
    <row r="590">
      <c r="A590" s="135"/>
      <c r="B590" s="125"/>
      <c r="C590" s="125"/>
      <c r="D590" s="125"/>
      <c r="E590" s="125"/>
      <c r="F590" s="146"/>
      <c r="G590" s="67"/>
      <c r="H590" s="67"/>
      <c r="I590" s="67"/>
      <c r="J590" s="67"/>
      <c r="K590" s="67"/>
      <c r="L590" s="67"/>
      <c r="M590" s="67"/>
      <c r="N590" s="67"/>
      <c r="O590" s="67"/>
      <c r="P590" s="67"/>
      <c r="Q590" s="67"/>
      <c r="R590" s="67"/>
      <c r="S590" s="67"/>
      <c r="T590" s="67"/>
      <c r="U590" s="67"/>
      <c r="V590" s="67"/>
      <c r="W590" s="67"/>
      <c r="X590" s="67"/>
      <c r="Y590" s="67"/>
      <c r="Z590" s="67"/>
    </row>
    <row r="591">
      <c r="A591" s="136"/>
      <c r="B591" s="131"/>
      <c r="C591" s="131"/>
      <c r="D591" s="131"/>
      <c r="E591" s="131"/>
      <c r="F591" s="144"/>
      <c r="G591" s="67"/>
      <c r="H591" s="67"/>
      <c r="I591" s="67"/>
      <c r="J591" s="67"/>
      <c r="K591" s="67"/>
      <c r="L591" s="67"/>
      <c r="M591" s="67"/>
      <c r="N591" s="67"/>
      <c r="O591" s="67"/>
      <c r="P591" s="67"/>
      <c r="Q591" s="67"/>
      <c r="R591" s="67"/>
      <c r="S591" s="67"/>
      <c r="T591" s="67"/>
      <c r="U591" s="67"/>
      <c r="V591" s="67"/>
      <c r="W591" s="67"/>
      <c r="X591" s="67"/>
      <c r="Y591" s="67"/>
      <c r="Z591" s="67"/>
    </row>
    <row r="592">
      <c r="A592" s="135"/>
      <c r="B592" s="125"/>
      <c r="C592" s="125"/>
      <c r="D592" s="125"/>
      <c r="E592" s="125"/>
      <c r="F592" s="146"/>
      <c r="G592" s="67"/>
      <c r="H592" s="67"/>
      <c r="I592" s="67"/>
      <c r="J592" s="67"/>
      <c r="K592" s="67"/>
      <c r="L592" s="67"/>
      <c r="M592" s="67"/>
      <c r="N592" s="67"/>
      <c r="O592" s="67"/>
      <c r="P592" s="67"/>
      <c r="Q592" s="67"/>
      <c r="R592" s="67"/>
      <c r="S592" s="67"/>
      <c r="T592" s="67"/>
      <c r="U592" s="67"/>
      <c r="V592" s="67"/>
      <c r="W592" s="67"/>
      <c r="X592" s="67"/>
      <c r="Y592" s="67"/>
      <c r="Z592" s="67"/>
    </row>
    <row r="593">
      <c r="A593" s="136"/>
      <c r="B593" s="131"/>
      <c r="C593" s="131"/>
      <c r="D593" s="131"/>
      <c r="E593" s="131"/>
      <c r="F593" s="144"/>
      <c r="G593" s="67"/>
      <c r="H593" s="67"/>
      <c r="I593" s="67"/>
      <c r="J593" s="67"/>
      <c r="K593" s="67"/>
      <c r="L593" s="67"/>
      <c r="M593" s="67"/>
      <c r="N593" s="67"/>
      <c r="O593" s="67"/>
      <c r="P593" s="67"/>
      <c r="Q593" s="67"/>
      <c r="R593" s="67"/>
      <c r="S593" s="67"/>
      <c r="T593" s="67"/>
      <c r="U593" s="67"/>
      <c r="V593" s="67"/>
      <c r="W593" s="67"/>
      <c r="X593" s="67"/>
      <c r="Y593" s="67"/>
      <c r="Z593" s="67"/>
    </row>
    <row r="594">
      <c r="A594" s="135"/>
      <c r="B594" s="125"/>
      <c r="C594" s="125"/>
      <c r="D594" s="125"/>
      <c r="E594" s="125"/>
      <c r="F594" s="146"/>
      <c r="G594" s="67"/>
      <c r="H594" s="67"/>
      <c r="I594" s="67"/>
      <c r="J594" s="67"/>
      <c r="K594" s="67"/>
      <c r="L594" s="67"/>
      <c r="M594" s="67"/>
      <c r="N594" s="67"/>
      <c r="O594" s="67"/>
      <c r="P594" s="67"/>
      <c r="Q594" s="67"/>
      <c r="R594" s="67"/>
      <c r="S594" s="67"/>
      <c r="T594" s="67"/>
      <c r="U594" s="67"/>
      <c r="V594" s="67"/>
      <c r="W594" s="67"/>
      <c r="X594" s="67"/>
      <c r="Y594" s="67"/>
      <c r="Z594" s="67"/>
    </row>
    <row r="595">
      <c r="A595" s="136"/>
      <c r="B595" s="131"/>
      <c r="C595" s="131"/>
      <c r="D595" s="131"/>
      <c r="E595" s="131"/>
      <c r="F595" s="144"/>
      <c r="G595" s="67"/>
      <c r="H595" s="67"/>
      <c r="I595" s="67"/>
      <c r="J595" s="67"/>
      <c r="K595" s="67"/>
      <c r="L595" s="67"/>
      <c r="M595" s="67"/>
      <c r="N595" s="67"/>
      <c r="O595" s="67"/>
      <c r="P595" s="67"/>
      <c r="Q595" s="67"/>
      <c r="R595" s="67"/>
      <c r="S595" s="67"/>
      <c r="T595" s="67"/>
      <c r="U595" s="67"/>
      <c r="V595" s="67"/>
      <c r="W595" s="67"/>
      <c r="X595" s="67"/>
      <c r="Y595" s="67"/>
      <c r="Z595" s="67"/>
    </row>
    <row r="596">
      <c r="A596" s="135"/>
      <c r="B596" s="125"/>
      <c r="C596" s="125"/>
      <c r="D596" s="125"/>
      <c r="E596" s="125"/>
      <c r="F596" s="146"/>
      <c r="G596" s="67"/>
      <c r="H596" s="67"/>
      <c r="I596" s="67"/>
      <c r="J596" s="67"/>
      <c r="K596" s="67"/>
      <c r="L596" s="67"/>
      <c r="M596" s="67"/>
      <c r="N596" s="67"/>
      <c r="O596" s="67"/>
      <c r="P596" s="67"/>
      <c r="Q596" s="67"/>
      <c r="R596" s="67"/>
      <c r="S596" s="67"/>
      <c r="T596" s="67"/>
      <c r="U596" s="67"/>
      <c r="V596" s="67"/>
      <c r="W596" s="67"/>
      <c r="X596" s="67"/>
      <c r="Y596" s="67"/>
      <c r="Z596" s="67"/>
    </row>
    <row r="597">
      <c r="A597" s="136"/>
      <c r="B597" s="131"/>
      <c r="C597" s="131"/>
      <c r="D597" s="131"/>
      <c r="E597" s="131"/>
      <c r="F597" s="144"/>
      <c r="G597" s="67"/>
      <c r="H597" s="67"/>
      <c r="I597" s="67"/>
      <c r="J597" s="67"/>
      <c r="K597" s="67"/>
      <c r="L597" s="67"/>
      <c r="M597" s="67"/>
      <c r="N597" s="67"/>
      <c r="O597" s="67"/>
      <c r="P597" s="67"/>
      <c r="Q597" s="67"/>
      <c r="R597" s="67"/>
      <c r="S597" s="67"/>
      <c r="T597" s="67"/>
      <c r="U597" s="67"/>
      <c r="V597" s="67"/>
      <c r="W597" s="67"/>
      <c r="X597" s="67"/>
      <c r="Y597" s="67"/>
      <c r="Z597" s="67"/>
    </row>
    <row r="598">
      <c r="A598" s="135"/>
      <c r="B598" s="125"/>
      <c r="C598" s="125"/>
      <c r="D598" s="125"/>
      <c r="E598" s="125"/>
      <c r="F598" s="146"/>
      <c r="G598" s="67"/>
      <c r="H598" s="67"/>
      <c r="I598" s="67"/>
      <c r="J598" s="67"/>
      <c r="K598" s="67"/>
      <c r="L598" s="67"/>
      <c r="M598" s="67"/>
      <c r="N598" s="67"/>
      <c r="O598" s="67"/>
      <c r="P598" s="67"/>
      <c r="Q598" s="67"/>
      <c r="R598" s="67"/>
      <c r="S598" s="67"/>
      <c r="T598" s="67"/>
      <c r="U598" s="67"/>
      <c r="V598" s="67"/>
      <c r="W598" s="67"/>
      <c r="X598" s="67"/>
      <c r="Y598" s="67"/>
      <c r="Z598" s="67"/>
    </row>
    <row r="599">
      <c r="A599" s="136"/>
      <c r="B599" s="131"/>
      <c r="C599" s="131"/>
      <c r="D599" s="131"/>
      <c r="E599" s="131"/>
      <c r="F599" s="144"/>
      <c r="G599" s="67"/>
      <c r="H599" s="67"/>
      <c r="I599" s="67"/>
      <c r="J599" s="67"/>
      <c r="K599" s="67"/>
      <c r="L599" s="67"/>
      <c r="M599" s="67"/>
      <c r="N599" s="67"/>
      <c r="O599" s="67"/>
      <c r="P599" s="67"/>
      <c r="Q599" s="67"/>
      <c r="R599" s="67"/>
      <c r="S599" s="67"/>
      <c r="T599" s="67"/>
      <c r="U599" s="67"/>
      <c r="V599" s="67"/>
      <c r="W599" s="67"/>
      <c r="X599" s="67"/>
      <c r="Y599" s="67"/>
      <c r="Z599" s="67"/>
    </row>
    <row r="600">
      <c r="A600" s="135"/>
      <c r="B600" s="125"/>
      <c r="C600" s="125"/>
      <c r="D600" s="125"/>
      <c r="E600" s="125"/>
      <c r="F600" s="146"/>
      <c r="G600" s="67"/>
      <c r="H600" s="67"/>
      <c r="I600" s="67"/>
      <c r="J600" s="67"/>
      <c r="K600" s="67"/>
      <c r="L600" s="67"/>
      <c r="M600" s="67"/>
      <c r="N600" s="67"/>
      <c r="O600" s="67"/>
      <c r="P600" s="67"/>
      <c r="Q600" s="67"/>
      <c r="R600" s="67"/>
      <c r="S600" s="67"/>
      <c r="T600" s="67"/>
      <c r="U600" s="67"/>
      <c r="V600" s="67"/>
      <c r="W600" s="67"/>
      <c r="X600" s="67"/>
      <c r="Y600" s="67"/>
      <c r="Z600" s="67"/>
    </row>
    <row r="601">
      <c r="A601" s="136"/>
      <c r="B601" s="131"/>
      <c r="C601" s="131"/>
      <c r="D601" s="131"/>
      <c r="E601" s="131"/>
      <c r="F601" s="144"/>
      <c r="G601" s="67"/>
      <c r="H601" s="67"/>
      <c r="I601" s="67"/>
      <c r="J601" s="67"/>
      <c r="K601" s="67"/>
      <c r="L601" s="67"/>
      <c r="M601" s="67"/>
      <c r="N601" s="67"/>
      <c r="O601" s="67"/>
      <c r="P601" s="67"/>
      <c r="Q601" s="67"/>
      <c r="R601" s="67"/>
      <c r="S601" s="67"/>
      <c r="T601" s="67"/>
      <c r="U601" s="67"/>
      <c r="V601" s="67"/>
      <c r="W601" s="67"/>
      <c r="X601" s="67"/>
      <c r="Y601" s="67"/>
      <c r="Z601" s="67"/>
    </row>
    <row r="602">
      <c r="A602" s="135"/>
      <c r="B602" s="125"/>
      <c r="C602" s="125"/>
      <c r="D602" s="125"/>
      <c r="E602" s="125"/>
      <c r="F602" s="146"/>
      <c r="G602" s="67"/>
      <c r="H602" s="67"/>
      <c r="I602" s="67"/>
      <c r="J602" s="67"/>
      <c r="K602" s="67"/>
      <c r="L602" s="67"/>
      <c r="M602" s="67"/>
      <c r="N602" s="67"/>
      <c r="O602" s="67"/>
      <c r="P602" s="67"/>
      <c r="Q602" s="67"/>
      <c r="R602" s="67"/>
      <c r="S602" s="67"/>
      <c r="T602" s="67"/>
      <c r="U602" s="67"/>
      <c r="V602" s="67"/>
      <c r="W602" s="67"/>
      <c r="X602" s="67"/>
      <c r="Y602" s="67"/>
      <c r="Z602" s="67"/>
    </row>
    <row r="603">
      <c r="A603" s="136"/>
      <c r="B603" s="131"/>
      <c r="C603" s="131"/>
      <c r="D603" s="131"/>
      <c r="E603" s="131"/>
      <c r="F603" s="144"/>
      <c r="G603" s="67"/>
      <c r="H603" s="67"/>
      <c r="I603" s="67"/>
      <c r="J603" s="67"/>
      <c r="K603" s="67"/>
      <c r="L603" s="67"/>
      <c r="M603" s="67"/>
      <c r="N603" s="67"/>
      <c r="O603" s="67"/>
      <c r="P603" s="67"/>
      <c r="Q603" s="67"/>
      <c r="R603" s="67"/>
      <c r="S603" s="67"/>
      <c r="T603" s="67"/>
      <c r="U603" s="67"/>
      <c r="V603" s="67"/>
      <c r="W603" s="67"/>
      <c r="X603" s="67"/>
      <c r="Y603" s="67"/>
      <c r="Z603" s="67"/>
    </row>
    <row r="604">
      <c r="A604" s="135"/>
      <c r="B604" s="125"/>
      <c r="C604" s="125"/>
      <c r="D604" s="125"/>
      <c r="E604" s="125"/>
      <c r="F604" s="146"/>
      <c r="G604" s="67"/>
      <c r="H604" s="67"/>
      <c r="I604" s="67"/>
      <c r="J604" s="67"/>
      <c r="K604" s="67"/>
      <c r="L604" s="67"/>
      <c r="M604" s="67"/>
      <c r="N604" s="67"/>
      <c r="O604" s="67"/>
      <c r="P604" s="67"/>
      <c r="Q604" s="67"/>
      <c r="R604" s="67"/>
      <c r="S604" s="67"/>
      <c r="T604" s="67"/>
      <c r="U604" s="67"/>
      <c r="V604" s="67"/>
      <c r="W604" s="67"/>
      <c r="X604" s="67"/>
      <c r="Y604" s="67"/>
      <c r="Z604" s="67"/>
    </row>
    <row r="605">
      <c r="A605" s="136"/>
      <c r="B605" s="131"/>
      <c r="C605" s="131"/>
      <c r="D605" s="131"/>
      <c r="E605" s="131"/>
      <c r="F605" s="144"/>
      <c r="G605" s="67"/>
      <c r="H605" s="67"/>
      <c r="I605" s="67"/>
      <c r="J605" s="67"/>
      <c r="K605" s="67"/>
      <c r="L605" s="67"/>
      <c r="M605" s="67"/>
      <c r="N605" s="67"/>
      <c r="O605" s="67"/>
      <c r="P605" s="67"/>
      <c r="Q605" s="67"/>
      <c r="R605" s="67"/>
      <c r="S605" s="67"/>
      <c r="T605" s="67"/>
      <c r="U605" s="67"/>
      <c r="V605" s="67"/>
      <c r="W605" s="67"/>
      <c r="X605" s="67"/>
      <c r="Y605" s="67"/>
      <c r="Z605" s="67"/>
    </row>
    <row r="606">
      <c r="A606" s="135"/>
      <c r="B606" s="125"/>
      <c r="C606" s="125"/>
      <c r="D606" s="125"/>
      <c r="E606" s="125"/>
      <c r="F606" s="146"/>
      <c r="G606" s="67"/>
      <c r="H606" s="67"/>
      <c r="I606" s="67"/>
      <c r="J606" s="67"/>
      <c r="K606" s="67"/>
      <c r="L606" s="67"/>
      <c r="M606" s="67"/>
      <c r="N606" s="67"/>
      <c r="O606" s="67"/>
      <c r="P606" s="67"/>
      <c r="Q606" s="67"/>
      <c r="R606" s="67"/>
      <c r="S606" s="67"/>
      <c r="T606" s="67"/>
      <c r="U606" s="67"/>
      <c r="V606" s="67"/>
      <c r="W606" s="67"/>
      <c r="X606" s="67"/>
      <c r="Y606" s="67"/>
      <c r="Z606" s="67"/>
    </row>
    <row r="607">
      <c r="A607" s="136"/>
      <c r="B607" s="131"/>
      <c r="C607" s="131"/>
      <c r="D607" s="131"/>
      <c r="E607" s="131"/>
      <c r="F607" s="144"/>
      <c r="G607" s="67"/>
      <c r="H607" s="67"/>
      <c r="I607" s="67"/>
      <c r="J607" s="67"/>
      <c r="K607" s="67"/>
      <c r="L607" s="67"/>
      <c r="M607" s="67"/>
      <c r="N607" s="67"/>
      <c r="O607" s="67"/>
      <c r="P607" s="67"/>
      <c r="Q607" s="67"/>
      <c r="R607" s="67"/>
      <c r="S607" s="67"/>
      <c r="T607" s="67"/>
      <c r="U607" s="67"/>
      <c r="V607" s="67"/>
      <c r="W607" s="67"/>
      <c r="X607" s="67"/>
      <c r="Y607" s="67"/>
      <c r="Z607" s="67"/>
    </row>
    <row r="608">
      <c r="A608" s="135"/>
      <c r="B608" s="125"/>
      <c r="C608" s="125"/>
      <c r="D608" s="125"/>
      <c r="E608" s="125"/>
      <c r="F608" s="146"/>
      <c r="G608" s="67"/>
      <c r="H608" s="67"/>
      <c r="I608" s="67"/>
      <c r="J608" s="67"/>
      <c r="K608" s="67"/>
      <c r="L608" s="67"/>
      <c r="M608" s="67"/>
      <c r="N608" s="67"/>
      <c r="O608" s="67"/>
      <c r="P608" s="67"/>
      <c r="Q608" s="67"/>
      <c r="R608" s="67"/>
      <c r="S608" s="67"/>
      <c r="T608" s="67"/>
      <c r="U608" s="67"/>
      <c r="V608" s="67"/>
      <c r="W608" s="67"/>
      <c r="X608" s="67"/>
      <c r="Y608" s="67"/>
      <c r="Z608" s="67"/>
    </row>
    <row r="609">
      <c r="A609" s="136"/>
      <c r="B609" s="131"/>
      <c r="C609" s="131"/>
      <c r="D609" s="131"/>
      <c r="E609" s="131"/>
      <c r="F609" s="144"/>
      <c r="G609" s="67"/>
      <c r="H609" s="67"/>
      <c r="I609" s="67"/>
      <c r="J609" s="67"/>
      <c r="K609" s="67"/>
      <c r="L609" s="67"/>
      <c r="M609" s="67"/>
      <c r="N609" s="67"/>
      <c r="O609" s="67"/>
      <c r="P609" s="67"/>
      <c r="Q609" s="67"/>
      <c r="R609" s="67"/>
      <c r="S609" s="67"/>
      <c r="T609" s="67"/>
      <c r="U609" s="67"/>
      <c r="V609" s="67"/>
      <c r="W609" s="67"/>
      <c r="X609" s="67"/>
      <c r="Y609" s="67"/>
      <c r="Z609" s="67"/>
    </row>
    <row r="610">
      <c r="A610" s="135"/>
      <c r="B610" s="125"/>
      <c r="C610" s="125"/>
      <c r="D610" s="125"/>
      <c r="E610" s="125"/>
      <c r="F610" s="146"/>
      <c r="G610" s="67"/>
      <c r="H610" s="67"/>
      <c r="I610" s="67"/>
      <c r="J610" s="67"/>
      <c r="K610" s="67"/>
      <c r="L610" s="67"/>
      <c r="M610" s="67"/>
      <c r="N610" s="67"/>
      <c r="O610" s="67"/>
      <c r="P610" s="67"/>
      <c r="Q610" s="67"/>
      <c r="R610" s="67"/>
      <c r="S610" s="67"/>
      <c r="T610" s="67"/>
      <c r="U610" s="67"/>
      <c r="V610" s="67"/>
      <c r="W610" s="67"/>
      <c r="X610" s="67"/>
      <c r="Y610" s="67"/>
      <c r="Z610" s="67"/>
    </row>
    <row r="611">
      <c r="A611" s="136"/>
      <c r="B611" s="131"/>
      <c r="C611" s="131"/>
      <c r="D611" s="131"/>
      <c r="E611" s="131"/>
      <c r="F611" s="144"/>
      <c r="G611" s="67"/>
      <c r="H611" s="67"/>
      <c r="I611" s="67"/>
      <c r="J611" s="67"/>
      <c r="K611" s="67"/>
      <c r="L611" s="67"/>
      <c r="M611" s="67"/>
      <c r="N611" s="67"/>
      <c r="O611" s="67"/>
      <c r="P611" s="67"/>
      <c r="Q611" s="67"/>
      <c r="R611" s="67"/>
      <c r="S611" s="67"/>
      <c r="T611" s="67"/>
      <c r="U611" s="67"/>
      <c r="V611" s="67"/>
      <c r="W611" s="67"/>
      <c r="X611" s="67"/>
      <c r="Y611" s="67"/>
      <c r="Z611" s="67"/>
    </row>
    <row r="612">
      <c r="A612" s="135"/>
      <c r="B612" s="125"/>
      <c r="C612" s="125"/>
      <c r="D612" s="125"/>
      <c r="E612" s="125"/>
      <c r="F612" s="146"/>
      <c r="G612" s="67"/>
      <c r="H612" s="67"/>
      <c r="I612" s="67"/>
      <c r="J612" s="67"/>
      <c r="K612" s="67"/>
      <c r="L612" s="67"/>
      <c r="M612" s="67"/>
      <c r="N612" s="67"/>
      <c r="O612" s="67"/>
      <c r="P612" s="67"/>
      <c r="Q612" s="67"/>
      <c r="R612" s="67"/>
      <c r="S612" s="67"/>
      <c r="T612" s="67"/>
      <c r="U612" s="67"/>
      <c r="V612" s="67"/>
      <c r="W612" s="67"/>
      <c r="X612" s="67"/>
      <c r="Y612" s="67"/>
      <c r="Z612" s="67"/>
    </row>
    <row r="613">
      <c r="A613" s="136"/>
      <c r="B613" s="131"/>
      <c r="C613" s="131"/>
      <c r="D613" s="131"/>
      <c r="E613" s="131"/>
      <c r="F613" s="144"/>
      <c r="G613" s="67"/>
      <c r="H613" s="67"/>
      <c r="I613" s="67"/>
      <c r="J613" s="67"/>
      <c r="K613" s="67"/>
      <c r="L613" s="67"/>
      <c r="M613" s="67"/>
      <c r="N613" s="67"/>
      <c r="O613" s="67"/>
      <c r="P613" s="67"/>
      <c r="Q613" s="67"/>
      <c r="R613" s="67"/>
      <c r="S613" s="67"/>
      <c r="T613" s="67"/>
      <c r="U613" s="67"/>
      <c r="V613" s="67"/>
      <c r="W613" s="67"/>
      <c r="X613" s="67"/>
      <c r="Y613" s="67"/>
      <c r="Z613" s="67"/>
    </row>
    <row r="614">
      <c r="A614" s="135"/>
      <c r="B614" s="125"/>
      <c r="C614" s="125"/>
      <c r="D614" s="125"/>
      <c r="E614" s="125"/>
      <c r="F614" s="146"/>
      <c r="G614" s="67"/>
      <c r="H614" s="67"/>
      <c r="I614" s="67"/>
      <c r="J614" s="67"/>
      <c r="K614" s="67"/>
      <c r="L614" s="67"/>
      <c r="M614" s="67"/>
      <c r="N614" s="67"/>
      <c r="O614" s="67"/>
      <c r="P614" s="67"/>
      <c r="Q614" s="67"/>
      <c r="R614" s="67"/>
      <c r="S614" s="67"/>
      <c r="T614" s="67"/>
      <c r="U614" s="67"/>
      <c r="V614" s="67"/>
      <c r="W614" s="67"/>
      <c r="X614" s="67"/>
      <c r="Y614" s="67"/>
      <c r="Z614" s="67"/>
    </row>
    <row r="615">
      <c r="A615" s="136"/>
      <c r="B615" s="131"/>
      <c r="C615" s="131"/>
      <c r="D615" s="131"/>
      <c r="E615" s="131"/>
      <c r="F615" s="144"/>
      <c r="G615" s="67"/>
      <c r="H615" s="67"/>
      <c r="I615" s="67"/>
      <c r="J615" s="67"/>
      <c r="K615" s="67"/>
      <c r="L615" s="67"/>
      <c r="M615" s="67"/>
      <c r="N615" s="67"/>
      <c r="O615" s="67"/>
      <c r="P615" s="67"/>
      <c r="Q615" s="67"/>
      <c r="R615" s="67"/>
      <c r="S615" s="67"/>
      <c r="T615" s="67"/>
      <c r="U615" s="67"/>
      <c r="V615" s="67"/>
      <c r="W615" s="67"/>
      <c r="X615" s="67"/>
      <c r="Y615" s="67"/>
      <c r="Z615" s="67"/>
    </row>
    <row r="616">
      <c r="A616" s="135"/>
      <c r="B616" s="125"/>
      <c r="C616" s="125"/>
      <c r="D616" s="125"/>
      <c r="E616" s="125"/>
      <c r="F616" s="146"/>
      <c r="G616" s="67"/>
      <c r="H616" s="67"/>
      <c r="I616" s="67"/>
      <c r="J616" s="67"/>
      <c r="K616" s="67"/>
      <c r="L616" s="67"/>
      <c r="M616" s="67"/>
      <c r="N616" s="67"/>
      <c r="O616" s="67"/>
      <c r="P616" s="67"/>
      <c r="Q616" s="67"/>
      <c r="R616" s="67"/>
      <c r="S616" s="67"/>
      <c r="T616" s="67"/>
      <c r="U616" s="67"/>
      <c r="V616" s="67"/>
      <c r="W616" s="67"/>
      <c r="X616" s="67"/>
      <c r="Y616" s="67"/>
      <c r="Z616" s="67"/>
    </row>
    <row r="617">
      <c r="A617" s="136"/>
      <c r="B617" s="131"/>
      <c r="C617" s="131"/>
      <c r="D617" s="131"/>
      <c r="E617" s="131"/>
      <c r="F617" s="144"/>
      <c r="G617" s="67"/>
      <c r="H617" s="67"/>
      <c r="I617" s="67"/>
      <c r="J617" s="67"/>
      <c r="K617" s="67"/>
      <c r="L617" s="67"/>
      <c r="M617" s="67"/>
      <c r="N617" s="67"/>
      <c r="O617" s="67"/>
      <c r="P617" s="67"/>
      <c r="Q617" s="67"/>
      <c r="R617" s="67"/>
      <c r="S617" s="67"/>
      <c r="T617" s="67"/>
      <c r="U617" s="67"/>
      <c r="V617" s="67"/>
      <c r="W617" s="67"/>
      <c r="X617" s="67"/>
      <c r="Y617" s="67"/>
      <c r="Z617" s="67"/>
    </row>
    <row r="618">
      <c r="A618" s="135"/>
      <c r="B618" s="125"/>
      <c r="C618" s="125"/>
      <c r="D618" s="125"/>
      <c r="E618" s="125"/>
      <c r="F618" s="146"/>
      <c r="G618" s="67"/>
      <c r="H618" s="67"/>
      <c r="I618" s="67"/>
      <c r="J618" s="67"/>
      <c r="K618" s="67"/>
      <c r="L618" s="67"/>
      <c r="M618" s="67"/>
      <c r="N618" s="67"/>
      <c r="O618" s="67"/>
      <c r="P618" s="67"/>
      <c r="Q618" s="67"/>
      <c r="R618" s="67"/>
      <c r="S618" s="67"/>
      <c r="T618" s="67"/>
      <c r="U618" s="67"/>
      <c r="V618" s="67"/>
      <c r="W618" s="67"/>
      <c r="X618" s="67"/>
      <c r="Y618" s="67"/>
      <c r="Z618" s="67"/>
    </row>
    <row r="619">
      <c r="A619" s="136"/>
      <c r="B619" s="131"/>
      <c r="C619" s="131"/>
      <c r="D619" s="131"/>
      <c r="E619" s="131"/>
      <c r="F619" s="144"/>
      <c r="G619" s="67"/>
      <c r="H619" s="67"/>
      <c r="I619" s="67"/>
      <c r="J619" s="67"/>
      <c r="K619" s="67"/>
      <c r="L619" s="67"/>
      <c r="M619" s="67"/>
      <c r="N619" s="67"/>
      <c r="O619" s="67"/>
      <c r="P619" s="67"/>
      <c r="Q619" s="67"/>
      <c r="R619" s="67"/>
      <c r="S619" s="67"/>
      <c r="T619" s="67"/>
      <c r="U619" s="67"/>
      <c r="V619" s="67"/>
      <c r="W619" s="67"/>
      <c r="X619" s="67"/>
      <c r="Y619" s="67"/>
      <c r="Z619" s="67"/>
    </row>
    <row r="620">
      <c r="A620" s="135"/>
      <c r="B620" s="125"/>
      <c r="C620" s="125"/>
      <c r="D620" s="125"/>
      <c r="E620" s="125"/>
      <c r="F620" s="146"/>
      <c r="G620" s="67"/>
      <c r="H620" s="67"/>
      <c r="I620" s="67"/>
      <c r="J620" s="67"/>
      <c r="K620" s="67"/>
      <c r="L620" s="67"/>
      <c r="M620" s="67"/>
      <c r="N620" s="67"/>
      <c r="O620" s="67"/>
      <c r="P620" s="67"/>
      <c r="Q620" s="67"/>
      <c r="R620" s="67"/>
      <c r="S620" s="67"/>
      <c r="T620" s="67"/>
      <c r="U620" s="67"/>
      <c r="V620" s="67"/>
      <c r="W620" s="67"/>
      <c r="X620" s="67"/>
      <c r="Y620" s="67"/>
      <c r="Z620" s="67"/>
    </row>
    <row r="621">
      <c r="A621" s="136"/>
      <c r="B621" s="131"/>
      <c r="C621" s="131"/>
      <c r="D621" s="131"/>
      <c r="E621" s="131"/>
      <c r="F621" s="144"/>
      <c r="G621" s="67"/>
      <c r="H621" s="67"/>
      <c r="I621" s="67"/>
      <c r="J621" s="67"/>
      <c r="K621" s="67"/>
      <c r="L621" s="67"/>
      <c r="M621" s="67"/>
      <c r="N621" s="67"/>
      <c r="O621" s="67"/>
      <c r="P621" s="67"/>
      <c r="Q621" s="67"/>
      <c r="R621" s="67"/>
      <c r="S621" s="67"/>
      <c r="T621" s="67"/>
      <c r="U621" s="67"/>
      <c r="V621" s="67"/>
      <c r="W621" s="67"/>
      <c r="X621" s="67"/>
      <c r="Y621" s="67"/>
      <c r="Z621" s="67"/>
    </row>
    <row r="622">
      <c r="A622" s="135"/>
      <c r="B622" s="125"/>
      <c r="C622" s="125"/>
      <c r="D622" s="125"/>
      <c r="E622" s="125"/>
      <c r="F622" s="146"/>
      <c r="G622" s="67"/>
      <c r="H622" s="67"/>
      <c r="I622" s="67"/>
      <c r="J622" s="67"/>
      <c r="K622" s="67"/>
      <c r="L622" s="67"/>
      <c r="M622" s="67"/>
      <c r="N622" s="67"/>
      <c r="O622" s="67"/>
      <c r="P622" s="67"/>
      <c r="Q622" s="67"/>
      <c r="R622" s="67"/>
      <c r="S622" s="67"/>
      <c r="T622" s="67"/>
      <c r="U622" s="67"/>
      <c r="V622" s="67"/>
      <c r="W622" s="67"/>
      <c r="X622" s="67"/>
      <c r="Y622" s="67"/>
      <c r="Z622" s="67"/>
    </row>
    <row r="623">
      <c r="A623" s="136"/>
      <c r="B623" s="131"/>
      <c r="C623" s="131"/>
      <c r="D623" s="131"/>
      <c r="E623" s="131"/>
      <c r="F623" s="144"/>
      <c r="G623" s="67"/>
      <c r="H623" s="67"/>
      <c r="I623" s="67"/>
      <c r="J623" s="67"/>
      <c r="K623" s="67"/>
      <c r="L623" s="67"/>
      <c r="M623" s="67"/>
      <c r="N623" s="67"/>
      <c r="O623" s="67"/>
      <c r="P623" s="67"/>
      <c r="Q623" s="67"/>
      <c r="R623" s="67"/>
      <c r="S623" s="67"/>
      <c r="T623" s="67"/>
      <c r="U623" s="67"/>
      <c r="V623" s="67"/>
      <c r="W623" s="67"/>
      <c r="X623" s="67"/>
      <c r="Y623" s="67"/>
      <c r="Z623" s="67"/>
    </row>
    <row r="624">
      <c r="A624" s="135"/>
      <c r="B624" s="125"/>
      <c r="C624" s="125"/>
      <c r="D624" s="125"/>
      <c r="E624" s="125"/>
      <c r="F624" s="146"/>
      <c r="G624" s="67"/>
      <c r="H624" s="67"/>
      <c r="I624" s="67"/>
      <c r="J624" s="67"/>
      <c r="K624" s="67"/>
      <c r="L624" s="67"/>
      <c r="M624" s="67"/>
      <c r="N624" s="67"/>
      <c r="O624" s="67"/>
      <c r="P624" s="67"/>
      <c r="Q624" s="67"/>
      <c r="R624" s="67"/>
      <c r="S624" s="67"/>
      <c r="T624" s="67"/>
      <c r="U624" s="67"/>
      <c r="V624" s="67"/>
      <c r="W624" s="67"/>
      <c r="X624" s="67"/>
      <c r="Y624" s="67"/>
      <c r="Z624" s="67"/>
    </row>
    <row r="625">
      <c r="A625" s="136"/>
      <c r="B625" s="131"/>
      <c r="C625" s="131"/>
      <c r="D625" s="131"/>
      <c r="E625" s="131"/>
      <c r="F625" s="144"/>
      <c r="G625" s="67"/>
      <c r="H625" s="67"/>
      <c r="I625" s="67"/>
      <c r="J625" s="67"/>
      <c r="K625" s="67"/>
      <c r="L625" s="67"/>
      <c r="M625" s="67"/>
      <c r="N625" s="67"/>
      <c r="O625" s="67"/>
      <c r="P625" s="67"/>
      <c r="Q625" s="67"/>
      <c r="R625" s="67"/>
      <c r="S625" s="67"/>
      <c r="T625" s="67"/>
      <c r="U625" s="67"/>
      <c r="V625" s="67"/>
      <c r="W625" s="67"/>
      <c r="X625" s="67"/>
      <c r="Y625" s="67"/>
      <c r="Z625" s="67"/>
    </row>
    <row r="626">
      <c r="A626" s="135"/>
      <c r="B626" s="125"/>
      <c r="C626" s="125"/>
      <c r="D626" s="125"/>
      <c r="E626" s="125"/>
      <c r="F626" s="146"/>
      <c r="G626" s="67"/>
      <c r="H626" s="67"/>
      <c r="I626" s="67"/>
      <c r="J626" s="67"/>
      <c r="K626" s="67"/>
      <c r="L626" s="67"/>
      <c r="M626" s="67"/>
      <c r="N626" s="67"/>
      <c r="O626" s="67"/>
      <c r="P626" s="67"/>
      <c r="Q626" s="67"/>
      <c r="R626" s="67"/>
      <c r="S626" s="67"/>
      <c r="T626" s="67"/>
      <c r="U626" s="67"/>
      <c r="V626" s="67"/>
      <c r="W626" s="67"/>
      <c r="X626" s="67"/>
      <c r="Y626" s="67"/>
      <c r="Z626" s="67"/>
    </row>
    <row r="627">
      <c r="A627" s="136"/>
      <c r="B627" s="131"/>
      <c r="C627" s="131"/>
      <c r="D627" s="131"/>
      <c r="E627" s="131"/>
      <c r="F627" s="144"/>
      <c r="G627" s="67"/>
      <c r="H627" s="67"/>
      <c r="I627" s="67"/>
      <c r="J627" s="67"/>
      <c r="K627" s="67"/>
      <c r="L627" s="67"/>
      <c r="M627" s="67"/>
      <c r="N627" s="67"/>
      <c r="O627" s="67"/>
      <c r="P627" s="67"/>
      <c r="Q627" s="67"/>
      <c r="R627" s="67"/>
      <c r="S627" s="67"/>
      <c r="T627" s="67"/>
      <c r="U627" s="67"/>
      <c r="V627" s="67"/>
      <c r="W627" s="67"/>
      <c r="X627" s="67"/>
      <c r="Y627" s="67"/>
      <c r="Z627" s="67"/>
    </row>
    <row r="628">
      <c r="A628" s="135"/>
      <c r="B628" s="125"/>
      <c r="C628" s="125"/>
      <c r="D628" s="125"/>
      <c r="E628" s="125"/>
      <c r="F628" s="146"/>
      <c r="G628" s="67"/>
      <c r="H628" s="67"/>
      <c r="I628" s="67"/>
      <c r="J628" s="67"/>
      <c r="K628" s="67"/>
      <c r="L628" s="67"/>
      <c r="M628" s="67"/>
      <c r="N628" s="67"/>
      <c r="O628" s="67"/>
      <c r="P628" s="67"/>
      <c r="Q628" s="67"/>
      <c r="R628" s="67"/>
      <c r="S628" s="67"/>
      <c r="T628" s="67"/>
      <c r="U628" s="67"/>
      <c r="V628" s="67"/>
      <c r="W628" s="67"/>
      <c r="X628" s="67"/>
      <c r="Y628" s="67"/>
      <c r="Z628" s="67"/>
    </row>
    <row r="629">
      <c r="A629" s="136"/>
      <c r="B629" s="131"/>
      <c r="C629" s="131"/>
      <c r="D629" s="131"/>
      <c r="E629" s="131"/>
      <c r="F629" s="144"/>
      <c r="G629" s="67"/>
      <c r="H629" s="67"/>
      <c r="I629" s="67"/>
      <c r="J629" s="67"/>
      <c r="K629" s="67"/>
      <c r="L629" s="67"/>
      <c r="M629" s="67"/>
      <c r="N629" s="67"/>
      <c r="O629" s="67"/>
      <c r="P629" s="67"/>
      <c r="Q629" s="67"/>
      <c r="R629" s="67"/>
      <c r="S629" s="67"/>
      <c r="T629" s="67"/>
      <c r="U629" s="67"/>
      <c r="V629" s="67"/>
      <c r="W629" s="67"/>
      <c r="X629" s="67"/>
      <c r="Y629" s="67"/>
      <c r="Z629" s="67"/>
    </row>
    <row r="630">
      <c r="A630" s="135"/>
      <c r="B630" s="125"/>
      <c r="C630" s="125"/>
      <c r="D630" s="125"/>
      <c r="E630" s="125"/>
      <c r="F630" s="146"/>
      <c r="G630" s="67"/>
      <c r="H630" s="67"/>
      <c r="I630" s="67"/>
      <c r="J630" s="67"/>
      <c r="K630" s="67"/>
      <c r="L630" s="67"/>
      <c r="M630" s="67"/>
      <c r="N630" s="67"/>
      <c r="O630" s="67"/>
      <c r="P630" s="67"/>
      <c r="Q630" s="67"/>
      <c r="R630" s="67"/>
      <c r="S630" s="67"/>
      <c r="T630" s="67"/>
      <c r="U630" s="67"/>
      <c r="V630" s="67"/>
      <c r="W630" s="67"/>
      <c r="X630" s="67"/>
      <c r="Y630" s="67"/>
      <c r="Z630" s="67"/>
    </row>
    <row r="631">
      <c r="A631" s="136"/>
      <c r="B631" s="131"/>
      <c r="C631" s="131"/>
      <c r="D631" s="131"/>
      <c r="E631" s="131"/>
      <c r="F631" s="144"/>
      <c r="G631" s="67"/>
      <c r="H631" s="67"/>
      <c r="I631" s="67"/>
      <c r="J631" s="67"/>
      <c r="K631" s="67"/>
      <c r="L631" s="67"/>
      <c r="M631" s="67"/>
      <c r="N631" s="67"/>
      <c r="O631" s="67"/>
      <c r="P631" s="67"/>
      <c r="Q631" s="67"/>
      <c r="R631" s="67"/>
      <c r="S631" s="67"/>
      <c r="T631" s="67"/>
      <c r="U631" s="67"/>
      <c r="V631" s="67"/>
      <c r="W631" s="67"/>
      <c r="X631" s="67"/>
      <c r="Y631" s="67"/>
      <c r="Z631" s="67"/>
    </row>
    <row r="632">
      <c r="A632" s="135"/>
      <c r="B632" s="125"/>
      <c r="C632" s="125"/>
      <c r="D632" s="125"/>
      <c r="E632" s="125"/>
      <c r="F632" s="146"/>
      <c r="G632" s="67"/>
      <c r="H632" s="67"/>
      <c r="I632" s="67"/>
      <c r="J632" s="67"/>
      <c r="K632" s="67"/>
      <c r="L632" s="67"/>
      <c r="M632" s="67"/>
      <c r="N632" s="67"/>
      <c r="O632" s="67"/>
      <c r="P632" s="67"/>
      <c r="Q632" s="67"/>
      <c r="R632" s="67"/>
      <c r="S632" s="67"/>
      <c r="T632" s="67"/>
      <c r="U632" s="67"/>
      <c r="V632" s="67"/>
      <c r="W632" s="67"/>
      <c r="X632" s="67"/>
      <c r="Y632" s="67"/>
      <c r="Z632" s="67"/>
    </row>
    <row r="633">
      <c r="A633" s="136"/>
      <c r="B633" s="131"/>
      <c r="C633" s="131"/>
      <c r="D633" s="131"/>
      <c r="E633" s="131"/>
      <c r="F633" s="144"/>
      <c r="G633" s="67"/>
      <c r="H633" s="67"/>
      <c r="I633" s="67"/>
      <c r="J633" s="67"/>
      <c r="K633" s="67"/>
      <c r="L633" s="67"/>
      <c r="M633" s="67"/>
      <c r="N633" s="67"/>
      <c r="O633" s="67"/>
      <c r="P633" s="67"/>
      <c r="Q633" s="67"/>
      <c r="R633" s="67"/>
      <c r="S633" s="67"/>
      <c r="T633" s="67"/>
      <c r="U633" s="67"/>
      <c r="V633" s="67"/>
      <c r="W633" s="67"/>
      <c r="X633" s="67"/>
      <c r="Y633" s="67"/>
      <c r="Z633" s="67"/>
    </row>
    <row r="634">
      <c r="A634" s="135"/>
      <c r="B634" s="125"/>
      <c r="C634" s="125"/>
      <c r="D634" s="125"/>
      <c r="E634" s="125"/>
      <c r="F634" s="146"/>
      <c r="G634" s="67"/>
      <c r="H634" s="67"/>
      <c r="I634" s="67"/>
      <c r="J634" s="67"/>
      <c r="K634" s="67"/>
      <c r="L634" s="67"/>
      <c r="M634" s="67"/>
      <c r="N634" s="67"/>
      <c r="O634" s="67"/>
      <c r="P634" s="67"/>
      <c r="Q634" s="67"/>
      <c r="R634" s="67"/>
      <c r="S634" s="67"/>
      <c r="T634" s="67"/>
      <c r="U634" s="67"/>
      <c r="V634" s="67"/>
      <c r="W634" s="67"/>
      <c r="X634" s="67"/>
      <c r="Y634" s="67"/>
      <c r="Z634" s="67"/>
    </row>
    <row r="635">
      <c r="A635" s="136"/>
      <c r="B635" s="131"/>
      <c r="C635" s="131"/>
      <c r="D635" s="131"/>
      <c r="E635" s="131"/>
      <c r="F635" s="144"/>
      <c r="G635" s="67"/>
      <c r="H635" s="67"/>
      <c r="I635" s="67"/>
      <c r="J635" s="67"/>
      <c r="K635" s="67"/>
      <c r="L635" s="67"/>
      <c r="M635" s="67"/>
      <c r="N635" s="67"/>
      <c r="O635" s="67"/>
      <c r="P635" s="67"/>
      <c r="Q635" s="67"/>
      <c r="R635" s="67"/>
      <c r="S635" s="67"/>
      <c r="T635" s="67"/>
      <c r="U635" s="67"/>
      <c r="V635" s="67"/>
      <c r="W635" s="67"/>
      <c r="X635" s="67"/>
      <c r="Y635" s="67"/>
      <c r="Z635" s="67"/>
    </row>
    <row r="636">
      <c r="A636" s="135"/>
      <c r="B636" s="125"/>
      <c r="C636" s="125"/>
      <c r="D636" s="125"/>
      <c r="E636" s="125"/>
      <c r="F636" s="146"/>
      <c r="G636" s="67"/>
      <c r="H636" s="67"/>
      <c r="I636" s="67"/>
      <c r="J636" s="67"/>
      <c r="K636" s="67"/>
      <c r="L636" s="67"/>
      <c r="M636" s="67"/>
      <c r="N636" s="67"/>
      <c r="O636" s="67"/>
      <c r="P636" s="67"/>
      <c r="Q636" s="67"/>
      <c r="R636" s="67"/>
      <c r="S636" s="67"/>
      <c r="T636" s="67"/>
      <c r="U636" s="67"/>
      <c r="V636" s="67"/>
      <c r="W636" s="67"/>
      <c r="X636" s="67"/>
      <c r="Y636" s="67"/>
      <c r="Z636" s="67"/>
    </row>
    <row r="637">
      <c r="A637" s="136"/>
      <c r="B637" s="131"/>
      <c r="C637" s="131"/>
      <c r="D637" s="131"/>
      <c r="E637" s="131"/>
      <c r="F637" s="144"/>
      <c r="G637" s="67"/>
      <c r="H637" s="67"/>
      <c r="I637" s="67"/>
      <c r="J637" s="67"/>
      <c r="K637" s="67"/>
      <c r="L637" s="67"/>
      <c r="M637" s="67"/>
      <c r="N637" s="67"/>
      <c r="O637" s="67"/>
      <c r="P637" s="67"/>
      <c r="Q637" s="67"/>
      <c r="R637" s="67"/>
      <c r="S637" s="67"/>
      <c r="T637" s="67"/>
      <c r="U637" s="67"/>
      <c r="V637" s="67"/>
      <c r="W637" s="67"/>
      <c r="X637" s="67"/>
      <c r="Y637" s="67"/>
      <c r="Z637" s="67"/>
    </row>
    <row r="638">
      <c r="A638" s="135"/>
      <c r="B638" s="125"/>
      <c r="C638" s="125"/>
      <c r="D638" s="125"/>
      <c r="E638" s="125"/>
      <c r="F638" s="146"/>
      <c r="G638" s="67"/>
      <c r="H638" s="67"/>
      <c r="I638" s="67"/>
      <c r="J638" s="67"/>
      <c r="K638" s="67"/>
      <c r="L638" s="67"/>
      <c r="M638" s="67"/>
      <c r="N638" s="67"/>
      <c r="O638" s="67"/>
      <c r="P638" s="67"/>
      <c r="Q638" s="67"/>
      <c r="R638" s="67"/>
      <c r="S638" s="67"/>
      <c r="T638" s="67"/>
      <c r="U638" s="67"/>
      <c r="V638" s="67"/>
      <c r="W638" s="67"/>
      <c r="X638" s="67"/>
      <c r="Y638" s="67"/>
      <c r="Z638" s="67"/>
    </row>
    <row r="639">
      <c r="A639" s="136"/>
      <c r="B639" s="131"/>
      <c r="C639" s="131"/>
      <c r="D639" s="131"/>
      <c r="E639" s="131"/>
      <c r="F639" s="144"/>
      <c r="G639" s="67"/>
      <c r="H639" s="67"/>
      <c r="I639" s="67"/>
      <c r="J639" s="67"/>
      <c r="K639" s="67"/>
      <c r="L639" s="67"/>
      <c r="M639" s="67"/>
      <c r="N639" s="67"/>
      <c r="O639" s="67"/>
      <c r="P639" s="67"/>
      <c r="Q639" s="67"/>
      <c r="R639" s="67"/>
      <c r="S639" s="67"/>
      <c r="T639" s="67"/>
      <c r="U639" s="67"/>
      <c r="V639" s="67"/>
      <c r="W639" s="67"/>
      <c r="X639" s="67"/>
      <c r="Y639" s="67"/>
      <c r="Z639" s="67"/>
    </row>
    <row r="640">
      <c r="A640" s="135"/>
      <c r="B640" s="125"/>
      <c r="C640" s="125"/>
      <c r="D640" s="125"/>
      <c r="E640" s="125"/>
      <c r="F640" s="146"/>
      <c r="G640" s="67"/>
      <c r="H640" s="67"/>
      <c r="I640" s="67"/>
      <c r="J640" s="67"/>
      <c r="K640" s="67"/>
      <c r="L640" s="67"/>
      <c r="M640" s="67"/>
      <c r="N640" s="67"/>
      <c r="O640" s="67"/>
      <c r="P640" s="67"/>
      <c r="Q640" s="67"/>
      <c r="R640" s="67"/>
      <c r="S640" s="67"/>
      <c r="T640" s="67"/>
      <c r="U640" s="67"/>
      <c r="V640" s="67"/>
      <c r="W640" s="67"/>
      <c r="X640" s="67"/>
      <c r="Y640" s="67"/>
      <c r="Z640" s="67"/>
    </row>
    <row r="641">
      <c r="A641" s="136"/>
      <c r="B641" s="131"/>
      <c r="C641" s="131"/>
      <c r="D641" s="131"/>
      <c r="E641" s="131"/>
      <c r="F641" s="144"/>
      <c r="G641" s="67"/>
      <c r="H641" s="67"/>
      <c r="I641" s="67"/>
      <c r="J641" s="67"/>
      <c r="K641" s="67"/>
      <c r="L641" s="67"/>
      <c r="M641" s="67"/>
      <c r="N641" s="67"/>
      <c r="O641" s="67"/>
      <c r="P641" s="67"/>
      <c r="Q641" s="67"/>
      <c r="R641" s="67"/>
      <c r="S641" s="67"/>
      <c r="T641" s="67"/>
      <c r="U641" s="67"/>
      <c r="V641" s="67"/>
      <c r="W641" s="67"/>
      <c r="X641" s="67"/>
      <c r="Y641" s="67"/>
      <c r="Z641" s="67"/>
    </row>
    <row r="642">
      <c r="A642" s="135"/>
      <c r="B642" s="125"/>
      <c r="C642" s="125"/>
      <c r="D642" s="125"/>
      <c r="E642" s="125"/>
      <c r="F642" s="146"/>
      <c r="G642" s="67"/>
      <c r="H642" s="67"/>
      <c r="I642" s="67"/>
      <c r="J642" s="67"/>
      <c r="K642" s="67"/>
      <c r="L642" s="67"/>
      <c r="M642" s="67"/>
      <c r="N642" s="67"/>
      <c r="O642" s="67"/>
      <c r="P642" s="67"/>
      <c r="Q642" s="67"/>
      <c r="R642" s="67"/>
      <c r="S642" s="67"/>
      <c r="T642" s="67"/>
      <c r="U642" s="67"/>
      <c r="V642" s="67"/>
      <c r="W642" s="67"/>
      <c r="X642" s="67"/>
      <c r="Y642" s="67"/>
      <c r="Z642" s="67"/>
    </row>
    <row r="643">
      <c r="A643" s="136"/>
      <c r="B643" s="131"/>
      <c r="C643" s="131"/>
      <c r="D643" s="131"/>
      <c r="E643" s="131"/>
      <c r="F643" s="144"/>
      <c r="G643" s="67"/>
      <c r="H643" s="67"/>
      <c r="I643" s="67"/>
      <c r="J643" s="67"/>
      <c r="K643" s="67"/>
      <c r="L643" s="67"/>
      <c r="M643" s="67"/>
      <c r="N643" s="67"/>
      <c r="O643" s="67"/>
      <c r="P643" s="67"/>
      <c r="Q643" s="67"/>
      <c r="R643" s="67"/>
      <c r="S643" s="67"/>
      <c r="T643" s="67"/>
      <c r="U643" s="67"/>
      <c r="V643" s="67"/>
      <c r="W643" s="67"/>
      <c r="X643" s="67"/>
      <c r="Y643" s="67"/>
      <c r="Z643" s="67"/>
    </row>
    <row r="644">
      <c r="A644" s="135"/>
      <c r="B644" s="125"/>
      <c r="C644" s="125"/>
      <c r="D644" s="125"/>
      <c r="E644" s="125"/>
      <c r="F644" s="146"/>
      <c r="G644" s="67"/>
      <c r="H644" s="67"/>
      <c r="I644" s="67"/>
      <c r="J644" s="67"/>
      <c r="K644" s="67"/>
      <c r="L644" s="67"/>
      <c r="M644" s="67"/>
      <c r="N644" s="67"/>
      <c r="O644" s="67"/>
      <c r="P644" s="67"/>
      <c r="Q644" s="67"/>
      <c r="R644" s="67"/>
      <c r="S644" s="67"/>
      <c r="T644" s="67"/>
      <c r="U644" s="67"/>
      <c r="V644" s="67"/>
      <c r="W644" s="67"/>
      <c r="X644" s="67"/>
      <c r="Y644" s="67"/>
      <c r="Z644" s="67"/>
    </row>
    <row r="645">
      <c r="A645" s="136"/>
      <c r="B645" s="131"/>
      <c r="C645" s="131"/>
      <c r="D645" s="131"/>
      <c r="E645" s="131"/>
      <c r="F645" s="144"/>
      <c r="G645" s="67"/>
      <c r="H645" s="67"/>
      <c r="I645" s="67"/>
      <c r="J645" s="67"/>
      <c r="K645" s="67"/>
      <c r="L645" s="67"/>
      <c r="M645" s="67"/>
      <c r="N645" s="67"/>
      <c r="O645" s="67"/>
      <c r="P645" s="67"/>
      <c r="Q645" s="67"/>
      <c r="R645" s="67"/>
      <c r="S645" s="67"/>
      <c r="T645" s="67"/>
      <c r="U645" s="67"/>
      <c r="V645" s="67"/>
      <c r="W645" s="67"/>
      <c r="X645" s="67"/>
      <c r="Y645" s="67"/>
      <c r="Z645" s="67"/>
    </row>
    <row r="646">
      <c r="A646" s="135"/>
      <c r="B646" s="125"/>
      <c r="C646" s="125"/>
      <c r="D646" s="125"/>
      <c r="E646" s="125"/>
      <c r="F646" s="146"/>
      <c r="G646" s="67"/>
      <c r="H646" s="67"/>
      <c r="I646" s="67"/>
      <c r="J646" s="67"/>
      <c r="K646" s="67"/>
      <c r="L646" s="67"/>
      <c r="M646" s="67"/>
      <c r="N646" s="67"/>
      <c r="O646" s="67"/>
      <c r="P646" s="67"/>
      <c r="Q646" s="67"/>
      <c r="R646" s="67"/>
      <c r="S646" s="67"/>
      <c r="T646" s="67"/>
      <c r="U646" s="67"/>
      <c r="V646" s="67"/>
      <c r="W646" s="67"/>
      <c r="X646" s="67"/>
      <c r="Y646" s="67"/>
      <c r="Z646" s="67"/>
    </row>
    <row r="647">
      <c r="A647" s="136"/>
      <c r="B647" s="131"/>
      <c r="C647" s="131"/>
      <c r="D647" s="131"/>
      <c r="E647" s="131"/>
      <c r="F647" s="144"/>
      <c r="G647" s="67"/>
      <c r="H647" s="67"/>
      <c r="I647" s="67"/>
      <c r="J647" s="67"/>
      <c r="K647" s="67"/>
      <c r="L647" s="67"/>
      <c r="M647" s="67"/>
      <c r="N647" s="67"/>
      <c r="O647" s="67"/>
      <c r="P647" s="67"/>
      <c r="Q647" s="67"/>
      <c r="R647" s="67"/>
      <c r="S647" s="67"/>
      <c r="T647" s="67"/>
      <c r="U647" s="67"/>
      <c r="V647" s="67"/>
      <c r="W647" s="67"/>
      <c r="X647" s="67"/>
      <c r="Y647" s="67"/>
      <c r="Z647" s="67"/>
    </row>
    <row r="648">
      <c r="A648" s="135"/>
      <c r="B648" s="125"/>
      <c r="C648" s="125"/>
      <c r="D648" s="125"/>
      <c r="E648" s="125"/>
      <c r="F648" s="146"/>
      <c r="G648" s="67"/>
      <c r="H648" s="67"/>
      <c r="I648" s="67"/>
      <c r="J648" s="67"/>
      <c r="K648" s="67"/>
      <c r="L648" s="67"/>
      <c r="M648" s="67"/>
      <c r="N648" s="67"/>
      <c r="O648" s="67"/>
      <c r="P648" s="67"/>
      <c r="Q648" s="67"/>
      <c r="R648" s="67"/>
      <c r="S648" s="67"/>
      <c r="T648" s="67"/>
      <c r="U648" s="67"/>
      <c r="V648" s="67"/>
      <c r="W648" s="67"/>
      <c r="X648" s="67"/>
      <c r="Y648" s="67"/>
      <c r="Z648" s="67"/>
    </row>
    <row r="649">
      <c r="A649" s="136"/>
      <c r="B649" s="131"/>
      <c r="C649" s="131"/>
      <c r="D649" s="131"/>
      <c r="E649" s="131"/>
      <c r="F649" s="144"/>
      <c r="G649" s="67"/>
      <c r="H649" s="67"/>
      <c r="I649" s="67"/>
      <c r="J649" s="67"/>
      <c r="K649" s="67"/>
      <c r="L649" s="67"/>
      <c r="M649" s="67"/>
      <c r="N649" s="67"/>
      <c r="O649" s="67"/>
      <c r="P649" s="67"/>
      <c r="Q649" s="67"/>
      <c r="R649" s="67"/>
      <c r="S649" s="67"/>
      <c r="T649" s="67"/>
      <c r="U649" s="67"/>
      <c r="V649" s="67"/>
      <c r="W649" s="67"/>
      <c r="X649" s="67"/>
      <c r="Y649" s="67"/>
      <c r="Z649" s="67"/>
    </row>
    <row r="650">
      <c r="A650" s="135"/>
      <c r="B650" s="125"/>
      <c r="C650" s="125"/>
      <c r="D650" s="125"/>
      <c r="E650" s="125"/>
      <c r="F650" s="146"/>
      <c r="G650" s="67"/>
      <c r="H650" s="67"/>
      <c r="I650" s="67"/>
      <c r="J650" s="67"/>
      <c r="K650" s="67"/>
      <c r="L650" s="67"/>
      <c r="M650" s="67"/>
      <c r="N650" s="67"/>
      <c r="O650" s="67"/>
      <c r="P650" s="67"/>
      <c r="Q650" s="67"/>
      <c r="R650" s="67"/>
      <c r="S650" s="67"/>
      <c r="T650" s="67"/>
      <c r="U650" s="67"/>
      <c r="V650" s="67"/>
      <c r="W650" s="67"/>
      <c r="X650" s="67"/>
      <c r="Y650" s="67"/>
      <c r="Z650" s="67"/>
    </row>
    <row r="651">
      <c r="A651" s="136"/>
      <c r="B651" s="131"/>
      <c r="C651" s="131"/>
      <c r="D651" s="131"/>
      <c r="E651" s="131"/>
      <c r="F651" s="144"/>
      <c r="G651" s="67"/>
      <c r="H651" s="67"/>
      <c r="I651" s="67"/>
      <c r="J651" s="67"/>
      <c r="K651" s="67"/>
      <c r="L651" s="67"/>
      <c r="M651" s="67"/>
      <c r="N651" s="67"/>
      <c r="O651" s="67"/>
      <c r="P651" s="67"/>
      <c r="Q651" s="67"/>
      <c r="R651" s="67"/>
      <c r="S651" s="67"/>
      <c r="T651" s="67"/>
      <c r="U651" s="67"/>
      <c r="V651" s="67"/>
      <c r="W651" s="67"/>
      <c r="X651" s="67"/>
      <c r="Y651" s="67"/>
      <c r="Z651" s="67"/>
    </row>
    <row r="652">
      <c r="A652" s="135"/>
      <c r="B652" s="125"/>
      <c r="C652" s="125"/>
      <c r="D652" s="125"/>
      <c r="E652" s="125"/>
      <c r="F652" s="146"/>
      <c r="G652" s="67"/>
      <c r="H652" s="67"/>
      <c r="I652" s="67"/>
      <c r="J652" s="67"/>
      <c r="K652" s="67"/>
      <c r="L652" s="67"/>
      <c r="M652" s="67"/>
      <c r="N652" s="67"/>
      <c r="O652" s="67"/>
      <c r="P652" s="67"/>
      <c r="Q652" s="67"/>
      <c r="R652" s="67"/>
      <c r="S652" s="67"/>
      <c r="T652" s="67"/>
      <c r="U652" s="67"/>
      <c r="V652" s="67"/>
      <c r="W652" s="67"/>
      <c r="X652" s="67"/>
      <c r="Y652" s="67"/>
      <c r="Z652" s="67"/>
    </row>
    <row r="653">
      <c r="A653" s="136"/>
      <c r="B653" s="131"/>
      <c r="C653" s="131"/>
      <c r="D653" s="131"/>
      <c r="E653" s="131"/>
      <c r="F653" s="144"/>
      <c r="G653" s="67"/>
      <c r="H653" s="67"/>
      <c r="I653" s="67"/>
      <c r="J653" s="67"/>
      <c r="K653" s="67"/>
      <c r="L653" s="67"/>
      <c r="M653" s="67"/>
      <c r="N653" s="67"/>
      <c r="O653" s="67"/>
      <c r="P653" s="67"/>
      <c r="Q653" s="67"/>
      <c r="R653" s="67"/>
      <c r="S653" s="67"/>
      <c r="T653" s="67"/>
      <c r="U653" s="67"/>
      <c r="V653" s="67"/>
      <c r="W653" s="67"/>
      <c r="X653" s="67"/>
      <c r="Y653" s="67"/>
      <c r="Z653" s="67"/>
    </row>
    <row r="654">
      <c r="A654" s="135"/>
      <c r="B654" s="125"/>
      <c r="C654" s="125"/>
      <c r="D654" s="125"/>
      <c r="E654" s="125"/>
      <c r="F654" s="146"/>
      <c r="G654" s="67"/>
      <c r="H654" s="67"/>
      <c r="I654" s="67"/>
      <c r="J654" s="67"/>
      <c r="K654" s="67"/>
      <c r="L654" s="67"/>
      <c r="M654" s="67"/>
      <c r="N654" s="67"/>
      <c r="O654" s="67"/>
      <c r="P654" s="67"/>
      <c r="Q654" s="67"/>
      <c r="R654" s="67"/>
      <c r="S654" s="67"/>
      <c r="T654" s="67"/>
      <c r="U654" s="67"/>
      <c r="V654" s="67"/>
      <c r="W654" s="67"/>
      <c r="X654" s="67"/>
      <c r="Y654" s="67"/>
      <c r="Z654" s="67"/>
    </row>
    <row r="655">
      <c r="A655" s="136"/>
      <c r="B655" s="131"/>
      <c r="C655" s="131"/>
      <c r="D655" s="131"/>
      <c r="E655" s="131"/>
      <c r="F655" s="144"/>
      <c r="G655" s="67"/>
      <c r="H655" s="67"/>
      <c r="I655" s="67"/>
      <c r="J655" s="67"/>
      <c r="K655" s="67"/>
      <c r="L655" s="67"/>
      <c r="M655" s="67"/>
      <c r="N655" s="67"/>
      <c r="O655" s="67"/>
      <c r="P655" s="67"/>
      <c r="Q655" s="67"/>
      <c r="R655" s="67"/>
      <c r="S655" s="67"/>
      <c r="T655" s="67"/>
      <c r="U655" s="67"/>
      <c r="V655" s="67"/>
      <c r="W655" s="67"/>
      <c r="X655" s="67"/>
      <c r="Y655" s="67"/>
      <c r="Z655" s="67"/>
    </row>
    <row r="656">
      <c r="A656" s="135"/>
      <c r="B656" s="125"/>
      <c r="C656" s="125"/>
      <c r="D656" s="125"/>
      <c r="E656" s="125"/>
      <c r="F656" s="146"/>
      <c r="G656" s="67"/>
      <c r="H656" s="67"/>
      <c r="I656" s="67"/>
      <c r="J656" s="67"/>
      <c r="K656" s="67"/>
      <c r="L656" s="67"/>
      <c r="M656" s="67"/>
      <c r="N656" s="67"/>
      <c r="O656" s="67"/>
      <c r="P656" s="67"/>
      <c r="Q656" s="67"/>
      <c r="R656" s="67"/>
      <c r="S656" s="67"/>
      <c r="T656" s="67"/>
      <c r="U656" s="67"/>
      <c r="V656" s="67"/>
      <c r="W656" s="67"/>
      <c r="X656" s="67"/>
      <c r="Y656" s="67"/>
      <c r="Z656" s="67"/>
    </row>
    <row r="657">
      <c r="A657" s="136"/>
      <c r="B657" s="131"/>
      <c r="C657" s="131"/>
      <c r="D657" s="131"/>
      <c r="E657" s="131"/>
      <c r="F657" s="144"/>
      <c r="G657" s="67"/>
      <c r="H657" s="67"/>
      <c r="I657" s="67"/>
      <c r="J657" s="67"/>
      <c r="K657" s="67"/>
      <c r="L657" s="67"/>
      <c r="M657" s="67"/>
      <c r="N657" s="67"/>
      <c r="O657" s="67"/>
      <c r="P657" s="67"/>
      <c r="Q657" s="67"/>
      <c r="R657" s="67"/>
      <c r="S657" s="67"/>
      <c r="T657" s="67"/>
      <c r="U657" s="67"/>
      <c r="V657" s="67"/>
      <c r="W657" s="67"/>
      <c r="X657" s="67"/>
      <c r="Y657" s="67"/>
      <c r="Z657" s="67"/>
    </row>
    <row r="658">
      <c r="A658" s="135"/>
      <c r="B658" s="125"/>
      <c r="C658" s="125"/>
      <c r="D658" s="125"/>
      <c r="E658" s="125"/>
      <c r="F658" s="146"/>
      <c r="G658" s="67"/>
      <c r="H658" s="67"/>
      <c r="I658" s="67"/>
      <c r="J658" s="67"/>
      <c r="K658" s="67"/>
      <c r="L658" s="67"/>
      <c r="M658" s="67"/>
      <c r="N658" s="67"/>
      <c r="O658" s="67"/>
      <c r="P658" s="67"/>
      <c r="Q658" s="67"/>
      <c r="R658" s="67"/>
      <c r="S658" s="67"/>
      <c r="T658" s="67"/>
      <c r="U658" s="67"/>
      <c r="V658" s="67"/>
      <c r="W658" s="67"/>
      <c r="X658" s="67"/>
      <c r="Y658" s="67"/>
      <c r="Z658" s="67"/>
    </row>
    <row r="659">
      <c r="A659" s="136"/>
      <c r="B659" s="131"/>
      <c r="C659" s="131"/>
      <c r="D659" s="131"/>
      <c r="E659" s="131"/>
      <c r="F659" s="144"/>
      <c r="G659" s="67"/>
      <c r="H659" s="67"/>
      <c r="I659" s="67"/>
      <c r="J659" s="67"/>
      <c r="K659" s="67"/>
      <c r="L659" s="67"/>
      <c r="M659" s="67"/>
      <c r="N659" s="67"/>
      <c r="O659" s="67"/>
      <c r="P659" s="67"/>
      <c r="Q659" s="67"/>
      <c r="R659" s="67"/>
      <c r="S659" s="67"/>
      <c r="T659" s="67"/>
      <c r="U659" s="67"/>
      <c r="V659" s="67"/>
      <c r="W659" s="67"/>
      <c r="X659" s="67"/>
      <c r="Y659" s="67"/>
      <c r="Z659" s="67"/>
    </row>
    <row r="660">
      <c r="A660" s="135"/>
      <c r="B660" s="125"/>
      <c r="C660" s="125"/>
      <c r="D660" s="125"/>
      <c r="E660" s="125"/>
      <c r="F660" s="146"/>
      <c r="G660" s="67"/>
      <c r="H660" s="67"/>
      <c r="I660" s="67"/>
      <c r="J660" s="67"/>
      <c r="K660" s="67"/>
      <c r="L660" s="67"/>
      <c r="M660" s="67"/>
      <c r="N660" s="67"/>
      <c r="O660" s="67"/>
      <c r="P660" s="67"/>
      <c r="Q660" s="67"/>
      <c r="R660" s="67"/>
      <c r="S660" s="67"/>
      <c r="T660" s="67"/>
      <c r="U660" s="67"/>
      <c r="V660" s="67"/>
      <c r="W660" s="67"/>
      <c r="X660" s="67"/>
      <c r="Y660" s="67"/>
      <c r="Z660" s="67"/>
    </row>
    <row r="661">
      <c r="A661" s="136"/>
      <c r="B661" s="131"/>
      <c r="C661" s="131"/>
      <c r="D661" s="131"/>
      <c r="E661" s="131"/>
      <c r="F661" s="144"/>
      <c r="G661" s="67"/>
      <c r="H661" s="67"/>
      <c r="I661" s="67"/>
      <c r="J661" s="67"/>
      <c r="K661" s="67"/>
      <c r="L661" s="67"/>
      <c r="M661" s="67"/>
      <c r="N661" s="67"/>
      <c r="O661" s="67"/>
      <c r="P661" s="67"/>
      <c r="Q661" s="67"/>
      <c r="R661" s="67"/>
      <c r="S661" s="67"/>
      <c r="T661" s="67"/>
      <c r="U661" s="67"/>
      <c r="V661" s="67"/>
      <c r="W661" s="67"/>
      <c r="X661" s="67"/>
      <c r="Y661" s="67"/>
      <c r="Z661" s="67"/>
    </row>
    <row r="662">
      <c r="A662" s="135"/>
      <c r="B662" s="125"/>
      <c r="C662" s="125"/>
      <c r="D662" s="125"/>
      <c r="E662" s="125"/>
      <c r="F662" s="146"/>
      <c r="G662" s="67"/>
      <c r="H662" s="67"/>
      <c r="I662" s="67"/>
      <c r="J662" s="67"/>
      <c r="K662" s="67"/>
      <c r="L662" s="67"/>
      <c r="M662" s="67"/>
      <c r="N662" s="67"/>
      <c r="O662" s="67"/>
      <c r="P662" s="67"/>
      <c r="Q662" s="67"/>
      <c r="R662" s="67"/>
      <c r="S662" s="67"/>
      <c r="T662" s="67"/>
      <c r="U662" s="67"/>
      <c r="V662" s="67"/>
      <c r="W662" s="67"/>
      <c r="X662" s="67"/>
      <c r="Y662" s="67"/>
      <c r="Z662" s="67"/>
    </row>
    <row r="663">
      <c r="A663" s="136"/>
      <c r="B663" s="131"/>
      <c r="C663" s="131"/>
      <c r="D663" s="131"/>
      <c r="E663" s="131"/>
      <c r="F663" s="144"/>
      <c r="G663" s="67"/>
      <c r="H663" s="67"/>
      <c r="I663" s="67"/>
      <c r="J663" s="67"/>
      <c r="K663" s="67"/>
      <c r="L663" s="67"/>
      <c r="M663" s="67"/>
      <c r="N663" s="67"/>
      <c r="O663" s="67"/>
      <c r="P663" s="67"/>
      <c r="Q663" s="67"/>
      <c r="R663" s="67"/>
      <c r="S663" s="67"/>
      <c r="T663" s="67"/>
      <c r="U663" s="67"/>
      <c r="V663" s="67"/>
      <c r="W663" s="67"/>
      <c r="X663" s="67"/>
      <c r="Y663" s="67"/>
      <c r="Z663" s="67"/>
    </row>
    <row r="664">
      <c r="A664" s="135"/>
      <c r="B664" s="125"/>
      <c r="C664" s="125"/>
      <c r="D664" s="125"/>
      <c r="E664" s="125"/>
      <c r="F664" s="146"/>
      <c r="G664" s="67"/>
      <c r="H664" s="67"/>
      <c r="I664" s="67"/>
      <c r="J664" s="67"/>
      <c r="K664" s="67"/>
      <c r="L664" s="67"/>
      <c r="M664" s="67"/>
      <c r="N664" s="67"/>
      <c r="O664" s="67"/>
      <c r="P664" s="67"/>
      <c r="Q664" s="67"/>
      <c r="R664" s="67"/>
      <c r="S664" s="67"/>
      <c r="T664" s="67"/>
      <c r="U664" s="67"/>
      <c r="V664" s="67"/>
      <c r="W664" s="67"/>
      <c r="X664" s="67"/>
      <c r="Y664" s="67"/>
      <c r="Z664" s="67"/>
    </row>
    <row r="665">
      <c r="A665" s="136"/>
      <c r="B665" s="131"/>
      <c r="C665" s="131"/>
      <c r="D665" s="131"/>
      <c r="E665" s="131"/>
      <c r="F665" s="144"/>
      <c r="G665" s="67"/>
      <c r="H665" s="67"/>
      <c r="I665" s="67"/>
      <c r="J665" s="67"/>
      <c r="K665" s="67"/>
      <c r="L665" s="67"/>
      <c r="M665" s="67"/>
      <c r="N665" s="67"/>
      <c r="O665" s="67"/>
      <c r="P665" s="67"/>
      <c r="Q665" s="67"/>
      <c r="R665" s="67"/>
      <c r="S665" s="67"/>
      <c r="T665" s="67"/>
      <c r="U665" s="67"/>
      <c r="V665" s="67"/>
      <c r="W665" s="67"/>
      <c r="X665" s="67"/>
      <c r="Y665" s="67"/>
      <c r="Z665" s="67"/>
    </row>
    <row r="666">
      <c r="A666" s="135"/>
      <c r="B666" s="125"/>
      <c r="C666" s="125"/>
      <c r="D666" s="125"/>
      <c r="E666" s="125"/>
      <c r="F666" s="146"/>
      <c r="G666" s="67"/>
      <c r="H666" s="67"/>
      <c r="I666" s="67"/>
      <c r="J666" s="67"/>
      <c r="K666" s="67"/>
      <c r="L666" s="67"/>
      <c r="M666" s="67"/>
      <c r="N666" s="67"/>
      <c r="O666" s="67"/>
      <c r="P666" s="67"/>
      <c r="Q666" s="67"/>
      <c r="R666" s="67"/>
      <c r="S666" s="67"/>
      <c r="T666" s="67"/>
      <c r="U666" s="67"/>
      <c r="V666" s="67"/>
      <c r="W666" s="67"/>
      <c r="X666" s="67"/>
      <c r="Y666" s="67"/>
      <c r="Z666" s="67"/>
    </row>
    <row r="667">
      <c r="A667" s="136"/>
      <c r="B667" s="131"/>
      <c r="C667" s="131"/>
      <c r="D667" s="131"/>
      <c r="E667" s="131"/>
      <c r="F667" s="144"/>
      <c r="G667" s="67"/>
      <c r="H667" s="67"/>
      <c r="I667" s="67"/>
      <c r="J667" s="67"/>
      <c r="K667" s="67"/>
      <c r="L667" s="67"/>
      <c r="M667" s="67"/>
      <c r="N667" s="67"/>
      <c r="O667" s="67"/>
      <c r="P667" s="67"/>
      <c r="Q667" s="67"/>
      <c r="R667" s="67"/>
      <c r="S667" s="67"/>
      <c r="T667" s="67"/>
      <c r="U667" s="67"/>
      <c r="V667" s="67"/>
      <c r="W667" s="67"/>
      <c r="X667" s="67"/>
      <c r="Y667" s="67"/>
      <c r="Z667" s="67"/>
    </row>
    <row r="668">
      <c r="A668" s="135"/>
      <c r="B668" s="125"/>
      <c r="C668" s="125"/>
      <c r="D668" s="125"/>
      <c r="E668" s="125"/>
      <c r="F668" s="146"/>
      <c r="G668" s="67"/>
      <c r="H668" s="67"/>
      <c r="I668" s="67"/>
      <c r="J668" s="67"/>
      <c r="K668" s="67"/>
      <c r="L668" s="67"/>
      <c r="M668" s="67"/>
      <c r="N668" s="67"/>
      <c r="O668" s="67"/>
      <c r="P668" s="67"/>
      <c r="Q668" s="67"/>
      <c r="R668" s="67"/>
      <c r="S668" s="67"/>
      <c r="T668" s="67"/>
      <c r="U668" s="67"/>
      <c r="V668" s="67"/>
      <c r="W668" s="67"/>
      <c r="X668" s="67"/>
      <c r="Y668" s="67"/>
      <c r="Z668" s="67"/>
    </row>
    <row r="669">
      <c r="A669" s="136"/>
      <c r="B669" s="131"/>
      <c r="C669" s="131"/>
      <c r="D669" s="131"/>
      <c r="E669" s="131"/>
      <c r="F669" s="144"/>
      <c r="G669" s="67"/>
      <c r="H669" s="67"/>
      <c r="I669" s="67"/>
      <c r="J669" s="67"/>
      <c r="K669" s="67"/>
      <c r="L669" s="67"/>
      <c r="M669" s="67"/>
      <c r="N669" s="67"/>
      <c r="O669" s="67"/>
      <c r="P669" s="67"/>
      <c r="Q669" s="67"/>
      <c r="R669" s="67"/>
      <c r="S669" s="67"/>
      <c r="T669" s="67"/>
      <c r="U669" s="67"/>
      <c r="V669" s="67"/>
      <c r="W669" s="67"/>
      <c r="X669" s="67"/>
      <c r="Y669" s="67"/>
      <c r="Z669" s="67"/>
    </row>
    <row r="670">
      <c r="A670" s="135"/>
      <c r="B670" s="125"/>
      <c r="C670" s="125"/>
      <c r="D670" s="125"/>
      <c r="E670" s="125"/>
      <c r="F670" s="146"/>
      <c r="G670" s="67"/>
      <c r="H670" s="67"/>
      <c r="I670" s="67"/>
      <c r="J670" s="67"/>
      <c r="K670" s="67"/>
      <c r="L670" s="67"/>
      <c r="M670" s="67"/>
      <c r="N670" s="67"/>
      <c r="O670" s="67"/>
      <c r="P670" s="67"/>
      <c r="Q670" s="67"/>
      <c r="R670" s="67"/>
      <c r="S670" s="67"/>
      <c r="T670" s="67"/>
      <c r="U670" s="67"/>
      <c r="V670" s="67"/>
      <c r="W670" s="67"/>
      <c r="X670" s="67"/>
      <c r="Y670" s="67"/>
      <c r="Z670" s="67"/>
    </row>
    <row r="671">
      <c r="A671" s="136"/>
      <c r="B671" s="131"/>
      <c r="C671" s="131"/>
      <c r="D671" s="131"/>
      <c r="E671" s="131"/>
      <c r="F671" s="144"/>
      <c r="G671" s="67"/>
      <c r="H671" s="67"/>
      <c r="I671" s="67"/>
      <c r="J671" s="67"/>
      <c r="K671" s="67"/>
      <c r="L671" s="67"/>
      <c r="M671" s="67"/>
      <c r="N671" s="67"/>
      <c r="O671" s="67"/>
      <c r="P671" s="67"/>
      <c r="Q671" s="67"/>
      <c r="R671" s="67"/>
      <c r="S671" s="67"/>
      <c r="T671" s="67"/>
      <c r="U671" s="67"/>
      <c r="V671" s="67"/>
      <c r="W671" s="67"/>
      <c r="X671" s="67"/>
      <c r="Y671" s="67"/>
      <c r="Z671" s="67"/>
    </row>
    <row r="672">
      <c r="A672" s="135"/>
      <c r="B672" s="125"/>
      <c r="C672" s="125"/>
      <c r="D672" s="125"/>
      <c r="E672" s="125"/>
      <c r="F672" s="146"/>
      <c r="G672" s="67"/>
      <c r="H672" s="67"/>
      <c r="I672" s="67"/>
      <c r="J672" s="67"/>
      <c r="K672" s="67"/>
      <c r="L672" s="67"/>
      <c r="M672" s="67"/>
      <c r="N672" s="67"/>
      <c r="O672" s="67"/>
      <c r="P672" s="67"/>
      <c r="Q672" s="67"/>
      <c r="R672" s="67"/>
      <c r="S672" s="67"/>
      <c r="T672" s="67"/>
      <c r="U672" s="67"/>
      <c r="V672" s="67"/>
      <c r="W672" s="67"/>
      <c r="X672" s="67"/>
      <c r="Y672" s="67"/>
      <c r="Z672" s="67"/>
    </row>
    <row r="673">
      <c r="A673" s="136"/>
      <c r="B673" s="131"/>
      <c r="C673" s="131"/>
      <c r="D673" s="131"/>
      <c r="E673" s="131"/>
      <c r="F673" s="144"/>
      <c r="G673" s="67"/>
      <c r="H673" s="67"/>
      <c r="I673" s="67"/>
      <c r="J673" s="67"/>
      <c r="K673" s="67"/>
      <c r="L673" s="67"/>
      <c r="M673" s="67"/>
      <c r="N673" s="67"/>
      <c r="O673" s="67"/>
      <c r="P673" s="67"/>
      <c r="Q673" s="67"/>
      <c r="R673" s="67"/>
      <c r="S673" s="67"/>
      <c r="T673" s="67"/>
      <c r="U673" s="67"/>
      <c r="V673" s="67"/>
      <c r="W673" s="67"/>
      <c r="X673" s="67"/>
      <c r="Y673" s="67"/>
      <c r="Z673" s="67"/>
    </row>
    <row r="674">
      <c r="A674" s="135"/>
      <c r="B674" s="125"/>
      <c r="C674" s="125"/>
      <c r="D674" s="125"/>
      <c r="E674" s="125"/>
      <c r="F674" s="146"/>
      <c r="G674" s="67"/>
      <c r="H674" s="67"/>
      <c r="I674" s="67"/>
      <c r="J674" s="67"/>
      <c r="K674" s="67"/>
      <c r="L674" s="67"/>
      <c r="M674" s="67"/>
      <c r="N674" s="67"/>
      <c r="O674" s="67"/>
      <c r="P674" s="67"/>
      <c r="Q674" s="67"/>
      <c r="R674" s="67"/>
      <c r="S674" s="67"/>
      <c r="T674" s="67"/>
      <c r="U674" s="67"/>
      <c r="V674" s="67"/>
      <c r="W674" s="67"/>
      <c r="X674" s="67"/>
      <c r="Y674" s="67"/>
      <c r="Z674" s="67"/>
    </row>
    <row r="675">
      <c r="A675" s="136"/>
      <c r="B675" s="131"/>
      <c r="C675" s="131"/>
      <c r="D675" s="131"/>
      <c r="E675" s="131"/>
      <c r="F675" s="144"/>
      <c r="G675" s="67"/>
      <c r="H675" s="67"/>
      <c r="I675" s="67"/>
      <c r="J675" s="67"/>
      <c r="K675" s="67"/>
      <c r="L675" s="67"/>
      <c r="M675" s="67"/>
      <c r="N675" s="67"/>
      <c r="O675" s="67"/>
      <c r="P675" s="67"/>
      <c r="Q675" s="67"/>
      <c r="R675" s="67"/>
      <c r="S675" s="67"/>
      <c r="T675" s="67"/>
      <c r="U675" s="67"/>
      <c r="V675" s="67"/>
      <c r="W675" s="67"/>
      <c r="X675" s="67"/>
      <c r="Y675" s="67"/>
      <c r="Z675" s="67"/>
    </row>
    <row r="676">
      <c r="A676" s="135"/>
      <c r="B676" s="125"/>
      <c r="C676" s="125"/>
      <c r="D676" s="125"/>
      <c r="E676" s="125"/>
      <c r="F676" s="146"/>
      <c r="G676" s="67"/>
      <c r="H676" s="67"/>
      <c r="I676" s="67"/>
      <c r="J676" s="67"/>
      <c r="K676" s="67"/>
      <c r="L676" s="67"/>
      <c r="M676" s="67"/>
      <c r="N676" s="67"/>
      <c r="O676" s="67"/>
      <c r="P676" s="67"/>
      <c r="Q676" s="67"/>
      <c r="R676" s="67"/>
      <c r="S676" s="67"/>
      <c r="T676" s="67"/>
      <c r="U676" s="67"/>
      <c r="V676" s="67"/>
      <c r="W676" s="67"/>
      <c r="X676" s="67"/>
      <c r="Y676" s="67"/>
      <c r="Z676" s="67"/>
    </row>
    <row r="677">
      <c r="A677" s="136"/>
      <c r="B677" s="131"/>
      <c r="C677" s="131"/>
      <c r="D677" s="131"/>
      <c r="E677" s="131"/>
      <c r="F677" s="144"/>
      <c r="G677" s="67"/>
      <c r="H677" s="67"/>
      <c r="I677" s="67"/>
      <c r="J677" s="67"/>
      <c r="K677" s="67"/>
      <c r="L677" s="67"/>
      <c r="M677" s="67"/>
      <c r="N677" s="67"/>
      <c r="O677" s="67"/>
      <c r="P677" s="67"/>
      <c r="Q677" s="67"/>
      <c r="R677" s="67"/>
      <c r="S677" s="67"/>
      <c r="T677" s="67"/>
      <c r="U677" s="67"/>
      <c r="V677" s="67"/>
      <c r="W677" s="67"/>
      <c r="X677" s="67"/>
      <c r="Y677" s="67"/>
      <c r="Z677" s="67"/>
    </row>
    <row r="678">
      <c r="A678" s="135"/>
      <c r="B678" s="125"/>
      <c r="C678" s="125"/>
      <c r="D678" s="125"/>
      <c r="E678" s="125"/>
      <c r="F678" s="146"/>
      <c r="G678" s="67"/>
      <c r="H678" s="67"/>
      <c r="I678" s="67"/>
      <c r="J678" s="67"/>
      <c r="K678" s="67"/>
      <c r="L678" s="67"/>
      <c r="M678" s="67"/>
      <c r="N678" s="67"/>
      <c r="O678" s="67"/>
      <c r="P678" s="67"/>
      <c r="Q678" s="67"/>
      <c r="R678" s="67"/>
      <c r="S678" s="67"/>
      <c r="T678" s="67"/>
      <c r="U678" s="67"/>
      <c r="V678" s="67"/>
      <c r="W678" s="67"/>
      <c r="X678" s="67"/>
      <c r="Y678" s="67"/>
      <c r="Z678" s="67"/>
    </row>
    <row r="679">
      <c r="A679" s="136"/>
      <c r="B679" s="131"/>
      <c r="C679" s="131"/>
      <c r="D679" s="131"/>
      <c r="E679" s="131"/>
      <c r="F679" s="144"/>
      <c r="G679" s="67"/>
      <c r="H679" s="67"/>
      <c r="I679" s="67"/>
      <c r="J679" s="67"/>
      <c r="K679" s="67"/>
      <c r="L679" s="67"/>
      <c r="M679" s="67"/>
      <c r="N679" s="67"/>
      <c r="O679" s="67"/>
      <c r="P679" s="67"/>
      <c r="Q679" s="67"/>
      <c r="R679" s="67"/>
      <c r="S679" s="67"/>
      <c r="T679" s="67"/>
      <c r="U679" s="67"/>
      <c r="V679" s="67"/>
      <c r="W679" s="67"/>
      <c r="X679" s="67"/>
      <c r="Y679" s="67"/>
      <c r="Z679" s="67"/>
    </row>
    <row r="680">
      <c r="A680" s="135"/>
      <c r="B680" s="125"/>
      <c r="C680" s="125"/>
      <c r="D680" s="125"/>
      <c r="E680" s="125"/>
      <c r="F680" s="146"/>
      <c r="G680" s="67"/>
      <c r="H680" s="67"/>
      <c r="I680" s="67"/>
      <c r="J680" s="67"/>
      <c r="K680" s="67"/>
      <c r="L680" s="67"/>
      <c r="M680" s="67"/>
      <c r="N680" s="67"/>
      <c r="O680" s="67"/>
      <c r="P680" s="67"/>
      <c r="Q680" s="67"/>
      <c r="R680" s="67"/>
      <c r="S680" s="67"/>
      <c r="T680" s="67"/>
      <c r="U680" s="67"/>
      <c r="V680" s="67"/>
      <c r="W680" s="67"/>
      <c r="X680" s="67"/>
      <c r="Y680" s="67"/>
      <c r="Z680" s="67"/>
    </row>
    <row r="681">
      <c r="A681" s="136"/>
      <c r="B681" s="131"/>
      <c r="C681" s="131"/>
      <c r="D681" s="131"/>
      <c r="E681" s="131"/>
      <c r="F681" s="144"/>
      <c r="G681" s="67"/>
      <c r="H681" s="67"/>
      <c r="I681" s="67"/>
      <c r="J681" s="67"/>
      <c r="K681" s="67"/>
      <c r="L681" s="67"/>
      <c r="M681" s="67"/>
      <c r="N681" s="67"/>
      <c r="O681" s="67"/>
      <c r="P681" s="67"/>
      <c r="Q681" s="67"/>
      <c r="R681" s="67"/>
      <c r="S681" s="67"/>
      <c r="T681" s="67"/>
      <c r="U681" s="67"/>
      <c r="V681" s="67"/>
      <c r="W681" s="67"/>
      <c r="X681" s="67"/>
      <c r="Y681" s="67"/>
      <c r="Z681" s="67"/>
    </row>
    <row r="682">
      <c r="A682" s="135"/>
      <c r="B682" s="125"/>
      <c r="C682" s="125"/>
      <c r="D682" s="125"/>
      <c r="E682" s="125"/>
      <c r="F682" s="146"/>
      <c r="G682" s="67"/>
      <c r="H682" s="67"/>
      <c r="I682" s="67"/>
      <c r="J682" s="67"/>
      <c r="K682" s="67"/>
      <c r="L682" s="67"/>
      <c r="M682" s="67"/>
      <c r="N682" s="67"/>
      <c r="O682" s="67"/>
      <c r="P682" s="67"/>
      <c r="Q682" s="67"/>
      <c r="R682" s="67"/>
      <c r="S682" s="67"/>
      <c r="T682" s="67"/>
      <c r="U682" s="67"/>
      <c r="V682" s="67"/>
      <c r="W682" s="67"/>
      <c r="X682" s="67"/>
      <c r="Y682" s="67"/>
      <c r="Z682" s="67"/>
    </row>
    <row r="683">
      <c r="A683" s="136"/>
      <c r="B683" s="131"/>
      <c r="C683" s="131"/>
      <c r="D683" s="131"/>
      <c r="E683" s="131"/>
      <c r="F683" s="144"/>
      <c r="G683" s="67"/>
      <c r="H683" s="67"/>
      <c r="I683" s="67"/>
      <c r="J683" s="67"/>
      <c r="K683" s="67"/>
      <c r="L683" s="67"/>
      <c r="M683" s="67"/>
      <c r="N683" s="67"/>
      <c r="O683" s="67"/>
      <c r="P683" s="67"/>
      <c r="Q683" s="67"/>
      <c r="R683" s="67"/>
      <c r="S683" s="67"/>
      <c r="T683" s="67"/>
      <c r="U683" s="67"/>
      <c r="V683" s="67"/>
      <c r="W683" s="67"/>
      <c r="X683" s="67"/>
      <c r="Y683" s="67"/>
      <c r="Z683" s="67"/>
    </row>
    <row r="684">
      <c r="A684" s="135"/>
      <c r="B684" s="125"/>
      <c r="C684" s="125"/>
      <c r="D684" s="125"/>
      <c r="E684" s="125"/>
      <c r="F684" s="146"/>
      <c r="G684" s="67"/>
      <c r="H684" s="67"/>
      <c r="I684" s="67"/>
      <c r="J684" s="67"/>
      <c r="K684" s="67"/>
      <c r="L684" s="67"/>
      <c r="M684" s="67"/>
      <c r="N684" s="67"/>
      <c r="O684" s="67"/>
      <c r="P684" s="67"/>
      <c r="Q684" s="67"/>
      <c r="R684" s="67"/>
      <c r="S684" s="67"/>
      <c r="T684" s="67"/>
      <c r="U684" s="67"/>
      <c r="V684" s="67"/>
      <c r="W684" s="67"/>
      <c r="X684" s="67"/>
      <c r="Y684" s="67"/>
      <c r="Z684" s="67"/>
    </row>
    <row r="685">
      <c r="A685" s="136"/>
      <c r="B685" s="131"/>
      <c r="C685" s="131"/>
      <c r="D685" s="131"/>
      <c r="E685" s="131"/>
      <c r="F685" s="144"/>
      <c r="G685" s="67"/>
      <c r="H685" s="67"/>
      <c r="I685" s="67"/>
      <c r="J685" s="67"/>
      <c r="K685" s="67"/>
      <c r="L685" s="67"/>
      <c r="M685" s="67"/>
      <c r="N685" s="67"/>
      <c r="O685" s="67"/>
      <c r="P685" s="67"/>
      <c r="Q685" s="67"/>
      <c r="R685" s="67"/>
      <c r="S685" s="67"/>
      <c r="T685" s="67"/>
      <c r="U685" s="67"/>
      <c r="V685" s="67"/>
      <c r="W685" s="67"/>
      <c r="X685" s="67"/>
      <c r="Y685" s="67"/>
      <c r="Z685" s="67"/>
    </row>
    <row r="686">
      <c r="A686" s="135"/>
      <c r="B686" s="125"/>
      <c r="C686" s="125"/>
      <c r="D686" s="125"/>
      <c r="E686" s="125"/>
      <c r="F686" s="146"/>
      <c r="G686" s="67"/>
      <c r="H686" s="67"/>
      <c r="I686" s="67"/>
      <c r="J686" s="67"/>
      <c r="K686" s="67"/>
      <c r="L686" s="67"/>
      <c r="M686" s="67"/>
      <c r="N686" s="67"/>
      <c r="O686" s="67"/>
      <c r="P686" s="67"/>
      <c r="Q686" s="67"/>
      <c r="R686" s="67"/>
      <c r="S686" s="67"/>
      <c r="T686" s="67"/>
      <c r="U686" s="67"/>
      <c r="V686" s="67"/>
      <c r="W686" s="67"/>
      <c r="X686" s="67"/>
      <c r="Y686" s="67"/>
      <c r="Z686" s="67"/>
    </row>
    <row r="687">
      <c r="A687" s="136"/>
      <c r="B687" s="131"/>
      <c r="C687" s="131"/>
      <c r="D687" s="131"/>
      <c r="E687" s="131"/>
      <c r="F687" s="144"/>
      <c r="G687" s="67"/>
      <c r="H687" s="67"/>
      <c r="I687" s="67"/>
      <c r="J687" s="67"/>
      <c r="K687" s="67"/>
      <c r="L687" s="67"/>
      <c r="M687" s="67"/>
      <c r="N687" s="67"/>
      <c r="O687" s="67"/>
      <c r="P687" s="67"/>
      <c r="Q687" s="67"/>
      <c r="R687" s="67"/>
      <c r="S687" s="67"/>
      <c r="T687" s="67"/>
      <c r="U687" s="67"/>
      <c r="V687" s="67"/>
      <c r="W687" s="67"/>
      <c r="X687" s="67"/>
      <c r="Y687" s="67"/>
      <c r="Z687" s="67"/>
    </row>
    <row r="688">
      <c r="A688" s="135"/>
      <c r="B688" s="125"/>
      <c r="C688" s="125"/>
      <c r="D688" s="125"/>
      <c r="E688" s="125"/>
      <c r="F688" s="146"/>
      <c r="G688" s="67"/>
      <c r="H688" s="67"/>
      <c r="I688" s="67"/>
      <c r="J688" s="67"/>
      <c r="K688" s="67"/>
      <c r="L688" s="67"/>
      <c r="M688" s="67"/>
      <c r="N688" s="67"/>
      <c r="O688" s="67"/>
      <c r="P688" s="67"/>
      <c r="Q688" s="67"/>
      <c r="R688" s="67"/>
      <c r="S688" s="67"/>
      <c r="T688" s="67"/>
      <c r="U688" s="67"/>
      <c r="V688" s="67"/>
      <c r="W688" s="67"/>
      <c r="X688" s="67"/>
      <c r="Y688" s="67"/>
      <c r="Z688" s="67"/>
    </row>
    <row r="689">
      <c r="A689" s="136"/>
      <c r="B689" s="131"/>
      <c r="C689" s="131"/>
      <c r="D689" s="131"/>
      <c r="E689" s="131"/>
      <c r="F689" s="144"/>
      <c r="G689" s="67"/>
      <c r="H689" s="67"/>
      <c r="I689" s="67"/>
      <c r="J689" s="67"/>
      <c r="K689" s="67"/>
      <c r="L689" s="67"/>
      <c r="M689" s="67"/>
      <c r="N689" s="67"/>
      <c r="O689" s="67"/>
      <c r="P689" s="67"/>
      <c r="Q689" s="67"/>
      <c r="R689" s="67"/>
      <c r="S689" s="67"/>
      <c r="T689" s="67"/>
      <c r="U689" s="67"/>
      <c r="V689" s="67"/>
      <c r="W689" s="67"/>
      <c r="X689" s="67"/>
      <c r="Y689" s="67"/>
      <c r="Z689" s="67"/>
    </row>
    <row r="690">
      <c r="A690" s="135"/>
      <c r="B690" s="125"/>
      <c r="C690" s="125"/>
      <c r="D690" s="125"/>
      <c r="E690" s="125"/>
      <c r="F690" s="146"/>
      <c r="G690" s="67"/>
      <c r="H690" s="67"/>
      <c r="I690" s="67"/>
      <c r="J690" s="67"/>
      <c r="K690" s="67"/>
      <c r="L690" s="67"/>
      <c r="M690" s="67"/>
      <c r="N690" s="67"/>
      <c r="O690" s="67"/>
      <c r="P690" s="67"/>
      <c r="Q690" s="67"/>
      <c r="R690" s="67"/>
      <c r="S690" s="67"/>
      <c r="T690" s="67"/>
      <c r="U690" s="67"/>
      <c r="V690" s="67"/>
      <c r="W690" s="67"/>
      <c r="X690" s="67"/>
      <c r="Y690" s="67"/>
      <c r="Z690" s="67"/>
    </row>
    <row r="691">
      <c r="A691" s="136"/>
      <c r="B691" s="131"/>
      <c r="C691" s="131"/>
      <c r="D691" s="131"/>
      <c r="E691" s="131"/>
      <c r="F691" s="144"/>
      <c r="G691" s="67"/>
      <c r="H691" s="67"/>
      <c r="I691" s="67"/>
      <c r="J691" s="67"/>
      <c r="K691" s="67"/>
      <c r="L691" s="67"/>
      <c r="M691" s="67"/>
      <c r="N691" s="67"/>
      <c r="O691" s="67"/>
      <c r="P691" s="67"/>
      <c r="Q691" s="67"/>
      <c r="R691" s="67"/>
      <c r="S691" s="67"/>
      <c r="T691" s="67"/>
      <c r="U691" s="67"/>
      <c r="V691" s="67"/>
      <c r="W691" s="67"/>
      <c r="X691" s="67"/>
      <c r="Y691" s="67"/>
      <c r="Z691" s="67"/>
    </row>
    <row r="692">
      <c r="A692" s="135"/>
      <c r="B692" s="125"/>
      <c r="C692" s="125"/>
      <c r="D692" s="125"/>
      <c r="E692" s="125"/>
      <c r="F692" s="146"/>
      <c r="G692" s="67"/>
      <c r="H692" s="67"/>
      <c r="I692" s="67"/>
      <c r="J692" s="67"/>
      <c r="K692" s="67"/>
      <c r="L692" s="67"/>
      <c r="M692" s="67"/>
      <c r="N692" s="67"/>
      <c r="O692" s="67"/>
      <c r="P692" s="67"/>
      <c r="Q692" s="67"/>
      <c r="R692" s="67"/>
      <c r="S692" s="67"/>
      <c r="T692" s="67"/>
      <c r="U692" s="67"/>
      <c r="V692" s="67"/>
      <c r="W692" s="67"/>
      <c r="X692" s="67"/>
      <c r="Y692" s="67"/>
      <c r="Z692" s="67"/>
    </row>
    <row r="693">
      <c r="A693" s="136"/>
      <c r="B693" s="131"/>
      <c r="C693" s="131"/>
      <c r="D693" s="131"/>
      <c r="E693" s="131"/>
      <c r="F693" s="144"/>
      <c r="G693" s="67"/>
      <c r="H693" s="67"/>
      <c r="I693" s="67"/>
      <c r="J693" s="67"/>
      <c r="K693" s="67"/>
      <c r="L693" s="67"/>
      <c r="M693" s="67"/>
      <c r="N693" s="67"/>
      <c r="O693" s="67"/>
      <c r="P693" s="67"/>
      <c r="Q693" s="67"/>
      <c r="R693" s="67"/>
      <c r="S693" s="67"/>
      <c r="T693" s="67"/>
      <c r="U693" s="67"/>
      <c r="V693" s="67"/>
      <c r="W693" s="67"/>
      <c r="X693" s="67"/>
      <c r="Y693" s="67"/>
      <c r="Z693" s="67"/>
    </row>
    <row r="694">
      <c r="A694" s="135"/>
      <c r="B694" s="125"/>
      <c r="C694" s="125"/>
      <c r="D694" s="125"/>
      <c r="E694" s="125"/>
      <c r="F694" s="146"/>
      <c r="G694" s="67"/>
      <c r="H694" s="67"/>
      <c r="I694" s="67"/>
      <c r="J694" s="67"/>
      <c r="K694" s="67"/>
      <c r="L694" s="67"/>
      <c r="M694" s="67"/>
      <c r="N694" s="67"/>
      <c r="O694" s="67"/>
      <c r="P694" s="67"/>
      <c r="Q694" s="67"/>
      <c r="R694" s="67"/>
      <c r="S694" s="67"/>
      <c r="T694" s="67"/>
      <c r="U694" s="67"/>
      <c r="V694" s="67"/>
      <c r="W694" s="67"/>
      <c r="X694" s="67"/>
      <c r="Y694" s="67"/>
      <c r="Z694" s="67"/>
    </row>
    <row r="695">
      <c r="A695" s="136"/>
      <c r="B695" s="131"/>
      <c r="C695" s="131"/>
      <c r="D695" s="131"/>
      <c r="E695" s="131"/>
      <c r="F695" s="144"/>
      <c r="G695" s="67"/>
      <c r="H695" s="67"/>
      <c r="I695" s="67"/>
      <c r="J695" s="67"/>
      <c r="K695" s="67"/>
      <c r="L695" s="67"/>
      <c r="M695" s="67"/>
      <c r="N695" s="67"/>
      <c r="O695" s="67"/>
      <c r="P695" s="67"/>
      <c r="Q695" s="67"/>
      <c r="R695" s="67"/>
      <c r="S695" s="67"/>
      <c r="T695" s="67"/>
      <c r="U695" s="67"/>
      <c r="V695" s="67"/>
      <c r="W695" s="67"/>
      <c r="X695" s="67"/>
      <c r="Y695" s="67"/>
      <c r="Z695" s="67"/>
    </row>
    <row r="696">
      <c r="A696" s="135"/>
      <c r="B696" s="125"/>
      <c r="C696" s="125"/>
      <c r="D696" s="125"/>
      <c r="E696" s="125"/>
      <c r="F696" s="146"/>
      <c r="G696" s="67"/>
      <c r="H696" s="67"/>
      <c r="I696" s="67"/>
      <c r="J696" s="67"/>
      <c r="K696" s="67"/>
      <c r="L696" s="67"/>
      <c r="M696" s="67"/>
      <c r="N696" s="67"/>
      <c r="O696" s="67"/>
      <c r="P696" s="67"/>
      <c r="Q696" s="67"/>
      <c r="R696" s="67"/>
      <c r="S696" s="67"/>
      <c r="T696" s="67"/>
      <c r="U696" s="67"/>
      <c r="V696" s="67"/>
      <c r="W696" s="67"/>
      <c r="X696" s="67"/>
      <c r="Y696" s="67"/>
      <c r="Z696" s="67"/>
    </row>
    <row r="697">
      <c r="A697" s="136"/>
      <c r="B697" s="131"/>
      <c r="C697" s="131"/>
      <c r="D697" s="131"/>
      <c r="E697" s="131"/>
      <c r="F697" s="144"/>
      <c r="G697" s="67"/>
      <c r="H697" s="67"/>
      <c r="I697" s="67"/>
      <c r="J697" s="67"/>
      <c r="K697" s="67"/>
      <c r="L697" s="67"/>
      <c r="M697" s="67"/>
      <c r="N697" s="67"/>
      <c r="O697" s="67"/>
      <c r="P697" s="67"/>
      <c r="Q697" s="67"/>
      <c r="R697" s="67"/>
      <c r="S697" s="67"/>
      <c r="T697" s="67"/>
      <c r="U697" s="67"/>
      <c r="V697" s="67"/>
      <c r="W697" s="67"/>
      <c r="X697" s="67"/>
      <c r="Y697" s="67"/>
      <c r="Z697" s="67"/>
    </row>
    <row r="698">
      <c r="A698" s="135"/>
      <c r="B698" s="125"/>
      <c r="C698" s="125"/>
      <c r="D698" s="125"/>
      <c r="E698" s="125"/>
      <c r="F698" s="146"/>
      <c r="G698" s="67"/>
      <c r="H698" s="67"/>
      <c r="I698" s="67"/>
      <c r="J698" s="67"/>
      <c r="K698" s="67"/>
      <c r="L698" s="67"/>
      <c r="M698" s="67"/>
      <c r="N698" s="67"/>
      <c r="O698" s="67"/>
      <c r="P698" s="67"/>
      <c r="Q698" s="67"/>
      <c r="R698" s="67"/>
      <c r="S698" s="67"/>
      <c r="T698" s="67"/>
      <c r="U698" s="67"/>
      <c r="V698" s="67"/>
      <c r="W698" s="67"/>
      <c r="X698" s="67"/>
      <c r="Y698" s="67"/>
      <c r="Z698" s="67"/>
    </row>
    <row r="699">
      <c r="A699" s="136"/>
      <c r="B699" s="131"/>
      <c r="C699" s="131"/>
      <c r="D699" s="131"/>
      <c r="E699" s="131"/>
      <c r="F699" s="144"/>
      <c r="G699" s="67"/>
      <c r="H699" s="67"/>
      <c r="I699" s="67"/>
      <c r="J699" s="67"/>
      <c r="K699" s="67"/>
      <c r="L699" s="67"/>
      <c r="M699" s="67"/>
      <c r="N699" s="67"/>
      <c r="O699" s="67"/>
      <c r="P699" s="67"/>
      <c r="Q699" s="67"/>
      <c r="R699" s="67"/>
      <c r="S699" s="67"/>
      <c r="T699" s="67"/>
      <c r="U699" s="67"/>
      <c r="V699" s="67"/>
      <c r="W699" s="67"/>
      <c r="X699" s="67"/>
      <c r="Y699" s="67"/>
      <c r="Z699" s="67"/>
    </row>
    <row r="700">
      <c r="A700" s="135"/>
      <c r="B700" s="125"/>
      <c r="C700" s="125"/>
      <c r="D700" s="125"/>
      <c r="E700" s="125"/>
      <c r="F700" s="146"/>
      <c r="G700" s="67"/>
      <c r="H700" s="67"/>
      <c r="I700" s="67"/>
      <c r="J700" s="67"/>
      <c r="K700" s="67"/>
      <c r="L700" s="67"/>
      <c r="M700" s="67"/>
      <c r="N700" s="67"/>
      <c r="O700" s="67"/>
      <c r="P700" s="67"/>
      <c r="Q700" s="67"/>
      <c r="R700" s="67"/>
      <c r="S700" s="67"/>
      <c r="T700" s="67"/>
      <c r="U700" s="67"/>
      <c r="V700" s="67"/>
      <c r="W700" s="67"/>
      <c r="X700" s="67"/>
      <c r="Y700" s="67"/>
      <c r="Z700" s="67"/>
    </row>
    <row r="701">
      <c r="A701" s="136"/>
      <c r="B701" s="131"/>
      <c r="C701" s="131"/>
      <c r="D701" s="131"/>
      <c r="E701" s="131"/>
      <c r="F701" s="144"/>
      <c r="G701" s="67"/>
      <c r="H701" s="67"/>
      <c r="I701" s="67"/>
      <c r="J701" s="67"/>
      <c r="K701" s="67"/>
      <c r="L701" s="67"/>
      <c r="M701" s="67"/>
      <c r="N701" s="67"/>
      <c r="O701" s="67"/>
      <c r="P701" s="67"/>
      <c r="Q701" s="67"/>
      <c r="R701" s="67"/>
      <c r="S701" s="67"/>
      <c r="T701" s="67"/>
      <c r="U701" s="67"/>
      <c r="V701" s="67"/>
      <c r="W701" s="67"/>
      <c r="X701" s="67"/>
      <c r="Y701" s="67"/>
      <c r="Z701" s="67"/>
    </row>
    <row r="702">
      <c r="A702" s="135"/>
      <c r="B702" s="125"/>
      <c r="C702" s="125"/>
      <c r="D702" s="125"/>
      <c r="E702" s="125"/>
      <c r="F702" s="146"/>
      <c r="G702" s="67"/>
      <c r="H702" s="67"/>
      <c r="I702" s="67"/>
      <c r="J702" s="67"/>
      <c r="K702" s="67"/>
      <c r="L702" s="67"/>
      <c r="M702" s="67"/>
      <c r="N702" s="67"/>
      <c r="O702" s="67"/>
      <c r="P702" s="67"/>
      <c r="Q702" s="67"/>
      <c r="R702" s="67"/>
      <c r="S702" s="67"/>
      <c r="T702" s="67"/>
      <c r="U702" s="67"/>
      <c r="V702" s="67"/>
      <c r="W702" s="67"/>
      <c r="X702" s="67"/>
      <c r="Y702" s="67"/>
      <c r="Z702" s="67"/>
    </row>
    <row r="703">
      <c r="A703" s="136"/>
      <c r="B703" s="131"/>
      <c r="C703" s="131"/>
      <c r="D703" s="131"/>
      <c r="E703" s="131"/>
      <c r="F703" s="144"/>
      <c r="G703" s="67"/>
      <c r="H703" s="67"/>
      <c r="I703" s="67"/>
      <c r="J703" s="67"/>
      <c r="K703" s="67"/>
      <c r="L703" s="67"/>
      <c r="M703" s="67"/>
      <c r="N703" s="67"/>
      <c r="O703" s="67"/>
      <c r="P703" s="67"/>
      <c r="Q703" s="67"/>
      <c r="R703" s="67"/>
      <c r="S703" s="67"/>
      <c r="T703" s="67"/>
      <c r="U703" s="67"/>
      <c r="V703" s="67"/>
      <c r="W703" s="67"/>
      <c r="X703" s="67"/>
      <c r="Y703" s="67"/>
      <c r="Z703" s="67"/>
    </row>
    <row r="704">
      <c r="A704" s="135"/>
      <c r="B704" s="125"/>
      <c r="C704" s="125"/>
      <c r="D704" s="125"/>
      <c r="E704" s="125"/>
      <c r="F704" s="146"/>
      <c r="G704" s="67"/>
      <c r="H704" s="67"/>
      <c r="I704" s="67"/>
      <c r="J704" s="67"/>
      <c r="K704" s="67"/>
      <c r="L704" s="67"/>
      <c r="M704" s="67"/>
      <c r="N704" s="67"/>
      <c r="O704" s="67"/>
      <c r="P704" s="67"/>
      <c r="Q704" s="67"/>
      <c r="R704" s="67"/>
      <c r="S704" s="67"/>
      <c r="T704" s="67"/>
      <c r="U704" s="67"/>
      <c r="V704" s="67"/>
      <c r="W704" s="67"/>
      <c r="X704" s="67"/>
      <c r="Y704" s="67"/>
      <c r="Z704" s="67"/>
    </row>
    <row r="705">
      <c r="A705" s="136"/>
      <c r="B705" s="131"/>
      <c r="C705" s="131"/>
      <c r="D705" s="131"/>
      <c r="E705" s="131"/>
      <c r="F705" s="144"/>
      <c r="G705" s="67"/>
      <c r="H705" s="67"/>
      <c r="I705" s="67"/>
      <c r="J705" s="67"/>
      <c r="K705" s="67"/>
      <c r="L705" s="67"/>
      <c r="M705" s="67"/>
      <c r="N705" s="67"/>
      <c r="O705" s="67"/>
      <c r="P705" s="67"/>
      <c r="Q705" s="67"/>
      <c r="R705" s="67"/>
      <c r="S705" s="67"/>
      <c r="T705" s="67"/>
      <c r="U705" s="67"/>
      <c r="V705" s="67"/>
      <c r="W705" s="67"/>
      <c r="X705" s="67"/>
      <c r="Y705" s="67"/>
      <c r="Z705" s="67"/>
    </row>
    <row r="706">
      <c r="A706" s="135"/>
      <c r="B706" s="125"/>
      <c r="C706" s="125"/>
      <c r="D706" s="125"/>
      <c r="E706" s="125"/>
      <c r="F706" s="146"/>
      <c r="G706" s="67"/>
      <c r="H706" s="67"/>
      <c r="I706" s="67"/>
      <c r="J706" s="67"/>
      <c r="K706" s="67"/>
      <c r="L706" s="67"/>
      <c r="M706" s="67"/>
      <c r="N706" s="67"/>
      <c r="O706" s="67"/>
      <c r="P706" s="67"/>
      <c r="Q706" s="67"/>
      <c r="R706" s="67"/>
      <c r="S706" s="67"/>
      <c r="T706" s="67"/>
      <c r="U706" s="67"/>
      <c r="V706" s="67"/>
      <c r="W706" s="67"/>
      <c r="X706" s="67"/>
      <c r="Y706" s="67"/>
      <c r="Z706" s="67"/>
    </row>
    <row r="707">
      <c r="A707" s="136"/>
      <c r="B707" s="131"/>
      <c r="C707" s="131"/>
      <c r="D707" s="131"/>
      <c r="E707" s="131"/>
      <c r="F707" s="144"/>
      <c r="G707" s="67"/>
      <c r="H707" s="67"/>
      <c r="I707" s="67"/>
      <c r="J707" s="67"/>
      <c r="K707" s="67"/>
      <c r="L707" s="67"/>
      <c r="M707" s="67"/>
      <c r="N707" s="67"/>
      <c r="O707" s="67"/>
      <c r="P707" s="67"/>
      <c r="Q707" s="67"/>
      <c r="R707" s="67"/>
      <c r="S707" s="67"/>
      <c r="T707" s="67"/>
      <c r="U707" s="67"/>
      <c r="V707" s="67"/>
      <c r="W707" s="67"/>
      <c r="X707" s="67"/>
      <c r="Y707" s="67"/>
      <c r="Z707" s="67"/>
    </row>
    <row r="708">
      <c r="A708" s="135"/>
      <c r="B708" s="125"/>
      <c r="C708" s="125"/>
      <c r="D708" s="125"/>
      <c r="E708" s="125"/>
      <c r="F708" s="146"/>
      <c r="G708" s="67"/>
      <c r="H708" s="67"/>
      <c r="I708" s="67"/>
      <c r="J708" s="67"/>
      <c r="K708" s="67"/>
      <c r="L708" s="67"/>
      <c r="M708" s="67"/>
      <c r="N708" s="67"/>
      <c r="O708" s="67"/>
      <c r="P708" s="67"/>
      <c r="Q708" s="67"/>
      <c r="R708" s="67"/>
      <c r="S708" s="67"/>
      <c r="T708" s="67"/>
      <c r="U708" s="67"/>
      <c r="V708" s="67"/>
      <c r="W708" s="67"/>
      <c r="X708" s="67"/>
      <c r="Y708" s="67"/>
      <c r="Z708" s="67"/>
    </row>
    <row r="709">
      <c r="A709" s="136"/>
      <c r="B709" s="131"/>
      <c r="C709" s="131"/>
      <c r="D709" s="131"/>
      <c r="E709" s="131"/>
      <c r="F709" s="144"/>
      <c r="G709" s="67"/>
      <c r="H709" s="67"/>
      <c r="I709" s="67"/>
      <c r="J709" s="67"/>
      <c r="K709" s="67"/>
      <c r="L709" s="67"/>
      <c r="M709" s="67"/>
      <c r="N709" s="67"/>
      <c r="O709" s="67"/>
      <c r="P709" s="67"/>
      <c r="Q709" s="67"/>
      <c r="R709" s="67"/>
      <c r="S709" s="67"/>
      <c r="T709" s="67"/>
      <c r="U709" s="67"/>
      <c r="V709" s="67"/>
      <c r="W709" s="67"/>
      <c r="X709" s="67"/>
      <c r="Y709" s="67"/>
      <c r="Z709" s="67"/>
    </row>
    <row r="710">
      <c r="A710" s="135"/>
      <c r="B710" s="125"/>
      <c r="C710" s="125"/>
      <c r="D710" s="125"/>
      <c r="E710" s="125"/>
      <c r="F710" s="146"/>
      <c r="G710" s="67"/>
      <c r="H710" s="67"/>
      <c r="I710" s="67"/>
      <c r="J710" s="67"/>
      <c r="K710" s="67"/>
      <c r="L710" s="67"/>
      <c r="M710" s="67"/>
      <c r="N710" s="67"/>
      <c r="O710" s="67"/>
      <c r="P710" s="67"/>
      <c r="Q710" s="67"/>
      <c r="R710" s="67"/>
      <c r="S710" s="67"/>
      <c r="T710" s="67"/>
      <c r="U710" s="67"/>
      <c r="V710" s="67"/>
      <c r="W710" s="67"/>
      <c r="X710" s="67"/>
      <c r="Y710" s="67"/>
      <c r="Z710" s="67"/>
    </row>
    <row r="711">
      <c r="A711" s="136"/>
      <c r="B711" s="131"/>
      <c r="C711" s="131"/>
      <c r="D711" s="131"/>
      <c r="E711" s="131"/>
      <c r="F711" s="144"/>
      <c r="G711" s="67"/>
      <c r="H711" s="67"/>
      <c r="I711" s="67"/>
      <c r="J711" s="67"/>
      <c r="K711" s="67"/>
      <c r="L711" s="67"/>
      <c r="M711" s="67"/>
      <c r="N711" s="67"/>
      <c r="O711" s="67"/>
      <c r="P711" s="67"/>
      <c r="Q711" s="67"/>
      <c r="R711" s="67"/>
      <c r="S711" s="67"/>
      <c r="T711" s="67"/>
      <c r="U711" s="67"/>
      <c r="V711" s="67"/>
      <c r="W711" s="67"/>
      <c r="X711" s="67"/>
      <c r="Y711" s="67"/>
      <c r="Z711" s="67"/>
    </row>
    <row r="712">
      <c r="A712" s="135"/>
      <c r="B712" s="125"/>
      <c r="C712" s="125"/>
      <c r="D712" s="125"/>
      <c r="E712" s="125"/>
      <c r="F712" s="146"/>
      <c r="G712" s="67"/>
      <c r="H712" s="67"/>
      <c r="I712" s="67"/>
      <c r="J712" s="67"/>
      <c r="K712" s="67"/>
      <c r="L712" s="67"/>
      <c r="M712" s="67"/>
      <c r="N712" s="67"/>
      <c r="O712" s="67"/>
      <c r="P712" s="67"/>
      <c r="Q712" s="67"/>
      <c r="R712" s="67"/>
      <c r="S712" s="67"/>
      <c r="T712" s="67"/>
      <c r="U712" s="67"/>
      <c r="V712" s="67"/>
      <c r="W712" s="67"/>
      <c r="X712" s="67"/>
      <c r="Y712" s="67"/>
      <c r="Z712" s="67"/>
    </row>
    <row r="713">
      <c r="A713" s="136"/>
      <c r="B713" s="131"/>
      <c r="C713" s="131"/>
      <c r="D713" s="131"/>
      <c r="E713" s="131"/>
      <c r="F713" s="144"/>
      <c r="G713" s="67"/>
      <c r="H713" s="67"/>
      <c r="I713" s="67"/>
      <c r="J713" s="67"/>
      <c r="K713" s="67"/>
      <c r="L713" s="67"/>
      <c r="M713" s="67"/>
      <c r="N713" s="67"/>
      <c r="O713" s="67"/>
      <c r="P713" s="67"/>
      <c r="Q713" s="67"/>
      <c r="R713" s="67"/>
      <c r="S713" s="67"/>
      <c r="T713" s="67"/>
      <c r="U713" s="67"/>
      <c r="V713" s="67"/>
      <c r="W713" s="67"/>
      <c r="X713" s="67"/>
      <c r="Y713" s="67"/>
      <c r="Z713" s="67"/>
    </row>
    <row r="714">
      <c r="A714" s="135"/>
      <c r="B714" s="125"/>
      <c r="C714" s="125"/>
      <c r="D714" s="125"/>
      <c r="E714" s="125"/>
      <c r="F714" s="146"/>
      <c r="G714" s="67"/>
      <c r="H714" s="67"/>
      <c r="I714" s="67"/>
      <c r="J714" s="67"/>
      <c r="K714" s="67"/>
      <c r="L714" s="67"/>
      <c r="M714" s="67"/>
      <c r="N714" s="67"/>
      <c r="O714" s="67"/>
      <c r="P714" s="67"/>
      <c r="Q714" s="67"/>
      <c r="R714" s="67"/>
      <c r="S714" s="67"/>
      <c r="T714" s="67"/>
      <c r="U714" s="67"/>
      <c r="V714" s="67"/>
      <c r="W714" s="67"/>
      <c r="X714" s="67"/>
      <c r="Y714" s="67"/>
      <c r="Z714" s="67"/>
    </row>
    <row r="715">
      <c r="A715" s="136"/>
      <c r="B715" s="131"/>
      <c r="C715" s="131"/>
      <c r="D715" s="131"/>
      <c r="E715" s="131"/>
      <c r="F715" s="144"/>
      <c r="G715" s="67"/>
      <c r="H715" s="67"/>
      <c r="I715" s="67"/>
      <c r="J715" s="67"/>
      <c r="K715" s="67"/>
      <c r="L715" s="67"/>
      <c r="M715" s="67"/>
      <c r="N715" s="67"/>
      <c r="O715" s="67"/>
      <c r="P715" s="67"/>
      <c r="Q715" s="67"/>
      <c r="R715" s="67"/>
      <c r="S715" s="67"/>
      <c r="T715" s="67"/>
      <c r="U715" s="67"/>
      <c r="V715" s="67"/>
      <c r="W715" s="67"/>
      <c r="X715" s="67"/>
      <c r="Y715" s="67"/>
      <c r="Z715" s="67"/>
    </row>
    <row r="716">
      <c r="A716" s="135"/>
      <c r="B716" s="125"/>
      <c r="C716" s="125"/>
      <c r="D716" s="125"/>
      <c r="E716" s="125"/>
      <c r="F716" s="146"/>
      <c r="G716" s="67"/>
      <c r="H716" s="67"/>
      <c r="I716" s="67"/>
      <c r="J716" s="67"/>
      <c r="K716" s="67"/>
      <c r="L716" s="67"/>
      <c r="M716" s="67"/>
      <c r="N716" s="67"/>
      <c r="O716" s="67"/>
      <c r="P716" s="67"/>
      <c r="Q716" s="67"/>
      <c r="R716" s="67"/>
      <c r="S716" s="67"/>
      <c r="T716" s="67"/>
      <c r="U716" s="67"/>
      <c r="V716" s="67"/>
      <c r="W716" s="67"/>
      <c r="X716" s="67"/>
      <c r="Y716" s="67"/>
      <c r="Z716" s="67"/>
    </row>
    <row r="717">
      <c r="A717" s="136"/>
      <c r="B717" s="131"/>
      <c r="C717" s="131"/>
      <c r="D717" s="131"/>
      <c r="E717" s="131"/>
      <c r="F717" s="144"/>
      <c r="G717" s="67"/>
      <c r="H717" s="67"/>
      <c r="I717" s="67"/>
      <c r="J717" s="67"/>
      <c r="K717" s="67"/>
      <c r="L717" s="67"/>
      <c r="M717" s="67"/>
      <c r="N717" s="67"/>
      <c r="O717" s="67"/>
      <c r="P717" s="67"/>
      <c r="Q717" s="67"/>
      <c r="R717" s="67"/>
      <c r="S717" s="67"/>
      <c r="T717" s="67"/>
      <c r="U717" s="67"/>
      <c r="V717" s="67"/>
      <c r="W717" s="67"/>
      <c r="X717" s="67"/>
      <c r="Y717" s="67"/>
      <c r="Z717" s="67"/>
    </row>
    <row r="718">
      <c r="A718" s="135"/>
      <c r="B718" s="125"/>
      <c r="C718" s="125"/>
      <c r="D718" s="125"/>
      <c r="E718" s="125"/>
      <c r="F718" s="146"/>
      <c r="G718" s="67"/>
      <c r="H718" s="67"/>
      <c r="I718" s="67"/>
      <c r="J718" s="67"/>
      <c r="K718" s="67"/>
      <c r="L718" s="67"/>
      <c r="M718" s="67"/>
      <c r="N718" s="67"/>
      <c r="O718" s="67"/>
      <c r="P718" s="67"/>
      <c r="Q718" s="67"/>
      <c r="R718" s="67"/>
      <c r="S718" s="67"/>
      <c r="T718" s="67"/>
      <c r="U718" s="67"/>
      <c r="V718" s="67"/>
      <c r="W718" s="67"/>
      <c r="X718" s="67"/>
      <c r="Y718" s="67"/>
      <c r="Z718" s="67"/>
    </row>
    <row r="719">
      <c r="A719" s="136"/>
      <c r="B719" s="131"/>
      <c r="C719" s="131"/>
      <c r="D719" s="131"/>
      <c r="E719" s="131"/>
      <c r="F719" s="144"/>
      <c r="G719" s="67"/>
      <c r="H719" s="67"/>
      <c r="I719" s="67"/>
      <c r="J719" s="67"/>
      <c r="K719" s="67"/>
      <c r="L719" s="67"/>
      <c r="M719" s="67"/>
      <c r="N719" s="67"/>
      <c r="O719" s="67"/>
      <c r="P719" s="67"/>
      <c r="Q719" s="67"/>
      <c r="R719" s="67"/>
      <c r="S719" s="67"/>
      <c r="T719" s="67"/>
      <c r="U719" s="67"/>
      <c r="V719" s="67"/>
      <c r="W719" s="67"/>
      <c r="X719" s="67"/>
      <c r="Y719" s="67"/>
      <c r="Z719" s="67"/>
    </row>
    <row r="720">
      <c r="A720" s="135"/>
      <c r="B720" s="125"/>
      <c r="C720" s="125"/>
      <c r="D720" s="125"/>
      <c r="E720" s="125"/>
      <c r="F720" s="146"/>
      <c r="G720" s="67"/>
      <c r="H720" s="67"/>
      <c r="I720" s="67"/>
      <c r="J720" s="67"/>
      <c r="K720" s="67"/>
      <c r="L720" s="67"/>
      <c r="M720" s="67"/>
      <c r="N720" s="67"/>
      <c r="O720" s="67"/>
      <c r="P720" s="67"/>
      <c r="Q720" s="67"/>
      <c r="R720" s="67"/>
      <c r="S720" s="67"/>
      <c r="T720" s="67"/>
      <c r="U720" s="67"/>
      <c r="V720" s="67"/>
      <c r="W720" s="67"/>
      <c r="X720" s="67"/>
      <c r="Y720" s="67"/>
      <c r="Z720" s="67"/>
    </row>
    <row r="721">
      <c r="A721" s="136"/>
      <c r="B721" s="131"/>
      <c r="C721" s="131"/>
      <c r="D721" s="131"/>
      <c r="E721" s="131"/>
      <c r="F721" s="144"/>
      <c r="G721" s="67"/>
      <c r="H721" s="67"/>
      <c r="I721" s="67"/>
      <c r="J721" s="67"/>
      <c r="K721" s="67"/>
      <c r="L721" s="67"/>
      <c r="M721" s="67"/>
      <c r="N721" s="67"/>
      <c r="O721" s="67"/>
      <c r="P721" s="67"/>
      <c r="Q721" s="67"/>
      <c r="R721" s="67"/>
      <c r="S721" s="67"/>
      <c r="T721" s="67"/>
      <c r="U721" s="67"/>
      <c r="V721" s="67"/>
      <c r="W721" s="67"/>
      <c r="X721" s="67"/>
      <c r="Y721" s="67"/>
      <c r="Z721" s="67"/>
    </row>
    <row r="722">
      <c r="A722" s="135"/>
      <c r="B722" s="125"/>
      <c r="C722" s="125"/>
      <c r="D722" s="125"/>
      <c r="E722" s="125"/>
      <c r="F722" s="146"/>
      <c r="G722" s="67"/>
      <c r="H722" s="67"/>
      <c r="I722" s="67"/>
      <c r="J722" s="67"/>
      <c r="K722" s="67"/>
      <c r="L722" s="67"/>
      <c r="M722" s="67"/>
      <c r="N722" s="67"/>
      <c r="O722" s="67"/>
      <c r="P722" s="67"/>
      <c r="Q722" s="67"/>
      <c r="R722" s="67"/>
      <c r="S722" s="67"/>
      <c r="T722" s="67"/>
      <c r="U722" s="67"/>
      <c r="V722" s="67"/>
      <c r="W722" s="67"/>
      <c r="X722" s="67"/>
      <c r="Y722" s="67"/>
      <c r="Z722" s="67"/>
    </row>
    <row r="723">
      <c r="A723" s="136"/>
      <c r="B723" s="131"/>
      <c r="C723" s="131"/>
      <c r="D723" s="131"/>
      <c r="E723" s="131"/>
      <c r="F723" s="144"/>
      <c r="G723" s="67"/>
      <c r="H723" s="67"/>
      <c r="I723" s="67"/>
      <c r="J723" s="67"/>
      <c r="K723" s="67"/>
      <c r="L723" s="67"/>
      <c r="M723" s="67"/>
      <c r="N723" s="67"/>
      <c r="O723" s="67"/>
      <c r="P723" s="67"/>
      <c r="Q723" s="67"/>
      <c r="R723" s="67"/>
      <c r="S723" s="67"/>
      <c r="T723" s="67"/>
      <c r="U723" s="67"/>
      <c r="V723" s="67"/>
      <c r="W723" s="67"/>
      <c r="X723" s="67"/>
      <c r="Y723" s="67"/>
      <c r="Z723" s="67"/>
    </row>
    <row r="724">
      <c r="A724" s="135"/>
      <c r="B724" s="125"/>
      <c r="C724" s="125"/>
      <c r="D724" s="125"/>
      <c r="E724" s="125"/>
      <c r="F724" s="146"/>
      <c r="G724" s="67"/>
      <c r="H724" s="67"/>
      <c r="I724" s="67"/>
      <c r="J724" s="67"/>
      <c r="K724" s="67"/>
      <c r="L724" s="67"/>
      <c r="M724" s="67"/>
      <c r="N724" s="67"/>
      <c r="O724" s="67"/>
      <c r="P724" s="67"/>
      <c r="Q724" s="67"/>
      <c r="R724" s="67"/>
      <c r="S724" s="67"/>
      <c r="T724" s="67"/>
      <c r="U724" s="67"/>
      <c r="V724" s="67"/>
      <c r="W724" s="67"/>
      <c r="X724" s="67"/>
      <c r="Y724" s="67"/>
      <c r="Z724" s="67"/>
    </row>
    <row r="725">
      <c r="A725" s="136"/>
      <c r="B725" s="131"/>
      <c r="C725" s="131"/>
      <c r="D725" s="131"/>
      <c r="E725" s="131"/>
      <c r="F725" s="144"/>
      <c r="G725" s="67"/>
      <c r="H725" s="67"/>
      <c r="I725" s="67"/>
      <c r="J725" s="67"/>
      <c r="K725" s="67"/>
      <c r="L725" s="67"/>
      <c r="M725" s="67"/>
      <c r="N725" s="67"/>
      <c r="O725" s="67"/>
      <c r="P725" s="67"/>
      <c r="Q725" s="67"/>
      <c r="R725" s="67"/>
      <c r="S725" s="67"/>
      <c r="T725" s="67"/>
      <c r="U725" s="67"/>
      <c r="V725" s="67"/>
      <c r="W725" s="67"/>
      <c r="X725" s="67"/>
      <c r="Y725" s="67"/>
      <c r="Z725" s="67"/>
    </row>
    <row r="726">
      <c r="A726" s="135"/>
      <c r="B726" s="125"/>
      <c r="C726" s="125"/>
      <c r="D726" s="125"/>
      <c r="E726" s="125"/>
      <c r="F726" s="146"/>
      <c r="G726" s="67"/>
      <c r="H726" s="67"/>
      <c r="I726" s="67"/>
      <c r="J726" s="67"/>
      <c r="K726" s="67"/>
      <c r="L726" s="67"/>
      <c r="M726" s="67"/>
      <c r="N726" s="67"/>
      <c r="O726" s="67"/>
      <c r="P726" s="67"/>
      <c r="Q726" s="67"/>
      <c r="R726" s="67"/>
      <c r="S726" s="67"/>
      <c r="T726" s="67"/>
      <c r="U726" s="67"/>
      <c r="V726" s="67"/>
      <c r="W726" s="67"/>
      <c r="X726" s="67"/>
      <c r="Y726" s="67"/>
      <c r="Z726" s="67"/>
    </row>
    <row r="727">
      <c r="A727" s="136"/>
      <c r="B727" s="131"/>
      <c r="C727" s="131"/>
      <c r="D727" s="131"/>
      <c r="E727" s="131"/>
      <c r="F727" s="144"/>
      <c r="G727" s="67"/>
      <c r="H727" s="67"/>
      <c r="I727" s="67"/>
      <c r="J727" s="67"/>
      <c r="K727" s="67"/>
      <c r="L727" s="67"/>
      <c r="M727" s="67"/>
      <c r="N727" s="67"/>
      <c r="O727" s="67"/>
      <c r="P727" s="67"/>
      <c r="Q727" s="67"/>
      <c r="R727" s="67"/>
      <c r="S727" s="67"/>
      <c r="T727" s="67"/>
      <c r="U727" s="67"/>
      <c r="V727" s="67"/>
      <c r="W727" s="67"/>
      <c r="X727" s="67"/>
      <c r="Y727" s="67"/>
      <c r="Z727" s="67"/>
    </row>
    <row r="728">
      <c r="A728" s="135"/>
      <c r="B728" s="125"/>
      <c r="C728" s="125"/>
      <c r="D728" s="125"/>
      <c r="E728" s="125"/>
      <c r="F728" s="146"/>
      <c r="G728" s="67"/>
      <c r="H728" s="67"/>
      <c r="I728" s="67"/>
      <c r="J728" s="67"/>
      <c r="K728" s="67"/>
      <c r="L728" s="67"/>
      <c r="M728" s="67"/>
      <c r="N728" s="67"/>
      <c r="O728" s="67"/>
      <c r="P728" s="67"/>
      <c r="Q728" s="67"/>
      <c r="R728" s="67"/>
      <c r="S728" s="67"/>
      <c r="T728" s="67"/>
      <c r="U728" s="67"/>
      <c r="V728" s="67"/>
      <c r="W728" s="67"/>
      <c r="X728" s="67"/>
      <c r="Y728" s="67"/>
      <c r="Z728" s="67"/>
    </row>
    <row r="729">
      <c r="A729" s="136"/>
      <c r="B729" s="131"/>
      <c r="C729" s="131"/>
      <c r="D729" s="131"/>
      <c r="E729" s="131"/>
      <c r="F729" s="144"/>
      <c r="G729" s="67"/>
      <c r="H729" s="67"/>
      <c r="I729" s="67"/>
      <c r="J729" s="67"/>
      <c r="K729" s="67"/>
      <c r="L729" s="67"/>
      <c r="M729" s="67"/>
      <c r="N729" s="67"/>
      <c r="O729" s="67"/>
      <c r="P729" s="67"/>
      <c r="Q729" s="67"/>
      <c r="R729" s="67"/>
      <c r="S729" s="67"/>
      <c r="T729" s="67"/>
      <c r="U729" s="67"/>
      <c r="V729" s="67"/>
      <c r="W729" s="67"/>
      <c r="X729" s="67"/>
      <c r="Y729" s="67"/>
      <c r="Z729" s="67"/>
    </row>
    <row r="730">
      <c r="A730" s="135"/>
      <c r="B730" s="125"/>
      <c r="C730" s="125"/>
      <c r="D730" s="125"/>
      <c r="E730" s="125"/>
      <c r="F730" s="146"/>
      <c r="G730" s="67"/>
      <c r="H730" s="67"/>
      <c r="I730" s="67"/>
      <c r="J730" s="67"/>
      <c r="K730" s="67"/>
      <c r="L730" s="67"/>
      <c r="M730" s="67"/>
      <c r="N730" s="67"/>
      <c r="O730" s="67"/>
      <c r="P730" s="67"/>
      <c r="Q730" s="67"/>
      <c r="R730" s="67"/>
      <c r="S730" s="67"/>
      <c r="T730" s="67"/>
      <c r="U730" s="67"/>
      <c r="V730" s="67"/>
      <c r="W730" s="67"/>
      <c r="X730" s="67"/>
      <c r="Y730" s="67"/>
      <c r="Z730" s="67"/>
    </row>
    <row r="731">
      <c r="A731" s="136"/>
      <c r="B731" s="131"/>
      <c r="C731" s="131"/>
      <c r="D731" s="131"/>
      <c r="E731" s="131"/>
      <c r="F731" s="144"/>
      <c r="G731" s="67"/>
      <c r="H731" s="67"/>
      <c r="I731" s="67"/>
      <c r="J731" s="67"/>
      <c r="K731" s="67"/>
      <c r="L731" s="67"/>
      <c r="M731" s="67"/>
      <c r="N731" s="67"/>
      <c r="O731" s="67"/>
      <c r="P731" s="67"/>
      <c r="Q731" s="67"/>
      <c r="R731" s="67"/>
      <c r="S731" s="67"/>
      <c r="T731" s="67"/>
      <c r="U731" s="67"/>
      <c r="V731" s="67"/>
      <c r="W731" s="67"/>
      <c r="X731" s="67"/>
      <c r="Y731" s="67"/>
      <c r="Z731" s="67"/>
    </row>
    <row r="732">
      <c r="A732" s="135"/>
      <c r="B732" s="125"/>
      <c r="C732" s="125"/>
      <c r="D732" s="125"/>
      <c r="E732" s="125"/>
      <c r="F732" s="146"/>
      <c r="G732" s="67"/>
      <c r="H732" s="67"/>
      <c r="I732" s="67"/>
      <c r="J732" s="67"/>
      <c r="K732" s="67"/>
      <c r="L732" s="67"/>
      <c r="M732" s="67"/>
      <c r="N732" s="67"/>
      <c r="O732" s="67"/>
      <c r="P732" s="67"/>
      <c r="Q732" s="67"/>
      <c r="R732" s="67"/>
      <c r="S732" s="67"/>
      <c r="T732" s="67"/>
      <c r="U732" s="67"/>
      <c r="V732" s="67"/>
      <c r="W732" s="67"/>
      <c r="X732" s="67"/>
      <c r="Y732" s="67"/>
      <c r="Z732" s="67"/>
    </row>
    <row r="733">
      <c r="A733" s="136"/>
      <c r="B733" s="131"/>
      <c r="C733" s="131"/>
      <c r="D733" s="131"/>
      <c r="E733" s="131"/>
      <c r="F733" s="144"/>
      <c r="G733" s="67"/>
      <c r="H733" s="67"/>
      <c r="I733" s="67"/>
      <c r="J733" s="67"/>
      <c r="K733" s="67"/>
      <c r="L733" s="67"/>
      <c r="M733" s="67"/>
      <c r="N733" s="67"/>
      <c r="O733" s="67"/>
      <c r="P733" s="67"/>
      <c r="Q733" s="67"/>
      <c r="R733" s="67"/>
      <c r="S733" s="67"/>
      <c r="T733" s="67"/>
      <c r="U733" s="67"/>
      <c r="V733" s="67"/>
      <c r="W733" s="67"/>
      <c r="X733" s="67"/>
      <c r="Y733" s="67"/>
      <c r="Z733" s="67"/>
    </row>
    <row r="734">
      <c r="A734" s="135"/>
      <c r="B734" s="125"/>
      <c r="C734" s="125"/>
      <c r="D734" s="125"/>
      <c r="E734" s="125"/>
      <c r="F734" s="146"/>
      <c r="G734" s="67"/>
      <c r="H734" s="67"/>
      <c r="I734" s="67"/>
      <c r="J734" s="67"/>
      <c r="K734" s="67"/>
      <c r="L734" s="67"/>
      <c r="M734" s="67"/>
      <c r="N734" s="67"/>
      <c r="O734" s="67"/>
      <c r="P734" s="67"/>
      <c r="Q734" s="67"/>
      <c r="R734" s="67"/>
      <c r="S734" s="67"/>
      <c r="T734" s="67"/>
      <c r="U734" s="67"/>
      <c r="V734" s="67"/>
      <c r="W734" s="67"/>
      <c r="X734" s="67"/>
      <c r="Y734" s="67"/>
      <c r="Z734" s="67"/>
    </row>
    <row r="735">
      <c r="A735" s="136"/>
      <c r="B735" s="131"/>
      <c r="C735" s="131"/>
      <c r="D735" s="131"/>
      <c r="E735" s="131"/>
      <c r="F735" s="144"/>
      <c r="G735" s="67"/>
      <c r="H735" s="67"/>
      <c r="I735" s="67"/>
      <c r="J735" s="67"/>
      <c r="K735" s="67"/>
      <c r="L735" s="67"/>
      <c r="M735" s="67"/>
      <c r="N735" s="67"/>
      <c r="O735" s="67"/>
      <c r="P735" s="67"/>
      <c r="Q735" s="67"/>
      <c r="R735" s="67"/>
      <c r="S735" s="67"/>
      <c r="T735" s="67"/>
      <c r="U735" s="67"/>
      <c r="V735" s="67"/>
      <c r="W735" s="67"/>
      <c r="X735" s="67"/>
      <c r="Y735" s="67"/>
      <c r="Z735" s="67"/>
    </row>
    <row r="736">
      <c r="A736" s="135"/>
      <c r="B736" s="125"/>
      <c r="C736" s="125"/>
      <c r="D736" s="125"/>
      <c r="E736" s="125"/>
      <c r="F736" s="146"/>
      <c r="G736" s="67"/>
      <c r="H736" s="67"/>
      <c r="I736" s="67"/>
      <c r="J736" s="67"/>
      <c r="K736" s="67"/>
      <c r="L736" s="67"/>
      <c r="M736" s="67"/>
      <c r="N736" s="67"/>
      <c r="O736" s="67"/>
      <c r="P736" s="67"/>
      <c r="Q736" s="67"/>
      <c r="R736" s="67"/>
      <c r="S736" s="67"/>
      <c r="T736" s="67"/>
      <c r="U736" s="67"/>
      <c r="V736" s="67"/>
      <c r="W736" s="67"/>
      <c r="X736" s="67"/>
      <c r="Y736" s="67"/>
      <c r="Z736" s="67"/>
    </row>
    <row r="737">
      <c r="A737" s="136"/>
      <c r="B737" s="131"/>
      <c r="C737" s="131"/>
      <c r="D737" s="131"/>
      <c r="E737" s="131"/>
      <c r="F737" s="144"/>
      <c r="G737" s="67"/>
      <c r="H737" s="67"/>
      <c r="I737" s="67"/>
      <c r="J737" s="67"/>
      <c r="K737" s="67"/>
      <c r="L737" s="67"/>
      <c r="M737" s="67"/>
      <c r="N737" s="67"/>
      <c r="O737" s="67"/>
      <c r="P737" s="67"/>
      <c r="Q737" s="67"/>
      <c r="R737" s="67"/>
      <c r="S737" s="67"/>
      <c r="T737" s="67"/>
      <c r="U737" s="67"/>
      <c r="V737" s="67"/>
      <c r="W737" s="67"/>
      <c r="X737" s="67"/>
      <c r="Y737" s="67"/>
      <c r="Z737" s="67"/>
    </row>
    <row r="738">
      <c r="A738" s="135"/>
      <c r="B738" s="125"/>
      <c r="C738" s="125"/>
      <c r="D738" s="125"/>
      <c r="E738" s="125"/>
      <c r="F738" s="146"/>
      <c r="G738" s="67"/>
      <c r="H738" s="67"/>
      <c r="I738" s="67"/>
      <c r="J738" s="67"/>
      <c r="K738" s="67"/>
      <c r="L738" s="67"/>
      <c r="M738" s="67"/>
      <c r="N738" s="67"/>
      <c r="O738" s="67"/>
      <c r="P738" s="67"/>
      <c r="Q738" s="67"/>
      <c r="R738" s="67"/>
      <c r="S738" s="67"/>
      <c r="T738" s="67"/>
      <c r="U738" s="67"/>
      <c r="V738" s="67"/>
      <c r="W738" s="67"/>
      <c r="X738" s="67"/>
      <c r="Y738" s="67"/>
      <c r="Z738" s="67"/>
    </row>
    <row r="739">
      <c r="A739" s="136"/>
      <c r="B739" s="131"/>
      <c r="C739" s="131"/>
      <c r="D739" s="131"/>
      <c r="E739" s="131"/>
      <c r="F739" s="144"/>
      <c r="G739" s="67"/>
      <c r="H739" s="67"/>
      <c r="I739" s="67"/>
      <c r="J739" s="67"/>
      <c r="K739" s="67"/>
      <c r="L739" s="67"/>
      <c r="M739" s="67"/>
      <c r="N739" s="67"/>
      <c r="O739" s="67"/>
      <c r="P739" s="67"/>
      <c r="Q739" s="67"/>
      <c r="R739" s="67"/>
      <c r="S739" s="67"/>
      <c r="T739" s="67"/>
      <c r="U739" s="67"/>
      <c r="V739" s="67"/>
      <c r="W739" s="67"/>
      <c r="X739" s="67"/>
      <c r="Y739" s="67"/>
      <c r="Z739" s="67"/>
    </row>
    <row r="740">
      <c r="A740" s="135"/>
      <c r="B740" s="125"/>
      <c r="C740" s="125"/>
      <c r="D740" s="125"/>
      <c r="E740" s="125"/>
      <c r="F740" s="146"/>
      <c r="G740" s="67"/>
      <c r="H740" s="67"/>
      <c r="I740" s="67"/>
      <c r="J740" s="67"/>
      <c r="K740" s="67"/>
      <c r="L740" s="67"/>
      <c r="M740" s="67"/>
      <c r="N740" s="67"/>
      <c r="O740" s="67"/>
      <c r="P740" s="67"/>
      <c r="Q740" s="67"/>
      <c r="R740" s="67"/>
      <c r="S740" s="67"/>
      <c r="T740" s="67"/>
      <c r="U740" s="67"/>
      <c r="V740" s="67"/>
      <c r="W740" s="67"/>
      <c r="X740" s="67"/>
      <c r="Y740" s="67"/>
      <c r="Z740" s="67"/>
    </row>
    <row r="741">
      <c r="A741" s="136"/>
      <c r="B741" s="131"/>
      <c r="C741" s="131"/>
      <c r="D741" s="131"/>
      <c r="E741" s="131"/>
      <c r="F741" s="144"/>
      <c r="G741" s="67"/>
      <c r="H741" s="67"/>
      <c r="I741" s="67"/>
      <c r="J741" s="67"/>
      <c r="K741" s="67"/>
      <c r="L741" s="67"/>
      <c r="M741" s="67"/>
      <c r="N741" s="67"/>
      <c r="O741" s="67"/>
      <c r="P741" s="67"/>
      <c r="Q741" s="67"/>
      <c r="R741" s="67"/>
      <c r="S741" s="67"/>
      <c r="T741" s="67"/>
      <c r="U741" s="67"/>
      <c r="V741" s="67"/>
      <c r="W741" s="67"/>
      <c r="X741" s="67"/>
      <c r="Y741" s="67"/>
      <c r="Z741" s="67"/>
    </row>
    <row r="742">
      <c r="A742" s="135"/>
      <c r="B742" s="125"/>
      <c r="C742" s="125"/>
      <c r="D742" s="125"/>
      <c r="E742" s="125"/>
      <c r="F742" s="146"/>
      <c r="G742" s="67"/>
      <c r="H742" s="67"/>
      <c r="I742" s="67"/>
      <c r="J742" s="67"/>
      <c r="K742" s="67"/>
      <c r="L742" s="67"/>
      <c r="M742" s="67"/>
      <c r="N742" s="67"/>
      <c r="O742" s="67"/>
      <c r="P742" s="67"/>
      <c r="Q742" s="67"/>
      <c r="R742" s="67"/>
      <c r="S742" s="67"/>
      <c r="T742" s="67"/>
      <c r="U742" s="67"/>
      <c r="V742" s="67"/>
      <c r="W742" s="67"/>
      <c r="X742" s="67"/>
      <c r="Y742" s="67"/>
      <c r="Z742" s="67"/>
    </row>
    <row r="743">
      <c r="A743" s="136"/>
      <c r="B743" s="131"/>
      <c r="C743" s="131"/>
      <c r="D743" s="131"/>
      <c r="E743" s="131"/>
      <c r="F743" s="144"/>
      <c r="G743" s="67"/>
      <c r="H743" s="67"/>
      <c r="I743" s="67"/>
      <c r="J743" s="67"/>
      <c r="K743" s="67"/>
      <c r="L743" s="67"/>
      <c r="M743" s="67"/>
      <c r="N743" s="67"/>
      <c r="O743" s="67"/>
      <c r="P743" s="67"/>
      <c r="Q743" s="67"/>
      <c r="R743" s="67"/>
      <c r="S743" s="67"/>
      <c r="T743" s="67"/>
      <c r="U743" s="67"/>
      <c r="V743" s="67"/>
      <c r="W743" s="67"/>
      <c r="X743" s="67"/>
      <c r="Y743" s="67"/>
      <c r="Z743" s="67"/>
    </row>
    <row r="744">
      <c r="A744" s="135"/>
      <c r="B744" s="125"/>
      <c r="C744" s="125"/>
      <c r="D744" s="125"/>
      <c r="E744" s="125"/>
      <c r="F744" s="146"/>
      <c r="G744" s="67"/>
      <c r="H744" s="67"/>
      <c r="I744" s="67"/>
      <c r="J744" s="67"/>
      <c r="K744" s="67"/>
      <c r="L744" s="67"/>
      <c r="M744" s="67"/>
      <c r="N744" s="67"/>
      <c r="O744" s="67"/>
      <c r="P744" s="67"/>
      <c r="Q744" s="67"/>
      <c r="R744" s="67"/>
      <c r="S744" s="67"/>
      <c r="T744" s="67"/>
      <c r="U744" s="67"/>
      <c r="V744" s="67"/>
      <c r="W744" s="67"/>
      <c r="X744" s="67"/>
      <c r="Y744" s="67"/>
      <c r="Z744" s="67"/>
    </row>
    <row r="745">
      <c r="A745" s="136"/>
      <c r="B745" s="131"/>
      <c r="C745" s="131"/>
      <c r="D745" s="131"/>
      <c r="E745" s="131"/>
      <c r="F745" s="144"/>
      <c r="G745" s="67"/>
      <c r="H745" s="67"/>
      <c r="I745" s="67"/>
      <c r="J745" s="67"/>
      <c r="K745" s="67"/>
      <c r="L745" s="67"/>
      <c r="M745" s="67"/>
      <c r="N745" s="67"/>
      <c r="O745" s="67"/>
      <c r="P745" s="67"/>
      <c r="Q745" s="67"/>
      <c r="R745" s="67"/>
      <c r="S745" s="67"/>
      <c r="T745" s="67"/>
      <c r="U745" s="67"/>
      <c r="V745" s="67"/>
      <c r="W745" s="67"/>
      <c r="X745" s="67"/>
      <c r="Y745" s="67"/>
      <c r="Z745" s="67"/>
    </row>
    <row r="746">
      <c r="A746" s="135"/>
      <c r="B746" s="125"/>
      <c r="C746" s="125"/>
      <c r="D746" s="125"/>
      <c r="E746" s="125"/>
      <c r="F746" s="146"/>
      <c r="G746" s="67"/>
      <c r="H746" s="67"/>
      <c r="I746" s="67"/>
      <c r="J746" s="67"/>
      <c r="K746" s="67"/>
      <c r="L746" s="67"/>
      <c r="M746" s="67"/>
      <c r="N746" s="67"/>
      <c r="O746" s="67"/>
      <c r="P746" s="67"/>
      <c r="Q746" s="67"/>
      <c r="R746" s="67"/>
      <c r="S746" s="67"/>
      <c r="T746" s="67"/>
      <c r="U746" s="67"/>
      <c r="V746" s="67"/>
      <c r="W746" s="67"/>
      <c r="X746" s="67"/>
      <c r="Y746" s="67"/>
      <c r="Z746" s="67"/>
    </row>
    <row r="747">
      <c r="A747" s="136"/>
      <c r="B747" s="131"/>
      <c r="C747" s="131"/>
      <c r="D747" s="131"/>
      <c r="E747" s="131"/>
      <c r="F747" s="144"/>
      <c r="G747" s="67"/>
      <c r="H747" s="67"/>
      <c r="I747" s="67"/>
      <c r="J747" s="67"/>
      <c r="K747" s="67"/>
      <c r="L747" s="67"/>
      <c r="M747" s="67"/>
      <c r="N747" s="67"/>
      <c r="O747" s="67"/>
      <c r="P747" s="67"/>
      <c r="Q747" s="67"/>
      <c r="R747" s="67"/>
      <c r="S747" s="67"/>
      <c r="T747" s="67"/>
      <c r="U747" s="67"/>
      <c r="V747" s="67"/>
      <c r="W747" s="67"/>
      <c r="X747" s="67"/>
      <c r="Y747" s="67"/>
      <c r="Z747" s="67"/>
    </row>
    <row r="748">
      <c r="A748" s="135"/>
      <c r="B748" s="125"/>
      <c r="C748" s="125"/>
      <c r="D748" s="125"/>
      <c r="E748" s="125"/>
      <c r="F748" s="146"/>
      <c r="G748" s="67"/>
      <c r="H748" s="67"/>
      <c r="I748" s="67"/>
      <c r="J748" s="67"/>
      <c r="K748" s="67"/>
      <c r="L748" s="67"/>
      <c r="M748" s="67"/>
      <c r="N748" s="67"/>
      <c r="O748" s="67"/>
      <c r="P748" s="67"/>
      <c r="Q748" s="67"/>
      <c r="R748" s="67"/>
      <c r="S748" s="67"/>
      <c r="T748" s="67"/>
      <c r="U748" s="67"/>
      <c r="V748" s="67"/>
      <c r="W748" s="67"/>
      <c r="X748" s="67"/>
      <c r="Y748" s="67"/>
      <c r="Z748" s="67"/>
    </row>
    <row r="749">
      <c r="A749" s="136"/>
      <c r="B749" s="131"/>
      <c r="C749" s="131"/>
      <c r="D749" s="131"/>
      <c r="E749" s="131"/>
      <c r="F749" s="144"/>
      <c r="G749" s="67"/>
      <c r="H749" s="67"/>
      <c r="I749" s="67"/>
      <c r="J749" s="67"/>
      <c r="K749" s="67"/>
      <c r="L749" s="67"/>
      <c r="M749" s="67"/>
      <c r="N749" s="67"/>
      <c r="O749" s="67"/>
      <c r="P749" s="67"/>
      <c r="Q749" s="67"/>
      <c r="R749" s="67"/>
      <c r="S749" s="67"/>
      <c r="T749" s="67"/>
      <c r="U749" s="67"/>
      <c r="V749" s="67"/>
      <c r="W749" s="67"/>
      <c r="X749" s="67"/>
      <c r="Y749" s="67"/>
      <c r="Z749" s="67"/>
    </row>
    <row r="750">
      <c r="A750" s="135"/>
      <c r="B750" s="125"/>
      <c r="C750" s="125"/>
      <c r="D750" s="125"/>
      <c r="E750" s="125"/>
      <c r="F750" s="146"/>
      <c r="G750" s="67"/>
      <c r="H750" s="67"/>
      <c r="I750" s="67"/>
      <c r="J750" s="67"/>
      <c r="K750" s="67"/>
      <c r="L750" s="67"/>
      <c r="M750" s="67"/>
      <c r="N750" s="67"/>
      <c r="O750" s="67"/>
      <c r="P750" s="67"/>
      <c r="Q750" s="67"/>
      <c r="R750" s="67"/>
      <c r="S750" s="67"/>
      <c r="T750" s="67"/>
      <c r="U750" s="67"/>
      <c r="V750" s="67"/>
      <c r="W750" s="67"/>
      <c r="X750" s="67"/>
      <c r="Y750" s="67"/>
      <c r="Z750" s="67"/>
    </row>
    <row r="751">
      <c r="A751" s="136"/>
      <c r="B751" s="131"/>
      <c r="C751" s="131"/>
      <c r="D751" s="131"/>
      <c r="E751" s="131"/>
      <c r="F751" s="144"/>
      <c r="G751" s="67"/>
      <c r="H751" s="67"/>
      <c r="I751" s="67"/>
      <c r="J751" s="67"/>
      <c r="K751" s="67"/>
      <c r="L751" s="67"/>
      <c r="M751" s="67"/>
      <c r="N751" s="67"/>
      <c r="O751" s="67"/>
      <c r="P751" s="67"/>
      <c r="Q751" s="67"/>
      <c r="R751" s="67"/>
      <c r="S751" s="67"/>
      <c r="T751" s="67"/>
      <c r="U751" s="67"/>
      <c r="V751" s="67"/>
      <c r="W751" s="67"/>
      <c r="X751" s="67"/>
      <c r="Y751" s="67"/>
      <c r="Z751" s="67"/>
    </row>
    <row r="752">
      <c r="A752" s="135"/>
      <c r="B752" s="125"/>
      <c r="C752" s="125"/>
      <c r="D752" s="125"/>
      <c r="E752" s="125"/>
      <c r="F752" s="146"/>
      <c r="G752" s="67"/>
      <c r="H752" s="67"/>
      <c r="I752" s="67"/>
      <c r="J752" s="67"/>
      <c r="K752" s="67"/>
      <c r="L752" s="67"/>
      <c r="M752" s="67"/>
      <c r="N752" s="67"/>
      <c r="O752" s="67"/>
      <c r="P752" s="67"/>
      <c r="Q752" s="67"/>
      <c r="R752" s="67"/>
      <c r="S752" s="67"/>
      <c r="T752" s="67"/>
      <c r="U752" s="67"/>
      <c r="V752" s="67"/>
      <c r="W752" s="67"/>
      <c r="X752" s="67"/>
      <c r="Y752" s="67"/>
      <c r="Z752" s="67"/>
    </row>
    <row r="753">
      <c r="A753" s="136"/>
      <c r="B753" s="131"/>
      <c r="C753" s="131"/>
      <c r="D753" s="131"/>
      <c r="E753" s="131"/>
      <c r="F753" s="144"/>
      <c r="G753" s="67"/>
      <c r="H753" s="67"/>
      <c r="I753" s="67"/>
      <c r="J753" s="67"/>
      <c r="K753" s="67"/>
      <c r="L753" s="67"/>
      <c r="M753" s="67"/>
      <c r="N753" s="67"/>
      <c r="O753" s="67"/>
      <c r="P753" s="67"/>
      <c r="Q753" s="67"/>
      <c r="R753" s="67"/>
      <c r="S753" s="67"/>
      <c r="T753" s="67"/>
      <c r="U753" s="67"/>
      <c r="V753" s="67"/>
      <c r="W753" s="67"/>
      <c r="X753" s="67"/>
      <c r="Y753" s="67"/>
      <c r="Z753" s="67"/>
    </row>
    <row r="754">
      <c r="A754" s="135"/>
      <c r="B754" s="125"/>
      <c r="C754" s="125"/>
      <c r="D754" s="125"/>
      <c r="E754" s="125"/>
      <c r="F754" s="146"/>
      <c r="G754" s="67"/>
      <c r="H754" s="67"/>
      <c r="I754" s="67"/>
      <c r="J754" s="67"/>
      <c r="K754" s="67"/>
      <c r="L754" s="67"/>
      <c r="M754" s="67"/>
      <c r="N754" s="67"/>
      <c r="O754" s="67"/>
      <c r="P754" s="67"/>
      <c r="Q754" s="67"/>
      <c r="R754" s="67"/>
      <c r="S754" s="67"/>
      <c r="T754" s="67"/>
      <c r="U754" s="67"/>
      <c r="V754" s="67"/>
      <c r="W754" s="67"/>
      <c r="X754" s="67"/>
      <c r="Y754" s="67"/>
      <c r="Z754" s="67"/>
    </row>
    <row r="755">
      <c r="A755" s="136"/>
      <c r="B755" s="131"/>
      <c r="C755" s="131"/>
      <c r="D755" s="131"/>
      <c r="E755" s="131"/>
      <c r="F755" s="144"/>
      <c r="G755" s="67"/>
      <c r="H755" s="67"/>
      <c r="I755" s="67"/>
      <c r="J755" s="67"/>
      <c r="K755" s="67"/>
      <c r="L755" s="67"/>
      <c r="M755" s="67"/>
      <c r="N755" s="67"/>
      <c r="O755" s="67"/>
      <c r="P755" s="67"/>
      <c r="Q755" s="67"/>
      <c r="R755" s="67"/>
      <c r="S755" s="67"/>
      <c r="T755" s="67"/>
      <c r="U755" s="67"/>
      <c r="V755" s="67"/>
      <c r="W755" s="67"/>
      <c r="X755" s="67"/>
      <c r="Y755" s="67"/>
      <c r="Z755" s="67"/>
    </row>
    <row r="756">
      <c r="A756" s="135"/>
      <c r="B756" s="125"/>
      <c r="C756" s="125"/>
      <c r="D756" s="125"/>
      <c r="E756" s="125"/>
      <c r="F756" s="146"/>
      <c r="G756" s="67"/>
      <c r="H756" s="67"/>
      <c r="I756" s="67"/>
      <c r="J756" s="67"/>
      <c r="K756" s="67"/>
      <c r="L756" s="67"/>
      <c r="M756" s="67"/>
      <c r="N756" s="67"/>
      <c r="O756" s="67"/>
      <c r="P756" s="67"/>
      <c r="Q756" s="67"/>
      <c r="R756" s="67"/>
      <c r="S756" s="67"/>
      <c r="T756" s="67"/>
      <c r="U756" s="67"/>
      <c r="V756" s="67"/>
      <c r="W756" s="67"/>
      <c r="X756" s="67"/>
      <c r="Y756" s="67"/>
      <c r="Z756" s="67"/>
    </row>
    <row r="757">
      <c r="A757" s="136"/>
      <c r="B757" s="131"/>
      <c r="C757" s="131"/>
      <c r="D757" s="131"/>
      <c r="E757" s="131"/>
      <c r="F757" s="144"/>
      <c r="G757" s="67"/>
      <c r="H757" s="67"/>
      <c r="I757" s="67"/>
      <c r="J757" s="67"/>
      <c r="K757" s="67"/>
      <c r="L757" s="67"/>
      <c r="M757" s="67"/>
      <c r="N757" s="67"/>
      <c r="O757" s="67"/>
      <c r="P757" s="67"/>
      <c r="Q757" s="67"/>
      <c r="R757" s="67"/>
      <c r="S757" s="67"/>
      <c r="T757" s="67"/>
      <c r="U757" s="67"/>
      <c r="V757" s="67"/>
      <c r="W757" s="67"/>
      <c r="X757" s="67"/>
      <c r="Y757" s="67"/>
      <c r="Z757" s="67"/>
    </row>
    <row r="758">
      <c r="A758" s="135"/>
      <c r="B758" s="125"/>
      <c r="C758" s="125"/>
      <c r="D758" s="125"/>
      <c r="E758" s="125"/>
      <c r="F758" s="146"/>
      <c r="G758" s="67"/>
      <c r="H758" s="67"/>
      <c r="I758" s="67"/>
      <c r="J758" s="67"/>
      <c r="K758" s="67"/>
      <c r="L758" s="67"/>
      <c r="M758" s="67"/>
      <c r="N758" s="67"/>
      <c r="O758" s="67"/>
      <c r="P758" s="67"/>
      <c r="Q758" s="67"/>
      <c r="R758" s="67"/>
      <c r="S758" s="67"/>
      <c r="T758" s="67"/>
      <c r="U758" s="67"/>
      <c r="V758" s="67"/>
      <c r="W758" s="67"/>
      <c r="X758" s="67"/>
      <c r="Y758" s="67"/>
      <c r="Z758" s="67"/>
    </row>
    <row r="759">
      <c r="A759" s="136"/>
      <c r="B759" s="131"/>
      <c r="C759" s="131"/>
      <c r="D759" s="131"/>
      <c r="E759" s="131"/>
      <c r="F759" s="144"/>
      <c r="G759" s="67"/>
      <c r="H759" s="67"/>
      <c r="I759" s="67"/>
      <c r="J759" s="67"/>
      <c r="K759" s="67"/>
      <c r="L759" s="67"/>
      <c r="M759" s="67"/>
      <c r="N759" s="67"/>
      <c r="O759" s="67"/>
      <c r="P759" s="67"/>
      <c r="Q759" s="67"/>
      <c r="R759" s="67"/>
      <c r="S759" s="67"/>
      <c r="T759" s="67"/>
      <c r="U759" s="67"/>
      <c r="V759" s="67"/>
      <c r="W759" s="67"/>
      <c r="X759" s="67"/>
      <c r="Y759" s="67"/>
      <c r="Z759" s="67"/>
    </row>
    <row r="760">
      <c r="A760" s="135"/>
      <c r="B760" s="125"/>
      <c r="C760" s="125"/>
      <c r="D760" s="125"/>
      <c r="E760" s="125"/>
      <c r="F760" s="146"/>
      <c r="G760" s="67"/>
      <c r="H760" s="67"/>
      <c r="I760" s="67"/>
      <c r="J760" s="67"/>
      <c r="K760" s="67"/>
      <c r="L760" s="67"/>
      <c r="M760" s="67"/>
      <c r="N760" s="67"/>
      <c r="O760" s="67"/>
      <c r="P760" s="67"/>
      <c r="Q760" s="67"/>
      <c r="R760" s="67"/>
      <c r="S760" s="67"/>
      <c r="T760" s="67"/>
      <c r="U760" s="67"/>
      <c r="V760" s="67"/>
      <c r="W760" s="67"/>
      <c r="X760" s="67"/>
      <c r="Y760" s="67"/>
      <c r="Z760" s="67"/>
    </row>
    <row r="761">
      <c r="A761" s="136"/>
      <c r="B761" s="131"/>
      <c r="C761" s="131"/>
      <c r="D761" s="131"/>
      <c r="E761" s="131"/>
      <c r="F761" s="144"/>
      <c r="G761" s="67"/>
      <c r="H761" s="67"/>
      <c r="I761" s="67"/>
      <c r="J761" s="67"/>
      <c r="K761" s="67"/>
      <c r="L761" s="67"/>
      <c r="M761" s="67"/>
      <c r="N761" s="67"/>
      <c r="O761" s="67"/>
      <c r="P761" s="67"/>
      <c r="Q761" s="67"/>
      <c r="R761" s="67"/>
      <c r="S761" s="67"/>
      <c r="T761" s="67"/>
      <c r="U761" s="67"/>
      <c r="V761" s="67"/>
      <c r="W761" s="67"/>
      <c r="X761" s="67"/>
      <c r="Y761" s="67"/>
      <c r="Z761" s="67"/>
    </row>
    <row r="762">
      <c r="A762" s="135"/>
      <c r="B762" s="125"/>
      <c r="C762" s="125"/>
      <c r="D762" s="125"/>
      <c r="E762" s="125"/>
      <c r="F762" s="146"/>
      <c r="G762" s="67"/>
      <c r="H762" s="67"/>
      <c r="I762" s="67"/>
      <c r="J762" s="67"/>
      <c r="K762" s="67"/>
      <c r="L762" s="67"/>
      <c r="M762" s="67"/>
      <c r="N762" s="67"/>
      <c r="O762" s="67"/>
      <c r="P762" s="67"/>
      <c r="Q762" s="67"/>
      <c r="R762" s="67"/>
      <c r="S762" s="67"/>
      <c r="T762" s="67"/>
      <c r="U762" s="67"/>
      <c r="V762" s="67"/>
      <c r="W762" s="67"/>
      <c r="X762" s="67"/>
      <c r="Y762" s="67"/>
      <c r="Z762" s="67"/>
    </row>
    <row r="763">
      <c r="A763" s="136"/>
      <c r="B763" s="131"/>
      <c r="C763" s="131"/>
      <c r="D763" s="131"/>
      <c r="E763" s="131"/>
      <c r="F763" s="144"/>
      <c r="G763" s="67"/>
      <c r="H763" s="67"/>
      <c r="I763" s="67"/>
      <c r="J763" s="67"/>
      <c r="K763" s="67"/>
      <c r="L763" s="67"/>
      <c r="M763" s="67"/>
      <c r="N763" s="67"/>
      <c r="O763" s="67"/>
      <c r="P763" s="67"/>
      <c r="Q763" s="67"/>
      <c r="R763" s="67"/>
      <c r="S763" s="67"/>
      <c r="T763" s="67"/>
      <c r="U763" s="67"/>
      <c r="V763" s="67"/>
      <c r="W763" s="67"/>
      <c r="X763" s="67"/>
      <c r="Y763" s="67"/>
      <c r="Z763" s="67"/>
    </row>
    <row r="764">
      <c r="A764" s="135"/>
      <c r="B764" s="125"/>
      <c r="C764" s="125"/>
      <c r="D764" s="125"/>
      <c r="E764" s="125"/>
      <c r="F764" s="146"/>
      <c r="G764" s="67"/>
      <c r="H764" s="67"/>
      <c r="I764" s="67"/>
      <c r="J764" s="67"/>
      <c r="K764" s="67"/>
      <c r="L764" s="67"/>
      <c r="M764" s="67"/>
      <c r="N764" s="67"/>
      <c r="O764" s="67"/>
      <c r="P764" s="67"/>
      <c r="Q764" s="67"/>
      <c r="R764" s="67"/>
      <c r="S764" s="67"/>
      <c r="T764" s="67"/>
      <c r="U764" s="67"/>
      <c r="V764" s="67"/>
      <c r="W764" s="67"/>
      <c r="X764" s="67"/>
      <c r="Y764" s="67"/>
      <c r="Z764" s="67"/>
    </row>
    <row r="765">
      <c r="A765" s="136"/>
      <c r="B765" s="131"/>
      <c r="C765" s="131"/>
      <c r="D765" s="131"/>
      <c r="E765" s="131"/>
      <c r="F765" s="144"/>
      <c r="G765" s="67"/>
      <c r="H765" s="67"/>
      <c r="I765" s="67"/>
      <c r="J765" s="67"/>
      <c r="K765" s="67"/>
      <c r="L765" s="67"/>
      <c r="M765" s="67"/>
      <c r="N765" s="67"/>
      <c r="O765" s="67"/>
      <c r="P765" s="67"/>
      <c r="Q765" s="67"/>
      <c r="R765" s="67"/>
      <c r="S765" s="67"/>
      <c r="T765" s="67"/>
      <c r="U765" s="67"/>
      <c r="V765" s="67"/>
      <c r="W765" s="67"/>
      <c r="X765" s="67"/>
      <c r="Y765" s="67"/>
      <c r="Z765" s="67"/>
    </row>
    <row r="766">
      <c r="A766" s="135"/>
      <c r="B766" s="125"/>
      <c r="C766" s="125"/>
      <c r="D766" s="125"/>
      <c r="E766" s="125"/>
      <c r="F766" s="146"/>
      <c r="G766" s="67"/>
      <c r="H766" s="67"/>
      <c r="I766" s="67"/>
      <c r="J766" s="67"/>
      <c r="K766" s="67"/>
      <c r="L766" s="67"/>
      <c r="M766" s="67"/>
      <c r="N766" s="67"/>
      <c r="O766" s="67"/>
      <c r="P766" s="67"/>
      <c r="Q766" s="67"/>
      <c r="R766" s="67"/>
      <c r="S766" s="67"/>
      <c r="T766" s="67"/>
      <c r="U766" s="67"/>
      <c r="V766" s="67"/>
      <c r="W766" s="67"/>
      <c r="X766" s="67"/>
      <c r="Y766" s="67"/>
      <c r="Z766" s="67"/>
    </row>
    <row r="767">
      <c r="A767" s="136"/>
      <c r="B767" s="131"/>
      <c r="C767" s="131"/>
      <c r="D767" s="131"/>
      <c r="E767" s="131"/>
      <c r="F767" s="144"/>
      <c r="G767" s="67"/>
      <c r="H767" s="67"/>
      <c r="I767" s="67"/>
      <c r="J767" s="67"/>
      <c r="K767" s="67"/>
      <c r="L767" s="67"/>
      <c r="M767" s="67"/>
      <c r="N767" s="67"/>
      <c r="O767" s="67"/>
      <c r="P767" s="67"/>
      <c r="Q767" s="67"/>
      <c r="R767" s="67"/>
      <c r="S767" s="67"/>
      <c r="T767" s="67"/>
      <c r="U767" s="67"/>
      <c r="V767" s="67"/>
      <c r="W767" s="67"/>
      <c r="X767" s="67"/>
      <c r="Y767" s="67"/>
      <c r="Z767" s="67"/>
    </row>
    <row r="768">
      <c r="A768" s="135"/>
      <c r="B768" s="125"/>
      <c r="C768" s="125"/>
      <c r="D768" s="125"/>
      <c r="E768" s="125"/>
      <c r="F768" s="146"/>
      <c r="G768" s="67"/>
      <c r="H768" s="67"/>
      <c r="I768" s="67"/>
      <c r="J768" s="67"/>
      <c r="K768" s="67"/>
      <c r="L768" s="67"/>
      <c r="M768" s="67"/>
      <c r="N768" s="67"/>
      <c r="O768" s="67"/>
      <c r="P768" s="67"/>
      <c r="Q768" s="67"/>
      <c r="R768" s="67"/>
      <c r="S768" s="67"/>
      <c r="T768" s="67"/>
      <c r="U768" s="67"/>
      <c r="V768" s="67"/>
      <c r="W768" s="67"/>
      <c r="X768" s="67"/>
      <c r="Y768" s="67"/>
      <c r="Z768" s="67"/>
    </row>
    <row r="769">
      <c r="A769" s="136"/>
      <c r="B769" s="131"/>
      <c r="C769" s="131"/>
      <c r="D769" s="131"/>
      <c r="E769" s="131"/>
      <c r="F769" s="144"/>
      <c r="G769" s="67"/>
      <c r="H769" s="67"/>
      <c r="I769" s="67"/>
      <c r="J769" s="67"/>
      <c r="K769" s="67"/>
      <c r="L769" s="67"/>
      <c r="M769" s="67"/>
      <c r="N769" s="67"/>
      <c r="O769" s="67"/>
      <c r="P769" s="67"/>
      <c r="Q769" s="67"/>
      <c r="R769" s="67"/>
      <c r="S769" s="67"/>
      <c r="T769" s="67"/>
      <c r="U769" s="67"/>
      <c r="V769" s="67"/>
      <c r="W769" s="67"/>
      <c r="X769" s="67"/>
      <c r="Y769" s="67"/>
      <c r="Z769" s="67"/>
    </row>
    <row r="770">
      <c r="A770" s="135"/>
      <c r="B770" s="125"/>
      <c r="C770" s="125"/>
      <c r="D770" s="125"/>
      <c r="E770" s="125"/>
      <c r="F770" s="146"/>
      <c r="G770" s="67"/>
      <c r="H770" s="67"/>
      <c r="I770" s="67"/>
      <c r="J770" s="67"/>
      <c r="K770" s="67"/>
      <c r="L770" s="67"/>
      <c r="M770" s="67"/>
      <c r="N770" s="67"/>
      <c r="O770" s="67"/>
      <c r="P770" s="67"/>
      <c r="Q770" s="67"/>
      <c r="R770" s="67"/>
      <c r="S770" s="67"/>
      <c r="T770" s="67"/>
      <c r="U770" s="67"/>
      <c r="V770" s="67"/>
      <c r="W770" s="67"/>
      <c r="X770" s="67"/>
      <c r="Y770" s="67"/>
      <c r="Z770" s="67"/>
    </row>
    <row r="771">
      <c r="A771" s="136"/>
      <c r="B771" s="131"/>
      <c r="C771" s="131"/>
      <c r="D771" s="131"/>
      <c r="E771" s="131"/>
      <c r="F771" s="144"/>
      <c r="G771" s="67"/>
      <c r="H771" s="67"/>
      <c r="I771" s="67"/>
      <c r="J771" s="67"/>
      <c r="K771" s="67"/>
      <c r="L771" s="67"/>
      <c r="M771" s="67"/>
      <c r="N771" s="67"/>
      <c r="O771" s="67"/>
      <c r="P771" s="67"/>
      <c r="Q771" s="67"/>
      <c r="R771" s="67"/>
      <c r="S771" s="67"/>
      <c r="T771" s="67"/>
      <c r="U771" s="67"/>
      <c r="V771" s="67"/>
      <c r="W771" s="67"/>
      <c r="X771" s="67"/>
      <c r="Y771" s="67"/>
      <c r="Z771" s="67"/>
    </row>
    <row r="772">
      <c r="A772" s="135"/>
      <c r="B772" s="125"/>
      <c r="C772" s="125"/>
      <c r="D772" s="125"/>
      <c r="E772" s="125"/>
      <c r="F772" s="146"/>
      <c r="G772" s="67"/>
      <c r="H772" s="67"/>
      <c r="I772" s="67"/>
      <c r="J772" s="67"/>
      <c r="K772" s="67"/>
      <c r="L772" s="67"/>
      <c r="M772" s="67"/>
      <c r="N772" s="67"/>
      <c r="O772" s="67"/>
      <c r="P772" s="67"/>
      <c r="Q772" s="67"/>
      <c r="R772" s="67"/>
      <c r="S772" s="67"/>
      <c r="T772" s="67"/>
      <c r="U772" s="67"/>
      <c r="V772" s="67"/>
      <c r="W772" s="67"/>
      <c r="X772" s="67"/>
      <c r="Y772" s="67"/>
      <c r="Z772" s="67"/>
    </row>
    <row r="773">
      <c r="A773" s="136"/>
      <c r="B773" s="131"/>
      <c r="C773" s="131"/>
      <c r="D773" s="131"/>
      <c r="E773" s="131"/>
      <c r="F773" s="144"/>
      <c r="G773" s="67"/>
      <c r="H773" s="67"/>
      <c r="I773" s="67"/>
      <c r="J773" s="67"/>
      <c r="K773" s="67"/>
      <c r="L773" s="67"/>
      <c r="M773" s="67"/>
      <c r="N773" s="67"/>
      <c r="O773" s="67"/>
      <c r="P773" s="67"/>
      <c r="Q773" s="67"/>
      <c r="R773" s="67"/>
      <c r="S773" s="67"/>
      <c r="T773" s="67"/>
      <c r="U773" s="67"/>
      <c r="V773" s="67"/>
      <c r="W773" s="67"/>
      <c r="X773" s="67"/>
      <c r="Y773" s="67"/>
      <c r="Z773" s="67"/>
    </row>
    <row r="774">
      <c r="A774" s="135"/>
      <c r="B774" s="125"/>
      <c r="C774" s="125"/>
      <c r="D774" s="125"/>
      <c r="E774" s="125"/>
      <c r="F774" s="146"/>
      <c r="G774" s="67"/>
      <c r="H774" s="67"/>
      <c r="I774" s="67"/>
      <c r="J774" s="67"/>
      <c r="K774" s="67"/>
      <c r="L774" s="67"/>
      <c r="M774" s="67"/>
      <c r="N774" s="67"/>
      <c r="O774" s="67"/>
      <c r="P774" s="67"/>
      <c r="Q774" s="67"/>
      <c r="R774" s="67"/>
      <c r="S774" s="67"/>
      <c r="T774" s="67"/>
      <c r="U774" s="67"/>
      <c r="V774" s="67"/>
      <c r="W774" s="67"/>
      <c r="X774" s="67"/>
      <c r="Y774" s="67"/>
      <c r="Z774" s="67"/>
    </row>
    <row r="775">
      <c r="A775" s="136"/>
      <c r="B775" s="131"/>
      <c r="C775" s="131"/>
      <c r="D775" s="131"/>
      <c r="E775" s="131"/>
      <c r="F775" s="144"/>
      <c r="G775" s="67"/>
      <c r="H775" s="67"/>
      <c r="I775" s="67"/>
      <c r="J775" s="67"/>
      <c r="K775" s="67"/>
      <c r="L775" s="67"/>
      <c r="M775" s="67"/>
      <c r="N775" s="67"/>
      <c r="O775" s="67"/>
      <c r="P775" s="67"/>
      <c r="Q775" s="67"/>
      <c r="R775" s="67"/>
      <c r="S775" s="67"/>
      <c r="T775" s="67"/>
      <c r="U775" s="67"/>
      <c r="V775" s="67"/>
      <c r="W775" s="67"/>
      <c r="X775" s="67"/>
      <c r="Y775" s="67"/>
      <c r="Z775" s="67"/>
    </row>
    <row r="776">
      <c r="A776" s="135"/>
      <c r="B776" s="125"/>
      <c r="C776" s="125"/>
      <c r="D776" s="125"/>
      <c r="E776" s="125"/>
      <c r="F776" s="146"/>
      <c r="G776" s="67"/>
      <c r="H776" s="67"/>
      <c r="I776" s="67"/>
      <c r="J776" s="67"/>
      <c r="K776" s="67"/>
      <c r="L776" s="67"/>
      <c r="M776" s="67"/>
      <c r="N776" s="67"/>
      <c r="O776" s="67"/>
      <c r="P776" s="67"/>
      <c r="Q776" s="67"/>
      <c r="R776" s="67"/>
      <c r="S776" s="67"/>
      <c r="T776" s="67"/>
      <c r="U776" s="67"/>
      <c r="V776" s="67"/>
      <c r="W776" s="67"/>
      <c r="X776" s="67"/>
      <c r="Y776" s="67"/>
      <c r="Z776" s="67"/>
    </row>
    <row r="777">
      <c r="A777" s="136"/>
      <c r="B777" s="131"/>
      <c r="C777" s="131"/>
      <c r="D777" s="131"/>
      <c r="E777" s="131"/>
      <c r="F777" s="144"/>
      <c r="G777" s="67"/>
      <c r="H777" s="67"/>
      <c r="I777" s="67"/>
      <c r="J777" s="67"/>
      <c r="K777" s="67"/>
      <c r="L777" s="67"/>
      <c r="M777" s="67"/>
      <c r="N777" s="67"/>
      <c r="O777" s="67"/>
      <c r="P777" s="67"/>
      <c r="Q777" s="67"/>
      <c r="R777" s="67"/>
      <c r="S777" s="67"/>
      <c r="T777" s="67"/>
      <c r="U777" s="67"/>
      <c r="V777" s="67"/>
      <c r="W777" s="67"/>
      <c r="X777" s="67"/>
      <c r="Y777" s="67"/>
      <c r="Z777" s="67"/>
    </row>
    <row r="778">
      <c r="A778" s="135"/>
      <c r="B778" s="125"/>
      <c r="C778" s="125"/>
      <c r="D778" s="125"/>
      <c r="E778" s="125"/>
      <c r="F778" s="146"/>
      <c r="G778" s="67"/>
      <c r="H778" s="67"/>
      <c r="I778" s="67"/>
      <c r="J778" s="67"/>
      <c r="K778" s="67"/>
      <c r="L778" s="67"/>
      <c r="M778" s="67"/>
      <c r="N778" s="67"/>
      <c r="O778" s="67"/>
      <c r="P778" s="67"/>
      <c r="Q778" s="67"/>
      <c r="R778" s="67"/>
      <c r="S778" s="67"/>
      <c r="T778" s="67"/>
      <c r="U778" s="67"/>
      <c r="V778" s="67"/>
      <c r="W778" s="67"/>
      <c r="X778" s="67"/>
      <c r="Y778" s="67"/>
      <c r="Z778" s="67"/>
    </row>
    <row r="779">
      <c r="A779" s="136"/>
      <c r="B779" s="131"/>
      <c r="C779" s="131"/>
      <c r="D779" s="131"/>
      <c r="E779" s="131"/>
      <c r="F779" s="144"/>
      <c r="G779" s="67"/>
      <c r="H779" s="67"/>
      <c r="I779" s="67"/>
      <c r="J779" s="67"/>
      <c r="K779" s="67"/>
      <c r="L779" s="67"/>
      <c r="M779" s="67"/>
      <c r="N779" s="67"/>
      <c r="O779" s="67"/>
      <c r="P779" s="67"/>
      <c r="Q779" s="67"/>
      <c r="R779" s="67"/>
      <c r="S779" s="67"/>
      <c r="T779" s="67"/>
      <c r="U779" s="67"/>
      <c r="V779" s="67"/>
      <c r="W779" s="67"/>
      <c r="X779" s="67"/>
      <c r="Y779" s="67"/>
      <c r="Z779" s="67"/>
    </row>
    <row r="780">
      <c r="A780" s="135"/>
      <c r="B780" s="125"/>
      <c r="C780" s="125"/>
      <c r="D780" s="125"/>
      <c r="E780" s="125"/>
      <c r="F780" s="146"/>
      <c r="G780" s="67"/>
      <c r="H780" s="67"/>
      <c r="I780" s="67"/>
      <c r="J780" s="67"/>
      <c r="K780" s="67"/>
      <c r="L780" s="67"/>
      <c r="M780" s="67"/>
      <c r="N780" s="67"/>
      <c r="O780" s="67"/>
      <c r="P780" s="67"/>
      <c r="Q780" s="67"/>
      <c r="R780" s="67"/>
      <c r="S780" s="67"/>
      <c r="T780" s="67"/>
      <c r="U780" s="67"/>
      <c r="V780" s="67"/>
      <c r="W780" s="67"/>
      <c r="X780" s="67"/>
      <c r="Y780" s="67"/>
      <c r="Z780" s="67"/>
    </row>
    <row r="781">
      <c r="A781" s="136"/>
      <c r="B781" s="131"/>
      <c r="C781" s="131"/>
      <c r="D781" s="131"/>
      <c r="E781" s="131"/>
      <c r="F781" s="144"/>
      <c r="G781" s="67"/>
      <c r="H781" s="67"/>
      <c r="I781" s="67"/>
      <c r="J781" s="67"/>
      <c r="K781" s="67"/>
      <c r="L781" s="67"/>
      <c r="M781" s="67"/>
      <c r="N781" s="67"/>
      <c r="O781" s="67"/>
      <c r="P781" s="67"/>
      <c r="Q781" s="67"/>
      <c r="R781" s="67"/>
      <c r="S781" s="67"/>
      <c r="T781" s="67"/>
      <c r="U781" s="67"/>
      <c r="V781" s="67"/>
      <c r="W781" s="67"/>
      <c r="X781" s="67"/>
      <c r="Y781" s="67"/>
      <c r="Z781" s="67"/>
    </row>
    <row r="782">
      <c r="A782" s="135"/>
      <c r="B782" s="125"/>
      <c r="C782" s="125"/>
      <c r="D782" s="125"/>
      <c r="E782" s="125"/>
      <c r="F782" s="146"/>
      <c r="G782" s="67"/>
      <c r="H782" s="67"/>
      <c r="I782" s="67"/>
      <c r="J782" s="67"/>
      <c r="K782" s="67"/>
      <c r="L782" s="67"/>
      <c r="M782" s="67"/>
      <c r="N782" s="67"/>
      <c r="O782" s="67"/>
      <c r="P782" s="67"/>
      <c r="Q782" s="67"/>
      <c r="R782" s="67"/>
      <c r="S782" s="67"/>
      <c r="T782" s="67"/>
      <c r="U782" s="67"/>
      <c r="V782" s="67"/>
      <c r="W782" s="67"/>
      <c r="X782" s="67"/>
      <c r="Y782" s="67"/>
      <c r="Z782" s="67"/>
    </row>
    <row r="783">
      <c r="A783" s="136"/>
      <c r="B783" s="131"/>
      <c r="C783" s="131"/>
      <c r="D783" s="131"/>
      <c r="E783" s="131"/>
      <c r="F783" s="144"/>
      <c r="G783" s="67"/>
      <c r="H783" s="67"/>
      <c r="I783" s="67"/>
      <c r="J783" s="67"/>
      <c r="K783" s="67"/>
      <c r="L783" s="67"/>
      <c r="M783" s="67"/>
      <c r="N783" s="67"/>
      <c r="O783" s="67"/>
      <c r="P783" s="67"/>
      <c r="Q783" s="67"/>
      <c r="R783" s="67"/>
      <c r="S783" s="67"/>
      <c r="T783" s="67"/>
      <c r="U783" s="67"/>
      <c r="V783" s="67"/>
      <c r="W783" s="67"/>
      <c r="X783" s="67"/>
      <c r="Y783" s="67"/>
      <c r="Z783" s="67"/>
    </row>
    <row r="784">
      <c r="A784" s="135"/>
      <c r="B784" s="125"/>
      <c r="C784" s="125"/>
      <c r="D784" s="125"/>
      <c r="E784" s="125"/>
      <c r="F784" s="146"/>
      <c r="G784" s="67"/>
      <c r="H784" s="67"/>
      <c r="I784" s="67"/>
      <c r="J784" s="67"/>
      <c r="K784" s="67"/>
      <c r="L784" s="67"/>
      <c r="M784" s="67"/>
      <c r="N784" s="67"/>
      <c r="O784" s="67"/>
      <c r="P784" s="67"/>
      <c r="Q784" s="67"/>
      <c r="R784" s="67"/>
      <c r="S784" s="67"/>
      <c r="T784" s="67"/>
      <c r="U784" s="67"/>
      <c r="V784" s="67"/>
      <c r="W784" s="67"/>
      <c r="X784" s="67"/>
      <c r="Y784" s="67"/>
      <c r="Z784" s="67"/>
    </row>
    <row r="785">
      <c r="A785" s="136"/>
      <c r="B785" s="131"/>
      <c r="C785" s="131"/>
      <c r="D785" s="131"/>
      <c r="E785" s="131"/>
      <c r="F785" s="144"/>
      <c r="G785" s="67"/>
      <c r="H785" s="67"/>
      <c r="I785" s="67"/>
      <c r="J785" s="67"/>
      <c r="K785" s="67"/>
      <c r="L785" s="67"/>
      <c r="M785" s="67"/>
      <c r="N785" s="67"/>
      <c r="O785" s="67"/>
      <c r="P785" s="67"/>
      <c r="Q785" s="67"/>
      <c r="R785" s="67"/>
      <c r="S785" s="67"/>
      <c r="T785" s="67"/>
      <c r="U785" s="67"/>
      <c r="V785" s="67"/>
      <c r="W785" s="67"/>
      <c r="X785" s="67"/>
      <c r="Y785" s="67"/>
      <c r="Z785" s="67"/>
    </row>
    <row r="786">
      <c r="A786" s="135"/>
      <c r="B786" s="125"/>
      <c r="C786" s="125"/>
      <c r="D786" s="125"/>
      <c r="E786" s="125"/>
      <c r="F786" s="146"/>
      <c r="G786" s="67"/>
      <c r="H786" s="67"/>
      <c r="I786" s="67"/>
      <c r="J786" s="67"/>
      <c r="K786" s="67"/>
      <c r="L786" s="67"/>
      <c r="M786" s="67"/>
      <c r="N786" s="67"/>
      <c r="O786" s="67"/>
      <c r="P786" s="67"/>
      <c r="Q786" s="67"/>
      <c r="R786" s="67"/>
      <c r="S786" s="67"/>
      <c r="T786" s="67"/>
      <c r="U786" s="67"/>
      <c r="V786" s="67"/>
      <c r="W786" s="67"/>
      <c r="X786" s="67"/>
      <c r="Y786" s="67"/>
      <c r="Z786" s="67"/>
    </row>
    <row r="787">
      <c r="A787" s="136"/>
      <c r="B787" s="131"/>
      <c r="C787" s="131"/>
      <c r="D787" s="131"/>
      <c r="E787" s="131"/>
      <c r="F787" s="144"/>
      <c r="G787" s="67"/>
      <c r="H787" s="67"/>
      <c r="I787" s="67"/>
      <c r="J787" s="67"/>
      <c r="K787" s="67"/>
      <c r="L787" s="67"/>
      <c r="M787" s="67"/>
      <c r="N787" s="67"/>
      <c r="O787" s="67"/>
      <c r="P787" s="67"/>
      <c r="Q787" s="67"/>
      <c r="R787" s="67"/>
      <c r="S787" s="67"/>
      <c r="T787" s="67"/>
      <c r="U787" s="67"/>
      <c r="V787" s="67"/>
      <c r="W787" s="67"/>
      <c r="X787" s="67"/>
      <c r="Y787" s="67"/>
      <c r="Z787" s="67"/>
    </row>
    <row r="788">
      <c r="A788" s="135"/>
      <c r="B788" s="125"/>
      <c r="C788" s="125"/>
      <c r="D788" s="125"/>
      <c r="E788" s="125"/>
      <c r="F788" s="146"/>
      <c r="G788" s="67"/>
      <c r="H788" s="67"/>
      <c r="I788" s="67"/>
      <c r="J788" s="67"/>
      <c r="K788" s="67"/>
      <c r="L788" s="67"/>
      <c r="M788" s="67"/>
      <c r="N788" s="67"/>
      <c r="O788" s="67"/>
      <c r="P788" s="67"/>
      <c r="Q788" s="67"/>
      <c r="R788" s="67"/>
      <c r="S788" s="67"/>
      <c r="T788" s="67"/>
      <c r="U788" s="67"/>
      <c r="V788" s="67"/>
      <c r="W788" s="67"/>
      <c r="X788" s="67"/>
      <c r="Y788" s="67"/>
      <c r="Z788" s="67"/>
    </row>
    <row r="789">
      <c r="A789" s="136"/>
      <c r="B789" s="131"/>
      <c r="C789" s="131"/>
      <c r="D789" s="131"/>
      <c r="E789" s="131"/>
      <c r="F789" s="144"/>
      <c r="G789" s="67"/>
      <c r="H789" s="67"/>
      <c r="I789" s="67"/>
      <c r="J789" s="67"/>
      <c r="K789" s="67"/>
      <c r="L789" s="67"/>
      <c r="M789" s="67"/>
      <c r="N789" s="67"/>
      <c r="O789" s="67"/>
      <c r="P789" s="67"/>
      <c r="Q789" s="67"/>
      <c r="R789" s="67"/>
      <c r="S789" s="67"/>
      <c r="T789" s="67"/>
      <c r="U789" s="67"/>
      <c r="V789" s="67"/>
      <c r="W789" s="67"/>
      <c r="X789" s="67"/>
      <c r="Y789" s="67"/>
      <c r="Z789" s="67"/>
    </row>
    <row r="790">
      <c r="A790" s="135"/>
      <c r="B790" s="125"/>
      <c r="C790" s="125"/>
      <c r="D790" s="125"/>
      <c r="E790" s="125"/>
      <c r="F790" s="146"/>
      <c r="G790" s="67"/>
      <c r="H790" s="67"/>
      <c r="I790" s="67"/>
      <c r="J790" s="67"/>
      <c r="K790" s="67"/>
      <c r="L790" s="67"/>
      <c r="M790" s="67"/>
      <c r="N790" s="67"/>
      <c r="O790" s="67"/>
      <c r="P790" s="67"/>
      <c r="Q790" s="67"/>
      <c r="R790" s="67"/>
      <c r="S790" s="67"/>
      <c r="T790" s="67"/>
      <c r="U790" s="67"/>
      <c r="V790" s="67"/>
      <c r="W790" s="67"/>
      <c r="X790" s="67"/>
      <c r="Y790" s="67"/>
      <c r="Z790" s="67"/>
    </row>
    <row r="791">
      <c r="A791" s="136"/>
      <c r="B791" s="131"/>
      <c r="C791" s="131"/>
      <c r="D791" s="131"/>
      <c r="E791" s="131"/>
      <c r="F791" s="144"/>
      <c r="G791" s="67"/>
      <c r="H791" s="67"/>
      <c r="I791" s="67"/>
      <c r="J791" s="67"/>
      <c r="K791" s="67"/>
      <c r="L791" s="67"/>
      <c r="M791" s="67"/>
      <c r="N791" s="67"/>
      <c r="O791" s="67"/>
      <c r="P791" s="67"/>
      <c r="Q791" s="67"/>
      <c r="R791" s="67"/>
      <c r="S791" s="67"/>
      <c r="T791" s="67"/>
      <c r="U791" s="67"/>
      <c r="V791" s="67"/>
      <c r="W791" s="67"/>
      <c r="X791" s="67"/>
      <c r="Y791" s="67"/>
      <c r="Z791" s="67"/>
    </row>
    <row r="792">
      <c r="A792" s="135"/>
      <c r="B792" s="125"/>
      <c r="C792" s="125"/>
      <c r="D792" s="125"/>
      <c r="E792" s="125"/>
      <c r="F792" s="146"/>
      <c r="G792" s="67"/>
      <c r="H792" s="67"/>
      <c r="I792" s="67"/>
      <c r="J792" s="67"/>
      <c r="K792" s="67"/>
      <c r="L792" s="67"/>
      <c r="M792" s="67"/>
      <c r="N792" s="67"/>
      <c r="O792" s="67"/>
      <c r="P792" s="67"/>
      <c r="Q792" s="67"/>
      <c r="R792" s="67"/>
      <c r="S792" s="67"/>
      <c r="T792" s="67"/>
      <c r="U792" s="67"/>
      <c r="V792" s="67"/>
      <c r="W792" s="67"/>
      <c r="X792" s="67"/>
      <c r="Y792" s="67"/>
      <c r="Z792" s="67"/>
    </row>
    <row r="793">
      <c r="A793" s="136"/>
      <c r="B793" s="131"/>
      <c r="C793" s="131"/>
      <c r="D793" s="131"/>
      <c r="E793" s="131"/>
      <c r="F793" s="144"/>
      <c r="G793" s="67"/>
      <c r="H793" s="67"/>
      <c r="I793" s="67"/>
      <c r="J793" s="67"/>
      <c r="K793" s="67"/>
      <c r="L793" s="67"/>
      <c r="M793" s="67"/>
      <c r="N793" s="67"/>
      <c r="O793" s="67"/>
      <c r="P793" s="67"/>
      <c r="Q793" s="67"/>
      <c r="R793" s="67"/>
      <c r="S793" s="67"/>
      <c r="T793" s="67"/>
      <c r="U793" s="67"/>
      <c r="V793" s="67"/>
      <c r="W793" s="67"/>
      <c r="X793" s="67"/>
      <c r="Y793" s="67"/>
      <c r="Z793" s="67"/>
    </row>
    <row r="794">
      <c r="A794" s="135"/>
      <c r="B794" s="125"/>
      <c r="C794" s="125"/>
      <c r="D794" s="125"/>
      <c r="E794" s="125"/>
      <c r="F794" s="146"/>
      <c r="G794" s="67"/>
      <c r="H794" s="67"/>
      <c r="I794" s="67"/>
      <c r="J794" s="67"/>
      <c r="K794" s="67"/>
      <c r="L794" s="67"/>
      <c r="M794" s="67"/>
      <c r="N794" s="67"/>
      <c r="O794" s="67"/>
      <c r="P794" s="67"/>
      <c r="Q794" s="67"/>
      <c r="R794" s="67"/>
      <c r="S794" s="67"/>
      <c r="T794" s="67"/>
      <c r="U794" s="67"/>
      <c r="V794" s="67"/>
      <c r="W794" s="67"/>
      <c r="X794" s="67"/>
      <c r="Y794" s="67"/>
      <c r="Z794" s="67"/>
    </row>
    <row r="795">
      <c r="A795" s="136"/>
      <c r="B795" s="131"/>
      <c r="C795" s="131"/>
      <c r="D795" s="131"/>
      <c r="E795" s="131"/>
      <c r="F795" s="144"/>
      <c r="G795" s="67"/>
      <c r="H795" s="67"/>
      <c r="I795" s="67"/>
      <c r="J795" s="67"/>
      <c r="K795" s="67"/>
      <c r="L795" s="67"/>
      <c r="M795" s="67"/>
      <c r="N795" s="67"/>
      <c r="O795" s="67"/>
      <c r="P795" s="67"/>
      <c r="Q795" s="67"/>
      <c r="R795" s="67"/>
      <c r="S795" s="67"/>
      <c r="T795" s="67"/>
      <c r="U795" s="67"/>
      <c r="V795" s="67"/>
      <c r="W795" s="67"/>
      <c r="X795" s="67"/>
      <c r="Y795" s="67"/>
      <c r="Z795" s="67"/>
    </row>
    <row r="796">
      <c r="A796" s="135"/>
      <c r="B796" s="125"/>
      <c r="C796" s="125"/>
      <c r="D796" s="125"/>
      <c r="E796" s="125"/>
      <c r="F796" s="146"/>
      <c r="G796" s="67"/>
      <c r="H796" s="67"/>
      <c r="I796" s="67"/>
      <c r="J796" s="67"/>
      <c r="K796" s="67"/>
      <c r="L796" s="67"/>
      <c r="M796" s="67"/>
      <c r="N796" s="67"/>
      <c r="O796" s="67"/>
      <c r="P796" s="67"/>
      <c r="Q796" s="67"/>
      <c r="R796" s="67"/>
      <c r="S796" s="67"/>
      <c r="T796" s="67"/>
      <c r="U796" s="67"/>
      <c r="V796" s="67"/>
      <c r="W796" s="67"/>
      <c r="X796" s="67"/>
      <c r="Y796" s="67"/>
      <c r="Z796" s="67"/>
    </row>
    <row r="797">
      <c r="A797" s="136"/>
      <c r="B797" s="131"/>
      <c r="C797" s="131"/>
      <c r="D797" s="131"/>
      <c r="E797" s="131"/>
      <c r="F797" s="144"/>
      <c r="G797" s="67"/>
      <c r="H797" s="67"/>
      <c r="I797" s="67"/>
      <c r="J797" s="67"/>
      <c r="K797" s="67"/>
      <c r="L797" s="67"/>
      <c r="M797" s="67"/>
      <c r="N797" s="67"/>
      <c r="O797" s="67"/>
      <c r="P797" s="67"/>
      <c r="Q797" s="67"/>
      <c r="R797" s="67"/>
      <c r="S797" s="67"/>
      <c r="T797" s="67"/>
      <c r="U797" s="67"/>
      <c r="V797" s="67"/>
      <c r="W797" s="67"/>
      <c r="X797" s="67"/>
      <c r="Y797" s="67"/>
      <c r="Z797" s="67"/>
    </row>
    <row r="798">
      <c r="A798" s="135"/>
      <c r="B798" s="125"/>
      <c r="C798" s="125"/>
      <c r="D798" s="125"/>
      <c r="E798" s="125"/>
      <c r="F798" s="146"/>
      <c r="G798" s="67"/>
      <c r="H798" s="67"/>
      <c r="I798" s="67"/>
      <c r="J798" s="67"/>
      <c r="K798" s="67"/>
      <c r="L798" s="67"/>
      <c r="M798" s="67"/>
      <c r="N798" s="67"/>
      <c r="O798" s="67"/>
      <c r="P798" s="67"/>
      <c r="Q798" s="67"/>
      <c r="R798" s="67"/>
      <c r="S798" s="67"/>
      <c r="T798" s="67"/>
      <c r="U798" s="67"/>
      <c r="V798" s="67"/>
      <c r="W798" s="67"/>
      <c r="X798" s="67"/>
      <c r="Y798" s="67"/>
      <c r="Z798" s="67"/>
    </row>
    <row r="799">
      <c r="A799" s="136"/>
      <c r="B799" s="131"/>
      <c r="C799" s="131"/>
      <c r="D799" s="131"/>
      <c r="E799" s="131"/>
      <c r="F799" s="144"/>
      <c r="G799" s="67"/>
      <c r="H799" s="67"/>
      <c r="I799" s="67"/>
      <c r="J799" s="67"/>
      <c r="K799" s="67"/>
      <c r="L799" s="67"/>
      <c r="M799" s="67"/>
      <c r="N799" s="67"/>
      <c r="O799" s="67"/>
      <c r="P799" s="67"/>
      <c r="Q799" s="67"/>
      <c r="R799" s="67"/>
      <c r="S799" s="67"/>
      <c r="T799" s="67"/>
      <c r="U799" s="67"/>
      <c r="V799" s="67"/>
      <c r="W799" s="67"/>
      <c r="X799" s="67"/>
      <c r="Y799" s="67"/>
      <c r="Z799" s="67"/>
    </row>
    <row r="800">
      <c r="A800" s="135"/>
      <c r="B800" s="125"/>
      <c r="C800" s="125"/>
      <c r="D800" s="125"/>
      <c r="E800" s="125"/>
      <c r="F800" s="146"/>
      <c r="G800" s="67"/>
      <c r="H800" s="67"/>
      <c r="I800" s="67"/>
      <c r="J800" s="67"/>
      <c r="K800" s="67"/>
      <c r="L800" s="67"/>
      <c r="M800" s="67"/>
      <c r="N800" s="67"/>
      <c r="O800" s="67"/>
      <c r="P800" s="67"/>
      <c r="Q800" s="67"/>
      <c r="R800" s="67"/>
      <c r="S800" s="67"/>
      <c r="T800" s="67"/>
      <c r="U800" s="67"/>
      <c r="V800" s="67"/>
      <c r="W800" s="67"/>
      <c r="X800" s="67"/>
      <c r="Y800" s="67"/>
      <c r="Z800" s="67"/>
    </row>
    <row r="801">
      <c r="A801" s="136"/>
      <c r="B801" s="131"/>
      <c r="C801" s="131"/>
      <c r="D801" s="131"/>
      <c r="E801" s="131"/>
      <c r="F801" s="144"/>
      <c r="G801" s="67"/>
      <c r="H801" s="67"/>
      <c r="I801" s="67"/>
      <c r="J801" s="67"/>
      <c r="K801" s="67"/>
      <c r="L801" s="67"/>
      <c r="M801" s="67"/>
      <c r="N801" s="67"/>
      <c r="O801" s="67"/>
      <c r="P801" s="67"/>
      <c r="Q801" s="67"/>
      <c r="R801" s="67"/>
      <c r="S801" s="67"/>
      <c r="T801" s="67"/>
      <c r="U801" s="67"/>
      <c r="V801" s="67"/>
      <c r="W801" s="67"/>
      <c r="X801" s="67"/>
      <c r="Y801" s="67"/>
      <c r="Z801" s="67"/>
    </row>
    <row r="802">
      <c r="A802" s="135"/>
      <c r="B802" s="125"/>
      <c r="C802" s="125"/>
      <c r="D802" s="125"/>
      <c r="E802" s="125"/>
      <c r="F802" s="146"/>
      <c r="G802" s="67"/>
      <c r="H802" s="67"/>
      <c r="I802" s="67"/>
      <c r="J802" s="67"/>
      <c r="K802" s="67"/>
      <c r="L802" s="67"/>
      <c r="M802" s="67"/>
      <c r="N802" s="67"/>
      <c r="O802" s="67"/>
      <c r="P802" s="67"/>
      <c r="Q802" s="67"/>
      <c r="R802" s="67"/>
      <c r="S802" s="67"/>
      <c r="T802" s="67"/>
      <c r="U802" s="67"/>
      <c r="V802" s="67"/>
      <c r="W802" s="67"/>
      <c r="X802" s="67"/>
      <c r="Y802" s="67"/>
      <c r="Z802" s="67"/>
    </row>
    <row r="803">
      <c r="A803" s="136"/>
      <c r="B803" s="131"/>
      <c r="C803" s="131"/>
      <c r="D803" s="131"/>
      <c r="E803" s="131"/>
      <c r="F803" s="144"/>
      <c r="G803" s="67"/>
      <c r="H803" s="67"/>
      <c r="I803" s="67"/>
      <c r="J803" s="67"/>
      <c r="K803" s="67"/>
      <c r="L803" s="67"/>
      <c r="M803" s="67"/>
      <c r="N803" s="67"/>
      <c r="O803" s="67"/>
      <c r="P803" s="67"/>
      <c r="Q803" s="67"/>
      <c r="R803" s="67"/>
      <c r="S803" s="67"/>
      <c r="T803" s="67"/>
      <c r="U803" s="67"/>
      <c r="V803" s="67"/>
      <c r="W803" s="67"/>
      <c r="X803" s="67"/>
      <c r="Y803" s="67"/>
      <c r="Z803" s="67"/>
    </row>
    <row r="804">
      <c r="A804" s="135"/>
      <c r="B804" s="125"/>
      <c r="C804" s="125"/>
      <c r="D804" s="125"/>
      <c r="E804" s="125"/>
      <c r="F804" s="146"/>
      <c r="G804" s="67"/>
      <c r="H804" s="67"/>
      <c r="I804" s="67"/>
      <c r="J804" s="67"/>
      <c r="K804" s="67"/>
      <c r="L804" s="67"/>
      <c r="M804" s="67"/>
      <c r="N804" s="67"/>
      <c r="O804" s="67"/>
      <c r="P804" s="67"/>
      <c r="Q804" s="67"/>
      <c r="R804" s="67"/>
      <c r="S804" s="67"/>
      <c r="T804" s="67"/>
      <c r="U804" s="67"/>
      <c r="V804" s="67"/>
      <c r="W804" s="67"/>
      <c r="X804" s="67"/>
      <c r="Y804" s="67"/>
      <c r="Z804" s="67"/>
    </row>
    <row r="805">
      <c r="A805" s="136"/>
      <c r="B805" s="131"/>
      <c r="C805" s="131"/>
      <c r="D805" s="131"/>
      <c r="E805" s="131"/>
      <c r="F805" s="144"/>
      <c r="G805" s="67"/>
      <c r="H805" s="67"/>
      <c r="I805" s="67"/>
      <c r="J805" s="67"/>
      <c r="K805" s="67"/>
      <c r="L805" s="67"/>
      <c r="M805" s="67"/>
      <c r="N805" s="67"/>
      <c r="O805" s="67"/>
      <c r="P805" s="67"/>
      <c r="Q805" s="67"/>
      <c r="R805" s="67"/>
      <c r="S805" s="67"/>
      <c r="T805" s="67"/>
      <c r="U805" s="67"/>
      <c r="V805" s="67"/>
      <c r="W805" s="67"/>
      <c r="X805" s="67"/>
      <c r="Y805" s="67"/>
      <c r="Z805" s="67"/>
    </row>
    <row r="806">
      <c r="A806" s="135"/>
      <c r="B806" s="125"/>
      <c r="C806" s="125"/>
      <c r="D806" s="125"/>
      <c r="E806" s="125"/>
      <c r="F806" s="146"/>
      <c r="G806" s="67"/>
      <c r="H806" s="67"/>
      <c r="I806" s="67"/>
      <c r="J806" s="67"/>
      <c r="K806" s="67"/>
      <c r="L806" s="67"/>
      <c r="M806" s="67"/>
      <c r="N806" s="67"/>
      <c r="O806" s="67"/>
      <c r="P806" s="67"/>
      <c r="Q806" s="67"/>
      <c r="R806" s="67"/>
      <c r="S806" s="67"/>
      <c r="T806" s="67"/>
      <c r="U806" s="67"/>
      <c r="V806" s="67"/>
      <c r="W806" s="67"/>
      <c r="X806" s="67"/>
      <c r="Y806" s="67"/>
      <c r="Z806" s="67"/>
    </row>
    <row r="807">
      <c r="A807" s="136"/>
      <c r="B807" s="131"/>
      <c r="C807" s="131"/>
      <c r="D807" s="131"/>
      <c r="E807" s="131"/>
      <c r="F807" s="144"/>
      <c r="G807" s="67"/>
      <c r="H807" s="67"/>
      <c r="I807" s="67"/>
      <c r="J807" s="67"/>
      <c r="K807" s="67"/>
      <c r="L807" s="67"/>
      <c r="M807" s="67"/>
      <c r="N807" s="67"/>
      <c r="O807" s="67"/>
      <c r="P807" s="67"/>
      <c r="Q807" s="67"/>
      <c r="R807" s="67"/>
      <c r="S807" s="67"/>
      <c r="T807" s="67"/>
      <c r="U807" s="67"/>
      <c r="V807" s="67"/>
      <c r="W807" s="67"/>
      <c r="X807" s="67"/>
      <c r="Y807" s="67"/>
      <c r="Z807" s="67"/>
    </row>
    <row r="808">
      <c r="A808" s="135"/>
      <c r="B808" s="125"/>
      <c r="C808" s="125"/>
      <c r="D808" s="125"/>
      <c r="E808" s="125"/>
      <c r="F808" s="146"/>
      <c r="G808" s="67"/>
      <c r="H808" s="67"/>
      <c r="I808" s="67"/>
      <c r="J808" s="67"/>
      <c r="K808" s="67"/>
      <c r="L808" s="67"/>
      <c r="M808" s="67"/>
      <c r="N808" s="67"/>
      <c r="O808" s="67"/>
      <c r="P808" s="67"/>
      <c r="Q808" s="67"/>
      <c r="R808" s="67"/>
      <c r="S808" s="67"/>
      <c r="T808" s="67"/>
      <c r="U808" s="67"/>
      <c r="V808" s="67"/>
      <c r="W808" s="67"/>
      <c r="X808" s="67"/>
      <c r="Y808" s="67"/>
      <c r="Z808" s="67"/>
    </row>
    <row r="809">
      <c r="A809" s="136"/>
      <c r="B809" s="131"/>
      <c r="C809" s="131"/>
      <c r="D809" s="131"/>
      <c r="E809" s="131"/>
      <c r="F809" s="144"/>
      <c r="G809" s="67"/>
      <c r="H809" s="67"/>
      <c r="I809" s="67"/>
      <c r="J809" s="67"/>
      <c r="K809" s="67"/>
      <c r="L809" s="67"/>
      <c r="M809" s="67"/>
      <c r="N809" s="67"/>
      <c r="O809" s="67"/>
      <c r="P809" s="67"/>
      <c r="Q809" s="67"/>
      <c r="R809" s="67"/>
      <c r="S809" s="67"/>
      <c r="T809" s="67"/>
      <c r="U809" s="67"/>
      <c r="V809" s="67"/>
      <c r="W809" s="67"/>
      <c r="X809" s="67"/>
      <c r="Y809" s="67"/>
      <c r="Z809" s="67"/>
    </row>
    <row r="810">
      <c r="A810" s="135"/>
      <c r="B810" s="125"/>
      <c r="C810" s="125"/>
      <c r="D810" s="125"/>
      <c r="E810" s="125"/>
      <c r="F810" s="146"/>
      <c r="G810" s="67"/>
      <c r="H810" s="67"/>
      <c r="I810" s="67"/>
      <c r="J810" s="67"/>
      <c r="K810" s="67"/>
      <c r="L810" s="67"/>
      <c r="M810" s="67"/>
      <c r="N810" s="67"/>
      <c r="O810" s="67"/>
      <c r="P810" s="67"/>
      <c r="Q810" s="67"/>
      <c r="R810" s="67"/>
      <c r="S810" s="67"/>
      <c r="T810" s="67"/>
      <c r="U810" s="67"/>
      <c r="V810" s="67"/>
      <c r="W810" s="67"/>
      <c r="X810" s="67"/>
      <c r="Y810" s="67"/>
      <c r="Z810" s="67"/>
    </row>
    <row r="811">
      <c r="A811" s="136"/>
      <c r="B811" s="131"/>
      <c r="C811" s="131"/>
      <c r="D811" s="131"/>
      <c r="E811" s="131"/>
      <c r="F811" s="144"/>
      <c r="G811" s="67"/>
      <c r="H811" s="67"/>
      <c r="I811" s="67"/>
      <c r="J811" s="67"/>
      <c r="K811" s="67"/>
      <c r="L811" s="67"/>
      <c r="M811" s="67"/>
      <c r="N811" s="67"/>
      <c r="O811" s="67"/>
      <c r="P811" s="67"/>
      <c r="Q811" s="67"/>
      <c r="R811" s="67"/>
      <c r="S811" s="67"/>
      <c r="T811" s="67"/>
      <c r="U811" s="67"/>
      <c r="V811" s="67"/>
      <c r="W811" s="67"/>
      <c r="X811" s="67"/>
      <c r="Y811" s="67"/>
      <c r="Z811" s="67"/>
    </row>
    <row r="812">
      <c r="A812" s="135"/>
      <c r="B812" s="125"/>
      <c r="C812" s="125"/>
      <c r="D812" s="125"/>
      <c r="E812" s="125"/>
      <c r="F812" s="146"/>
      <c r="G812" s="67"/>
      <c r="H812" s="67"/>
      <c r="I812" s="67"/>
      <c r="J812" s="67"/>
      <c r="K812" s="67"/>
      <c r="L812" s="67"/>
      <c r="M812" s="67"/>
      <c r="N812" s="67"/>
      <c r="O812" s="67"/>
      <c r="P812" s="67"/>
      <c r="Q812" s="67"/>
      <c r="R812" s="67"/>
      <c r="S812" s="67"/>
      <c r="T812" s="67"/>
      <c r="U812" s="67"/>
      <c r="V812" s="67"/>
      <c r="W812" s="67"/>
      <c r="X812" s="67"/>
      <c r="Y812" s="67"/>
      <c r="Z812" s="67"/>
    </row>
    <row r="813">
      <c r="A813" s="136"/>
      <c r="B813" s="131"/>
      <c r="C813" s="131"/>
      <c r="D813" s="131"/>
      <c r="E813" s="131"/>
      <c r="F813" s="144"/>
      <c r="G813" s="67"/>
      <c r="H813" s="67"/>
      <c r="I813" s="67"/>
      <c r="J813" s="67"/>
      <c r="K813" s="67"/>
      <c r="L813" s="67"/>
      <c r="M813" s="67"/>
      <c r="N813" s="67"/>
      <c r="O813" s="67"/>
      <c r="P813" s="67"/>
      <c r="Q813" s="67"/>
      <c r="R813" s="67"/>
      <c r="S813" s="67"/>
      <c r="T813" s="67"/>
      <c r="U813" s="67"/>
      <c r="V813" s="67"/>
      <c r="W813" s="67"/>
      <c r="X813" s="67"/>
      <c r="Y813" s="67"/>
      <c r="Z813" s="67"/>
    </row>
    <row r="814">
      <c r="A814" s="135"/>
      <c r="B814" s="125"/>
      <c r="C814" s="125"/>
      <c r="D814" s="125"/>
      <c r="E814" s="125"/>
      <c r="F814" s="146"/>
      <c r="G814" s="67"/>
      <c r="H814" s="67"/>
      <c r="I814" s="67"/>
      <c r="J814" s="67"/>
      <c r="K814" s="67"/>
      <c r="L814" s="67"/>
      <c r="M814" s="67"/>
      <c r="N814" s="67"/>
      <c r="O814" s="67"/>
      <c r="P814" s="67"/>
      <c r="Q814" s="67"/>
      <c r="R814" s="67"/>
      <c r="S814" s="67"/>
      <c r="T814" s="67"/>
      <c r="U814" s="67"/>
      <c r="V814" s="67"/>
      <c r="W814" s="67"/>
      <c r="X814" s="67"/>
      <c r="Y814" s="67"/>
      <c r="Z814" s="67"/>
    </row>
    <row r="815">
      <c r="A815" s="136"/>
      <c r="B815" s="131"/>
      <c r="C815" s="131"/>
      <c r="D815" s="131"/>
      <c r="E815" s="131"/>
      <c r="F815" s="144"/>
      <c r="G815" s="67"/>
      <c r="H815" s="67"/>
      <c r="I815" s="67"/>
      <c r="J815" s="67"/>
      <c r="K815" s="67"/>
      <c r="L815" s="67"/>
      <c r="M815" s="67"/>
      <c r="N815" s="67"/>
      <c r="O815" s="67"/>
      <c r="P815" s="67"/>
      <c r="Q815" s="67"/>
      <c r="R815" s="67"/>
      <c r="S815" s="67"/>
      <c r="T815" s="67"/>
      <c r="U815" s="67"/>
      <c r="V815" s="67"/>
      <c r="W815" s="67"/>
      <c r="X815" s="67"/>
      <c r="Y815" s="67"/>
      <c r="Z815" s="67"/>
    </row>
    <row r="816">
      <c r="A816" s="135"/>
      <c r="B816" s="125"/>
      <c r="C816" s="125"/>
      <c r="D816" s="125"/>
      <c r="E816" s="125"/>
      <c r="F816" s="146"/>
      <c r="G816" s="67"/>
      <c r="H816" s="67"/>
      <c r="I816" s="67"/>
      <c r="J816" s="67"/>
      <c r="K816" s="67"/>
      <c r="L816" s="67"/>
      <c r="M816" s="67"/>
      <c r="N816" s="67"/>
      <c r="O816" s="67"/>
      <c r="P816" s="67"/>
      <c r="Q816" s="67"/>
      <c r="R816" s="67"/>
      <c r="S816" s="67"/>
      <c r="T816" s="67"/>
      <c r="U816" s="67"/>
      <c r="V816" s="67"/>
      <c r="W816" s="67"/>
      <c r="X816" s="67"/>
      <c r="Y816" s="67"/>
      <c r="Z816" s="67"/>
    </row>
    <row r="817">
      <c r="A817" s="136"/>
      <c r="B817" s="131"/>
      <c r="C817" s="131"/>
      <c r="D817" s="131"/>
      <c r="E817" s="131"/>
      <c r="F817" s="144"/>
      <c r="G817" s="67"/>
      <c r="H817" s="67"/>
      <c r="I817" s="67"/>
      <c r="J817" s="67"/>
      <c r="K817" s="67"/>
      <c r="L817" s="67"/>
      <c r="M817" s="67"/>
      <c r="N817" s="67"/>
      <c r="O817" s="67"/>
      <c r="P817" s="67"/>
      <c r="Q817" s="67"/>
      <c r="R817" s="67"/>
      <c r="S817" s="67"/>
      <c r="T817" s="67"/>
      <c r="U817" s="67"/>
      <c r="V817" s="67"/>
      <c r="W817" s="67"/>
      <c r="X817" s="67"/>
      <c r="Y817" s="67"/>
      <c r="Z817" s="67"/>
    </row>
    <row r="818">
      <c r="A818" s="135"/>
      <c r="B818" s="125"/>
      <c r="C818" s="125"/>
      <c r="D818" s="125"/>
      <c r="E818" s="125"/>
      <c r="F818" s="146"/>
      <c r="G818" s="67"/>
      <c r="H818" s="67"/>
      <c r="I818" s="67"/>
      <c r="J818" s="67"/>
      <c r="K818" s="67"/>
      <c r="L818" s="67"/>
      <c r="M818" s="67"/>
      <c r="N818" s="67"/>
      <c r="O818" s="67"/>
      <c r="P818" s="67"/>
      <c r="Q818" s="67"/>
      <c r="R818" s="67"/>
      <c r="S818" s="67"/>
      <c r="T818" s="67"/>
      <c r="U818" s="67"/>
      <c r="V818" s="67"/>
      <c r="W818" s="67"/>
      <c r="X818" s="67"/>
      <c r="Y818" s="67"/>
      <c r="Z818" s="67"/>
    </row>
    <row r="819">
      <c r="A819" s="136"/>
      <c r="B819" s="131"/>
      <c r="C819" s="131"/>
      <c r="D819" s="131"/>
      <c r="E819" s="131"/>
      <c r="F819" s="144"/>
      <c r="G819" s="67"/>
      <c r="H819" s="67"/>
      <c r="I819" s="67"/>
      <c r="J819" s="67"/>
      <c r="K819" s="67"/>
      <c r="L819" s="67"/>
      <c r="M819" s="67"/>
      <c r="N819" s="67"/>
      <c r="O819" s="67"/>
      <c r="P819" s="67"/>
      <c r="Q819" s="67"/>
      <c r="R819" s="67"/>
      <c r="S819" s="67"/>
      <c r="T819" s="67"/>
      <c r="U819" s="67"/>
      <c r="V819" s="67"/>
      <c r="W819" s="67"/>
      <c r="X819" s="67"/>
      <c r="Y819" s="67"/>
      <c r="Z819" s="67"/>
    </row>
    <row r="820">
      <c r="A820" s="135"/>
      <c r="B820" s="125"/>
      <c r="C820" s="125"/>
      <c r="D820" s="125"/>
      <c r="E820" s="125"/>
      <c r="F820" s="146"/>
      <c r="G820" s="67"/>
      <c r="H820" s="67"/>
      <c r="I820" s="67"/>
      <c r="J820" s="67"/>
      <c r="K820" s="67"/>
      <c r="L820" s="67"/>
      <c r="M820" s="67"/>
      <c r="N820" s="67"/>
      <c r="O820" s="67"/>
      <c r="P820" s="67"/>
      <c r="Q820" s="67"/>
      <c r="R820" s="67"/>
      <c r="S820" s="67"/>
      <c r="T820" s="67"/>
      <c r="U820" s="67"/>
      <c r="V820" s="67"/>
      <c r="W820" s="67"/>
      <c r="X820" s="67"/>
      <c r="Y820" s="67"/>
      <c r="Z820" s="67"/>
    </row>
    <row r="821">
      <c r="A821" s="136"/>
      <c r="B821" s="131"/>
      <c r="C821" s="131"/>
      <c r="D821" s="131"/>
      <c r="E821" s="131"/>
      <c r="F821" s="144"/>
      <c r="G821" s="67"/>
      <c r="H821" s="67"/>
      <c r="I821" s="67"/>
      <c r="J821" s="67"/>
      <c r="K821" s="67"/>
      <c r="L821" s="67"/>
      <c r="M821" s="67"/>
      <c r="N821" s="67"/>
      <c r="O821" s="67"/>
      <c r="P821" s="67"/>
      <c r="Q821" s="67"/>
      <c r="R821" s="67"/>
      <c r="S821" s="67"/>
      <c r="T821" s="67"/>
      <c r="U821" s="67"/>
      <c r="V821" s="67"/>
      <c r="W821" s="67"/>
      <c r="X821" s="67"/>
      <c r="Y821" s="67"/>
      <c r="Z821" s="67"/>
    </row>
    <row r="822">
      <c r="A822" s="135"/>
      <c r="B822" s="125"/>
      <c r="C822" s="125"/>
      <c r="D822" s="125"/>
      <c r="E822" s="125"/>
      <c r="F822" s="146"/>
      <c r="G822" s="67"/>
      <c r="H822" s="67"/>
      <c r="I822" s="67"/>
      <c r="J822" s="67"/>
      <c r="K822" s="67"/>
      <c r="L822" s="67"/>
      <c r="M822" s="67"/>
      <c r="N822" s="67"/>
      <c r="O822" s="67"/>
      <c r="P822" s="67"/>
      <c r="Q822" s="67"/>
      <c r="R822" s="67"/>
      <c r="S822" s="67"/>
      <c r="T822" s="67"/>
      <c r="U822" s="67"/>
      <c r="V822" s="67"/>
      <c r="W822" s="67"/>
      <c r="X822" s="67"/>
      <c r="Y822" s="67"/>
      <c r="Z822" s="67"/>
    </row>
    <row r="823">
      <c r="A823" s="136"/>
      <c r="B823" s="131"/>
      <c r="C823" s="131"/>
      <c r="D823" s="131"/>
      <c r="E823" s="131"/>
      <c r="F823" s="144"/>
      <c r="G823" s="67"/>
      <c r="H823" s="67"/>
      <c r="I823" s="67"/>
      <c r="J823" s="67"/>
      <c r="K823" s="67"/>
      <c r="L823" s="67"/>
      <c r="M823" s="67"/>
      <c r="N823" s="67"/>
      <c r="O823" s="67"/>
      <c r="P823" s="67"/>
      <c r="Q823" s="67"/>
      <c r="R823" s="67"/>
      <c r="S823" s="67"/>
      <c r="T823" s="67"/>
      <c r="U823" s="67"/>
      <c r="V823" s="67"/>
      <c r="W823" s="67"/>
      <c r="X823" s="67"/>
      <c r="Y823" s="67"/>
      <c r="Z823" s="67"/>
    </row>
    <row r="824">
      <c r="A824" s="135"/>
      <c r="B824" s="125"/>
      <c r="C824" s="125"/>
      <c r="D824" s="125"/>
      <c r="E824" s="125"/>
      <c r="F824" s="146"/>
      <c r="G824" s="67"/>
      <c r="H824" s="67"/>
      <c r="I824" s="67"/>
      <c r="J824" s="67"/>
      <c r="K824" s="67"/>
      <c r="L824" s="67"/>
      <c r="M824" s="67"/>
      <c r="N824" s="67"/>
      <c r="O824" s="67"/>
      <c r="P824" s="67"/>
      <c r="Q824" s="67"/>
      <c r="R824" s="67"/>
      <c r="S824" s="67"/>
      <c r="T824" s="67"/>
      <c r="U824" s="67"/>
      <c r="V824" s="67"/>
      <c r="W824" s="67"/>
      <c r="X824" s="67"/>
      <c r="Y824" s="67"/>
      <c r="Z824" s="67"/>
    </row>
    <row r="825">
      <c r="A825" s="136"/>
      <c r="B825" s="131"/>
      <c r="C825" s="131"/>
      <c r="D825" s="131"/>
      <c r="E825" s="131"/>
      <c r="F825" s="144"/>
      <c r="G825" s="67"/>
      <c r="H825" s="67"/>
      <c r="I825" s="67"/>
      <c r="J825" s="67"/>
      <c r="K825" s="67"/>
      <c r="L825" s="67"/>
      <c r="M825" s="67"/>
      <c r="N825" s="67"/>
      <c r="O825" s="67"/>
      <c r="P825" s="67"/>
      <c r="Q825" s="67"/>
      <c r="R825" s="67"/>
      <c r="S825" s="67"/>
      <c r="T825" s="67"/>
      <c r="U825" s="67"/>
      <c r="V825" s="67"/>
      <c r="W825" s="67"/>
      <c r="X825" s="67"/>
      <c r="Y825" s="67"/>
      <c r="Z825" s="67"/>
    </row>
    <row r="826">
      <c r="A826" s="135"/>
      <c r="B826" s="125"/>
      <c r="C826" s="125"/>
      <c r="D826" s="125"/>
      <c r="E826" s="125"/>
      <c r="F826" s="146"/>
      <c r="G826" s="67"/>
      <c r="H826" s="67"/>
      <c r="I826" s="67"/>
      <c r="J826" s="67"/>
      <c r="K826" s="67"/>
      <c r="L826" s="67"/>
      <c r="M826" s="67"/>
      <c r="N826" s="67"/>
      <c r="O826" s="67"/>
      <c r="P826" s="67"/>
      <c r="Q826" s="67"/>
      <c r="R826" s="67"/>
      <c r="S826" s="67"/>
      <c r="T826" s="67"/>
      <c r="U826" s="67"/>
      <c r="V826" s="67"/>
      <c r="W826" s="67"/>
      <c r="X826" s="67"/>
      <c r="Y826" s="67"/>
      <c r="Z826" s="67"/>
    </row>
    <row r="827">
      <c r="A827" s="136"/>
      <c r="B827" s="131"/>
      <c r="C827" s="131"/>
      <c r="D827" s="131"/>
      <c r="E827" s="131"/>
      <c r="F827" s="144"/>
      <c r="G827" s="67"/>
      <c r="H827" s="67"/>
      <c r="I827" s="67"/>
      <c r="J827" s="67"/>
      <c r="K827" s="67"/>
      <c r="L827" s="67"/>
      <c r="M827" s="67"/>
      <c r="N827" s="67"/>
      <c r="O827" s="67"/>
      <c r="P827" s="67"/>
      <c r="Q827" s="67"/>
      <c r="R827" s="67"/>
      <c r="S827" s="67"/>
      <c r="T827" s="67"/>
      <c r="U827" s="67"/>
      <c r="V827" s="67"/>
      <c r="W827" s="67"/>
      <c r="X827" s="67"/>
      <c r="Y827" s="67"/>
      <c r="Z827" s="67"/>
    </row>
    <row r="828">
      <c r="A828" s="135"/>
      <c r="B828" s="125"/>
      <c r="C828" s="125"/>
      <c r="D828" s="125"/>
      <c r="E828" s="125"/>
      <c r="F828" s="146"/>
      <c r="G828" s="67"/>
      <c r="H828" s="67"/>
      <c r="I828" s="67"/>
      <c r="J828" s="67"/>
      <c r="K828" s="67"/>
      <c r="L828" s="67"/>
      <c r="M828" s="67"/>
      <c r="N828" s="67"/>
      <c r="O828" s="67"/>
      <c r="P828" s="67"/>
      <c r="Q828" s="67"/>
      <c r="R828" s="67"/>
      <c r="S828" s="67"/>
      <c r="T828" s="67"/>
      <c r="U828" s="67"/>
      <c r="V828" s="67"/>
      <c r="W828" s="67"/>
      <c r="X828" s="67"/>
      <c r="Y828" s="67"/>
      <c r="Z828" s="67"/>
    </row>
    <row r="829">
      <c r="A829" s="136"/>
      <c r="B829" s="131"/>
      <c r="C829" s="131"/>
      <c r="D829" s="131"/>
      <c r="E829" s="131"/>
      <c r="F829" s="144"/>
      <c r="G829" s="67"/>
      <c r="H829" s="67"/>
      <c r="I829" s="67"/>
      <c r="J829" s="67"/>
      <c r="K829" s="67"/>
      <c r="L829" s="67"/>
      <c r="M829" s="67"/>
      <c r="N829" s="67"/>
      <c r="O829" s="67"/>
      <c r="P829" s="67"/>
      <c r="Q829" s="67"/>
      <c r="R829" s="67"/>
      <c r="S829" s="67"/>
      <c r="T829" s="67"/>
      <c r="U829" s="67"/>
      <c r="V829" s="67"/>
      <c r="W829" s="67"/>
      <c r="X829" s="67"/>
      <c r="Y829" s="67"/>
      <c r="Z829" s="67"/>
    </row>
    <row r="830">
      <c r="A830" s="135"/>
      <c r="B830" s="125"/>
      <c r="C830" s="125"/>
      <c r="D830" s="125"/>
      <c r="E830" s="125"/>
      <c r="F830" s="146"/>
      <c r="G830" s="67"/>
      <c r="H830" s="67"/>
      <c r="I830" s="67"/>
      <c r="J830" s="67"/>
      <c r="K830" s="67"/>
      <c r="L830" s="67"/>
      <c r="M830" s="67"/>
      <c r="N830" s="67"/>
      <c r="O830" s="67"/>
      <c r="P830" s="67"/>
      <c r="Q830" s="67"/>
      <c r="R830" s="67"/>
      <c r="S830" s="67"/>
      <c r="T830" s="67"/>
      <c r="U830" s="67"/>
      <c r="V830" s="67"/>
      <c r="W830" s="67"/>
      <c r="X830" s="67"/>
      <c r="Y830" s="67"/>
      <c r="Z830" s="67"/>
    </row>
    <row r="831">
      <c r="A831" s="136"/>
      <c r="B831" s="131"/>
      <c r="C831" s="131"/>
      <c r="D831" s="131"/>
      <c r="E831" s="131"/>
      <c r="F831" s="144"/>
      <c r="G831" s="67"/>
      <c r="H831" s="67"/>
      <c r="I831" s="67"/>
      <c r="J831" s="67"/>
      <c r="K831" s="67"/>
      <c r="L831" s="67"/>
      <c r="M831" s="67"/>
      <c r="N831" s="67"/>
      <c r="O831" s="67"/>
      <c r="P831" s="67"/>
      <c r="Q831" s="67"/>
      <c r="R831" s="67"/>
      <c r="S831" s="67"/>
      <c r="T831" s="67"/>
      <c r="U831" s="67"/>
      <c r="V831" s="67"/>
      <c r="W831" s="67"/>
      <c r="X831" s="67"/>
      <c r="Y831" s="67"/>
      <c r="Z831" s="67"/>
    </row>
    <row r="832">
      <c r="A832" s="135"/>
      <c r="B832" s="125"/>
      <c r="C832" s="125"/>
      <c r="D832" s="125"/>
      <c r="E832" s="125"/>
      <c r="F832" s="146"/>
      <c r="G832" s="67"/>
      <c r="H832" s="67"/>
      <c r="I832" s="67"/>
      <c r="J832" s="67"/>
      <c r="K832" s="67"/>
      <c r="L832" s="67"/>
      <c r="M832" s="67"/>
      <c r="N832" s="67"/>
      <c r="O832" s="67"/>
      <c r="P832" s="67"/>
      <c r="Q832" s="67"/>
      <c r="R832" s="67"/>
      <c r="S832" s="67"/>
      <c r="T832" s="67"/>
      <c r="U832" s="67"/>
      <c r="V832" s="67"/>
      <c r="W832" s="67"/>
      <c r="X832" s="67"/>
      <c r="Y832" s="67"/>
      <c r="Z832" s="67"/>
    </row>
    <row r="833">
      <c r="A833" s="136"/>
      <c r="B833" s="131"/>
      <c r="C833" s="131"/>
      <c r="D833" s="131"/>
      <c r="E833" s="131"/>
      <c r="F833" s="144"/>
      <c r="G833" s="67"/>
      <c r="H833" s="67"/>
      <c r="I833" s="67"/>
      <c r="J833" s="67"/>
      <c r="K833" s="67"/>
      <c r="L833" s="67"/>
      <c r="M833" s="67"/>
      <c r="N833" s="67"/>
      <c r="O833" s="67"/>
      <c r="P833" s="67"/>
      <c r="Q833" s="67"/>
      <c r="R833" s="67"/>
      <c r="S833" s="67"/>
      <c r="T833" s="67"/>
      <c r="U833" s="67"/>
      <c r="V833" s="67"/>
      <c r="W833" s="67"/>
      <c r="X833" s="67"/>
      <c r="Y833" s="67"/>
      <c r="Z833" s="67"/>
    </row>
    <row r="834">
      <c r="A834" s="135"/>
      <c r="B834" s="125"/>
      <c r="C834" s="125"/>
      <c r="D834" s="125"/>
      <c r="E834" s="125"/>
      <c r="F834" s="146"/>
      <c r="G834" s="67"/>
      <c r="H834" s="67"/>
      <c r="I834" s="67"/>
      <c r="J834" s="67"/>
      <c r="K834" s="67"/>
      <c r="L834" s="67"/>
      <c r="M834" s="67"/>
      <c r="N834" s="67"/>
      <c r="O834" s="67"/>
      <c r="P834" s="67"/>
      <c r="Q834" s="67"/>
      <c r="R834" s="67"/>
      <c r="S834" s="67"/>
      <c r="T834" s="67"/>
      <c r="U834" s="67"/>
      <c r="V834" s="67"/>
      <c r="W834" s="67"/>
      <c r="X834" s="67"/>
      <c r="Y834" s="67"/>
      <c r="Z834" s="67"/>
    </row>
    <row r="835">
      <c r="A835" s="136"/>
      <c r="B835" s="131"/>
      <c r="C835" s="131"/>
      <c r="D835" s="131"/>
      <c r="E835" s="131"/>
      <c r="F835" s="144"/>
      <c r="G835" s="67"/>
      <c r="H835" s="67"/>
      <c r="I835" s="67"/>
      <c r="J835" s="67"/>
      <c r="K835" s="67"/>
      <c r="L835" s="67"/>
      <c r="M835" s="67"/>
      <c r="N835" s="67"/>
      <c r="O835" s="67"/>
      <c r="P835" s="67"/>
      <c r="Q835" s="67"/>
      <c r="R835" s="67"/>
      <c r="S835" s="67"/>
      <c r="T835" s="67"/>
      <c r="U835" s="67"/>
      <c r="V835" s="67"/>
      <c r="W835" s="67"/>
      <c r="X835" s="67"/>
      <c r="Y835" s="67"/>
      <c r="Z835" s="67"/>
    </row>
    <row r="836">
      <c r="A836" s="135"/>
      <c r="B836" s="125"/>
      <c r="C836" s="125"/>
      <c r="D836" s="125"/>
      <c r="E836" s="125"/>
      <c r="F836" s="146"/>
      <c r="G836" s="67"/>
      <c r="H836" s="67"/>
      <c r="I836" s="67"/>
      <c r="J836" s="67"/>
      <c r="K836" s="67"/>
      <c r="L836" s="67"/>
      <c r="M836" s="67"/>
      <c r="N836" s="67"/>
      <c r="O836" s="67"/>
      <c r="P836" s="67"/>
      <c r="Q836" s="67"/>
      <c r="R836" s="67"/>
      <c r="S836" s="67"/>
      <c r="T836" s="67"/>
      <c r="U836" s="67"/>
      <c r="V836" s="67"/>
      <c r="W836" s="67"/>
      <c r="X836" s="67"/>
      <c r="Y836" s="67"/>
      <c r="Z836" s="67"/>
    </row>
    <row r="837">
      <c r="A837" s="136"/>
      <c r="B837" s="131"/>
      <c r="C837" s="131"/>
      <c r="D837" s="131"/>
      <c r="E837" s="131"/>
      <c r="F837" s="144"/>
      <c r="G837" s="67"/>
      <c r="H837" s="67"/>
      <c r="I837" s="67"/>
      <c r="J837" s="67"/>
      <c r="K837" s="67"/>
      <c r="L837" s="67"/>
      <c r="M837" s="67"/>
      <c r="N837" s="67"/>
      <c r="O837" s="67"/>
      <c r="P837" s="67"/>
      <c r="Q837" s="67"/>
      <c r="R837" s="67"/>
      <c r="S837" s="67"/>
      <c r="T837" s="67"/>
      <c r="U837" s="67"/>
      <c r="V837" s="67"/>
      <c r="W837" s="67"/>
      <c r="X837" s="67"/>
      <c r="Y837" s="67"/>
      <c r="Z837" s="67"/>
    </row>
    <row r="838">
      <c r="A838" s="135"/>
      <c r="B838" s="125"/>
      <c r="C838" s="125"/>
      <c r="D838" s="125"/>
      <c r="E838" s="125"/>
      <c r="F838" s="146"/>
      <c r="G838" s="67"/>
      <c r="H838" s="67"/>
      <c r="I838" s="67"/>
      <c r="J838" s="67"/>
      <c r="K838" s="67"/>
      <c r="L838" s="67"/>
      <c r="M838" s="67"/>
      <c r="N838" s="67"/>
      <c r="O838" s="67"/>
      <c r="P838" s="67"/>
      <c r="Q838" s="67"/>
      <c r="R838" s="67"/>
      <c r="S838" s="67"/>
      <c r="T838" s="67"/>
      <c r="U838" s="67"/>
      <c r="V838" s="67"/>
      <c r="W838" s="67"/>
      <c r="X838" s="67"/>
      <c r="Y838" s="67"/>
      <c r="Z838" s="67"/>
    </row>
    <row r="839">
      <c r="A839" s="136"/>
      <c r="B839" s="131"/>
      <c r="C839" s="131"/>
      <c r="D839" s="131"/>
      <c r="E839" s="131"/>
      <c r="F839" s="144"/>
      <c r="G839" s="67"/>
      <c r="H839" s="67"/>
      <c r="I839" s="67"/>
      <c r="J839" s="67"/>
      <c r="K839" s="67"/>
      <c r="L839" s="67"/>
      <c r="M839" s="67"/>
      <c r="N839" s="67"/>
      <c r="O839" s="67"/>
      <c r="P839" s="67"/>
      <c r="Q839" s="67"/>
      <c r="R839" s="67"/>
      <c r="S839" s="67"/>
      <c r="T839" s="67"/>
      <c r="U839" s="67"/>
      <c r="V839" s="67"/>
      <c r="W839" s="67"/>
      <c r="X839" s="67"/>
      <c r="Y839" s="67"/>
      <c r="Z839" s="67"/>
    </row>
    <row r="840">
      <c r="A840" s="135"/>
      <c r="B840" s="125"/>
      <c r="C840" s="125"/>
      <c r="D840" s="125"/>
      <c r="E840" s="125"/>
      <c r="F840" s="146"/>
      <c r="G840" s="67"/>
      <c r="H840" s="67"/>
      <c r="I840" s="67"/>
      <c r="J840" s="67"/>
      <c r="K840" s="67"/>
      <c r="L840" s="67"/>
      <c r="M840" s="67"/>
      <c r="N840" s="67"/>
      <c r="O840" s="67"/>
      <c r="P840" s="67"/>
      <c r="Q840" s="67"/>
      <c r="R840" s="67"/>
      <c r="S840" s="67"/>
      <c r="T840" s="67"/>
      <c r="U840" s="67"/>
      <c r="V840" s="67"/>
      <c r="W840" s="67"/>
      <c r="X840" s="67"/>
      <c r="Y840" s="67"/>
      <c r="Z840" s="67"/>
    </row>
    <row r="841">
      <c r="A841" s="136"/>
      <c r="B841" s="131"/>
      <c r="C841" s="131"/>
      <c r="D841" s="131"/>
      <c r="E841" s="131"/>
      <c r="F841" s="144"/>
      <c r="G841" s="67"/>
      <c r="H841" s="67"/>
      <c r="I841" s="67"/>
      <c r="J841" s="67"/>
      <c r="K841" s="67"/>
      <c r="L841" s="67"/>
      <c r="M841" s="67"/>
      <c r="N841" s="67"/>
      <c r="O841" s="67"/>
      <c r="P841" s="67"/>
      <c r="Q841" s="67"/>
      <c r="R841" s="67"/>
      <c r="S841" s="67"/>
      <c r="T841" s="67"/>
      <c r="U841" s="67"/>
      <c r="V841" s="67"/>
      <c r="W841" s="67"/>
      <c r="X841" s="67"/>
      <c r="Y841" s="67"/>
      <c r="Z841" s="67"/>
    </row>
    <row r="842">
      <c r="A842" s="135"/>
      <c r="B842" s="125"/>
      <c r="C842" s="125"/>
      <c r="D842" s="125"/>
      <c r="E842" s="125"/>
      <c r="F842" s="146"/>
      <c r="G842" s="67"/>
      <c r="H842" s="67"/>
      <c r="I842" s="67"/>
      <c r="J842" s="67"/>
      <c r="K842" s="67"/>
      <c r="L842" s="67"/>
      <c r="M842" s="67"/>
      <c r="N842" s="67"/>
      <c r="O842" s="67"/>
      <c r="P842" s="67"/>
      <c r="Q842" s="67"/>
      <c r="R842" s="67"/>
      <c r="S842" s="67"/>
      <c r="T842" s="67"/>
      <c r="U842" s="67"/>
      <c r="V842" s="67"/>
      <c r="W842" s="67"/>
      <c r="X842" s="67"/>
      <c r="Y842" s="67"/>
      <c r="Z842" s="67"/>
    </row>
    <row r="843">
      <c r="A843" s="136"/>
      <c r="B843" s="131"/>
      <c r="C843" s="131"/>
      <c r="D843" s="131"/>
      <c r="E843" s="131"/>
      <c r="F843" s="144"/>
      <c r="G843" s="67"/>
      <c r="H843" s="67"/>
      <c r="I843" s="67"/>
      <c r="J843" s="67"/>
      <c r="K843" s="67"/>
      <c r="L843" s="67"/>
      <c r="M843" s="67"/>
      <c r="N843" s="67"/>
      <c r="O843" s="67"/>
      <c r="P843" s="67"/>
      <c r="Q843" s="67"/>
      <c r="R843" s="67"/>
      <c r="S843" s="67"/>
      <c r="T843" s="67"/>
      <c r="U843" s="67"/>
      <c r="V843" s="67"/>
      <c r="W843" s="67"/>
      <c r="X843" s="67"/>
      <c r="Y843" s="67"/>
      <c r="Z843" s="67"/>
    </row>
    <row r="844">
      <c r="A844" s="135"/>
      <c r="B844" s="125"/>
      <c r="C844" s="125"/>
      <c r="D844" s="125"/>
      <c r="E844" s="125"/>
      <c r="F844" s="146"/>
      <c r="G844" s="67"/>
      <c r="H844" s="67"/>
      <c r="I844" s="67"/>
      <c r="J844" s="67"/>
      <c r="K844" s="67"/>
      <c r="L844" s="67"/>
      <c r="M844" s="67"/>
      <c r="N844" s="67"/>
      <c r="O844" s="67"/>
      <c r="P844" s="67"/>
      <c r="Q844" s="67"/>
      <c r="R844" s="67"/>
      <c r="S844" s="67"/>
      <c r="T844" s="67"/>
      <c r="U844" s="67"/>
      <c r="V844" s="67"/>
      <c r="W844" s="67"/>
      <c r="X844" s="67"/>
      <c r="Y844" s="67"/>
      <c r="Z844" s="67"/>
    </row>
    <row r="845">
      <c r="A845" s="136"/>
      <c r="B845" s="131"/>
      <c r="C845" s="131"/>
      <c r="D845" s="131"/>
      <c r="E845" s="131"/>
      <c r="F845" s="144"/>
      <c r="G845" s="67"/>
      <c r="H845" s="67"/>
      <c r="I845" s="67"/>
      <c r="J845" s="67"/>
      <c r="K845" s="67"/>
      <c r="L845" s="67"/>
      <c r="M845" s="67"/>
      <c r="N845" s="67"/>
      <c r="O845" s="67"/>
      <c r="P845" s="67"/>
      <c r="Q845" s="67"/>
      <c r="R845" s="67"/>
      <c r="S845" s="67"/>
      <c r="T845" s="67"/>
      <c r="U845" s="67"/>
      <c r="V845" s="67"/>
      <c r="W845" s="67"/>
      <c r="X845" s="67"/>
      <c r="Y845" s="67"/>
      <c r="Z845" s="67"/>
    </row>
    <row r="846">
      <c r="A846" s="135"/>
      <c r="B846" s="125"/>
      <c r="C846" s="125"/>
      <c r="D846" s="125"/>
      <c r="E846" s="125"/>
      <c r="F846" s="146"/>
      <c r="G846" s="67"/>
      <c r="H846" s="67"/>
      <c r="I846" s="67"/>
      <c r="J846" s="67"/>
      <c r="K846" s="67"/>
      <c r="L846" s="67"/>
      <c r="M846" s="67"/>
      <c r="N846" s="67"/>
      <c r="O846" s="67"/>
      <c r="P846" s="67"/>
      <c r="Q846" s="67"/>
      <c r="R846" s="67"/>
      <c r="S846" s="67"/>
      <c r="T846" s="67"/>
      <c r="U846" s="67"/>
      <c r="V846" s="67"/>
      <c r="W846" s="67"/>
      <c r="X846" s="67"/>
      <c r="Y846" s="67"/>
      <c r="Z846" s="67"/>
    </row>
    <row r="847">
      <c r="A847" s="136"/>
      <c r="B847" s="131"/>
      <c r="C847" s="131"/>
      <c r="D847" s="131"/>
      <c r="E847" s="131"/>
      <c r="F847" s="144"/>
      <c r="G847" s="67"/>
      <c r="H847" s="67"/>
      <c r="I847" s="67"/>
      <c r="J847" s="67"/>
      <c r="K847" s="67"/>
      <c r="L847" s="67"/>
      <c r="M847" s="67"/>
      <c r="N847" s="67"/>
      <c r="O847" s="67"/>
      <c r="P847" s="67"/>
      <c r="Q847" s="67"/>
      <c r="R847" s="67"/>
      <c r="S847" s="67"/>
      <c r="T847" s="67"/>
      <c r="U847" s="67"/>
      <c r="V847" s="67"/>
      <c r="W847" s="67"/>
      <c r="X847" s="67"/>
      <c r="Y847" s="67"/>
      <c r="Z847" s="67"/>
    </row>
    <row r="848">
      <c r="A848" s="135"/>
      <c r="B848" s="125"/>
      <c r="C848" s="125"/>
      <c r="D848" s="125"/>
      <c r="E848" s="125"/>
      <c r="F848" s="146"/>
      <c r="G848" s="67"/>
      <c r="H848" s="67"/>
      <c r="I848" s="67"/>
      <c r="J848" s="67"/>
      <c r="K848" s="67"/>
      <c r="L848" s="67"/>
      <c r="M848" s="67"/>
      <c r="N848" s="67"/>
      <c r="O848" s="67"/>
      <c r="P848" s="67"/>
      <c r="Q848" s="67"/>
      <c r="R848" s="67"/>
      <c r="S848" s="67"/>
      <c r="T848" s="67"/>
      <c r="U848" s="67"/>
      <c r="V848" s="67"/>
      <c r="W848" s="67"/>
      <c r="X848" s="67"/>
      <c r="Y848" s="67"/>
      <c r="Z848" s="67"/>
    </row>
    <row r="849">
      <c r="A849" s="136"/>
      <c r="B849" s="131"/>
      <c r="C849" s="131"/>
      <c r="D849" s="131"/>
      <c r="E849" s="131"/>
      <c r="F849" s="144"/>
      <c r="G849" s="67"/>
      <c r="H849" s="67"/>
      <c r="I849" s="67"/>
      <c r="J849" s="67"/>
      <c r="K849" s="67"/>
      <c r="L849" s="67"/>
      <c r="M849" s="67"/>
      <c r="N849" s="67"/>
      <c r="O849" s="67"/>
      <c r="P849" s="67"/>
      <c r="Q849" s="67"/>
      <c r="R849" s="67"/>
      <c r="S849" s="67"/>
      <c r="T849" s="67"/>
      <c r="U849" s="67"/>
      <c r="V849" s="67"/>
      <c r="W849" s="67"/>
      <c r="X849" s="67"/>
      <c r="Y849" s="67"/>
      <c r="Z849" s="67"/>
    </row>
    <row r="850">
      <c r="A850" s="135"/>
      <c r="B850" s="125"/>
      <c r="C850" s="125"/>
      <c r="D850" s="125"/>
      <c r="E850" s="125"/>
      <c r="F850" s="146"/>
      <c r="G850" s="67"/>
      <c r="H850" s="67"/>
      <c r="I850" s="67"/>
      <c r="J850" s="67"/>
      <c r="K850" s="67"/>
      <c r="L850" s="67"/>
      <c r="M850" s="67"/>
      <c r="N850" s="67"/>
      <c r="O850" s="67"/>
      <c r="P850" s="67"/>
      <c r="Q850" s="67"/>
      <c r="R850" s="67"/>
      <c r="S850" s="67"/>
      <c r="T850" s="67"/>
      <c r="U850" s="67"/>
      <c r="V850" s="67"/>
      <c r="W850" s="67"/>
      <c r="X850" s="67"/>
      <c r="Y850" s="67"/>
      <c r="Z850" s="67"/>
    </row>
    <row r="851">
      <c r="A851" s="136"/>
      <c r="B851" s="131"/>
      <c r="C851" s="131"/>
      <c r="D851" s="131"/>
      <c r="E851" s="131"/>
      <c r="F851" s="144"/>
      <c r="G851" s="67"/>
      <c r="H851" s="67"/>
      <c r="I851" s="67"/>
      <c r="J851" s="67"/>
      <c r="K851" s="67"/>
      <c r="L851" s="67"/>
      <c r="M851" s="67"/>
      <c r="N851" s="67"/>
      <c r="O851" s="67"/>
      <c r="P851" s="67"/>
      <c r="Q851" s="67"/>
      <c r="R851" s="67"/>
      <c r="S851" s="67"/>
      <c r="T851" s="67"/>
      <c r="U851" s="67"/>
      <c r="V851" s="67"/>
      <c r="W851" s="67"/>
      <c r="X851" s="67"/>
      <c r="Y851" s="67"/>
      <c r="Z851" s="67"/>
    </row>
    <row r="852">
      <c r="A852" s="135"/>
      <c r="B852" s="125"/>
      <c r="C852" s="125"/>
      <c r="D852" s="125"/>
      <c r="E852" s="125"/>
      <c r="F852" s="146"/>
      <c r="G852" s="67"/>
      <c r="H852" s="67"/>
      <c r="I852" s="67"/>
      <c r="J852" s="67"/>
      <c r="K852" s="67"/>
      <c r="L852" s="67"/>
      <c r="M852" s="67"/>
      <c r="N852" s="67"/>
      <c r="O852" s="67"/>
      <c r="P852" s="67"/>
      <c r="Q852" s="67"/>
      <c r="R852" s="67"/>
      <c r="S852" s="67"/>
      <c r="T852" s="67"/>
      <c r="U852" s="67"/>
      <c r="V852" s="67"/>
      <c r="W852" s="67"/>
      <c r="X852" s="67"/>
      <c r="Y852" s="67"/>
      <c r="Z852" s="67"/>
    </row>
    <row r="853">
      <c r="A853" s="136"/>
      <c r="B853" s="131"/>
      <c r="C853" s="131"/>
      <c r="D853" s="131"/>
      <c r="E853" s="131"/>
      <c r="F853" s="144"/>
      <c r="G853" s="67"/>
      <c r="H853" s="67"/>
      <c r="I853" s="67"/>
      <c r="J853" s="67"/>
      <c r="K853" s="67"/>
      <c r="L853" s="67"/>
      <c r="M853" s="67"/>
      <c r="N853" s="67"/>
      <c r="O853" s="67"/>
      <c r="P853" s="67"/>
      <c r="Q853" s="67"/>
      <c r="R853" s="67"/>
      <c r="S853" s="67"/>
      <c r="T853" s="67"/>
      <c r="U853" s="67"/>
      <c r="V853" s="67"/>
      <c r="W853" s="67"/>
      <c r="X853" s="67"/>
      <c r="Y853" s="67"/>
      <c r="Z853" s="67"/>
    </row>
    <row r="854">
      <c r="A854" s="135"/>
      <c r="B854" s="125"/>
      <c r="C854" s="125"/>
      <c r="D854" s="125"/>
      <c r="E854" s="125"/>
      <c r="F854" s="146"/>
      <c r="G854" s="67"/>
      <c r="H854" s="67"/>
      <c r="I854" s="67"/>
      <c r="J854" s="67"/>
      <c r="K854" s="67"/>
      <c r="L854" s="67"/>
      <c r="M854" s="67"/>
      <c r="N854" s="67"/>
      <c r="O854" s="67"/>
      <c r="P854" s="67"/>
      <c r="Q854" s="67"/>
      <c r="R854" s="67"/>
      <c r="S854" s="67"/>
      <c r="T854" s="67"/>
      <c r="U854" s="67"/>
      <c r="V854" s="67"/>
      <c r="W854" s="67"/>
      <c r="X854" s="67"/>
      <c r="Y854" s="67"/>
      <c r="Z854" s="67"/>
    </row>
    <row r="855">
      <c r="A855" s="136"/>
      <c r="B855" s="131"/>
      <c r="C855" s="131"/>
      <c r="D855" s="131"/>
      <c r="E855" s="131"/>
      <c r="F855" s="144"/>
      <c r="G855" s="67"/>
      <c r="H855" s="67"/>
      <c r="I855" s="67"/>
      <c r="J855" s="67"/>
      <c r="K855" s="67"/>
      <c r="L855" s="67"/>
      <c r="M855" s="67"/>
      <c r="N855" s="67"/>
      <c r="O855" s="67"/>
      <c r="P855" s="67"/>
      <c r="Q855" s="67"/>
      <c r="R855" s="67"/>
      <c r="S855" s="67"/>
      <c r="T855" s="67"/>
      <c r="U855" s="67"/>
      <c r="V855" s="67"/>
      <c r="W855" s="67"/>
      <c r="X855" s="67"/>
      <c r="Y855" s="67"/>
      <c r="Z855" s="67"/>
    </row>
    <row r="856">
      <c r="A856" s="135"/>
      <c r="B856" s="125"/>
      <c r="C856" s="125"/>
      <c r="D856" s="125"/>
      <c r="E856" s="125"/>
      <c r="F856" s="146"/>
      <c r="G856" s="67"/>
      <c r="H856" s="67"/>
      <c r="I856" s="67"/>
      <c r="J856" s="67"/>
      <c r="K856" s="67"/>
      <c r="L856" s="67"/>
      <c r="M856" s="67"/>
      <c r="N856" s="67"/>
      <c r="O856" s="67"/>
      <c r="P856" s="67"/>
      <c r="Q856" s="67"/>
      <c r="R856" s="67"/>
      <c r="S856" s="67"/>
      <c r="T856" s="67"/>
      <c r="U856" s="67"/>
      <c r="V856" s="67"/>
      <c r="W856" s="67"/>
      <c r="X856" s="67"/>
      <c r="Y856" s="67"/>
      <c r="Z856" s="67"/>
    </row>
    <row r="857">
      <c r="A857" s="136"/>
      <c r="B857" s="131"/>
      <c r="C857" s="131"/>
      <c r="D857" s="131"/>
      <c r="E857" s="131"/>
      <c r="F857" s="144"/>
      <c r="G857" s="67"/>
      <c r="H857" s="67"/>
      <c r="I857" s="67"/>
      <c r="J857" s="67"/>
      <c r="K857" s="67"/>
      <c r="L857" s="67"/>
      <c r="M857" s="67"/>
      <c r="N857" s="67"/>
      <c r="O857" s="67"/>
      <c r="P857" s="67"/>
      <c r="Q857" s="67"/>
      <c r="R857" s="67"/>
      <c r="S857" s="67"/>
      <c r="T857" s="67"/>
      <c r="U857" s="67"/>
      <c r="V857" s="67"/>
      <c r="W857" s="67"/>
      <c r="X857" s="67"/>
      <c r="Y857" s="67"/>
      <c r="Z857" s="67"/>
    </row>
    <row r="858">
      <c r="A858" s="135"/>
      <c r="B858" s="125"/>
      <c r="C858" s="125"/>
      <c r="D858" s="125"/>
      <c r="E858" s="125"/>
      <c r="F858" s="146"/>
      <c r="G858" s="67"/>
      <c r="H858" s="67"/>
      <c r="I858" s="67"/>
      <c r="J858" s="67"/>
      <c r="K858" s="67"/>
      <c r="L858" s="67"/>
      <c r="M858" s="67"/>
      <c r="N858" s="67"/>
      <c r="O858" s="67"/>
      <c r="P858" s="67"/>
      <c r="Q858" s="67"/>
      <c r="R858" s="67"/>
      <c r="S858" s="67"/>
      <c r="T858" s="67"/>
      <c r="U858" s="67"/>
      <c r="V858" s="67"/>
      <c r="W858" s="67"/>
      <c r="X858" s="67"/>
      <c r="Y858" s="67"/>
      <c r="Z858" s="67"/>
    </row>
    <row r="859">
      <c r="A859" s="136"/>
      <c r="B859" s="131"/>
      <c r="C859" s="131"/>
      <c r="D859" s="131"/>
      <c r="E859" s="131"/>
      <c r="F859" s="144"/>
      <c r="G859" s="67"/>
      <c r="H859" s="67"/>
      <c r="I859" s="67"/>
      <c r="J859" s="67"/>
      <c r="K859" s="67"/>
      <c r="L859" s="67"/>
      <c r="M859" s="67"/>
      <c r="N859" s="67"/>
      <c r="O859" s="67"/>
      <c r="P859" s="67"/>
      <c r="Q859" s="67"/>
      <c r="R859" s="67"/>
      <c r="S859" s="67"/>
      <c r="T859" s="67"/>
      <c r="U859" s="67"/>
      <c r="V859" s="67"/>
      <c r="W859" s="67"/>
      <c r="X859" s="67"/>
      <c r="Y859" s="67"/>
      <c r="Z859" s="67"/>
    </row>
    <row r="860">
      <c r="A860" s="135"/>
      <c r="B860" s="125"/>
      <c r="C860" s="125"/>
      <c r="D860" s="125"/>
      <c r="E860" s="125"/>
      <c r="F860" s="146"/>
      <c r="G860" s="67"/>
      <c r="H860" s="67"/>
      <c r="I860" s="67"/>
      <c r="J860" s="67"/>
      <c r="K860" s="67"/>
      <c r="L860" s="67"/>
      <c r="M860" s="67"/>
      <c r="N860" s="67"/>
      <c r="O860" s="67"/>
      <c r="P860" s="67"/>
      <c r="Q860" s="67"/>
      <c r="R860" s="67"/>
      <c r="S860" s="67"/>
      <c r="T860" s="67"/>
      <c r="U860" s="67"/>
      <c r="V860" s="67"/>
      <c r="W860" s="67"/>
      <c r="X860" s="67"/>
      <c r="Y860" s="67"/>
      <c r="Z860" s="67"/>
    </row>
    <row r="861">
      <c r="A861" s="136"/>
      <c r="B861" s="131"/>
      <c r="C861" s="131"/>
      <c r="D861" s="131"/>
      <c r="E861" s="131"/>
      <c r="F861" s="144"/>
      <c r="G861" s="67"/>
      <c r="H861" s="67"/>
      <c r="I861" s="67"/>
      <c r="J861" s="67"/>
      <c r="K861" s="67"/>
      <c r="L861" s="67"/>
      <c r="M861" s="67"/>
      <c r="N861" s="67"/>
      <c r="O861" s="67"/>
      <c r="P861" s="67"/>
      <c r="Q861" s="67"/>
      <c r="R861" s="67"/>
      <c r="S861" s="67"/>
      <c r="T861" s="67"/>
      <c r="U861" s="67"/>
      <c r="V861" s="67"/>
      <c r="W861" s="67"/>
      <c r="X861" s="67"/>
      <c r="Y861" s="67"/>
      <c r="Z861" s="67"/>
    </row>
    <row r="862">
      <c r="A862" s="135"/>
      <c r="B862" s="125"/>
      <c r="C862" s="125"/>
      <c r="D862" s="125"/>
      <c r="E862" s="125"/>
      <c r="F862" s="146"/>
      <c r="G862" s="67"/>
      <c r="H862" s="67"/>
      <c r="I862" s="67"/>
      <c r="J862" s="67"/>
      <c r="K862" s="67"/>
      <c r="L862" s="67"/>
      <c r="M862" s="67"/>
      <c r="N862" s="67"/>
      <c r="O862" s="67"/>
      <c r="P862" s="67"/>
      <c r="Q862" s="67"/>
      <c r="R862" s="67"/>
      <c r="S862" s="67"/>
      <c r="T862" s="67"/>
      <c r="U862" s="67"/>
      <c r="V862" s="67"/>
      <c r="W862" s="67"/>
      <c r="X862" s="67"/>
      <c r="Y862" s="67"/>
      <c r="Z862" s="67"/>
    </row>
    <row r="863">
      <c r="A863" s="136"/>
      <c r="B863" s="131"/>
      <c r="C863" s="131"/>
      <c r="D863" s="131"/>
      <c r="E863" s="131"/>
      <c r="F863" s="144"/>
      <c r="G863" s="67"/>
      <c r="H863" s="67"/>
      <c r="I863" s="67"/>
      <c r="J863" s="67"/>
      <c r="K863" s="67"/>
      <c r="L863" s="67"/>
      <c r="M863" s="67"/>
      <c r="N863" s="67"/>
      <c r="O863" s="67"/>
      <c r="P863" s="67"/>
      <c r="Q863" s="67"/>
      <c r="R863" s="67"/>
      <c r="S863" s="67"/>
      <c r="T863" s="67"/>
      <c r="U863" s="67"/>
      <c r="V863" s="67"/>
      <c r="W863" s="67"/>
      <c r="X863" s="67"/>
      <c r="Y863" s="67"/>
      <c r="Z863" s="67"/>
    </row>
    <row r="864">
      <c r="A864" s="135"/>
      <c r="B864" s="125"/>
      <c r="C864" s="125"/>
      <c r="D864" s="125"/>
      <c r="E864" s="125"/>
      <c r="F864" s="146"/>
      <c r="G864" s="67"/>
      <c r="H864" s="67"/>
      <c r="I864" s="67"/>
      <c r="J864" s="67"/>
      <c r="K864" s="67"/>
      <c r="L864" s="67"/>
      <c r="M864" s="67"/>
      <c r="N864" s="67"/>
      <c r="O864" s="67"/>
      <c r="P864" s="67"/>
      <c r="Q864" s="67"/>
      <c r="R864" s="67"/>
      <c r="S864" s="67"/>
      <c r="T864" s="67"/>
      <c r="U864" s="67"/>
      <c r="V864" s="67"/>
      <c r="W864" s="67"/>
      <c r="X864" s="67"/>
      <c r="Y864" s="67"/>
      <c r="Z864" s="67"/>
    </row>
    <row r="865">
      <c r="A865" s="136"/>
      <c r="B865" s="131"/>
      <c r="C865" s="131"/>
      <c r="D865" s="131"/>
      <c r="E865" s="131"/>
      <c r="F865" s="144"/>
      <c r="G865" s="67"/>
      <c r="H865" s="67"/>
      <c r="I865" s="67"/>
      <c r="J865" s="67"/>
      <c r="K865" s="67"/>
      <c r="L865" s="67"/>
      <c r="M865" s="67"/>
      <c r="N865" s="67"/>
      <c r="O865" s="67"/>
      <c r="P865" s="67"/>
      <c r="Q865" s="67"/>
      <c r="R865" s="67"/>
      <c r="S865" s="67"/>
      <c r="T865" s="67"/>
      <c r="U865" s="67"/>
      <c r="V865" s="67"/>
      <c r="W865" s="67"/>
      <c r="X865" s="67"/>
      <c r="Y865" s="67"/>
      <c r="Z865" s="67"/>
    </row>
    <row r="866">
      <c r="A866" s="135"/>
      <c r="B866" s="125"/>
      <c r="C866" s="125"/>
      <c r="D866" s="125"/>
      <c r="E866" s="125"/>
      <c r="F866" s="146"/>
      <c r="G866" s="67"/>
      <c r="H866" s="67"/>
      <c r="I866" s="67"/>
      <c r="J866" s="67"/>
      <c r="K866" s="67"/>
      <c r="L866" s="67"/>
      <c r="M866" s="67"/>
      <c r="N866" s="67"/>
      <c r="O866" s="67"/>
      <c r="P866" s="67"/>
      <c r="Q866" s="67"/>
      <c r="R866" s="67"/>
      <c r="S866" s="67"/>
      <c r="T866" s="67"/>
      <c r="U866" s="67"/>
      <c r="V866" s="67"/>
      <c r="W866" s="67"/>
      <c r="X866" s="67"/>
      <c r="Y866" s="67"/>
      <c r="Z866" s="67"/>
    </row>
    <row r="867">
      <c r="A867" s="136"/>
      <c r="B867" s="131"/>
      <c r="C867" s="131"/>
      <c r="D867" s="131"/>
      <c r="E867" s="131"/>
      <c r="F867" s="144"/>
      <c r="G867" s="67"/>
      <c r="H867" s="67"/>
      <c r="I867" s="67"/>
      <c r="J867" s="67"/>
      <c r="K867" s="67"/>
      <c r="L867" s="67"/>
      <c r="M867" s="67"/>
      <c r="N867" s="67"/>
      <c r="O867" s="67"/>
      <c r="P867" s="67"/>
      <c r="Q867" s="67"/>
      <c r="R867" s="67"/>
      <c r="S867" s="67"/>
      <c r="T867" s="67"/>
      <c r="U867" s="67"/>
      <c r="V867" s="67"/>
      <c r="W867" s="67"/>
      <c r="X867" s="67"/>
      <c r="Y867" s="67"/>
      <c r="Z867" s="67"/>
    </row>
    <row r="868">
      <c r="A868" s="135"/>
      <c r="B868" s="125"/>
      <c r="C868" s="125"/>
      <c r="D868" s="125"/>
      <c r="E868" s="125"/>
      <c r="F868" s="146"/>
      <c r="G868" s="67"/>
      <c r="H868" s="67"/>
      <c r="I868" s="67"/>
      <c r="J868" s="67"/>
      <c r="K868" s="67"/>
      <c r="L868" s="67"/>
      <c r="M868" s="67"/>
      <c r="N868" s="67"/>
      <c r="O868" s="67"/>
      <c r="P868" s="67"/>
      <c r="Q868" s="67"/>
      <c r="R868" s="67"/>
      <c r="S868" s="67"/>
      <c r="T868" s="67"/>
      <c r="U868" s="67"/>
      <c r="V868" s="67"/>
      <c r="W868" s="67"/>
      <c r="X868" s="67"/>
      <c r="Y868" s="67"/>
      <c r="Z868" s="67"/>
    </row>
    <row r="869">
      <c r="A869" s="136"/>
      <c r="B869" s="131"/>
      <c r="C869" s="131"/>
      <c r="D869" s="131"/>
      <c r="E869" s="131"/>
      <c r="F869" s="144"/>
      <c r="G869" s="67"/>
      <c r="H869" s="67"/>
      <c r="I869" s="67"/>
      <c r="J869" s="67"/>
      <c r="K869" s="67"/>
      <c r="L869" s="67"/>
      <c r="M869" s="67"/>
      <c r="N869" s="67"/>
      <c r="O869" s="67"/>
      <c r="P869" s="67"/>
      <c r="Q869" s="67"/>
      <c r="R869" s="67"/>
      <c r="S869" s="67"/>
      <c r="T869" s="67"/>
      <c r="U869" s="67"/>
      <c r="V869" s="67"/>
      <c r="W869" s="67"/>
      <c r="X869" s="67"/>
      <c r="Y869" s="67"/>
      <c r="Z869" s="67"/>
    </row>
    <row r="870">
      <c r="A870" s="135"/>
      <c r="B870" s="125"/>
      <c r="C870" s="125"/>
      <c r="D870" s="125"/>
      <c r="E870" s="125"/>
      <c r="F870" s="146"/>
      <c r="G870" s="67"/>
      <c r="H870" s="67"/>
      <c r="I870" s="67"/>
      <c r="J870" s="67"/>
      <c r="K870" s="67"/>
      <c r="L870" s="67"/>
      <c r="M870" s="67"/>
      <c r="N870" s="67"/>
      <c r="O870" s="67"/>
      <c r="P870" s="67"/>
      <c r="Q870" s="67"/>
      <c r="R870" s="67"/>
      <c r="S870" s="67"/>
      <c r="T870" s="67"/>
      <c r="U870" s="67"/>
      <c r="V870" s="67"/>
      <c r="W870" s="67"/>
      <c r="X870" s="67"/>
      <c r="Y870" s="67"/>
      <c r="Z870" s="67"/>
    </row>
    <row r="871">
      <c r="A871" s="136"/>
      <c r="B871" s="131"/>
      <c r="C871" s="131"/>
      <c r="D871" s="131"/>
      <c r="E871" s="131"/>
      <c r="F871" s="144"/>
      <c r="G871" s="67"/>
      <c r="H871" s="67"/>
      <c r="I871" s="67"/>
      <c r="J871" s="67"/>
      <c r="K871" s="67"/>
      <c r="L871" s="67"/>
      <c r="M871" s="67"/>
      <c r="N871" s="67"/>
      <c r="O871" s="67"/>
      <c r="P871" s="67"/>
      <c r="Q871" s="67"/>
      <c r="R871" s="67"/>
      <c r="S871" s="67"/>
      <c r="T871" s="67"/>
      <c r="U871" s="67"/>
      <c r="V871" s="67"/>
      <c r="W871" s="67"/>
      <c r="X871" s="67"/>
      <c r="Y871" s="67"/>
      <c r="Z871" s="67"/>
    </row>
    <row r="872">
      <c r="A872" s="135"/>
      <c r="B872" s="125"/>
      <c r="C872" s="125"/>
      <c r="D872" s="125"/>
      <c r="E872" s="125"/>
      <c r="F872" s="146"/>
      <c r="G872" s="67"/>
      <c r="H872" s="67"/>
      <c r="I872" s="67"/>
      <c r="J872" s="67"/>
      <c r="K872" s="67"/>
      <c r="L872" s="67"/>
      <c r="M872" s="67"/>
      <c r="N872" s="67"/>
      <c r="O872" s="67"/>
      <c r="P872" s="67"/>
      <c r="Q872" s="67"/>
      <c r="R872" s="67"/>
      <c r="S872" s="67"/>
      <c r="T872" s="67"/>
      <c r="U872" s="67"/>
      <c r="V872" s="67"/>
      <c r="W872" s="67"/>
      <c r="X872" s="67"/>
      <c r="Y872" s="67"/>
      <c r="Z872" s="67"/>
    </row>
    <row r="873">
      <c r="A873" s="136"/>
      <c r="B873" s="131"/>
      <c r="C873" s="131"/>
      <c r="D873" s="131"/>
      <c r="E873" s="131"/>
      <c r="F873" s="144"/>
      <c r="G873" s="67"/>
      <c r="H873" s="67"/>
      <c r="I873" s="67"/>
      <c r="J873" s="67"/>
      <c r="K873" s="67"/>
      <c r="L873" s="67"/>
      <c r="M873" s="67"/>
      <c r="N873" s="67"/>
      <c r="O873" s="67"/>
      <c r="P873" s="67"/>
      <c r="Q873" s="67"/>
      <c r="R873" s="67"/>
      <c r="S873" s="67"/>
      <c r="T873" s="67"/>
      <c r="U873" s="67"/>
      <c r="V873" s="67"/>
      <c r="W873" s="67"/>
      <c r="X873" s="67"/>
      <c r="Y873" s="67"/>
      <c r="Z873" s="67"/>
    </row>
    <row r="874">
      <c r="A874" s="135"/>
      <c r="B874" s="125"/>
      <c r="C874" s="125"/>
      <c r="D874" s="125"/>
      <c r="E874" s="125"/>
      <c r="F874" s="146"/>
      <c r="G874" s="67"/>
      <c r="H874" s="67"/>
      <c r="I874" s="67"/>
      <c r="J874" s="67"/>
      <c r="K874" s="67"/>
      <c r="L874" s="67"/>
      <c r="M874" s="67"/>
      <c r="N874" s="67"/>
      <c r="O874" s="67"/>
      <c r="P874" s="67"/>
      <c r="Q874" s="67"/>
      <c r="R874" s="67"/>
      <c r="S874" s="67"/>
      <c r="T874" s="67"/>
      <c r="U874" s="67"/>
      <c r="V874" s="67"/>
      <c r="W874" s="67"/>
      <c r="X874" s="67"/>
      <c r="Y874" s="67"/>
      <c r="Z874" s="67"/>
    </row>
    <row r="875">
      <c r="A875" s="136"/>
      <c r="B875" s="131"/>
      <c r="C875" s="131"/>
      <c r="D875" s="131"/>
      <c r="E875" s="131"/>
      <c r="F875" s="144"/>
      <c r="G875" s="67"/>
      <c r="H875" s="67"/>
      <c r="I875" s="67"/>
      <c r="J875" s="67"/>
      <c r="K875" s="67"/>
      <c r="L875" s="67"/>
      <c r="M875" s="67"/>
      <c r="N875" s="67"/>
      <c r="O875" s="67"/>
      <c r="P875" s="67"/>
      <c r="Q875" s="67"/>
      <c r="R875" s="67"/>
      <c r="S875" s="67"/>
      <c r="T875" s="67"/>
      <c r="U875" s="67"/>
      <c r="V875" s="67"/>
      <c r="W875" s="67"/>
      <c r="X875" s="67"/>
      <c r="Y875" s="67"/>
      <c r="Z875" s="67"/>
    </row>
    <row r="876">
      <c r="A876" s="135"/>
      <c r="B876" s="125"/>
      <c r="C876" s="125"/>
      <c r="D876" s="125"/>
      <c r="E876" s="125"/>
      <c r="F876" s="146"/>
      <c r="G876" s="67"/>
      <c r="H876" s="67"/>
      <c r="I876" s="67"/>
      <c r="J876" s="67"/>
      <c r="K876" s="67"/>
      <c r="L876" s="67"/>
      <c r="M876" s="67"/>
      <c r="N876" s="67"/>
      <c r="O876" s="67"/>
      <c r="P876" s="67"/>
      <c r="Q876" s="67"/>
      <c r="R876" s="67"/>
      <c r="S876" s="67"/>
      <c r="T876" s="67"/>
      <c r="U876" s="67"/>
      <c r="V876" s="67"/>
      <c r="W876" s="67"/>
      <c r="X876" s="67"/>
      <c r="Y876" s="67"/>
      <c r="Z876" s="67"/>
    </row>
    <row r="877">
      <c r="A877" s="136"/>
      <c r="B877" s="131"/>
      <c r="C877" s="131"/>
      <c r="D877" s="131"/>
      <c r="E877" s="131"/>
      <c r="F877" s="144"/>
      <c r="G877" s="67"/>
      <c r="H877" s="67"/>
      <c r="I877" s="67"/>
      <c r="J877" s="67"/>
      <c r="K877" s="67"/>
      <c r="L877" s="67"/>
      <c r="M877" s="67"/>
      <c r="N877" s="67"/>
      <c r="O877" s="67"/>
      <c r="P877" s="67"/>
      <c r="Q877" s="67"/>
      <c r="R877" s="67"/>
      <c r="S877" s="67"/>
      <c r="T877" s="67"/>
      <c r="U877" s="67"/>
      <c r="V877" s="67"/>
      <c r="W877" s="67"/>
      <c r="X877" s="67"/>
      <c r="Y877" s="67"/>
      <c r="Z877" s="67"/>
    </row>
    <row r="878">
      <c r="A878" s="135"/>
      <c r="B878" s="125"/>
      <c r="C878" s="125"/>
      <c r="D878" s="125"/>
      <c r="E878" s="125"/>
      <c r="F878" s="146"/>
      <c r="G878" s="67"/>
      <c r="H878" s="67"/>
      <c r="I878" s="67"/>
      <c r="J878" s="67"/>
      <c r="K878" s="67"/>
      <c r="L878" s="67"/>
      <c r="M878" s="67"/>
      <c r="N878" s="67"/>
      <c r="O878" s="67"/>
      <c r="P878" s="67"/>
      <c r="Q878" s="67"/>
      <c r="R878" s="67"/>
      <c r="S878" s="67"/>
      <c r="T878" s="67"/>
      <c r="U878" s="67"/>
      <c r="V878" s="67"/>
      <c r="W878" s="67"/>
      <c r="X878" s="67"/>
      <c r="Y878" s="67"/>
      <c r="Z878" s="67"/>
    </row>
    <row r="879">
      <c r="A879" s="136"/>
      <c r="B879" s="131"/>
      <c r="C879" s="131"/>
      <c r="D879" s="131"/>
      <c r="E879" s="131"/>
      <c r="F879" s="144"/>
      <c r="G879" s="67"/>
      <c r="H879" s="67"/>
      <c r="I879" s="67"/>
      <c r="J879" s="67"/>
      <c r="K879" s="67"/>
      <c r="L879" s="67"/>
      <c r="M879" s="67"/>
      <c r="N879" s="67"/>
      <c r="O879" s="67"/>
      <c r="P879" s="67"/>
      <c r="Q879" s="67"/>
      <c r="R879" s="67"/>
      <c r="S879" s="67"/>
      <c r="T879" s="67"/>
      <c r="U879" s="67"/>
      <c r="V879" s="67"/>
      <c r="W879" s="67"/>
      <c r="X879" s="67"/>
      <c r="Y879" s="67"/>
      <c r="Z879" s="67"/>
    </row>
    <row r="880">
      <c r="A880" s="135"/>
      <c r="B880" s="125"/>
      <c r="C880" s="125"/>
      <c r="D880" s="125"/>
      <c r="E880" s="125"/>
      <c r="F880" s="146"/>
      <c r="G880" s="67"/>
      <c r="H880" s="67"/>
      <c r="I880" s="67"/>
      <c r="J880" s="67"/>
      <c r="K880" s="67"/>
      <c r="L880" s="67"/>
      <c r="M880" s="67"/>
      <c r="N880" s="67"/>
      <c r="O880" s="67"/>
      <c r="P880" s="67"/>
      <c r="Q880" s="67"/>
      <c r="R880" s="67"/>
      <c r="S880" s="67"/>
      <c r="T880" s="67"/>
      <c r="U880" s="67"/>
      <c r="V880" s="67"/>
      <c r="W880" s="67"/>
      <c r="X880" s="67"/>
      <c r="Y880" s="67"/>
      <c r="Z880" s="67"/>
    </row>
    <row r="881">
      <c r="A881" s="136"/>
      <c r="B881" s="131"/>
      <c r="C881" s="131"/>
      <c r="D881" s="131"/>
      <c r="E881" s="131"/>
      <c r="F881" s="144"/>
      <c r="G881" s="67"/>
      <c r="H881" s="67"/>
      <c r="I881" s="67"/>
      <c r="J881" s="67"/>
      <c r="K881" s="67"/>
      <c r="L881" s="67"/>
      <c r="M881" s="67"/>
      <c r="N881" s="67"/>
      <c r="O881" s="67"/>
      <c r="P881" s="67"/>
      <c r="Q881" s="67"/>
      <c r="R881" s="67"/>
      <c r="S881" s="67"/>
      <c r="T881" s="67"/>
      <c r="U881" s="67"/>
      <c r="V881" s="67"/>
      <c r="W881" s="67"/>
      <c r="X881" s="67"/>
      <c r="Y881" s="67"/>
      <c r="Z881" s="67"/>
    </row>
    <row r="882">
      <c r="A882" s="135"/>
      <c r="B882" s="125"/>
      <c r="C882" s="125"/>
      <c r="D882" s="125"/>
      <c r="E882" s="125"/>
      <c r="F882" s="146"/>
      <c r="G882" s="67"/>
      <c r="H882" s="67"/>
      <c r="I882" s="67"/>
      <c r="J882" s="67"/>
      <c r="K882" s="67"/>
      <c r="L882" s="67"/>
      <c r="M882" s="67"/>
      <c r="N882" s="67"/>
      <c r="O882" s="67"/>
      <c r="P882" s="67"/>
      <c r="Q882" s="67"/>
      <c r="R882" s="67"/>
      <c r="S882" s="67"/>
      <c r="T882" s="67"/>
      <c r="U882" s="67"/>
      <c r="V882" s="67"/>
      <c r="W882" s="67"/>
      <c r="X882" s="67"/>
      <c r="Y882" s="67"/>
      <c r="Z882" s="67"/>
    </row>
    <row r="883">
      <c r="A883" s="136"/>
      <c r="B883" s="131"/>
      <c r="C883" s="131"/>
      <c r="D883" s="131"/>
      <c r="E883" s="131"/>
      <c r="F883" s="144"/>
      <c r="G883" s="67"/>
      <c r="H883" s="67"/>
      <c r="I883" s="67"/>
      <c r="J883" s="67"/>
      <c r="K883" s="67"/>
      <c r="L883" s="67"/>
      <c r="M883" s="67"/>
      <c r="N883" s="67"/>
      <c r="O883" s="67"/>
      <c r="P883" s="67"/>
      <c r="Q883" s="67"/>
      <c r="R883" s="67"/>
      <c r="S883" s="67"/>
      <c r="T883" s="67"/>
      <c r="U883" s="67"/>
      <c r="V883" s="67"/>
      <c r="W883" s="67"/>
      <c r="X883" s="67"/>
      <c r="Y883" s="67"/>
      <c r="Z883" s="67"/>
    </row>
    <row r="884">
      <c r="A884" s="135"/>
      <c r="B884" s="125"/>
      <c r="C884" s="125"/>
      <c r="D884" s="125"/>
      <c r="E884" s="125"/>
      <c r="F884" s="146"/>
      <c r="G884" s="67"/>
      <c r="H884" s="67"/>
      <c r="I884" s="67"/>
      <c r="J884" s="67"/>
      <c r="K884" s="67"/>
      <c r="L884" s="67"/>
      <c r="M884" s="67"/>
      <c r="N884" s="67"/>
      <c r="O884" s="67"/>
      <c r="P884" s="67"/>
      <c r="Q884" s="67"/>
      <c r="R884" s="67"/>
      <c r="S884" s="67"/>
      <c r="T884" s="67"/>
      <c r="U884" s="67"/>
      <c r="V884" s="67"/>
      <c r="W884" s="67"/>
      <c r="X884" s="67"/>
      <c r="Y884" s="67"/>
      <c r="Z884" s="67"/>
    </row>
    <row r="885">
      <c r="A885" s="136"/>
      <c r="B885" s="131"/>
      <c r="C885" s="131"/>
      <c r="D885" s="131"/>
      <c r="E885" s="131"/>
      <c r="F885" s="144"/>
      <c r="G885" s="67"/>
      <c r="H885" s="67"/>
      <c r="I885" s="67"/>
      <c r="J885" s="67"/>
      <c r="K885" s="67"/>
      <c r="L885" s="67"/>
      <c r="M885" s="67"/>
      <c r="N885" s="67"/>
      <c r="O885" s="67"/>
      <c r="P885" s="67"/>
      <c r="Q885" s="67"/>
      <c r="R885" s="67"/>
      <c r="S885" s="67"/>
      <c r="T885" s="67"/>
      <c r="U885" s="67"/>
      <c r="V885" s="67"/>
      <c r="W885" s="67"/>
      <c r="X885" s="67"/>
      <c r="Y885" s="67"/>
      <c r="Z885" s="67"/>
    </row>
    <row r="886">
      <c r="A886" s="135"/>
      <c r="B886" s="125"/>
      <c r="C886" s="125"/>
      <c r="D886" s="125"/>
      <c r="E886" s="125"/>
      <c r="F886" s="146"/>
      <c r="G886" s="67"/>
      <c r="H886" s="67"/>
      <c r="I886" s="67"/>
      <c r="J886" s="67"/>
      <c r="K886" s="67"/>
      <c r="L886" s="67"/>
      <c r="M886" s="67"/>
      <c r="N886" s="67"/>
      <c r="O886" s="67"/>
      <c r="P886" s="67"/>
      <c r="Q886" s="67"/>
      <c r="R886" s="67"/>
      <c r="S886" s="67"/>
      <c r="T886" s="67"/>
      <c r="U886" s="67"/>
      <c r="V886" s="67"/>
      <c r="W886" s="67"/>
      <c r="X886" s="67"/>
      <c r="Y886" s="67"/>
      <c r="Z886" s="67"/>
    </row>
    <row r="887">
      <c r="A887" s="136"/>
      <c r="B887" s="131"/>
      <c r="C887" s="131"/>
      <c r="D887" s="131"/>
      <c r="E887" s="131"/>
      <c r="F887" s="144"/>
      <c r="G887" s="67"/>
      <c r="H887" s="67"/>
      <c r="I887" s="67"/>
      <c r="J887" s="67"/>
      <c r="K887" s="67"/>
      <c r="L887" s="67"/>
      <c r="M887" s="67"/>
      <c r="N887" s="67"/>
      <c r="O887" s="67"/>
      <c r="P887" s="67"/>
      <c r="Q887" s="67"/>
      <c r="R887" s="67"/>
      <c r="S887" s="67"/>
      <c r="T887" s="67"/>
      <c r="U887" s="67"/>
      <c r="V887" s="67"/>
      <c r="W887" s="67"/>
      <c r="X887" s="67"/>
      <c r="Y887" s="67"/>
      <c r="Z887" s="67"/>
    </row>
    <row r="888">
      <c r="A888" s="135"/>
      <c r="B888" s="125"/>
      <c r="C888" s="125"/>
      <c r="D888" s="125"/>
      <c r="E888" s="125"/>
      <c r="F888" s="146"/>
      <c r="G888" s="67"/>
      <c r="H888" s="67"/>
      <c r="I888" s="67"/>
      <c r="J888" s="67"/>
      <c r="K888" s="67"/>
      <c r="L888" s="67"/>
      <c r="M888" s="67"/>
      <c r="N888" s="67"/>
      <c r="O888" s="67"/>
      <c r="P888" s="67"/>
      <c r="Q888" s="67"/>
      <c r="R888" s="67"/>
      <c r="S888" s="67"/>
      <c r="T888" s="67"/>
      <c r="U888" s="67"/>
      <c r="V888" s="67"/>
      <c r="W888" s="67"/>
      <c r="X888" s="67"/>
      <c r="Y888" s="67"/>
      <c r="Z888" s="67"/>
    </row>
    <row r="889">
      <c r="A889" s="136"/>
      <c r="B889" s="131"/>
      <c r="C889" s="131"/>
      <c r="D889" s="131"/>
      <c r="E889" s="131"/>
      <c r="F889" s="144"/>
      <c r="G889" s="67"/>
      <c r="H889" s="67"/>
      <c r="I889" s="67"/>
      <c r="J889" s="67"/>
      <c r="K889" s="67"/>
      <c r="L889" s="67"/>
      <c r="M889" s="67"/>
      <c r="N889" s="67"/>
      <c r="O889" s="67"/>
      <c r="P889" s="67"/>
      <c r="Q889" s="67"/>
      <c r="R889" s="67"/>
      <c r="S889" s="67"/>
      <c r="T889" s="67"/>
      <c r="U889" s="67"/>
      <c r="V889" s="67"/>
      <c r="W889" s="67"/>
      <c r="X889" s="67"/>
      <c r="Y889" s="67"/>
      <c r="Z889" s="67"/>
    </row>
    <row r="890">
      <c r="A890" s="135"/>
      <c r="B890" s="125"/>
      <c r="C890" s="125"/>
      <c r="D890" s="125"/>
      <c r="E890" s="125"/>
      <c r="F890" s="146"/>
      <c r="G890" s="67"/>
      <c r="H890" s="67"/>
      <c r="I890" s="67"/>
      <c r="J890" s="67"/>
      <c r="K890" s="67"/>
      <c r="L890" s="67"/>
      <c r="M890" s="67"/>
      <c r="N890" s="67"/>
      <c r="O890" s="67"/>
      <c r="P890" s="67"/>
      <c r="Q890" s="67"/>
      <c r="R890" s="67"/>
      <c r="S890" s="67"/>
      <c r="T890" s="67"/>
      <c r="U890" s="67"/>
      <c r="V890" s="67"/>
      <c r="W890" s="67"/>
      <c r="X890" s="67"/>
      <c r="Y890" s="67"/>
      <c r="Z890" s="67"/>
    </row>
    <row r="891">
      <c r="A891" s="136"/>
      <c r="B891" s="131"/>
      <c r="C891" s="131"/>
      <c r="D891" s="131"/>
      <c r="E891" s="131"/>
      <c r="F891" s="144"/>
      <c r="G891" s="67"/>
      <c r="H891" s="67"/>
      <c r="I891" s="67"/>
      <c r="J891" s="67"/>
      <c r="K891" s="67"/>
      <c r="L891" s="67"/>
      <c r="M891" s="67"/>
      <c r="N891" s="67"/>
      <c r="O891" s="67"/>
      <c r="P891" s="67"/>
      <c r="Q891" s="67"/>
      <c r="R891" s="67"/>
      <c r="S891" s="67"/>
      <c r="T891" s="67"/>
      <c r="U891" s="67"/>
      <c r="V891" s="67"/>
      <c r="W891" s="67"/>
      <c r="X891" s="67"/>
      <c r="Y891" s="67"/>
      <c r="Z891" s="67"/>
    </row>
    <row r="892">
      <c r="A892" s="135"/>
      <c r="B892" s="125"/>
      <c r="C892" s="125"/>
      <c r="D892" s="125"/>
      <c r="E892" s="125"/>
      <c r="F892" s="146"/>
      <c r="G892" s="67"/>
      <c r="H892" s="67"/>
      <c r="I892" s="67"/>
      <c r="J892" s="67"/>
      <c r="K892" s="67"/>
      <c r="L892" s="67"/>
      <c r="M892" s="67"/>
      <c r="N892" s="67"/>
      <c r="O892" s="67"/>
      <c r="P892" s="67"/>
      <c r="Q892" s="67"/>
      <c r="R892" s="67"/>
      <c r="S892" s="67"/>
      <c r="T892" s="67"/>
      <c r="U892" s="67"/>
      <c r="V892" s="67"/>
      <c r="W892" s="67"/>
      <c r="X892" s="67"/>
      <c r="Y892" s="67"/>
      <c r="Z892" s="67"/>
    </row>
    <row r="893">
      <c r="A893" s="136"/>
      <c r="B893" s="131"/>
      <c r="C893" s="131"/>
      <c r="D893" s="131"/>
      <c r="E893" s="131"/>
      <c r="F893" s="144"/>
      <c r="G893" s="67"/>
      <c r="H893" s="67"/>
      <c r="I893" s="67"/>
      <c r="J893" s="67"/>
      <c r="K893" s="67"/>
      <c r="L893" s="67"/>
      <c r="M893" s="67"/>
      <c r="N893" s="67"/>
      <c r="O893" s="67"/>
      <c r="P893" s="67"/>
      <c r="Q893" s="67"/>
      <c r="R893" s="67"/>
      <c r="S893" s="67"/>
      <c r="T893" s="67"/>
      <c r="U893" s="67"/>
      <c r="V893" s="67"/>
      <c r="W893" s="67"/>
      <c r="X893" s="67"/>
      <c r="Y893" s="67"/>
      <c r="Z893" s="67"/>
    </row>
    <row r="894">
      <c r="A894" s="135"/>
      <c r="B894" s="125"/>
      <c r="C894" s="125"/>
      <c r="D894" s="125"/>
      <c r="E894" s="125"/>
      <c r="F894" s="146"/>
      <c r="G894" s="67"/>
      <c r="H894" s="67"/>
      <c r="I894" s="67"/>
      <c r="J894" s="67"/>
      <c r="K894" s="67"/>
      <c r="L894" s="67"/>
      <c r="M894" s="67"/>
      <c r="N894" s="67"/>
      <c r="O894" s="67"/>
      <c r="P894" s="67"/>
      <c r="Q894" s="67"/>
      <c r="R894" s="67"/>
      <c r="S894" s="67"/>
      <c r="T894" s="67"/>
      <c r="U894" s="67"/>
      <c r="V894" s="67"/>
      <c r="W894" s="67"/>
      <c r="X894" s="67"/>
      <c r="Y894" s="67"/>
      <c r="Z894" s="67"/>
    </row>
    <row r="895">
      <c r="A895" s="136"/>
      <c r="B895" s="131"/>
      <c r="C895" s="131"/>
      <c r="D895" s="131"/>
      <c r="E895" s="131"/>
      <c r="F895" s="144"/>
      <c r="G895" s="67"/>
      <c r="H895" s="67"/>
      <c r="I895" s="67"/>
      <c r="J895" s="67"/>
      <c r="K895" s="67"/>
      <c r="L895" s="67"/>
      <c r="M895" s="67"/>
      <c r="N895" s="67"/>
      <c r="O895" s="67"/>
      <c r="P895" s="67"/>
      <c r="Q895" s="67"/>
      <c r="R895" s="67"/>
      <c r="S895" s="67"/>
      <c r="T895" s="67"/>
      <c r="U895" s="67"/>
      <c r="V895" s="67"/>
      <c r="W895" s="67"/>
      <c r="X895" s="67"/>
      <c r="Y895" s="67"/>
      <c r="Z895" s="67"/>
    </row>
    <row r="896">
      <c r="A896" s="135"/>
      <c r="B896" s="125"/>
      <c r="C896" s="125"/>
      <c r="D896" s="125"/>
      <c r="E896" s="125"/>
      <c r="F896" s="146"/>
      <c r="G896" s="67"/>
      <c r="H896" s="67"/>
      <c r="I896" s="67"/>
      <c r="J896" s="67"/>
      <c r="K896" s="67"/>
      <c r="L896" s="67"/>
      <c r="M896" s="67"/>
      <c r="N896" s="67"/>
      <c r="O896" s="67"/>
      <c r="P896" s="67"/>
      <c r="Q896" s="67"/>
      <c r="R896" s="67"/>
      <c r="S896" s="67"/>
      <c r="T896" s="67"/>
      <c r="U896" s="67"/>
      <c r="V896" s="67"/>
      <c r="W896" s="67"/>
      <c r="X896" s="67"/>
      <c r="Y896" s="67"/>
      <c r="Z896" s="67"/>
    </row>
    <row r="897">
      <c r="A897" s="136"/>
      <c r="B897" s="131"/>
      <c r="C897" s="131"/>
      <c r="D897" s="131"/>
      <c r="E897" s="131"/>
      <c r="F897" s="144"/>
      <c r="G897" s="67"/>
      <c r="H897" s="67"/>
      <c r="I897" s="67"/>
      <c r="J897" s="67"/>
      <c r="K897" s="67"/>
      <c r="L897" s="67"/>
      <c r="M897" s="67"/>
      <c r="N897" s="67"/>
      <c r="O897" s="67"/>
      <c r="P897" s="67"/>
      <c r="Q897" s="67"/>
      <c r="R897" s="67"/>
      <c r="S897" s="67"/>
      <c r="T897" s="67"/>
      <c r="U897" s="67"/>
      <c r="V897" s="67"/>
      <c r="W897" s="67"/>
      <c r="X897" s="67"/>
      <c r="Y897" s="67"/>
      <c r="Z897" s="67"/>
    </row>
    <row r="898">
      <c r="A898" s="135"/>
      <c r="B898" s="125"/>
      <c r="C898" s="125"/>
      <c r="D898" s="125"/>
      <c r="E898" s="125"/>
      <c r="F898" s="146"/>
      <c r="G898" s="67"/>
      <c r="H898" s="67"/>
      <c r="I898" s="67"/>
      <c r="J898" s="67"/>
      <c r="K898" s="67"/>
      <c r="L898" s="67"/>
      <c r="M898" s="67"/>
      <c r="N898" s="67"/>
      <c r="O898" s="67"/>
      <c r="P898" s="67"/>
      <c r="Q898" s="67"/>
      <c r="R898" s="67"/>
      <c r="S898" s="67"/>
      <c r="T898" s="67"/>
      <c r="U898" s="67"/>
      <c r="V898" s="67"/>
      <c r="W898" s="67"/>
      <c r="X898" s="67"/>
      <c r="Y898" s="67"/>
      <c r="Z898" s="67"/>
    </row>
    <row r="899">
      <c r="A899" s="136"/>
      <c r="B899" s="131"/>
      <c r="C899" s="131"/>
      <c r="D899" s="131"/>
      <c r="E899" s="131"/>
      <c r="F899" s="144"/>
      <c r="G899" s="67"/>
      <c r="H899" s="67"/>
      <c r="I899" s="67"/>
      <c r="J899" s="67"/>
      <c r="K899" s="67"/>
      <c r="L899" s="67"/>
      <c r="M899" s="67"/>
      <c r="N899" s="67"/>
      <c r="O899" s="67"/>
      <c r="P899" s="67"/>
      <c r="Q899" s="67"/>
      <c r="R899" s="67"/>
      <c r="S899" s="67"/>
      <c r="T899" s="67"/>
      <c r="U899" s="67"/>
      <c r="V899" s="67"/>
      <c r="W899" s="67"/>
      <c r="X899" s="67"/>
      <c r="Y899" s="67"/>
      <c r="Z899" s="67"/>
    </row>
    <row r="900">
      <c r="A900" s="135"/>
      <c r="B900" s="125"/>
      <c r="C900" s="125"/>
      <c r="D900" s="125"/>
      <c r="E900" s="125"/>
      <c r="F900" s="146"/>
      <c r="G900" s="67"/>
      <c r="H900" s="67"/>
      <c r="I900" s="67"/>
      <c r="J900" s="67"/>
      <c r="K900" s="67"/>
      <c r="L900" s="67"/>
      <c r="M900" s="67"/>
      <c r="N900" s="67"/>
      <c r="O900" s="67"/>
      <c r="P900" s="67"/>
      <c r="Q900" s="67"/>
      <c r="R900" s="67"/>
      <c r="S900" s="67"/>
      <c r="T900" s="67"/>
      <c r="U900" s="67"/>
      <c r="V900" s="67"/>
      <c r="W900" s="67"/>
      <c r="X900" s="67"/>
      <c r="Y900" s="67"/>
      <c r="Z900" s="67"/>
    </row>
    <row r="901">
      <c r="A901" s="136"/>
      <c r="B901" s="131"/>
      <c r="C901" s="131"/>
      <c r="D901" s="131"/>
      <c r="E901" s="131"/>
      <c r="F901" s="144"/>
      <c r="G901" s="67"/>
      <c r="H901" s="67"/>
      <c r="I901" s="67"/>
      <c r="J901" s="67"/>
      <c r="K901" s="67"/>
      <c r="L901" s="67"/>
      <c r="M901" s="67"/>
      <c r="N901" s="67"/>
      <c r="O901" s="67"/>
      <c r="P901" s="67"/>
      <c r="Q901" s="67"/>
      <c r="R901" s="67"/>
      <c r="S901" s="67"/>
      <c r="T901" s="67"/>
      <c r="U901" s="67"/>
      <c r="V901" s="67"/>
      <c r="W901" s="67"/>
      <c r="X901" s="67"/>
      <c r="Y901" s="67"/>
      <c r="Z901" s="67"/>
    </row>
    <row r="902">
      <c r="A902" s="135"/>
      <c r="B902" s="125"/>
      <c r="C902" s="125"/>
      <c r="D902" s="125"/>
      <c r="E902" s="125"/>
      <c r="F902" s="146"/>
      <c r="G902" s="67"/>
      <c r="H902" s="67"/>
      <c r="I902" s="67"/>
      <c r="J902" s="67"/>
      <c r="K902" s="67"/>
      <c r="L902" s="67"/>
      <c r="M902" s="67"/>
      <c r="N902" s="67"/>
      <c r="O902" s="67"/>
      <c r="P902" s="67"/>
      <c r="Q902" s="67"/>
      <c r="R902" s="67"/>
      <c r="S902" s="67"/>
      <c r="T902" s="67"/>
      <c r="U902" s="67"/>
      <c r="V902" s="67"/>
      <c r="W902" s="67"/>
      <c r="X902" s="67"/>
      <c r="Y902" s="67"/>
      <c r="Z902" s="67"/>
    </row>
    <row r="903">
      <c r="A903" s="136"/>
      <c r="B903" s="131"/>
      <c r="C903" s="131"/>
      <c r="D903" s="131"/>
      <c r="E903" s="131"/>
      <c r="F903" s="144"/>
      <c r="G903" s="67"/>
      <c r="H903" s="67"/>
      <c r="I903" s="67"/>
      <c r="J903" s="67"/>
      <c r="K903" s="67"/>
      <c r="L903" s="67"/>
      <c r="M903" s="67"/>
      <c r="N903" s="67"/>
      <c r="O903" s="67"/>
      <c r="P903" s="67"/>
      <c r="Q903" s="67"/>
      <c r="R903" s="67"/>
      <c r="S903" s="67"/>
      <c r="T903" s="67"/>
      <c r="U903" s="67"/>
      <c r="V903" s="67"/>
      <c r="W903" s="67"/>
      <c r="X903" s="67"/>
      <c r="Y903" s="67"/>
      <c r="Z903" s="67"/>
    </row>
    <row r="904">
      <c r="A904" s="135"/>
      <c r="B904" s="125"/>
      <c r="C904" s="125"/>
      <c r="D904" s="125"/>
      <c r="E904" s="125"/>
      <c r="F904" s="146"/>
      <c r="G904" s="67"/>
      <c r="H904" s="67"/>
      <c r="I904" s="67"/>
      <c r="J904" s="67"/>
      <c r="K904" s="67"/>
      <c r="L904" s="67"/>
      <c r="M904" s="67"/>
      <c r="N904" s="67"/>
      <c r="O904" s="67"/>
      <c r="P904" s="67"/>
      <c r="Q904" s="67"/>
      <c r="R904" s="67"/>
      <c r="S904" s="67"/>
      <c r="T904" s="67"/>
      <c r="U904" s="67"/>
      <c r="V904" s="67"/>
      <c r="W904" s="67"/>
      <c r="X904" s="67"/>
      <c r="Y904" s="67"/>
      <c r="Z904" s="67"/>
    </row>
    <row r="905">
      <c r="A905" s="136"/>
      <c r="B905" s="131"/>
      <c r="C905" s="131"/>
      <c r="D905" s="131"/>
      <c r="E905" s="131"/>
      <c r="F905" s="144"/>
      <c r="G905" s="67"/>
      <c r="H905" s="67"/>
      <c r="I905" s="67"/>
      <c r="J905" s="67"/>
      <c r="K905" s="67"/>
      <c r="L905" s="67"/>
      <c r="M905" s="67"/>
      <c r="N905" s="67"/>
      <c r="O905" s="67"/>
      <c r="P905" s="67"/>
      <c r="Q905" s="67"/>
      <c r="R905" s="67"/>
      <c r="S905" s="67"/>
      <c r="T905" s="67"/>
      <c r="U905" s="67"/>
      <c r="V905" s="67"/>
      <c r="W905" s="67"/>
      <c r="X905" s="67"/>
      <c r="Y905" s="67"/>
      <c r="Z905" s="67"/>
    </row>
    <row r="906">
      <c r="A906" s="135"/>
      <c r="B906" s="125"/>
      <c r="C906" s="125"/>
      <c r="D906" s="125"/>
      <c r="E906" s="125"/>
      <c r="F906" s="146"/>
      <c r="G906" s="67"/>
      <c r="H906" s="67"/>
      <c r="I906" s="67"/>
      <c r="J906" s="67"/>
      <c r="K906" s="67"/>
      <c r="L906" s="67"/>
      <c r="M906" s="67"/>
      <c r="N906" s="67"/>
      <c r="O906" s="67"/>
      <c r="P906" s="67"/>
      <c r="Q906" s="67"/>
      <c r="R906" s="67"/>
      <c r="S906" s="67"/>
      <c r="T906" s="67"/>
      <c r="U906" s="67"/>
      <c r="V906" s="67"/>
      <c r="W906" s="67"/>
      <c r="X906" s="67"/>
      <c r="Y906" s="67"/>
      <c r="Z906" s="67"/>
    </row>
    <row r="907">
      <c r="A907" s="136"/>
      <c r="B907" s="131"/>
      <c r="C907" s="131"/>
      <c r="D907" s="131"/>
      <c r="E907" s="131"/>
      <c r="F907" s="144"/>
      <c r="G907" s="67"/>
      <c r="H907" s="67"/>
      <c r="I907" s="67"/>
      <c r="J907" s="67"/>
      <c r="K907" s="67"/>
      <c r="L907" s="67"/>
      <c r="M907" s="67"/>
      <c r="N907" s="67"/>
      <c r="O907" s="67"/>
      <c r="P907" s="67"/>
      <c r="Q907" s="67"/>
      <c r="R907" s="67"/>
      <c r="S907" s="67"/>
      <c r="T907" s="67"/>
      <c r="U907" s="67"/>
      <c r="V907" s="67"/>
      <c r="W907" s="67"/>
      <c r="X907" s="67"/>
      <c r="Y907" s="67"/>
      <c r="Z907" s="67"/>
    </row>
    <row r="908">
      <c r="A908" s="135"/>
      <c r="B908" s="125"/>
      <c r="C908" s="125"/>
      <c r="D908" s="125"/>
      <c r="E908" s="125"/>
      <c r="F908" s="146"/>
      <c r="G908" s="67"/>
      <c r="H908" s="67"/>
      <c r="I908" s="67"/>
      <c r="J908" s="67"/>
      <c r="K908" s="67"/>
      <c r="L908" s="67"/>
      <c r="M908" s="67"/>
      <c r="N908" s="67"/>
      <c r="O908" s="67"/>
      <c r="P908" s="67"/>
      <c r="Q908" s="67"/>
      <c r="R908" s="67"/>
      <c r="S908" s="67"/>
      <c r="T908" s="67"/>
      <c r="U908" s="67"/>
      <c r="V908" s="67"/>
      <c r="W908" s="67"/>
      <c r="X908" s="67"/>
      <c r="Y908" s="67"/>
      <c r="Z908" s="67"/>
    </row>
    <row r="909">
      <c r="A909" s="136"/>
      <c r="B909" s="131"/>
      <c r="C909" s="131"/>
      <c r="D909" s="131"/>
      <c r="E909" s="131"/>
      <c r="F909" s="144"/>
      <c r="G909" s="67"/>
      <c r="H909" s="67"/>
      <c r="I909" s="67"/>
      <c r="J909" s="67"/>
      <c r="K909" s="67"/>
      <c r="L909" s="67"/>
      <c r="M909" s="67"/>
      <c r="N909" s="67"/>
      <c r="O909" s="67"/>
      <c r="P909" s="67"/>
      <c r="Q909" s="67"/>
      <c r="R909" s="67"/>
      <c r="S909" s="67"/>
      <c r="T909" s="67"/>
      <c r="U909" s="67"/>
      <c r="V909" s="67"/>
      <c r="W909" s="67"/>
      <c r="X909" s="67"/>
      <c r="Y909" s="67"/>
      <c r="Z909" s="67"/>
    </row>
    <row r="910">
      <c r="A910" s="135"/>
      <c r="B910" s="125"/>
      <c r="C910" s="125"/>
      <c r="D910" s="125"/>
      <c r="E910" s="125"/>
      <c r="F910" s="146"/>
      <c r="G910" s="67"/>
      <c r="H910" s="67"/>
      <c r="I910" s="67"/>
      <c r="J910" s="67"/>
      <c r="K910" s="67"/>
      <c r="L910" s="67"/>
      <c r="M910" s="67"/>
      <c r="N910" s="67"/>
      <c r="O910" s="67"/>
      <c r="P910" s="67"/>
      <c r="Q910" s="67"/>
      <c r="R910" s="67"/>
      <c r="S910" s="67"/>
      <c r="T910" s="67"/>
      <c r="U910" s="67"/>
      <c r="V910" s="67"/>
      <c r="W910" s="67"/>
      <c r="X910" s="67"/>
      <c r="Y910" s="67"/>
      <c r="Z910" s="67"/>
    </row>
    <row r="911">
      <c r="A911" s="136"/>
      <c r="B911" s="131"/>
      <c r="C911" s="131"/>
      <c r="D911" s="131"/>
      <c r="E911" s="131"/>
      <c r="F911" s="144"/>
      <c r="G911" s="67"/>
      <c r="H911" s="67"/>
      <c r="I911" s="67"/>
      <c r="J911" s="67"/>
      <c r="K911" s="67"/>
      <c r="L911" s="67"/>
      <c r="M911" s="67"/>
      <c r="N911" s="67"/>
      <c r="O911" s="67"/>
      <c r="P911" s="67"/>
      <c r="Q911" s="67"/>
      <c r="R911" s="67"/>
      <c r="S911" s="67"/>
      <c r="T911" s="67"/>
      <c r="U911" s="67"/>
      <c r="V911" s="67"/>
      <c r="W911" s="67"/>
      <c r="X911" s="67"/>
      <c r="Y911" s="67"/>
      <c r="Z911" s="67"/>
    </row>
    <row r="912">
      <c r="A912" s="135"/>
      <c r="B912" s="125"/>
      <c r="C912" s="125"/>
      <c r="D912" s="125"/>
      <c r="E912" s="125"/>
      <c r="F912" s="146"/>
      <c r="G912" s="67"/>
      <c r="H912" s="67"/>
      <c r="I912" s="67"/>
      <c r="J912" s="67"/>
      <c r="K912" s="67"/>
      <c r="L912" s="67"/>
      <c r="M912" s="67"/>
      <c r="N912" s="67"/>
      <c r="O912" s="67"/>
      <c r="P912" s="67"/>
      <c r="Q912" s="67"/>
      <c r="R912" s="67"/>
      <c r="S912" s="67"/>
      <c r="T912" s="67"/>
      <c r="U912" s="67"/>
      <c r="V912" s="67"/>
      <c r="W912" s="67"/>
      <c r="X912" s="67"/>
      <c r="Y912" s="67"/>
      <c r="Z912" s="67"/>
    </row>
    <row r="913">
      <c r="A913" s="136"/>
      <c r="B913" s="131"/>
      <c r="C913" s="131"/>
      <c r="D913" s="131"/>
      <c r="E913" s="131"/>
      <c r="F913" s="144"/>
      <c r="G913" s="67"/>
      <c r="H913" s="67"/>
      <c r="I913" s="67"/>
      <c r="J913" s="67"/>
      <c r="K913" s="67"/>
      <c r="L913" s="67"/>
      <c r="M913" s="67"/>
      <c r="N913" s="67"/>
      <c r="O913" s="67"/>
      <c r="P913" s="67"/>
      <c r="Q913" s="67"/>
      <c r="R913" s="67"/>
      <c r="S913" s="67"/>
      <c r="T913" s="67"/>
      <c r="U913" s="67"/>
      <c r="V913" s="67"/>
      <c r="W913" s="67"/>
      <c r="X913" s="67"/>
      <c r="Y913" s="67"/>
      <c r="Z913" s="67"/>
    </row>
    <row r="914">
      <c r="A914" s="135"/>
      <c r="B914" s="125"/>
      <c r="C914" s="125"/>
      <c r="D914" s="125"/>
      <c r="E914" s="125"/>
      <c r="F914" s="146"/>
      <c r="G914" s="67"/>
      <c r="H914" s="67"/>
      <c r="I914" s="67"/>
      <c r="J914" s="67"/>
      <c r="K914" s="67"/>
      <c r="L914" s="67"/>
      <c r="M914" s="67"/>
      <c r="N914" s="67"/>
      <c r="O914" s="67"/>
      <c r="P914" s="67"/>
      <c r="Q914" s="67"/>
      <c r="R914" s="67"/>
      <c r="S914" s="67"/>
      <c r="T914" s="67"/>
      <c r="U914" s="67"/>
      <c r="V914" s="67"/>
      <c r="W914" s="67"/>
      <c r="X914" s="67"/>
      <c r="Y914" s="67"/>
      <c r="Z914" s="67"/>
    </row>
    <row r="915">
      <c r="A915" s="136"/>
      <c r="B915" s="131"/>
      <c r="C915" s="131"/>
      <c r="D915" s="131"/>
      <c r="E915" s="131"/>
      <c r="F915" s="144"/>
      <c r="G915" s="67"/>
      <c r="H915" s="67"/>
      <c r="I915" s="67"/>
      <c r="J915" s="67"/>
      <c r="K915" s="67"/>
      <c r="L915" s="67"/>
      <c r="M915" s="67"/>
      <c r="N915" s="67"/>
      <c r="O915" s="67"/>
      <c r="P915" s="67"/>
      <c r="Q915" s="67"/>
      <c r="R915" s="67"/>
      <c r="S915" s="67"/>
      <c r="T915" s="67"/>
      <c r="U915" s="67"/>
      <c r="V915" s="67"/>
      <c r="W915" s="67"/>
      <c r="X915" s="67"/>
      <c r="Y915" s="67"/>
      <c r="Z915" s="67"/>
    </row>
    <row r="916">
      <c r="A916" s="135"/>
      <c r="B916" s="125"/>
      <c r="C916" s="125"/>
      <c r="D916" s="125"/>
      <c r="E916" s="125"/>
      <c r="F916" s="146"/>
      <c r="G916" s="67"/>
      <c r="H916" s="67"/>
      <c r="I916" s="67"/>
      <c r="J916" s="67"/>
      <c r="K916" s="67"/>
      <c r="L916" s="67"/>
      <c r="M916" s="67"/>
      <c r="N916" s="67"/>
      <c r="O916" s="67"/>
      <c r="P916" s="67"/>
      <c r="Q916" s="67"/>
      <c r="R916" s="67"/>
      <c r="S916" s="67"/>
      <c r="T916" s="67"/>
      <c r="U916" s="67"/>
      <c r="V916" s="67"/>
      <c r="W916" s="67"/>
      <c r="X916" s="67"/>
      <c r="Y916" s="67"/>
      <c r="Z916" s="67"/>
    </row>
    <row r="917">
      <c r="A917" s="136"/>
      <c r="B917" s="131"/>
      <c r="C917" s="131"/>
      <c r="D917" s="131"/>
      <c r="E917" s="131"/>
      <c r="F917" s="144"/>
      <c r="G917" s="67"/>
      <c r="H917" s="67"/>
      <c r="I917" s="67"/>
      <c r="J917" s="67"/>
      <c r="K917" s="67"/>
      <c r="L917" s="67"/>
      <c r="M917" s="67"/>
      <c r="N917" s="67"/>
      <c r="O917" s="67"/>
      <c r="P917" s="67"/>
      <c r="Q917" s="67"/>
      <c r="R917" s="67"/>
      <c r="S917" s="67"/>
      <c r="T917" s="67"/>
      <c r="U917" s="67"/>
      <c r="V917" s="67"/>
      <c r="W917" s="67"/>
      <c r="X917" s="67"/>
      <c r="Y917" s="67"/>
      <c r="Z917" s="67"/>
    </row>
    <row r="918">
      <c r="A918" s="135"/>
      <c r="B918" s="125"/>
      <c r="C918" s="125"/>
      <c r="D918" s="125"/>
      <c r="E918" s="125"/>
      <c r="F918" s="146"/>
      <c r="G918" s="67"/>
      <c r="H918" s="67"/>
      <c r="I918" s="67"/>
      <c r="J918" s="67"/>
      <c r="K918" s="67"/>
      <c r="L918" s="67"/>
      <c r="M918" s="67"/>
      <c r="N918" s="67"/>
      <c r="O918" s="67"/>
      <c r="P918" s="67"/>
      <c r="Q918" s="67"/>
      <c r="R918" s="67"/>
      <c r="S918" s="67"/>
      <c r="T918" s="67"/>
      <c r="U918" s="67"/>
      <c r="V918" s="67"/>
      <c r="W918" s="67"/>
      <c r="X918" s="67"/>
      <c r="Y918" s="67"/>
      <c r="Z918" s="67"/>
    </row>
    <row r="919">
      <c r="A919" s="136"/>
      <c r="B919" s="131"/>
      <c r="C919" s="131"/>
      <c r="D919" s="131"/>
      <c r="E919" s="131"/>
      <c r="F919" s="144"/>
      <c r="G919" s="67"/>
      <c r="H919" s="67"/>
      <c r="I919" s="67"/>
      <c r="J919" s="67"/>
      <c r="K919" s="67"/>
      <c r="L919" s="67"/>
      <c r="M919" s="67"/>
      <c r="N919" s="67"/>
      <c r="O919" s="67"/>
      <c r="P919" s="67"/>
      <c r="Q919" s="67"/>
      <c r="R919" s="67"/>
      <c r="S919" s="67"/>
      <c r="T919" s="67"/>
      <c r="U919" s="67"/>
      <c r="V919" s="67"/>
      <c r="W919" s="67"/>
      <c r="X919" s="67"/>
      <c r="Y919" s="67"/>
      <c r="Z919" s="67"/>
    </row>
    <row r="920">
      <c r="A920" s="135"/>
      <c r="B920" s="125"/>
      <c r="C920" s="125"/>
      <c r="D920" s="125"/>
      <c r="E920" s="125"/>
      <c r="F920" s="146"/>
      <c r="G920" s="67"/>
      <c r="H920" s="67"/>
      <c r="I920" s="67"/>
      <c r="J920" s="67"/>
      <c r="K920" s="67"/>
      <c r="L920" s="67"/>
      <c r="M920" s="67"/>
      <c r="N920" s="67"/>
      <c r="O920" s="67"/>
      <c r="P920" s="67"/>
      <c r="Q920" s="67"/>
      <c r="R920" s="67"/>
      <c r="S920" s="67"/>
      <c r="T920" s="67"/>
      <c r="U920" s="67"/>
      <c r="V920" s="67"/>
      <c r="W920" s="67"/>
      <c r="X920" s="67"/>
      <c r="Y920" s="67"/>
      <c r="Z920" s="67"/>
    </row>
    <row r="921">
      <c r="A921" s="136"/>
      <c r="B921" s="131"/>
      <c r="C921" s="131"/>
      <c r="D921" s="131"/>
      <c r="E921" s="131"/>
      <c r="F921" s="144"/>
      <c r="G921" s="67"/>
      <c r="H921" s="67"/>
      <c r="I921" s="67"/>
      <c r="J921" s="67"/>
      <c r="K921" s="67"/>
      <c r="L921" s="67"/>
      <c r="M921" s="67"/>
      <c r="N921" s="67"/>
      <c r="O921" s="67"/>
      <c r="P921" s="67"/>
      <c r="Q921" s="67"/>
      <c r="R921" s="67"/>
      <c r="S921" s="67"/>
      <c r="T921" s="67"/>
      <c r="U921" s="67"/>
      <c r="V921" s="67"/>
      <c r="W921" s="67"/>
      <c r="X921" s="67"/>
      <c r="Y921" s="67"/>
      <c r="Z921" s="67"/>
    </row>
    <row r="922">
      <c r="A922" s="135"/>
      <c r="B922" s="125"/>
      <c r="C922" s="125"/>
      <c r="D922" s="125"/>
      <c r="E922" s="125"/>
      <c r="F922" s="146"/>
      <c r="G922" s="67"/>
      <c r="H922" s="67"/>
      <c r="I922" s="67"/>
      <c r="J922" s="67"/>
      <c r="K922" s="67"/>
      <c r="L922" s="67"/>
      <c r="M922" s="67"/>
      <c r="N922" s="67"/>
      <c r="O922" s="67"/>
      <c r="P922" s="67"/>
      <c r="Q922" s="67"/>
      <c r="R922" s="67"/>
      <c r="S922" s="67"/>
      <c r="T922" s="67"/>
      <c r="U922" s="67"/>
      <c r="V922" s="67"/>
      <c r="W922" s="67"/>
      <c r="X922" s="67"/>
      <c r="Y922" s="67"/>
      <c r="Z922" s="67"/>
    </row>
    <row r="923">
      <c r="A923" s="136"/>
      <c r="B923" s="131"/>
      <c r="C923" s="131"/>
      <c r="D923" s="131"/>
      <c r="E923" s="131"/>
      <c r="F923" s="144"/>
      <c r="G923" s="67"/>
      <c r="H923" s="67"/>
      <c r="I923" s="67"/>
      <c r="J923" s="67"/>
      <c r="K923" s="67"/>
      <c r="L923" s="67"/>
      <c r="M923" s="67"/>
      <c r="N923" s="67"/>
      <c r="O923" s="67"/>
      <c r="P923" s="67"/>
      <c r="Q923" s="67"/>
      <c r="R923" s="67"/>
      <c r="S923" s="67"/>
      <c r="T923" s="67"/>
      <c r="U923" s="67"/>
      <c r="V923" s="67"/>
      <c r="W923" s="67"/>
      <c r="X923" s="67"/>
      <c r="Y923" s="67"/>
      <c r="Z923" s="67"/>
    </row>
    <row r="924">
      <c r="A924" s="135"/>
      <c r="B924" s="125"/>
      <c r="C924" s="125"/>
      <c r="D924" s="125"/>
      <c r="E924" s="125"/>
      <c r="F924" s="146"/>
      <c r="G924" s="67"/>
      <c r="H924" s="67"/>
      <c r="I924" s="67"/>
      <c r="J924" s="67"/>
      <c r="K924" s="67"/>
      <c r="L924" s="67"/>
      <c r="M924" s="67"/>
      <c r="N924" s="67"/>
      <c r="O924" s="67"/>
      <c r="P924" s="67"/>
      <c r="Q924" s="67"/>
      <c r="R924" s="67"/>
      <c r="S924" s="67"/>
      <c r="T924" s="67"/>
      <c r="U924" s="67"/>
      <c r="V924" s="67"/>
      <c r="W924" s="67"/>
      <c r="X924" s="67"/>
      <c r="Y924" s="67"/>
      <c r="Z924" s="67"/>
    </row>
    <row r="925">
      <c r="A925" s="136"/>
      <c r="B925" s="131"/>
      <c r="C925" s="131"/>
      <c r="D925" s="131"/>
      <c r="E925" s="131"/>
      <c r="F925" s="144"/>
      <c r="G925" s="67"/>
      <c r="H925" s="67"/>
      <c r="I925" s="67"/>
      <c r="J925" s="67"/>
      <c r="K925" s="67"/>
      <c r="L925" s="67"/>
      <c r="M925" s="67"/>
      <c r="N925" s="67"/>
      <c r="O925" s="67"/>
      <c r="P925" s="67"/>
      <c r="Q925" s="67"/>
      <c r="R925" s="67"/>
      <c r="S925" s="67"/>
      <c r="T925" s="67"/>
      <c r="U925" s="67"/>
      <c r="V925" s="67"/>
      <c r="W925" s="67"/>
      <c r="X925" s="67"/>
      <c r="Y925" s="67"/>
      <c r="Z925" s="67"/>
    </row>
    <row r="926">
      <c r="A926" s="135"/>
      <c r="B926" s="125"/>
      <c r="C926" s="125"/>
      <c r="D926" s="125"/>
      <c r="E926" s="125"/>
      <c r="F926" s="146"/>
      <c r="G926" s="67"/>
      <c r="H926" s="67"/>
      <c r="I926" s="67"/>
      <c r="J926" s="67"/>
      <c r="K926" s="67"/>
      <c r="L926" s="67"/>
      <c r="M926" s="67"/>
      <c r="N926" s="67"/>
      <c r="O926" s="67"/>
      <c r="P926" s="67"/>
      <c r="Q926" s="67"/>
      <c r="R926" s="67"/>
      <c r="S926" s="67"/>
      <c r="T926" s="67"/>
      <c r="U926" s="67"/>
      <c r="V926" s="67"/>
      <c r="W926" s="67"/>
      <c r="X926" s="67"/>
      <c r="Y926" s="67"/>
      <c r="Z926" s="67"/>
    </row>
    <row r="927">
      <c r="A927" s="136"/>
      <c r="B927" s="131"/>
      <c r="C927" s="131"/>
      <c r="D927" s="131"/>
      <c r="E927" s="131"/>
      <c r="F927" s="144"/>
      <c r="G927" s="67"/>
      <c r="H927" s="67"/>
      <c r="I927" s="67"/>
      <c r="J927" s="67"/>
      <c r="K927" s="67"/>
      <c r="L927" s="67"/>
      <c r="M927" s="67"/>
      <c r="N927" s="67"/>
      <c r="O927" s="67"/>
      <c r="P927" s="67"/>
      <c r="Q927" s="67"/>
      <c r="R927" s="67"/>
      <c r="S927" s="67"/>
      <c r="T927" s="67"/>
      <c r="U927" s="67"/>
      <c r="V927" s="67"/>
      <c r="W927" s="67"/>
      <c r="X927" s="67"/>
      <c r="Y927" s="67"/>
      <c r="Z927" s="67"/>
    </row>
    <row r="928">
      <c r="A928" s="135"/>
      <c r="B928" s="125"/>
      <c r="C928" s="125"/>
      <c r="D928" s="125"/>
      <c r="E928" s="125"/>
      <c r="F928" s="146"/>
      <c r="G928" s="67"/>
      <c r="H928" s="67"/>
      <c r="I928" s="67"/>
      <c r="J928" s="67"/>
      <c r="K928" s="67"/>
      <c r="L928" s="67"/>
      <c r="M928" s="67"/>
      <c r="N928" s="67"/>
      <c r="O928" s="67"/>
      <c r="P928" s="67"/>
      <c r="Q928" s="67"/>
      <c r="R928" s="67"/>
      <c r="S928" s="67"/>
      <c r="T928" s="67"/>
      <c r="U928" s="67"/>
      <c r="V928" s="67"/>
      <c r="W928" s="67"/>
      <c r="X928" s="67"/>
      <c r="Y928" s="67"/>
      <c r="Z928" s="67"/>
    </row>
    <row r="929">
      <c r="A929" s="136"/>
      <c r="B929" s="131"/>
      <c r="C929" s="131"/>
      <c r="D929" s="131"/>
      <c r="E929" s="131"/>
      <c r="F929" s="144"/>
      <c r="G929" s="67"/>
      <c r="H929" s="67"/>
      <c r="I929" s="67"/>
      <c r="J929" s="67"/>
      <c r="K929" s="67"/>
      <c r="L929" s="67"/>
      <c r="M929" s="67"/>
      <c r="N929" s="67"/>
      <c r="O929" s="67"/>
      <c r="P929" s="67"/>
      <c r="Q929" s="67"/>
      <c r="R929" s="67"/>
      <c r="S929" s="67"/>
      <c r="T929" s="67"/>
      <c r="U929" s="67"/>
      <c r="V929" s="67"/>
      <c r="W929" s="67"/>
      <c r="X929" s="67"/>
      <c r="Y929" s="67"/>
      <c r="Z929" s="67"/>
    </row>
    <row r="930">
      <c r="A930" s="135"/>
      <c r="B930" s="125"/>
      <c r="C930" s="125"/>
      <c r="D930" s="125"/>
      <c r="E930" s="125"/>
      <c r="F930" s="146"/>
      <c r="G930" s="67"/>
      <c r="H930" s="67"/>
      <c r="I930" s="67"/>
      <c r="J930" s="67"/>
      <c r="K930" s="67"/>
      <c r="L930" s="67"/>
      <c r="M930" s="67"/>
      <c r="N930" s="67"/>
      <c r="O930" s="67"/>
      <c r="P930" s="67"/>
      <c r="Q930" s="67"/>
      <c r="R930" s="67"/>
      <c r="S930" s="67"/>
      <c r="T930" s="67"/>
      <c r="U930" s="67"/>
      <c r="V930" s="67"/>
      <c r="W930" s="67"/>
      <c r="X930" s="67"/>
      <c r="Y930" s="67"/>
      <c r="Z930" s="67"/>
    </row>
    <row r="931">
      <c r="A931" s="136"/>
      <c r="B931" s="131"/>
      <c r="C931" s="131"/>
      <c r="D931" s="131"/>
      <c r="E931" s="131"/>
      <c r="F931" s="144"/>
      <c r="G931" s="67"/>
      <c r="H931" s="67"/>
      <c r="I931" s="67"/>
      <c r="J931" s="67"/>
      <c r="K931" s="67"/>
      <c r="L931" s="67"/>
      <c r="M931" s="67"/>
      <c r="N931" s="67"/>
      <c r="O931" s="67"/>
      <c r="P931" s="67"/>
      <c r="Q931" s="67"/>
      <c r="R931" s="67"/>
      <c r="S931" s="67"/>
      <c r="T931" s="67"/>
      <c r="U931" s="67"/>
      <c r="V931" s="67"/>
      <c r="W931" s="67"/>
      <c r="X931" s="67"/>
      <c r="Y931" s="67"/>
      <c r="Z931" s="67"/>
    </row>
    <row r="932">
      <c r="A932" s="135"/>
      <c r="B932" s="125"/>
      <c r="C932" s="125"/>
      <c r="D932" s="125"/>
      <c r="E932" s="125"/>
      <c r="F932" s="146"/>
      <c r="G932" s="67"/>
      <c r="H932" s="67"/>
      <c r="I932" s="67"/>
      <c r="J932" s="67"/>
      <c r="K932" s="67"/>
      <c r="L932" s="67"/>
      <c r="M932" s="67"/>
      <c r="N932" s="67"/>
      <c r="O932" s="67"/>
      <c r="P932" s="67"/>
      <c r="Q932" s="67"/>
      <c r="R932" s="67"/>
      <c r="S932" s="67"/>
      <c r="T932" s="67"/>
      <c r="U932" s="67"/>
      <c r="V932" s="67"/>
      <c r="W932" s="67"/>
      <c r="X932" s="67"/>
      <c r="Y932" s="67"/>
      <c r="Z932" s="67"/>
    </row>
    <row r="933">
      <c r="A933" s="136"/>
      <c r="B933" s="131"/>
      <c r="C933" s="131"/>
      <c r="D933" s="131"/>
      <c r="E933" s="131"/>
      <c r="F933" s="144"/>
      <c r="G933" s="67"/>
      <c r="H933" s="67"/>
      <c r="I933" s="67"/>
      <c r="J933" s="67"/>
      <c r="K933" s="67"/>
      <c r="L933" s="67"/>
      <c r="M933" s="67"/>
      <c r="N933" s="67"/>
      <c r="O933" s="67"/>
      <c r="P933" s="67"/>
      <c r="Q933" s="67"/>
      <c r="R933" s="67"/>
      <c r="S933" s="67"/>
      <c r="T933" s="67"/>
      <c r="U933" s="67"/>
      <c r="V933" s="67"/>
      <c r="W933" s="67"/>
      <c r="X933" s="67"/>
      <c r="Y933" s="67"/>
      <c r="Z933" s="67"/>
    </row>
    <row r="934">
      <c r="A934" s="135"/>
      <c r="B934" s="125"/>
      <c r="C934" s="125"/>
      <c r="D934" s="125"/>
      <c r="E934" s="125"/>
      <c r="F934" s="146"/>
      <c r="G934" s="67"/>
      <c r="H934" s="67"/>
      <c r="I934" s="67"/>
      <c r="J934" s="67"/>
      <c r="K934" s="67"/>
      <c r="L934" s="67"/>
      <c r="M934" s="67"/>
      <c r="N934" s="67"/>
      <c r="O934" s="67"/>
      <c r="P934" s="67"/>
      <c r="Q934" s="67"/>
      <c r="R934" s="67"/>
      <c r="S934" s="67"/>
      <c r="T934" s="67"/>
      <c r="U934" s="67"/>
      <c r="V934" s="67"/>
      <c r="W934" s="67"/>
      <c r="X934" s="67"/>
      <c r="Y934" s="67"/>
      <c r="Z934" s="67"/>
    </row>
    <row r="935">
      <c r="A935" s="136"/>
      <c r="B935" s="131"/>
      <c r="C935" s="131"/>
      <c r="D935" s="131"/>
      <c r="E935" s="131"/>
      <c r="F935" s="144"/>
      <c r="G935" s="67"/>
      <c r="H935" s="67"/>
      <c r="I935" s="67"/>
      <c r="J935" s="67"/>
      <c r="K935" s="67"/>
      <c r="L935" s="67"/>
      <c r="M935" s="67"/>
      <c r="N935" s="67"/>
      <c r="O935" s="67"/>
      <c r="P935" s="67"/>
      <c r="Q935" s="67"/>
      <c r="R935" s="67"/>
      <c r="S935" s="67"/>
      <c r="T935" s="67"/>
      <c r="U935" s="67"/>
      <c r="V935" s="67"/>
      <c r="W935" s="67"/>
      <c r="X935" s="67"/>
      <c r="Y935" s="67"/>
      <c r="Z935" s="67"/>
    </row>
    <row r="936">
      <c r="A936" s="135"/>
      <c r="B936" s="125"/>
      <c r="C936" s="125"/>
      <c r="D936" s="125"/>
      <c r="E936" s="125"/>
      <c r="F936" s="146"/>
      <c r="G936" s="67"/>
      <c r="H936" s="67"/>
      <c r="I936" s="67"/>
      <c r="J936" s="67"/>
      <c r="K936" s="67"/>
      <c r="L936" s="67"/>
      <c r="M936" s="67"/>
      <c r="N936" s="67"/>
      <c r="O936" s="67"/>
      <c r="P936" s="67"/>
      <c r="Q936" s="67"/>
      <c r="R936" s="67"/>
      <c r="S936" s="67"/>
      <c r="T936" s="67"/>
      <c r="U936" s="67"/>
      <c r="V936" s="67"/>
      <c r="W936" s="67"/>
      <c r="X936" s="67"/>
      <c r="Y936" s="67"/>
      <c r="Z936" s="67"/>
    </row>
    <row r="937">
      <c r="A937" s="136"/>
      <c r="B937" s="131"/>
      <c r="C937" s="131"/>
      <c r="D937" s="131"/>
      <c r="E937" s="131"/>
      <c r="F937" s="144"/>
      <c r="G937" s="67"/>
      <c r="H937" s="67"/>
      <c r="I937" s="67"/>
      <c r="J937" s="67"/>
      <c r="K937" s="67"/>
      <c r="L937" s="67"/>
      <c r="M937" s="67"/>
      <c r="N937" s="67"/>
      <c r="O937" s="67"/>
      <c r="P937" s="67"/>
      <c r="Q937" s="67"/>
      <c r="R937" s="67"/>
      <c r="S937" s="67"/>
      <c r="T937" s="67"/>
      <c r="U937" s="67"/>
      <c r="V937" s="67"/>
      <c r="W937" s="67"/>
      <c r="X937" s="67"/>
      <c r="Y937" s="67"/>
      <c r="Z937" s="67"/>
    </row>
    <row r="938">
      <c r="A938" s="135"/>
      <c r="B938" s="125"/>
      <c r="C938" s="125"/>
      <c r="D938" s="125"/>
      <c r="E938" s="125"/>
      <c r="F938" s="146"/>
      <c r="G938" s="67"/>
      <c r="H938" s="67"/>
      <c r="I938" s="67"/>
      <c r="J938" s="67"/>
      <c r="K938" s="67"/>
      <c r="L938" s="67"/>
      <c r="M938" s="67"/>
      <c r="N938" s="67"/>
      <c r="O938" s="67"/>
      <c r="P938" s="67"/>
      <c r="Q938" s="67"/>
      <c r="R938" s="67"/>
      <c r="S938" s="67"/>
      <c r="T938" s="67"/>
      <c r="U938" s="67"/>
      <c r="V938" s="67"/>
      <c r="W938" s="67"/>
      <c r="X938" s="67"/>
      <c r="Y938" s="67"/>
      <c r="Z938" s="67"/>
    </row>
    <row r="939">
      <c r="A939" s="136"/>
      <c r="B939" s="131"/>
      <c r="C939" s="131"/>
      <c r="D939" s="131"/>
      <c r="E939" s="131"/>
      <c r="F939" s="144"/>
      <c r="G939" s="67"/>
      <c r="H939" s="67"/>
      <c r="I939" s="67"/>
      <c r="J939" s="67"/>
      <c r="K939" s="67"/>
      <c r="L939" s="67"/>
      <c r="M939" s="67"/>
      <c r="N939" s="67"/>
      <c r="O939" s="67"/>
      <c r="P939" s="67"/>
      <c r="Q939" s="67"/>
      <c r="R939" s="67"/>
      <c r="S939" s="67"/>
      <c r="T939" s="67"/>
      <c r="U939" s="67"/>
      <c r="V939" s="67"/>
      <c r="W939" s="67"/>
      <c r="X939" s="67"/>
      <c r="Y939" s="67"/>
      <c r="Z939" s="67"/>
    </row>
    <row r="940">
      <c r="A940" s="135"/>
      <c r="B940" s="125"/>
      <c r="C940" s="125"/>
      <c r="D940" s="125"/>
      <c r="E940" s="125"/>
      <c r="F940" s="146"/>
      <c r="G940" s="67"/>
      <c r="H940" s="67"/>
      <c r="I940" s="67"/>
      <c r="J940" s="67"/>
      <c r="K940" s="67"/>
      <c r="L940" s="67"/>
      <c r="M940" s="67"/>
      <c r="N940" s="67"/>
      <c r="O940" s="67"/>
      <c r="P940" s="67"/>
      <c r="Q940" s="67"/>
      <c r="R940" s="67"/>
      <c r="S940" s="67"/>
      <c r="T940" s="67"/>
      <c r="U940" s="67"/>
      <c r="V940" s="67"/>
      <c r="W940" s="67"/>
      <c r="X940" s="67"/>
      <c r="Y940" s="67"/>
      <c r="Z940" s="67"/>
    </row>
    <row r="941">
      <c r="A941" s="136"/>
      <c r="B941" s="131"/>
      <c r="C941" s="131"/>
      <c r="D941" s="131"/>
      <c r="E941" s="131"/>
      <c r="F941" s="144"/>
      <c r="G941" s="67"/>
      <c r="H941" s="67"/>
      <c r="I941" s="67"/>
      <c r="J941" s="67"/>
      <c r="K941" s="67"/>
      <c r="L941" s="67"/>
      <c r="M941" s="67"/>
      <c r="N941" s="67"/>
      <c r="O941" s="67"/>
      <c r="P941" s="67"/>
      <c r="Q941" s="67"/>
      <c r="R941" s="67"/>
      <c r="S941" s="67"/>
      <c r="T941" s="67"/>
      <c r="U941" s="67"/>
      <c r="V941" s="67"/>
      <c r="W941" s="67"/>
      <c r="X941" s="67"/>
      <c r="Y941" s="67"/>
      <c r="Z941" s="67"/>
    </row>
    <row r="942">
      <c r="A942" s="135"/>
      <c r="B942" s="125"/>
      <c r="C942" s="125"/>
      <c r="D942" s="125"/>
      <c r="E942" s="125"/>
      <c r="F942" s="146"/>
      <c r="G942" s="67"/>
      <c r="H942" s="67"/>
      <c r="I942" s="67"/>
      <c r="J942" s="67"/>
      <c r="K942" s="67"/>
      <c r="L942" s="67"/>
      <c r="M942" s="67"/>
      <c r="N942" s="67"/>
      <c r="O942" s="67"/>
      <c r="P942" s="67"/>
      <c r="Q942" s="67"/>
      <c r="R942" s="67"/>
      <c r="S942" s="67"/>
      <c r="T942" s="67"/>
      <c r="U942" s="67"/>
      <c r="V942" s="67"/>
      <c r="W942" s="67"/>
      <c r="X942" s="67"/>
      <c r="Y942" s="67"/>
      <c r="Z942" s="67"/>
    </row>
    <row r="943">
      <c r="A943" s="136"/>
      <c r="B943" s="131"/>
      <c r="C943" s="131"/>
      <c r="D943" s="131"/>
      <c r="E943" s="131"/>
      <c r="F943" s="144"/>
      <c r="G943" s="67"/>
      <c r="H943" s="67"/>
      <c r="I943" s="67"/>
      <c r="J943" s="67"/>
      <c r="K943" s="67"/>
      <c r="L943" s="67"/>
      <c r="M943" s="67"/>
      <c r="N943" s="67"/>
      <c r="O943" s="67"/>
      <c r="P943" s="67"/>
      <c r="Q943" s="67"/>
      <c r="R943" s="67"/>
      <c r="S943" s="67"/>
      <c r="T943" s="67"/>
      <c r="U943" s="67"/>
      <c r="V943" s="67"/>
      <c r="W943" s="67"/>
      <c r="X943" s="67"/>
      <c r="Y943" s="67"/>
      <c r="Z943" s="67"/>
    </row>
    <row r="944">
      <c r="A944" s="135"/>
      <c r="B944" s="125"/>
      <c r="C944" s="125"/>
      <c r="D944" s="125"/>
      <c r="E944" s="125"/>
      <c r="F944" s="146"/>
      <c r="G944" s="67"/>
      <c r="H944" s="67"/>
      <c r="I944" s="67"/>
      <c r="J944" s="67"/>
      <c r="K944" s="67"/>
      <c r="L944" s="67"/>
      <c r="M944" s="67"/>
      <c r="N944" s="67"/>
      <c r="O944" s="67"/>
      <c r="P944" s="67"/>
      <c r="Q944" s="67"/>
      <c r="R944" s="67"/>
      <c r="S944" s="67"/>
      <c r="T944" s="67"/>
      <c r="U944" s="67"/>
      <c r="V944" s="67"/>
      <c r="W944" s="67"/>
      <c r="X944" s="67"/>
      <c r="Y944" s="67"/>
      <c r="Z944" s="67"/>
    </row>
    <row r="945">
      <c r="A945" s="136"/>
      <c r="B945" s="131"/>
      <c r="C945" s="131"/>
      <c r="D945" s="131"/>
      <c r="E945" s="131"/>
      <c r="F945" s="144"/>
      <c r="G945" s="67"/>
      <c r="H945" s="67"/>
      <c r="I945" s="67"/>
      <c r="J945" s="67"/>
      <c r="K945" s="67"/>
      <c r="L945" s="67"/>
      <c r="M945" s="67"/>
      <c r="N945" s="67"/>
      <c r="O945" s="67"/>
      <c r="P945" s="67"/>
      <c r="Q945" s="67"/>
      <c r="R945" s="67"/>
      <c r="S945" s="67"/>
      <c r="T945" s="67"/>
      <c r="U945" s="67"/>
      <c r="V945" s="67"/>
      <c r="W945" s="67"/>
      <c r="X945" s="67"/>
      <c r="Y945" s="67"/>
      <c r="Z945" s="67"/>
    </row>
    <row r="946">
      <c r="A946" s="135"/>
      <c r="B946" s="125"/>
      <c r="C946" s="125"/>
      <c r="D946" s="125"/>
      <c r="E946" s="125"/>
      <c r="F946" s="146"/>
      <c r="G946" s="67"/>
      <c r="H946" s="67"/>
      <c r="I946" s="67"/>
      <c r="J946" s="67"/>
      <c r="K946" s="67"/>
      <c r="L946" s="67"/>
      <c r="M946" s="67"/>
      <c r="N946" s="67"/>
      <c r="O946" s="67"/>
      <c r="P946" s="67"/>
      <c r="Q946" s="67"/>
      <c r="R946" s="67"/>
      <c r="S946" s="67"/>
      <c r="T946" s="67"/>
      <c r="U946" s="67"/>
      <c r="V946" s="67"/>
      <c r="W946" s="67"/>
      <c r="X946" s="67"/>
      <c r="Y946" s="67"/>
      <c r="Z946" s="67"/>
    </row>
    <row r="947">
      <c r="A947" s="136"/>
      <c r="B947" s="131"/>
      <c r="C947" s="131"/>
      <c r="D947" s="131"/>
      <c r="E947" s="131"/>
      <c r="F947" s="144"/>
      <c r="G947" s="67"/>
      <c r="H947" s="67"/>
      <c r="I947" s="67"/>
      <c r="J947" s="67"/>
      <c r="K947" s="67"/>
      <c r="L947" s="67"/>
      <c r="M947" s="67"/>
      <c r="N947" s="67"/>
      <c r="O947" s="67"/>
      <c r="P947" s="67"/>
      <c r="Q947" s="67"/>
      <c r="R947" s="67"/>
      <c r="S947" s="67"/>
      <c r="T947" s="67"/>
      <c r="U947" s="67"/>
      <c r="V947" s="67"/>
      <c r="W947" s="67"/>
      <c r="X947" s="67"/>
      <c r="Y947" s="67"/>
      <c r="Z947" s="67"/>
    </row>
    <row r="948">
      <c r="A948" s="135"/>
      <c r="B948" s="125"/>
      <c r="C948" s="125"/>
      <c r="D948" s="125"/>
      <c r="E948" s="125"/>
      <c r="F948" s="146"/>
      <c r="G948" s="67"/>
      <c r="H948" s="67"/>
      <c r="I948" s="67"/>
      <c r="J948" s="67"/>
      <c r="K948" s="67"/>
      <c r="L948" s="67"/>
      <c r="M948" s="67"/>
      <c r="N948" s="67"/>
      <c r="O948" s="67"/>
      <c r="P948" s="67"/>
      <c r="Q948" s="67"/>
      <c r="R948" s="67"/>
      <c r="S948" s="67"/>
      <c r="T948" s="67"/>
      <c r="U948" s="67"/>
      <c r="V948" s="67"/>
      <c r="W948" s="67"/>
      <c r="X948" s="67"/>
      <c r="Y948" s="67"/>
      <c r="Z948" s="67"/>
    </row>
    <row r="949">
      <c r="A949" s="136"/>
      <c r="B949" s="131"/>
      <c r="C949" s="131"/>
      <c r="D949" s="131"/>
      <c r="E949" s="131"/>
      <c r="F949" s="144"/>
      <c r="G949" s="67"/>
      <c r="H949" s="67"/>
      <c r="I949" s="67"/>
      <c r="J949" s="67"/>
      <c r="K949" s="67"/>
      <c r="L949" s="67"/>
      <c r="M949" s="67"/>
      <c r="N949" s="67"/>
      <c r="O949" s="67"/>
      <c r="P949" s="67"/>
      <c r="Q949" s="67"/>
      <c r="R949" s="67"/>
      <c r="S949" s="67"/>
      <c r="T949" s="67"/>
      <c r="U949" s="67"/>
      <c r="V949" s="67"/>
      <c r="W949" s="67"/>
      <c r="X949" s="67"/>
      <c r="Y949" s="67"/>
      <c r="Z949" s="67"/>
    </row>
    <row r="950">
      <c r="A950" s="135"/>
      <c r="B950" s="125"/>
      <c r="C950" s="125"/>
      <c r="D950" s="125"/>
      <c r="E950" s="125"/>
      <c r="F950" s="146"/>
      <c r="G950" s="67"/>
      <c r="H950" s="67"/>
      <c r="I950" s="67"/>
      <c r="J950" s="67"/>
      <c r="K950" s="67"/>
      <c r="L950" s="67"/>
      <c r="M950" s="67"/>
      <c r="N950" s="67"/>
      <c r="O950" s="67"/>
      <c r="P950" s="67"/>
      <c r="Q950" s="67"/>
      <c r="R950" s="67"/>
      <c r="S950" s="67"/>
      <c r="T950" s="67"/>
      <c r="U950" s="67"/>
      <c r="V950" s="67"/>
      <c r="W950" s="67"/>
      <c r="X950" s="67"/>
      <c r="Y950" s="67"/>
      <c r="Z950" s="67"/>
    </row>
    <row r="951">
      <c r="A951" s="136"/>
      <c r="B951" s="131"/>
      <c r="C951" s="131"/>
      <c r="D951" s="131"/>
      <c r="E951" s="131"/>
      <c r="F951" s="144"/>
      <c r="G951" s="67"/>
      <c r="H951" s="67"/>
      <c r="I951" s="67"/>
      <c r="J951" s="67"/>
      <c r="K951" s="67"/>
      <c r="L951" s="67"/>
      <c r="M951" s="67"/>
      <c r="N951" s="67"/>
      <c r="O951" s="67"/>
      <c r="P951" s="67"/>
      <c r="Q951" s="67"/>
      <c r="R951" s="67"/>
      <c r="S951" s="67"/>
      <c r="T951" s="67"/>
      <c r="U951" s="67"/>
      <c r="V951" s="67"/>
      <c r="W951" s="67"/>
      <c r="X951" s="67"/>
      <c r="Y951" s="67"/>
      <c r="Z951" s="67"/>
    </row>
    <row r="952">
      <c r="A952" s="135"/>
      <c r="B952" s="125"/>
      <c r="C952" s="125"/>
      <c r="D952" s="125"/>
      <c r="E952" s="125"/>
      <c r="F952" s="146"/>
      <c r="G952" s="67"/>
      <c r="H952" s="67"/>
      <c r="I952" s="67"/>
      <c r="J952" s="67"/>
      <c r="K952" s="67"/>
      <c r="L952" s="67"/>
      <c r="M952" s="67"/>
      <c r="N952" s="67"/>
      <c r="O952" s="67"/>
      <c r="P952" s="67"/>
      <c r="Q952" s="67"/>
      <c r="R952" s="67"/>
      <c r="S952" s="67"/>
      <c r="T952" s="67"/>
      <c r="U952" s="67"/>
      <c r="V952" s="67"/>
      <c r="W952" s="67"/>
      <c r="X952" s="67"/>
      <c r="Y952" s="67"/>
      <c r="Z952" s="67"/>
    </row>
    <row r="953">
      <c r="A953" s="136"/>
      <c r="B953" s="131"/>
      <c r="C953" s="131"/>
      <c r="D953" s="131"/>
      <c r="E953" s="131"/>
      <c r="F953" s="144"/>
      <c r="G953" s="67"/>
      <c r="H953" s="67"/>
      <c r="I953" s="67"/>
      <c r="J953" s="67"/>
      <c r="K953" s="67"/>
      <c r="L953" s="67"/>
      <c r="M953" s="67"/>
      <c r="N953" s="67"/>
      <c r="O953" s="67"/>
      <c r="P953" s="67"/>
      <c r="Q953" s="67"/>
      <c r="R953" s="67"/>
      <c r="S953" s="67"/>
      <c r="T953" s="67"/>
      <c r="U953" s="67"/>
      <c r="V953" s="67"/>
      <c r="W953" s="67"/>
      <c r="X953" s="67"/>
      <c r="Y953" s="67"/>
      <c r="Z953" s="67"/>
    </row>
    <row r="954">
      <c r="A954" s="135"/>
      <c r="B954" s="125"/>
      <c r="C954" s="125"/>
      <c r="D954" s="125"/>
      <c r="E954" s="125"/>
      <c r="F954" s="146"/>
      <c r="G954" s="67"/>
      <c r="H954" s="67"/>
      <c r="I954" s="67"/>
      <c r="J954" s="67"/>
      <c r="K954" s="67"/>
      <c r="L954" s="67"/>
      <c r="M954" s="67"/>
      <c r="N954" s="67"/>
      <c r="O954" s="67"/>
      <c r="P954" s="67"/>
      <c r="Q954" s="67"/>
      <c r="R954" s="67"/>
      <c r="S954" s="67"/>
      <c r="T954" s="67"/>
      <c r="U954" s="67"/>
      <c r="V954" s="67"/>
      <c r="W954" s="67"/>
      <c r="X954" s="67"/>
      <c r="Y954" s="67"/>
      <c r="Z954" s="67"/>
    </row>
    <row r="955">
      <c r="A955" s="136"/>
      <c r="B955" s="131"/>
      <c r="C955" s="131"/>
      <c r="D955" s="131"/>
      <c r="E955" s="131"/>
      <c r="F955" s="144"/>
      <c r="G955" s="67"/>
      <c r="H955" s="67"/>
      <c r="I955" s="67"/>
      <c r="J955" s="67"/>
      <c r="K955" s="67"/>
      <c r="L955" s="67"/>
      <c r="M955" s="67"/>
      <c r="N955" s="67"/>
      <c r="O955" s="67"/>
      <c r="P955" s="67"/>
      <c r="Q955" s="67"/>
      <c r="R955" s="67"/>
      <c r="S955" s="67"/>
      <c r="T955" s="67"/>
      <c r="U955" s="67"/>
      <c r="V955" s="67"/>
      <c r="W955" s="67"/>
      <c r="X955" s="67"/>
      <c r="Y955" s="67"/>
      <c r="Z955" s="67"/>
    </row>
    <row r="956">
      <c r="A956" s="135"/>
      <c r="B956" s="125"/>
      <c r="C956" s="125"/>
      <c r="D956" s="125"/>
      <c r="E956" s="125"/>
      <c r="F956" s="146"/>
      <c r="G956" s="67"/>
      <c r="H956" s="67"/>
      <c r="I956" s="67"/>
      <c r="J956" s="67"/>
      <c r="K956" s="67"/>
      <c r="L956" s="67"/>
      <c r="M956" s="67"/>
      <c r="N956" s="67"/>
      <c r="O956" s="67"/>
      <c r="P956" s="67"/>
      <c r="Q956" s="67"/>
      <c r="R956" s="67"/>
      <c r="S956" s="67"/>
      <c r="T956" s="67"/>
      <c r="U956" s="67"/>
      <c r="V956" s="67"/>
      <c r="W956" s="67"/>
      <c r="X956" s="67"/>
      <c r="Y956" s="67"/>
      <c r="Z956" s="67"/>
    </row>
    <row r="957">
      <c r="A957" s="136"/>
      <c r="B957" s="131"/>
      <c r="C957" s="131"/>
      <c r="D957" s="131"/>
      <c r="E957" s="131"/>
      <c r="F957" s="144"/>
      <c r="G957" s="67"/>
      <c r="H957" s="67"/>
      <c r="I957" s="67"/>
      <c r="J957" s="67"/>
      <c r="K957" s="67"/>
      <c r="L957" s="67"/>
      <c r="M957" s="67"/>
      <c r="N957" s="67"/>
      <c r="O957" s="67"/>
      <c r="P957" s="67"/>
      <c r="Q957" s="67"/>
      <c r="R957" s="67"/>
      <c r="S957" s="67"/>
      <c r="T957" s="67"/>
      <c r="U957" s="67"/>
      <c r="V957" s="67"/>
      <c r="W957" s="67"/>
      <c r="X957" s="67"/>
      <c r="Y957" s="67"/>
      <c r="Z957" s="67"/>
    </row>
    <row r="958">
      <c r="A958" s="135"/>
      <c r="B958" s="125"/>
      <c r="C958" s="125"/>
      <c r="D958" s="125"/>
      <c r="E958" s="125"/>
      <c r="F958" s="146"/>
      <c r="G958" s="67"/>
      <c r="H958" s="67"/>
      <c r="I958" s="67"/>
      <c r="J958" s="67"/>
      <c r="K958" s="67"/>
      <c r="L958" s="67"/>
      <c r="M958" s="67"/>
      <c r="N958" s="67"/>
      <c r="O958" s="67"/>
      <c r="P958" s="67"/>
      <c r="Q958" s="67"/>
      <c r="R958" s="67"/>
      <c r="S958" s="67"/>
      <c r="T958" s="67"/>
      <c r="U958" s="67"/>
      <c r="V958" s="67"/>
      <c r="W958" s="67"/>
      <c r="X958" s="67"/>
      <c r="Y958" s="67"/>
      <c r="Z958" s="67"/>
    </row>
    <row r="959">
      <c r="A959" s="136"/>
      <c r="B959" s="131"/>
      <c r="C959" s="131"/>
      <c r="D959" s="131"/>
      <c r="E959" s="131"/>
      <c r="F959" s="144"/>
      <c r="G959" s="67"/>
      <c r="H959" s="67"/>
      <c r="I959" s="67"/>
      <c r="J959" s="67"/>
      <c r="K959" s="67"/>
      <c r="L959" s="67"/>
      <c r="M959" s="67"/>
      <c r="N959" s="67"/>
      <c r="O959" s="67"/>
      <c r="P959" s="67"/>
      <c r="Q959" s="67"/>
      <c r="R959" s="67"/>
      <c r="S959" s="67"/>
      <c r="T959" s="67"/>
      <c r="U959" s="67"/>
      <c r="V959" s="67"/>
      <c r="W959" s="67"/>
      <c r="X959" s="67"/>
      <c r="Y959" s="67"/>
      <c r="Z959" s="67"/>
    </row>
    <row r="960">
      <c r="A960" s="135"/>
      <c r="B960" s="125"/>
      <c r="C960" s="125"/>
      <c r="D960" s="125"/>
      <c r="E960" s="125"/>
      <c r="F960" s="146"/>
      <c r="G960" s="67"/>
      <c r="H960" s="67"/>
      <c r="I960" s="67"/>
      <c r="J960" s="67"/>
      <c r="K960" s="67"/>
      <c r="L960" s="67"/>
      <c r="M960" s="67"/>
      <c r="N960" s="67"/>
      <c r="O960" s="67"/>
      <c r="P960" s="67"/>
      <c r="Q960" s="67"/>
      <c r="R960" s="67"/>
      <c r="S960" s="67"/>
      <c r="T960" s="67"/>
      <c r="U960" s="67"/>
      <c r="V960" s="67"/>
      <c r="W960" s="67"/>
      <c r="X960" s="67"/>
      <c r="Y960" s="67"/>
      <c r="Z960" s="67"/>
    </row>
    <row r="961">
      <c r="A961" s="136"/>
      <c r="B961" s="131"/>
      <c r="C961" s="131"/>
      <c r="D961" s="131"/>
      <c r="E961" s="131"/>
      <c r="F961" s="144"/>
      <c r="G961" s="67"/>
      <c r="H961" s="67"/>
      <c r="I961" s="67"/>
      <c r="J961" s="67"/>
      <c r="K961" s="67"/>
      <c r="L961" s="67"/>
      <c r="M961" s="67"/>
      <c r="N961" s="67"/>
      <c r="O961" s="67"/>
      <c r="P961" s="67"/>
      <c r="Q961" s="67"/>
      <c r="R961" s="67"/>
      <c r="S961" s="67"/>
      <c r="T961" s="67"/>
      <c r="U961" s="67"/>
      <c r="V961" s="67"/>
      <c r="W961" s="67"/>
      <c r="X961" s="67"/>
      <c r="Y961" s="67"/>
      <c r="Z961" s="67"/>
    </row>
    <row r="962">
      <c r="A962" s="135"/>
      <c r="B962" s="125"/>
      <c r="C962" s="125"/>
      <c r="D962" s="125"/>
      <c r="E962" s="125"/>
      <c r="F962" s="146"/>
      <c r="G962" s="67"/>
      <c r="H962" s="67"/>
      <c r="I962" s="67"/>
      <c r="J962" s="67"/>
      <c r="K962" s="67"/>
      <c r="L962" s="67"/>
      <c r="M962" s="67"/>
      <c r="N962" s="67"/>
      <c r="O962" s="67"/>
      <c r="P962" s="67"/>
      <c r="Q962" s="67"/>
      <c r="R962" s="67"/>
      <c r="S962" s="67"/>
      <c r="T962" s="67"/>
      <c r="U962" s="67"/>
      <c r="V962" s="67"/>
      <c r="W962" s="67"/>
      <c r="X962" s="67"/>
      <c r="Y962" s="67"/>
      <c r="Z962" s="67"/>
    </row>
    <row r="963">
      <c r="A963" s="136"/>
      <c r="B963" s="131"/>
      <c r="C963" s="131"/>
      <c r="D963" s="131"/>
      <c r="E963" s="131"/>
      <c r="F963" s="144"/>
      <c r="G963" s="67"/>
      <c r="H963" s="67"/>
      <c r="I963" s="67"/>
      <c r="J963" s="67"/>
      <c r="K963" s="67"/>
      <c r="L963" s="67"/>
      <c r="M963" s="67"/>
      <c r="N963" s="67"/>
      <c r="O963" s="67"/>
      <c r="P963" s="67"/>
      <c r="Q963" s="67"/>
      <c r="R963" s="67"/>
      <c r="S963" s="67"/>
      <c r="T963" s="67"/>
      <c r="U963" s="67"/>
      <c r="V963" s="67"/>
      <c r="W963" s="67"/>
      <c r="X963" s="67"/>
      <c r="Y963" s="67"/>
      <c r="Z963" s="67"/>
    </row>
    <row r="964">
      <c r="A964" s="135"/>
      <c r="B964" s="125"/>
      <c r="C964" s="125"/>
      <c r="D964" s="125"/>
      <c r="E964" s="125"/>
      <c r="F964" s="146"/>
      <c r="G964" s="67"/>
      <c r="H964" s="67"/>
      <c r="I964" s="67"/>
      <c r="J964" s="67"/>
      <c r="K964" s="67"/>
      <c r="L964" s="67"/>
      <c r="M964" s="67"/>
      <c r="N964" s="67"/>
      <c r="O964" s="67"/>
      <c r="P964" s="67"/>
      <c r="Q964" s="67"/>
      <c r="R964" s="67"/>
      <c r="S964" s="67"/>
      <c r="T964" s="67"/>
      <c r="U964" s="67"/>
      <c r="V964" s="67"/>
      <c r="W964" s="67"/>
      <c r="X964" s="67"/>
      <c r="Y964" s="67"/>
      <c r="Z964" s="67"/>
    </row>
    <row r="965">
      <c r="A965" s="136"/>
      <c r="B965" s="131"/>
      <c r="C965" s="131"/>
      <c r="D965" s="131"/>
      <c r="E965" s="131"/>
      <c r="F965" s="144"/>
      <c r="G965" s="67"/>
      <c r="H965" s="67"/>
      <c r="I965" s="67"/>
      <c r="J965" s="67"/>
      <c r="K965" s="67"/>
      <c r="L965" s="67"/>
      <c r="M965" s="67"/>
      <c r="N965" s="67"/>
      <c r="O965" s="67"/>
      <c r="P965" s="67"/>
      <c r="Q965" s="67"/>
      <c r="R965" s="67"/>
      <c r="S965" s="67"/>
      <c r="T965" s="67"/>
      <c r="U965" s="67"/>
      <c r="V965" s="67"/>
      <c r="W965" s="67"/>
      <c r="X965" s="67"/>
      <c r="Y965" s="67"/>
      <c r="Z965" s="67"/>
    </row>
    <row r="966">
      <c r="A966" s="135"/>
      <c r="B966" s="125"/>
      <c r="C966" s="125"/>
      <c r="D966" s="125"/>
      <c r="E966" s="125"/>
      <c r="F966" s="146"/>
      <c r="G966" s="67"/>
      <c r="H966" s="67"/>
      <c r="I966" s="67"/>
      <c r="J966" s="67"/>
      <c r="K966" s="67"/>
      <c r="L966" s="67"/>
      <c r="M966" s="67"/>
      <c r="N966" s="67"/>
      <c r="O966" s="67"/>
      <c r="P966" s="67"/>
      <c r="Q966" s="67"/>
      <c r="R966" s="67"/>
      <c r="S966" s="67"/>
      <c r="T966" s="67"/>
      <c r="U966" s="67"/>
      <c r="V966" s="67"/>
      <c r="W966" s="67"/>
      <c r="X966" s="67"/>
      <c r="Y966" s="67"/>
      <c r="Z966" s="67"/>
    </row>
    <row r="967">
      <c r="A967" s="136"/>
      <c r="B967" s="131"/>
      <c r="C967" s="131"/>
      <c r="D967" s="131"/>
      <c r="E967" s="131"/>
      <c r="F967" s="144"/>
      <c r="G967" s="67"/>
      <c r="H967" s="67"/>
      <c r="I967" s="67"/>
      <c r="J967" s="67"/>
      <c r="K967" s="67"/>
      <c r="L967" s="67"/>
      <c r="M967" s="67"/>
      <c r="N967" s="67"/>
      <c r="O967" s="67"/>
      <c r="P967" s="67"/>
      <c r="Q967" s="67"/>
      <c r="R967" s="67"/>
      <c r="S967" s="67"/>
      <c r="T967" s="67"/>
      <c r="U967" s="67"/>
      <c r="V967" s="67"/>
      <c r="W967" s="67"/>
      <c r="X967" s="67"/>
      <c r="Y967" s="67"/>
      <c r="Z967" s="67"/>
    </row>
    <row r="968">
      <c r="A968" s="135"/>
      <c r="B968" s="125"/>
      <c r="C968" s="125"/>
      <c r="D968" s="125"/>
      <c r="E968" s="125"/>
      <c r="F968" s="146"/>
      <c r="G968" s="67"/>
      <c r="H968" s="67"/>
      <c r="I968" s="67"/>
      <c r="J968" s="67"/>
      <c r="K968" s="67"/>
      <c r="L968" s="67"/>
      <c r="M968" s="67"/>
      <c r="N968" s="67"/>
      <c r="O968" s="67"/>
      <c r="P968" s="67"/>
      <c r="Q968" s="67"/>
      <c r="R968" s="67"/>
      <c r="S968" s="67"/>
      <c r="T968" s="67"/>
      <c r="U968" s="67"/>
      <c r="V968" s="67"/>
      <c r="W968" s="67"/>
      <c r="X968" s="67"/>
      <c r="Y968" s="67"/>
      <c r="Z968" s="67"/>
    </row>
    <row r="969">
      <c r="A969" s="136"/>
      <c r="B969" s="131"/>
      <c r="C969" s="131"/>
      <c r="D969" s="131"/>
      <c r="E969" s="131"/>
      <c r="F969" s="144"/>
      <c r="G969" s="67"/>
      <c r="H969" s="67"/>
      <c r="I969" s="67"/>
      <c r="J969" s="67"/>
      <c r="K969" s="67"/>
      <c r="L969" s="67"/>
      <c r="M969" s="67"/>
      <c r="N969" s="67"/>
      <c r="O969" s="67"/>
      <c r="P969" s="67"/>
      <c r="Q969" s="67"/>
      <c r="R969" s="67"/>
      <c r="S969" s="67"/>
      <c r="T969" s="67"/>
      <c r="U969" s="67"/>
      <c r="V969" s="67"/>
      <c r="W969" s="67"/>
      <c r="X969" s="67"/>
      <c r="Y969" s="67"/>
      <c r="Z969" s="67"/>
    </row>
    <row r="970">
      <c r="A970" s="135"/>
      <c r="B970" s="125"/>
      <c r="C970" s="125"/>
      <c r="D970" s="125"/>
      <c r="E970" s="125"/>
      <c r="F970" s="146"/>
      <c r="G970" s="67"/>
      <c r="H970" s="67"/>
      <c r="I970" s="67"/>
      <c r="J970" s="67"/>
      <c r="K970" s="67"/>
      <c r="L970" s="67"/>
      <c r="M970" s="67"/>
      <c r="N970" s="67"/>
      <c r="O970" s="67"/>
      <c r="P970" s="67"/>
      <c r="Q970" s="67"/>
      <c r="R970" s="67"/>
      <c r="S970" s="67"/>
      <c r="T970" s="67"/>
      <c r="U970" s="67"/>
      <c r="V970" s="67"/>
      <c r="W970" s="67"/>
      <c r="X970" s="67"/>
      <c r="Y970" s="67"/>
      <c r="Z970" s="67"/>
    </row>
    <row r="971">
      <c r="A971" s="136"/>
      <c r="B971" s="131"/>
      <c r="C971" s="131"/>
      <c r="D971" s="131"/>
      <c r="E971" s="131"/>
      <c r="F971" s="144"/>
      <c r="G971" s="67"/>
      <c r="H971" s="67"/>
      <c r="I971" s="67"/>
      <c r="J971" s="67"/>
      <c r="K971" s="67"/>
      <c r="L971" s="67"/>
      <c r="M971" s="67"/>
      <c r="N971" s="67"/>
      <c r="O971" s="67"/>
      <c r="P971" s="67"/>
      <c r="Q971" s="67"/>
      <c r="R971" s="67"/>
      <c r="S971" s="67"/>
      <c r="T971" s="67"/>
      <c r="U971" s="67"/>
      <c r="V971" s="67"/>
      <c r="W971" s="67"/>
      <c r="X971" s="67"/>
      <c r="Y971" s="67"/>
      <c r="Z971" s="67"/>
    </row>
    <row r="972">
      <c r="A972" s="135"/>
      <c r="B972" s="125"/>
      <c r="C972" s="125"/>
      <c r="D972" s="125"/>
      <c r="E972" s="125"/>
      <c r="F972" s="146"/>
      <c r="G972" s="67"/>
      <c r="H972" s="67"/>
      <c r="I972" s="67"/>
      <c r="J972" s="67"/>
      <c r="K972" s="67"/>
      <c r="L972" s="67"/>
      <c r="M972" s="67"/>
      <c r="N972" s="67"/>
      <c r="O972" s="67"/>
      <c r="P972" s="67"/>
      <c r="Q972" s="67"/>
      <c r="R972" s="67"/>
      <c r="S972" s="67"/>
      <c r="T972" s="67"/>
      <c r="U972" s="67"/>
      <c r="V972" s="67"/>
      <c r="W972" s="67"/>
      <c r="X972" s="67"/>
      <c r="Y972" s="67"/>
      <c r="Z972" s="67"/>
    </row>
    <row r="973">
      <c r="A973" s="136"/>
      <c r="B973" s="131"/>
      <c r="C973" s="131"/>
      <c r="D973" s="131"/>
      <c r="E973" s="131"/>
      <c r="F973" s="144"/>
      <c r="G973" s="67"/>
      <c r="H973" s="67"/>
      <c r="I973" s="67"/>
      <c r="J973" s="67"/>
      <c r="K973" s="67"/>
      <c r="L973" s="67"/>
      <c r="M973" s="67"/>
      <c r="N973" s="67"/>
      <c r="O973" s="67"/>
      <c r="P973" s="67"/>
      <c r="Q973" s="67"/>
      <c r="R973" s="67"/>
      <c r="S973" s="67"/>
      <c r="T973" s="67"/>
      <c r="U973" s="67"/>
      <c r="V973" s="67"/>
      <c r="W973" s="67"/>
      <c r="X973" s="67"/>
      <c r="Y973" s="67"/>
      <c r="Z973" s="67"/>
    </row>
    <row r="974">
      <c r="A974" s="135"/>
      <c r="B974" s="125"/>
      <c r="C974" s="125"/>
      <c r="D974" s="125"/>
      <c r="E974" s="125"/>
      <c r="F974" s="146"/>
      <c r="G974" s="67"/>
      <c r="H974" s="67"/>
      <c r="I974" s="67"/>
      <c r="J974" s="67"/>
      <c r="K974" s="67"/>
      <c r="L974" s="67"/>
      <c r="M974" s="67"/>
      <c r="N974" s="67"/>
      <c r="O974" s="67"/>
      <c r="P974" s="67"/>
      <c r="Q974" s="67"/>
      <c r="R974" s="67"/>
      <c r="S974" s="67"/>
      <c r="T974" s="67"/>
      <c r="U974" s="67"/>
      <c r="V974" s="67"/>
      <c r="W974" s="67"/>
      <c r="X974" s="67"/>
      <c r="Y974" s="67"/>
      <c r="Z974" s="67"/>
    </row>
    <row r="975">
      <c r="A975" s="136"/>
      <c r="B975" s="131"/>
      <c r="C975" s="131"/>
      <c r="D975" s="131"/>
      <c r="E975" s="131"/>
      <c r="F975" s="144"/>
      <c r="G975" s="67"/>
      <c r="H975" s="67"/>
      <c r="I975" s="67"/>
      <c r="J975" s="67"/>
      <c r="K975" s="67"/>
      <c r="L975" s="67"/>
      <c r="M975" s="67"/>
      <c r="N975" s="67"/>
      <c r="O975" s="67"/>
      <c r="P975" s="67"/>
      <c r="Q975" s="67"/>
      <c r="R975" s="67"/>
      <c r="S975" s="67"/>
      <c r="T975" s="67"/>
      <c r="U975" s="67"/>
      <c r="V975" s="67"/>
      <c r="W975" s="67"/>
      <c r="X975" s="67"/>
      <c r="Y975" s="67"/>
      <c r="Z975" s="67"/>
    </row>
    <row r="976">
      <c r="A976" s="135"/>
      <c r="B976" s="125"/>
      <c r="C976" s="125"/>
      <c r="D976" s="125"/>
      <c r="E976" s="125"/>
      <c r="F976" s="146"/>
      <c r="G976" s="67"/>
      <c r="H976" s="67"/>
      <c r="I976" s="67"/>
      <c r="J976" s="67"/>
      <c r="K976" s="67"/>
      <c r="L976" s="67"/>
      <c r="M976" s="67"/>
      <c r="N976" s="67"/>
      <c r="O976" s="67"/>
      <c r="P976" s="67"/>
      <c r="Q976" s="67"/>
      <c r="R976" s="67"/>
      <c r="S976" s="67"/>
      <c r="T976" s="67"/>
      <c r="U976" s="67"/>
      <c r="V976" s="67"/>
      <c r="W976" s="67"/>
      <c r="X976" s="67"/>
      <c r="Y976" s="67"/>
      <c r="Z976" s="67"/>
    </row>
    <row r="977">
      <c r="A977" s="136"/>
      <c r="B977" s="131"/>
      <c r="C977" s="131"/>
      <c r="D977" s="131"/>
      <c r="E977" s="131"/>
      <c r="F977" s="144"/>
      <c r="G977" s="67"/>
      <c r="H977" s="67"/>
      <c r="I977" s="67"/>
      <c r="J977" s="67"/>
      <c r="K977" s="67"/>
      <c r="L977" s="67"/>
      <c r="M977" s="67"/>
      <c r="N977" s="67"/>
      <c r="O977" s="67"/>
      <c r="P977" s="67"/>
      <c r="Q977" s="67"/>
      <c r="R977" s="67"/>
      <c r="S977" s="67"/>
      <c r="T977" s="67"/>
      <c r="U977" s="67"/>
      <c r="V977" s="67"/>
      <c r="W977" s="67"/>
      <c r="X977" s="67"/>
      <c r="Y977" s="67"/>
      <c r="Z977" s="67"/>
    </row>
    <row r="978">
      <c r="A978" s="135"/>
      <c r="B978" s="125"/>
      <c r="C978" s="125"/>
      <c r="D978" s="125"/>
      <c r="E978" s="125"/>
      <c r="F978" s="146"/>
      <c r="G978" s="67"/>
      <c r="H978" s="67"/>
      <c r="I978" s="67"/>
      <c r="J978" s="67"/>
      <c r="K978" s="67"/>
      <c r="L978" s="67"/>
      <c r="M978" s="67"/>
      <c r="N978" s="67"/>
      <c r="O978" s="67"/>
      <c r="P978" s="67"/>
      <c r="Q978" s="67"/>
      <c r="R978" s="67"/>
      <c r="S978" s="67"/>
      <c r="T978" s="67"/>
      <c r="U978" s="67"/>
      <c r="V978" s="67"/>
      <c r="W978" s="67"/>
      <c r="X978" s="67"/>
      <c r="Y978" s="67"/>
      <c r="Z978" s="67"/>
    </row>
    <row r="979">
      <c r="A979" s="136"/>
      <c r="B979" s="131"/>
      <c r="C979" s="131"/>
      <c r="D979" s="131"/>
      <c r="E979" s="131"/>
      <c r="F979" s="144"/>
      <c r="G979" s="67"/>
      <c r="H979" s="67"/>
      <c r="I979" s="67"/>
      <c r="J979" s="67"/>
      <c r="K979" s="67"/>
      <c r="L979" s="67"/>
      <c r="M979" s="67"/>
      <c r="N979" s="67"/>
      <c r="O979" s="67"/>
      <c r="P979" s="67"/>
      <c r="Q979" s="67"/>
      <c r="R979" s="67"/>
      <c r="S979" s="67"/>
      <c r="T979" s="67"/>
      <c r="U979" s="67"/>
      <c r="V979" s="67"/>
      <c r="W979" s="67"/>
      <c r="X979" s="67"/>
      <c r="Y979" s="67"/>
      <c r="Z979" s="67"/>
    </row>
    <row r="980">
      <c r="A980" s="135"/>
      <c r="B980" s="125"/>
      <c r="C980" s="125"/>
      <c r="D980" s="125"/>
      <c r="E980" s="125"/>
      <c r="F980" s="146"/>
      <c r="G980" s="67"/>
      <c r="H980" s="67"/>
      <c r="I980" s="67"/>
      <c r="J980" s="67"/>
      <c r="K980" s="67"/>
      <c r="L980" s="67"/>
      <c r="M980" s="67"/>
      <c r="N980" s="67"/>
      <c r="O980" s="67"/>
      <c r="P980" s="67"/>
      <c r="Q980" s="67"/>
      <c r="R980" s="67"/>
      <c r="S980" s="67"/>
      <c r="T980" s="67"/>
      <c r="U980" s="67"/>
      <c r="V980" s="67"/>
      <c r="W980" s="67"/>
      <c r="X980" s="67"/>
      <c r="Y980" s="67"/>
      <c r="Z980" s="67"/>
    </row>
    <row r="981">
      <c r="A981" s="136"/>
      <c r="B981" s="131"/>
      <c r="C981" s="131"/>
      <c r="D981" s="131"/>
      <c r="E981" s="131"/>
      <c r="F981" s="144"/>
      <c r="G981" s="67"/>
      <c r="H981" s="67"/>
      <c r="I981" s="67"/>
      <c r="J981" s="67"/>
      <c r="K981" s="67"/>
      <c r="L981" s="67"/>
      <c r="M981" s="67"/>
      <c r="N981" s="67"/>
      <c r="O981" s="67"/>
      <c r="P981" s="67"/>
      <c r="Q981" s="67"/>
      <c r="R981" s="67"/>
      <c r="S981" s="67"/>
      <c r="T981" s="67"/>
      <c r="U981" s="67"/>
      <c r="V981" s="67"/>
      <c r="W981" s="67"/>
      <c r="X981" s="67"/>
      <c r="Y981" s="67"/>
      <c r="Z981" s="67"/>
    </row>
    <row r="982">
      <c r="A982" s="135"/>
      <c r="B982" s="125"/>
      <c r="C982" s="125"/>
      <c r="D982" s="125"/>
      <c r="E982" s="125"/>
      <c r="F982" s="146"/>
      <c r="G982" s="67"/>
      <c r="H982" s="67"/>
      <c r="I982" s="67"/>
      <c r="J982" s="67"/>
      <c r="K982" s="67"/>
      <c r="L982" s="67"/>
      <c r="M982" s="67"/>
      <c r="N982" s="67"/>
      <c r="O982" s="67"/>
      <c r="P982" s="67"/>
      <c r="Q982" s="67"/>
      <c r="R982" s="67"/>
      <c r="S982" s="67"/>
      <c r="T982" s="67"/>
      <c r="U982" s="67"/>
      <c r="V982" s="67"/>
      <c r="W982" s="67"/>
      <c r="X982" s="67"/>
      <c r="Y982" s="67"/>
      <c r="Z982" s="67"/>
    </row>
    <row r="983">
      <c r="A983" s="136"/>
      <c r="B983" s="131"/>
      <c r="C983" s="131"/>
      <c r="D983" s="131"/>
      <c r="E983" s="131"/>
      <c r="F983" s="144"/>
      <c r="G983" s="67"/>
      <c r="H983" s="67"/>
      <c r="I983" s="67"/>
      <c r="J983" s="67"/>
      <c r="K983" s="67"/>
      <c r="L983" s="67"/>
      <c r="M983" s="67"/>
      <c r="N983" s="67"/>
      <c r="O983" s="67"/>
      <c r="P983" s="67"/>
      <c r="Q983" s="67"/>
      <c r="R983" s="67"/>
      <c r="S983" s="67"/>
      <c r="T983" s="67"/>
      <c r="U983" s="67"/>
      <c r="V983" s="67"/>
      <c r="W983" s="67"/>
      <c r="X983" s="67"/>
      <c r="Y983" s="67"/>
      <c r="Z983" s="67"/>
    </row>
    <row r="984">
      <c r="A984" s="135"/>
      <c r="B984" s="125"/>
      <c r="C984" s="125"/>
      <c r="D984" s="125"/>
      <c r="E984" s="125"/>
      <c r="F984" s="146"/>
      <c r="G984" s="67"/>
      <c r="H984" s="67"/>
      <c r="I984" s="67"/>
      <c r="J984" s="67"/>
      <c r="K984" s="67"/>
      <c r="L984" s="67"/>
      <c r="M984" s="67"/>
      <c r="N984" s="67"/>
      <c r="O984" s="67"/>
      <c r="P984" s="67"/>
      <c r="Q984" s="67"/>
      <c r="R984" s="67"/>
      <c r="S984" s="67"/>
      <c r="T984" s="67"/>
      <c r="U984" s="67"/>
      <c r="V984" s="67"/>
      <c r="W984" s="67"/>
      <c r="X984" s="67"/>
      <c r="Y984" s="67"/>
      <c r="Z984" s="67"/>
    </row>
    <row r="985">
      <c r="A985" s="136"/>
      <c r="B985" s="131"/>
      <c r="C985" s="131"/>
      <c r="D985" s="131"/>
      <c r="E985" s="131"/>
      <c r="F985" s="144"/>
      <c r="G985" s="67"/>
      <c r="H985" s="67"/>
      <c r="I985" s="67"/>
      <c r="J985" s="67"/>
      <c r="K985" s="67"/>
      <c r="L985" s="67"/>
      <c r="M985" s="67"/>
      <c r="N985" s="67"/>
      <c r="O985" s="67"/>
      <c r="P985" s="67"/>
      <c r="Q985" s="67"/>
      <c r="R985" s="67"/>
      <c r="S985" s="67"/>
      <c r="T985" s="67"/>
      <c r="U985" s="67"/>
      <c r="V985" s="67"/>
      <c r="W985" s="67"/>
      <c r="X985" s="67"/>
      <c r="Y985" s="67"/>
      <c r="Z985" s="67"/>
    </row>
    <row r="986">
      <c r="A986" s="135"/>
      <c r="B986" s="125"/>
      <c r="C986" s="125"/>
      <c r="D986" s="125"/>
      <c r="E986" s="125"/>
      <c r="F986" s="146"/>
      <c r="G986" s="67"/>
      <c r="H986" s="67"/>
      <c r="I986" s="67"/>
      <c r="J986" s="67"/>
      <c r="K986" s="67"/>
      <c r="L986" s="67"/>
      <c r="M986" s="67"/>
      <c r="N986" s="67"/>
      <c r="O986" s="67"/>
      <c r="P986" s="67"/>
      <c r="Q986" s="67"/>
      <c r="R986" s="67"/>
      <c r="S986" s="67"/>
      <c r="T986" s="67"/>
      <c r="U986" s="67"/>
      <c r="V986" s="67"/>
      <c r="W986" s="67"/>
      <c r="X986" s="67"/>
      <c r="Y986" s="67"/>
      <c r="Z986" s="67"/>
    </row>
    <row r="987">
      <c r="A987" s="136"/>
      <c r="B987" s="131"/>
      <c r="C987" s="131"/>
      <c r="D987" s="131"/>
      <c r="E987" s="131"/>
      <c r="F987" s="144"/>
      <c r="G987" s="67"/>
      <c r="H987" s="67"/>
      <c r="I987" s="67"/>
      <c r="J987" s="67"/>
      <c r="K987" s="67"/>
      <c r="L987" s="67"/>
      <c r="M987" s="67"/>
      <c r="N987" s="67"/>
      <c r="O987" s="67"/>
      <c r="P987" s="67"/>
      <c r="Q987" s="67"/>
      <c r="R987" s="67"/>
      <c r="S987" s="67"/>
      <c r="T987" s="67"/>
      <c r="U987" s="67"/>
      <c r="V987" s="67"/>
      <c r="W987" s="67"/>
      <c r="X987" s="67"/>
      <c r="Y987" s="67"/>
      <c r="Z987" s="67"/>
    </row>
    <row r="988">
      <c r="A988" s="135"/>
      <c r="B988" s="125"/>
      <c r="C988" s="125"/>
      <c r="D988" s="125"/>
      <c r="E988" s="125"/>
      <c r="F988" s="146"/>
      <c r="G988" s="67"/>
      <c r="H988" s="67"/>
      <c r="I988" s="67"/>
      <c r="J988" s="67"/>
      <c r="K988" s="67"/>
      <c r="L988" s="67"/>
      <c r="M988" s="67"/>
      <c r="N988" s="67"/>
      <c r="O988" s="67"/>
      <c r="P988" s="67"/>
      <c r="Q988" s="67"/>
      <c r="R988" s="67"/>
      <c r="S988" s="67"/>
      <c r="T988" s="67"/>
      <c r="U988" s="67"/>
      <c r="V988" s="67"/>
      <c r="W988" s="67"/>
      <c r="X988" s="67"/>
      <c r="Y988" s="67"/>
      <c r="Z988" s="67"/>
    </row>
    <row r="989">
      <c r="A989" s="136"/>
      <c r="B989" s="131"/>
      <c r="C989" s="131"/>
      <c r="D989" s="131"/>
      <c r="E989" s="131"/>
      <c r="F989" s="144"/>
      <c r="G989" s="67"/>
      <c r="H989" s="67"/>
      <c r="I989" s="67"/>
      <c r="J989" s="67"/>
      <c r="K989" s="67"/>
      <c r="L989" s="67"/>
      <c r="M989" s="67"/>
      <c r="N989" s="67"/>
      <c r="O989" s="67"/>
      <c r="P989" s="67"/>
      <c r="Q989" s="67"/>
      <c r="R989" s="67"/>
      <c r="S989" s="67"/>
      <c r="T989" s="67"/>
      <c r="U989" s="67"/>
      <c r="V989" s="67"/>
      <c r="W989" s="67"/>
      <c r="X989" s="67"/>
      <c r="Y989" s="67"/>
      <c r="Z989" s="67"/>
    </row>
    <row r="990">
      <c r="A990" s="135"/>
      <c r="B990" s="125"/>
      <c r="C990" s="125"/>
      <c r="D990" s="125"/>
      <c r="E990" s="125"/>
      <c r="F990" s="146"/>
      <c r="G990" s="67"/>
      <c r="H990" s="67"/>
      <c r="I990" s="67"/>
      <c r="J990" s="67"/>
      <c r="K990" s="67"/>
      <c r="L990" s="67"/>
      <c r="M990" s="67"/>
      <c r="N990" s="67"/>
      <c r="O990" s="67"/>
      <c r="P990" s="67"/>
      <c r="Q990" s="67"/>
      <c r="R990" s="67"/>
      <c r="S990" s="67"/>
      <c r="T990" s="67"/>
      <c r="U990" s="67"/>
      <c r="V990" s="67"/>
      <c r="W990" s="67"/>
      <c r="X990" s="67"/>
      <c r="Y990" s="67"/>
      <c r="Z990" s="67"/>
    </row>
    <row r="991">
      <c r="A991" s="136"/>
      <c r="B991" s="131"/>
      <c r="C991" s="131"/>
      <c r="D991" s="131"/>
      <c r="E991" s="131"/>
      <c r="F991" s="144"/>
      <c r="G991" s="67"/>
      <c r="H991" s="67"/>
      <c r="I991" s="67"/>
      <c r="J991" s="67"/>
      <c r="K991" s="67"/>
      <c r="L991" s="67"/>
      <c r="M991" s="67"/>
      <c r="N991" s="67"/>
      <c r="O991" s="67"/>
      <c r="P991" s="67"/>
      <c r="Q991" s="67"/>
      <c r="R991" s="67"/>
      <c r="S991" s="67"/>
      <c r="T991" s="67"/>
      <c r="U991" s="67"/>
      <c r="V991" s="67"/>
      <c r="W991" s="67"/>
      <c r="X991" s="67"/>
      <c r="Y991" s="67"/>
      <c r="Z991" s="67"/>
    </row>
    <row r="992">
      <c r="A992" s="135"/>
      <c r="B992" s="125"/>
      <c r="C992" s="125"/>
      <c r="D992" s="125"/>
      <c r="E992" s="125"/>
      <c r="F992" s="146"/>
      <c r="G992" s="67"/>
      <c r="H992" s="67"/>
      <c r="I992" s="67"/>
      <c r="J992" s="67"/>
      <c r="K992" s="67"/>
      <c r="L992" s="67"/>
      <c r="M992" s="67"/>
      <c r="N992" s="67"/>
      <c r="O992" s="67"/>
      <c r="P992" s="67"/>
      <c r="Q992" s="67"/>
      <c r="R992" s="67"/>
      <c r="S992" s="67"/>
      <c r="T992" s="67"/>
      <c r="U992" s="67"/>
      <c r="V992" s="67"/>
      <c r="W992" s="67"/>
      <c r="X992" s="67"/>
      <c r="Y992" s="67"/>
      <c r="Z992" s="67"/>
    </row>
    <row r="993">
      <c r="A993" s="136"/>
      <c r="B993" s="131"/>
      <c r="C993" s="131"/>
      <c r="D993" s="131"/>
      <c r="E993" s="131"/>
      <c r="F993" s="144"/>
      <c r="G993" s="67"/>
      <c r="H993" s="67"/>
      <c r="I993" s="67"/>
      <c r="J993" s="67"/>
      <c r="K993" s="67"/>
      <c r="L993" s="67"/>
      <c r="M993" s="67"/>
      <c r="N993" s="67"/>
      <c r="O993" s="67"/>
      <c r="P993" s="67"/>
      <c r="Q993" s="67"/>
      <c r="R993" s="67"/>
      <c r="S993" s="67"/>
      <c r="T993" s="67"/>
      <c r="U993" s="67"/>
      <c r="V993" s="67"/>
      <c r="W993" s="67"/>
      <c r="X993" s="67"/>
      <c r="Y993" s="67"/>
      <c r="Z993" s="67"/>
    </row>
    <row r="994">
      <c r="A994" s="135"/>
      <c r="B994" s="125"/>
      <c r="C994" s="125"/>
      <c r="D994" s="125"/>
      <c r="E994" s="125"/>
      <c r="F994" s="146"/>
      <c r="G994" s="67"/>
      <c r="H994" s="67"/>
      <c r="I994" s="67"/>
      <c r="J994" s="67"/>
      <c r="K994" s="67"/>
      <c r="L994" s="67"/>
      <c r="M994" s="67"/>
      <c r="N994" s="67"/>
      <c r="O994" s="67"/>
      <c r="P994" s="67"/>
      <c r="Q994" s="67"/>
      <c r="R994" s="67"/>
      <c r="S994" s="67"/>
      <c r="T994" s="67"/>
      <c r="U994" s="67"/>
      <c r="V994" s="67"/>
      <c r="W994" s="67"/>
      <c r="X994" s="67"/>
      <c r="Y994" s="67"/>
      <c r="Z994" s="67"/>
    </row>
    <row r="995">
      <c r="A995" s="136"/>
      <c r="B995" s="131"/>
      <c r="C995" s="131"/>
      <c r="D995" s="131"/>
      <c r="E995" s="131"/>
      <c r="F995" s="144"/>
      <c r="G995" s="67"/>
      <c r="H995" s="67"/>
      <c r="I995" s="67"/>
      <c r="J995" s="67"/>
      <c r="K995" s="67"/>
      <c r="L995" s="67"/>
      <c r="M995" s="67"/>
      <c r="N995" s="67"/>
      <c r="O995" s="67"/>
      <c r="P995" s="67"/>
      <c r="Q995" s="67"/>
      <c r="R995" s="67"/>
      <c r="S995" s="67"/>
      <c r="T995" s="67"/>
      <c r="U995" s="67"/>
      <c r="V995" s="67"/>
      <c r="W995" s="67"/>
      <c r="X995" s="67"/>
      <c r="Y995" s="67"/>
      <c r="Z995" s="67"/>
    </row>
    <row r="996">
      <c r="A996" s="135"/>
      <c r="B996" s="125"/>
      <c r="C996" s="125"/>
      <c r="D996" s="125"/>
      <c r="E996" s="125"/>
      <c r="F996" s="146"/>
      <c r="G996" s="67"/>
      <c r="H996" s="67"/>
      <c r="I996" s="67"/>
      <c r="J996" s="67"/>
      <c r="K996" s="67"/>
      <c r="L996" s="67"/>
      <c r="M996" s="67"/>
      <c r="N996" s="67"/>
      <c r="O996" s="67"/>
      <c r="P996" s="67"/>
      <c r="Q996" s="67"/>
      <c r="R996" s="67"/>
      <c r="S996" s="67"/>
      <c r="T996" s="67"/>
      <c r="U996" s="67"/>
      <c r="V996" s="67"/>
      <c r="W996" s="67"/>
      <c r="X996" s="67"/>
      <c r="Y996" s="67"/>
      <c r="Z996" s="67"/>
    </row>
    <row r="997">
      <c r="A997" s="136"/>
      <c r="B997" s="131"/>
      <c r="C997" s="131"/>
      <c r="D997" s="131"/>
      <c r="E997" s="131"/>
      <c r="F997" s="144"/>
      <c r="G997" s="67"/>
      <c r="H997" s="67"/>
      <c r="I997" s="67"/>
      <c r="J997" s="67"/>
      <c r="K997" s="67"/>
      <c r="L997" s="67"/>
      <c r="M997" s="67"/>
      <c r="N997" s="67"/>
      <c r="O997" s="67"/>
      <c r="P997" s="67"/>
      <c r="Q997" s="67"/>
      <c r="R997" s="67"/>
      <c r="S997" s="67"/>
      <c r="T997" s="67"/>
      <c r="U997" s="67"/>
      <c r="V997" s="67"/>
      <c r="W997" s="67"/>
      <c r="X997" s="67"/>
      <c r="Y997" s="67"/>
      <c r="Z997" s="67"/>
    </row>
    <row r="998">
      <c r="A998" s="135"/>
      <c r="B998" s="125"/>
      <c r="C998" s="125"/>
      <c r="D998" s="125"/>
      <c r="E998" s="125"/>
      <c r="F998" s="146"/>
      <c r="G998" s="67"/>
      <c r="H998" s="67"/>
      <c r="I998" s="67"/>
      <c r="J998" s="67"/>
      <c r="K998" s="67"/>
      <c r="L998" s="67"/>
      <c r="M998" s="67"/>
      <c r="N998" s="67"/>
      <c r="O998" s="67"/>
      <c r="P998" s="67"/>
      <c r="Q998" s="67"/>
      <c r="R998" s="67"/>
      <c r="S998" s="67"/>
      <c r="T998" s="67"/>
      <c r="U998" s="67"/>
      <c r="V998" s="67"/>
      <c r="W998" s="67"/>
      <c r="X998" s="67"/>
      <c r="Y998" s="67"/>
      <c r="Z998" s="67"/>
    </row>
    <row r="999">
      <c r="A999" s="136"/>
      <c r="B999" s="131"/>
      <c r="C999" s="131"/>
      <c r="D999" s="131"/>
      <c r="E999" s="131"/>
      <c r="F999" s="144"/>
      <c r="G999" s="67"/>
      <c r="H999" s="67"/>
      <c r="I999" s="67"/>
      <c r="J999" s="67"/>
      <c r="K999" s="67"/>
      <c r="L999" s="67"/>
      <c r="M999" s="67"/>
      <c r="N999" s="67"/>
      <c r="O999" s="67"/>
      <c r="P999" s="67"/>
      <c r="Q999" s="67"/>
      <c r="R999" s="67"/>
      <c r="S999" s="67"/>
      <c r="T999" s="67"/>
      <c r="U999" s="67"/>
      <c r="V999" s="67"/>
      <c r="W999" s="67"/>
      <c r="X999" s="67"/>
      <c r="Y999" s="67"/>
      <c r="Z999" s="67"/>
    </row>
    <row r="1000">
      <c r="A1000" s="137"/>
      <c r="B1000" s="138"/>
      <c r="C1000" s="138"/>
      <c r="D1000" s="138"/>
      <c r="E1000" s="138"/>
      <c r="F1000" s="147"/>
      <c r="G1000" s="67"/>
      <c r="H1000" s="67"/>
      <c r="I1000" s="67"/>
      <c r="J1000" s="67"/>
      <c r="K1000" s="67"/>
      <c r="L1000" s="67"/>
      <c r="M1000" s="67"/>
      <c r="N1000" s="67"/>
      <c r="O1000" s="67"/>
      <c r="P1000" s="67"/>
      <c r="Q1000" s="67"/>
      <c r="R1000" s="67"/>
      <c r="S1000" s="67"/>
      <c r="T1000" s="67"/>
      <c r="U1000" s="67"/>
      <c r="V1000" s="67"/>
      <c r="W1000" s="67"/>
      <c r="X1000" s="67"/>
      <c r="Y1000" s="67"/>
      <c r="Z1000" s="67"/>
    </row>
  </sheetData>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3.25"/>
    <col customWidth="1" min="2" max="2" width="31.88"/>
    <col customWidth="1" min="3" max="3" width="53.5"/>
    <col customWidth="1" min="4" max="4" width="13.5"/>
    <col customWidth="1" min="5" max="5" width="12.38"/>
    <col customWidth="1" min="6" max="6" width="15.63"/>
    <col customWidth="1" min="7" max="7" width="17.88"/>
    <col customWidth="1" min="8" max="8" width="10.5"/>
    <col customWidth="1" min="9" max="9" width="24.25"/>
    <col customWidth="1" min="10" max="10" width="20.13"/>
    <col customWidth="1" min="11" max="11" width="9.75"/>
    <col customWidth="1" min="12" max="12" width="15.38"/>
    <col customWidth="1" min="13" max="13" width="20.88"/>
    <col customWidth="1" min="14" max="15" width="12.75"/>
    <col customWidth="1" min="16" max="16" width="63.25"/>
    <col customWidth="1" min="17" max="18" width="66.13"/>
  </cols>
  <sheetData>
    <row r="1">
      <c r="A1" s="148" t="s">
        <v>432</v>
      </c>
      <c r="B1" s="148" t="s">
        <v>433</v>
      </c>
      <c r="C1" s="148" t="s">
        <v>434</v>
      </c>
      <c r="D1" s="148" t="s">
        <v>435</v>
      </c>
      <c r="E1" s="148" t="s">
        <v>436</v>
      </c>
      <c r="F1" s="148" t="s">
        <v>437</v>
      </c>
      <c r="G1" s="148" t="s">
        <v>438</v>
      </c>
      <c r="H1" s="149" t="s">
        <v>439</v>
      </c>
      <c r="I1" s="148" t="s">
        <v>440</v>
      </c>
      <c r="J1" s="148" t="s">
        <v>441</v>
      </c>
      <c r="K1" s="148" t="s">
        <v>442</v>
      </c>
      <c r="L1" s="148" t="s">
        <v>443</v>
      </c>
      <c r="M1" s="149" t="s">
        <v>444</v>
      </c>
      <c r="N1" s="148" t="s">
        <v>133</v>
      </c>
      <c r="O1" s="148" t="s">
        <v>445</v>
      </c>
      <c r="P1" s="148" t="s">
        <v>417</v>
      </c>
      <c r="Q1" s="148" t="s">
        <v>446</v>
      </c>
      <c r="R1" s="148" t="s">
        <v>447</v>
      </c>
      <c r="S1" s="67"/>
      <c r="T1" s="67"/>
      <c r="U1" s="67"/>
      <c r="V1" s="67"/>
      <c r="W1" s="67"/>
      <c r="X1" s="67"/>
      <c r="Y1" s="67"/>
      <c r="Z1" s="67"/>
      <c r="AA1" s="67"/>
      <c r="AB1" s="67"/>
      <c r="AC1" s="67"/>
      <c r="AD1" s="67"/>
      <c r="AE1" s="67"/>
      <c r="AF1" s="67"/>
      <c r="AG1" s="67"/>
      <c r="AH1" s="67"/>
    </row>
    <row r="2">
      <c r="A2" s="148" t="s">
        <v>448</v>
      </c>
      <c r="B2" s="148" t="s">
        <v>449</v>
      </c>
      <c r="C2" s="148" t="s">
        <v>450</v>
      </c>
      <c r="D2" s="148" t="s">
        <v>451</v>
      </c>
      <c r="E2" s="150" t="s">
        <v>452</v>
      </c>
      <c r="F2" s="150" t="s">
        <v>122</v>
      </c>
      <c r="G2" s="150" t="s">
        <v>453</v>
      </c>
      <c r="H2" s="150"/>
      <c r="I2" s="148" t="s">
        <v>454</v>
      </c>
      <c r="J2" s="151"/>
      <c r="K2" s="148" t="s">
        <v>455</v>
      </c>
      <c r="L2" s="148" t="s">
        <v>456</v>
      </c>
      <c r="M2" s="148"/>
      <c r="N2" s="148" t="s">
        <v>457</v>
      </c>
      <c r="O2" s="150" t="s">
        <v>458</v>
      </c>
      <c r="P2" s="151"/>
      <c r="Q2" s="151"/>
      <c r="R2" s="151"/>
      <c r="S2" s="67"/>
      <c r="T2" s="67"/>
      <c r="U2" s="67"/>
      <c r="V2" s="67"/>
      <c r="W2" s="67"/>
      <c r="X2" s="67"/>
      <c r="Y2" s="67"/>
      <c r="Z2" s="67"/>
      <c r="AA2" s="67"/>
      <c r="AB2" s="67"/>
      <c r="AC2" s="67"/>
      <c r="AD2" s="67"/>
      <c r="AE2" s="67"/>
      <c r="AF2" s="67"/>
      <c r="AG2" s="67"/>
      <c r="AH2" s="67"/>
    </row>
    <row r="3">
      <c r="A3" s="148" t="s">
        <v>459</v>
      </c>
      <c r="B3" s="148" t="s">
        <v>460</v>
      </c>
      <c r="C3" s="148" t="s">
        <v>450</v>
      </c>
      <c r="D3" s="148" t="s">
        <v>451</v>
      </c>
      <c r="E3" s="150" t="s">
        <v>461</v>
      </c>
      <c r="F3" s="150" t="s">
        <v>462</v>
      </c>
      <c r="G3" s="150" t="s">
        <v>463</v>
      </c>
      <c r="H3" s="150"/>
      <c r="I3" s="148" t="s">
        <v>454</v>
      </c>
      <c r="J3" s="151"/>
      <c r="K3" s="148" t="s">
        <v>464</v>
      </c>
      <c r="L3" s="148" t="s">
        <v>456</v>
      </c>
      <c r="M3" s="148"/>
      <c r="N3" s="148" t="s">
        <v>465</v>
      </c>
      <c r="O3" s="150" t="s">
        <v>466</v>
      </c>
      <c r="P3" s="148" t="s">
        <v>467</v>
      </c>
      <c r="Q3" s="151"/>
      <c r="R3" s="151"/>
      <c r="S3" s="67"/>
      <c r="T3" s="67"/>
      <c r="U3" s="67"/>
      <c r="V3" s="67"/>
      <c r="W3" s="67"/>
      <c r="X3" s="67"/>
      <c r="Y3" s="67"/>
      <c r="Z3" s="67"/>
      <c r="AA3" s="67"/>
      <c r="AB3" s="67"/>
      <c r="AC3" s="67"/>
      <c r="AD3" s="67"/>
      <c r="AE3" s="67"/>
      <c r="AF3" s="67"/>
      <c r="AG3" s="67"/>
      <c r="AH3" s="67"/>
    </row>
    <row r="4">
      <c r="A4" s="148" t="s">
        <v>468</v>
      </c>
      <c r="B4" s="148" t="s">
        <v>469</v>
      </c>
      <c r="C4" s="148" t="s">
        <v>450</v>
      </c>
      <c r="D4" s="148" t="s">
        <v>451</v>
      </c>
      <c r="E4" s="150" t="s">
        <v>470</v>
      </c>
      <c r="F4" s="150" t="s">
        <v>471</v>
      </c>
      <c r="G4" s="150" t="s">
        <v>472</v>
      </c>
      <c r="H4" s="150"/>
      <c r="I4" s="148" t="s">
        <v>454</v>
      </c>
      <c r="J4" s="151"/>
      <c r="K4" s="148" t="s">
        <v>464</v>
      </c>
      <c r="L4" s="148" t="s">
        <v>456</v>
      </c>
      <c r="M4" s="148"/>
      <c r="N4" s="151"/>
      <c r="O4" s="151" t="s">
        <v>473</v>
      </c>
      <c r="P4" s="148" t="s">
        <v>474</v>
      </c>
      <c r="Q4" s="151"/>
      <c r="R4" s="151"/>
      <c r="S4" s="67"/>
      <c r="T4" s="67"/>
      <c r="U4" s="67"/>
      <c r="V4" s="67"/>
      <c r="W4" s="67"/>
      <c r="X4" s="67"/>
      <c r="Y4" s="67"/>
      <c r="Z4" s="67"/>
      <c r="AA4" s="67"/>
      <c r="AB4" s="67"/>
      <c r="AC4" s="67"/>
      <c r="AD4" s="67"/>
      <c r="AE4" s="67"/>
      <c r="AF4" s="67"/>
      <c r="AG4" s="67"/>
      <c r="AH4" s="67"/>
    </row>
    <row r="5">
      <c r="A5" s="148" t="s">
        <v>475</v>
      </c>
      <c r="B5" s="148" t="s">
        <v>476</v>
      </c>
      <c r="C5" s="148" t="s">
        <v>450</v>
      </c>
      <c r="D5" s="148" t="s">
        <v>451</v>
      </c>
      <c r="E5" s="150" t="s">
        <v>470</v>
      </c>
      <c r="F5" s="150" t="s">
        <v>472</v>
      </c>
      <c r="G5" s="150" t="s">
        <v>477</v>
      </c>
      <c r="H5" s="150"/>
      <c r="I5" s="148" t="s">
        <v>454</v>
      </c>
      <c r="J5" s="151"/>
      <c r="K5" s="148" t="s">
        <v>464</v>
      </c>
      <c r="L5" s="148" t="s">
        <v>456</v>
      </c>
      <c r="M5" s="148"/>
      <c r="N5" s="151"/>
      <c r="O5" s="151"/>
      <c r="P5" s="148" t="s">
        <v>478</v>
      </c>
      <c r="Q5" s="151"/>
      <c r="R5" s="151"/>
      <c r="S5" s="67"/>
      <c r="T5" s="67"/>
      <c r="U5" s="67"/>
      <c r="V5" s="67"/>
      <c r="W5" s="67"/>
      <c r="X5" s="67"/>
      <c r="Y5" s="67"/>
      <c r="Z5" s="67"/>
      <c r="AA5" s="67"/>
      <c r="AB5" s="67"/>
      <c r="AC5" s="67"/>
      <c r="AD5" s="67"/>
      <c r="AE5" s="67"/>
      <c r="AF5" s="67"/>
      <c r="AG5" s="67"/>
      <c r="AH5" s="67"/>
    </row>
    <row r="6">
      <c r="A6" s="148" t="s">
        <v>479</v>
      </c>
      <c r="B6" s="148" t="s">
        <v>460</v>
      </c>
      <c r="C6" s="148" t="s">
        <v>480</v>
      </c>
      <c r="D6" s="148"/>
      <c r="E6" s="150" t="s">
        <v>481</v>
      </c>
      <c r="F6" s="150" t="s">
        <v>462</v>
      </c>
      <c r="G6" s="150" t="s">
        <v>463</v>
      </c>
      <c r="H6" s="150"/>
      <c r="I6" s="148" t="s">
        <v>454</v>
      </c>
      <c r="J6" s="151"/>
      <c r="K6" s="148" t="s">
        <v>464</v>
      </c>
      <c r="L6" s="148" t="s">
        <v>455</v>
      </c>
      <c r="M6" s="148"/>
      <c r="N6" s="148" t="s">
        <v>482</v>
      </c>
      <c r="O6" s="150" t="s">
        <v>483</v>
      </c>
      <c r="P6" s="148"/>
      <c r="Q6" s="148" t="s">
        <v>484</v>
      </c>
      <c r="R6" s="148"/>
      <c r="S6" s="67"/>
      <c r="T6" s="67"/>
      <c r="U6" s="67"/>
      <c r="V6" s="67"/>
      <c r="W6" s="67"/>
      <c r="X6" s="67"/>
      <c r="Y6" s="67"/>
      <c r="Z6" s="67"/>
      <c r="AA6" s="67"/>
      <c r="AB6" s="67"/>
      <c r="AC6" s="67"/>
      <c r="AD6" s="67"/>
      <c r="AE6" s="67"/>
      <c r="AF6" s="67"/>
      <c r="AG6" s="67"/>
      <c r="AH6" s="67"/>
    </row>
    <row r="7">
      <c r="A7" s="148" t="s">
        <v>479</v>
      </c>
      <c r="B7" s="148" t="s">
        <v>460</v>
      </c>
      <c r="C7" s="148" t="s">
        <v>480</v>
      </c>
      <c r="D7" s="148"/>
      <c r="E7" s="150" t="s">
        <v>485</v>
      </c>
      <c r="F7" s="150" t="s">
        <v>462</v>
      </c>
      <c r="G7" s="150" t="s">
        <v>463</v>
      </c>
      <c r="H7" s="150"/>
      <c r="I7" s="148" t="s">
        <v>486</v>
      </c>
      <c r="J7" s="151"/>
      <c r="K7" s="148" t="s">
        <v>464</v>
      </c>
      <c r="L7" s="148" t="s">
        <v>455</v>
      </c>
      <c r="M7" s="148"/>
      <c r="N7" s="148" t="s">
        <v>482</v>
      </c>
      <c r="O7" s="150" t="s">
        <v>483</v>
      </c>
      <c r="P7" s="148"/>
      <c r="Q7" s="148" t="s">
        <v>484</v>
      </c>
      <c r="R7" s="148"/>
      <c r="S7" s="67"/>
      <c r="T7" s="67"/>
      <c r="U7" s="67"/>
      <c r="V7" s="67"/>
      <c r="W7" s="67"/>
      <c r="X7" s="67"/>
      <c r="Y7" s="67"/>
      <c r="Z7" s="67"/>
      <c r="AA7" s="67"/>
      <c r="AB7" s="67"/>
      <c r="AC7" s="67"/>
      <c r="AD7" s="67"/>
      <c r="AE7" s="67"/>
      <c r="AF7" s="67"/>
      <c r="AG7" s="67"/>
      <c r="AH7" s="67"/>
    </row>
    <row r="8">
      <c r="A8" s="151" t="s">
        <v>487</v>
      </c>
      <c r="B8" s="152" t="s">
        <v>488</v>
      </c>
      <c r="C8" s="151" t="s">
        <v>489</v>
      </c>
      <c r="D8" s="148"/>
      <c r="E8" s="150">
        <v>450.0</v>
      </c>
      <c r="F8" s="148">
        <v>0.0</v>
      </c>
      <c r="G8" s="148" t="s">
        <v>490</v>
      </c>
      <c r="H8" s="148" t="s">
        <v>491</v>
      </c>
      <c r="I8" s="148" t="s">
        <v>492</v>
      </c>
      <c r="J8" s="148" t="s">
        <v>493</v>
      </c>
      <c r="K8" s="148"/>
      <c r="L8" s="148" t="s">
        <v>494</v>
      </c>
      <c r="M8" s="148" t="s">
        <v>495</v>
      </c>
      <c r="N8" s="151" t="s">
        <v>496</v>
      </c>
      <c r="O8" s="151">
        <v>8.1623215E7</v>
      </c>
      <c r="P8" s="148" t="s">
        <v>497</v>
      </c>
      <c r="Q8" s="151" t="s">
        <v>498</v>
      </c>
      <c r="R8" s="151"/>
      <c r="S8" s="67"/>
      <c r="T8" s="67"/>
      <c r="U8" s="67"/>
      <c r="V8" s="67"/>
      <c r="W8" s="67"/>
      <c r="X8" s="67"/>
      <c r="Y8" s="67"/>
      <c r="Z8" s="67"/>
      <c r="AA8" s="67"/>
      <c r="AB8" s="67"/>
      <c r="AC8" s="67"/>
      <c r="AD8" s="67"/>
      <c r="AE8" s="67"/>
      <c r="AF8" s="67"/>
      <c r="AG8" s="67"/>
      <c r="AH8" s="67"/>
    </row>
    <row r="9">
      <c r="A9" s="151" t="s">
        <v>499</v>
      </c>
      <c r="B9" s="152" t="s">
        <v>500</v>
      </c>
      <c r="C9" s="151" t="s">
        <v>501</v>
      </c>
      <c r="D9" s="151"/>
      <c r="E9" s="150" t="s">
        <v>502</v>
      </c>
      <c r="F9" s="148" t="s">
        <v>503</v>
      </c>
      <c r="G9" s="148" t="s">
        <v>504</v>
      </c>
      <c r="H9" s="148" t="s">
        <v>491</v>
      </c>
      <c r="I9" s="148" t="s">
        <v>505</v>
      </c>
      <c r="J9" s="148" t="s">
        <v>506</v>
      </c>
      <c r="K9" s="148"/>
      <c r="L9" s="148" t="s">
        <v>507</v>
      </c>
      <c r="M9" s="148" t="s">
        <v>508</v>
      </c>
      <c r="N9" s="151" t="s">
        <v>509</v>
      </c>
      <c r="O9" s="151">
        <v>2.2660047E7</v>
      </c>
      <c r="P9" s="148" t="s">
        <v>510</v>
      </c>
      <c r="Q9" s="151" t="s">
        <v>511</v>
      </c>
      <c r="R9" s="151"/>
      <c r="S9" s="67"/>
      <c r="T9" s="67"/>
      <c r="U9" s="67"/>
      <c r="V9" s="67"/>
      <c r="W9" s="67"/>
      <c r="X9" s="67"/>
      <c r="Y9" s="67"/>
      <c r="Z9" s="67"/>
      <c r="AA9" s="67"/>
      <c r="AB9" s="67"/>
      <c r="AC9" s="67"/>
      <c r="AD9" s="67"/>
      <c r="AE9" s="67"/>
      <c r="AF9" s="67"/>
      <c r="AG9" s="67"/>
      <c r="AH9" s="67"/>
    </row>
    <row r="10">
      <c r="A10" s="151" t="s">
        <v>512</v>
      </c>
      <c r="B10" s="152" t="s">
        <v>513</v>
      </c>
      <c r="C10" s="151" t="s">
        <v>514</v>
      </c>
      <c r="D10" s="151"/>
      <c r="E10" s="150" t="s">
        <v>515</v>
      </c>
      <c r="F10" s="148" t="s">
        <v>516</v>
      </c>
      <c r="G10" s="148" t="s">
        <v>517</v>
      </c>
      <c r="H10" s="148" t="s">
        <v>491</v>
      </c>
      <c r="I10" s="148" t="s">
        <v>518</v>
      </c>
      <c r="J10" s="148" t="s">
        <v>506</v>
      </c>
      <c r="K10" s="148"/>
      <c r="L10" s="148" t="s">
        <v>519</v>
      </c>
      <c r="M10" s="148"/>
      <c r="N10" s="151" t="s">
        <v>520</v>
      </c>
      <c r="O10" s="151">
        <v>2.9115048E7</v>
      </c>
      <c r="P10" s="151" t="s">
        <v>521</v>
      </c>
      <c r="Q10" s="151" t="s">
        <v>522</v>
      </c>
      <c r="R10" s="151"/>
      <c r="S10" s="67"/>
      <c r="T10" s="67"/>
      <c r="U10" s="67"/>
      <c r="V10" s="67"/>
      <c r="W10" s="67"/>
      <c r="X10" s="67"/>
      <c r="Y10" s="67"/>
      <c r="Z10" s="67"/>
      <c r="AA10" s="67"/>
      <c r="AB10" s="67"/>
      <c r="AC10" s="67"/>
      <c r="AD10" s="67"/>
      <c r="AE10" s="67"/>
      <c r="AF10" s="67"/>
      <c r="AG10" s="67"/>
      <c r="AH10" s="67"/>
    </row>
    <row r="11">
      <c r="A11" s="151" t="s">
        <v>523</v>
      </c>
      <c r="B11" s="152" t="s">
        <v>524</v>
      </c>
      <c r="C11" s="151" t="s">
        <v>525</v>
      </c>
      <c r="D11" s="151"/>
      <c r="E11" s="150" t="s">
        <v>526</v>
      </c>
      <c r="F11" s="148" t="s">
        <v>493</v>
      </c>
      <c r="G11" s="148" t="s">
        <v>517</v>
      </c>
      <c r="H11" s="148" t="s">
        <v>491</v>
      </c>
      <c r="I11" s="148" t="s">
        <v>527</v>
      </c>
      <c r="J11" s="148" t="s">
        <v>528</v>
      </c>
      <c r="K11" s="148"/>
      <c r="L11" s="148" t="s">
        <v>519</v>
      </c>
      <c r="M11" s="148" t="s">
        <v>491</v>
      </c>
      <c r="N11" s="151" t="s">
        <v>529</v>
      </c>
      <c r="O11" s="151" t="s">
        <v>530</v>
      </c>
      <c r="P11" s="151" t="s">
        <v>531</v>
      </c>
      <c r="Q11" s="151" t="s">
        <v>532</v>
      </c>
      <c r="R11" s="151"/>
      <c r="S11" s="67"/>
      <c r="T11" s="67"/>
      <c r="U11" s="67"/>
      <c r="V11" s="67"/>
      <c r="W11" s="67"/>
      <c r="X11" s="67"/>
      <c r="Y11" s="67"/>
      <c r="Z11" s="67"/>
      <c r="AA11" s="67"/>
      <c r="AB11" s="67"/>
      <c r="AC11" s="67"/>
      <c r="AD11" s="67"/>
      <c r="AE11" s="67"/>
      <c r="AF11" s="67"/>
      <c r="AG11" s="67"/>
      <c r="AH11" s="67"/>
    </row>
    <row r="12">
      <c r="A12" s="151" t="s">
        <v>533</v>
      </c>
      <c r="B12" s="152" t="s">
        <v>534</v>
      </c>
      <c r="C12" s="151" t="s">
        <v>535</v>
      </c>
      <c r="D12" s="151"/>
      <c r="E12" s="151">
        <v>400.0</v>
      </c>
      <c r="F12" s="151" t="s">
        <v>491</v>
      </c>
      <c r="G12" s="151" t="s">
        <v>536</v>
      </c>
      <c r="H12" s="151" t="s">
        <v>491</v>
      </c>
      <c r="I12" s="151" t="s">
        <v>537</v>
      </c>
      <c r="J12" s="151" t="s">
        <v>538</v>
      </c>
      <c r="K12" s="151"/>
      <c r="L12" s="151" t="s">
        <v>538</v>
      </c>
      <c r="M12" s="151" t="s">
        <v>538</v>
      </c>
      <c r="N12" s="151" t="s">
        <v>539</v>
      </c>
      <c r="O12" s="151" t="s">
        <v>540</v>
      </c>
      <c r="P12" s="151" t="s">
        <v>541</v>
      </c>
      <c r="Q12" s="151" t="s">
        <v>542</v>
      </c>
      <c r="R12" s="151"/>
      <c r="S12" s="67"/>
      <c r="T12" s="67"/>
      <c r="U12" s="67"/>
      <c r="V12" s="67"/>
      <c r="W12" s="67"/>
      <c r="X12" s="67"/>
      <c r="Y12" s="67"/>
      <c r="Z12" s="67"/>
      <c r="AA12" s="67"/>
      <c r="AB12" s="67"/>
      <c r="AC12" s="67"/>
      <c r="AD12" s="67"/>
      <c r="AE12" s="67"/>
      <c r="AF12" s="67"/>
      <c r="AG12" s="67"/>
      <c r="AH12" s="67"/>
    </row>
    <row r="13">
      <c r="A13" s="151" t="s">
        <v>543</v>
      </c>
      <c r="B13" s="152" t="s">
        <v>544</v>
      </c>
      <c r="C13" s="151" t="s">
        <v>545</v>
      </c>
      <c r="D13" s="151"/>
      <c r="E13" s="151">
        <v>350.0</v>
      </c>
      <c r="F13" s="151">
        <v>37.5</v>
      </c>
      <c r="G13" s="151" t="s">
        <v>491</v>
      </c>
      <c r="H13" s="151" t="s">
        <v>491</v>
      </c>
      <c r="I13" s="151" t="s">
        <v>546</v>
      </c>
      <c r="J13" s="151" t="s">
        <v>506</v>
      </c>
      <c r="K13" s="151"/>
      <c r="L13" s="151" t="s">
        <v>547</v>
      </c>
      <c r="M13" s="151" t="s">
        <v>548</v>
      </c>
      <c r="N13" s="151" t="s">
        <v>549</v>
      </c>
      <c r="O13" s="151">
        <v>2.2166505E7</v>
      </c>
      <c r="P13" s="151" t="s">
        <v>550</v>
      </c>
      <c r="Q13" s="151" t="s">
        <v>551</v>
      </c>
      <c r="R13" s="151"/>
      <c r="S13" s="67"/>
      <c r="T13" s="67"/>
      <c r="U13" s="67"/>
      <c r="V13" s="67"/>
      <c r="W13" s="67"/>
      <c r="X13" s="67"/>
      <c r="Y13" s="67"/>
      <c r="Z13" s="67"/>
      <c r="AA13" s="67"/>
      <c r="AB13" s="67"/>
      <c r="AC13" s="67"/>
      <c r="AD13" s="67"/>
      <c r="AE13" s="67"/>
      <c r="AF13" s="67"/>
      <c r="AG13" s="67"/>
      <c r="AH13" s="67"/>
    </row>
    <row r="14">
      <c r="A14" s="151" t="s">
        <v>552</v>
      </c>
      <c r="B14" s="152" t="s">
        <v>553</v>
      </c>
      <c r="C14" s="151" t="s">
        <v>554</v>
      </c>
      <c r="D14" s="151"/>
      <c r="E14" s="151">
        <v>400.0</v>
      </c>
      <c r="F14" s="151" t="s">
        <v>491</v>
      </c>
      <c r="G14" s="151" t="s">
        <v>555</v>
      </c>
      <c r="H14" s="151" t="s">
        <v>491</v>
      </c>
      <c r="I14" s="151" t="s">
        <v>556</v>
      </c>
      <c r="J14" s="151" t="s">
        <v>548</v>
      </c>
      <c r="K14" s="151"/>
      <c r="L14" s="151" t="s">
        <v>506</v>
      </c>
      <c r="M14" s="151" t="s">
        <v>557</v>
      </c>
      <c r="N14" s="151" t="s">
        <v>558</v>
      </c>
      <c r="O14" s="151">
        <v>9.336262183E9</v>
      </c>
      <c r="P14" s="151" t="s">
        <v>559</v>
      </c>
      <c r="Q14" s="151" t="s">
        <v>560</v>
      </c>
      <c r="R14" s="151"/>
      <c r="S14" s="67"/>
      <c r="T14" s="67"/>
      <c r="U14" s="67"/>
      <c r="V14" s="67"/>
      <c r="W14" s="67"/>
      <c r="X14" s="67"/>
      <c r="Y14" s="67"/>
      <c r="Z14" s="67"/>
      <c r="AA14" s="67"/>
      <c r="AB14" s="67"/>
      <c r="AC14" s="67"/>
      <c r="AD14" s="67"/>
      <c r="AE14" s="67"/>
      <c r="AF14" s="67"/>
      <c r="AG14" s="67"/>
      <c r="AH14" s="67"/>
    </row>
    <row r="15">
      <c r="A15" s="151" t="s">
        <v>561</v>
      </c>
      <c r="B15" s="152" t="s">
        <v>562</v>
      </c>
      <c r="C15" s="151" t="s">
        <v>563</v>
      </c>
      <c r="D15" s="151"/>
      <c r="E15" s="151">
        <v>240.0</v>
      </c>
      <c r="F15" s="151" t="s">
        <v>491</v>
      </c>
      <c r="G15" s="148" t="s">
        <v>564</v>
      </c>
      <c r="H15" s="151" t="s">
        <v>491</v>
      </c>
      <c r="I15" s="151" t="s">
        <v>565</v>
      </c>
      <c r="J15" s="151">
        <v>25.5</v>
      </c>
      <c r="K15" s="151"/>
      <c r="L15" s="151" t="s">
        <v>566</v>
      </c>
      <c r="M15" s="151" t="s">
        <v>491</v>
      </c>
      <c r="N15" s="151" t="s">
        <v>567</v>
      </c>
      <c r="O15" s="151">
        <v>8.4361521E7</v>
      </c>
      <c r="P15" s="151" t="s">
        <v>568</v>
      </c>
      <c r="Q15" s="151" t="s">
        <v>569</v>
      </c>
      <c r="R15" s="151"/>
      <c r="S15" s="67"/>
      <c r="T15" s="67"/>
      <c r="U15" s="67"/>
      <c r="V15" s="67"/>
      <c r="W15" s="67"/>
      <c r="X15" s="67"/>
      <c r="Y15" s="67"/>
      <c r="Z15" s="67"/>
      <c r="AA15" s="67"/>
      <c r="AB15" s="67"/>
      <c r="AC15" s="67"/>
      <c r="AD15" s="67"/>
      <c r="AE15" s="67"/>
      <c r="AF15" s="67"/>
      <c r="AG15" s="67"/>
      <c r="AH15" s="67"/>
    </row>
    <row r="16">
      <c r="A16" s="151" t="s">
        <v>570</v>
      </c>
      <c r="B16" s="152" t="s">
        <v>571</v>
      </c>
      <c r="C16" s="151" t="s">
        <v>572</v>
      </c>
      <c r="D16" s="151"/>
      <c r="E16" s="151">
        <v>1000.0</v>
      </c>
      <c r="F16" s="151" t="s">
        <v>491</v>
      </c>
      <c r="G16" s="151" t="s">
        <v>573</v>
      </c>
      <c r="H16" s="151" t="s">
        <v>491</v>
      </c>
      <c r="I16" s="151" t="s">
        <v>574</v>
      </c>
      <c r="J16" s="151" t="s">
        <v>575</v>
      </c>
      <c r="K16" s="151"/>
      <c r="L16" s="151" t="s">
        <v>576</v>
      </c>
      <c r="M16" s="151" t="s">
        <v>577</v>
      </c>
      <c r="N16" s="151" t="s">
        <v>578</v>
      </c>
      <c r="O16" s="151">
        <v>8.8572398E7</v>
      </c>
      <c r="P16" s="151" t="s">
        <v>579</v>
      </c>
      <c r="Q16" s="151" t="s">
        <v>580</v>
      </c>
      <c r="R16" s="151"/>
      <c r="S16" s="67"/>
      <c r="T16" s="67"/>
      <c r="U16" s="67"/>
      <c r="V16" s="67"/>
      <c r="W16" s="67"/>
      <c r="X16" s="67"/>
      <c r="Y16" s="67"/>
      <c r="Z16" s="67"/>
      <c r="AA16" s="67"/>
      <c r="AB16" s="67"/>
      <c r="AC16" s="67"/>
      <c r="AD16" s="67"/>
      <c r="AE16" s="67"/>
      <c r="AF16" s="67"/>
      <c r="AG16" s="67"/>
      <c r="AH16" s="67"/>
    </row>
    <row r="17">
      <c r="A17" s="151" t="s">
        <v>581</v>
      </c>
      <c r="B17" s="152" t="s">
        <v>582</v>
      </c>
      <c r="C17" s="151" t="s">
        <v>583</v>
      </c>
      <c r="D17" s="151"/>
      <c r="E17" s="151">
        <v>650.0</v>
      </c>
      <c r="F17" s="151" t="s">
        <v>491</v>
      </c>
      <c r="G17" s="151" t="s">
        <v>584</v>
      </c>
      <c r="H17" s="151" t="s">
        <v>491</v>
      </c>
      <c r="I17" s="151" t="s">
        <v>574</v>
      </c>
      <c r="J17" s="151" t="s">
        <v>585</v>
      </c>
      <c r="K17" s="151"/>
      <c r="L17" s="151" t="s">
        <v>586</v>
      </c>
      <c r="M17" s="151" t="s">
        <v>548</v>
      </c>
      <c r="N17" s="151" t="s">
        <v>587</v>
      </c>
      <c r="O17" s="151">
        <v>2.2431614E7</v>
      </c>
      <c r="P17" s="151" t="s">
        <v>588</v>
      </c>
      <c r="Q17" s="151" t="s">
        <v>589</v>
      </c>
      <c r="R17" s="151"/>
      <c r="S17" s="67"/>
      <c r="T17" s="67"/>
      <c r="U17" s="67"/>
      <c r="V17" s="67"/>
      <c r="W17" s="67"/>
      <c r="X17" s="67"/>
      <c r="Y17" s="67"/>
      <c r="Z17" s="67"/>
      <c r="AA17" s="67"/>
      <c r="AB17" s="67"/>
      <c r="AC17" s="67"/>
      <c r="AD17" s="67"/>
      <c r="AE17" s="67"/>
      <c r="AF17" s="67"/>
      <c r="AG17" s="67"/>
      <c r="AH17" s="67"/>
    </row>
    <row r="18">
      <c r="A18" s="151" t="s">
        <v>590</v>
      </c>
      <c r="B18" s="152" t="s">
        <v>591</v>
      </c>
      <c r="C18" s="151" t="s">
        <v>592</v>
      </c>
      <c r="D18" s="151"/>
      <c r="E18" s="151">
        <v>300.0</v>
      </c>
      <c r="F18" s="151" t="s">
        <v>491</v>
      </c>
      <c r="G18" s="151" t="s">
        <v>516</v>
      </c>
      <c r="H18" s="151" t="s">
        <v>491</v>
      </c>
      <c r="I18" s="151" t="s">
        <v>538</v>
      </c>
      <c r="J18" s="148" t="s">
        <v>593</v>
      </c>
      <c r="K18" s="151"/>
      <c r="L18" s="151" t="s">
        <v>594</v>
      </c>
      <c r="M18" s="151" t="s">
        <v>595</v>
      </c>
      <c r="N18" s="151" t="s">
        <v>596</v>
      </c>
      <c r="O18" s="151" t="s">
        <v>597</v>
      </c>
      <c r="P18" s="151" t="s">
        <v>598</v>
      </c>
      <c r="Q18" s="151" t="s">
        <v>599</v>
      </c>
      <c r="R18" s="151"/>
      <c r="S18" s="67"/>
      <c r="T18" s="67"/>
      <c r="U18" s="67"/>
      <c r="V18" s="67"/>
      <c r="W18" s="67"/>
      <c r="X18" s="67"/>
      <c r="Y18" s="67"/>
      <c r="Z18" s="67"/>
      <c r="AA18" s="67"/>
      <c r="AB18" s="67"/>
      <c r="AC18" s="67"/>
      <c r="AD18" s="67"/>
      <c r="AE18" s="67"/>
      <c r="AF18" s="67"/>
      <c r="AG18" s="67"/>
      <c r="AH18" s="67"/>
    </row>
    <row r="19">
      <c r="A19" s="151" t="s">
        <v>600</v>
      </c>
      <c r="B19" s="152" t="s">
        <v>601</v>
      </c>
      <c r="C19" s="151" t="s">
        <v>602</v>
      </c>
      <c r="D19" s="151"/>
      <c r="E19" s="151">
        <v>400.0</v>
      </c>
      <c r="F19" s="151" t="s">
        <v>603</v>
      </c>
      <c r="G19" s="151" t="s">
        <v>604</v>
      </c>
      <c r="H19" s="151" t="s">
        <v>491</v>
      </c>
      <c r="I19" s="151" t="s">
        <v>538</v>
      </c>
      <c r="J19" s="151" t="s">
        <v>605</v>
      </c>
      <c r="K19" s="151"/>
      <c r="L19" s="151" t="s">
        <v>606</v>
      </c>
      <c r="M19" s="151" t="s">
        <v>491</v>
      </c>
      <c r="N19" s="151" t="s">
        <v>607</v>
      </c>
      <c r="O19" s="151" t="s">
        <v>608</v>
      </c>
      <c r="P19" s="151" t="s">
        <v>609</v>
      </c>
      <c r="Q19" s="151" t="s">
        <v>610</v>
      </c>
      <c r="R19" s="151"/>
      <c r="S19" s="67"/>
      <c r="T19" s="67"/>
      <c r="U19" s="67"/>
      <c r="V19" s="67"/>
      <c r="W19" s="67"/>
      <c r="X19" s="67"/>
      <c r="Y19" s="67"/>
      <c r="Z19" s="67"/>
      <c r="AA19" s="67"/>
      <c r="AB19" s="67"/>
      <c r="AC19" s="67"/>
      <c r="AD19" s="67"/>
      <c r="AE19" s="67"/>
      <c r="AF19" s="67"/>
      <c r="AG19" s="67"/>
      <c r="AH19" s="67"/>
    </row>
    <row r="20">
      <c r="A20" s="151" t="s">
        <v>611</v>
      </c>
      <c r="B20" s="152" t="s">
        <v>612</v>
      </c>
      <c r="C20" s="151" t="s">
        <v>613</v>
      </c>
      <c r="D20" s="151"/>
      <c r="E20" s="151">
        <v>230.0</v>
      </c>
      <c r="F20" s="151" t="s">
        <v>491</v>
      </c>
      <c r="G20" s="151" t="s">
        <v>614</v>
      </c>
      <c r="H20" s="151" t="s">
        <v>491</v>
      </c>
      <c r="I20" s="151" t="s">
        <v>615</v>
      </c>
      <c r="J20" s="151" t="s">
        <v>506</v>
      </c>
      <c r="K20" s="151"/>
      <c r="L20" s="151" t="s">
        <v>616</v>
      </c>
      <c r="M20" s="151" t="s">
        <v>491</v>
      </c>
      <c r="N20" s="151" t="s">
        <v>617</v>
      </c>
      <c r="O20" s="151">
        <v>8.8054952E7</v>
      </c>
      <c r="P20" s="151" t="s">
        <v>618</v>
      </c>
      <c r="Q20" s="151" t="s">
        <v>619</v>
      </c>
      <c r="R20" s="151"/>
      <c r="S20" s="67"/>
      <c r="T20" s="67"/>
      <c r="U20" s="67"/>
      <c r="V20" s="67"/>
      <c r="W20" s="67"/>
      <c r="X20" s="67"/>
      <c r="Y20" s="67"/>
      <c r="Z20" s="67"/>
      <c r="AA20" s="67"/>
      <c r="AB20" s="67"/>
      <c r="AC20" s="67"/>
      <c r="AD20" s="67"/>
      <c r="AE20" s="67"/>
      <c r="AF20" s="67"/>
      <c r="AG20" s="67"/>
      <c r="AH20" s="67"/>
    </row>
    <row r="21">
      <c r="A21" s="151" t="s">
        <v>620</v>
      </c>
      <c r="B21" s="152" t="s">
        <v>621</v>
      </c>
      <c r="C21" s="151" t="s">
        <v>622</v>
      </c>
      <c r="D21" s="151"/>
      <c r="E21" s="151" t="s">
        <v>623</v>
      </c>
      <c r="F21" s="151" t="s">
        <v>491</v>
      </c>
      <c r="G21" s="151" t="s">
        <v>548</v>
      </c>
      <c r="H21" s="151" t="s">
        <v>491</v>
      </c>
      <c r="I21" s="151" t="s">
        <v>548</v>
      </c>
      <c r="J21" s="151" t="s">
        <v>548</v>
      </c>
      <c r="K21" s="151"/>
      <c r="L21" s="151" t="s">
        <v>506</v>
      </c>
      <c r="M21" s="151" t="s">
        <v>548</v>
      </c>
      <c r="N21" s="151" t="s">
        <v>624</v>
      </c>
      <c r="O21" s="151" t="s">
        <v>625</v>
      </c>
      <c r="P21" s="151" t="s">
        <v>626</v>
      </c>
      <c r="Q21" s="151" t="s">
        <v>627</v>
      </c>
      <c r="R21" s="151"/>
      <c r="S21" s="67"/>
      <c r="T21" s="67"/>
      <c r="U21" s="67"/>
      <c r="V21" s="67"/>
      <c r="W21" s="67"/>
      <c r="X21" s="67"/>
      <c r="Y21" s="67"/>
      <c r="Z21" s="67"/>
      <c r="AA21" s="67"/>
      <c r="AB21" s="67"/>
      <c r="AC21" s="67"/>
      <c r="AD21" s="67"/>
      <c r="AE21" s="67"/>
      <c r="AF21" s="67"/>
      <c r="AG21" s="67"/>
      <c r="AH21" s="67"/>
    </row>
    <row r="22">
      <c r="A22" s="151" t="s">
        <v>628</v>
      </c>
      <c r="B22" s="152" t="s">
        <v>629</v>
      </c>
      <c r="C22" s="151" t="s">
        <v>630</v>
      </c>
      <c r="D22" s="151"/>
      <c r="E22" s="151">
        <v>270.0</v>
      </c>
      <c r="F22" s="151" t="s">
        <v>491</v>
      </c>
      <c r="G22" s="151" t="s">
        <v>631</v>
      </c>
      <c r="H22" s="151" t="s">
        <v>548</v>
      </c>
      <c r="I22" s="151" t="s">
        <v>548</v>
      </c>
      <c r="J22" s="151" t="s">
        <v>506</v>
      </c>
      <c r="K22" s="151"/>
      <c r="L22" s="151" t="s">
        <v>632</v>
      </c>
      <c r="M22" s="151" t="s">
        <v>506</v>
      </c>
      <c r="N22" s="151" t="s">
        <v>633</v>
      </c>
      <c r="O22" s="151" t="s">
        <v>634</v>
      </c>
      <c r="P22" s="151" t="s">
        <v>635</v>
      </c>
      <c r="Q22" s="151" t="s">
        <v>636</v>
      </c>
      <c r="R22" s="151"/>
      <c r="S22" s="67"/>
      <c r="T22" s="67"/>
      <c r="U22" s="67"/>
      <c r="V22" s="67"/>
      <c r="W22" s="67"/>
      <c r="X22" s="67"/>
      <c r="Y22" s="67"/>
      <c r="Z22" s="67"/>
      <c r="AA22" s="67"/>
      <c r="AB22" s="67"/>
      <c r="AC22" s="67"/>
      <c r="AD22" s="67"/>
      <c r="AE22" s="67"/>
      <c r="AF22" s="67"/>
      <c r="AG22" s="67"/>
      <c r="AH22" s="67"/>
    </row>
    <row r="23">
      <c r="A23" s="151" t="s">
        <v>637</v>
      </c>
      <c r="B23" s="152" t="s">
        <v>638</v>
      </c>
      <c r="C23" s="151" t="s">
        <v>639</v>
      </c>
      <c r="D23" s="151"/>
      <c r="E23" s="151" t="s">
        <v>640</v>
      </c>
      <c r="F23" s="151" t="s">
        <v>491</v>
      </c>
      <c r="G23" s="151" t="s">
        <v>491</v>
      </c>
      <c r="H23" s="151" t="s">
        <v>491</v>
      </c>
      <c r="I23" s="151" t="s">
        <v>491</v>
      </c>
      <c r="J23" s="151" t="s">
        <v>491</v>
      </c>
      <c r="K23" s="151"/>
      <c r="L23" s="151" t="s">
        <v>491</v>
      </c>
      <c r="M23" s="151" t="s">
        <v>491</v>
      </c>
      <c r="N23" s="151" t="s">
        <v>491</v>
      </c>
      <c r="O23" s="151">
        <v>2.2700831E7</v>
      </c>
      <c r="P23" s="151"/>
      <c r="Q23" s="151" t="s">
        <v>641</v>
      </c>
      <c r="R23" s="151"/>
      <c r="S23" s="67"/>
      <c r="T23" s="67"/>
      <c r="U23" s="67"/>
      <c r="V23" s="67"/>
      <c r="W23" s="67"/>
      <c r="X23" s="67"/>
      <c r="Y23" s="67"/>
      <c r="Z23" s="67"/>
      <c r="AA23" s="67"/>
      <c r="AB23" s="67"/>
      <c r="AC23" s="67"/>
      <c r="AD23" s="67"/>
      <c r="AE23" s="67"/>
      <c r="AF23" s="67"/>
      <c r="AG23" s="67"/>
      <c r="AH23" s="67"/>
    </row>
    <row r="24">
      <c r="A24" s="151" t="s">
        <v>642</v>
      </c>
      <c r="B24" s="152"/>
      <c r="C24" s="151" t="s">
        <v>643</v>
      </c>
      <c r="D24" s="151"/>
      <c r="E24" s="151"/>
      <c r="F24" s="151"/>
      <c r="G24" s="151"/>
      <c r="H24" s="151"/>
      <c r="I24" s="151"/>
      <c r="J24" s="151"/>
      <c r="K24" s="151"/>
      <c r="L24" s="151"/>
      <c r="M24" s="151"/>
      <c r="N24" s="151" t="s">
        <v>644</v>
      </c>
      <c r="O24" s="151" t="s">
        <v>645</v>
      </c>
      <c r="P24" s="151" t="s">
        <v>646</v>
      </c>
      <c r="Q24" s="151" t="s">
        <v>647</v>
      </c>
      <c r="R24" s="151"/>
      <c r="S24" s="67"/>
      <c r="T24" s="67"/>
      <c r="U24" s="67"/>
      <c r="V24" s="67"/>
      <c r="W24" s="67"/>
      <c r="X24" s="67"/>
      <c r="Y24" s="67"/>
      <c r="Z24" s="67"/>
      <c r="AA24" s="67"/>
      <c r="AB24" s="67"/>
      <c r="AC24" s="67"/>
      <c r="AD24" s="67"/>
      <c r="AE24" s="67"/>
      <c r="AF24" s="67"/>
      <c r="AG24" s="67"/>
      <c r="AH24" s="67"/>
    </row>
    <row r="25">
      <c r="A25" s="148" t="s">
        <v>648</v>
      </c>
      <c r="B25" s="151"/>
      <c r="C25" s="151"/>
      <c r="D25" s="151"/>
      <c r="E25" s="151"/>
      <c r="F25" s="151"/>
      <c r="G25" s="151"/>
      <c r="H25" s="151"/>
      <c r="I25" s="151"/>
      <c r="J25" s="151"/>
      <c r="K25" s="151"/>
      <c r="L25" s="151"/>
      <c r="M25" s="151"/>
      <c r="N25" s="151"/>
      <c r="O25" s="151"/>
      <c r="P25" s="151"/>
      <c r="Q25" s="151"/>
      <c r="R25" s="151"/>
      <c r="S25" s="67"/>
      <c r="T25" s="67"/>
      <c r="U25" s="67"/>
      <c r="V25" s="67"/>
      <c r="W25" s="67"/>
      <c r="X25" s="67"/>
      <c r="Y25" s="67"/>
      <c r="Z25" s="67"/>
      <c r="AA25" s="67"/>
      <c r="AB25" s="67"/>
      <c r="AC25" s="67"/>
      <c r="AD25" s="67"/>
      <c r="AE25" s="67"/>
      <c r="AF25" s="67"/>
      <c r="AG25" s="67"/>
      <c r="AH25" s="67"/>
    </row>
    <row r="26">
      <c r="A26" s="148" t="s">
        <v>649</v>
      </c>
      <c r="B26" s="151"/>
      <c r="C26" s="151"/>
      <c r="D26" s="151"/>
      <c r="E26" s="151"/>
      <c r="F26" s="151"/>
      <c r="G26" s="151"/>
      <c r="H26" s="151"/>
      <c r="I26" s="151"/>
      <c r="J26" s="151"/>
      <c r="K26" s="151"/>
      <c r="L26" s="151"/>
      <c r="M26" s="151"/>
      <c r="N26" s="151"/>
      <c r="O26" s="151"/>
      <c r="P26" s="151"/>
      <c r="Q26" s="151"/>
      <c r="R26" s="151"/>
      <c r="S26" s="67"/>
      <c r="T26" s="67"/>
      <c r="U26" s="67"/>
      <c r="V26" s="67"/>
      <c r="W26" s="67"/>
      <c r="X26" s="67"/>
      <c r="Y26" s="67"/>
      <c r="Z26" s="67"/>
      <c r="AA26" s="67"/>
      <c r="AB26" s="67"/>
      <c r="AC26" s="67"/>
      <c r="AD26" s="67"/>
      <c r="AE26" s="67"/>
      <c r="AF26" s="67"/>
      <c r="AG26" s="67"/>
      <c r="AH26" s="67"/>
    </row>
    <row r="27">
      <c r="A27" s="148" t="s">
        <v>650</v>
      </c>
      <c r="B27" s="151"/>
      <c r="C27" s="151"/>
      <c r="D27" s="151"/>
      <c r="E27" s="151"/>
      <c r="F27" s="151"/>
      <c r="G27" s="151"/>
      <c r="H27" s="151"/>
      <c r="I27" s="151"/>
      <c r="J27" s="151"/>
      <c r="K27" s="151"/>
      <c r="L27" s="151"/>
      <c r="M27" s="151"/>
      <c r="N27" s="151"/>
      <c r="O27" s="151"/>
      <c r="P27" s="151"/>
      <c r="Q27" s="151"/>
      <c r="R27" s="151"/>
      <c r="S27" s="67"/>
      <c r="T27" s="67"/>
      <c r="U27" s="67"/>
      <c r="V27" s="67"/>
      <c r="W27" s="67"/>
      <c r="X27" s="67"/>
      <c r="Y27" s="67"/>
      <c r="Z27" s="67"/>
      <c r="AA27" s="67"/>
      <c r="AB27" s="67"/>
      <c r="AC27" s="67"/>
      <c r="AD27" s="67"/>
      <c r="AE27" s="67"/>
      <c r="AF27" s="67"/>
      <c r="AG27" s="67"/>
      <c r="AH27" s="67"/>
    </row>
    <row r="28">
      <c r="A28" s="148" t="s">
        <v>651</v>
      </c>
      <c r="B28" s="151"/>
      <c r="C28" s="151"/>
      <c r="D28" s="151"/>
      <c r="E28" s="151"/>
      <c r="F28" s="151"/>
      <c r="G28" s="151"/>
      <c r="H28" s="151"/>
      <c r="I28" s="151"/>
      <c r="J28" s="151"/>
      <c r="K28" s="151"/>
      <c r="L28" s="151"/>
      <c r="M28" s="151"/>
      <c r="N28" s="151"/>
      <c r="O28" s="151"/>
      <c r="P28" s="151"/>
      <c r="Q28" s="151"/>
      <c r="R28" s="151"/>
      <c r="S28" s="67"/>
      <c r="T28" s="67"/>
      <c r="U28" s="67"/>
      <c r="V28" s="67"/>
      <c r="W28" s="67"/>
      <c r="X28" s="67"/>
      <c r="Y28" s="67"/>
      <c r="Z28" s="67"/>
      <c r="AA28" s="67"/>
      <c r="AB28" s="67"/>
      <c r="AC28" s="67"/>
      <c r="AD28" s="67"/>
      <c r="AE28" s="67"/>
      <c r="AF28" s="67"/>
      <c r="AG28" s="67"/>
      <c r="AH28" s="67"/>
    </row>
    <row r="29">
      <c r="A29" s="148" t="s">
        <v>652</v>
      </c>
      <c r="B29" s="151"/>
      <c r="C29" s="151"/>
      <c r="D29" s="151"/>
      <c r="E29" s="151"/>
      <c r="F29" s="151"/>
      <c r="G29" s="151"/>
      <c r="H29" s="151"/>
      <c r="I29" s="151"/>
      <c r="J29" s="151"/>
      <c r="K29" s="151"/>
      <c r="L29" s="151"/>
      <c r="M29" s="151"/>
      <c r="N29" s="151"/>
      <c r="O29" s="151"/>
      <c r="P29" s="151"/>
      <c r="Q29" s="151"/>
      <c r="R29" s="151"/>
      <c r="S29" s="67"/>
      <c r="T29" s="67"/>
      <c r="U29" s="67"/>
      <c r="V29" s="67"/>
      <c r="W29" s="67"/>
      <c r="X29" s="67"/>
      <c r="Y29" s="67"/>
      <c r="Z29" s="67"/>
      <c r="AA29" s="67"/>
      <c r="AB29" s="67"/>
      <c r="AC29" s="67"/>
      <c r="AD29" s="67"/>
      <c r="AE29" s="67"/>
      <c r="AF29" s="67"/>
      <c r="AG29" s="67"/>
      <c r="AH29" s="67"/>
    </row>
    <row r="30">
      <c r="A30" s="148" t="s">
        <v>653</v>
      </c>
      <c r="B30" s="151"/>
      <c r="C30" s="151"/>
      <c r="D30" s="151"/>
      <c r="E30" s="151"/>
      <c r="F30" s="151"/>
      <c r="G30" s="151"/>
      <c r="H30" s="151"/>
      <c r="I30" s="151"/>
      <c r="J30" s="151"/>
      <c r="K30" s="151"/>
      <c r="L30" s="151"/>
      <c r="M30" s="151"/>
      <c r="N30" s="151"/>
      <c r="O30" s="151"/>
      <c r="P30" s="151"/>
      <c r="Q30" s="151"/>
      <c r="R30" s="151"/>
      <c r="S30" s="67"/>
      <c r="T30" s="67"/>
      <c r="U30" s="67"/>
      <c r="V30" s="67"/>
      <c r="W30" s="67"/>
      <c r="X30" s="67"/>
      <c r="Y30" s="67"/>
      <c r="Z30" s="67"/>
      <c r="AA30" s="67"/>
      <c r="AB30" s="67"/>
      <c r="AC30" s="67"/>
      <c r="AD30" s="67"/>
      <c r="AE30" s="67"/>
      <c r="AF30" s="67"/>
      <c r="AG30" s="67"/>
      <c r="AH30" s="67"/>
    </row>
    <row r="31">
      <c r="A31" s="148" t="s">
        <v>654</v>
      </c>
      <c r="B31" s="151"/>
      <c r="C31" s="151"/>
      <c r="D31" s="151"/>
      <c r="E31" s="151"/>
      <c r="F31" s="151"/>
      <c r="G31" s="151"/>
      <c r="H31" s="151"/>
      <c r="I31" s="151"/>
      <c r="J31" s="151"/>
      <c r="K31" s="151"/>
      <c r="L31" s="151"/>
      <c r="M31" s="151"/>
      <c r="N31" s="151"/>
      <c r="O31" s="151"/>
      <c r="P31" s="151"/>
      <c r="Q31" s="151"/>
      <c r="R31" s="151"/>
      <c r="S31" s="67"/>
      <c r="T31" s="67"/>
      <c r="U31" s="67"/>
      <c r="V31" s="67"/>
      <c r="W31" s="67"/>
      <c r="X31" s="67"/>
      <c r="Y31" s="67"/>
      <c r="Z31" s="67"/>
      <c r="AA31" s="67"/>
      <c r="AB31" s="67"/>
      <c r="AC31" s="67"/>
      <c r="AD31" s="67"/>
      <c r="AE31" s="67"/>
      <c r="AF31" s="67"/>
      <c r="AG31" s="67"/>
      <c r="AH31" s="67"/>
    </row>
    <row r="32">
      <c r="A32" s="153" t="s">
        <v>655</v>
      </c>
      <c r="B32" s="151"/>
      <c r="C32" s="151"/>
      <c r="D32" s="151"/>
      <c r="E32" s="151"/>
      <c r="F32" s="151"/>
      <c r="G32" s="151"/>
      <c r="H32" s="151"/>
      <c r="I32" s="151"/>
      <c r="J32" s="151"/>
      <c r="K32" s="151"/>
      <c r="L32" s="151"/>
      <c r="M32" s="151"/>
      <c r="N32" s="151"/>
      <c r="O32" s="151"/>
      <c r="P32" s="151"/>
      <c r="Q32" s="151"/>
      <c r="R32" s="151"/>
      <c r="S32" s="67"/>
      <c r="T32" s="67"/>
      <c r="U32" s="67"/>
      <c r="V32" s="67"/>
      <c r="W32" s="67"/>
      <c r="X32" s="67"/>
      <c r="Y32" s="67"/>
      <c r="Z32" s="67"/>
      <c r="AA32" s="67"/>
      <c r="AB32" s="67"/>
      <c r="AC32" s="67"/>
      <c r="AD32" s="67"/>
      <c r="AE32" s="67"/>
      <c r="AF32" s="67"/>
      <c r="AG32" s="67"/>
      <c r="AH32" s="67"/>
    </row>
    <row r="33">
      <c r="A33" s="153" t="s">
        <v>656</v>
      </c>
      <c r="B33" s="151"/>
      <c r="C33" s="151"/>
      <c r="D33" s="151"/>
      <c r="E33" s="151"/>
      <c r="F33" s="151"/>
      <c r="G33" s="151"/>
      <c r="H33" s="151"/>
      <c r="I33" s="151"/>
      <c r="J33" s="151"/>
      <c r="K33" s="151"/>
      <c r="L33" s="151"/>
      <c r="M33" s="151"/>
      <c r="N33" s="151"/>
      <c r="O33" s="151"/>
      <c r="P33" s="151"/>
      <c r="Q33" s="151"/>
      <c r="R33" s="151"/>
      <c r="S33" s="67"/>
      <c r="T33" s="67"/>
      <c r="U33" s="67"/>
      <c r="V33" s="67"/>
      <c r="W33" s="67"/>
      <c r="X33" s="67"/>
      <c r="Y33" s="67"/>
      <c r="Z33" s="67"/>
      <c r="AA33" s="67"/>
      <c r="AB33" s="67"/>
      <c r="AC33" s="67"/>
      <c r="AD33" s="67"/>
      <c r="AE33" s="67"/>
      <c r="AF33" s="67"/>
      <c r="AG33" s="67"/>
      <c r="AH33" s="67"/>
    </row>
    <row r="34">
      <c r="A34" s="153" t="s">
        <v>657</v>
      </c>
      <c r="B34" s="151"/>
      <c r="C34" s="151"/>
      <c r="D34" s="151"/>
      <c r="E34" s="151"/>
      <c r="F34" s="151"/>
      <c r="G34" s="151"/>
      <c r="H34" s="151"/>
      <c r="I34" s="151"/>
      <c r="J34" s="151"/>
      <c r="K34" s="151"/>
      <c r="L34" s="151"/>
      <c r="M34" s="151"/>
      <c r="N34" s="151"/>
      <c r="O34" s="151"/>
      <c r="P34" s="151"/>
      <c r="Q34" s="151"/>
      <c r="R34" s="151"/>
      <c r="S34" s="67"/>
      <c r="T34" s="67"/>
      <c r="U34" s="67"/>
      <c r="V34" s="67"/>
      <c r="W34" s="67"/>
      <c r="X34" s="67"/>
      <c r="Y34" s="67"/>
      <c r="Z34" s="67"/>
      <c r="AA34" s="67"/>
      <c r="AB34" s="67"/>
      <c r="AC34" s="67"/>
      <c r="AD34" s="67"/>
      <c r="AE34" s="67"/>
      <c r="AF34" s="67"/>
      <c r="AG34" s="67"/>
      <c r="AH34" s="67"/>
    </row>
    <row r="35">
      <c r="A35" s="153" t="s">
        <v>658</v>
      </c>
      <c r="B35" s="151"/>
      <c r="C35" s="151"/>
      <c r="D35" s="151"/>
      <c r="E35" s="151"/>
      <c r="F35" s="151"/>
      <c r="G35" s="151"/>
      <c r="H35" s="151"/>
      <c r="I35" s="151"/>
      <c r="J35" s="151"/>
      <c r="K35" s="151"/>
      <c r="L35" s="151"/>
      <c r="M35" s="151"/>
      <c r="N35" s="151"/>
      <c r="O35" s="151"/>
      <c r="P35" s="151"/>
      <c r="Q35" s="151"/>
      <c r="R35" s="151"/>
      <c r="S35" s="67"/>
      <c r="T35" s="67"/>
      <c r="U35" s="67"/>
      <c r="V35" s="67"/>
      <c r="W35" s="67"/>
      <c r="X35" s="67"/>
      <c r="Y35" s="67"/>
      <c r="Z35" s="67"/>
      <c r="AA35" s="67"/>
      <c r="AB35" s="67"/>
      <c r="AC35" s="67"/>
      <c r="AD35" s="67"/>
      <c r="AE35" s="67"/>
      <c r="AF35" s="67"/>
      <c r="AG35" s="67"/>
      <c r="AH35" s="67"/>
    </row>
    <row r="36">
      <c r="A36" s="153" t="s">
        <v>659</v>
      </c>
      <c r="B36" s="151"/>
      <c r="C36" s="151"/>
      <c r="D36" s="151"/>
      <c r="E36" s="151"/>
      <c r="F36" s="151"/>
      <c r="G36" s="151"/>
      <c r="H36" s="151"/>
      <c r="I36" s="151"/>
      <c r="J36" s="151"/>
      <c r="K36" s="151"/>
      <c r="L36" s="151"/>
      <c r="M36" s="151"/>
      <c r="N36" s="151"/>
      <c r="O36" s="151"/>
      <c r="P36" s="151"/>
      <c r="Q36" s="151"/>
      <c r="R36" s="151"/>
      <c r="S36" s="67"/>
      <c r="T36" s="67"/>
      <c r="U36" s="67"/>
      <c r="V36" s="67"/>
      <c r="W36" s="67"/>
      <c r="X36" s="67"/>
      <c r="Y36" s="67"/>
      <c r="Z36" s="67"/>
      <c r="AA36" s="67"/>
      <c r="AB36" s="67"/>
      <c r="AC36" s="67"/>
      <c r="AD36" s="67"/>
      <c r="AE36" s="67"/>
      <c r="AF36" s="67"/>
      <c r="AG36" s="67"/>
      <c r="AH36" s="67"/>
    </row>
    <row r="37">
      <c r="A37" s="154" t="s">
        <v>660</v>
      </c>
      <c r="B37" s="151"/>
      <c r="C37" s="151"/>
      <c r="D37" s="151"/>
      <c r="E37" s="151"/>
      <c r="F37" s="151"/>
      <c r="G37" s="151"/>
      <c r="H37" s="151"/>
      <c r="I37" s="151"/>
      <c r="J37" s="151"/>
      <c r="K37" s="151"/>
      <c r="L37" s="151"/>
      <c r="M37" s="151"/>
      <c r="N37" s="151"/>
      <c r="O37" s="151"/>
      <c r="P37" s="151"/>
      <c r="Q37" s="151"/>
      <c r="R37" s="151"/>
      <c r="S37" s="67"/>
      <c r="T37" s="67"/>
      <c r="U37" s="67"/>
      <c r="V37" s="67"/>
      <c r="W37" s="67"/>
      <c r="X37" s="67"/>
      <c r="Y37" s="67"/>
      <c r="Z37" s="67"/>
      <c r="AA37" s="67"/>
      <c r="AB37" s="67"/>
      <c r="AC37" s="67"/>
      <c r="AD37" s="67"/>
      <c r="AE37" s="67"/>
      <c r="AF37" s="67"/>
      <c r="AG37" s="67"/>
      <c r="AH37" s="67"/>
    </row>
    <row r="38">
      <c r="A38" s="148" t="s">
        <v>650</v>
      </c>
      <c r="B38" s="155" t="s">
        <v>661</v>
      </c>
      <c r="C38" s="156" t="s">
        <v>662</v>
      </c>
      <c r="D38" s="151"/>
      <c r="E38" s="150">
        <v>508.0</v>
      </c>
      <c r="F38" s="151"/>
      <c r="G38" s="150">
        <v>100.0</v>
      </c>
      <c r="H38" s="151"/>
      <c r="I38" s="151"/>
      <c r="J38" s="151"/>
      <c r="K38" s="148" t="s">
        <v>455</v>
      </c>
      <c r="L38" s="148" t="s">
        <v>464</v>
      </c>
      <c r="M38" s="151"/>
      <c r="N38" s="148" t="s">
        <v>663</v>
      </c>
      <c r="O38" s="150">
        <v>9.127035034E9</v>
      </c>
      <c r="P38" s="157" t="s">
        <v>664</v>
      </c>
      <c r="Q38" s="151"/>
      <c r="R38" s="158" t="s">
        <v>665</v>
      </c>
      <c r="S38" s="67"/>
      <c r="T38" s="67"/>
      <c r="U38" s="67"/>
      <c r="V38" s="67"/>
      <c r="W38" s="67"/>
      <c r="X38" s="67"/>
      <c r="Y38" s="67"/>
      <c r="Z38" s="67"/>
      <c r="AA38" s="67"/>
      <c r="AB38" s="67"/>
      <c r="AC38" s="67"/>
      <c r="AD38" s="67"/>
      <c r="AE38" s="67"/>
      <c r="AF38" s="67"/>
      <c r="AG38" s="67"/>
      <c r="AH38" s="67"/>
    </row>
    <row r="39">
      <c r="A39" s="148" t="s">
        <v>650</v>
      </c>
      <c r="B39" s="155" t="s">
        <v>666</v>
      </c>
      <c r="C39" s="156" t="s">
        <v>662</v>
      </c>
      <c r="D39" s="151"/>
      <c r="E39" s="150">
        <v>135.0</v>
      </c>
      <c r="F39" s="151"/>
      <c r="G39" s="150">
        <v>30.0</v>
      </c>
      <c r="H39" s="151"/>
      <c r="I39" s="151"/>
      <c r="J39" s="151"/>
      <c r="K39" s="148" t="s">
        <v>455</v>
      </c>
      <c r="L39" s="148" t="s">
        <v>464</v>
      </c>
      <c r="M39" s="151"/>
      <c r="N39" s="148" t="s">
        <v>663</v>
      </c>
      <c r="O39" s="150">
        <v>9.127035034E9</v>
      </c>
      <c r="P39" s="157" t="s">
        <v>664</v>
      </c>
      <c r="Q39" s="151"/>
      <c r="R39" s="159" t="s">
        <v>667</v>
      </c>
      <c r="S39" s="67"/>
      <c r="T39" s="67"/>
      <c r="U39" s="67"/>
      <c r="V39" s="67"/>
      <c r="W39" s="67"/>
      <c r="X39" s="67"/>
      <c r="Y39" s="67"/>
      <c r="Z39" s="67"/>
      <c r="AA39" s="67"/>
      <c r="AB39" s="67"/>
      <c r="AC39" s="67"/>
      <c r="AD39" s="67"/>
      <c r="AE39" s="67"/>
      <c r="AF39" s="67"/>
      <c r="AG39" s="67"/>
      <c r="AH39" s="67"/>
    </row>
    <row r="40">
      <c r="A40" s="148" t="s">
        <v>650</v>
      </c>
      <c r="B40" s="155" t="s">
        <v>668</v>
      </c>
      <c r="C40" s="156" t="s">
        <v>662</v>
      </c>
      <c r="D40" s="160"/>
      <c r="E40" s="161">
        <v>40.0</v>
      </c>
      <c r="F40" s="160"/>
      <c r="G40" s="161">
        <v>15.0</v>
      </c>
      <c r="H40" s="160"/>
      <c r="I40" s="160"/>
      <c r="J40" s="160"/>
      <c r="K40" s="162" t="s">
        <v>455</v>
      </c>
      <c r="L40" s="162" t="s">
        <v>464</v>
      </c>
      <c r="M40" s="160"/>
      <c r="N40" s="148" t="s">
        <v>663</v>
      </c>
      <c r="O40" s="150">
        <v>9.127035034E9</v>
      </c>
      <c r="P40" s="157" t="s">
        <v>664</v>
      </c>
      <c r="Q40" s="160"/>
      <c r="R40" s="158" t="s">
        <v>665</v>
      </c>
      <c r="S40" s="67"/>
      <c r="T40" s="67"/>
      <c r="U40" s="67"/>
      <c r="V40" s="67"/>
      <c r="W40" s="67"/>
      <c r="X40" s="67"/>
      <c r="Y40" s="67"/>
      <c r="Z40" s="67"/>
      <c r="AA40" s="67"/>
      <c r="AB40" s="67"/>
      <c r="AC40" s="67"/>
      <c r="AD40" s="67"/>
      <c r="AE40" s="67"/>
      <c r="AF40" s="67"/>
      <c r="AG40" s="67"/>
      <c r="AH40" s="67"/>
    </row>
    <row r="41">
      <c r="A41" s="148" t="s">
        <v>650</v>
      </c>
      <c r="B41" s="156" t="s">
        <v>669</v>
      </c>
      <c r="C41" s="156" t="s">
        <v>662</v>
      </c>
      <c r="D41" s="160"/>
      <c r="E41" s="161"/>
      <c r="F41" s="160"/>
      <c r="G41" s="161"/>
      <c r="H41" s="160"/>
      <c r="I41" s="160"/>
      <c r="J41" s="160"/>
      <c r="K41" s="162"/>
      <c r="L41" s="162"/>
      <c r="M41" s="160"/>
      <c r="N41" s="148"/>
      <c r="O41" s="150"/>
      <c r="P41" s="157" t="s">
        <v>664</v>
      </c>
      <c r="Q41" s="160"/>
      <c r="R41" s="163"/>
      <c r="S41" s="67"/>
      <c r="T41" s="67"/>
      <c r="U41" s="67"/>
      <c r="V41" s="67"/>
      <c r="W41" s="67"/>
      <c r="X41" s="67"/>
      <c r="Y41" s="67"/>
      <c r="Z41" s="67"/>
      <c r="AA41" s="67"/>
      <c r="AB41" s="67"/>
      <c r="AC41" s="67"/>
      <c r="AD41" s="67"/>
      <c r="AE41" s="67"/>
      <c r="AF41" s="67"/>
      <c r="AG41" s="67"/>
      <c r="AH41" s="67"/>
    </row>
    <row r="42">
      <c r="A42" s="148" t="s">
        <v>650</v>
      </c>
      <c r="B42" s="156" t="s">
        <v>670</v>
      </c>
      <c r="C42" s="156" t="s">
        <v>671</v>
      </c>
      <c r="D42" s="160"/>
      <c r="E42" s="161">
        <v>280.0</v>
      </c>
      <c r="F42" s="161">
        <v>15.0</v>
      </c>
      <c r="G42" s="161">
        <v>30.0</v>
      </c>
      <c r="H42" s="162" t="s">
        <v>672</v>
      </c>
      <c r="I42" s="160"/>
      <c r="J42" s="160"/>
      <c r="K42" s="162" t="s">
        <v>455</v>
      </c>
      <c r="L42" s="160"/>
      <c r="M42" s="160"/>
      <c r="N42" s="162" t="s">
        <v>673</v>
      </c>
      <c r="O42" s="161">
        <v>9.123760311E9</v>
      </c>
      <c r="P42" s="164"/>
      <c r="Q42" s="160"/>
      <c r="R42" s="158"/>
      <c r="S42" s="67"/>
      <c r="T42" s="67"/>
      <c r="U42" s="67"/>
      <c r="V42" s="67"/>
      <c r="W42" s="67"/>
      <c r="X42" s="67"/>
      <c r="Y42" s="67"/>
      <c r="Z42" s="67"/>
      <c r="AA42" s="67"/>
      <c r="AB42" s="67"/>
      <c r="AC42" s="67"/>
      <c r="AD42" s="67"/>
      <c r="AE42" s="67"/>
      <c r="AF42" s="67"/>
      <c r="AG42" s="67"/>
      <c r="AH42" s="67"/>
    </row>
    <row r="43">
      <c r="A43" s="148" t="s">
        <v>650</v>
      </c>
      <c r="B43" s="156" t="s">
        <v>674</v>
      </c>
      <c r="C43" s="156" t="s">
        <v>671</v>
      </c>
      <c r="D43" s="160"/>
      <c r="E43" s="161"/>
      <c r="F43" s="161"/>
      <c r="G43" s="161">
        <v>40.0</v>
      </c>
      <c r="H43" s="160"/>
      <c r="I43" s="160"/>
      <c r="J43" s="160"/>
      <c r="K43" s="160"/>
      <c r="L43" s="160"/>
      <c r="M43" s="160"/>
      <c r="N43" s="162" t="s">
        <v>673</v>
      </c>
      <c r="O43" s="161">
        <v>9.123760311E9</v>
      </c>
      <c r="P43" s="164"/>
      <c r="Q43" s="160"/>
      <c r="R43" s="159" t="s">
        <v>675</v>
      </c>
      <c r="S43" s="67"/>
      <c r="T43" s="67"/>
      <c r="U43" s="67"/>
      <c r="V43" s="67"/>
      <c r="W43" s="67"/>
      <c r="X43" s="67"/>
      <c r="Y43" s="67"/>
      <c r="Z43" s="67"/>
      <c r="AA43" s="67"/>
      <c r="AB43" s="67"/>
      <c r="AC43" s="67"/>
      <c r="AD43" s="67"/>
      <c r="AE43" s="67"/>
      <c r="AF43" s="67"/>
      <c r="AG43" s="67"/>
      <c r="AH43" s="67"/>
    </row>
    <row r="44">
      <c r="A44" s="148" t="s">
        <v>650</v>
      </c>
      <c r="B44" s="155" t="s">
        <v>676</v>
      </c>
      <c r="C44" s="155" t="s">
        <v>677</v>
      </c>
      <c r="D44" s="160"/>
      <c r="E44" s="160"/>
      <c r="F44" s="160"/>
      <c r="G44" s="160"/>
      <c r="H44" s="160"/>
      <c r="I44" s="160"/>
      <c r="J44" s="160"/>
      <c r="K44" s="160"/>
      <c r="L44" s="160"/>
      <c r="M44" s="160"/>
      <c r="N44" s="162" t="s">
        <v>678</v>
      </c>
      <c r="O44" s="161">
        <v>9.122278757E9</v>
      </c>
      <c r="P44" s="157" t="s">
        <v>679</v>
      </c>
      <c r="Q44" s="160"/>
      <c r="R44" s="158" t="s">
        <v>680</v>
      </c>
      <c r="S44" s="67"/>
      <c r="T44" s="67"/>
      <c r="U44" s="67"/>
      <c r="V44" s="67"/>
      <c r="W44" s="67"/>
      <c r="X44" s="67"/>
      <c r="Y44" s="67"/>
      <c r="Z44" s="67"/>
      <c r="AA44" s="67"/>
      <c r="AB44" s="67"/>
      <c r="AC44" s="67"/>
      <c r="AD44" s="67"/>
      <c r="AE44" s="67"/>
      <c r="AF44" s="67"/>
      <c r="AG44" s="67"/>
      <c r="AH44" s="67"/>
    </row>
    <row r="45">
      <c r="A45" s="148" t="s">
        <v>650</v>
      </c>
      <c r="B45" s="165" t="s">
        <v>681</v>
      </c>
      <c r="C45" s="166" t="s">
        <v>682</v>
      </c>
      <c r="D45" s="160"/>
      <c r="E45" s="160"/>
      <c r="F45" s="160"/>
      <c r="G45" s="160"/>
      <c r="H45" s="160"/>
      <c r="I45" s="160"/>
      <c r="J45" s="160"/>
      <c r="K45" s="160"/>
      <c r="L45" s="160"/>
      <c r="M45" s="160"/>
      <c r="N45" s="160"/>
      <c r="O45" s="160"/>
      <c r="P45" s="164"/>
      <c r="Q45" s="160"/>
      <c r="R45" s="167" t="s">
        <v>683</v>
      </c>
      <c r="S45" s="67"/>
      <c r="T45" s="67"/>
      <c r="U45" s="67"/>
      <c r="V45" s="67"/>
      <c r="W45" s="67"/>
      <c r="X45" s="67"/>
      <c r="Y45" s="67"/>
      <c r="Z45" s="67"/>
      <c r="AA45" s="67"/>
      <c r="AB45" s="67"/>
      <c r="AC45" s="67"/>
      <c r="AD45" s="67"/>
      <c r="AE45" s="67"/>
      <c r="AF45" s="67"/>
      <c r="AG45" s="67"/>
      <c r="AH45" s="67"/>
    </row>
    <row r="46">
      <c r="A46" s="148" t="s">
        <v>650</v>
      </c>
      <c r="B46" s="155" t="s">
        <v>684</v>
      </c>
      <c r="C46" s="155" t="s">
        <v>685</v>
      </c>
      <c r="D46" s="160"/>
      <c r="E46" s="160"/>
      <c r="F46" s="160"/>
      <c r="G46" s="160"/>
      <c r="H46" s="160"/>
      <c r="I46" s="160"/>
      <c r="J46" s="160"/>
      <c r="K46" s="160"/>
      <c r="L46" s="160"/>
      <c r="M46" s="160"/>
      <c r="N46" s="160"/>
      <c r="O46" s="160"/>
      <c r="P46" s="164"/>
      <c r="Q46" s="160"/>
      <c r="R46" s="165"/>
      <c r="S46" s="67"/>
      <c r="T46" s="67"/>
      <c r="U46" s="67"/>
      <c r="V46" s="67"/>
      <c r="W46" s="67"/>
      <c r="X46" s="67"/>
      <c r="Y46" s="67"/>
      <c r="Z46" s="67"/>
      <c r="AA46" s="67"/>
      <c r="AB46" s="67"/>
      <c r="AC46" s="67"/>
      <c r="AD46" s="67"/>
      <c r="AE46" s="67"/>
      <c r="AF46" s="67"/>
      <c r="AG46" s="67"/>
      <c r="AH46" s="67"/>
    </row>
    <row r="47">
      <c r="A47" s="148" t="s">
        <v>650</v>
      </c>
      <c r="B47" s="155" t="s">
        <v>686</v>
      </c>
      <c r="C47" s="155" t="s">
        <v>687</v>
      </c>
      <c r="D47" s="160"/>
      <c r="E47" s="160"/>
      <c r="F47" s="160"/>
      <c r="G47" s="160"/>
      <c r="H47" s="160"/>
      <c r="I47" s="160"/>
      <c r="J47" s="160"/>
      <c r="K47" s="160"/>
      <c r="L47" s="160"/>
      <c r="M47" s="160"/>
      <c r="N47" s="160"/>
      <c r="O47" s="160"/>
      <c r="P47" s="164"/>
      <c r="Q47" s="160"/>
      <c r="R47" s="168" t="s">
        <v>688</v>
      </c>
      <c r="S47" s="67"/>
      <c r="T47" s="67"/>
      <c r="U47" s="67"/>
      <c r="V47" s="67"/>
      <c r="W47" s="67"/>
      <c r="X47" s="67"/>
      <c r="Y47" s="67"/>
      <c r="Z47" s="67"/>
      <c r="AA47" s="67"/>
      <c r="AB47" s="67"/>
      <c r="AC47" s="67"/>
      <c r="AD47" s="67"/>
      <c r="AE47" s="67"/>
      <c r="AF47" s="67"/>
      <c r="AG47" s="67"/>
      <c r="AH47" s="67"/>
    </row>
    <row r="48">
      <c r="A48" s="148" t="s">
        <v>650</v>
      </c>
      <c r="B48" s="155" t="s">
        <v>689</v>
      </c>
      <c r="C48" s="155" t="s">
        <v>690</v>
      </c>
      <c r="D48" s="160"/>
      <c r="E48" s="160"/>
      <c r="F48" s="160"/>
      <c r="G48" s="160"/>
      <c r="H48" s="160"/>
      <c r="I48" s="160"/>
      <c r="J48" s="160"/>
      <c r="K48" s="160"/>
      <c r="L48" s="160"/>
      <c r="M48" s="160"/>
      <c r="N48" s="160"/>
      <c r="O48" s="160"/>
      <c r="P48" s="164"/>
      <c r="Q48" s="160"/>
      <c r="R48" s="169"/>
      <c r="S48" s="67"/>
      <c r="T48" s="67"/>
      <c r="U48" s="67"/>
      <c r="V48" s="67"/>
      <c r="W48" s="67"/>
      <c r="X48" s="67"/>
      <c r="Y48" s="67"/>
      <c r="Z48" s="67"/>
      <c r="AA48" s="67"/>
      <c r="AB48" s="67"/>
      <c r="AC48" s="67"/>
      <c r="AD48" s="67"/>
      <c r="AE48" s="67"/>
      <c r="AF48" s="67"/>
      <c r="AG48" s="67"/>
      <c r="AH48" s="67"/>
    </row>
    <row r="49">
      <c r="A49" s="148" t="s">
        <v>650</v>
      </c>
      <c r="B49" s="156" t="s">
        <v>691</v>
      </c>
      <c r="C49" s="156" t="s">
        <v>692</v>
      </c>
      <c r="D49" s="160"/>
      <c r="E49" s="161">
        <v>275.0</v>
      </c>
      <c r="F49" s="161">
        <v>45.0</v>
      </c>
      <c r="G49" s="161">
        <v>90.0</v>
      </c>
      <c r="H49" s="162" t="s">
        <v>672</v>
      </c>
      <c r="I49" s="160"/>
      <c r="J49" s="160"/>
      <c r="K49" s="162" t="s">
        <v>455</v>
      </c>
      <c r="L49" s="162" t="s">
        <v>455</v>
      </c>
      <c r="M49" s="160"/>
      <c r="N49" s="162" t="s">
        <v>693</v>
      </c>
      <c r="O49" s="161">
        <v>9.123867307E9</v>
      </c>
      <c r="P49" s="164"/>
      <c r="Q49" s="160"/>
      <c r="R49" s="168"/>
      <c r="S49" s="67"/>
      <c r="T49" s="67"/>
      <c r="U49" s="67"/>
      <c r="V49" s="67"/>
      <c r="W49" s="67"/>
      <c r="X49" s="67"/>
      <c r="Y49" s="67"/>
      <c r="Z49" s="67"/>
      <c r="AA49" s="67"/>
      <c r="AB49" s="67"/>
      <c r="AC49" s="67"/>
      <c r="AD49" s="67"/>
      <c r="AE49" s="67"/>
      <c r="AF49" s="67"/>
      <c r="AG49" s="67"/>
      <c r="AH49" s="67"/>
    </row>
    <row r="50">
      <c r="A50" s="148" t="s">
        <v>650</v>
      </c>
      <c r="B50" s="156" t="s">
        <v>694</v>
      </c>
      <c r="C50" s="156" t="s">
        <v>692</v>
      </c>
      <c r="D50" s="160"/>
      <c r="E50" s="161">
        <v>100.0</v>
      </c>
      <c r="F50" s="160"/>
      <c r="G50" s="160"/>
      <c r="H50" s="162" t="s">
        <v>672</v>
      </c>
      <c r="I50" s="160"/>
      <c r="J50" s="160"/>
      <c r="K50" s="162" t="s">
        <v>455</v>
      </c>
      <c r="L50" s="162" t="s">
        <v>455</v>
      </c>
      <c r="M50" s="160"/>
      <c r="N50" s="162" t="s">
        <v>693</v>
      </c>
      <c r="O50" s="161">
        <v>9.123867307E9</v>
      </c>
      <c r="P50" s="164"/>
      <c r="Q50" s="160"/>
      <c r="R50" s="168"/>
      <c r="S50" s="67"/>
      <c r="T50" s="67"/>
      <c r="U50" s="67"/>
      <c r="V50" s="67"/>
      <c r="W50" s="67"/>
      <c r="X50" s="67"/>
      <c r="Y50" s="67"/>
      <c r="Z50" s="67"/>
      <c r="AA50" s="67"/>
      <c r="AB50" s="67"/>
      <c r="AC50" s="67"/>
      <c r="AD50" s="67"/>
      <c r="AE50" s="67"/>
      <c r="AF50" s="67"/>
      <c r="AG50" s="67"/>
      <c r="AH50" s="67"/>
    </row>
    <row r="51">
      <c r="A51" s="148" t="s">
        <v>650</v>
      </c>
      <c r="B51" s="156" t="s">
        <v>695</v>
      </c>
      <c r="C51" s="156" t="s">
        <v>692</v>
      </c>
      <c r="D51" s="160"/>
      <c r="E51" s="161">
        <v>70.0</v>
      </c>
      <c r="F51" s="160"/>
      <c r="G51" s="160"/>
      <c r="H51" s="162" t="s">
        <v>672</v>
      </c>
      <c r="I51" s="160"/>
      <c r="J51" s="160"/>
      <c r="K51" s="162" t="s">
        <v>455</v>
      </c>
      <c r="L51" s="162" t="s">
        <v>455</v>
      </c>
      <c r="M51" s="160"/>
      <c r="N51" s="162" t="s">
        <v>693</v>
      </c>
      <c r="O51" s="161">
        <v>9.123867307E9</v>
      </c>
      <c r="P51" s="164"/>
      <c r="Q51" s="160"/>
      <c r="R51" s="168"/>
      <c r="S51" s="67"/>
      <c r="T51" s="67"/>
      <c r="U51" s="67"/>
      <c r="V51" s="67"/>
      <c r="W51" s="67"/>
      <c r="X51" s="67"/>
      <c r="Y51" s="67"/>
      <c r="Z51" s="67"/>
      <c r="AA51" s="67"/>
      <c r="AB51" s="67"/>
      <c r="AC51" s="67"/>
      <c r="AD51" s="67"/>
      <c r="AE51" s="67"/>
      <c r="AF51" s="67"/>
      <c r="AG51" s="67"/>
      <c r="AH51" s="67"/>
    </row>
    <row r="52">
      <c r="A52" s="148" t="s">
        <v>650</v>
      </c>
      <c r="B52" s="170"/>
      <c r="C52" s="162" t="s">
        <v>696</v>
      </c>
      <c r="D52" s="160"/>
      <c r="E52" s="161">
        <v>220.0</v>
      </c>
      <c r="F52" s="160"/>
      <c r="G52" s="160"/>
      <c r="H52" s="160"/>
      <c r="I52" s="160"/>
      <c r="J52" s="160"/>
      <c r="K52" s="160"/>
      <c r="L52" s="160"/>
      <c r="M52" s="160"/>
      <c r="N52" s="162" t="s">
        <v>697</v>
      </c>
      <c r="O52" s="161">
        <v>9.35587004E9</v>
      </c>
      <c r="P52" s="164"/>
      <c r="Q52" s="160"/>
      <c r="R52" s="160"/>
      <c r="S52" s="67"/>
      <c r="T52" s="67"/>
      <c r="U52" s="67"/>
      <c r="V52" s="67"/>
      <c r="W52" s="67"/>
      <c r="X52" s="67"/>
      <c r="Y52" s="67"/>
      <c r="Z52" s="67"/>
      <c r="AA52" s="67"/>
      <c r="AB52" s="67"/>
      <c r="AC52" s="67"/>
      <c r="AD52" s="67"/>
      <c r="AE52" s="67"/>
      <c r="AF52" s="67"/>
      <c r="AG52" s="67"/>
      <c r="AH52" s="67"/>
    </row>
    <row r="53">
      <c r="A53" s="162" t="s">
        <v>698</v>
      </c>
      <c r="B53" s="170" t="s">
        <v>699</v>
      </c>
      <c r="C53" s="162" t="s">
        <v>696</v>
      </c>
      <c r="D53" s="160"/>
      <c r="E53" s="161">
        <v>350.0</v>
      </c>
      <c r="F53" s="160"/>
      <c r="G53" s="160"/>
      <c r="H53" s="160"/>
      <c r="I53" s="160"/>
      <c r="J53" s="160"/>
      <c r="K53" s="160"/>
      <c r="L53" s="160"/>
      <c r="M53" s="160"/>
      <c r="N53" s="162" t="s">
        <v>697</v>
      </c>
      <c r="O53" s="161">
        <v>9.35587004E9</v>
      </c>
      <c r="P53" s="164"/>
      <c r="Q53" s="160"/>
      <c r="R53" s="168" t="s">
        <v>700</v>
      </c>
      <c r="S53" s="67"/>
      <c r="T53" s="67"/>
      <c r="U53" s="67"/>
      <c r="V53" s="67"/>
      <c r="W53" s="67"/>
      <c r="X53" s="67"/>
      <c r="Y53" s="67"/>
      <c r="Z53" s="67"/>
      <c r="AA53" s="67"/>
      <c r="AB53" s="67"/>
      <c r="AC53" s="67"/>
      <c r="AD53" s="67"/>
      <c r="AE53" s="67"/>
      <c r="AF53" s="67"/>
      <c r="AG53" s="67"/>
      <c r="AH53" s="67"/>
    </row>
    <row r="54">
      <c r="A54" s="162" t="s">
        <v>698</v>
      </c>
      <c r="B54" s="160"/>
      <c r="C54" s="162" t="s">
        <v>696</v>
      </c>
      <c r="D54" s="160"/>
      <c r="E54" s="161">
        <v>500.0</v>
      </c>
      <c r="F54" s="160"/>
      <c r="G54" s="160"/>
      <c r="H54" s="160"/>
      <c r="I54" s="160"/>
      <c r="J54" s="160"/>
      <c r="K54" s="160"/>
      <c r="L54" s="160"/>
      <c r="M54" s="160"/>
      <c r="N54" s="162" t="s">
        <v>697</v>
      </c>
      <c r="O54" s="161">
        <v>9.35587004E9</v>
      </c>
      <c r="P54" s="160"/>
      <c r="Q54" s="160"/>
      <c r="R54" s="160"/>
      <c r="S54" s="67"/>
      <c r="T54" s="67"/>
      <c r="U54" s="67"/>
      <c r="V54" s="67"/>
      <c r="W54" s="67"/>
      <c r="X54" s="67"/>
      <c r="Y54" s="67"/>
      <c r="Z54" s="67"/>
      <c r="AA54" s="67"/>
      <c r="AB54" s="67"/>
      <c r="AC54" s="67"/>
      <c r="AD54" s="67"/>
      <c r="AE54" s="67"/>
      <c r="AF54" s="67"/>
      <c r="AG54" s="67"/>
      <c r="AH54" s="67"/>
    </row>
    <row r="55">
      <c r="A55" s="161"/>
      <c r="B55" s="160"/>
      <c r="C55" s="160"/>
      <c r="D55" s="160"/>
      <c r="E55" s="160"/>
      <c r="F55" s="160"/>
      <c r="G55" s="160"/>
      <c r="H55" s="160"/>
      <c r="I55" s="160"/>
      <c r="J55" s="160"/>
      <c r="K55" s="160"/>
      <c r="L55" s="160"/>
      <c r="M55" s="160"/>
      <c r="N55" s="160"/>
      <c r="O55" s="160"/>
      <c r="P55" s="160"/>
      <c r="Q55" s="160"/>
      <c r="R55" s="160"/>
      <c r="S55" s="67"/>
      <c r="T55" s="67"/>
      <c r="U55" s="67"/>
      <c r="V55" s="67"/>
      <c r="W55" s="67"/>
      <c r="X55" s="67"/>
      <c r="Y55" s="67"/>
      <c r="Z55" s="67"/>
      <c r="AA55" s="67"/>
      <c r="AB55" s="67"/>
      <c r="AC55" s="67"/>
      <c r="AD55" s="67"/>
      <c r="AE55" s="67"/>
      <c r="AF55" s="67"/>
      <c r="AG55" s="67"/>
      <c r="AH55" s="67"/>
    </row>
    <row r="56">
      <c r="A56" s="161"/>
      <c r="B56" s="160"/>
      <c r="C56" s="160"/>
      <c r="D56" s="160"/>
      <c r="E56" s="160"/>
      <c r="F56" s="160"/>
      <c r="G56" s="160"/>
      <c r="H56" s="160"/>
      <c r="I56" s="160"/>
      <c r="J56" s="160"/>
      <c r="K56" s="160"/>
      <c r="L56" s="160"/>
      <c r="M56" s="160"/>
      <c r="N56" s="160"/>
      <c r="O56" s="160"/>
      <c r="P56" s="160"/>
      <c r="Q56" s="160"/>
      <c r="R56" s="160"/>
      <c r="S56" s="67"/>
      <c r="T56" s="67"/>
      <c r="U56" s="67"/>
      <c r="V56" s="67"/>
      <c r="W56" s="67"/>
      <c r="X56" s="67"/>
      <c r="Y56" s="67"/>
      <c r="Z56" s="67"/>
      <c r="AA56" s="67"/>
      <c r="AB56" s="67"/>
      <c r="AC56" s="67"/>
      <c r="AD56" s="67"/>
      <c r="AE56" s="67"/>
      <c r="AF56" s="67"/>
      <c r="AG56" s="67"/>
      <c r="AH56" s="67"/>
    </row>
    <row r="57">
      <c r="A57" s="161"/>
      <c r="B57" s="160"/>
      <c r="C57" s="160"/>
      <c r="D57" s="160"/>
      <c r="E57" s="160"/>
      <c r="F57" s="160"/>
      <c r="G57" s="160"/>
      <c r="H57" s="160"/>
      <c r="I57" s="160"/>
      <c r="J57" s="160"/>
      <c r="K57" s="160"/>
      <c r="L57" s="160"/>
      <c r="M57" s="160"/>
      <c r="N57" s="160"/>
      <c r="O57" s="160"/>
      <c r="P57" s="160"/>
      <c r="Q57" s="160"/>
      <c r="R57" s="160"/>
      <c r="S57" s="67"/>
      <c r="T57" s="67"/>
      <c r="U57" s="67"/>
      <c r="V57" s="67"/>
      <c r="W57" s="67"/>
      <c r="X57" s="67"/>
      <c r="Y57" s="67"/>
      <c r="Z57" s="67"/>
      <c r="AA57" s="67"/>
      <c r="AB57" s="67"/>
      <c r="AC57" s="67"/>
      <c r="AD57" s="67"/>
      <c r="AE57" s="67"/>
      <c r="AF57" s="67"/>
      <c r="AG57" s="67"/>
      <c r="AH57" s="67"/>
    </row>
    <row r="58">
      <c r="A58" s="161"/>
      <c r="B58" s="160"/>
      <c r="C58" s="160"/>
      <c r="D58" s="160"/>
      <c r="E58" s="160"/>
      <c r="F58" s="160"/>
      <c r="G58" s="160"/>
      <c r="H58" s="160"/>
      <c r="I58" s="160"/>
      <c r="J58" s="160"/>
      <c r="K58" s="160"/>
      <c r="L58" s="160"/>
      <c r="M58" s="160"/>
      <c r="N58" s="160"/>
      <c r="O58" s="160"/>
      <c r="P58" s="160"/>
      <c r="Q58" s="160"/>
      <c r="R58" s="160"/>
      <c r="S58" s="67"/>
      <c r="T58" s="67"/>
      <c r="U58" s="67"/>
      <c r="V58" s="67"/>
      <c r="W58" s="67"/>
      <c r="X58" s="67"/>
      <c r="Y58" s="67"/>
      <c r="Z58" s="67"/>
      <c r="AA58" s="67"/>
      <c r="AB58" s="67"/>
      <c r="AC58" s="67"/>
      <c r="AD58" s="67"/>
      <c r="AE58" s="67"/>
      <c r="AF58" s="67"/>
      <c r="AG58" s="67"/>
      <c r="AH58" s="67"/>
    </row>
    <row r="59">
      <c r="A59" s="161"/>
      <c r="B59" s="160"/>
      <c r="C59" s="160"/>
      <c r="D59" s="160"/>
      <c r="E59" s="160"/>
      <c r="F59" s="160"/>
      <c r="G59" s="160"/>
      <c r="H59" s="160"/>
      <c r="I59" s="160"/>
      <c r="J59" s="160"/>
      <c r="K59" s="160"/>
      <c r="L59" s="160"/>
      <c r="M59" s="160"/>
      <c r="N59" s="160"/>
      <c r="O59" s="160"/>
      <c r="P59" s="160"/>
      <c r="Q59" s="160"/>
      <c r="R59" s="160"/>
      <c r="S59" s="67"/>
      <c r="T59" s="67"/>
      <c r="U59" s="67"/>
      <c r="V59" s="67"/>
      <c r="W59" s="67"/>
      <c r="X59" s="67"/>
      <c r="Y59" s="67"/>
      <c r="Z59" s="67"/>
      <c r="AA59" s="67"/>
      <c r="AB59" s="67"/>
      <c r="AC59" s="67"/>
      <c r="AD59" s="67"/>
      <c r="AE59" s="67"/>
      <c r="AF59" s="67"/>
      <c r="AG59" s="67"/>
      <c r="AH59" s="67"/>
    </row>
    <row r="60">
      <c r="A60" s="161"/>
      <c r="B60" s="160"/>
      <c r="C60" s="160"/>
      <c r="D60" s="160"/>
      <c r="E60" s="160"/>
      <c r="F60" s="160"/>
      <c r="G60" s="160"/>
      <c r="H60" s="160"/>
      <c r="I60" s="160"/>
      <c r="J60" s="160"/>
      <c r="K60" s="160"/>
      <c r="L60" s="160"/>
      <c r="M60" s="160"/>
      <c r="N60" s="160"/>
      <c r="O60" s="160"/>
      <c r="P60" s="160"/>
      <c r="Q60" s="160"/>
      <c r="R60" s="160"/>
      <c r="S60" s="67"/>
      <c r="T60" s="67"/>
      <c r="U60" s="67"/>
      <c r="V60" s="67"/>
      <c r="W60" s="67"/>
      <c r="X60" s="67"/>
      <c r="Y60" s="67"/>
      <c r="Z60" s="67"/>
      <c r="AA60" s="67"/>
      <c r="AB60" s="67"/>
      <c r="AC60" s="67"/>
      <c r="AD60" s="67"/>
      <c r="AE60" s="67"/>
      <c r="AF60" s="67"/>
      <c r="AG60" s="67"/>
      <c r="AH60" s="67"/>
    </row>
    <row r="61">
      <c r="A61" s="161"/>
      <c r="B61" s="160"/>
      <c r="C61" s="160"/>
      <c r="D61" s="160"/>
      <c r="E61" s="160"/>
      <c r="F61" s="160"/>
      <c r="G61" s="160"/>
      <c r="H61" s="160"/>
      <c r="I61" s="160"/>
      <c r="J61" s="160"/>
      <c r="K61" s="160"/>
      <c r="L61" s="160"/>
      <c r="M61" s="160"/>
      <c r="N61" s="160"/>
      <c r="O61" s="160"/>
      <c r="P61" s="160"/>
      <c r="Q61" s="160"/>
      <c r="R61" s="160"/>
      <c r="S61" s="67"/>
      <c r="T61" s="67"/>
      <c r="U61" s="67"/>
      <c r="V61" s="67"/>
      <c r="W61" s="67"/>
      <c r="X61" s="67"/>
      <c r="Y61" s="67"/>
      <c r="Z61" s="67"/>
      <c r="AA61" s="67"/>
      <c r="AB61" s="67"/>
      <c r="AC61" s="67"/>
      <c r="AD61" s="67"/>
      <c r="AE61" s="67"/>
      <c r="AF61" s="67"/>
      <c r="AG61" s="67"/>
      <c r="AH61" s="67"/>
    </row>
    <row r="62">
      <c r="A62" s="161"/>
      <c r="B62" s="160"/>
      <c r="C62" s="160"/>
      <c r="D62" s="160"/>
      <c r="E62" s="160"/>
      <c r="F62" s="160"/>
      <c r="G62" s="160"/>
      <c r="H62" s="160"/>
      <c r="I62" s="160"/>
      <c r="J62" s="160"/>
      <c r="K62" s="160"/>
      <c r="L62" s="160"/>
      <c r="M62" s="160"/>
      <c r="N62" s="160"/>
      <c r="O62" s="160"/>
      <c r="P62" s="160"/>
      <c r="Q62" s="160"/>
      <c r="R62" s="160"/>
      <c r="S62" s="67"/>
      <c r="T62" s="67"/>
      <c r="U62" s="67"/>
      <c r="V62" s="67"/>
      <c r="W62" s="67"/>
      <c r="X62" s="67"/>
      <c r="Y62" s="67"/>
      <c r="Z62" s="67"/>
      <c r="AA62" s="67"/>
      <c r="AB62" s="67"/>
      <c r="AC62" s="67"/>
      <c r="AD62" s="67"/>
      <c r="AE62" s="67"/>
      <c r="AF62" s="67"/>
      <c r="AG62" s="67"/>
      <c r="AH62" s="67"/>
    </row>
    <row r="63">
      <c r="A63" s="161"/>
      <c r="B63" s="160"/>
      <c r="C63" s="160"/>
      <c r="D63" s="160"/>
      <c r="E63" s="160"/>
      <c r="F63" s="160"/>
      <c r="G63" s="160"/>
      <c r="H63" s="160"/>
      <c r="I63" s="160"/>
      <c r="J63" s="160"/>
      <c r="K63" s="160"/>
      <c r="L63" s="160"/>
      <c r="M63" s="160"/>
      <c r="N63" s="160"/>
      <c r="O63" s="160"/>
      <c r="P63" s="160"/>
      <c r="Q63" s="160"/>
      <c r="R63" s="160"/>
      <c r="S63" s="67"/>
      <c r="T63" s="67"/>
      <c r="U63" s="67"/>
      <c r="V63" s="67"/>
      <c r="W63" s="67"/>
      <c r="X63" s="67"/>
      <c r="Y63" s="67"/>
      <c r="Z63" s="67"/>
      <c r="AA63" s="67"/>
      <c r="AB63" s="67"/>
      <c r="AC63" s="67"/>
      <c r="AD63" s="67"/>
      <c r="AE63" s="67"/>
      <c r="AF63" s="67"/>
      <c r="AG63" s="67"/>
      <c r="AH63" s="67"/>
    </row>
    <row r="64">
      <c r="A64" s="161"/>
      <c r="B64" s="160"/>
      <c r="C64" s="160"/>
      <c r="D64" s="160"/>
      <c r="E64" s="160"/>
      <c r="F64" s="160"/>
      <c r="G64" s="160"/>
      <c r="H64" s="160"/>
      <c r="I64" s="160"/>
      <c r="J64" s="160"/>
      <c r="K64" s="160"/>
      <c r="L64" s="160"/>
      <c r="M64" s="160"/>
      <c r="N64" s="160"/>
      <c r="O64" s="160"/>
      <c r="P64" s="160"/>
      <c r="Q64" s="160"/>
      <c r="R64" s="160"/>
      <c r="S64" s="67"/>
      <c r="T64" s="67"/>
      <c r="U64" s="67"/>
      <c r="V64" s="67"/>
      <c r="W64" s="67"/>
      <c r="X64" s="67"/>
      <c r="Y64" s="67"/>
      <c r="Z64" s="67"/>
      <c r="AA64" s="67"/>
      <c r="AB64" s="67"/>
      <c r="AC64" s="67"/>
      <c r="AD64" s="67"/>
      <c r="AE64" s="67"/>
      <c r="AF64" s="67"/>
      <c r="AG64" s="67"/>
      <c r="AH64" s="67"/>
    </row>
    <row r="65">
      <c r="A65" s="161"/>
      <c r="B65" s="160"/>
      <c r="C65" s="160"/>
      <c r="D65" s="160"/>
      <c r="E65" s="160"/>
      <c r="F65" s="160"/>
      <c r="G65" s="160"/>
      <c r="H65" s="160"/>
      <c r="I65" s="160"/>
      <c r="J65" s="160"/>
      <c r="K65" s="160"/>
      <c r="L65" s="160"/>
      <c r="M65" s="160"/>
      <c r="N65" s="160"/>
      <c r="O65" s="160"/>
      <c r="P65" s="160"/>
      <c r="Q65" s="160"/>
      <c r="R65" s="160"/>
      <c r="S65" s="67"/>
      <c r="T65" s="67"/>
      <c r="U65" s="67"/>
      <c r="V65" s="67"/>
      <c r="W65" s="67"/>
      <c r="X65" s="67"/>
      <c r="Y65" s="67"/>
      <c r="Z65" s="67"/>
      <c r="AA65" s="67"/>
      <c r="AB65" s="67"/>
      <c r="AC65" s="67"/>
      <c r="AD65" s="67"/>
      <c r="AE65" s="67"/>
      <c r="AF65" s="67"/>
      <c r="AG65" s="67"/>
      <c r="AH65" s="67"/>
    </row>
    <row r="66">
      <c r="A66" s="161"/>
      <c r="B66" s="160"/>
      <c r="C66" s="160"/>
      <c r="D66" s="160"/>
      <c r="E66" s="160"/>
      <c r="F66" s="160"/>
      <c r="G66" s="160"/>
      <c r="H66" s="160"/>
      <c r="I66" s="160"/>
      <c r="J66" s="160"/>
      <c r="K66" s="160"/>
      <c r="L66" s="160"/>
      <c r="M66" s="160"/>
      <c r="N66" s="160"/>
      <c r="O66" s="160"/>
      <c r="P66" s="160"/>
      <c r="Q66" s="160"/>
      <c r="R66" s="160"/>
      <c r="S66" s="67"/>
      <c r="T66" s="67"/>
      <c r="U66" s="67"/>
      <c r="V66" s="67"/>
      <c r="W66" s="67"/>
      <c r="X66" s="67"/>
      <c r="Y66" s="67"/>
      <c r="Z66" s="67"/>
      <c r="AA66" s="67"/>
      <c r="AB66" s="67"/>
      <c r="AC66" s="67"/>
      <c r="AD66" s="67"/>
      <c r="AE66" s="67"/>
      <c r="AF66" s="67"/>
      <c r="AG66" s="67"/>
      <c r="AH66" s="67"/>
    </row>
    <row r="67">
      <c r="A67" s="161"/>
      <c r="B67" s="160"/>
      <c r="C67" s="160"/>
      <c r="D67" s="160"/>
      <c r="E67" s="160"/>
      <c r="F67" s="160"/>
      <c r="G67" s="160"/>
      <c r="H67" s="160"/>
      <c r="I67" s="160"/>
      <c r="J67" s="160"/>
      <c r="K67" s="160"/>
      <c r="L67" s="160"/>
      <c r="M67" s="160"/>
      <c r="N67" s="160"/>
      <c r="O67" s="160"/>
      <c r="P67" s="160"/>
      <c r="Q67" s="160"/>
      <c r="R67" s="160"/>
      <c r="S67" s="67"/>
      <c r="T67" s="67"/>
      <c r="U67" s="67"/>
      <c r="V67" s="67"/>
      <c r="W67" s="67"/>
      <c r="X67" s="67"/>
      <c r="Y67" s="67"/>
      <c r="Z67" s="67"/>
      <c r="AA67" s="67"/>
      <c r="AB67" s="67"/>
      <c r="AC67" s="67"/>
      <c r="AD67" s="67"/>
      <c r="AE67" s="67"/>
      <c r="AF67" s="67"/>
      <c r="AG67" s="67"/>
      <c r="AH67" s="67"/>
    </row>
    <row r="68">
      <c r="A68" s="171"/>
      <c r="B68" s="172"/>
      <c r="C68" s="172"/>
      <c r="D68" s="172"/>
      <c r="E68" s="172"/>
      <c r="F68" s="172"/>
      <c r="G68" s="172"/>
      <c r="H68" s="172"/>
      <c r="I68" s="172"/>
      <c r="J68" s="172"/>
      <c r="K68" s="172"/>
      <c r="L68" s="172"/>
      <c r="M68" s="172"/>
      <c r="N68" s="172"/>
      <c r="O68" s="172"/>
      <c r="P68" s="172"/>
      <c r="Q68" s="172"/>
      <c r="R68" s="173"/>
      <c r="S68" s="67"/>
      <c r="T68" s="67"/>
      <c r="U68" s="67"/>
      <c r="V68" s="67"/>
      <c r="W68" s="67"/>
      <c r="X68" s="67"/>
      <c r="Y68" s="67"/>
      <c r="Z68" s="67"/>
      <c r="AA68" s="67"/>
      <c r="AB68" s="67"/>
      <c r="AC68" s="67"/>
      <c r="AD68" s="67"/>
      <c r="AE68" s="67"/>
      <c r="AF68" s="67"/>
      <c r="AG68" s="67"/>
      <c r="AH68" s="67"/>
    </row>
    <row r="69">
      <c r="A69" s="174"/>
      <c r="B69" s="175"/>
      <c r="C69" s="175"/>
      <c r="D69" s="175"/>
      <c r="E69" s="175"/>
      <c r="F69" s="175"/>
      <c r="G69" s="175"/>
      <c r="H69" s="175"/>
      <c r="I69" s="175"/>
      <c r="J69" s="175"/>
      <c r="K69" s="175"/>
      <c r="L69" s="175"/>
      <c r="M69" s="175"/>
      <c r="N69" s="175"/>
      <c r="O69" s="175"/>
      <c r="P69" s="175"/>
      <c r="Q69" s="175"/>
      <c r="R69" s="176"/>
      <c r="S69" s="67"/>
      <c r="T69" s="67"/>
      <c r="U69" s="67"/>
      <c r="V69" s="67"/>
      <c r="W69" s="67"/>
      <c r="X69" s="67"/>
      <c r="Y69" s="67"/>
      <c r="Z69" s="67"/>
      <c r="AA69" s="67"/>
      <c r="AB69" s="67"/>
      <c r="AC69" s="67"/>
      <c r="AD69" s="67"/>
      <c r="AE69" s="67"/>
      <c r="AF69" s="67"/>
      <c r="AG69" s="67"/>
      <c r="AH69" s="67"/>
    </row>
    <row r="70">
      <c r="A70" s="171"/>
      <c r="B70" s="172"/>
      <c r="C70" s="172"/>
      <c r="D70" s="172"/>
      <c r="E70" s="172"/>
      <c r="F70" s="172"/>
      <c r="G70" s="172"/>
      <c r="H70" s="172"/>
      <c r="I70" s="172"/>
      <c r="J70" s="172"/>
      <c r="K70" s="172"/>
      <c r="L70" s="172"/>
      <c r="M70" s="172"/>
      <c r="N70" s="172"/>
      <c r="O70" s="172"/>
      <c r="P70" s="172"/>
      <c r="Q70" s="172"/>
      <c r="R70" s="173"/>
      <c r="S70" s="67"/>
      <c r="T70" s="67"/>
      <c r="U70" s="67"/>
      <c r="V70" s="67"/>
      <c r="W70" s="67"/>
      <c r="X70" s="67"/>
      <c r="Y70" s="67"/>
      <c r="Z70" s="67"/>
      <c r="AA70" s="67"/>
      <c r="AB70" s="67"/>
      <c r="AC70" s="67"/>
      <c r="AD70" s="67"/>
      <c r="AE70" s="67"/>
      <c r="AF70" s="67"/>
      <c r="AG70" s="67"/>
      <c r="AH70" s="67"/>
    </row>
    <row r="71">
      <c r="A71" s="174"/>
      <c r="B71" s="175"/>
      <c r="C71" s="175"/>
      <c r="D71" s="175"/>
      <c r="E71" s="175"/>
      <c r="F71" s="175"/>
      <c r="G71" s="175"/>
      <c r="H71" s="175"/>
      <c r="I71" s="175"/>
      <c r="J71" s="175"/>
      <c r="K71" s="175"/>
      <c r="L71" s="175"/>
      <c r="M71" s="175"/>
      <c r="N71" s="175"/>
      <c r="O71" s="175"/>
      <c r="P71" s="175"/>
      <c r="Q71" s="175"/>
      <c r="R71" s="176"/>
      <c r="S71" s="67"/>
      <c r="T71" s="67"/>
      <c r="U71" s="67"/>
      <c r="V71" s="67"/>
      <c r="W71" s="67"/>
      <c r="X71" s="67"/>
      <c r="Y71" s="67"/>
      <c r="Z71" s="67"/>
      <c r="AA71" s="67"/>
      <c r="AB71" s="67"/>
      <c r="AC71" s="67"/>
      <c r="AD71" s="67"/>
      <c r="AE71" s="67"/>
      <c r="AF71" s="67"/>
      <c r="AG71" s="67"/>
      <c r="AH71" s="67"/>
    </row>
    <row r="72">
      <c r="A72" s="171"/>
      <c r="B72" s="172"/>
      <c r="C72" s="172"/>
      <c r="D72" s="172"/>
      <c r="E72" s="172"/>
      <c r="F72" s="172"/>
      <c r="G72" s="172"/>
      <c r="H72" s="172"/>
      <c r="I72" s="172"/>
      <c r="J72" s="172"/>
      <c r="K72" s="172"/>
      <c r="L72" s="172"/>
      <c r="M72" s="172"/>
      <c r="N72" s="172"/>
      <c r="O72" s="172"/>
      <c r="P72" s="172"/>
      <c r="Q72" s="172"/>
      <c r="R72" s="173"/>
      <c r="S72" s="67"/>
      <c r="T72" s="67"/>
      <c r="U72" s="67"/>
      <c r="V72" s="67"/>
      <c r="W72" s="67"/>
      <c r="X72" s="67"/>
      <c r="Y72" s="67"/>
      <c r="Z72" s="67"/>
      <c r="AA72" s="67"/>
      <c r="AB72" s="67"/>
      <c r="AC72" s="67"/>
      <c r="AD72" s="67"/>
      <c r="AE72" s="67"/>
      <c r="AF72" s="67"/>
      <c r="AG72" s="67"/>
      <c r="AH72" s="67"/>
    </row>
    <row r="73">
      <c r="A73" s="174"/>
      <c r="B73" s="175"/>
      <c r="C73" s="175"/>
      <c r="D73" s="175"/>
      <c r="E73" s="175"/>
      <c r="F73" s="175"/>
      <c r="G73" s="175"/>
      <c r="H73" s="175"/>
      <c r="I73" s="175"/>
      <c r="J73" s="175"/>
      <c r="K73" s="175"/>
      <c r="L73" s="175"/>
      <c r="M73" s="175"/>
      <c r="N73" s="175"/>
      <c r="O73" s="175"/>
      <c r="P73" s="175"/>
      <c r="Q73" s="175"/>
      <c r="R73" s="176"/>
      <c r="S73" s="67"/>
      <c r="T73" s="67"/>
      <c r="U73" s="67"/>
      <c r="V73" s="67"/>
      <c r="W73" s="67"/>
      <c r="X73" s="67"/>
      <c r="Y73" s="67"/>
      <c r="Z73" s="67"/>
      <c r="AA73" s="67"/>
      <c r="AB73" s="67"/>
      <c r="AC73" s="67"/>
      <c r="AD73" s="67"/>
      <c r="AE73" s="67"/>
      <c r="AF73" s="67"/>
      <c r="AG73" s="67"/>
      <c r="AH73" s="67"/>
    </row>
    <row r="74">
      <c r="A74" s="171"/>
      <c r="B74" s="172"/>
      <c r="C74" s="172"/>
      <c r="D74" s="172"/>
      <c r="E74" s="172"/>
      <c r="F74" s="172"/>
      <c r="G74" s="172"/>
      <c r="H74" s="172"/>
      <c r="I74" s="172"/>
      <c r="J74" s="172"/>
      <c r="K74" s="172"/>
      <c r="L74" s="172"/>
      <c r="M74" s="172"/>
      <c r="N74" s="172"/>
      <c r="O74" s="172"/>
      <c r="P74" s="172"/>
      <c r="Q74" s="172"/>
      <c r="R74" s="173"/>
      <c r="S74" s="67"/>
      <c r="T74" s="67"/>
      <c r="U74" s="67"/>
      <c r="V74" s="67"/>
      <c r="W74" s="67"/>
      <c r="X74" s="67"/>
      <c r="Y74" s="67"/>
      <c r="Z74" s="67"/>
      <c r="AA74" s="67"/>
      <c r="AB74" s="67"/>
      <c r="AC74" s="67"/>
      <c r="AD74" s="67"/>
      <c r="AE74" s="67"/>
      <c r="AF74" s="67"/>
      <c r="AG74" s="67"/>
      <c r="AH74" s="67"/>
    </row>
    <row r="75">
      <c r="A75" s="174"/>
      <c r="B75" s="175"/>
      <c r="C75" s="175"/>
      <c r="D75" s="175"/>
      <c r="E75" s="175"/>
      <c r="F75" s="175"/>
      <c r="G75" s="175"/>
      <c r="H75" s="175"/>
      <c r="I75" s="175"/>
      <c r="J75" s="175"/>
      <c r="K75" s="175"/>
      <c r="L75" s="175"/>
      <c r="M75" s="175"/>
      <c r="N75" s="175"/>
      <c r="O75" s="175"/>
      <c r="P75" s="175"/>
      <c r="Q75" s="175"/>
      <c r="R75" s="176"/>
      <c r="S75" s="67"/>
      <c r="T75" s="67"/>
      <c r="U75" s="67"/>
      <c r="V75" s="67"/>
      <c r="W75" s="67"/>
      <c r="X75" s="67"/>
      <c r="Y75" s="67"/>
      <c r="Z75" s="67"/>
      <c r="AA75" s="67"/>
      <c r="AB75" s="67"/>
      <c r="AC75" s="67"/>
      <c r="AD75" s="67"/>
      <c r="AE75" s="67"/>
      <c r="AF75" s="67"/>
      <c r="AG75" s="67"/>
      <c r="AH75" s="67"/>
    </row>
    <row r="76">
      <c r="A76" s="171"/>
      <c r="B76" s="172"/>
      <c r="C76" s="172"/>
      <c r="D76" s="172"/>
      <c r="E76" s="172"/>
      <c r="F76" s="172"/>
      <c r="G76" s="172"/>
      <c r="H76" s="172"/>
      <c r="I76" s="172"/>
      <c r="J76" s="172"/>
      <c r="K76" s="172"/>
      <c r="L76" s="172"/>
      <c r="M76" s="172"/>
      <c r="N76" s="172"/>
      <c r="O76" s="172"/>
      <c r="P76" s="172"/>
      <c r="Q76" s="172"/>
      <c r="R76" s="173"/>
      <c r="S76" s="67"/>
      <c r="T76" s="67"/>
      <c r="U76" s="67"/>
      <c r="V76" s="67"/>
      <c r="W76" s="67"/>
      <c r="X76" s="67"/>
      <c r="Y76" s="67"/>
      <c r="Z76" s="67"/>
      <c r="AA76" s="67"/>
      <c r="AB76" s="67"/>
      <c r="AC76" s="67"/>
      <c r="AD76" s="67"/>
      <c r="AE76" s="67"/>
      <c r="AF76" s="67"/>
      <c r="AG76" s="67"/>
      <c r="AH76" s="67"/>
    </row>
    <row r="77">
      <c r="A77" s="174"/>
      <c r="B77" s="175"/>
      <c r="C77" s="175"/>
      <c r="D77" s="175"/>
      <c r="E77" s="175"/>
      <c r="F77" s="175"/>
      <c r="G77" s="175"/>
      <c r="H77" s="175"/>
      <c r="I77" s="175"/>
      <c r="J77" s="175"/>
      <c r="K77" s="175"/>
      <c r="L77" s="175"/>
      <c r="M77" s="175"/>
      <c r="N77" s="175"/>
      <c r="O77" s="175"/>
      <c r="P77" s="175"/>
      <c r="Q77" s="175"/>
      <c r="R77" s="176"/>
      <c r="S77" s="67"/>
      <c r="T77" s="67"/>
      <c r="U77" s="67"/>
      <c r="V77" s="67"/>
      <c r="W77" s="67"/>
      <c r="X77" s="67"/>
      <c r="Y77" s="67"/>
      <c r="Z77" s="67"/>
      <c r="AA77" s="67"/>
      <c r="AB77" s="67"/>
      <c r="AC77" s="67"/>
      <c r="AD77" s="67"/>
      <c r="AE77" s="67"/>
      <c r="AF77" s="67"/>
      <c r="AG77" s="67"/>
      <c r="AH77" s="67"/>
    </row>
    <row r="78">
      <c r="A78" s="171"/>
      <c r="B78" s="172"/>
      <c r="C78" s="172"/>
      <c r="D78" s="172"/>
      <c r="E78" s="172"/>
      <c r="F78" s="172"/>
      <c r="G78" s="172"/>
      <c r="H78" s="172"/>
      <c r="I78" s="172"/>
      <c r="J78" s="172"/>
      <c r="K78" s="172"/>
      <c r="L78" s="172"/>
      <c r="M78" s="172"/>
      <c r="N78" s="172"/>
      <c r="O78" s="172"/>
      <c r="P78" s="172"/>
      <c r="Q78" s="172"/>
      <c r="R78" s="173"/>
      <c r="S78" s="67"/>
      <c r="T78" s="67"/>
      <c r="U78" s="67"/>
      <c r="V78" s="67"/>
      <c r="W78" s="67"/>
      <c r="X78" s="67"/>
      <c r="Y78" s="67"/>
      <c r="Z78" s="67"/>
      <c r="AA78" s="67"/>
      <c r="AB78" s="67"/>
      <c r="AC78" s="67"/>
      <c r="AD78" s="67"/>
      <c r="AE78" s="67"/>
      <c r="AF78" s="67"/>
      <c r="AG78" s="67"/>
      <c r="AH78" s="67"/>
    </row>
    <row r="79">
      <c r="A79" s="174"/>
      <c r="B79" s="175"/>
      <c r="C79" s="175"/>
      <c r="D79" s="175"/>
      <c r="E79" s="175"/>
      <c r="F79" s="175"/>
      <c r="G79" s="175"/>
      <c r="H79" s="175"/>
      <c r="I79" s="175"/>
      <c r="J79" s="175"/>
      <c r="K79" s="175"/>
      <c r="L79" s="175"/>
      <c r="M79" s="175"/>
      <c r="N79" s="175"/>
      <c r="O79" s="175"/>
      <c r="P79" s="175"/>
      <c r="Q79" s="175"/>
      <c r="R79" s="176"/>
      <c r="S79" s="67"/>
      <c r="T79" s="67"/>
      <c r="U79" s="67"/>
      <c r="V79" s="67"/>
      <c r="W79" s="67"/>
      <c r="X79" s="67"/>
      <c r="Y79" s="67"/>
      <c r="Z79" s="67"/>
      <c r="AA79" s="67"/>
      <c r="AB79" s="67"/>
      <c r="AC79" s="67"/>
      <c r="AD79" s="67"/>
      <c r="AE79" s="67"/>
      <c r="AF79" s="67"/>
      <c r="AG79" s="67"/>
      <c r="AH79" s="67"/>
    </row>
    <row r="80">
      <c r="A80" s="171"/>
      <c r="B80" s="172"/>
      <c r="C80" s="172"/>
      <c r="D80" s="172"/>
      <c r="E80" s="172"/>
      <c r="F80" s="172"/>
      <c r="G80" s="172"/>
      <c r="H80" s="172"/>
      <c r="I80" s="172"/>
      <c r="J80" s="172"/>
      <c r="K80" s="172"/>
      <c r="L80" s="172"/>
      <c r="M80" s="172"/>
      <c r="N80" s="172"/>
      <c r="O80" s="172"/>
      <c r="P80" s="172"/>
      <c r="Q80" s="172"/>
      <c r="R80" s="173"/>
      <c r="S80" s="67"/>
      <c r="T80" s="67"/>
      <c r="U80" s="67"/>
      <c r="V80" s="67"/>
      <c r="W80" s="67"/>
      <c r="X80" s="67"/>
      <c r="Y80" s="67"/>
      <c r="Z80" s="67"/>
      <c r="AA80" s="67"/>
      <c r="AB80" s="67"/>
      <c r="AC80" s="67"/>
      <c r="AD80" s="67"/>
      <c r="AE80" s="67"/>
      <c r="AF80" s="67"/>
      <c r="AG80" s="67"/>
      <c r="AH80" s="67"/>
    </row>
    <row r="81">
      <c r="A81" s="174"/>
      <c r="B81" s="175"/>
      <c r="C81" s="175"/>
      <c r="D81" s="175"/>
      <c r="E81" s="175"/>
      <c r="F81" s="175"/>
      <c r="G81" s="175"/>
      <c r="H81" s="175"/>
      <c r="I81" s="175"/>
      <c r="J81" s="175"/>
      <c r="K81" s="175"/>
      <c r="L81" s="175"/>
      <c r="M81" s="175"/>
      <c r="N81" s="175"/>
      <c r="O81" s="175"/>
      <c r="P81" s="175"/>
      <c r="Q81" s="175"/>
      <c r="R81" s="176"/>
      <c r="S81" s="67"/>
      <c r="T81" s="67"/>
      <c r="U81" s="67"/>
      <c r="V81" s="67"/>
      <c r="W81" s="67"/>
      <c r="X81" s="67"/>
      <c r="Y81" s="67"/>
      <c r="Z81" s="67"/>
      <c r="AA81" s="67"/>
      <c r="AB81" s="67"/>
      <c r="AC81" s="67"/>
      <c r="AD81" s="67"/>
      <c r="AE81" s="67"/>
      <c r="AF81" s="67"/>
      <c r="AG81" s="67"/>
      <c r="AH81" s="67"/>
    </row>
    <row r="82">
      <c r="A82" s="171"/>
      <c r="B82" s="172"/>
      <c r="C82" s="172"/>
      <c r="D82" s="172"/>
      <c r="E82" s="172"/>
      <c r="F82" s="172"/>
      <c r="G82" s="172"/>
      <c r="H82" s="172"/>
      <c r="I82" s="172"/>
      <c r="J82" s="172"/>
      <c r="K82" s="172"/>
      <c r="L82" s="172"/>
      <c r="M82" s="172"/>
      <c r="N82" s="172"/>
      <c r="O82" s="172"/>
      <c r="P82" s="172"/>
      <c r="Q82" s="172"/>
      <c r="R82" s="173"/>
      <c r="S82" s="67"/>
      <c r="T82" s="67"/>
      <c r="U82" s="67"/>
      <c r="V82" s="67"/>
      <c r="W82" s="67"/>
      <c r="X82" s="67"/>
      <c r="Y82" s="67"/>
      <c r="Z82" s="67"/>
      <c r="AA82" s="67"/>
      <c r="AB82" s="67"/>
      <c r="AC82" s="67"/>
      <c r="AD82" s="67"/>
      <c r="AE82" s="67"/>
      <c r="AF82" s="67"/>
      <c r="AG82" s="67"/>
      <c r="AH82" s="67"/>
    </row>
    <row r="83">
      <c r="A83" s="174"/>
      <c r="B83" s="175"/>
      <c r="C83" s="175"/>
      <c r="D83" s="175"/>
      <c r="E83" s="175"/>
      <c r="F83" s="175"/>
      <c r="G83" s="175"/>
      <c r="H83" s="175"/>
      <c r="I83" s="175"/>
      <c r="J83" s="175"/>
      <c r="K83" s="175"/>
      <c r="L83" s="175"/>
      <c r="M83" s="175"/>
      <c r="N83" s="175"/>
      <c r="O83" s="175"/>
      <c r="P83" s="175"/>
      <c r="Q83" s="175"/>
      <c r="R83" s="176"/>
      <c r="S83" s="67"/>
      <c r="T83" s="67"/>
      <c r="U83" s="67"/>
      <c r="V83" s="67"/>
      <c r="W83" s="67"/>
      <c r="X83" s="67"/>
      <c r="Y83" s="67"/>
      <c r="Z83" s="67"/>
      <c r="AA83" s="67"/>
      <c r="AB83" s="67"/>
      <c r="AC83" s="67"/>
      <c r="AD83" s="67"/>
      <c r="AE83" s="67"/>
      <c r="AF83" s="67"/>
      <c r="AG83" s="67"/>
      <c r="AH83" s="67"/>
    </row>
    <row r="84">
      <c r="A84" s="171"/>
      <c r="B84" s="172"/>
      <c r="C84" s="172"/>
      <c r="D84" s="172"/>
      <c r="E84" s="172"/>
      <c r="F84" s="172"/>
      <c r="G84" s="172"/>
      <c r="H84" s="172"/>
      <c r="I84" s="172"/>
      <c r="J84" s="172"/>
      <c r="K84" s="172"/>
      <c r="L84" s="172"/>
      <c r="M84" s="172"/>
      <c r="N84" s="172"/>
      <c r="O84" s="172"/>
      <c r="P84" s="172"/>
      <c r="Q84" s="172"/>
      <c r="R84" s="173"/>
      <c r="S84" s="67"/>
      <c r="T84" s="67"/>
      <c r="U84" s="67"/>
      <c r="V84" s="67"/>
      <c r="W84" s="67"/>
      <c r="X84" s="67"/>
      <c r="Y84" s="67"/>
      <c r="Z84" s="67"/>
      <c r="AA84" s="67"/>
      <c r="AB84" s="67"/>
      <c r="AC84" s="67"/>
      <c r="AD84" s="67"/>
      <c r="AE84" s="67"/>
      <c r="AF84" s="67"/>
      <c r="AG84" s="67"/>
      <c r="AH84" s="67"/>
    </row>
    <row r="85">
      <c r="A85" s="174"/>
      <c r="B85" s="175"/>
      <c r="C85" s="175"/>
      <c r="D85" s="175"/>
      <c r="E85" s="175"/>
      <c r="F85" s="175"/>
      <c r="G85" s="175"/>
      <c r="H85" s="175"/>
      <c r="I85" s="175"/>
      <c r="J85" s="175"/>
      <c r="K85" s="175"/>
      <c r="L85" s="175"/>
      <c r="M85" s="175"/>
      <c r="N85" s="175"/>
      <c r="O85" s="175"/>
      <c r="P85" s="175"/>
      <c r="Q85" s="175"/>
      <c r="R85" s="176"/>
      <c r="S85" s="67"/>
      <c r="T85" s="67"/>
      <c r="U85" s="67"/>
      <c r="V85" s="67"/>
      <c r="W85" s="67"/>
      <c r="X85" s="67"/>
      <c r="Y85" s="67"/>
      <c r="Z85" s="67"/>
      <c r="AA85" s="67"/>
      <c r="AB85" s="67"/>
      <c r="AC85" s="67"/>
      <c r="AD85" s="67"/>
      <c r="AE85" s="67"/>
      <c r="AF85" s="67"/>
      <c r="AG85" s="67"/>
      <c r="AH85" s="67"/>
    </row>
    <row r="86">
      <c r="A86" s="171"/>
      <c r="B86" s="172"/>
      <c r="C86" s="172"/>
      <c r="D86" s="172"/>
      <c r="E86" s="172"/>
      <c r="F86" s="172"/>
      <c r="G86" s="172"/>
      <c r="H86" s="172"/>
      <c r="I86" s="172"/>
      <c r="J86" s="172"/>
      <c r="K86" s="172"/>
      <c r="L86" s="172"/>
      <c r="M86" s="172"/>
      <c r="N86" s="172"/>
      <c r="O86" s="172"/>
      <c r="P86" s="172"/>
      <c r="Q86" s="172"/>
      <c r="R86" s="173"/>
      <c r="S86" s="67"/>
      <c r="T86" s="67"/>
      <c r="U86" s="67"/>
      <c r="V86" s="67"/>
      <c r="W86" s="67"/>
      <c r="X86" s="67"/>
      <c r="Y86" s="67"/>
      <c r="Z86" s="67"/>
      <c r="AA86" s="67"/>
      <c r="AB86" s="67"/>
      <c r="AC86" s="67"/>
      <c r="AD86" s="67"/>
      <c r="AE86" s="67"/>
      <c r="AF86" s="67"/>
      <c r="AG86" s="67"/>
      <c r="AH86" s="67"/>
    </row>
    <row r="87">
      <c r="A87" s="174"/>
      <c r="B87" s="175"/>
      <c r="C87" s="175"/>
      <c r="D87" s="175"/>
      <c r="E87" s="175"/>
      <c r="F87" s="175"/>
      <c r="G87" s="175"/>
      <c r="H87" s="175"/>
      <c r="I87" s="175"/>
      <c r="J87" s="175"/>
      <c r="K87" s="175"/>
      <c r="L87" s="175"/>
      <c r="M87" s="175"/>
      <c r="N87" s="175"/>
      <c r="O87" s="175"/>
      <c r="P87" s="175"/>
      <c r="Q87" s="175"/>
      <c r="R87" s="176"/>
      <c r="S87" s="67"/>
      <c r="T87" s="67"/>
      <c r="U87" s="67"/>
      <c r="V87" s="67"/>
      <c r="W87" s="67"/>
      <c r="X87" s="67"/>
      <c r="Y87" s="67"/>
      <c r="Z87" s="67"/>
      <c r="AA87" s="67"/>
      <c r="AB87" s="67"/>
      <c r="AC87" s="67"/>
      <c r="AD87" s="67"/>
      <c r="AE87" s="67"/>
      <c r="AF87" s="67"/>
      <c r="AG87" s="67"/>
      <c r="AH87" s="67"/>
    </row>
    <row r="88">
      <c r="A88" s="171"/>
      <c r="B88" s="172"/>
      <c r="C88" s="172"/>
      <c r="D88" s="172"/>
      <c r="E88" s="172"/>
      <c r="F88" s="172"/>
      <c r="G88" s="172"/>
      <c r="H88" s="172"/>
      <c r="I88" s="172"/>
      <c r="J88" s="172"/>
      <c r="K88" s="172"/>
      <c r="L88" s="172"/>
      <c r="M88" s="172"/>
      <c r="N88" s="172"/>
      <c r="O88" s="172"/>
      <c r="P88" s="172"/>
      <c r="Q88" s="172"/>
      <c r="R88" s="173"/>
      <c r="S88" s="67"/>
      <c r="T88" s="67"/>
      <c r="U88" s="67"/>
      <c r="V88" s="67"/>
      <c r="W88" s="67"/>
      <c r="X88" s="67"/>
      <c r="Y88" s="67"/>
      <c r="Z88" s="67"/>
      <c r="AA88" s="67"/>
      <c r="AB88" s="67"/>
      <c r="AC88" s="67"/>
      <c r="AD88" s="67"/>
      <c r="AE88" s="67"/>
      <c r="AF88" s="67"/>
      <c r="AG88" s="67"/>
      <c r="AH88" s="67"/>
    </row>
    <row r="89">
      <c r="A89" s="174"/>
      <c r="B89" s="175"/>
      <c r="C89" s="175"/>
      <c r="D89" s="175"/>
      <c r="E89" s="175"/>
      <c r="F89" s="175"/>
      <c r="G89" s="175"/>
      <c r="H89" s="175"/>
      <c r="I89" s="175"/>
      <c r="J89" s="175"/>
      <c r="K89" s="175"/>
      <c r="L89" s="175"/>
      <c r="M89" s="175"/>
      <c r="N89" s="175"/>
      <c r="O89" s="175"/>
      <c r="P89" s="175"/>
      <c r="Q89" s="175"/>
      <c r="R89" s="176"/>
      <c r="S89" s="67"/>
      <c r="T89" s="67"/>
      <c r="U89" s="67"/>
      <c r="V89" s="67"/>
      <c r="W89" s="67"/>
      <c r="X89" s="67"/>
      <c r="Y89" s="67"/>
      <c r="Z89" s="67"/>
      <c r="AA89" s="67"/>
      <c r="AB89" s="67"/>
      <c r="AC89" s="67"/>
      <c r="AD89" s="67"/>
      <c r="AE89" s="67"/>
      <c r="AF89" s="67"/>
      <c r="AG89" s="67"/>
      <c r="AH89" s="67"/>
    </row>
    <row r="90">
      <c r="A90" s="171"/>
      <c r="B90" s="172"/>
      <c r="C90" s="172"/>
      <c r="D90" s="172"/>
      <c r="E90" s="172"/>
      <c r="F90" s="172"/>
      <c r="G90" s="172"/>
      <c r="H90" s="172"/>
      <c r="I90" s="172"/>
      <c r="J90" s="172"/>
      <c r="K90" s="172"/>
      <c r="L90" s="172"/>
      <c r="M90" s="172"/>
      <c r="N90" s="172"/>
      <c r="O90" s="172"/>
      <c r="P90" s="172"/>
      <c r="Q90" s="172"/>
      <c r="R90" s="173"/>
      <c r="S90" s="67"/>
      <c r="T90" s="67"/>
      <c r="U90" s="67"/>
      <c r="V90" s="67"/>
      <c r="W90" s="67"/>
      <c r="X90" s="67"/>
      <c r="Y90" s="67"/>
      <c r="Z90" s="67"/>
      <c r="AA90" s="67"/>
      <c r="AB90" s="67"/>
      <c r="AC90" s="67"/>
      <c r="AD90" s="67"/>
      <c r="AE90" s="67"/>
      <c r="AF90" s="67"/>
      <c r="AG90" s="67"/>
      <c r="AH90" s="67"/>
    </row>
    <row r="91">
      <c r="A91" s="174"/>
      <c r="B91" s="175"/>
      <c r="C91" s="175"/>
      <c r="D91" s="175"/>
      <c r="E91" s="175"/>
      <c r="F91" s="175"/>
      <c r="G91" s="175"/>
      <c r="H91" s="175"/>
      <c r="I91" s="175"/>
      <c r="J91" s="175"/>
      <c r="K91" s="175"/>
      <c r="L91" s="175"/>
      <c r="M91" s="175"/>
      <c r="N91" s="175"/>
      <c r="O91" s="175"/>
      <c r="P91" s="175"/>
      <c r="Q91" s="175"/>
      <c r="R91" s="176"/>
      <c r="S91" s="67"/>
      <c r="T91" s="67"/>
      <c r="U91" s="67"/>
      <c r="V91" s="67"/>
      <c r="W91" s="67"/>
      <c r="X91" s="67"/>
      <c r="Y91" s="67"/>
      <c r="Z91" s="67"/>
      <c r="AA91" s="67"/>
      <c r="AB91" s="67"/>
      <c r="AC91" s="67"/>
      <c r="AD91" s="67"/>
      <c r="AE91" s="67"/>
      <c r="AF91" s="67"/>
      <c r="AG91" s="67"/>
      <c r="AH91" s="67"/>
    </row>
    <row r="92">
      <c r="A92" s="171"/>
      <c r="B92" s="172"/>
      <c r="C92" s="172"/>
      <c r="D92" s="172"/>
      <c r="E92" s="172"/>
      <c r="F92" s="172"/>
      <c r="G92" s="172"/>
      <c r="H92" s="172"/>
      <c r="I92" s="172"/>
      <c r="J92" s="172"/>
      <c r="K92" s="172"/>
      <c r="L92" s="172"/>
      <c r="M92" s="172"/>
      <c r="N92" s="172"/>
      <c r="O92" s="172"/>
      <c r="P92" s="172"/>
      <c r="Q92" s="172"/>
      <c r="R92" s="173"/>
      <c r="S92" s="67"/>
      <c r="T92" s="67"/>
      <c r="U92" s="67"/>
      <c r="V92" s="67"/>
      <c r="W92" s="67"/>
      <c r="X92" s="67"/>
      <c r="Y92" s="67"/>
      <c r="Z92" s="67"/>
      <c r="AA92" s="67"/>
      <c r="AB92" s="67"/>
      <c r="AC92" s="67"/>
      <c r="AD92" s="67"/>
      <c r="AE92" s="67"/>
      <c r="AF92" s="67"/>
      <c r="AG92" s="67"/>
      <c r="AH92" s="67"/>
    </row>
    <row r="93">
      <c r="A93" s="174"/>
      <c r="B93" s="175"/>
      <c r="C93" s="175"/>
      <c r="D93" s="175"/>
      <c r="E93" s="175"/>
      <c r="F93" s="175"/>
      <c r="G93" s="175"/>
      <c r="H93" s="175"/>
      <c r="I93" s="175"/>
      <c r="J93" s="175"/>
      <c r="K93" s="175"/>
      <c r="L93" s="175"/>
      <c r="M93" s="175"/>
      <c r="N93" s="175"/>
      <c r="O93" s="175"/>
      <c r="P93" s="175"/>
      <c r="Q93" s="175"/>
      <c r="R93" s="176"/>
      <c r="S93" s="67"/>
      <c r="T93" s="67"/>
      <c r="U93" s="67"/>
      <c r="V93" s="67"/>
      <c r="W93" s="67"/>
      <c r="X93" s="67"/>
      <c r="Y93" s="67"/>
      <c r="Z93" s="67"/>
      <c r="AA93" s="67"/>
      <c r="AB93" s="67"/>
      <c r="AC93" s="67"/>
      <c r="AD93" s="67"/>
      <c r="AE93" s="67"/>
      <c r="AF93" s="67"/>
      <c r="AG93" s="67"/>
      <c r="AH93" s="67"/>
    </row>
    <row r="94">
      <c r="A94" s="171"/>
      <c r="B94" s="172"/>
      <c r="C94" s="172"/>
      <c r="D94" s="172"/>
      <c r="E94" s="172"/>
      <c r="F94" s="172"/>
      <c r="G94" s="172"/>
      <c r="H94" s="172"/>
      <c r="I94" s="172"/>
      <c r="J94" s="172"/>
      <c r="K94" s="172"/>
      <c r="L94" s="172"/>
      <c r="M94" s="172"/>
      <c r="N94" s="172"/>
      <c r="O94" s="172"/>
      <c r="P94" s="172"/>
      <c r="Q94" s="172"/>
      <c r="R94" s="173"/>
      <c r="S94" s="67"/>
      <c r="T94" s="67"/>
      <c r="U94" s="67"/>
      <c r="V94" s="67"/>
      <c r="W94" s="67"/>
      <c r="X94" s="67"/>
      <c r="Y94" s="67"/>
      <c r="Z94" s="67"/>
      <c r="AA94" s="67"/>
      <c r="AB94" s="67"/>
      <c r="AC94" s="67"/>
      <c r="AD94" s="67"/>
      <c r="AE94" s="67"/>
      <c r="AF94" s="67"/>
      <c r="AG94" s="67"/>
      <c r="AH94" s="67"/>
    </row>
    <row r="95">
      <c r="A95" s="174"/>
      <c r="B95" s="175"/>
      <c r="C95" s="175"/>
      <c r="D95" s="175"/>
      <c r="E95" s="175"/>
      <c r="F95" s="175"/>
      <c r="G95" s="175"/>
      <c r="H95" s="175"/>
      <c r="I95" s="175"/>
      <c r="J95" s="175"/>
      <c r="K95" s="175"/>
      <c r="L95" s="175"/>
      <c r="M95" s="175"/>
      <c r="N95" s="175"/>
      <c r="O95" s="175"/>
      <c r="P95" s="175"/>
      <c r="Q95" s="175"/>
      <c r="R95" s="176"/>
      <c r="S95" s="67"/>
      <c r="T95" s="67"/>
      <c r="U95" s="67"/>
      <c r="V95" s="67"/>
      <c r="W95" s="67"/>
      <c r="X95" s="67"/>
      <c r="Y95" s="67"/>
      <c r="Z95" s="67"/>
      <c r="AA95" s="67"/>
      <c r="AB95" s="67"/>
      <c r="AC95" s="67"/>
      <c r="AD95" s="67"/>
      <c r="AE95" s="67"/>
      <c r="AF95" s="67"/>
      <c r="AG95" s="67"/>
      <c r="AH95" s="67"/>
    </row>
    <row r="96">
      <c r="A96" s="171"/>
      <c r="B96" s="172"/>
      <c r="C96" s="172"/>
      <c r="D96" s="172"/>
      <c r="E96" s="172"/>
      <c r="F96" s="172"/>
      <c r="G96" s="172"/>
      <c r="H96" s="172"/>
      <c r="I96" s="172"/>
      <c r="J96" s="172"/>
      <c r="K96" s="172"/>
      <c r="L96" s="172"/>
      <c r="M96" s="172"/>
      <c r="N96" s="172"/>
      <c r="O96" s="172"/>
      <c r="P96" s="172"/>
      <c r="Q96" s="172"/>
      <c r="R96" s="173"/>
      <c r="S96" s="67"/>
      <c r="T96" s="67"/>
      <c r="U96" s="67"/>
      <c r="V96" s="67"/>
      <c r="W96" s="67"/>
      <c r="X96" s="67"/>
      <c r="Y96" s="67"/>
      <c r="Z96" s="67"/>
      <c r="AA96" s="67"/>
      <c r="AB96" s="67"/>
      <c r="AC96" s="67"/>
      <c r="AD96" s="67"/>
      <c r="AE96" s="67"/>
      <c r="AF96" s="67"/>
      <c r="AG96" s="67"/>
      <c r="AH96" s="67"/>
    </row>
    <row r="97">
      <c r="A97" s="174"/>
      <c r="B97" s="175"/>
      <c r="C97" s="175"/>
      <c r="D97" s="175"/>
      <c r="E97" s="175"/>
      <c r="F97" s="175"/>
      <c r="G97" s="175"/>
      <c r="H97" s="175"/>
      <c r="I97" s="175"/>
      <c r="J97" s="175"/>
      <c r="K97" s="175"/>
      <c r="L97" s="175"/>
      <c r="M97" s="175"/>
      <c r="N97" s="175"/>
      <c r="O97" s="175"/>
      <c r="P97" s="175"/>
      <c r="Q97" s="175"/>
      <c r="R97" s="176"/>
      <c r="S97" s="67"/>
      <c r="T97" s="67"/>
      <c r="U97" s="67"/>
      <c r="V97" s="67"/>
      <c r="W97" s="67"/>
      <c r="X97" s="67"/>
      <c r="Y97" s="67"/>
      <c r="Z97" s="67"/>
      <c r="AA97" s="67"/>
      <c r="AB97" s="67"/>
      <c r="AC97" s="67"/>
      <c r="AD97" s="67"/>
      <c r="AE97" s="67"/>
      <c r="AF97" s="67"/>
      <c r="AG97" s="67"/>
      <c r="AH97" s="67"/>
    </row>
    <row r="98">
      <c r="A98" s="171"/>
      <c r="B98" s="172"/>
      <c r="C98" s="172"/>
      <c r="D98" s="172"/>
      <c r="E98" s="172"/>
      <c r="F98" s="172"/>
      <c r="G98" s="172"/>
      <c r="H98" s="172"/>
      <c r="I98" s="172"/>
      <c r="J98" s="172"/>
      <c r="K98" s="172"/>
      <c r="L98" s="172"/>
      <c r="M98" s="172"/>
      <c r="N98" s="172"/>
      <c r="O98" s="172"/>
      <c r="P98" s="172"/>
      <c r="Q98" s="172"/>
      <c r="R98" s="173"/>
      <c r="S98" s="67"/>
      <c r="T98" s="67"/>
      <c r="U98" s="67"/>
      <c r="V98" s="67"/>
      <c r="W98" s="67"/>
      <c r="X98" s="67"/>
      <c r="Y98" s="67"/>
      <c r="Z98" s="67"/>
      <c r="AA98" s="67"/>
      <c r="AB98" s="67"/>
      <c r="AC98" s="67"/>
      <c r="AD98" s="67"/>
      <c r="AE98" s="67"/>
      <c r="AF98" s="67"/>
      <c r="AG98" s="67"/>
      <c r="AH98" s="67"/>
    </row>
    <row r="99">
      <c r="A99" s="174"/>
      <c r="B99" s="175"/>
      <c r="C99" s="175"/>
      <c r="D99" s="175"/>
      <c r="E99" s="175"/>
      <c r="F99" s="175"/>
      <c r="G99" s="175"/>
      <c r="H99" s="175"/>
      <c r="I99" s="175"/>
      <c r="J99" s="175"/>
      <c r="K99" s="175"/>
      <c r="L99" s="175"/>
      <c r="M99" s="175"/>
      <c r="N99" s="175"/>
      <c r="O99" s="175"/>
      <c r="P99" s="175"/>
      <c r="Q99" s="175"/>
      <c r="R99" s="176"/>
      <c r="S99" s="67"/>
      <c r="T99" s="67"/>
      <c r="U99" s="67"/>
      <c r="V99" s="67"/>
      <c r="W99" s="67"/>
      <c r="X99" s="67"/>
      <c r="Y99" s="67"/>
      <c r="Z99" s="67"/>
      <c r="AA99" s="67"/>
      <c r="AB99" s="67"/>
      <c r="AC99" s="67"/>
      <c r="AD99" s="67"/>
      <c r="AE99" s="67"/>
      <c r="AF99" s="67"/>
      <c r="AG99" s="67"/>
      <c r="AH99" s="67"/>
    </row>
    <row r="100">
      <c r="A100" s="171"/>
      <c r="B100" s="172"/>
      <c r="C100" s="172"/>
      <c r="D100" s="172"/>
      <c r="E100" s="172"/>
      <c r="F100" s="172"/>
      <c r="G100" s="172"/>
      <c r="H100" s="172"/>
      <c r="I100" s="172"/>
      <c r="J100" s="172"/>
      <c r="K100" s="172"/>
      <c r="L100" s="172"/>
      <c r="M100" s="172"/>
      <c r="N100" s="172"/>
      <c r="O100" s="172"/>
      <c r="P100" s="172"/>
      <c r="Q100" s="172"/>
      <c r="R100" s="173"/>
      <c r="S100" s="67"/>
      <c r="T100" s="67"/>
      <c r="U100" s="67"/>
      <c r="V100" s="67"/>
      <c r="W100" s="67"/>
      <c r="X100" s="67"/>
      <c r="Y100" s="67"/>
      <c r="Z100" s="67"/>
      <c r="AA100" s="67"/>
      <c r="AB100" s="67"/>
      <c r="AC100" s="67"/>
      <c r="AD100" s="67"/>
      <c r="AE100" s="67"/>
      <c r="AF100" s="67"/>
      <c r="AG100" s="67"/>
      <c r="AH100" s="67"/>
    </row>
    <row r="101">
      <c r="A101" s="174"/>
      <c r="B101" s="175"/>
      <c r="C101" s="175"/>
      <c r="D101" s="175"/>
      <c r="E101" s="175"/>
      <c r="F101" s="175"/>
      <c r="G101" s="175"/>
      <c r="H101" s="175"/>
      <c r="I101" s="175"/>
      <c r="J101" s="175"/>
      <c r="K101" s="175"/>
      <c r="L101" s="175"/>
      <c r="M101" s="175"/>
      <c r="N101" s="175"/>
      <c r="O101" s="175"/>
      <c r="P101" s="175"/>
      <c r="Q101" s="175"/>
      <c r="R101" s="176"/>
      <c r="S101" s="67"/>
      <c r="T101" s="67"/>
      <c r="U101" s="67"/>
      <c r="V101" s="67"/>
      <c r="W101" s="67"/>
      <c r="X101" s="67"/>
      <c r="Y101" s="67"/>
      <c r="Z101" s="67"/>
      <c r="AA101" s="67"/>
      <c r="AB101" s="67"/>
      <c r="AC101" s="67"/>
      <c r="AD101" s="67"/>
      <c r="AE101" s="67"/>
      <c r="AF101" s="67"/>
      <c r="AG101" s="67"/>
      <c r="AH101" s="67"/>
    </row>
    <row r="102">
      <c r="A102" s="171"/>
      <c r="B102" s="172"/>
      <c r="C102" s="172"/>
      <c r="D102" s="172"/>
      <c r="E102" s="172"/>
      <c r="F102" s="172"/>
      <c r="G102" s="172"/>
      <c r="H102" s="172"/>
      <c r="I102" s="172"/>
      <c r="J102" s="172"/>
      <c r="K102" s="172"/>
      <c r="L102" s="172"/>
      <c r="M102" s="172"/>
      <c r="N102" s="172"/>
      <c r="O102" s="172"/>
      <c r="P102" s="172"/>
      <c r="Q102" s="172"/>
      <c r="R102" s="173"/>
      <c r="S102" s="67"/>
      <c r="T102" s="67"/>
      <c r="U102" s="67"/>
      <c r="V102" s="67"/>
      <c r="W102" s="67"/>
      <c r="X102" s="67"/>
      <c r="Y102" s="67"/>
      <c r="Z102" s="67"/>
      <c r="AA102" s="67"/>
      <c r="AB102" s="67"/>
      <c r="AC102" s="67"/>
      <c r="AD102" s="67"/>
      <c r="AE102" s="67"/>
      <c r="AF102" s="67"/>
      <c r="AG102" s="67"/>
      <c r="AH102" s="67"/>
    </row>
    <row r="103">
      <c r="A103" s="174"/>
      <c r="B103" s="175"/>
      <c r="C103" s="175"/>
      <c r="D103" s="175"/>
      <c r="E103" s="175"/>
      <c r="F103" s="175"/>
      <c r="G103" s="175"/>
      <c r="H103" s="175"/>
      <c r="I103" s="175"/>
      <c r="J103" s="175"/>
      <c r="K103" s="175"/>
      <c r="L103" s="175"/>
      <c r="M103" s="175"/>
      <c r="N103" s="175"/>
      <c r="O103" s="175"/>
      <c r="P103" s="175"/>
      <c r="Q103" s="175"/>
      <c r="R103" s="176"/>
      <c r="S103" s="67"/>
      <c r="T103" s="67"/>
      <c r="U103" s="67"/>
      <c r="V103" s="67"/>
      <c r="W103" s="67"/>
      <c r="X103" s="67"/>
      <c r="Y103" s="67"/>
      <c r="Z103" s="67"/>
      <c r="AA103" s="67"/>
      <c r="AB103" s="67"/>
      <c r="AC103" s="67"/>
      <c r="AD103" s="67"/>
      <c r="AE103" s="67"/>
      <c r="AF103" s="67"/>
      <c r="AG103" s="67"/>
      <c r="AH103" s="67"/>
    </row>
    <row r="104">
      <c r="A104" s="171"/>
      <c r="B104" s="172"/>
      <c r="C104" s="172"/>
      <c r="D104" s="172"/>
      <c r="E104" s="172"/>
      <c r="F104" s="172"/>
      <c r="G104" s="172"/>
      <c r="H104" s="172"/>
      <c r="I104" s="172"/>
      <c r="J104" s="172"/>
      <c r="K104" s="172"/>
      <c r="L104" s="172"/>
      <c r="M104" s="172"/>
      <c r="N104" s="172"/>
      <c r="O104" s="172"/>
      <c r="P104" s="172"/>
      <c r="Q104" s="172"/>
      <c r="R104" s="173"/>
      <c r="S104" s="67"/>
      <c r="T104" s="67"/>
      <c r="U104" s="67"/>
      <c r="V104" s="67"/>
      <c r="W104" s="67"/>
      <c r="X104" s="67"/>
      <c r="Y104" s="67"/>
      <c r="Z104" s="67"/>
      <c r="AA104" s="67"/>
      <c r="AB104" s="67"/>
      <c r="AC104" s="67"/>
      <c r="AD104" s="67"/>
      <c r="AE104" s="67"/>
      <c r="AF104" s="67"/>
      <c r="AG104" s="67"/>
      <c r="AH104" s="67"/>
    </row>
    <row r="105">
      <c r="A105" s="174"/>
      <c r="B105" s="175"/>
      <c r="C105" s="175"/>
      <c r="D105" s="175"/>
      <c r="E105" s="175"/>
      <c r="F105" s="175"/>
      <c r="G105" s="175"/>
      <c r="H105" s="175"/>
      <c r="I105" s="175"/>
      <c r="J105" s="175"/>
      <c r="K105" s="175"/>
      <c r="L105" s="175"/>
      <c r="M105" s="175"/>
      <c r="N105" s="175"/>
      <c r="O105" s="175"/>
      <c r="P105" s="175"/>
      <c r="Q105" s="175"/>
      <c r="R105" s="176"/>
      <c r="S105" s="67"/>
      <c r="T105" s="67"/>
      <c r="U105" s="67"/>
      <c r="V105" s="67"/>
      <c r="W105" s="67"/>
      <c r="X105" s="67"/>
      <c r="Y105" s="67"/>
      <c r="Z105" s="67"/>
      <c r="AA105" s="67"/>
      <c r="AB105" s="67"/>
      <c r="AC105" s="67"/>
      <c r="AD105" s="67"/>
      <c r="AE105" s="67"/>
      <c r="AF105" s="67"/>
      <c r="AG105" s="67"/>
      <c r="AH105" s="67"/>
    </row>
    <row r="106">
      <c r="A106" s="171"/>
      <c r="B106" s="172"/>
      <c r="C106" s="172"/>
      <c r="D106" s="172"/>
      <c r="E106" s="172"/>
      <c r="F106" s="172"/>
      <c r="G106" s="172"/>
      <c r="H106" s="172"/>
      <c r="I106" s="172"/>
      <c r="J106" s="172"/>
      <c r="K106" s="172"/>
      <c r="L106" s="172"/>
      <c r="M106" s="172"/>
      <c r="N106" s="172"/>
      <c r="O106" s="172"/>
      <c r="P106" s="172"/>
      <c r="Q106" s="172"/>
      <c r="R106" s="173"/>
      <c r="S106" s="67"/>
      <c r="T106" s="67"/>
      <c r="U106" s="67"/>
      <c r="V106" s="67"/>
      <c r="W106" s="67"/>
      <c r="X106" s="67"/>
      <c r="Y106" s="67"/>
      <c r="Z106" s="67"/>
      <c r="AA106" s="67"/>
      <c r="AB106" s="67"/>
      <c r="AC106" s="67"/>
      <c r="AD106" s="67"/>
      <c r="AE106" s="67"/>
      <c r="AF106" s="67"/>
      <c r="AG106" s="67"/>
      <c r="AH106" s="67"/>
    </row>
    <row r="107">
      <c r="A107" s="174"/>
      <c r="B107" s="175"/>
      <c r="C107" s="175"/>
      <c r="D107" s="175"/>
      <c r="E107" s="175"/>
      <c r="F107" s="175"/>
      <c r="G107" s="175"/>
      <c r="H107" s="175"/>
      <c r="I107" s="175"/>
      <c r="J107" s="175"/>
      <c r="K107" s="175"/>
      <c r="L107" s="175"/>
      <c r="M107" s="175"/>
      <c r="N107" s="175"/>
      <c r="O107" s="175"/>
      <c r="P107" s="175"/>
      <c r="Q107" s="175"/>
      <c r="R107" s="176"/>
      <c r="S107" s="67"/>
      <c r="T107" s="67"/>
      <c r="U107" s="67"/>
      <c r="V107" s="67"/>
      <c r="W107" s="67"/>
      <c r="X107" s="67"/>
      <c r="Y107" s="67"/>
      <c r="Z107" s="67"/>
      <c r="AA107" s="67"/>
      <c r="AB107" s="67"/>
      <c r="AC107" s="67"/>
      <c r="AD107" s="67"/>
      <c r="AE107" s="67"/>
      <c r="AF107" s="67"/>
      <c r="AG107" s="67"/>
      <c r="AH107" s="67"/>
    </row>
    <row r="108">
      <c r="A108" s="171"/>
      <c r="B108" s="172"/>
      <c r="C108" s="172"/>
      <c r="D108" s="172"/>
      <c r="E108" s="172"/>
      <c r="F108" s="172"/>
      <c r="G108" s="172"/>
      <c r="H108" s="172"/>
      <c r="I108" s="172"/>
      <c r="J108" s="172"/>
      <c r="K108" s="172"/>
      <c r="L108" s="172"/>
      <c r="M108" s="172"/>
      <c r="N108" s="172"/>
      <c r="O108" s="172"/>
      <c r="P108" s="172"/>
      <c r="Q108" s="172"/>
      <c r="R108" s="173"/>
      <c r="S108" s="67"/>
      <c r="T108" s="67"/>
      <c r="U108" s="67"/>
      <c r="V108" s="67"/>
      <c r="W108" s="67"/>
      <c r="X108" s="67"/>
      <c r="Y108" s="67"/>
      <c r="Z108" s="67"/>
      <c r="AA108" s="67"/>
      <c r="AB108" s="67"/>
      <c r="AC108" s="67"/>
      <c r="AD108" s="67"/>
      <c r="AE108" s="67"/>
      <c r="AF108" s="67"/>
      <c r="AG108" s="67"/>
      <c r="AH108" s="67"/>
    </row>
    <row r="109">
      <c r="A109" s="174"/>
      <c r="B109" s="175"/>
      <c r="C109" s="175"/>
      <c r="D109" s="175"/>
      <c r="E109" s="175"/>
      <c r="F109" s="175"/>
      <c r="G109" s="175"/>
      <c r="H109" s="175"/>
      <c r="I109" s="175"/>
      <c r="J109" s="175"/>
      <c r="K109" s="175"/>
      <c r="L109" s="175"/>
      <c r="M109" s="175"/>
      <c r="N109" s="175"/>
      <c r="O109" s="175"/>
      <c r="P109" s="175"/>
      <c r="Q109" s="175"/>
      <c r="R109" s="176"/>
      <c r="S109" s="67"/>
      <c r="T109" s="67"/>
      <c r="U109" s="67"/>
      <c r="V109" s="67"/>
      <c r="W109" s="67"/>
      <c r="X109" s="67"/>
      <c r="Y109" s="67"/>
      <c r="Z109" s="67"/>
      <c r="AA109" s="67"/>
      <c r="AB109" s="67"/>
      <c r="AC109" s="67"/>
      <c r="AD109" s="67"/>
      <c r="AE109" s="67"/>
      <c r="AF109" s="67"/>
      <c r="AG109" s="67"/>
      <c r="AH109" s="67"/>
    </row>
    <row r="110">
      <c r="A110" s="171"/>
      <c r="B110" s="172"/>
      <c r="C110" s="172"/>
      <c r="D110" s="172"/>
      <c r="E110" s="172"/>
      <c r="F110" s="172"/>
      <c r="G110" s="172"/>
      <c r="H110" s="172"/>
      <c r="I110" s="172"/>
      <c r="J110" s="172"/>
      <c r="K110" s="172"/>
      <c r="L110" s="172"/>
      <c r="M110" s="172"/>
      <c r="N110" s="172"/>
      <c r="O110" s="172"/>
      <c r="P110" s="172"/>
      <c r="Q110" s="172"/>
      <c r="R110" s="173"/>
      <c r="S110" s="67"/>
      <c r="T110" s="67"/>
      <c r="U110" s="67"/>
      <c r="V110" s="67"/>
      <c r="W110" s="67"/>
      <c r="X110" s="67"/>
      <c r="Y110" s="67"/>
      <c r="Z110" s="67"/>
      <c r="AA110" s="67"/>
      <c r="AB110" s="67"/>
      <c r="AC110" s="67"/>
      <c r="AD110" s="67"/>
      <c r="AE110" s="67"/>
      <c r="AF110" s="67"/>
      <c r="AG110" s="67"/>
      <c r="AH110" s="67"/>
    </row>
    <row r="111">
      <c r="A111" s="174"/>
      <c r="B111" s="175"/>
      <c r="C111" s="175"/>
      <c r="D111" s="175"/>
      <c r="E111" s="175"/>
      <c r="F111" s="175"/>
      <c r="G111" s="175"/>
      <c r="H111" s="175"/>
      <c r="I111" s="175"/>
      <c r="J111" s="175"/>
      <c r="K111" s="175"/>
      <c r="L111" s="175"/>
      <c r="M111" s="175"/>
      <c r="N111" s="175"/>
      <c r="O111" s="175"/>
      <c r="P111" s="175"/>
      <c r="Q111" s="175"/>
      <c r="R111" s="176"/>
      <c r="S111" s="67"/>
      <c r="T111" s="67"/>
      <c r="U111" s="67"/>
      <c r="V111" s="67"/>
      <c r="W111" s="67"/>
      <c r="X111" s="67"/>
      <c r="Y111" s="67"/>
      <c r="Z111" s="67"/>
      <c r="AA111" s="67"/>
      <c r="AB111" s="67"/>
      <c r="AC111" s="67"/>
      <c r="AD111" s="67"/>
      <c r="AE111" s="67"/>
      <c r="AF111" s="67"/>
      <c r="AG111" s="67"/>
      <c r="AH111" s="67"/>
    </row>
    <row r="112">
      <c r="A112" s="171"/>
      <c r="B112" s="172"/>
      <c r="C112" s="172"/>
      <c r="D112" s="172"/>
      <c r="E112" s="172"/>
      <c r="F112" s="172"/>
      <c r="G112" s="172"/>
      <c r="H112" s="172"/>
      <c r="I112" s="172"/>
      <c r="J112" s="172"/>
      <c r="K112" s="172"/>
      <c r="L112" s="172"/>
      <c r="M112" s="172"/>
      <c r="N112" s="172"/>
      <c r="O112" s="172"/>
      <c r="P112" s="172"/>
      <c r="Q112" s="172"/>
      <c r="R112" s="173"/>
      <c r="S112" s="67"/>
      <c r="T112" s="67"/>
      <c r="U112" s="67"/>
      <c r="V112" s="67"/>
      <c r="W112" s="67"/>
      <c r="X112" s="67"/>
      <c r="Y112" s="67"/>
      <c r="Z112" s="67"/>
      <c r="AA112" s="67"/>
      <c r="AB112" s="67"/>
      <c r="AC112" s="67"/>
      <c r="AD112" s="67"/>
      <c r="AE112" s="67"/>
      <c r="AF112" s="67"/>
      <c r="AG112" s="67"/>
      <c r="AH112" s="67"/>
    </row>
    <row r="113">
      <c r="A113" s="174"/>
      <c r="B113" s="175"/>
      <c r="C113" s="175"/>
      <c r="D113" s="175"/>
      <c r="E113" s="175"/>
      <c r="F113" s="175"/>
      <c r="G113" s="175"/>
      <c r="H113" s="175"/>
      <c r="I113" s="175"/>
      <c r="J113" s="175"/>
      <c r="K113" s="175"/>
      <c r="L113" s="175"/>
      <c r="M113" s="175"/>
      <c r="N113" s="175"/>
      <c r="O113" s="175"/>
      <c r="P113" s="175"/>
      <c r="Q113" s="175"/>
      <c r="R113" s="176"/>
      <c r="S113" s="67"/>
      <c r="T113" s="67"/>
      <c r="U113" s="67"/>
      <c r="V113" s="67"/>
      <c r="W113" s="67"/>
      <c r="X113" s="67"/>
      <c r="Y113" s="67"/>
      <c r="Z113" s="67"/>
      <c r="AA113" s="67"/>
      <c r="AB113" s="67"/>
      <c r="AC113" s="67"/>
      <c r="AD113" s="67"/>
      <c r="AE113" s="67"/>
      <c r="AF113" s="67"/>
      <c r="AG113" s="67"/>
      <c r="AH113" s="67"/>
    </row>
    <row r="114">
      <c r="A114" s="171"/>
      <c r="B114" s="172"/>
      <c r="C114" s="172"/>
      <c r="D114" s="172"/>
      <c r="E114" s="172"/>
      <c r="F114" s="172"/>
      <c r="G114" s="172"/>
      <c r="H114" s="172"/>
      <c r="I114" s="172"/>
      <c r="J114" s="172"/>
      <c r="K114" s="172"/>
      <c r="L114" s="172"/>
      <c r="M114" s="172"/>
      <c r="N114" s="172"/>
      <c r="O114" s="172"/>
      <c r="P114" s="172"/>
      <c r="Q114" s="172"/>
      <c r="R114" s="173"/>
      <c r="S114" s="67"/>
      <c r="T114" s="67"/>
      <c r="U114" s="67"/>
      <c r="V114" s="67"/>
      <c r="W114" s="67"/>
      <c r="X114" s="67"/>
      <c r="Y114" s="67"/>
      <c r="Z114" s="67"/>
      <c r="AA114" s="67"/>
      <c r="AB114" s="67"/>
      <c r="AC114" s="67"/>
      <c r="AD114" s="67"/>
      <c r="AE114" s="67"/>
      <c r="AF114" s="67"/>
      <c r="AG114" s="67"/>
      <c r="AH114" s="67"/>
    </row>
    <row r="115">
      <c r="A115" s="174"/>
      <c r="B115" s="175"/>
      <c r="C115" s="175"/>
      <c r="D115" s="175"/>
      <c r="E115" s="175"/>
      <c r="F115" s="175"/>
      <c r="G115" s="175"/>
      <c r="H115" s="175"/>
      <c r="I115" s="175"/>
      <c r="J115" s="175"/>
      <c r="K115" s="175"/>
      <c r="L115" s="175"/>
      <c r="M115" s="175"/>
      <c r="N115" s="175"/>
      <c r="O115" s="175"/>
      <c r="P115" s="175"/>
      <c r="Q115" s="175"/>
      <c r="R115" s="176"/>
      <c r="S115" s="67"/>
      <c r="T115" s="67"/>
      <c r="U115" s="67"/>
      <c r="V115" s="67"/>
      <c r="W115" s="67"/>
      <c r="X115" s="67"/>
      <c r="Y115" s="67"/>
      <c r="Z115" s="67"/>
      <c r="AA115" s="67"/>
      <c r="AB115" s="67"/>
      <c r="AC115" s="67"/>
      <c r="AD115" s="67"/>
      <c r="AE115" s="67"/>
      <c r="AF115" s="67"/>
      <c r="AG115" s="67"/>
      <c r="AH115" s="67"/>
    </row>
    <row r="116">
      <c r="A116" s="171"/>
      <c r="B116" s="172"/>
      <c r="C116" s="172"/>
      <c r="D116" s="172"/>
      <c r="E116" s="172"/>
      <c r="F116" s="172"/>
      <c r="G116" s="172"/>
      <c r="H116" s="172"/>
      <c r="I116" s="172"/>
      <c r="J116" s="172"/>
      <c r="K116" s="172"/>
      <c r="L116" s="172"/>
      <c r="M116" s="172"/>
      <c r="N116" s="172"/>
      <c r="O116" s="172"/>
      <c r="P116" s="172"/>
      <c r="Q116" s="172"/>
      <c r="R116" s="173"/>
      <c r="S116" s="67"/>
      <c r="T116" s="67"/>
      <c r="U116" s="67"/>
      <c r="V116" s="67"/>
      <c r="W116" s="67"/>
      <c r="X116" s="67"/>
      <c r="Y116" s="67"/>
      <c r="Z116" s="67"/>
      <c r="AA116" s="67"/>
      <c r="AB116" s="67"/>
      <c r="AC116" s="67"/>
      <c r="AD116" s="67"/>
      <c r="AE116" s="67"/>
      <c r="AF116" s="67"/>
      <c r="AG116" s="67"/>
      <c r="AH116" s="67"/>
    </row>
    <row r="117">
      <c r="A117" s="174"/>
      <c r="B117" s="175"/>
      <c r="C117" s="175"/>
      <c r="D117" s="175"/>
      <c r="E117" s="175"/>
      <c r="F117" s="175"/>
      <c r="G117" s="175"/>
      <c r="H117" s="175"/>
      <c r="I117" s="175"/>
      <c r="J117" s="175"/>
      <c r="K117" s="175"/>
      <c r="L117" s="175"/>
      <c r="M117" s="175"/>
      <c r="N117" s="175"/>
      <c r="O117" s="175"/>
      <c r="P117" s="175"/>
      <c r="Q117" s="175"/>
      <c r="R117" s="176"/>
      <c r="S117" s="67"/>
      <c r="T117" s="67"/>
      <c r="U117" s="67"/>
      <c r="V117" s="67"/>
      <c r="W117" s="67"/>
      <c r="X117" s="67"/>
      <c r="Y117" s="67"/>
      <c r="Z117" s="67"/>
      <c r="AA117" s="67"/>
      <c r="AB117" s="67"/>
      <c r="AC117" s="67"/>
      <c r="AD117" s="67"/>
      <c r="AE117" s="67"/>
      <c r="AF117" s="67"/>
      <c r="AG117" s="67"/>
      <c r="AH117" s="67"/>
    </row>
    <row r="118">
      <c r="A118" s="171"/>
      <c r="B118" s="172"/>
      <c r="C118" s="172"/>
      <c r="D118" s="172"/>
      <c r="E118" s="172"/>
      <c r="F118" s="172"/>
      <c r="G118" s="172"/>
      <c r="H118" s="172"/>
      <c r="I118" s="172"/>
      <c r="J118" s="172"/>
      <c r="K118" s="172"/>
      <c r="L118" s="172"/>
      <c r="M118" s="172"/>
      <c r="N118" s="172"/>
      <c r="O118" s="172"/>
      <c r="P118" s="172"/>
      <c r="Q118" s="172"/>
      <c r="R118" s="173"/>
      <c r="S118" s="67"/>
      <c r="T118" s="67"/>
      <c r="U118" s="67"/>
      <c r="V118" s="67"/>
      <c r="W118" s="67"/>
      <c r="X118" s="67"/>
      <c r="Y118" s="67"/>
      <c r="Z118" s="67"/>
      <c r="AA118" s="67"/>
      <c r="AB118" s="67"/>
      <c r="AC118" s="67"/>
      <c r="AD118" s="67"/>
      <c r="AE118" s="67"/>
      <c r="AF118" s="67"/>
      <c r="AG118" s="67"/>
      <c r="AH118" s="67"/>
    </row>
    <row r="119">
      <c r="A119" s="174"/>
      <c r="B119" s="175"/>
      <c r="C119" s="175"/>
      <c r="D119" s="175"/>
      <c r="E119" s="175"/>
      <c r="F119" s="175"/>
      <c r="G119" s="175"/>
      <c r="H119" s="175"/>
      <c r="I119" s="175"/>
      <c r="J119" s="175"/>
      <c r="K119" s="175"/>
      <c r="L119" s="175"/>
      <c r="M119" s="175"/>
      <c r="N119" s="175"/>
      <c r="O119" s="175"/>
      <c r="P119" s="175"/>
      <c r="Q119" s="175"/>
      <c r="R119" s="176"/>
      <c r="S119" s="67"/>
      <c r="T119" s="67"/>
      <c r="U119" s="67"/>
      <c r="V119" s="67"/>
      <c r="W119" s="67"/>
      <c r="X119" s="67"/>
      <c r="Y119" s="67"/>
      <c r="Z119" s="67"/>
      <c r="AA119" s="67"/>
      <c r="AB119" s="67"/>
      <c r="AC119" s="67"/>
      <c r="AD119" s="67"/>
      <c r="AE119" s="67"/>
      <c r="AF119" s="67"/>
      <c r="AG119" s="67"/>
      <c r="AH119" s="67"/>
    </row>
    <row r="120">
      <c r="A120" s="171"/>
      <c r="B120" s="172"/>
      <c r="C120" s="172"/>
      <c r="D120" s="172"/>
      <c r="E120" s="172"/>
      <c r="F120" s="172"/>
      <c r="G120" s="172"/>
      <c r="H120" s="172"/>
      <c r="I120" s="172"/>
      <c r="J120" s="172"/>
      <c r="K120" s="172"/>
      <c r="L120" s="172"/>
      <c r="M120" s="172"/>
      <c r="N120" s="172"/>
      <c r="O120" s="172"/>
      <c r="P120" s="172"/>
      <c r="Q120" s="172"/>
      <c r="R120" s="173"/>
      <c r="S120" s="67"/>
      <c r="T120" s="67"/>
      <c r="U120" s="67"/>
      <c r="V120" s="67"/>
      <c r="W120" s="67"/>
      <c r="X120" s="67"/>
      <c r="Y120" s="67"/>
      <c r="Z120" s="67"/>
      <c r="AA120" s="67"/>
      <c r="AB120" s="67"/>
      <c r="AC120" s="67"/>
      <c r="AD120" s="67"/>
      <c r="AE120" s="67"/>
      <c r="AF120" s="67"/>
      <c r="AG120" s="67"/>
      <c r="AH120" s="67"/>
    </row>
    <row r="121">
      <c r="A121" s="174"/>
      <c r="B121" s="175"/>
      <c r="C121" s="175"/>
      <c r="D121" s="175"/>
      <c r="E121" s="175"/>
      <c r="F121" s="175"/>
      <c r="G121" s="175"/>
      <c r="H121" s="175"/>
      <c r="I121" s="175"/>
      <c r="J121" s="175"/>
      <c r="K121" s="175"/>
      <c r="L121" s="175"/>
      <c r="M121" s="175"/>
      <c r="N121" s="175"/>
      <c r="O121" s="175"/>
      <c r="P121" s="175"/>
      <c r="Q121" s="175"/>
      <c r="R121" s="176"/>
      <c r="S121" s="67"/>
      <c r="T121" s="67"/>
      <c r="U121" s="67"/>
      <c r="V121" s="67"/>
      <c r="W121" s="67"/>
      <c r="X121" s="67"/>
      <c r="Y121" s="67"/>
      <c r="Z121" s="67"/>
      <c r="AA121" s="67"/>
      <c r="AB121" s="67"/>
      <c r="AC121" s="67"/>
      <c r="AD121" s="67"/>
      <c r="AE121" s="67"/>
      <c r="AF121" s="67"/>
      <c r="AG121" s="67"/>
      <c r="AH121" s="67"/>
    </row>
    <row r="122">
      <c r="A122" s="171"/>
      <c r="B122" s="172"/>
      <c r="C122" s="172"/>
      <c r="D122" s="172"/>
      <c r="E122" s="172"/>
      <c r="F122" s="172"/>
      <c r="G122" s="172"/>
      <c r="H122" s="172"/>
      <c r="I122" s="172"/>
      <c r="J122" s="172"/>
      <c r="K122" s="172"/>
      <c r="L122" s="172"/>
      <c r="M122" s="172"/>
      <c r="N122" s="172"/>
      <c r="O122" s="172"/>
      <c r="P122" s="172"/>
      <c r="Q122" s="172"/>
      <c r="R122" s="173"/>
      <c r="S122" s="67"/>
      <c r="T122" s="67"/>
      <c r="U122" s="67"/>
      <c r="V122" s="67"/>
      <c r="W122" s="67"/>
      <c r="X122" s="67"/>
      <c r="Y122" s="67"/>
      <c r="Z122" s="67"/>
      <c r="AA122" s="67"/>
      <c r="AB122" s="67"/>
      <c r="AC122" s="67"/>
      <c r="AD122" s="67"/>
      <c r="AE122" s="67"/>
      <c r="AF122" s="67"/>
      <c r="AG122" s="67"/>
      <c r="AH122" s="67"/>
    </row>
    <row r="123">
      <c r="A123" s="174"/>
      <c r="B123" s="175"/>
      <c r="C123" s="175"/>
      <c r="D123" s="175"/>
      <c r="E123" s="175"/>
      <c r="F123" s="175"/>
      <c r="G123" s="175"/>
      <c r="H123" s="175"/>
      <c r="I123" s="175"/>
      <c r="J123" s="175"/>
      <c r="K123" s="175"/>
      <c r="L123" s="175"/>
      <c r="M123" s="175"/>
      <c r="N123" s="175"/>
      <c r="O123" s="175"/>
      <c r="P123" s="175"/>
      <c r="Q123" s="175"/>
      <c r="R123" s="176"/>
      <c r="S123" s="67"/>
      <c r="T123" s="67"/>
      <c r="U123" s="67"/>
      <c r="V123" s="67"/>
      <c r="W123" s="67"/>
      <c r="X123" s="67"/>
      <c r="Y123" s="67"/>
      <c r="Z123" s="67"/>
      <c r="AA123" s="67"/>
      <c r="AB123" s="67"/>
      <c r="AC123" s="67"/>
      <c r="AD123" s="67"/>
      <c r="AE123" s="67"/>
      <c r="AF123" s="67"/>
      <c r="AG123" s="67"/>
      <c r="AH123" s="67"/>
    </row>
    <row r="124">
      <c r="A124" s="171"/>
      <c r="B124" s="172"/>
      <c r="C124" s="172"/>
      <c r="D124" s="172"/>
      <c r="E124" s="172"/>
      <c r="F124" s="172"/>
      <c r="G124" s="172"/>
      <c r="H124" s="172"/>
      <c r="I124" s="172"/>
      <c r="J124" s="172"/>
      <c r="K124" s="172"/>
      <c r="L124" s="172"/>
      <c r="M124" s="172"/>
      <c r="N124" s="172"/>
      <c r="O124" s="172"/>
      <c r="P124" s="172"/>
      <c r="Q124" s="172"/>
      <c r="R124" s="173"/>
      <c r="S124" s="67"/>
      <c r="T124" s="67"/>
      <c r="U124" s="67"/>
      <c r="V124" s="67"/>
      <c r="W124" s="67"/>
      <c r="X124" s="67"/>
      <c r="Y124" s="67"/>
      <c r="Z124" s="67"/>
      <c r="AA124" s="67"/>
      <c r="AB124" s="67"/>
      <c r="AC124" s="67"/>
      <c r="AD124" s="67"/>
      <c r="AE124" s="67"/>
      <c r="AF124" s="67"/>
      <c r="AG124" s="67"/>
      <c r="AH124" s="67"/>
    </row>
    <row r="125">
      <c r="A125" s="174"/>
      <c r="B125" s="175"/>
      <c r="C125" s="175"/>
      <c r="D125" s="175"/>
      <c r="E125" s="175"/>
      <c r="F125" s="175"/>
      <c r="G125" s="175"/>
      <c r="H125" s="175"/>
      <c r="I125" s="175"/>
      <c r="J125" s="175"/>
      <c r="K125" s="175"/>
      <c r="L125" s="175"/>
      <c r="M125" s="175"/>
      <c r="N125" s="175"/>
      <c r="O125" s="175"/>
      <c r="P125" s="175"/>
      <c r="Q125" s="175"/>
      <c r="R125" s="176"/>
      <c r="S125" s="67"/>
      <c r="T125" s="67"/>
      <c r="U125" s="67"/>
      <c r="V125" s="67"/>
      <c r="W125" s="67"/>
      <c r="X125" s="67"/>
      <c r="Y125" s="67"/>
      <c r="Z125" s="67"/>
      <c r="AA125" s="67"/>
      <c r="AB125" s="67"/>
      <c r="AC125" s="67"/>
      <c r="AD125" s="67"/>
      <c r="AE125" s="67"/>
      <c r="AF125" s="67"/>
      <c r="AG125" s="67"/>
      <c r="AH125" s="67"/>
    </row>
    <row r="126">
      <c r="A126" s="171"/>
      <c r="B126" s="172"/>
      <c r="C126" s="172"/>
      <c r="D126" s="172"/>
      <c r="E126" s="172"/>
      <c r="F126" s="172"/>
      <c r="G126" s="172"/>
      <c r="H126" s="172"/>
      <c r="I126" s="172"/>
      <c r="J126" s="172"/>
      <c r="K126" s="172"/>
      <c r="L126" s="172"/>
      <c r="M126" s="172"/>
      <c r="N126" s="172"/>
      <c r="O126" s="172"/>
      <c r="P126" s="172"/>
      <c r="Q126" s="172"/>
      <c r="R126" s="173"/>
      <c r="S126" s="67"/>
      <c r="T126" s="67"/>
      <c r="U126" s="67"/>
      <c r="V126" s="67"/>
      <c r="W126" s="67"/>
      <c r="X126" s="67"/>
      <c r="Y126" s="67"/>
      <c r="Z126" s="67"/>
      <c r="AA126" s="67"/>
      <c r="AB126" s="67"/>
      <c r="AC126" s="67"/>
      <c r="AD126" s="67"/>
      <c r="AE126" s="67"/>
      <c r="AF126" s="67"/>
      <c r="AG126" s="67"/>
      <c r="AH126" s="67"/>
    </row>
    <row r="127">
      <c r="A127" s="174"/>
      <c r="B127" s="175"/>
      <c r="C127" s="175"/>
      <c r="D127" s="175"/>
      <c r="E127" s="175"/>
      <c r="F127" s="175"/>
      <c r="G127" s="175"/>
      <c r="H127" s="175"/>
      <c r="I127" s="175"/>
      <c r="J127" s="175"/>
      <c r="K127" s="175"/>
      <c r="L127" s="175"/>
      <c r="M127" s="175"/>
      <c r="N127" s="175"/>
      <c r="O127" s="175"/>
      <c r="P127" s="175"/>
      <c r="Q127" s="175"/>
      <c r="R127" s="176"/>
      <c r="S127" s="67"/>
      <c r="T127" s="67"/>
      <c r="U127" s="67"/>
      <c r="V127" s="67"/>
      <c r="W127" s="67"/>
      <c r="X127" s="67"/>
      <c r="Y127" s="67"/>
      <c r="Z127" s="67"/>
      <c r="AA127" s="67"/>
      <c r="AB127" s="67"/>
      <c r="AC127" s="67"/>
      <c r="AD127" s="67"/>
      <c r="AE127" s="67"/>
      <c r="AF127" s="67"/>
      <c r="AG127" s="67"/>
      <c r="AH127" s="67"/>
    </row>
    <row r="128">
      <c r="A128" s="171"/>
      <c r="B128" s="172"/>
      <c r="C128" s="172"/>
      <c r="D128" s="172"/>
      <c r="E128" s="172"/>
      <c r="F128" s="172"/>
      <c r="G128" s="172"/>
      <c r="H128" s="172"/>
      <c r="I128" s="172"/>
      <c r="J128" s="172"/>
      <c r="K128" s="172"/>
      <c r="L128" s="172"/>
      <c r="M128" s="172"/>
      <c r="N128" s="172"/>
      <c r="O128" s="172"/>
      <c r="P128" s="172"/>
      <c r="Q128" s="172"/>
      <c r="R128" s="173"/>
      <c r="S128" s="67"/>
      <c r="T128" s="67"/>
      <c r="U128" s="67"/>
      <c r="V128" s="67"/>
      <c r="W128" s="67"/>
      <c r="X128" s="67"/>
      <c r="Y128" s="67"/>
      <c r="Z128" s="67"/>
      <c r="AA128" s="67"/>
      <c r="AB128" s="67"/>
      <c r="AC128" s="67"/>
      <c r="AD128" s="67"/>
      <c r="AE128" s="67"/>
      <c r="AF128" s="67"/>
      <c r="AG128" s="67"/>
      <c r="AH128" s="67"/>
    </row>
    <row r="129">
      <c r="A129" s="174"/>
      <c r="B129" s="175"/>
      <c r="C129" s="175"/>
      <c r="D129" s="175"/>
      <c r="E129" s="175"/>
      <c r="F129" s="175"/>
      <c r="G129" s="175"/>
      <c r="H129" s="175"/>
      <c r="I129" s="175"/>
      <c r="J129" s="175"/>
      <c r="K129" s="175"/>
      <c r="L129" s="175"/>
      <c r="M129" s="175"/>
      <c r="N129" s="175"/>
      <c r="O129" s="175"/>
      <c r="P129" s="175"/>
      <c r="Q129" s="175"/>
      <c r="R129" s="176"/>
      <c r="S129" s="67"/>
      <c r="T129" s="67"/>
      <c r="U129" s="67"/>
      <c r="V129" s="67"/>
      <c r="W129" s="67"/>
      <c r="X129" s="67"/>
      <c r="Y129" s="67"/>
      <c r="Z129" s="67"/>
      <c r="AA129" s="67"/>
      <c r="AB129" s="67"/>
      <c r="AC129" s="67"/>
      <c r="AD129" s="67"/>
      <c r="AE129" s="67"/>
      <c r="AF129" s="67"/>
      <c r="AG129" s="67"/>
      <c r="AH129" s="67"/>
    </row>
    <row r="130">
      <c r="A130" s="171"/>
      <c r="B130" s="172"/>
      <c r="C130" s="172"/>
      <c r="D130" s="172"/>
      <c r="E130" s="172"/>
      <c r="F130" s="172"/>
      <c r="G130" s="172"/>
      <c r="H130" s="172"/>
      <c r="I130" s="172"/>
      <c r="J130" s="172"/>
      <c r="K130" s="172"/>
      <c r="L130" s="172"/>
      <c r="M130" s="172"/>
      <c r="N130" s="172"/>
      <c r="O130" s="172"/>
      <c r="P130" s="172"/>
      <c r="Q130" s="172"/>
      <c r="R130" s="173"/>
      <c r="S130" s="67"/>
      <c r="T130" s="67"/>
      <c r="U130" s="67"/>
      <c r="V130" s="67"/>
      <c r="W130" s="67"/>
      <c r="X130" s="67"/>
      <c r="Y130" s="67"/>
      <c r="Z130" s="67"/>
      <c r="AA130" s="67"/>
      <c r="AB130" s="67"/>
      <c r="AC130" s="67"/>
      <c r="AD130" s="67"/>
      <c r="AE130" s="67"/>
      <c r="AF130" s="67"/>
      <c r="AG130" s="67"/>
      <c r="AH130" s="67"/>
    </row>
    <row r="131">
      <c r="A131" s="174"/>
      <c r="B131" s="175"/>
      <c r="C131" s="175"/>
      <c r="D131" s="175"/>
      <c r="E131" s="175"/>
      <c r="F131" s="175"/>
      <c r="G131" s="175"/>
      <c r="H131" s="175"/>
      <c r="I131" s="175"/>
      <c r="J131" s="175"/>
      <c r="K131" s="175"/>
      <c r="L131" s="175"/>
      <c r="M131" s="175"/>
      <c r="N131" s="175"/>
      <c r="O131" s="175"/>
      <c r="P131" s="175"/>
      <c r="Q131" s="175"/>
      <c r="R131" s="176"/>
      <c r="S131" s="67"/>
      <c r="T131" s="67"/>
      <c r="U131" s="67"/>
      <c r="V131" s="67"/>
      <c r="W131" s="67"/>
      <c r="X131" s="67"/>
      <c r="Y131" s="67"/>
      <c r="Z131" s="67"/>
      <c r="AA131" s="67"/>
      <c r="AB131" s="67"/>
      <c r="AC131" s="67"/>
      <c r="AD131" s="67"/>
      <c r="AE131" s="67"/>
      <c r="AF131" s="67"/>
      <c r="AG131" s="67"/>
      <c r="AH131" s="67"/>
    </row>
    <row r="132">
      <c r="A132" s="171"/>
      <c r="B132" s="172"/>
      <c r="C132" s="172"/>
      <c r="D132" s="172"/>
      <c r="E132" s="172"/>
      <c r="F132" s="172"/>
      <c r="G132" s="172"/>
      <c r="H132" s="172"/>
      <c r="I132" s="172"/>
      <c r="J132" s="172"/>
      <c r="K132" s="172"/>
      <c r="L132" s="172"/>
      <c r="M132" s="172"/>
      <c r="N132" s="172"/>
      <c r="O132" s="172"/>
      <c r="P132" s="172"/>
      <c r="Q132" s="172"/>
      <c r="R132" s="173"/>
      <c r="S132" s="67"/>
      <c r="T132" s="67"/>
      <c r="U132" s="67"/>
      <c r="V132" s="67"/>
      <c r="W132" s="67"/>
      <c r="X132" s="67"/>
      <c r="Y132" s="67"/>
      <c r="Z132" s="67"/>
      <c r="AA132" s="67"/>
      <c r="AB132" s="67"/>
      <c r="AC132" s="67"/>
      <c r="AD132" s="67"/>
      <c r="AE132" s="67"/>
      <c r="AF132" s="67"/>
      <c r="AG132" s="67"/>
      <c r="AH132" s="67"/>
    </row>
    <row r="133">
      <c r="A133" s="174"/>
      <c r="B133" s="175"/>
      <c r="C133" s="175"/>
      <c r="D133" s="175"/>
      <c r="E133" s="175"/>
      <c r="F133" s="175"/>
      <c r="G133" s="175"/>
      <c r="H133" s="175"/>
      <c r="I133" s="175"/>
      <c r="J133" s="175"/>
      <c r="K133" s="175"/>
      <c r="L133" s="175"/>
      <c r="M133" s="175"/>
      <c r="N133" s="175"/>
      <c r="O133" s="175"/>
      <c r="P133" s="175"/>
      <c r="Q133" s="175"/>
      <c r="R133" s="176"/>
      <c r="S133" s="67"/>
      <c r="T133" s="67"/>
      <c r="U133" s="67"/>
      <c r="V133" s="67"/>
      <c r="W133" s="67"/>
      <c r="X133" s="67"/>
      <c r="Y133" s="67"/>
      <c r="Z133" s="67"/>
      <c r="AA133" s="67"/>
      <c r="AB133" s="67"/>
      <c r="AC133" s="67"/>
      <c r="AD133" s="67"/>
      <c r="AE133" s="67"/>
      <c r="AF133" s="67"/>
      <c r="AG133" s="67"/>
      <c r="AH133" s="67"/>
    </row>
    <row r="134">
      <c r="A134" s="171"/>
      <c r="B134" s="172"/>
      <c r="C134" s="172"/>
      <c r="D134" s="172"/>
      <c r="E134" s="172"/>
      <c r="F134" s="172"/>
      <c r="G134" s="172"/>
      <c r="H134" s="172"/>
      <c r="I134" s="172"/>
      <c r="J134" s="172"/>
      <c r="K134" s="172"/>
      <c r="L134" s="172"/>
      <c r="M134" s="172"/>
      <c r="N134" s="172"/>
      <c r="O134" s="172"/>
      <c r="P134" s="172"/>
      <c r="Q134" s="172"/>
      <c r="R134" s="173"/>
      <c r="S134" s="67"/>
      <c r="T134" s="67"/>
      <c r="U134" s="67"/>
      <c r="V134" s="67"/>
      <c r="W134" s="67"/>
      <c r="X134" s="67"/>
      <c r="Y134" s="67"/>
      <c r="Z134" s="67"/>
      <c r="AA134" s="67"/>
      <c r="AB134" s="67"/>
      <c r="AC134" s="67"/>
      <c r="AD134" s="67"/>
      <c r="AE134" s="67"/>
      <c r="AF134" s="67"/>
      <c r="AG134" s="67"/>
      <c r="AH134" s="67"/>
    </row>
    <row r="135">
      <c r="A135" s="174"/>
      <c r="B135" s="175"/>
      <c r="C135" s="175"/>
      <c r="D135" s="175"/>
      <c r="E135" s="175"/>
      <c r="F135" s="175"/>
      <c r="G135" s="175"/>
      <c r="H135" s="175"/>
      <c r="I135" s="175"/>
      <c r="J135" s="175"/>
      <c r="K135" s="175"/>
      <c r="L135" s="175"/>
      <c r="M135" s="175"/>
      <c r="N135" s="175"/>
      <c r="O135" s="175"/>
      <c r="P135" s="175"/>
      <c r="Q135" s="175"/>
      <c r="R135" s="176"/>
      <c r="S135" s="67"/>
      <c r="T135" s="67"/>
      <c r="U135" s="67"/>
      <c r="V135" s="67"/>
      <c r="W135" s="67"/>
      <c r="X135" s="67"/>
      <c r="Y135" s="67"/>
      <c r="Z135" s="67"/>
      <c r="AA135" s="67"/>
      <c r="AB135" s="67"/>
      <c r="AC135" s="67"/>
      <c r="AD135" s="67"/>
      <c r="AE135" s="67"/>
      <c r="AF135" s="67"/>
      <c r="AG135" s="67"/>
      <c r="AH135" s="67"/>
    </row>
    <row r="136">
      <c r="A136" s="171"/>
      <c r="B136" s="172"/>
      <c r="C136" s="172"/>
      <c r="D136" s="172"/>
      <c r="E136" s="172"/>
      <c r="F136" s="172"/>
      <c r="G136" s="172"/>
      <c r="H136" s="172"/>
      <c r="I136" s="172"/>
      <c r="J136" s="172"/>
      <c r="K136" s="172"/>
      <c r="L136" s="172"/>
      <c r="M136" s="172"/>
      <c r="N136" s="172"/>
      <c r="O136" s="172"/>
      <c r="P136" s="172"/>
      <c r="Q136" s="172"/>
      <c r="R136" s="173"/>
      <c r="S136" s="67"/>
      <c r="T136" s="67"/>
      <c r="U136" s="67"/>
      <c r="V136" s="67"/>
      <c r="W136" s="67"/>
      <c r="X136" s="67"/>
      <c r="Y136" s="67"/>
      <c r="Z136" s="67"/>
      <c r="AA136" s="67"/>
      <c r="AB136" s="67"/>
      <c r="AC136" s="67"/>
      <c r="AD136" s="67"/>
      <c r="AE136" s="67"/>
      <c r="AF136" s="67"/>
      <c r="AG136" s="67"/>
      <c r="AH136" s="67"/>
    </row>
    <row r="137">
      <c r="A137" s="174"/>
      <c r="B137" s="175"/>
      <c r="C137" s="175"/>
      <c r="D137" s="175"/>
      <c r="E137" s="175"/>
      <c r="F137" s="175"/>
      <c r="G137" s="175"/>
      <c r="H137" s="175"/>
      <c r="I137" s="175"/>
      <c r="J137" s="175"/>
      <c r="K137" s="175"/>
      <c r="L137" s="175"/>
      <c r="M137" s="175"/>
      <c r="N137" s="175"/>
      <c r="O137" s="175"/>
      <c r="P137" s="175"/>
      <c r="Q137" s="175"/>
      <c r="R137" s="176"/>
      <c r="S137" s="67"/>
      <c r="T137" s="67"/>
      <c r="U137" s="67"/>
      <c r="V137" s="67"/>
      <c r="W137" s="67"/>
      <c r="X137" s="67"/>
      <c r="Y137" s="67"/>
      <c r="Z137" s="67"/>
      <c r="AA137" s="67"/>
      <c r="AB137" s="67"/>
      <c r="AC137" s="67"/>
      <c r="AD137" s="67"/>
      <c r="AE137" s="67"/>
      <c r="AF137" s="67"/>
      <c r="AG137" s="67"/>
      <c r="AH137" s="67"/>
    </row>
    <row r="138">
      <c r="A138" s="171"/>
      <c r="B138" s="172"/>
      <c r="C138" s="172"/>
      <c r="D138" s="172"/>
      <c r="E138" s="172"/>
      <c r="F138" s="172"/>
      <c r="G138" s="172"/>
      <c r="H138" s="172"/>
      <c r="I138" s="172"/>
      <c r="J138" s="172"/>
      <c r="K138" s="172"/>
      <c r="L138" s="172"/>
      <c r="M138" s="172"/>
      <c r="N138" s="172"/>
      <c r="O138" s="172"/>
      <c r="P138" s="172"/>
      <c r="Q138" s="172"/>
      <c r="R138" s="173"/>
      <c r="S138" s="67"/>
      <c r="T138" s="67"/>
      <c r="U138" s="67"/>
      <c r="V138" s="67"/>
      <c r="W138" s="67"/>
      <c r="X138" s="67"/>
      <c r="Y138" s="67"/>
      <c r="Z138" s="67"/>
      <c r="AA138" s="67"/>
      <c r="AB138" s="67"/>
      <c r="AC138" s="67"/>
      <c r="AD138" s="67"/>
      <c r="AE138" s="67"/>
      <c r="AF138" s="67"/>
      <c r="AG138" s="67"/>
      <c r="AH138" s="67"/>
    </row>
    <row r="139">
      <c r="A139" s="174"/>
      <c r="B139" s="175"/>
      <c r="C139" s="175"/>
      <c r="D139" s="175"/>
      <c r="E139" s="175"/>
      <c r="F139" s="175"/>
      <c r="G139" s="175"/>
      <c r="H139" s="175"/>
      <c r="I139" s="175"/>
      <c r="J139" s="175"/>
      <c r="K139" s="175"/>
      <c r="L139" s="175"/>
      <c r="M139" s="175"/>
      <c r="N139" s="175"/>
      <c r="O139" s="175"/>
      <c r="P139" s="175"/>
      <c r="Q139" s="175"/>
      <c r="R139" s="176"/>
      <c r="S139" s="67"/>
      <c r="T139" s="67"/>
      <c r="U139" s="67"/>
      <c r="V139" s="67"/>
      <c r="W139" s="67"/>
      <c r="X139" s="67"/>
      <c r="Y139" s="67"/>
      <c r="Z139" s="67"/>
      <c r="AA139" s="67"/>
      <c r="AB139" s="67"/>
      <c r="AC139" s="67"/>
      <c r="AD139" s="67"/>
      <c r="AE139" s="67"/>
      <c r="AF139" s="67"/>
      <c r="AG139" s="67"/>
      <c r="AH139" s="67"/>
    </row>
    <row r="140">
      <c r="A140" s="171"/>
      <c r="B140" s="172"/>
      <c r="C140" s="172"/>
      <c r="D140" s="172"/>
      <c r="E140" s="172"/>
      <c r="F140" s="172"/>
      <c r="G140" s="172"/>
      <c r="H140" s="172"/>
      <c r="I140" s="172"/>
      <c r="J140" s="172"/>
      <c r="K140" s="172"/>
      <c r="L140" s="172"/>
      <c r="M140" s="172"/>
      <c r="N140" s="172"/>
      <c r="O140" s="172"/>
      <c r="P140" s="172"/>
      <c r="Q140" s="172"/>
      <c r="R140" s="173"/>
      <c r="S140" s="67"/>
      <c r="T140" s="67"/>
      <c r="U140" s="67"/>
      <c r="V140" s="67"/>
      <c r="W140" s="67"/>
      <c r="X140" s="67"/>
      <c r="Y140" s="67"/>
      <c r="Z140" s="67"/>
      <c r="AA140" s="67"/>
      <c r="AB140" s="67"/>
      <c r="AC140" s="67"/>
      <c r="AD140" s="67"/>
      <c r="AE140" s="67"/>
      <c r="AF140" s="67"/>
      <c r="AG140" s="67"/>
      <c r="AH140" s="67"/>
    </row>
    <row r="141">
      <c r="A141" s="174"/>
      <c r="B141" s="175"/>
      <c r="C141" s="175"/>
      <c r="D141" s="175"/>
      <c r="E141" s="175"/>
      <c r="F141" s="175"/>
      <c r="G141" s="175"/>
      <c r="H141" s="175"/>
      <c r="I141" s="175"/>
      <c r="J141" s="175"/>
      <c r="K141" s="175"/>
      <c r="L141" s="175"/>
      <c r="M141" s="175"/>
      <c r="N141" s="175"/>
      <c r="O141" s="175"/>
      <c r="P141" s="175"/>
      <c r="Q141" s="175"/>
      <c r="R141" s="176"/>
      <c r="S141" s="67"/>
      <c r="T141" s="67"/>
      <c r="U141" s="67"/>
      <c r="V141" s="67"/>
      <c r="W141" s="67"/>
      <c r="X141" s="67"/>
      <c r="Y141" s="67"/>
      <c r="Z141" s="67"/>
      <c r="AA141" s="67"/>
      <c r="AB141" s="67"/>
      <c r="AC141" s="67"/>
      <c r="AD141" s="67"/>
      <c r="AE141" s="67"/>
      <c r="AF141" s="67"/>
      <c r="AG141" s="67"/>
      <c r="AH141" s="67"/>
    </row>
    <row r="142">
      <c r="A142" s="171"/>
      <c r="B142" s="172"/>
      <c r="C142" s="172"/>
      <c r="D142" s="172"/>
      <c r="E142" s="172"/>
      <c r="F142" s="172"/>
      <c r="G142" s="172"/>
      <c r="H142" s="172"/>
      <c r="I142" s="172"/>
      <c r="J142" s="172"/>
      <c r="K142" s="172"/>
      <c r="L142" s="172"/>
      <c r="M142" s="172"/>
      <c r="N142" s="172"/>
      <c r="O142" s="172"/>
      <c r="P142" s="172"/>
      <c r="Q142" s="172"/>
      <c r="R142" s="173"/>
      <c r="S142" s="67"/>
      <c r="T142" s="67"/>
      <c r="U142" s="67"/>
      <c r="V142" s="67"/>
      <c r="W142" s="67"/>
      <c r="X142" s="67"/>
      <c r="Y142" s="67"/>
      <c r="Z142" s="67"/>
      <c r="AA142" s="67"/>
      <c r="AB142" s="67"/>
      <c r="AC142" s="67"/>
      <c r="AD142" s="67"/>
      <c r="AE142" s="67"/>
      <c r="AF142" s="67"/>
      <c r="AG142" s="67"/>
      <c r="AH142" s="67"/>
    </row>
    <row r="143">
      <c r="A143" s="174"/>
      <c r="B143" s="175"/>
      <c r="C143" s="175"/>
      <c r="D143" s="175"/>
      <c r="E143" s="175"/>
      <c r="F143" s="175"/>
      <c r="G143" s="175"/>
      <c r="H143" s="175"/>
      <c r="I143" s="175"/>
      <c r="J143" s="175"/>
      <c r="K143" s="175"/>
      <c r="L143" s="175"/>
      <c r="M143" s="175"/>
      <c r="N143" s="175"/>
      <c r="O143" s="175"/>
      <c r="P143" s="175"/>
      <c r="Q143" s="175"/>
      <c r="R143" s="176"/>
      <c r="S143" s="67"/>
      <c r="T143" s="67"/>
      <c r="U143" s="67"/>
      <c r="V143" s="67"/>
      <c r="W143" s="67"/>
      <c r="X143" s="67"/>
      <c r="Y143" s="67"/>
      <c r="Z143" s="67"/>
      <c r="AA143" s="67"/>
      <c r="AB143" s="67"/>
      <c r="AC143" s="67"/>
      <c r="AD143" s="67"/>
      <c r="AE143" s="67"/>
      <c r="AF143" s="67"/>
      <c r="AG143" s="67"/>
      <c r="AH143" s="67"/>
    </row>
    <row r="144">
      <c r="A144" s="171"/>
      <c r="B144" s="172"/>
      <c r="C144" s="172"/>
      <c r="D144" s="172"/>
      <c r="E144" s="172"/>
      <c r="F144" s="172"/>
      <c r="G144" s="172"/>
      <c r="H144" s="172"/>
      <c r="I144" s="172"/>
      <c r="J144" s="172"/>
      <c r="K144" s="172"/>
      <c r="L144" s="172"/>
      <c r="M144" s="172"/>
      <c r="N144" s="172"/>
      <c r="O144" s="172"/>
      <c r="P144" s="172"/>
      <c r="Q144" s="172"/>
      <c r="R144" s="173"/>
      <c r="S144" s="67"/>
      <c r="T144" s="67"/>
      <c r="U144" s="67"/>
      <c r="V144" s="67"/>
      <c r="W144" s="67"/>
      <c r="X144" s="67"/>
      <c r="Y144" s="67"/>
      <c r="Z144" s="67"/>
      <c r="AA144" s="67"/>
      <c r="AB144" s="67"/>
      <c r="AC144" s="67"/>
      <c r="AD144" s="67"/>
      <c r="AE144" s="67"/>
      <c r="AF144" s="67"/>
      <c r="AG144" s="67"/>
      <c r="AH144" s="67"/>
    </row>
    <row r="145">
      <c r="A145" s="174"/>
      <c r="B145" s="175"/>
      <c r="C145" s="175"/>
      <c r="D145" s="175"/>
      <c r="E145" s="175"/>
      <c r="F145" s="175"/>
      <c r="G145" s="175"/>
      <c r="H145" s="175"/>
      <c r="I145" s="175"/>
      <c r="J145" s="175"/>
      <c r="K145" s="175"/>
      <c r="L145" s="175"/>
      <c r="M145" s="175"/>
      <c r="N145" s="175"/>
      <c r="O145" s="175"/>
      <c r="P145" s="175"/>
      <c r="Q145" s="175"/>
      <c r="R145" s="176"/>
      <c r="S145" s="67"/>
      <c r="T145" s="67"/>
      <c r="U145" s="67"/>
      <c r="V145" s="67"/>
      <c r="W145" s="67"/>
      <c r="X145" s="67"/>
      <c r="Y145" s="67"/>
      <c r="Z145" s="67"/>
      <c r="AA145" s="67"/>
      <c r="AB145" s="67"/>
      <c r="AC145" s="67"/>
      <c r="AD145" s="67"/>
      <c r="AE145" s="67"/>
      <c r="AF145" s="67"/>
      <c r="AG145" s="67"/>
      <c r="AH145" s="67"/>
    </row>
    <row r="146">
      <c r="A146" s="171"/>
      <c r="B146" s="172"/>
      <c r="C146" s="172"/>
      <c r="D146" s="172"/>
      <c r="E146" s="172"/>
      <c r="F146" s="172"/>
      <c r="G146" s="172"/>
      <c r="H146" s="172"/>
      <c r="I146" s="172"/>
      <c r="J146" s="172"/>
      <c r="K146" s="172"/>
      <c r="L146" s="172"/>
      <c r="M146" s="172"/>
      <c r="N146" s="172"/>
      <c r="O146" s="172"/>
      <c r="P146" s="172"/>
      <c r="Q146" s="172"/>
      <c r="R146" s="173"/>
      <c r="S146" s="67"/>
      <c r="T146" s="67"/>
      <c r="U146" s="67"/>
      <c r="V146" s="67"/>
      <c r="W146" s="67"/>
      <c r="X146" s="67"/>
      <c r="Y146" s="67"/>
      <c r="Z146" s="67"/>
      <c r="AA146" s="67"/>
      <c r="AB146" s="67"/>
      <c r="AC146" s="67"/>
      <c r="AD146" s="67"/>
      <c r="AE146" s="67"/>
      <c r="AF146" s="67"/>
      <c r="AG146" s="67"/>
      <c r="AH146" s="67"/>
    </row>
    <row r="147">
      <c r="A147" s="174"/>
      <c r="B147" s="175"/>
      <c r="C147" s="175"/>
      <c r="D147" s="175"/>
      <c r="E147" s="175"/>
      <c r="F147" s="175"/>
      <c r="G147" s="175"/>
      <c r="H147" s="175"/>
      <c r="I147" s="175"/>
      <c r="J147" s="175"/>
      <c r="K147" s="175"/>
      <c r="L147" s="175"/>
      <c r="M147" s="175"/>
      <c r="N147" s="175"/>
      <c r="O147" s="175"/>
      <c r="P147" s="175"/>
      <c r="Q147" s="175"/>
      <c r="R147" s="176"/>
      <c r="S147" s="67"/>
      <c r="T147" s="67"/>
      <c r="U147" s="67"/>
      <c r="V147" s="67"/>
      <c r="W147" s="67"/>
      <c r="X147" s="67"/>
      <c r="Y147" s="67"/>
      <c r="Z147" s="67"/>
      <c r="AA147" s="67"/>
      <c r="AB147" s="67"/>
      <c r="AC147" s="67"/>
      <c r="AD147" s="67"/>
      <c r="AE147" s="67"/>
      <c r="AF147" s="67"/>
      <c r="AG147" s="67"/>
      <c r="AH147" s="67"/>
    </row>
    <row r="148">
      <c r="A148" s="171"/>
      <c r="B148" s="172"/>
      <c r="C148" s="172"/>
      <c r="D148" s="172"/>
      <c r="E148" s="172"/>
      <c r="F148" s="172"/>
      <c r="G148" s="172"/>
      <c r="H148" s="172"/>
      <c r="I148" s="172"/>
      <c r="J148" s="172"/>
      <c r="K148" s="172"/>
      <c r="L148" s="172"/>
      <c r="M148" s="172"/>
      <c r="N148" s="172"/>
      <c r="O148" s="172"/>
      <c r="P148" s="172"/>
      <c r="Q148" s="172"/>
      <c r="R148" s="173"/>
      <c r="S148" s="67"/>
      <c r="T148" s="67"/>
      <c r="U148" s="67"/>
      <c r="V148" s="67"/>
      <c r="W148" s="67"/>
      <c r="X148" s="67"/>
      <c r="Y148" s="67"/>
      <c r="Z148" s="67"/>
      <c r="AA148" s="67"/>
      <c r="AB148" s="67"/>
      <c r="AC148" s="67"/>
      <c r="AD148" s="67"/>
      <c r="AE148" s="67"/>
      <c r="AF148" s="67"/>
      <c r="AG148" s="67"/>
      <c r="AH148" s="67"/>
    </row>
    <row r="149">
      <c r="A149" s="174"/>
      <c r="B149" s="175"/>
      <c r="C149" s="175"/>
      <c r="D149" s="175"/>
      <c r="E149" s="175"/>
      <c r="F149" s="175"/>
      <c r="G149" s="175"/>
      <c r="H149" s="175"/>
      <c r="I149" s="175"/>
      <c r="J149" s="175"/>
      <c r="K149" s="175"/>
      <c r="L149" s="175"/>
      <c r="M149" s="175"/>
      <c r="N149" s="175"/>
      <c r="O149" s="175"/>
      <c r="P149" s="175"/>
      <c r="Q149" s="175"/>
      <c r="R149" s="176"/>
      <c r="S149" s="67"/>
      <c r="T149" s="67"/>
      <c r="U149" s="67"/>
      <c r="V149" s="67"/>
      <c r="W149" s="67"/>
      <c r="X149" s="67"/>
      <c r="Y149" s="67"/>
      <c r="Z149" s="67"/>
      <c r="AA149" s="67"/>
      <c r="AB149" s="67"/>
      <c r="AC149" s="67"/>
      <c r="AD149" s="67"/>
      <c r="AE149" s="67"/>
      <c r="AF149" s="67"/>
      <c r="AG149" s="67"/>
      <c r="AH149" s="67"/>
    </row>
    <row r="150">
      <c r="A150" s="171"/>
      <c r="B150" s="172"/>
      <c r="C150" s="172"/>
      <c r="D150" s="172"/>
      <c r="E150" s="172"/>
      <c r="F150" s="172"/>
      <c r="G150" s="172"/>
      <c r="H150" s="172"/>
      <c r="I150" s="172"/>
      <c r="J150" s="172"/>
      <c r="K150" s="172"/>
      <c r="L150" s="172"/>
      <c r="M150" s="172"/>
      <c r="N150" s="172"/>
      <c r="O150" s="172"/>
      <c r="P150" s="172"/>
      <c r="Q150" s="172"/>
      <c r="R150" s="173"/>
      <c r="S150" s="67"/>
      <c r="T150" s="67"/>
      <c r="U150" s="67"/>
      <c r="V150" s="67"/>
      <c r="W150" s="67"/>
      <c r="X150" s="67"/>
      <c r="Y150" s="67"/>
      <c r="Z150" s="67"/>
      <c r="AA150" s="67"/>
      <c r="AB150" s="67"/>
      <c r="AC150" s="67"/>
      <c r="AD150" s="67"/>
      <c r="AE150" s="67"/>
      <c r="AF150" s="67"/>
      <c r="AG150" s="67"/>
      <c r="AH150" s="67"/>
    </row>
    <row r="151">
      <c r="A151" s="174"/>
      <c r="B151" s="175"/>
      <c r="C151" s="175"/>
      <c r="D151" s="175"/>
      <c r="E151" s="175"/>
      <c r="F151" s="175"/>
      <c r="G151" s="175"/>
      <c r="H151" s="175"/>
      <c r="I151" s="175"/>
      <c r="J151" s="175"/>
      <c r="K151" s="175"/>
      <c r="L151" s="175"/>
      <c r="M151" s="175"/>
      <c r="N151" s="175"/>
      <c r="O151" s="175"/>
      <c r="P151" s="175"/>
      <c r="Q151" s="175"/>
      <c r="R151" s="176"/>
      <c r="S151" s="67"/>
      <c r="T151" s="67"/>
      <c r="U151" s="67"/>
      <c r="V151" s="67"/>
      <c r="W151" s="67"/>
      <c r="X151" s="67"/>
      <c r="Y151" s="67"/>
      <c r="Z151" s="67"/>
      <c r="AA151" s="67"/>
      <c r="AB151" s="67"/>
      <c r="AC151" s="67"/>
      <c r="AD151" s="67"/>
      <c r="AE151" s="67"/>
      <c r="AF151" s="67"/>
      <c r="AG151" s="67"/>
      <c r="AH151" s="67"/>
    </row>
    <row r="152">
      <c r="A152" s="171"/>
      <c r="B152" s="172"/>
      <c r="C152" s="172"/>
      <c r="D152" s="172"/>
      <c r="E152" s="172"/>
      <c r="F152" s="172"/>
      <c r="G152" s="172"/>
      <c r="H152" s="172"/>
      <c r="I152" s="172"/>
      <c r="J152" s="172"/>
      <c r="K152" s="172"/>
      <c r="L152" s="172"/>
      <c r="M152" s="172"/>
      <c r="N152" s="172"/>
      <c r="O152" s="172"/>
      <c r="P152" s="172"/>
      <c r="Q152" s="172"/>
      <c r="R152" s="173"/>
      <c r="S152" s="67"/>
      <c r="T152" s="67"/>
      <c r="U152" s="67"/>
      <c r="V152" s="67"/>
      <c r="W152" s="67"/>
      <c r="X152" s="67"/>
      <c r="Y152" s="67"/>
      <c r="Z152" s="67"/>
      <c r="AA152" s="67"/>
      <c r="AB152" s="67"/>
      <c r="AC152" s="67"/>
      <c r="AD152" s="67"/>
      <c r="AE152" s="67"/>
      <c r="AF152" s="67"/>
      <c r="AG152" s="67"/>
      <c r="AH152" s="67"/>
    </row>
    <row r="153">
      <c r="A153" s="174"/>
      <c r="B153" s="175"/>
      <c r="C153" s="175"/>
      <c r="D153" s="175"/>
      <c r="E153" s="175"/>
      <c r="F153" s="175"/>
      <c r="G153" s="175"/>
      <c r="H153" s="175"/>
      <c r="I153" s="175"/>
      <c r="J153" s="175"/>
      <c r="K153" s="175"/>
      <c r="L153" s="175"/>
      <c r="M153" s="175"/>
      <c r="N153" s="175"/>
      <c r="O153" s="175"/>
      <c r="P153" s="175"/>
      <c r="Q153" s="175"/>
      <c r="R153" s="176"/>
      <c r="S153" s="67"/>
      <c r="T153" s="67"/>
      <c r="U153" s="67"/>
      <c r="V153" s="67"/>
      <c r="W153" s="67"/>
      <c r="X153" s="67"/>
      <c r="Y153" s="67"/>
      <c r="Z153" s="67"/>
      <c r="AA153" s="67"/>
      <c r="AB153" s="67"/>
      <c r="AC153" s="67"/>
      <c r="AD153" s="67"/>
      <c r="AE153" s="67"/>
      <c r="AF153" s="67"/>
      <c r="AG153" s="67"/>
      <c r="AH153" s="67"/>
    </row>
    <row r="154">
      <c r="A154" s="171"/>
      <c r="B154" s="172"/>
      <c r="C154" s="172"/>
      <c r="D154" s="172"/>
      <c r="E154" s="172"/>
      <c r="F154" s="172"/>
      <c r="G154" s="172"/>
      <c r="H154" s="172"/>
      <c r="I154" s="172"/>
      <c r="J154" s="172"/>
      <c r="K154" s="172"/>
      <c r="L154" s="172"/>
      <c r="M154" s="172"/>
      <c r="N154" s="172"/>
      <c r="O154" s="172"/>
      <c r="P154" s="172"/>
      <c r="Q154" s="172"/>
      <c r="R154" s="173"/>
      <c r="S154" s="67"/>
      <c r="T154" s="67"/>
      <c r="U154" s="67"/>
      <c r="V154" s="67"/>
      <c r="W154" s="67"/>
      <c r="X154" s="67"/>
      <c r="Y154" s="67"/>
      <c r="Z154" s="67"/>
      <c r="AA154" s="67"/>
      <c r="AB154" s="67"/>
      <c r="AC154" s="67"/>
      <c r="AD154" s="67"/>
      <c r="AE154" s="67"/>
      <c r="AF154" s="67"/>
      <c r="AG154" s="67"/>
      <c r="AH154" s="67"/>
    </row>
    <row r="155">
      <c r="A155" s="174"/>
      <c r="B155" s="175"/>
      <c r="C155" s="175"/>
      <c r="D155" s="175"/>
      <c r="E155" s="175"/>
      <c r="F155" s="175"/>
      <c r="G155" s="175"/>
      <c r="H155" s="175"/>
      <c r="I155" s="175"/>
      <c r="J155" s="175"/>
      <c r="K155" s="175"/>
      <c r="L155" s="175"/>
      <c r="M155" s="175"/>
      <c r="N155" s="175"/>
      <c r="O155" s="175"/>
      <c r="P155" s="175"/>
      <c r="Q155" s="175"/>
      <c r="R155" s="176"/>
      <c r="S155" s="67"/>
      <c r="T155" s="67"/>
      <c r="U155" s="67"/>
      <c r="V155" s="67"/>
      <c r="W155" s="67"/>
      <c r="X155" s="67"/>
      <c r="Y155" s="67"/>
      <c r="Z155" s="67"/>
      <c r="AA155" s="67"/>
      <c r="AB155" s="67"/>
      <c r="AC155" s="67"/>
      <c r="AD155" s="67"/>
      <c r="AE155" s="67"/>
      <c r="AF155" s="67"/>
      <c r="AG155" s="67"/>
      <c r="AH155" s="67"/>
    </row>
    <row r="156">
      <c r="A156" s="171"/>
      <c r="B156" s="172"/>
      <c r="C156" s="172"/>
      <c r="D156" s="172"/>
      <c r="E156" s="172"/>
      <c r="F156" s="172"/>
      <c r="G156" s="172"/>
      <c r="H156" s="172"/>
      <c r="I156" s="172"/>
      <c r="J156" s="172"/>
      <c r="K156" s="172"/>
      <c r="L156" s="172"/>
      <c r="M156" s="172"/>
      <c r="N156" s="172"/>
      <c r="O156" s="172"/>
      <c r="P156" s="172"/>
      <c r="Q156" s="172"/>
      <c r="R156" s="173"/>
      <c r="S156" s="67"/>
      <c r="T156" s="67"/>
      <c r="U156" s="67"/>
      <c r="V156" s="67"/>
      <c r="W156" s="67"/>
      <c r="X156" s="67"/>
      <c r="Y156" s="67"/>
      <c r="Z156" s="67"/>
      <c r="AA156" s="67"/>
      <c r="AB156" s="67"/>
      <c r="AC156" s="67"/>
      <c r="AD156" s="67"/>
      <c r="AE156" s="67"/>
      <c r="AF156" s="67"/>
      <c r="AG156" s="67"/>
      <c r="AH156" s="67"/>
    </row>
    <row r="157">
      <c r="A157" s="174"/>
      <c r="B157" s="175"/>
      <c r="C157" s="175"/>
      <c r="D157" s="175"/>
      <c r="E157" s="175"/>
      <c r="F157" s="175"/>
      <c r="G157" s="175"/>
      <c r="H157" s="175"/>
      <c r="I157" s="175"/>
      <c r="J157" s="175"/>
      <c r="K157" s="175"/>
      <c r="L157" s="175"/>
      <c r="M157" s="175"/>
      <c r="N157" s="175"/>
      <c r="O157" s="175"/>
      <c r="P157" s="175"/>
      <c r="Q157" s="175"/>
      <c r="R157" s="176"/>
      <c r="S157" s="67"/>
      <c r="T157" s="67"/>
      <c r="U157" s="67"/>
      <c r="V157" s="67"/>
      <c r="W157" s="67"/>
      <c r="X157" s="67"/>
      <c r="Y157" s="67"/>
      <c r="Z157" s="67"/>
      <c r="AA157" s="67"/>
      <c r="AB157" s="67"/>
      <c r="AC157" s="67"/>
      <c r="AD157" s="67"/>
      <c r="AE157" s="67"/>
      <c r="AF157" s="67"/>
      <c r="AG157" s="67"/>
      <c r="AH157" s="67"/>
    </row>
    <row r="158">
      <c r="A158" s="171"/>
      <c r="B158" s="172"/>
      <c r="C158" s="172"/>
      <c r="D158" s="172"/>
      <c r="E158" s="172"/>
      <c r="F158" s="172"/>
      <c r="G158" s="172"/>
      <c r="H158" s="172"/>
      <c r="I158" s="172"/>
      <c r="J158" s="172"/>
      <c r="K158" s="172"/>
      <c r="L158" s="172"/>
      <c r="M158" s="172"/>
      <c r="N158" s="172"/>
      <c r="O158" s="172"/>
      <c r="P158" s="172"/>
      <c r="Q158" s="172"/>
      <c r="R158" s="173"/>
      <c r="S158" s="67"/>
      <c r="T158" s="67"/>
      <c r="U158" s="67"/>
      <c r="V158" s="67"/>
      <c r="W158" s="67"/>
      <c r="X158" s="67"/>
      <c r="Y158" s="67"/>
      <c r="Z158" s="67"/>
      <c r="AA158" s="67"/>
      <c r="AB158" s="67"/>
      <c r="AC158" s="67"/>
      <c r="AD158" s="67"/>
      <c r="AE158" s="67"/>
      <c r="AF158" s="67"/>
      <c r="AG158" s="67"/>
      <c r="AH158" s="67"/>
    </row>
    <row r="159">
      <c r="A159" s="174"/>
      <c r="B159" s="175"/>
      <c r="C159" s="175"/>
      <c r="D159" s="175"/>
      <c r="E159" s="175"/>
      <c r="F159" s="175"/>
      <c r="G159" s="175"/>
      <c r="H159" s="175"/>
      <c r="I159" s="175"/>
      <c r="J159" s="175"/>
      <c r="K159" s="175"/>
      <c r="L159" s="175"/>
      <c r="M159" s="175"/>
      <c r="N159" s="175"/>
      <c r="O159" s="175"/>
      <c r="P159" s="175"/>
      <c r="Q159" s="175"/>
      <c r="R159" s="176"/>
      <c r="S159" s="67"/>
      <c r="T159" s="67"/>
      <c r="U159" s="67"/>
      <c r="V159" s="67"/>
      <c r="W159" s="67"/>
      <c r="X159" s="67"/>
      <c r="Y159" s="67"/>
      <c r="Z159" s="67"/>
      <c r="AA159" s="67"/>
      <c r="AB159" s="67"/>
      <c r="AC159" s="67"/>
      <c r="AD159" s="67"/>
      <c r="AE159" s="67"/>
      <c r="AF159" s="67"/>
      <c r="AG159" s="67"/>
      <c r="AH159" s="67"/>
    </row>
    <row r="160">
      <c r="A160" s="171"/>
      <c r="B160" s="172"/>
      <c r="C160" s="172"/>
      <c r="D160" s="172"/>
      <c r="E160" s="172"/>
      <c r="F160" s="172"/>
      <c r="G160" s="172"/>
      <c r="H160" s="172"/>
      <c r="I160" s="172"/>
      <c r="J160" s="172"/>
      <c r="K160" s="172"/>
      <c r="L160" s="172"/>
      <c r="M160" s="172"/>
      <c r="N160" s="172"/>
      <c r="O160" s="172"/>
      <c r="P160" s="172"/>
      <c r="Q160" s="172"/>
      <c r="R160" s="173"/>
      <c r="S160" s="67"/>
      <c r="T160" s="67"/>
      <c r="U160" s="67"/>
      <c r="V160" s="67"/>
      <c r="W160" s="67"/>
      <c r="X160" s="67"/>
      <c r="Y160" s="67"/>
      <c r="Z160" s="67"/>
      <c r="AA160" s="67"/>
      <c r="AB160" s="67"/>
      <c r="AC160" s="67"/>
      <c r="AD160" s="67"/>
      <c r="AE160" s="67"/>
      <c r="AF160" s="67"/>
      <c r="AG160" s="67"/>
      <c r="AH160" s="67"/>
    </row>
    <row r="161">
      <c r="A161" s="174"/>
      <c r="B161" s="175"/>
      <c r="C161" s="175"/>
      <c r="D161" s="175"/>
      <c r="E161" s="175"/>
      <c r="F161" s="175"/>
      <c r="G161" s="175"/>
      <c r="H161" s="175"/>
      <c r="I161" s="175"/>
      <c r="J161" s="175"/>
      <c r="K161" s="175"/>
      <c r="L161" s="175"/>
      <c r="M161" s="175"/>
      <c r="N161" s="175"/>
      <c r="O161" s="175"/>
      <c r="P161" s="175"/>
      <c r="Q161" s="175"/>
      <c r="R161" s="176"/>
      <c r="S161" s="67"/>
      <c r="T161" s="67"/>
      <c r="U161" s="67"/>
      <c r="V161" s="67"/>
      <c r="W161" s="67"/>
      <c r="X161" s="67"/>
      <c r="Y161" s="67"/>
      <c r="Z161" s="67"/>
      <c r="AA161" s="67"/>
      <c r="AB161" s="67"/>
      <c r="AC161" s="67"/>
      <c r="AD161" s="67"/>
      <c r="AE161" s="67"/>
      <c r="AF161" s="67"/>
      <c r="AG161" s="67"/>
      <c r="AH161" s="67"/>
    </row>
    <row r="162">
      <c r="A162" s="171"/>
      <c r="B162" s="172"/>
      <c r="C162" s="172"/>
      <c r="D162" s="172"/>
      <c r="E162" s="172"/>
      <c r="F162" s="172"/>
      <c r="G162" s="172"/>
      <c r="H162" s="172"/>
      <c r="I162" s="172"/>
      <c r="J162" s="172"/>
      <c r="K162" s="172"/>
      <c r="L162" s="172"/>
      <c r="M162" s="172"/>
      <c r="N162" s="172"/>
      <c r="O162" s="172"/>
      <c r="P162" s="172"/>
      <c r="Q162" s="172"/>
      <c r="R162" s="173"/>
      <c r="S162" s="67"/>
      <c r="T162" s="67"/>
      <c r="U162" s="67"/>
      <c r="V162" s="67"/>
      <c r="W162" s="67"/>
      <c r="X162" s="67"/>
      <c r="Y162" s="67"/>
      <c r="Z162" s="67"/>
      <c r="AA162" s="67"/>
      <c r="AB162" s="67"/>
      <c r="AC162" s="67"/>
      <c r="AD162" s="67"/>
      <c r="AE162" s="67"/>
      <c r="AF162" s="67"/>
      <c r="AG162" s="67"/>
      <c r="AH162" s="67"/>
    </row>
    <row r="163">
      <c r="A163" s="174"/>
      <c r="B163" s="175"/>
      <c r="C163" s="175"/>
      <c r="D163" s="175"/>
      <c r="E163" s="175"/>
      <c r="F163" s="175"/>
      <c r="G163" s="175"/>
      <c r="H163" s="175"/>
      <c r="I163" s="175"/>
      <c r="J163" s="175"/>
      <c r="K163" s="175"/>
      <c r="L163" s="175"/>
      <c r="M163" s="175"/>
      <c r="N163" s="175"/>
      <c r="O163" s="175"/>
      <c r="P163" s="175"/>
      <c r="Q163" s="175"/>
      <c r="R163" s="176"/>
      <c r="S163" s="67"/>
      <c r="T163" s="67"/>
      <c r="U163" s="67"/>
      <c r="V163" s="67"/>
      <c r="W163" s="67"/>
      <c r="X163" s="67"/>
      <c r="Y163" s="67"/>
      <c r="Z163" s="67"/>
      <c r="AA163" s="67"/>
      <c r="AB163" s="67"/>
      <c r="AC163" s="67"/>
      <c r="AD163" s="67"/>
      <c r="AE163" s="67"/>
      <c r="AF163" s="67"/>
      <c r="AG163" s="67"/>
      <c r="AH163" s="67"/>
    </row>
    <row r="164">
      <c r="A164" s="171"/>
      <c r="B164" s="172"/>
      <c r="C164" s="172"/>
      <c r="D164" s="172"/>
      <c r="E164" s="172"/>
      <c r="F164" s="172"/>
      <c r="G164" s="172"/>
      <c r="H164" s="172"/>
      <c r="I164" s="172"/>
      <c r="J164" s="172"/>
      <c r="K164" s="172"/>
      <c r="L164" s="172"/>
      <c r="M164" s="172"/>
      <c r="N164" s="172"/>
      <c r="O164" s="172"/>
      <c r="P164" s="172"/>
      <c r="Q164" s="172"/>
      <c r="R164" s="173"/>
      <c r="S164" s="67"/>
      <c r="T164" s="67"/>
      <c r="U164" s="67"/>
      <c r="V164" s="67"/>
      <c r="W164" s="67"/>
      <c r="X164" s="67"/>
      <c r="Y164" s="67"/>
      <c r="Z164" s="67"/>
      <c r="AA164" s="67"/>
      <c r="AB164" s="67"/>
      <c r="AC164" s="67"/>
      <c r="AD164" s="67"/>
      <c r="AE164" s="67"/>
      <c r="AF164" s="67"/>
      <c r="AG164" s="67"/>
      <c r="AH164" s="67"/>
    </row>
    <row r="165">
      <c r="A165" s="174"/>
      <c r="B165" s="175"/>
      <c r="C165" s="175"/>
      <c r="D165" s="175"/>
      <c r="E165" s="175"/>
      <c r="F165" s="175"/>
      <c r="G165" s="175"/>
      <c r="H165" s="175"/>
      <c r="I165" s="175"/>
      <c r="J165" s="175"/>
      <c r="K165" s="175"/>
      <c r="L165" s="175"/>
      <c r="M165" s="175"/>
      <c r="N165" s="175"/>
      <c r="O165" s="175"/>
      <c r="P165" s="175"/>
      <c r="Q165" s="175"/>
      <c r="R165" s="176"/>
      <c r="S165" s="67"/>
      <c r="T165" s="67"/>
      <c r="U165" s="67"/>
      <c r="V165" s="67"/>
      <c r="W165" s="67"/>
      <c r="X165" s="67"/>
      <c r="Y165" s="67"/>
      <c r="Z165" s="67"/>
      <c r="AA165" s="67"/>
      <c r="AB165" s="67"/>
      <c r="AC165" s="67"/>
      <c r="AD165" s="67"/>
      <c r="AE165" s="67"/>
      <c r="AF165" s="67"/>
      <c r="AG165" s="67"/>
      <c r="AH165" s="67"/>
    </row>
    <row r="166">
      <c r="A166" s="171"/>
      <c r="B166" s="172"/>
      <c r="C166" s="172"/>
      <c r="D166" s="172"/>
      <c r="E166" s="172"/>
      <c r="F166" s="172"/>
      <c r="G166" s="172"/>
      <c r="H166" s="172"/>
      <c r="I166" s="172"/>
      <c r="J166" s="172"/>
      <c r="K166" s="172"/>
      <c r="L166" s="172"/>
      <c r="M166" s="172"/>
      <c r="N166" s="172"/>
      <c r="O166" s="172"/>
      <c r="P166" s="172"/>
      <c r="Q166" s="172"/>
      <c r="R166" s="173"/>
      <c r="S166" s="67"/>
      <c r="T166" s="67"/>
      <c r="U166" s="67"/>
      <c r="V166" s="67"/>
      <c r="W166" s="67"/>
      <c r="X166" s="67"/>
      <c r="Y166" s="67"/>
      <c r="Z166" s="67"/>
      <c r="AA166" s="67"/>
      <c r="AB166" s="67"/>
      <c r="AC166" s="67"/>
      <c r="AD166" s="67"/>
      <c r="AE166" s="67"/>
      <c r="AF166" s="67"/>
      <c r="AG166" s="67"/>
      <c r="AH166" s="67"/>
    </row>
    <row r="167">
      <c r="A167" s="174"/>
      <c r="B167" s="175"/>
      <c r="C167" s="175"/>
      <c r="D167" s="175"/>
      <c r="E167" s="175"/>
      <c r="F167" s="175"/>
      <c r="G167" s="175"/>
      <c r="H167" s="175"/>
      <c r="I167" s="175"/>
      <c r="J167" s="175"/>
      <c r="K167" s="175"/>
      <c r="L167" s="175"/>
      <c r="M167" s="175"/>
      <c r="N167" s="175"/>
      <c r="O167" s="175"/>
      <c r="P167" s="175"/>
      <c r="Q167" s="175"/>
      <c r="R167" s="176"/>
      <c r="S167" s="67"/>
      <c r="T167" s="67"/>
      <c r="U167" s="67"/>
      <c r="V167" s="67"/>
      <c r="W167" s="67"/>
      <c r="X167" s="67"/>
      <c r="Y167" s="67"/>
      <c r="Z167" s="67"/>
      <c r="AA167" s="67"/>
      <c r="AB167" s="67"/>
      <c r="AC167" s="67"/>
      <c r="AD167" s="67"/>
      <c r="AE167" s="67"/>
      <c r="AF167" s="67"/>
      <c r="AG167" s="67"/>
      <c r="AH167" s="67"/>
    </row>
    <row r="168">
      <c r="A168" s="171"/>
      <c r="B168" s="172"/>
      <c r="C168" s="172"/>
      <c r="D168" s="172"/>
      <c r="E168" s="172"/>
      <c r="F168" s="172"/>
      <c r="G168" s="172"/>
      <c r="H168" s="172"/>
      <c r="I168" s="172"/>
      <c r="J168" s="172"/>
      <c r="K168" s="172"/>
      <c r="L168" s="172"/>
      <c r="M168" s="172"/>
      <c r="N168" s="172"/>
      <c r="O168" s="172"/>
      <c r="P168" s="172"/>
      <c r="Q168" s="172"/>
      <c r="R168" s="173"/>
      <c r="S168" s="67"/>
      <c r="T168" s="67"/>
      <c r="U168" s="67"/>
      <c r="V168" s="67"/>
      <c r="W168" s="67"/>
      <c r="X168" s="67"/>
      <c r="Y168" s="67"/>
      <c r="Z168" s="67"/>
      <c r="AA168" s="67"/>
      <c r="AB168" s="67"/>
      <c r="AC168" s="67"/>
      <c r="AD168" s="67"/>
      <c r="AE168" s="67"/>
      <c r="AF168" s="67"/>
      <c r="AG168" s="67"/>
      <c r="AH168" s="67"/>
    </row>
    <row r="169">
      <c r="A169" s="174"/>
      <c r="B169" s="175"/>
      <c r="C169" s="175"/>
      <c r="D169" s="175"/>
      <c r="E169" s="175"/>
      <c r="F169" s="175"/>
      <c r="G169" s="175"/>
      <c r="H169" s="175"/>
      <c r="I169" s="175"/>
      <c r="J169" s="175"/>
      <c r="K169" s="175"/>
      <c r="L169" s="175"/>
      <c r="M169" s="175"/>
      <c r="N169" s="175"/>
      <c r="O169" s="175"/>
      <c r="P169" s="175"/>
      <c r="Q169" s="175"/>
      <c r="R169" s="176"/>
      <c r="S169" s="67"/>
      <c r="T169" s="67"/>
      <c r="U169" s="67"/>
      <c r="V169" s="67"/>
      <c r="W169" s="67"/>
      <c r="X169" s="67"/>
      <c r="Y169" s="67"/>
      <c r="Z169" s="67"/>
      <c r="AA169" s="67"/>
      <c r="AB169" s="67"/>
      <c r="AC169" s="67"/>
      <c r="AD169" s="67"/>
      <c r="AE169" s="67"/>
      <c r="AF169" s="67"/>
      <c r="AG169" s="67"/>
      <c r="AH169" s="67"/>
    </row>
    <row r="170">
      <c r="A170" s="171"/>
      <c r="B170" s="172"/>
      <c r="C170" s="172"/>
      <c r="D170" s="172"/>
      <c r="E170" s="172"/>
      <c r="F170" s="172"/>
      <c r="G170" s="172"/>
      <c r="H170" s="172"/>
      <c r="I170" s="172"/>
      <c r="J170" s="172"/>
      <c r="K170" s="172"/>
      <c r="L170" s="172"/>
      <c r="M170" s="172"/>
      <c r="N170" s="172"/>
      <c r="O170" s="172"/>
      <c r="P170" s="172"/>
      <c r="Q170" s="172"/>
      <c r="R170" s="173"/>
      <c r="S170" s="67"/>
      <c r="T170" s="67"/>
      <c r="U170" s="67"/>
      <c r="V170" s="67"/>
      <c r="W170" s="67"/>
      <c r="X170" s="67"/>
      <c r="Y170" s="67"/>
      <c r="Z170" s="67"/>
      <c r="AA170" s="67"/>
      <c r="AB170" s="67"/>
      <c r="AC170" s="67"/>
      <c r="AD170" s="67"/>
      <c r="AE170" s="67"/>
      <c r="AF170" s="67"/>
      <c r="AG170" s="67"/>
      <c r="AH170" s="67"/>
    </row>
    <row r="171">
      <c r="A171" s="174"/>
      <c r="B171" s="175"/>
      <c r="C171" s="175"/>
      <c r="D171" s="175"/>
      <c r="E171" s="175"/>
      <c r="F171" s="175"/>
      <c r="G171" s="175"/>
      <c r="H171" s="175"/>
      <c r="I171" s="175"/>
      <c r="J171" s="175"/>
      <c r="K171" s="175"/>
      <c r="L171" s="175"/>
      <c r="M171" s="175"/>
      <c r="N171" s="175"/>
      <c r="O171" s="175"/>
      <c r="P171" s="175"/>
      <c r="Q171" s="175"/>
      <c r="R171" s="176"/>
      <c r="S171" s="67"/>
      <c r="T171" s="67"/>
      <c r="U171" s="67"/>
      <c r="V171" s="67"/>
      <c r="W171" s="67"/>
      <c r="X171" s="67"/>
      <c r="Y171" s="67"/>
      <c r="Z171" s="67"/>
      <c r="AA171" s="67"/>
      <c r="AB171" s="67"/>
      <c r="AC171" s="67"/>
      <c r="AD171" s="67"/>
      <c r="AE171" s="67"/>
      <c r="AF171" s="67"/>
      <c r="AG171" s="67"/>
      <c r="AH171" s="67"/>
    </row>
    <row r="172">
      <c r="A172" s="171"/>
      <c r="B172" s="172"/>
      <c r="C172" s="172"/>
      <c r="D172" s="172"/>
      <c r="E172" s="172"/>
      <c r="F172" s="172"/>
      <c r="G172" s="172"/>
      <c r="H172" s="172"/>
      <c r="I172" s="172"/>
      <c r="J172" s="172"/>
      <c r="K172" s="172"/>
      <c r="L172" s="172"/>
      <c r="M172" s="172"/>
      <c r="N172" s="172"/>
      <c r="O172" s="172"/>
      <c r="P172" s="172"/>
      <c r="Q172" s="172"/>
      <c r="R172" s="173"/>
      <c r="S172" s="67"/>
      <c r="T172" s="67"/>
      <c r="U172" s="67"/>
      <c r="V172" s="67"/>
      <c r="W172" s="67"/>
      <c r="X172" s="67"/>
      <c r="Y172" s="67"/>
      <c r="Z172" s="67"/>
      <c r="AA172" s="67"/>
      <c r="AB172" s="67"/>
      <c r="AC172" s="67"/>
      <c r="AD172" s="67"/>
      <c r="AE172" s="67"/>
      <c r="AF172" s="67"/>
      <c r="AG172" s="67"/>
      <c r="AH172" s="67"/>
    </row>
    <row r="173">
      <c r="A173" s="174"/>
      <c r="B173" s="175"/>
      <c r="C173" s="175"/>
      <c r="D173" s="175"/>
      <c r="E173" s="175"/>
      <c r="F173" s="175"/>
      <c r="G173" s="175"/>
      <c r="H173" s="175"/>
      <c r="I173" s="175"/>
      <c r="J173" s="175"/>
      <c r="K173" s="175"/>
      <c r="L173" s="175"/>
      <c r="M173" s="175"/>
      <c r="N173" s="175"/>
      <c r="O173" s="175"/>
      <c r="P173" s="175"/>
      <c r="Q173" s="175"/>
      <c r="R173" s="176"/>
      <c r="S173" s="67"/>
      <c r="T173" s="67"/>
      <c r="U173" s="67"/>
      <c r="V173" s="67"/>
      <c r="W173" s="67"/>
      <c r="X173" s="67"/>
      <c r="Y173" s="67"/>
      <c r="Z173" s="67"/>
      <c r="AA173" s="67"/>
      <c r="AB173" s="67"/>
      <c r="AC173" s="67"/>
      <c r="AD173" s="67"/>
      <c r="AE173" s="67"/>
      <c r="AF173" s="67"/>
      <c r="AG173" s="67"/>
      <c r="AH173" s="67"/>
    </row>
    <row r="174">
      <c r="A174" s="171"/>
      <c r="B174" s="172"/>
      <c r="C174" s="172"/>
      <c r="D174" s="172"/>
      <c r="E174" s="172"/>
      <c r="F174" s="172"/>
      <c r="G174" s="172"/>
      <c r="H174" s="172"/>
      <c r="I174" s="172"/>
      <c r="J174" s="172"/>
      <c r="K174" s="172"/>
      <c r="L174" s="172"/>
      <c r="M174" s="172"/>
      <c r="N174" s="172"/>
      <c r="O174" s="172"/>
      <c r="P174" s="172"/>
      <c r="Q174" s="172"/>
      <c r="R174" s="173"/>
      <c r="S174" s="67"/>
      <c r="T174" s="67"/>
      <c r="U174" s="67"/>
      <c r="V174" s="67"/>
      <c r="W174" s="67"/>
      <c r="X174" s="67"/>
      <c r="Y174" s="67"/>
      <c r="Z174" s="67"/>
      <c r="AA174" s="67"/>
      <c r="AB174" s="67"/>
      <c r="AC174" s="67"/>
      <c r="AD174" s="67"/>
      <c r="AE174" s="67"/>
      <c r="AF174" s="67"/>
      <c r="AG174" s="67"/>
      <c r="AH174" s="67"/>
    </row>
    <row r="175">
      <c r="A175" s="174"/>
      <c r="B175" s="175"/>
      <c r="C175" s="175"/>
      <c r="D175" s="175"/>
      <c r="E175" s="175"/>
      <c r="F175" s="175"/>
      <c r="G175" s="175"/>
      <c r="H175" s="175"/>
      <c r="I175" s="175"/>
      <c r="J175" s="175"/>
      <c r="K175" s="175"/>
      <c r="L175" s="175"/>
      <c r="M175" s="175"/>
      <c r="N175" s="175"/>
      <c r="O175" s="175"/>
      <c r="P175" s="175"/>
      <c r="Q175" s="175"/>
      <c r="R175" s="176"/>
      <c r="S175" s="67"/>
      <c r="T175" s="67"/>
      <c r="U175" s="67"/>
      <c r="V175" s="67"/>
      <c r="W175" s="67"/>
      <c r="X175" s="67"/>
      <c r="Y175" s="67"/>
      <c r="Z175" s="67"/>
      <c r="AA175" s="67"/>
      <c r="AB175" s="67"/>
      <c r="AC175" s="67"/>
      <c r="AD175" s="67"/>
      <c r="AE175" s="67"/>
      <c r="AF175" s="67"/>
      <c r="AG175" s="67"/>
      <c r="AH175" s="67"/>
    </row>
    <row r="176">
      <c r="A176" s="171"/>
      <c r="B176" s="172"/>
      <c r="C176" s="172"/>
      <c r="D176" s="172"/>
      <c r="E176" s="172"/>
      <c r="F176" s="172"/>
      <c r="G176" s="172"/>
      <c r="H176" s="172"/>
      <c r="I176" s="172"/>
      <c r="J176" s="172"/>
      <c r="K176" s="172"/>
      <c r="L176" s="172"/>
      <c r="M176" s="172"/>
      <c r="N176" s="172"/>
      <c r="O176" s="172"/>
      <c r="P176" s="172"/>
      <c r="Q176" s="172"/>
      <c r="R176" s="173"/>
      <c r="S176" s="67"/>
      <c r="T176" s="67"/>
      <c r="U176" s="67"/>
      <c r="V176" s="67"/>
      <c r="W176" s="67"/>
      <c r="X176" s="67"/>
      <c r="Y176" s="67"/>
      <c r="Z176" s="67"/>
      <c r="AA176" s="67"/>
      <c r="AB176" s="67"/>
      <c r="AC176" s="67"/>
      <c r="AD176" s="67"/>
      <c r="AE176" s="67"/>
      <c r="AF176" s="67"/>
      <c r="AG176" s="67"/>
      <c r="AH176" s="67"/>
    </row>
    <row r="177">
      <c r="A177" s="174"/>
      <c r="B177" s="175"/>
      <c r="C177" s="175"/>
      <c r="D177" s="175"/>
      <c r="E177" s="175"/>
      <c r="F177" s="175"/>
      <c r="G177" s="175"/>
      <c r="H177" s="175"/>
      <c r="I177" s="175"/>
      <c r="J177" s="175"/>
      <c r="K177" s="175"/>
      <c r="L177" s="175"/>
      <c r="M177" s="175"/>
      <c r="N177" s="175"/>
      <c r="O177" s="175"/>
      <c r="P177" s="175"/>
      <c r="Q177" s="175"/>
      <c r="R177" s="176"/>
      <c r="S177" s="67"/>
      <c r="T177" s="67"/>
      <c r="U177" s="67"/>
      <c r="V177" s="67"/>
      <c r="W177" s="67"/>
      <c r="X177" s="67"/>
      <c r="Y177" s="67"/>
      <c r="Z177" s="67"/>
      <c r="AA177" s="67"/>
      <c r="AB177" s="67"/>
      <c r="AC177" s="67"/>
      <c r="AD177" s="67"/>
      <c r="AE177" s="67"/>
      <c r="AF177" s="67"/>
      <c r="AG177" s="67"/>
      <c r="AH177" s="67"/>
    </row>
    <row r="178">
      <c r="A178" s="171"/>
      <c r="B178" s="172"/>
      <c r="C178" s="172"/>
      <c r="D178" s="172"/>
      <c r="E178" s="172"/>
      <c r="F178" s="172"/>
      <c r="G178" s="172"/>
      <c r="H178" s="172"/>
      <c r="I178" s="172"/>
      <c r="J178" s="172"/>
      <c r="K178" s="172"/>
      <c r="L178" s="172"/>
      <c r="M178" s="172"/>
      <c r="N178" s="172"/>
      <c r="O178" s="172"/>
      <c r="P178" s="172"/>
      <c r="Q178" s="172"/>
      <c r="R178" s="173"/>
      <c r="S178" s="67"/>
      <c r="T178" s="67"/>
      <c r="U178" s="67"/>
      <c r="V178" s="67"/>
      <c r="W178" s="67"/>
      <c r="X178" s="67"/>
      <c r="Y178" s="67"/>
      <c r="Z178" s="67"/>
      <c r="AA178" s="67"/>
      <c r="AB178" s="67"/>
      <c r="AC178" s="67"/>
      <c r="AD178" s="67"/>
      <c r="AE178" s="67"/>
      <c r="AF178" s="67"/>
      <c r="AG178" s="67"/>
      <c r="AH178" s="67"/>
    </row>
    <row r="179">
      <c r="A179" s="174"/>
      <c r="B179" s="175"/>
      <c r="C179" s="175"/>
      <c r="D179" s="175"/>
      <c r="E179" s="175"/>
      <c r="F179" s="175"/>
      <c r="G179" s="175"/>
      <c r="H179" s="175"/>
      <c r="I179" s="175"/>
      <c r="J179" s="175"/>
      <c r="K179" s="175"/>
      <c r="L179" s="175"/>
      <c r="M179" s="175"/>
      <c r="N179" s="175"/>
      <c r="O179" s="175"/>
      <c r="P179" s="175"/>
      <c r="Q179" s="175"/>
      <c r="R179" s="176"/>
      <c r="S179" s="67"/>
      <c r="T179" s="67"/>
      <c r="U179" s="67"/>
      <c r="V179" s="67"/>
      <c r="W179" s="67"/>
      <c r="X179" s="67"/>
      <c r="Y179" s="67"/>
      <c r="Z179" s="67"/>
      <c r="AA179" s="67"/>
      <c r="AB179" s="67"/>
      <c r="AC179" s="67"/>
      <c r="AD179" s="67"/>
      <c r="AE179" s="67"/>
      <c r="AF179" s="67"/>
      <c r="AG179" s="67"/>
      <c r="AH179" s="67"/>
    </row>
    <row r="180">
      <c r="A180" s="171"/>
      <c r="B180" s="172"/>
      <c r="C180" s="172"/>
      <c r="D180" s="172"/>
      <c r="E180" s="172"/>
      <c r="F180" s="172"/>
      <c r="G180" s="172"/>
      <c r="H180" s="172"/>
      <c r="I180" s="172"/>
      <c r="J180" s="172"/>
      <c r="K180" s="172"/>
      <c r="L180" s="172"/>
      <c r="M180" s="172"/>
      <c r="N180" s="172"/>
      <c r="O180" s="172"/>
      <c r="P180" s="172"/>
      <c r="Q180" s="172"/>
      <c r="R180" s="173"/>
      <c r="S180" s="67"/>
      <c r="T180" s="67"/>
      <c r="U180" s="67"/>
      <c r="V180" s="67"/>
      <c r="W180" s="67"/>
      <c r="X180" s="67"/>
      <c r="Y180" s="67"/>
      <c r="Z180" s="67"/>
      <c r="AA180" s="67"/>
      <c r="AB180" s="67"/>
      <c r="AC180" s="67"/>
      <c r="AD180" s="67"/>
      <c r="AE180" s="67"/>
      <c r="AF180" s="67"/>
      <c r="AG180" s="67"/>
      <c r="AH180" s="67"/>
    </row>
    <row r="181">
      <c r="A181" s="174"/>
      <c r="B181" s="175"/>
      <c r="C181" s="175"/>
      <c r="D181" s="175"/>
      <c r="E181" s="175"/>
      <c r="F181" s="175"/>
      <c r="G181" s="175"/>
      <c r="H181" s="175"/>
      <c r="I181" s="175"/>
      <c r="J181" s="175"/>
      <c r="K181" s="175"/>
      <c r="L181" s="175"/>
      <c r="M181" s="175"/>
      <c r="N181" s="175"/>
      <c r="O181" s="175"/>
      <c r="P181" s="175"/>
      <c r="Q181" s="175"/>
      <c r="R181" s="176"/>
      <c r="S181" s="67"/>
      <c r="T181" s="67"/>
      <c r="U181" s="67"/>
      <c r="V181" s="67"/>
      <c r="W181" s="67"/>
      <c r="X181" s="67"/>
      <c r="Y181" s="67"/>
      <c r="Z181" s="67"/>
      <c r="AA181" s="67"/>
      <c r="AB181" s="67"/>
      <c r="AC181" s="67"/>
      <c r="AD181" s="67"/>
      <c r="AE181" s="67"/>
      <c r="AF181" s="67"/>
      <c r="AG181" s="67"/>
      <c r="AH181" s="67"/>
    </row>
    <row r="182">
      <c r="A182" s="171"/>
      <c r="B182" s="172"/>
      <c r="C182" s="172"/>
      <c r="D182" s="172"/>
      <c r="E182" s="172"/>
      <c r="F182" s="172"/>
      <c r="G182" s="172"/>
      <c r="H182" s="172"/>
      <c r="I182" s="172"/>
      <c r="J182" s="172"/>
      <c r="K182" s="172"/>
      <c r="L182" s="172"/>
      <c r="M182" s="172"/>
      <c r="N182" s="172"/>
      <c r="O182" s="172"/>
      <c r="P182" s="172"/>
      <c r="Q182" s="172"/>
      <c r="R182" s="173"/>
      <c r="S182" s="67"/>
      <c r="T182" s="67"/>
      <c r="U182" s="67"/>
      <c r="V182" s="67"/>
      <c r="W182" s="67"/>
      <c r="X182" s="67"/>
      <c r="Y182" s="67"/>
      <c r="Z182" s="67"/>
      <c r="AA182" s="67"/>
      <c r="AB182" s="67"/>
      <c r="AC182" s="67"/>
      <c r="AD182" s="67"/>
      <c r="AE182" s="67"/>
      <c r="AF182" s="67"/>
      <c r="AG182" s="67"/>
      <c r="AH182" s="67"/>
    </row>
    <row r="183">
      <c r="A183" s="174"/>
      <c r="B183" s="175"/>
      <c r="C183" s="175"/>
      <c r="D183" s="175"/>
      <c r="E183" s="175"/>
      <c r="F183" s="175"/>
      <c r="G183" s="175"/>
      <c r="H183" s="175"/>
      <c r="I183" s="175"/>
      <c r="J183" s="175"/>
      <c r="K183" s="175"/>
      <c r="L183" s="175"/>
      <c r="M183" s="175"/>
      <c r="N183" s="175"/>
      <c r="O183" s="175"/>
      <c r="P183" s="175"/>
      <c r="Q183" s="175"/>
      <c r="R183" s="176"/>
      <c r="S183" s="67"/>
      <c r="T183" s="67"/>
      <c r="U183" s="67"/>
      <c r="V183" s="67"/>
      <c r="W183" s="67"/>
      <c r="X183" s="67"/>
      <c r="Y183" s="67"/>
      <c r="Z183" s="67"/>
      <c r="AA183" s="67"/>
      <c r="AB183" s="67"/>
      <c r="AC183" s="67"/>
      <c r="AD183" s="67"/>
      <c r="AE183" s="67"/>
      <c r="AF183" s="67"/>
      <c r="AG183" s="67"/>
      <c r="AH183" s="67"/>
    </row>
    <row r="184">
      <c r="A184" s="171"/>
      <c r="B184" s="172"/>
      <c r="C184" s="172"/>
      <c r="D184" s="172"/>
      <c r="E184" s="172"/>
      <c r="F184" s="172"/>
      <c r="G184" s="172"/>
      <c r="H184" s="172"/>
      <c r="I184" s="172"/>
      <c r="J184" s="172"/>
      <c r="K184" s="172"/>
      <c r="L184" s="172"/>
      <c r="M184" s="172"/>
      <c r="N184" s="172"/>
      <c r="O184" s="172"/>
      <c r="P184" s="172"/>
      <c r="Q184" s="172"/>
      <c r="R184" s="173"/>
      <c r="S184" s="67"/>
      <c r="T184" s="67"/>
      <c r="U184" s="67"/>
      <c r="V184" s="67"/>
      <c r="W184" s="67"/>
      <c r="X184" s="67"/>
      <c r="Y184" s="67"/>
      <c r="Z184" s="67"/>
      <c r="AA184" s="67"/>
      <c r="AB184" s="67"/>
      <c r="AC184" s="67"/>
      <c r="AD184" s="67"/>
      <c r="AE184" s="67"/>
      <c r="AF184" s="67"/>
      <c r="AG184" s="67"/>
      <c r="AH184" s="67"/>
    </row>
    <row r="185">
      <c r="A185" s="174"/>
      <c r="B185" s="175"/>
      <c r="C185" s="175"/>
      <c r="D185" s="175"/>
      <c r="E185" s="175"/>
      <c r="F185" s="175"/>
      <c r="G185" s="175"/>
      <c r="H185" s="175"/>
      <c r="I185" s="175"/>
      <c r="J185" s="175"/>
      <c r="K185" s="175"/>
      <c r="L185" s="175"/>
      <c r="M185" s="175"/>
      <c r="N185" s="175"/>
      <c r="O185" s="175"/>
      <c r="P185" s="175"/>
      <c r="Q185" s="175"/>
      <c r="R185" s="176"/>
      <c r="S185" s="67"/>
      <c r="T185" s="67"/>
      <c r="U185" s="67"/>
      <c r="V185" s="67"/>
      <c r="W185" s="67"/>
      <c r="X185" s="67"/>
      <c r="Y185" s="67"/>
      <c r="Z185" s="67"/>
      <c r="AA185" s="67"/>
      <c r="AB185" s="67"/>
      <c r="AC185" s="67"/>
      <c r="AD185" s="67"/>
      <c r="AE185" s="67"/>
      <c r="AF185" s="67"/>
      <c r="AG185" s="67"/>
      <c r="AH185" s="67"/>
    </row>
    <row r="186">
      <c r="A186" s="171"/>
      <c r="B186" s="172"/>
      <c r="C186" s="172"/>
      <c r="D186" s="172"/>
      <c r="E186" s="172"/>
      <c r="F186" s="172"/>
      <c r="G186" s="172"/>
      <c r="H186" s="172"/>
      <c r="I186" s="172"/>
      <c r="J186" s="172"/>
      <c r="K186" s="172"/>
      <c r="L186" s="172"/>
      <c r="M186" s="172"/>
      <c r="N186" s="172"/>
      <c r="O186" s="172"/>
      <c r="P186" s="172"/>
      <c r="Q186" s="172"/>
      <c r="R186" s="173"/>
      <c r="S186" s="67"/>
      <c r="T186" s="67"/>
      <c r="U186" s="67"/>
      <c r="V186" s="67"/>
      <c r="W186" s="67"/>
      <c r="X186" s="67"/>
      <c r="Y186" s="67"/>
      <c r="Z186" s="67"/>
      <c r="AA186" s="67"/>
      <c r="AB186" s="67"/>
      <c r="AC186" s="67"/>
      <c r="AD186" s="67"/>
      <c r="AE186" s="67"/>
      <c r="AF186" s="67"/>
      <c r="AG186" s="67"/>
      <c r="AH186" s="67"/>
    </row>
    <row r="187">
      <c r="A187" s="174"/>
      <c r="B187" s="175"/>
      <c r="C187" s="175"/>
      <c r="D187" s="175"/>
      <c r="E187" s="175"/>
      <c r="F187" s="175"/>
      <c r="G187" s="175"/>
      <c r="H187" s="175"/>
      <c r="I187" s="175"/>
      <c r="J187" s="175"/>
      <c r="K187" s="175"/>
      <c r="L187" s="175"/>
      <c r="M187" s="175"/>
      <c r="N187" s="175"/>
      <c r="O187" s="175"/>
      <c r="P187" s="175"/>
      <c r="Q187" s="175"/>
      <c r="R187" s="176"/>
      <c r="S187" s="67"/>
      <c r="T187" s="67"/>
      <c r="U187" s="67"/>
      <c r="V187" s="67"/>
      <c r="W187" s="67"/>
      <c r="X187" s="67"/>
      <c r="Y187" s="67"/>
      <c r="Z187" s="67"/>
      <c r="AA187" s="67"/>
      <c r="AB187" s="67"/>
      <c r="AC187" s="67"/>
      <c r="AD187" s="67"/>
      <c r="AE187" s="67"/>
      <c r="AF187" s="67"/>
      <c r="AG187" s="67"/>
      <c r="AH187" s="67"/>
    </row>
    <row r="188">
      <c r="A188" s="171"/>
      <c r="B188" s="172"/>
      <c r="C188" s="172"/>
      <c r="D188" s="172"/>
      <c r="E188" s="172"/>
      <c r="F188" s="172"/>
      <c r="G188" s="172"/>
      <c r="H188" s="172"/>
      <c r="I188" s="172"/>
      <c r="J188" s="172"/>
      <c r="K188" s="172"/>
      <c r="L188" s="172"/>
      <c r="M188" s="172"/>
      <c r="N188" s="172"/>
      <c r="O188" s="172"/>
      <c r="P188" s="172"/>
      <c r="Q188" s="172"/>
      <c r="R188" s="173"/>
      <c r="S188" s="67"/>
      <c r="T188" s="67"/>
      <c r="U188" s="67"/>
      <c r="V188" s="67"/>
      <c r="W188" s="67"/>
      <c r="X188" s="67"/>
      <c r="Y188" s="67"/>
      <c r="Z188" s="67"/>
      <c r="AA188" s="67"/>
      <c r="AB188" s="67"/>
      <c r="AC188" s="67"/>
      <c r="AD188" s="67"/>
      <c r="AE188" s="67"/>
      <c r="AF188" s="67"/>
      <c r="AG188" s="67"/>
      <c r="AH188" s="67"/>
    </row>
    <row r="189">
      <c r="A189" s="174"/>
      <c r="B189" s="175"/>
      <c r="C189" s="175"/>
      <c r="D189" s="175"/>
      <c r="E189" s="175"/>
      <c r="F189" s="175"/>
      <c r="G189" s="175"/>
      <c r="H189" s="175"/>
      <c r="I189" s="175"/>
      <c r="J189" s="175"/>
      <c r="K189" s="175"/>
      <c r="L189" s="175"/>
      <c r="M189" s="175"/>
      <c r="N189" s="175"/>
      <c r="O189" s="175"/>
      <c r="P189" s="175"/>
      <c r="Q189" s="175"/>
      <c r="R189" s="176"/>
      <c r="S189" s="67"/>
      <c r="T189" s="67"/>
      <c r="U189" s="67"/>
      <c r="V189" s="67"/>
      <c r="W189" s="67"/>
      <c r="X189" s="67"/>
      <c r="Y189" s="67"/>
      <c r="Z189" s="67"/>
      <c r="AA189" s="67"/>
      <c r="AB189" s="67"/>
      <c r="AC189" s="67"/>
      <c r="AD189" s="67"/>
      <c r="AE189" s="67"/>
      <c r="AF189" s="67"/>
      <c r="AG189" s="67"/>
      <c r="AH189" s="67"/>
    </row>
    <row r="190">
      <c r="A190" s="171"/>
      <c r="B190" s="172"/>
      <c r="C190" s="172"/>
      <c r="D190" s="172"/>
      <c r="E190" s="172"/>
      <c r="F190" s="172"/>
      <c r="G190" s="172"/>
      <c r="H190" s="172"/>
      <c r="I190" s="172"/>
      <c r="J190" s="172"/>
      <c r="K190" s="172"/>
      <c r="L190" s="172"/>
      <c r="M190" s="172"/>
      <c r="N190" s="172"/>
      <c r="O190" s="172"/>
      <c r="P190" s="172"/>
      <c r="Q190" s="172"/>
      <c r="R190" s="173"/>
      <c r="S190" s="67"/>
      <c r="T190" s="67"/>
      <c r="U190" s="67"/>
      <c r="V190" s="67"/>
      <c r="W190" s="67"/>
      <c r="X190" s="67"/>
      <c r="Y190" s="67"/>
      <c r="Z190" s="67"/>
      <c r="AA190" s="67"/>
      <c r="AB190" s="67"/>
      <c r="AC190" s="67"/>
      <c r="AD190" s="67"/>
      <c r="AE190" s="67"/>
      <c r="AF190" s="67"/>
      <c r="AG190" s="67"/>
      <c r="AH190" s="67"/>
    </row>
    <row r="191">
      <c r="A191" s="174"/>
      <c r="B191" s="175"/>
      <c r="C191" s="175"/>
      <c r="D191" s="175"/>
      <c r="E191" s="175"/>
      <c r="F191" s="175"/>
      <c r="G191" s="175"/>
      <c r="H191" s="175"/>
      <c r="I191" s="175"/>
      <c r="J191" s="175"/>
      <c r="K191" s="175"/>
      <c r="L191" s="175"/>
      <c r="M191" s="175"/>
      <c r="N191" s="175"/>
      <c r="O191" s="175"/>
      <c r="P191" s="175"/>
      <c r="Q191" s="175"/>
      <c r="R191" s="176"/>
      <c r="S191" s="67"/>
      <c r="T191" s="67"/>
      <c r="U191" s="67"/>
      <c r="V191" s="67"/>
      <c r="W191" s="67"/>
      <c r="X191" s="67"/>
      <c r="Y191" s="67"/>
      <c r="Z191" s="67"/>
      <c r="AA191" s="67"/>
      <c r="AB191" s="67"/>
      <c r="AC191" s="67"/>
      <c r="AD191" s="67"/>
      <c r="AE191" s="67"/>
      <c r="AF191" s="67"/>
      <c r="AG191" s="67"/>
      <c r="AH191" s="67"/>
    </row>
    <row r="192">
      <c r="A192" s="171"/>
      <c r="B192" s="172"/>
      <c r="C192" s="172"/>
      <c r="D192" s="172"/>
      <c r="E192" s="172"/>
      <c r="F192" s="172"/>
      <c r="G192" s="172"/>
      <c r="H192" s="172"/>
      <c r="I192" s="172"/>
      <c r="J192" s="172"/>
      <c r="K192" s="172"/>
      <c r="L192" s="172"/>
      <c r="M192" s="172"/>
      <c r="N192" s="172"/>
      <c r="O192" s="172"/>
      <c r="P192" s="172"/>
      <c r="Q192" s="172"/>
      <c r="R192" s="173"/>
      <c r="S192" s="67"/>
      <c r="T192" s="67"/>
      <c r="U192" s="67"/>
      <c r="V192" s="67"/>
      <c r="W192" s="67"/>
      <c r="X192" s="67"/>
      <c r="Y192" s="67"/>
      <c r="Z192" s="67"/>
      <c r="AA192" s="67"/>
      <c r="AB192" s="67"/>
      <c r="AC192" s="67"/>
      <c r="AD192" s="67"/>
      <c r="AE192" s="67"/>
      <c r="AF192" s="67"/>
      <c r="AG192" s="67"/>
      <c r="AH192" s="67"/>
    </row>
    <row r="193">
      <c r="A193" s="174"/>
      <c r="B193" s="175"/>
      <c r="C193" s="175"/>
      <c r="D193" s="175"/>
      <c r="E193" s="175"/>
      <c r="F193" s="175"/>
      <c r="G193" s="175"/>
      <c r="H193" s="175"/>
      <c r="I193" s="175"/>
      <c r="J193" s="175"/>
      <c r="K193" s="175"/>
      <c r="L193" s="175"/>
      <c r="M193" s="175"/>
      <c r="N193" s="175"/>
      <c r="O193" s="175"/>
      <c r="P193" s="175"/>
      <c r="Q193" s="175"/>
      <c r="R193" s="176"/>
      <c r="S193" s="67"/>
      <c r="T193" s="67"/>
      <c r="U193" s="67"/>
      <c r="V193" s="67"/>
      <c r="W193" s="67"/>
      <c r="X193" s="67"/>
      <c r="Y193" s="67"/>
      <c r="Z193" s="67"/>
      <c r="AA193" s="67"/>
      <c r="AB193" s="67"/>
      <c r="AC193" s="67"/>
      <c r="AD193" s="67"/>
      <c r="AE193" s="67"/>
      <c r="AF193" s="67"/>
      <c r="AG193" s="67"/>
      <c r="AH193" s="67"/>
    </row>
    <row r="194">
      <c r="A194" s="171"/>
      <c r="B194" s="172"/>
      <c r="C194" s="172"/>
      <c r="D194" s="172"/>
      <c r="E194" s="172"/>
      <c r="F194" s="172"/>
      <c r="G194" s="172"/>
      <c r="H194" s="172"/>
      <c r="I194" s="172"/>
      <c r="J194" s="172"/>
      <c r="K194" s="172"/>
      <c r="L194" s="172"/>
      <c r="M194" s="172"/>
      <c r="N194" s="172"/>
      <c r="O194" s="172"/>
      <c r="P194" s="172"/>
      <c r="Q194" s="172"/>
      <c r="R194" s="173"/>
      <c r="S194" s="67"/>
      <c r="T194" s="67"/>
      <c r="U194" s="67"/>
      <c r="V194" s="67"/>
      <c r="W194" s="67"/>
      <c r="X194" s="67"/>
      <c r="Y194" s="67"/>
      <c r="Z194" s="67"/>
      <c r="AA194" s="67"/>
      <c r="AB194" s="67"/>
      <c r="AC194" s="67"/>
      <c r="AD194" s="67"/>
      <c r="AE194" s="67"/>
      <c r="AF194" s="67"/>
      <c r="AG194" s="67"/>
      <c r="AH194" s="67"/>
    </row>
    <row r="195">
      <c r="A195" s="174"/>
      <c r="B195" s="175"/>
      <c r="C195" s="175"/>
      <c r="D195" s="175"/>
      <c r="E195" s="175"/>
      <c r="F195" s="175"/>
      <c r="G195" s="175"/>
      <c r="H195" s="175"/>
      <c r="I195" s="175"/>
      <c r="J195" s="175"/>
      <c r="K195" s="175"/>
      <c r="L195" s="175"/>
      <c r="M195" s="175"/>
      <c r="N195" s="175"/>
      <c r="O195" s="175"/>
      <c r="P195" s="175"/>
      <c r="Q195" s="175"/>
      <c r="R195" s="176"/>
      <c r="S195" s="67"/>
      <c r="T195" s="67"/>
      <c r="U195" s="67"/>
      <c r="V195" s="67"/>
      <c r="W195" s="67"/>
      <c r="X195" s="67"/>
      <c r="Y195" s="67"/>
      <c r="Z195" s="67"/>
      <c r="AA195" s="67"/>
      <c r="AB195" s="67"/>
      <c r="AC195" s="67"/>
      <c r="AD195" s="67"/>
      <c r="AE195" s="67"/>
      <c r="AF195" s="67"/>
      <c r="AG195" s="67"/>
      <c r="AH195" s="67"/>
    </row>
    <row r="196">
      <c r="A196" s="171"/>
      <c r="B196" s="172"/>
      <c r="C196" s="172"/>
      <c r="D196" s="172"/>
      <c r="E196" s="172"/>
      <c r="F196" s="172"/>
      <c r="G196" s="172"/>
      <c r="H196" s="172"/>
      <c r="I196" s="172"/>
      <c r="J196" s="172"/>
      <c r="K196" s="172"/>
      <c r="L196" s="172"/>
      <c r="M196" s="172"/>
      <c r="N196" s="172"/>
      <c r="O196" s="172"/>
      <c r="P196" s="172"/>
      <c r="Q196" s="172"/>
      <c r="R196" s="173"/>
      <c r="S196" s="67"/>
      <c r="T196" s="67"/>
      <c r="U196" s="67"/>
      <c r="V196" s="67"/>
      <c r="W196" s="67"/>
      <c r="X196" s="67"/>
      <c r="Y196" s="67"/>
      <c r="Z196" s="67"/>
      <c r="AA196" s="67"/>
      <c r="AB196" s="67"/>
      <c r="AC196" s="67"/>
      <c r="AD196" s="67"/>
      <c r="AE196" s="67"/>
      <c r="AF196" s="67"/>
      <c r="AG196" s="67"/>
      <c r="AH196" s="67"/>
    </row>
    <row r="197">
      <c r="A197" s="174"/>
      <c r="B197" s="175"/>
      <c r="C197" s="175"/>
      <c r="D197" s="175"/>
      <c r="E197" s="175"/>
      <c r="F197" s="175"/>
      <c r="G197" s="175"/>
      <c r="H197" s="175"/>
      <c r="I197" s="175"/>
      <c r="J197" s="175"/>
      <c r="K197" s="175"/>
      <c r="L197" s="175"/>
      <c r="M197" s="175"/>
      <c r="N197" s="175"/>
      <c r="O197" s="175"/>
      <c r="P197" s="175"/>
      <c r="Q197" s="175"/>
      <c r="R197" s="176"/>
      <c r="S197" s="67"/>
      <c r="T197" s="67"/>
      <c r="U197" s="67"/>
      <c r="V197" s="67"/>
      <c r="W197" s="67"/>
      <c r="X197" s="67"/>
      <c r="Y197" s="67"/>
      <c r="Z197" s="67"/>
      <c r="AA197" s="67"/>
      <c r="AB197" s="67"/>
      <c r="AC197" s="67"/>
      <c r="AD197" s="67"/>
      <c r="AE197" s="67"/>
      <c r="AF197" s="67"/>
      <c r="AG197" s="67"/>
      <c r="AH197" s="67"/>
    </row>
    <row r="198">
      <c r="A198" s="171"/>
      <c r="B198" s="172"/>
      <c r="C198" s="172"/>
      <c r="D198" s="172"/>
      <c r="E198" s="172"/>
      <c r="F198" s="172"/>
      <c r="G198" s="172"/>
      <c r="H198" s="172"/>
      <c r="I198" s="172"/>
      <c r="J198" s="172"/>
      <c r="K198" s="172"/>
      <c r="L198" s="172"/>
      <c r="M198" s="172"/>
      <c r="N198" s="172"/>
      <c r="O198" s="172"/>
      <c r="P198" s="172"/>
      <c r="Q198" s="172"/>
      <c r="R198" s="173"/>
      <c r="S198" s="67"/>
      <c r="T198" s="67"/>
      <c r="U198" s="67"/>
      <c r="V198" s="67"/>
      <c r="W198" s="67"/>
      <c r="X198" s="67"/>
      <c r="Y198" s="67"/>
      <c r="Z198" s="67"/>
      <c r="AA198" s="67"/>
      <c r="AB198" s="67"/>
      <c r="AC198" s="67"/>
      <c r="AD198" s="67"/>
      <c r="AE198" s="67"/>
      <c r="AF198" s="67"/>
      <c r="AG198" s="67"/>
      <c r="AH198" s="67"/>
    </row>
    <row r="199">
      <c r="A199" s="174"/>
      <c r="B199" s="175"/>
      <c r="C199" s="175"/>
      <c r="D199" s="175"/>
      <c r="E199" s="175"/>
      <c r="F199" s="175"/>
      <c r="G199" s="175"/>
      <c r="H199" s="175"/>
      <c r="I199" s="175"/>
      <c r="J199" s="175"/>
      <c r="K199" s="175"/>
      <c r="L199" s="175"/>
      <c r="M199" s="175"/>
      <c r="N199" s="175"/>
      <c r="O199" s="175"/>
      <c r="P199" s="175"/>
      <c r="Q199" s="175"/>
      <c r="R199" s="176"/>
      <c r="S199" s="67"/>
      <c r="T199" s="67"/>
      <c r="U199" s="67"/>
      <c r="V199" s="67"/>
      <c r="W199" s="67"/>
      <c r="X199" s="67"/>
      <c r="Y199" s="67"/>
      <c r="Z199" s="67"/>
      <c r="AA199" s="67"/>
      <c r="AB199" s="67"/>
      <c r="AC199" s="67"/>
      <c r="AD199" s="67"/>
      <c r="AE199" s="67"/>
      <c r="AF199" s="67"/>
      <c r="AG199" s="67"/>
      <c r="AH199" s="67"/>
    </row>
    <row r="200">
      <c r="A200" s="171"/>
      <c r="B200" s="172"/>
      <c r="C200" s="172"/>
      <c r="D200" s="172"/>
      <c r="E200" s="172"/>
      <c r="F200" s="172"/>
      <c r="G200" s="172"/>
      <c r="H200" s="172"/>
      <c r="I200" s="172"/>
      <c r="J200" s="172"/>
      <c r="K200" s="172"/>
      <c r="L200" s="172"/>
      <c r="M200" s="172"/>
      <c r="N200" s="172"/>
      <c r="O200" s="172"/>
      <c r="P200" s="172"/>
      <c r="Q200" s="172"/>
      <c r="R200" s="173"/>
      <c r="S200" s="67"/>
      <c r="T200" s="67"/>
      <c r="U200" s="67"/>
      <c r="V200" s="67"/>
      <c r="W200" s="67"/>
      <c r="X200" s="67"/>
      <c r="Y200" s="67"/>
      <c r="Z200" s="67"/>
      <c r="AA200" s="67"/>
      <c r="AB200" s="67"/>
      <c r="AC200" s="67"/>
      <c r="AD200" s="67"/>
      <c r="AE200" s="67"/>
      <c r="AF200" s="67"/>
      <c r="AG200" s="67"/>
      <c r="AH200" s="67"/>
    </row>
    <row r="201">
      <c r="A201" s="174"/>
      <c r="B201" s="175"/>
      <c r="C201" s="175"/>
      <c r="D201" s="175"/>
      <c r="E201" s="175"/>
      <c r="F201" s="175"/>
      <c r="G201" s="175"/>
      <c r="H201" s="175"/>
      <c r="I201" s="175"/>
      <c r="J201" s="175"/>
      <c r="K201" s="175"/>
      <c r="L201" s="175"/>
      <c r="M201" s="175"/>
      <c r="N201" s="175"/>
      <c r="O201" s="175"/>
      <c r="P201" s="175"/>
      <c r="Q201" s="175"/>
      <c r="R201" s="176"/>
      <c r="S201" s="67"/>
      <c r="T201" s="67"/>
      <c r="U201" s="67"/>
      <c r="V201" s="67"/>
      <c r="W201" s="67"/>
      <c r="X201" s="67"/>
      <c r="Y201" s="67"/>
      <c r="Z201" s="67"/>
      <c r="AA201" s="67"/>
      <c r="AB201" s="67"/>
      <c r="AC201" s="67"/>
      <c r="AD201" s="67"/>
      <c r="AE201" s="67"/>
      <c r="AF201" s="67"/>
      <c r="AG201" s="67"/>
      <c r="AH201" s="67"/>
    </row>
    <row r="202">
      <c r="A202" s="171"/>
      <c r="B202" s="172"/>
      <c r="C202" s="172"/>
      <c r="D202" s="172"/>
      <c r="E202" s="172"/>
      <c r="F202" s="172"/>
      <c r="G202" s="172"/>
      <c r="H202" s="172"/>
      <c r="I202" s="172"/>
      <c r="J202" s="172"/>
      <c r="K202" s="172"/>
      <c r="L202" s="172"/>
      <c r="M202" s="172"/>
      <c r="N202" s="172"/>
      <c r="O202" s="172"/>
      <c r="P202" s="172"/>
      <c r="Q202" s="172"/>
      <c r="R202" s="173"/>
      <c r="S202" s="67"/>
      <c r="T202" s="67"/>
      <c r="U202" s="67"/>
      <c r="V202" s="67"/>
      <c r="W202" s="67"/>
      <c r="X202" s="67"/>
      <c r="Y202" s="67"/>
      <c r="Z202" s="67"/>
      <c r="AA202" s="67"/>
      <c r="AB202" s="67"/>
      <c r="AC202" s="67"/>
      <c r="AD202" s="67"/>
      <c r="AE202" s="67"/>
      <c r="AF202" s="67"/>
      <c r="AG202" s="67"/>
      <c r="AH202" s="67"/>
    </row>
    <row r="203">
      <c r="A203" s="174"/>
      <c r="B203" s="175"/>
      <c r="C203" s="175"/>
      <c r="D203" s="175"/>
      <c r="E203" s="175"/>
      <c r="F203" s="175"/>
      <c r="G203" s="175"/>
      <c r="H203" s="175"/>
      <c r="I203" s="175"/>
      <c r="J203" s="175"/>
      <c r="K203" s="175"/>
      <c r="L203" s="175"/>
      <c r="M203" s="175"/>
      <c r="N203" s="175"/>
      <c r="O203" s="175"/>
      <c r="P203" s="175"/>
      <c r="Q203" s="175"/>
      <c r="R203" s="176"/>
      <c r="S203" s="67"/>
      <c r="T203" s="67"/>
      <c r="U203" s="67"/>
      <c r="V203" s="67"/>
      <c r="W203" s="67"/>
      <c r="X203" s="67"/>
      <c r="Y203" s="67"/>
      <c r="Z203" s="67"/>
      <c r="AA203" s="67"/>
      <c r="AB203" s="67"/>
      <c r="AC203" s="67"/>
      <c r="AD203" s="67"/>
      <c r="AE203" s="67"/>
      <c r="AF203" s="67"/>
      <c r="AG203" s="67"/>
      <c r="AH203" s="67"/>
    </row>
    <row r="204">
      <c r="A204" s="171"/>
      <c r="B204" s="172"/>
      <c r="C204" s="172"/>
      <c r="D204" s="172"/>
      <c r="E204" s="172"/>
      <c r="F204" s="172"/>
      <c r="G204" s="172"/>
      <c r="H204" s="172"/>
      <c r="I204" s="172"/>
      <c r="J204" s="172"/>
      <c r="K204" s="172"/>
      <c r="L204" s="172"/>
      <c r="M204" s="172"/>
      <c r="N204" s="172"/>
      <c r="O204" s="172"/>
      <c r="P204" s="172"/>
      <c r="Q204" s="172"/>
      <c r="R204" s="173"/>
      <c r="S204" s="67"/>
      <c r="T204" s="67"/>
      <c r="U204" s="67"/>
      <c r="V204" s="67"/>
      <c r="W204" s="67"/>
      <c r="X204" s="67"/>
      <c r="Y204" s="67"/>
      <c r="Z204" s="67"/>
      <c r="AA204" s="67"/>
      <c r="AB204" s="67"/>
      <c r="AC204" s="67"/>
      <c r="AD204" s="67"/>
      <c r="AE204" s="67"/>
      <c r="AF204" s="67"/>
      <c r="AG204" s="67"/>
      <c r="AH204" s="67"/>
    </row>
    <row r="205">
      <c r="A205" s="174"/>
      <c r="B205" s="175"/>
      <c r="C205" s="175"/>
      <c r="D205" s="175"/>
      <c r="E205" s="175"/>
      <c r="F205" s="175"/>
      <c r="G205" s="175"/>
      <c r="H205" s="175"/>
      <c r="I205" s="175"/>
      <c r="J205" s="175"/>
      <c r="K205" s="175"/>
      <c r="L205" s="175"/>
      <c r="M205" s="175"/>
      <c r="N205" s="175"/>
      <c r="O205" s="175"/>
      <c r="P205" s="175"/>
      <c r="Q205" s="175"/>
      <c r="R205" s="176"/>
      <c r="S205" s="67"/>
      <c r="T205" s="67"/>
      <c r="U205" s="67"/>
      <c r="V205" s="67"/>
      <c r="W205" s="67"/>
      <c r="X205" s="67"/>
      <c r="Y205" s="67"/>
      <c r="Z205" s="67"/>
      <c r="AA205" s="67"/>
      <c r="AB205" s="67"/>
      <c r="AC205" s="67"/>
      <c r="AD205" s="67"/>
      <c r="AE205" s="67"/>
      <c r="AF205" s="67"/>
      <c r="AG205" s="67"/>
      <c r="AH205" s="67"/>
    </row>
    <row r="206">
      <c r="A206" s="171"/>
      <c r="B206" s="172"/>
      <c r="C206" s="172"/>
      <c r="D206" s="172"/>
      <c r="E206" s="172"/>
      <c r="F206" s="172"/>
      <c r="G206" s="172"/>
      <c r="H206" s="172"/>
      <c r="I206" s="172"/>
      <c r="J206" s="172"/>
      <c r="K206" s="172"/>
      <c r="L206" s="172"/>
      <c r="M206" s="172"/>
      <c r="N206" s="172"/>
      <c r="O206" s="172"/>
      <c r="P206" s="172"/>
      <c r="Q206" s="172"/>
      <c r="R206" s="173"/>
      <c r="S206" s="67"/>
      <c r="T206" s="67"/>
      <c r="U206" s="67"/>
      <c r="V206" s="67"/>
      <c r="W206" s="67"/>
      <c r="X206" s="67"/>
      <c r="Y206" s="67"/>
      <c r="Z206" s="67"/>
      <c r="AA206" s="67"/>
      <c r="AB206" s="67"/>
      <c r="AC206" s="67"/>
      <c r="AD206" s="67"/>
      <c r="AE206" s="67"/>
      <c r="AF206" s="67"/>
      <c r="AG206" s="67"/>
      <c r="AH206" s="67"/>
    </row>
    <row r="207">
      <c r="A207" s="174"/>
      <c r="B207" s="175"/>
      <c r="C207" s="175"/>
      <c r="D207" s="175"/>
      <c r="E207" s="175"/>
      <c r="F207" s="175"/>
      <c r="G207" s="175"/>
      <c r="H207" s="175"/>
      <c r="I207" s="175"/>
      <c r="J207" s="175"/>
      <c r="K207" s="175"/>
      <c r="L207" s="175"/>
      <c r="M207" s="175"/>
      <c r="N207" s="175"/>
      <c r="O207" s="175"/>
      <c r="P207" s="175"/>
      <c r="Q207" s="175"/>
      <c r="R207" s="176"/>
      <c r="S207" s="67"/>
      <c r="T207" s="67"/>
      <c r="U207" s="67"/>
      <c r="V207" s="67"/>
      <c r="W207" s="67"/>
      <c r="X207" s="67"/>
      <c r="Y207" s="67"/>
      <c r="Z207" s="67"/>
      <c r="AA207" s="67"/>
      <c r="AB207" s="67"/>
      <c r="AC207" s="67"/>
      <c r="AD207" s="67"/>
      <c r="AE207" s="67"/>
      <c r="AF207" s="67"/>
      <c r="AG207" s="67"/>
      <c r="AH207" s="67"/>
    </row>
    <row r="208">
      <c r="A208" s="171"/>
      <c r="B208" s="172"/>
      <c r="C208" s="172"/>
      <c r="D208" s="172"/>
      <c r="E208" s="172"/>
      <c r="F208" s="172"/>
      <c r="G208" s="172"/>
      <c r="H208" s="172"/>
      <c r="I208" s="172"/>
      <c r="J208" s="172"/>
      <c r="K208" s="172"/>
      <c r="L208" s="172"/>
      <c r="M208" s="172"/>
      <c r="N208" s="172"/>
      <c r="O208" s="172"/>
      <c r="P208" s="172"/>
      <c r="Q208" s="172"/>
      <c r="R208" s="173"/>
      <c r="S208" s="67"/>
      <c r="T208" s="67"/>
      <c r="U208" s="67"/>
      <c r="V208" s="67"/>
      <c r="W208" s="67"/>
      <c r="X208" s="67"/>
      <c r="Y208" s="67"/>
      <c r="Z208" s="67"/>
      <c r="AA208" s="67"/>
      <c r="AB208" s="67"/>
      <c r="AC208" s="67"/>
      <c r="AD208" s="67"/>
      <c r="AE208" s="67"/>
      <c r="AF208" s="67"/>
      <c r="AG208" s="67"/>
      <c r="AH208" s="67"/>
    </row>
    <row r="209">
      <c r="A209" s="174"/>
      <c r="B209" s="175"/>
      <c r="C209" s="175"/>
      <c r="D209" s="175"/>
      <c r="E209" s="175"/>
      <c r="F209" s="175"/>
      <c r="G209" s="175"/>
      <c r="H209" s="175"/>
      <c r="I209" s="175"/>
      <c r="J209" s="175"/>
      <c r="K209" s="175"/>
      <c r="L209" s="175"/>
      <c r="M209" s="175"/>
      <c r="N209" s="175"/>
      <c r="O209" s="175"/>
      <c r="P209" s="175"/>
      <c r="Q209" s="175"/>
      <c r="R209" s="176"/>
      <c r="S209" s="67"/>
      <c r="T209" s="67"/>
      <c r="U209" s="67"/>
      <c r="V209" s="67"/>
      <c r="W209" s="67"/>
      <c r="X209" s="67"/>
      <c r="Y209" s="67"/>
      <c r="Z209" s="67"/>
      <c r="AA209" s="67"/>
      <c r="AB209" s="67"/>
      <c r="AC209" s="67"/>
      <c r="AD209" s="67"/>
      <c r="AE209" s="67"/>
      <c r="AF209" s="67"/>
      <c r="AG209" s="67"/>
      <c r="AH209" s="67"/>
    </row>
    <row r="210">
      <c r="A210" s="171"/>
      <c r="B210" s="172"/>
      <c r="C210" s="172"/>
      <c r="D210" s="172"/>
      <c r="E210" s="172"/>
      <c r="F210" s="172"/>
      <c r="G210" s="172"/>
      <c r="H210" s="172"/>
      <c r="I210" s="172"/>
      <c r="J210" s="172"/>
      <c r="K210" s="172"/>
      <c r="L210" s="172"/>
      <c r="M210" s="172"/>
      <c r="N210" s="172"/>
      <c r="O210" s="172"/>
      <c r="P210" s="172"/>
      <c r="Q210" s="172"/>
      <c r="R210" s="173"/>
      <c r="S210" s="67"/>
      <c r="T210" s="67"/>
      <c r="U210" s="67"/>
      <c r="V210" s="67"/>
      <c r="W210" s="67"/>
      <c r="X210" s="67"/>
      <c r="Y210" s="67"/>
      <c r="Z210" s="67"/>
      <c r="AA210" s="67"/>
      <c r="AB210" s="67"/>
      <c r="AC210" s="67"/>
      <c r="AD210" s="67"/>
      <c r="AE210" s="67"/>
      <c r="AF210" s="67"/>
      <c r="AG210" s="67"/>
      <c r="AH210" s="67"/>
    </row>
    <row r="211">
      <c r="A211" s="174"/>
      <c r="B211" s="175"/>
      <c r="C211" s="175"/>
      <c r="D211" s="175"/>
      <c r="E211" s="175"/>
      <c r="F211" s="175"/>
      <c r="G211" s="175"/>
      <c r="H211" s="175"/>
      <c r="I211" s="175"/>
      <c r="J211" s="175"/>
      <c r="K211" s="175"/>
      <c r="L211" s="175"/>
      <c r="M211" s="175"/>
      <c r="N211" s="175"/>
      <c r="O211" s="175"/>
      <c r="P211" s="175"/>
      <c r="Q211" s="175"/>
      <c r="R211" s="176"/>
      <c r="S211" s="67"/>
      <c r="T211" s="67"/>
      <c r="U211" s="67"/>
      <c r="V211" s="67"/>
      <c r="W211" s="67"/>
      <c r="X211" s="67"/>
      <c r="Y211" s="67"/>
      <c r="Z211" s="67"/>
      <c r="AA211" s="67"/>
      <c r="AB211" s="67"/>
      <c r="AC211" s="67"/>
      <c r="AD211" s="67"/>
      <c r="AE211" s="67"/>
      <c r="AF211" s="67"/>
      <c r="AG211" s="67"/>
      <c r="AH211" s="67"/>
    </row>
    <row r="212">
      <c r="A212" s="171"/>
      <c r="B212" s="172"/>
      <c r="C212" s="172"/>
      <c r="D212" s="172"/>
      <c r="E212" s="172"/>
      <c r="F212" s="172"/>
      <c r="G212" s="172"/>
      <c r="H212" s="172"/>
      <c r="I212" s="172"/>
      <c r="J212" s="172"/>
      <c r="K212" s="172"/>
      <c r="L212" s="172"/>
      <c r="M212" s="172"/>
      <c r="N212" s="172"/>
      <c r="O212" s="172"/>
      <c r="P212" s="172"/>
      <c r="Q212" s="172"/>
      <c r="R212" s="173"/>
      <c r="S212" s="67"/>
      <c r="T212" s="67"/>
      <c r="U212" s="67"/>
      <c r="V212" s="67"/>
      <c r="W212" s="67"/>
      <c r="X212" s="67"/>
      <c r="Y212" s="67"/>
      <c r="Z212" s="67"/>
      <c r="AA212" s="67"/>
      <c r="AB212" s="67"/>
      <c r="AC212" s="67"/>
      <c r="AD212" s="67"/>
      <c r="AE212" s="67"/>
      <c r="AF212" s="67"/>
      <c r="AG212" s="67"/>
      <c r="AH212" s="67"/>
    </row>
    <row r="213">
      <c r="A213" s="174"/>
      <c r="B213" s="175"/>
      <c r="C213" s="175"/>
      <c r="D213" s="175"/>
      <c r="E213" s="175"/>
      <c r="F213" s="175"/>
      <c r="G213" s="175"/>
      <c r="H213" s="175"/>
      <c r="I213" s="175"/>
      <c r="J213" s="175"/>
      <c r="K213" s="175"/>
      <c r="L213" s="175"/>
      <c r="M213" s="175"/>
      <c r="N213" s="175"/>
      <c r="O213" s="175"/>
      <c r="P213" s="175"/>
      <c r="Q213" s="175"/>
      <c r="R213" s="176"/>
      <c r="S213" s="67"/>
      <c r="T213" s="67"/>
      <c r="U213" s="67"/>
      <c r="V213" s="67"/>
      <c r="W213" s="67"/>
      <c r="X213" s="67"/>
      <c r="Y213" s="67"/>
      <c r="Z213" s="67"/>
      <c r="AA213" s="67"/>
      <c r="AB213" s="67"/>
      <c r="AC213" s="67"/>
      <c r="AD213" s="67"/>
      <c r="AE213" s="67"/>
      <c r="AF213" s="67"/>
      <c r="AG213" s="67"/>
      <c r="AH213" s="67"/>
    </row>
    <row r="214">
      <c r="A214" s="171"/>
      <c r="B214" s="172"/>
      <c r="C214" s="172"/>
      <c r="D214" s="172"/>
      <c r="E214" s="172"/>
      <c r="F214" s="172"/>
      <c r="G214" s="172"/>
      <c r="H214" s="172"/>
      <c r="I214" s="172"/>
      <c r="J214" s="172"/>
      <c r="K214" s="172"/>
      <c r="L214" s="172"/>
      <c r="M214" s="172"/>
      <c r="N214" s="172"/>
      <c r="O214" s="172"/>
      <c r="P214" s="172"/>
      <c r="Q214" s="172"/>
      <c r="R214" s="173"/>
      <c r="S214" s="67"/>
      <c r="T214" s="67"/>
      <c r="U214" s="67"/>
      <c r="V214" s="67"/>
      <c r="W214" s="67"/>
      <c r="X214" s="67"/>
      <c r="Y214" s="67"/>
      <c r="Z214" s="67"/>
      <c r="AA214" s="67"/>
      <c r="AB214" s="67"/>
      <c r="AC214" s="67"/>
      <c r="AD214" s="67"/>
      <c r="AE214" s="67"/>
      <c r="AF214" s="67"/>
      <c r="AG214" s="67"/>
      <c r="AH214" s="67"/>
    </row>
    <row r="215">
      <c r="A215" s="174"/>
      <c r="B215" s="175"/>
      <c r="C215" s="175"/>
      <c r="D215" s="175"/>
      <c r="E215" s="175"/>
      <c r="F215" s="175"/>
      <c r="G215" s="175"/>
      <c r="H215" s="175"/>
      <c r="I215" s="175"/>
      <c r="J215" s="175"/>
      <c r="K215" s="175"/>
      <c r="L215" s="175"/>
      <c r="M215" s="175"/>
      <c r="N215" s="175"/>
      <c r="O215" s="175"/>
      <c r="P215" s="175"/>
      <c r="Q215" s="175"/>
      <c r="R215" s="176"/>
      <c r="S215" s="67"/>
      <c r="T215" s="67"/>
      <c r="U215" s="67"/>
      <c r="V215" s="67"/>
      <c r="W215" s="67"/>
      <c r="X215" s="67"/>
      <c r="Y215" s="67"/>
      <c r="Z215" s="67"/>
      <c r="AA215" s="67"/>
      <c r="AB215" s="67"/>
      <c r="AC215" s="67"/>
      <c r="AD215" s="67"/>
      <c r="AE215" s="67"/>
      <c r="AF215" s="67"/>
      <c r="AG215" s="67"/>
      <c r="AH215" s="67"/>
    </row>
    <row r="216">
      <c r="A216" s="171"/>
      <c r="B216" s="172"/>
      <c r="C216" s="172"/>
      <c r="D216" s="172"/>
      <c r="E216" s="172"/>
      <c r="F216" s="172"/>
      <c r="G216" s="172"/>
      <c r="H216" s="172"/>
      <c r="I216" s="172"/>
      <c r="J216" s="172"/>
      <c r="K216" s="172"/>
      <c r="L216" s="172"/>
      <c r="M216" s="172"/>
      <c r="N216" s="172"/>
      <c r="O216" s="172"/>
      <c r="P216" s="172"/>
      <c r="Q216" s="172"/>
      <c r="R216" s="173"/>
      <c r="S216" s="67"/>
      <c r="T216" s="67"/>
      <c r="U216" s="67"/>
      <c r="V216" s="67"/>
      <c r="W216" s="67"/>
      <c r="X216" s="67"/>
      <c r="Y216" s="67"/>
      <c r="Z216" s="67"/>
      <c r="AA216" s="67"/>
      <c r="AB216" s="67"/>
      <c r="AC216" s="67"/>
      <c r="AD216" s="67"/>
      <c r="AE216" s="67"/>
      <c r="AF216" s="67"/>
      <c r="AG216" s="67"/>
      <c r="AH216" s="67"/>
    </row>
    <row r="217">
      <c r="A217" s="174"/>
      <c r="B217" s="175"/>
      <c r="C217" s="175"/>
      <c r="D217" s="175"/>
      <c r="E217" s="175"/>
      <c r="F217" s="175"/>
      <c r="G217" s="175"/>
      <c r="H217" s="175"/>
      <c r="I217" s="175"/>
      <c r="J217" s="175"/>
      <c r="K217" s="175"/>
      <c r="L217" s="175"/>
      <c r="M217" s="175"/>
      <c r="N217" s="175"/>
      <c r="O217" s="175"/>
      <c r="P217" s="175"/>
      <c r="Q217" s="175"/>
      <c r="R217" s="176"/>
      <c r="S217" s="67"/>
      <c r="T217" s="67"/>
      <c r="U217" s="67"/>
      <c r="V217" s="67"/>
      <c r="W217" s="67"/>
      <c r="X217" s="67"/>
      <c r="Y217" s="67"/>
      <c r="Z217" s="67"/>
      <c r="AA217" s="67"/>
      <c r="AB217" s="67"/>
      <c r="AC217" s="67"/>
      <c r="AD217" s="67"/>
      <c r="AE217" s="67"/>
      <c r="AF217" s="67"/>
      <c r="AG217" s="67"/>
      <c r="AH217" s="67"/>
    </row>
    <row r="218">
      <c r="A218" s="171"/>
      <c r="B218" s="172"/>
      <c r="C218" s="172"/>
      <c r="D218" s="172"/>
      <c r="E218" s="172"/>
      <c r="F218" s="172"/>
      <c r="G218" s="172"/>
      <c r="H218" s="172"/>
      <c r="I218" s="172"/>
      <c r="J218" s="172"/>
      <c r="K218" s="172"/>
      <c r="L218" s="172"/>
      <c r="M218" s="172"/>
      <c r="N218" s="172"/>
      <c r="O218" s="172"/>
      <c r="P218" s="172"/>
      <c r="Q218" s="172"/>
      <c r="R218" s="173"/>
      <c r="S218" s="67"/>
      <c r="T218" s="67"/>
      <c r="U218" s="67"/>
      <c r="V218" s="67"/>
      <c r="W218" s="67"/>
      <c r="X218" s="67"/>
      <c r="Y218" s="67"/>
      <c r="Z218" s="67"/>
      <c r="AA218" s="67"/>
      <c r="AB218" s="67"/>
      <c r="AC218" s="67"/>
      <c r="AD218" s="67"/>
      <c r="AE218" s="67"/>
      <c r="AF218" s="67"/>
      <c r="AG218" s="67"/>
      <c r="AH218" s="67"/>
    </row>
    <row r="219">
      <c r="A219" s="174"/>
      <c r="B219" s="175"/>
      <c r="C219" s="175"/>
      <c r="D219" s="175"/>
      <c r="E219" s="175"/>
      <c r="F219" s="175"/>
      <c r="G219" s="175"/>
      <c r="H219" s="175"/>
      <c r="I219" s="175"/>
      <c r="J219" s="175"/>
      <c r="K219" s="175"/>
      <c r="L219" s="175"/>
      <c r="M219" s="175"/>
      <c r="N219" s="175"/>
      <c r="O219" s="175"/>
      <c r="P219" s="175"/>
      <c r="Q219" s="175"/>
      <c r="R219" s="176"/>
      <c r="S219" s="67"/>
      <c r="T219" s="67"/>
      <c r="U219" s="67"/>
      <c r="V219" s="67"/>
      <c r="W219" s="67"/>
      <c r="X219" s="67"/>
      <c r="Y219" s="67"/>
      <c r="Z219" s="67"/>
      <c r="AA219" s="67"/>
      <c r="AB219" s="67"/>
      <c r="AC219" s="67"/>
      <c r="AD219" s="67"/>
      <c r="AE219" s="67"/>
      <c r="AF219" s="67"/>
      <c r="AG219" s="67"/>
      <c r="AH219" s="67"/>
    </row>
    <row r="220">
      <c r="A220" s="171"/>
      <c r="B220" s="172"/>
      <c r="C220" s="172"/>
      <c r="D220" s="172"/>
      <c r="E220" s="172"/>
      <c r="F220" s="172"/>
      <c r="G220" s="172"/>
      <c r="H220" s="172"/>
      <c r="I220" s="172"/>
      <c r="J220" s="172"/>
      <c r="K220" s="172"/>
      <c r="L220" s="172"/>
      <c r="M220" s="172"/>
      <c r="N220" s="172"/>
      <c r="O220" s="172"/>
      <c r="P220" s="172"/>
      <c r="Q220" s="172"/>
      <c r="R220" s="173"/>
      <c r="S220" s="67"/>
      <c r="T220" s="67"/>
      <c r="U220" s="67"/>
      <c r="V220" s="67"/>
      <c r="W220" s="67"/>
      <c r="X220" s="67"/>
      <c r="Y220" s="67"/>
      <c r="Z220" s="67"/>
      <c r="AA220" s="67"/>
      <c r="AB220" s="67"/>
      <c r="AC220" s="67"/>
      <c r="AD220" s="67"/>
      <c r="AE220" s="67"/>
      <c r="AF220" s="67"/>
      <c r="AG220" s="67"/>
      <c r="AH220" s="67"/>
    </row>
    <row r="221">
      <c r="A221" s="174"/>
      <c r="B221" s="175"/>
      <c r="C221" s="175"/>
      <c r="D221" s="175"/>
      <c r="E221" s="175"/>
      <c r="F221" s="175"/>
      <c r="G221" s="175"/>
      <c r="H221" s="175"/>
      <c r="I221" s="175"/>
      <c r="J221" s="175"/>
      <c r="K221" s="175"/>
      <c r="L221" s="175"/>
      <c r="M221" s="175"/>
      <c r="N221" s="175"/>
      <c r="O221" s="175"/>
      <c r="P221" s="175"/>
      <c r="Q221" s="175"/>
      <c r="R221" s="176"/>
      <c r="S221" s="67"/>
      <c r="T221" s="67"/>
      <c r="U221" s="67"/>
      <c r="V221" s="67"/>
      <c r="W221" s="67"/>
      <c r="X221" s="67"/>
      <c r="Y221" s="67"/>
      <c r="Z221" s="67"/>
      <c r="AA221" s="67"/>
      <c r="AB221" s="67"/>
      <c r="AC221" s="67"/>
      <c r="AD221" s="67"/>
      <c r="AE221" s="67"/>
      <c r="AF221" s="67"/>
      <c r="AG221" s="67"/>
      <c r="AH221" s="67"/>
    </row>
    <row r="222">
      <c r="A222" s="171"/>
      <c r="B222" s="172"/>
      <c r="C222" s="172"/>
      <c r="D222" s="172"/>
      <c r="E222" s="172"/>
      <c r="F222" s="172"/>
      <c r="G222" s="172"/>
      <c r="H222" s="172"/>
      <c r="I222" s="172"/>
      <c r="J222" s="172"/>
      <c r="K222" s="172"/>
      <c r="L222" s="172"/>
      <c r="M222" s="172"/>
      <c r="N222" s="172"/>
      <c r="O222" s="172"/>
      <c r="P222" s="172"/>
      <c r="Q222" s="172"/>
      <c r="R222" s="173"/>
      <c r="S222" s="67"/>
      <c r="T222" s="67"/>
      <c r="U222" s="67"/>
      <c r="V222" s="67"/>
      <c r="W222" s="67"/>
      <c r="X222" s="67"/>
      <c r="Y222" s="67"/>
      <c r="Z222" s="67"/>
      <c r="AA222" s="67"/>
      <c r="AB222" s="67"/>
      <c r="AC222" s="67"/>
      <c r="AD222" s="67"/>
      <c r="AE222" s="67"/>
      <c r="AF222" s="67"/>
      <c r="AG222" s="67"/>
      <c r="AH222" s="67"/>
    </row>
    <row r="223">
      <c r="A223" s="174"/>
      <c r="B223" s="175"/>
      <c r="C223" s="175"/>
      <c r="D223" s="175"/>
      <c r="E223" s="175"/>
      <c r="F223" s="175"/>
      <c r="G223" s="175"/>
      <c r="H223" s="175"/>
      <c r="I223" s="175"/>
      <c r="J223" s="175"/>
      <c r="K223" s="175"/>
      <c r="L223" s="175"/>
      <c r="M223" s="175"/>
      <c r="N223" s="175"/>
      <c r="O223" s="175"/>
      <c r="P223" s="175"/>
      <c r="Q223" s="175"/>
      <c r="R223" s="176"/>
      <c r="S223" s="67"/>
      <c r="T223" s="67"/>
      <c r="U223" s="67"/>
      <c r="V223" s="67"/>
      <c r="W223" s="67"/>
      <c r="X223" s="67"/>
      <c r="Y223" s="67"/>
      <c r="Z223" s="67"/>
      <c r="AA223" s="67"/>
      <c r="AB223" s="67"/>
      <c r="AC223" s="67"/>
      <c r="AD223" s="67"/>
      <c r="AE223" s="67"/>
      <c r="AF223" s="67"/>
      <c r="AG223" s="67"/>
      <c r="AH223" s="67"/>
    </row>
    <row r="224">
      <c r="A224" s="171"/>
      <c r="B224" s="172"/>
      <c r="C224" s="172"/>
      <c r="D224" s="172"/>
      <c r="E224" s="172"/>
      <c r="F224" s="172"/>
      <c r="G224" s="172"/>
      <c r="H224" s="172"/>
      <c r="I224" s="172"/>
      <c r="J224" s="172"/>
      <c r="K224" s="172"/>
      <c r="L224" s="172"/>
      <c r="M224" s="172"/>
      <c r="N224" s="172"/>
      <c r="O224" s="172"/>
      <c r="P224" s="172"/>
      <c r="Q224" s="172"/>
      <c r="R224" s="173"/>
      <c r="S224" s="67"/>
      <c r="T224" s="67"/>
      <c r="U224" s="67"/>
      <c r="V224" s="67"/>
      <c r="W224" s="67"/>
      <c r="X224" s="67"/>
      <c r="Y224" s="67"/>
      <c r="Z224" s="67"/>
      <c r="AA224" s="67"/>
      <c r="AB224" s="67"/>
      <c r="AC224" s="67"/>
      <c r="AD224" s="67"/>
      <c r="AE224" s="67"/>
      <c r="AF224" s="67"/>
      <c r="AG224" s="67"/>
      <c r="AH224" s="67"/>
    </row>
    <row r="225">
      <c r="A225" s="174"/>
      <c r="B225" s="175"/>
      <c r="C225" s="175"/>
      <c r="D225" s="175"/>
      <c r="E225" s="175"/>
      <c r="F225" s="175"/>
      <c r="G225" s="175"/>
      <c r="H225" s="175"/>
      <c r="I225" s="175"/>
      <c r="J225" s="175"/>
      <c r="K225" s="175"/>
      <c r="L225" s="175"/>
      <c r="M225" s="175"/>
      <c r="N225" s="175"/>
      <c r="O225" s="175"/>
      <c r="P225" s="175"/>
      <c r="Q225" s="175"/>
      <c r="R225" s="176"/>
      <c r="S225" s="67"/>
      <c r="T225" s="67"/>
      <c r="U225" s="67"/>
      <c r="V225" s="67"/>
      <c r="W225" s="67"/>
      <c r="X225" s="67"/>
      <c r="Y225" s="67"/>
      <c r="Z225" s="67"/>
      <c r="AA225" s="67"/>
      <c r="AB225" s="67"/>
      <c r="AC225" s="67"/>
      <c r="AD225" s="67"/>
      <c r="AE225" s="67"/>
      <c r="AF225" s="67"/>
      <c r="AG225" s="67"/>
      <c r="AH225" s="67"/>
    </row>
    <row r="226">
      <c r="A226" s="171"/>
      <c r="B226" s="172"/>
      <c r="C226" s="172"/>
      <c r="D226" s="172"/>
      <c r="E226" s="172"/>
      <c r="F226" s="172"/>
      <c r="G226" s="172"/>
      <c r="H226" s="172"/>
      <c r="I226" s="172"/>
      <c r="J226" s="172"/>
      <c r="K226" s="172"/>
      <c r="L226" s="172"/>
      <c r="M226" s="172"/>
      <c r="N226" s="172"/>
      <c r="O226" s="172"/>
      <c r="P226" s="172"/>
      <c r="Q226" s="172"/>
      <c r="R226" s="173"/>
      <c r="S226" s="67"/>
      <c r="T226" s="67"/>
      <c r="U226" s="67"/>
      <c r="V226" s="67"/>
      <c r="W226" s="67"/>
      <c r="X226" s="67"/>
      <c r="Y226" s="67"/>
      <c r="Z226" s="67"/>
      <c r="AA226" s="67"/>
      <c r="AB226" s="67"/>
      <c r="AC226" s="67"/>
      <c r="AD226" s="67"/>
      <c r="AE226" s="67"/>
      <c r="AF226" s="67"/>
      <c r="AG226" s="67"/>
      <c r="AH226" s="67"/>
    </row>
    <row r="227">
      <c r="A227" s="174"/>
      <c r="B227" s="175"/>
      <c r="C227" s="175"/>
      <c r="D227" s="175"/>
      <c r="E227" s="175"/>
      <c r="F227" s="175"/>
      <c r="G227" s="175"/>
      <c r="H227" s="175"/>
      <c r="I227" s="175"/>
      <c r="J227" s="175"/>
      <c r="K227" s="175"/>
      <c r="L227" s="175"/>
      <c r="M227" s="175"/>
      <c r="N227" s="175"/>
      <c r="O227" s="175"/>
      <c r="P227" s="175"/>
      <c r="Q227" s="175"/>
      <c r="R227" s="176"/>
      <c r="S227" s="67"/>
      <c r="T227" s="67"/>
      <c r="U227" s="67"/>
      <c r="V227" s="67"/>
      <c r="W227" s="67"/>
      <c r="X227" s="67"/>
      <c r="Y227" s="67"/>
      <c r="Z227" s="67"/>
      <c r="AA227" s="67"/>
      <c r="AB227" s="67"/>
      <c r="AC227" s="67"/>
      <c r="AD227" s="67"/>
      <c r="AE227" s="67"/>
      <c r="AF227" s="67"/>
      <c r="AG227" s="67"/>
      <c r="AH227" s="67"/>
    </row>
    <row r="228">
      <c r="A228" s="171"/>
      <c r="B228" s="172"/>
      <c r="C228" s="172"/>
      <c r="D228" s="172"/>
      <c r="E228" s="172"/>
      <c r="F228" s="172"/>
      <c r="G228" s="172"/>
      <c r="H228" s="172"/>
      <c r="I228" s="172"/>
      <c r="J228" s="172"/>
      <c r="K228" s="172"/>
      <c r="L228" s="172"/>
      <c r="M228" s="172"/>
      <c r="N228" s="172"/>
      <c r="O228" s="172"/>
      <c r="P228" s="172"/>
      <c r="Q228" s="172"/>
      <c r="R228" s="173"/>
      <c r="S228" s="67"/>
      <c r="T228" s="67"/>
      <c r="U228" s="67"/>
      <c r="V228" s="67"/>
      <c r="W228" s="67"/>
      <c r="X228" s="67"/>
      <c r="Y228" s="67"/>
      <c r="Z228" s="67"/>
      <c r="AA228" s="67"/>
      <c r="AB228" s="67"/>
      <c r="AC228" s="67"/>
      <c r="AD228" s="67"/>
      <c r="AE228" s="67"/>
      <c r="AF228" s="67"/>
      <c r="AG228" s="67"/>
      <c r="AH228" s="67"/>
    </row>
    <row r="229">
      <c r="A229" s="174"/>
      <c r="B229" s="175"/>
      <c r="C229" s="175"/>
      <c r="D229" s="175"/>
      <c r="E229" s="175"/>
      <c r="F229" s="175"/>
      <c r="G229" s="175"/>
      <c r="H229" s="175"/>
      <c r="I229" s="175"/>
      <c r="J229" s="175"/>
      <c r="K229" s="175"/>
      <c r="L229" s="175"/>
      <c r="M229" s="175"/>
      <c r="N229" s="175"/>
      <c r="O229" s="175"/>
      <c r="P229" s="175"/>
      <c r="Q229" s="175"/>
      <c r="R229" s="176"/>
      <c r="S229" s="67"/>
      <c r="T229" s="67"/>
      <c r="U229" s="67"/>
      <c r="V229" s="67"/>
      <c r="W229" s="67"/>
      <c r="X229" s="67"/>
      <c r="Y229" s="67"/>
      <c r="Z229" s="67"/>
      <c r="AA229" s="67"/>
      <c r="AB229" s="67"/>
      <c r="AC229" s="67"/>
      <c r="AD229" s="67"/>
      <c r="AE229" s="67"/>
      <c r="AF229" s="67"/>
      <c r="AG229" s="67"/>
      <c r="AH229" s="67"/>
    </row>
    <row r="230">
      <c r="A230" s="171"/>
      <c r="B230" s="172"/>
      <c r="C230" s="172"/>
      <c r="D230" s="172"/>
      <c r="E230" s="172"/>
      <c r="F230" s="172"/>
      <c r="G230" s="172"/>
      <c r="H230" s="172"/>
      <c r="I230" s="172"/>
      <c r="J230" s="172"/>
      <c r="K230" s="172"/>
      <c r="L230" s="172"/>
      <c r="M230" s="172"/>
      <c r="N230" s="172"/>
      <c r="O230" s="172"/>
      <c r="P230" s="172"/>
      <c r="Q230" s="172"/>
      <c r="R230" s="173"/>
      <c r="S230" s="67"/>
      <c r="T230" s="67"/>
      <c r="U230" s="67"/>
      <c r="V230" s="67"/>
      <c r="W230" s="67"/>
      <c r="X230" s="67"/>
      <c r="Y230" s="67"/>
      <c r="Z230" s="67"/>
      <c r="AA230" s="67"/>
      <c r="AB230" s="67"/>
      <c r="AC230" s="67"/>
      <c r="AD230" s="67"/>
      <c r="AE230" s="67"/>
      <c r="AF230" s="67"/>
      <c r="AG230" s="67"/>
      <c r="AH230" s="67"/>
    </row>
    <row r="231">
      <c r="A231" s="174"/>
      <c r="B231" s="175"/>
      <c r="C231" s="175"/>
      <c r="D231" s="175"/>
      <c r="E231" s="175"/>
      <c r="F231" s="175"/>
      <c r="G231" s="175"/>
      <c r="H231" s="175"/>
      <c r="I231" s="175"/>
      <c r="J231" s="175"/>
      <c r="K231" s="175"/>
      <c r="L231" s="175"/>
      <c r="M231" s="175"/>
      <c r="N231" s="175"/>
      <c r="O231" s="175"/>
      <c r="P231" s="175"/>
      <c r="Q231" s="175"/>
      <c r="R231" s="176"/>
      <c r="S231" s="67"/>
      <c r="T231" s="67"/>
      <c r="U231" s="67"/>
      <c r="V231" s="67"/>
      <c r="W231" s="67"/>
      <c r="X231" s="67"/>
      <c r="Y231" s="67"/>
      <c r="Z231" s="67"/>
      <c r="AA231" s="67"/>
      <c r="AB231" s="67"/>
      <c r="AC231" s="67"/>
      <c r="AD231" s="67"/>
      <c r="AE231" s="67"/>
      <c r="AF231" s="67"/>
      <c r="AG231" s="67"/>
      <c r="AH231" s="67"/>
    </row>
    <row r="232">
      <c r="A232" s="171"/>
      <c r="B232" s="172"/>
      <c r="C232" s="172"/>
      <c r="D232" s="172"/>
      <c r="E232" s="172"/>
      <c r="F232" s="172"/>
      <c r="G232" s="172"/>
      <c r="H232" s="172"/>
      <c r="I232" s="172"/>
      <c r="J232" s="172"/>
      <c r="K232" s="172"/>
      <c r="L232" s="172"/>
      <c r="M232" s="172"/>
      <c r="N232" s="172"/>
      <c r="O232" s="172"/>
      <c r="P232" s="172"/>
      <c r="Q232" s="172"/>
      <c r="R232" s="173"/>
      <c r="S232" s="67"/>
      <c r="T232" s="67"/>
      <c r="U232" s="67"/>
      <c r="V232" s="67"/>
      <c r="W232" s="67"/>
      <c r="X232" s="67"/>
      <c r="Y232" s="67"/>
      <c r="Z232" s="67"/>
      <c r="AA232" s="67"/>
      <c r="AB232" s="67"/>
      <c r="AC232" s="67"/>
      <c r="AD232" s="67"/>
      <c r="AE232" s="67"/>
      <c r="AF232" s="67"/>
      <c r="AG232" s="67"/>
      <c r="AH232" s="67"/>
    </row>
    <row r="233">
      <c r="A233" s="174"/>
      <c r="B233" s="175"/>
      <c r="C233" s="175"/>
      <c r="D233" s="175"/>
      <c r="E233" s="175"/>
      <c r="F233" s="175"/>
      <c r="G233" s="175"/>
      <c r="H233" s="175"/>
      <c r="I233" s="175"/>
      <c r="J233" s="175"/>
      <c r="K233" s="175"/>
      <c r="L233" s="175"/>
      <c r="M233" s="175"/>
      <c r="N233" s="175"/>
      <c r="O233" s="175"/>
      <c r="P233" s="175"/>
      <c r="Q233" s="175"/>
      <c r="R233" s="176"/>
      <c r="S233" s="67"/>
      <c r="T233" s="67"/>
      <c r="U233" s="67"/>
      <c r="V233" s="67"/>
      <c r="W233" s="67"/>
      <c r="X233" s="67"/>
      <c r="Y233" s="67"/>
      <c r="Z233" s="67"/>
      <c r="AA233" s="67"/>
      <c r="AB233" s="67"/>
      <c r="AC233" s="67"/>
      <c r="AD233" s="67"/>
      <c r="AE233" s="67"/>
      <c r="AF233" s="67"/>
      <c r="AG233" s="67"/>
      <c r="AH233" s="67"/>
    </row>
    <row r="234">
      <c r="A234" s="171"/>
      <c r="B234" s="172"/>
      <c r="C234" s="172"/>
      <c r="D234" s="172"/>
      <c r="E234" s="172"/>
      <c r="F234" s="172"/>
      <c r="G234" s="172"/>
      <c r="H234" s="172"/>
      <c r="I234" s="172"/>
      <c r="J234" s="172"/>
      <c r="K234" s="172"/>
      <c r="L234" s="172"/>
      <c r="M234" s="172"/>
      <c r="N234" s="172"/>
      <c r="O234" s="172"/>
      <c r="P234" s="172"/>
      <c r="Q234" s="172"/>
      <c r="R234" s="173"/>
      <c r="S234" s="67"/>
      <c r="T234" s="67"/>
      <c r="U234" s="67"/>
      <c r="V234" s="67"/>
      <c r="W234" s="67"/>
      <c r="X234" s="67"/>
      <c r="Y234" s="67"/>
      <c r="Z234" s="67"/>
      <c r="AA234" s="67"/>
      <c r="AB234" s="67"/>
      <c r="AC234" s="67"/>
      <c r="AD234" s="67"/>
      <c r="AE234" s="67"/>
      <c r="AF234" s="67"/>
      <c r="AG234" s="67"/>
      <c r="AH234" s="67"/>
    </row>
    <row r="235">
      <c r="A235" s="174"/>
      <c r="B235" s="175"/>
      <c r="C235" s="175"/>
      <c r="D235" s="175"/>
      <c r="E235" s="175"/>
      <c r="F235" s="175"/>
      <c r="G235" s="175"/>
      <c r="H235" s="175"/>
      <c r="I235" s="175"/>
      <c r="J235" s="175"/>
      <c r="K235" s="175"/>
      <c r="L235" s="175"/>
      <c r="M235" s="175"/>
      <c r="N235" s="175"/>
      <c r="O235" s="175"/>
      <c r="P235" s="175"/>
      <c r="Q235" s="175"/>
      <c r="R235" s="176"/>
      <c r="S235" s="67"/>
      <c r="T235" s="67"/>
      <c r="U235" s="67"/>
      <c r="V235" s="67"/>
      <c r="W235" s="67"/>
      <c r="X235" s="67"/>
      <c r="Y235" s="67"/>
      <c r="Z235" s="67"/>
      <c r="AA235" s="67"/>
      <c r="AB235" s="67"/>
      <c r="AC235" s="67"/>
      <c r="AD235" s="67"/>
      <c r="AE235" s="67"/>
      <c r="AF235" s="67"/>
      <c r="AG235" s="67"/>
      <c r="AH235" s="67"/>
    </row>
    <row r="236">
      <c r="A236" s="171"/>
      <c r="B236" s="172"/>
      <c r="C236" s="172"/>
      <c r="D236" s="172"/>
      <c r="E236" s="172"/>
      <c r="F236" s="172"/>
      <c r="G236" s="172"/>
      <c r="H236" s="172"/>
      <c r="I236" s="172"/>
      <c r="J236" s="172"/>
      <c r="K236" s="172"/>
      <c r="L236" s="172"/>
      <c r="M236" s="172"/>
      <c r="N236" s="172"/>
      <c r="O236" s="172"/>
      <c r="P236" s="172"/>
      <c r="Q236" s="172"/>
      <c r="R236" s="173"/>
      <c r="S236" s="67"/>
      <c r="T236" s="67"/>
      <c r="U236" s="67"/>
      <c r="V236" s="67"/>
      <c r="W236" s="67"/>
      <c r="X236" s="67"/>
      <c r="Y236" s="67"/>
      <c r="Z236" s="67"/>
      <c r="AA236" s="67"/>
      <c r="AB236" s="67"/>
      <c r="AC236" s="67"/>
      <c r="AD236" s="67"/>
      <c r="AE236" s="67"/>
      <c r="AF236" s="67"/>
      <c r="AG236" s="67"/>
      <c r="AH236" s="67"/>
    </row>
    <row r="237">
      <c r="A237" s="174"/>
      <c r="B237" s="175"/>
      <c r="C237" s="175"/>
      <c r="D237" s="175"/>
      <c r="E237" s="175"/>
      <c r="F237" s="175"/>
      <c r="G237" s="175"/>
      <c r="H237" s="175"/>
      <c r="I237" s="175"/>
      <c r="J237" s="175"/>
      <c r="K237" s="175"/>
      <c r="L237" s="175"/>
      <c r="M237" s="175"/>
      <c r="N237" s="175"/>
      <c r="O237" s="175"/>
      <c r="P237" s="175"/>
      <c r="Q237" s="175"/>
      <c r="R237" s="176"/>
      <c r="S237" s="67"/>
      <c r="T237" s="67"/>
      <c r="U237" s="67"/>
      <c r="V237" s="67"/>
      <c r="W237" s="67"/>
      <c r="X237" s="67"/>
      <c r="Y237" s="67"/>
      <c r="Z237" s="67"/>
      <c r="AA237" s="67"/>
      <c r="AB237" s="67"/>
      <c r="AC237" s="67"/>
      <c r="AD237" s="67"/>
      <c r="AE237" s="67"/>
      <c r="AF237" s="67"/>
      <c r="AG237" s="67"/>
      <c r="AH237" s="67"/>
    </row>
    <row r="238">
      <c r="A238" s="171"/>
      <c r="B238" s="172"/>
      <c r="C238" s="172"/>
      <c r="D238" s="172"/>
      <c r="E238" s="172"/>
      <c r="F238" s="172"/>
      <c r="G238" s="172"/>
      <c r="H238" s="172"/>
      <c r="I238" s="172"/>
      <c r="J238" s="172"/>
      <c r="K238" s="172"/>
      <c r="L238" s="172"/>
      <c r="M238" s="172"/>
      <c r="N238" s="172"/>
      <c r="O238" s="172"/>
      <c r="P238" s="172"/>
      <c r="Q238" s="172"/>
      <c r="R238" s="173"/>
      <c r="S238" s="67"/>
      <c r="T238" s="67"/>
      <c r="U238" s="67"/>
      <c r="V238" s="67"/>
      <c r="W238" s="67"/>
      <c r="X238" s="67"/>
      <c r="Y238" s="67"/>
      <c r="Z238" s="67"/>
      <c r="AA238" s="67"/>
      <c r="AB238" s="67"/>
      <c r="AC238" s="67"/>
      <c r="AD238" s="67"/>
      <c r="AE238" s="67"/>
      <c r="AF238" s="67"/>
      <c r="AG238" s="67"/>
      <c r="AH238" s="67"/>
    </row>
    <row r="239">
      <c r="A239" s="174"/>
      <c r="B239" s="175"/>
      <c r="C239" s="175"/>
      <c r="D239" s="175"/>
      <c r="E239" s="175"/>
      <c r="F239" s="175"/>
      <c r="G239" s="175"/>
      <c r="H239" s="175"/>
      <c r="I239" s="175"/>
      <c r="J239" s="175"/>
      <c r="K239" s="175"/>
      <c r="L239" s="175"/>
      <c r="M239" s="175"/>
      <c r="N239" s="175"/>
      <c r="O239" s="175"/>
      <c r="P239" s="175"/>
      <c r="Q239" s="175"/>
      <c r="R239" s="176"/>
      <c r="S239" s="67"/>
      <c r="T239" s="67"/>
      <c r="U239" s="67"/>
      <c r="V239" s="67"/>
      <c r="W239" s="67"/>
      <c r="X239" s="67"/>
      <c r="Y239" s="67"/>
      <c r="Z239" s="67"/>
      <c r="AA239" s="67"/>
      <c r="AB239" s="67"/>
      <c r="AC239" s="67"/>
      <c r="AD239" s="67"/>
      <c r="AE239" s="67"/>
      <c r="AF239" s="67"/>
      <c r="AG239" s="67"/>
      <c r="AH239" s="67"/>
    </row>
    <row r="240">
      <c r="A240" s="171"/>
      <c r="B240" s="172"/>
      <c r="C240" s="172"/>
      <c r="D240" s="172"/>
      <c r="E240" s="172"/>
      <c r="F240" s="172"/>
      <c r="G240" s="172"/>
      <c r="H240" s="172"/>
      <c r="I240" s="172"/>
      <c r="J240" s="172"/>
      <c r="K240" s="172"/>
      <c r="L240" s="172"/>
      <c r="M240" s="172"/>
      <c r="N240" s="172"/>
      <c r="O240" s="172"/>
      <c r="P240" s="172"/>
      <c r="Q240" s="172"/>
      <c r="R240" s="173"/>
      <c r="S240" s="67"/>
      <c r="T240" s="67"/>
      <c r="U240" s="67"/>
      <c r="V240" s="67"/>
      <c r="W240" s="67"/>
      <c r="X240" s="67"/>
      <c r="Y240" s="67"/>
      <c r="Z240" s="67"/>
      <c r="AA240" s="67"/>
      <c r="AB240" s="67"/>
      <c r="AC240" s="67"/>
      <c r="AD240" s="67"/>
      <c r="AE240" s="67"/>
      <c r="AF240" s="67"/>
      <c r="AG240" s="67"/>
      <c r="AH240" s="67"/>
    </row>
    <row r="241">
      <c r="A241" s="174"/>
      <c r="B241" s="175"/>
      <c r="C241" s="175"/>
      <c r="D241" s="175"/>
      <c r="E241" s="175"/>
      <c r="F241" s="175"/>
      <c r="G241" s="175"/>
      <c r="H241" s="175"/>
      <c r="I241" s="175"/>
      <c r="J241" s="175"/>
      <c r="K241" s="175"/>
      <c r="L241" s="175"/>
      <c r="M241" s="175"/>
      <c r="N241" s="175"/>
      <c r="O241" s="175"/>
      <c r="P241" s="175"/>
      <c r="Q241" s="175"/>
      <c r="R241" s="176"/>
      <c r="S241" s="67"/>
      <c r="T241" s="67"/>
      <c r="U241" s="67"/>
      <c r="V241" s="67"/>
      <c r="W241" s="67"/>
      <c r="X241" s="67"/>
      <c r="Y241" s="67"/>
      <c r="Z241" s="67"/>
      <c r="AA241" s="67"/>
      <c r="AB241" s="67"/>
      <c r="AC241" s="67"/>
      <c r="AD241" s="67"/>
      <c r="AE241" s="67"/>
      <c r="AF241" s="67"/>
      <c r="AG241" s="67"/>
      <c r="AH241" s="67"/>
    </row>
    <row r="242">
      <c r="A242" s="171"/>
      <c r="B242" s="172"/>
      <c r="C242" s="172"/>
      <c r="D242" s="172"/>
      <c r="E242" s="172"/>
      <c r="F242" s="172"/>
      <c r="G242" s="172"/>
      <c r="H242" s="172"/>
      <c r="I242" s="172"/>
      <c r="J242" s="172"/>
      <c r="K242" s="172"/>
      <c r="L242" s="172"/>
      <c r="M242" s="172"/>
      <c r="N242" s="172"/>
      <c r="O242" s="172"/>
      <c r="P242" s="172"/>
      <c r="Q242" s="172"/>
      <c r="R242" s="173"/>
      <c r="S242" s="67"/>
      <c r="T242" s="67"/>
      <c r="U242" s="67"/>
      <c r="V242" s="67"/>
      <c r="W242" s="67"/>
      <c r="X242" s="67"/>
      <c r="Y242" s="67"/>
      <c r="Z242" s="67"/>
      <c r="AA242" s="67"/>
      <c r="AB242" s="67"/>
      <c r="AC242" s="67"/>
      <c r="AD242" s="67"/>
      <c r="AE242" s="67"/>
      <c r="AF242" s="67"/>
      <c r="AG242" s="67"/>
      <c r="AH242" s="67"/>
    </row>
    <row r="243">
      <c r="A243" s="174"/>
      <c r="B243" s="175"/>
      <c r="C243" s="175"/>
      <c r="D243" s="175"/>
      <c r="E243" s="175"/>
      <c r="F243" s="175"/>
      <c r="G243" s="175"/>
      <c r="H243" s="175"/>
      <c r="I243" s="175"/>
      <c r="J243" s="175"/>
      <c r="K243" s="175"/>
      <c r="L243" s="175"/>
      <c r="M243" s="175"/>
      <c r="N243" s="175"/>
      <c r="O243" s="175"/>
      <c r="P243" s="175"/>
      <c r="Q243" s="175"/>
      <c r="R243" s="176"/>
      <c r="S243" s="67"/>
      <c r="T243" s="67"/>
      <c r="U243" s="67"/>
      <c r="V243" s="67"/>
      <c r="W243" s="67"/>
      <c r="X243" s="67"/>
      <c r="Y243" s="67"/>
      <c r="Z243" s="67"/>
      <c r="AA243" s="67"/>
      <c r="AB243" s="67"/>
      <c r="AC243" s="67"/>
      <c r="AD243" s="67"/>
      <c r="AE243" s="67"/>
      <c r="AF243" s="67"/>
      <c r="AG243" s="67"/>
      <c r="AH243" s="67"/>
    </row>
    <row r="244">
      <c r="A244" s="171"/>
      <c r="B244" s="172"/>
      <c r="C244" s="172"/>
      <c r="D244" s="172"/>
      <c r="E244" s="172"/>
      <c r="F244" s="172"/>
      <c r="G244" s="172"/>
      <c r="H244" s="172"/>
      <c r="I244" s="172"/>
      <c r="J244" s="172"/>
      <c r="K244" s="172"/>
      <c r="L244" s="172"/>
      <c r="M244" s="172"/>
      <c r="N244" s="172"/>
      <c r="O244" s="172"/>
      <c r="P244" s="172"/>
      <c r="Q244" s="172"/>
      <c r="R244" s="173"/>
      <c r="S244" s="67"/>
      <c r="T244" s="67"/>
      <c r="U244" s="67"/>
      <c r="V244" s="67"/>
      <c r="W244" s="67"/>
      <c r="X244" s="67"/>
      <c r="Y244" s="67"/>
      <c r="Z244" s="67"/>
      <c r="AA244" s="67"/>
      <c r="AB244" s="67"/>
      <c r="AC244" s="67"/>
      <c r="AD244" s="67"/>
      <c r="AE244" s="67"/>
      <c r="AF244" s="67"/>
      <c r="AG244" s="67"/>
      <c r="AH244" s="67"/>
    </row>
    <row r="245">
      <c r="A245" s="174"/>
      <c r="B245" s="175"/>
      <c r="C245" s="175"/>
      <c r="D245" s="175"/>
      <c r="E245" s="175"/>
      <c r="F245" s="175"/>
      <c r="G245" s="175"/>
      <c r="H245" s="175"/>
      <c r="I245" s="175"/>
      <c r="J245" s="175"/>
      <c r="K245" s="175"/>
      <c r="L245" s="175"/>
      <c r="M245" s="175"/>
      <c r="N245" s="175"/>
      <c r="O245" s="175"/>
      <c r="P245" s="175"/>
      <c r="Q245" s="175"/>
      <c r="R245" s="176"/>
      <c r="S245" s="67"/>
      <c r="T245" s="67"/>
      <c r="U245" s="67"/>
      <c r="V245" s="67"/>
      <c r="W245" s="67"/>
      <c r="X245" s="67"/>
      <c r="Y245" s="67"/>
      <c r="Z245" s="67"/>
      <c r="AA245" s="67"/>
      <c r="AB245" s="67"/>
      <c r="AC245" s="67"/>
      <c r="AD245" s="67"/>
      <c r="AE245" s="67"/>
      <c r="AF245" s="67"/>
      <c r="AG245" s="67"/>
      <c r="AH245" s="67"/>
    </row>
    <row r="246">
      <c r="A246" s="171"/>
      <c r="B246" s="172"/>
      <c r="C246" s="172"/>
      <c r="D246" s="172"/>
      <c r="E246" s="172"/>
      <c r="F246" s="172"/>
      <c r="G246" s="172"/>
      <c r="H246" s="172"/>
      <c r="I246" s="172"/>
      <c r="J246" s="172"/>
      <c r="K246" s="172"/>
      <c r="L246" s="172"/>
      <c r="M246" s="172"/>
      <c r="N246" s="172"/>
      <c r="O246" s="172"/>
      <c r="P246" s="172"/>
      <c r="Q246" s="172"/>
      <c r="R246" s="173"/>
      <c r="S246" s="67"/>
      <c r="T246" s="67"/>
      <c r="U246" s="67"/>
      <c r="V246" s="67"/>
      <c r="W246" s="67"/>
      <c r="X246" s="67"/>
      <c r="Y246" s="67"/>
      <c r="Z246" s="67"/>
      <c r="AA246" s="67"/>
      <c r="AB246" s="67"/>
      <c r="AC246" s="67"/>
      <c r="AD246" s="67"/>
      <c r="AE246" s="67"/>
      <c r="AF246" s="67"/>
      <c r="AG246" s="67"/>
      <c r="AH246" s="67"/>
    </row>
    <row r="247">
      <c r="A247" s="174"/>
      <c r="B247" s="175"/>
      <c r="C247" s="175"/>
      <c r="D247" s="175"/>
      <c r="E247" s="175"/>
      <c r="F247" s="175"/>
      <c r="G247" s="175"/>
      <c r="H247" s="175"/>
      <c r="I247" s="175"/>
      <c r="J247" s="175"/>
      <c r="K247" s="175"/>
      <c r="L247" s="175"/>
      <c r="M247" s="175"/>
      <c r="N247" s="175"/>
      <c r="O247" s="175"/>
      <c r="P247" s="175"/>
      <c r="Q247" s="175"/>
      <c r="R247" s="176"/>
      <c r="S247" s="67"/>
      <c r="T247" s="67"/>
      <c r="U247" s="67"/>
      <c r="V247" s="67"/>
      <c r="W247" s="67"/>
      <c r="X247" s="67"/>
      <c r="Y247" s="67"/>
      <c r="Z247" s="67"/>
      <c r="AA247" s="67"/>
      <c r="AB247" s="67"/>
      <c r="AC247" s="67"/>
      <c r="AD247" s="67"/>
      <c r="AE247" s="67"/>
      <c r="AF247" s="67"/>
      <c r="AG247" s="67"/>
      <c r="AH247" s="67"/>
    </row>
    <row r="248">
      <c r="A248" s="171"/>
      <c r="B248" s="172"/>
      <c r="C248" s="172"/>
      <c r="D248" s="172"/>
      <c r="E248" s="172"/>
      <c r="F248" s="172"/>
      <c r="G248" s="172"/>
      <c r="H248" s="172"/>
      <c r="I248" s="172"/>
      <c r="J248" s="172"/>
      <c r="K248" s="172"/>
      <c r="L248" s="172"/>
      <c r="M248" s="172"/>
      <c r="N248" s="172"/>
      <c r="O248" s="172"/>
      <c r="P248" s="172"/>
      <c r="Q248" s="172"/>
      <c r="R248" s="173"/>
      <c r="S248" s="67"/>
      <c r="T248" s="67"/>
      <c r="U248" s="67"/>
      <c r="V248" s="67"/>
      <c r="W248" s="67"/>
      <c r="X248" s="67"/>
      <c r="Y248" s="67"/>
      <c r="Z248" s="67"/>
      <c r="AA248" s="67"/>
      <c r="AB248" s="67"/>
      <c r="AC248" s="67"/>
      <c r="AD248" s="67"/>
      <c r="AE248" s="67"/>
      <c r="AF248" s="67"/>
      <c r="AG248" s="67"/>
      <c r="AH248" s="67"/>
    </row>
    <row r="249">
      <c r="A249" s="174"/>
      <c r="B249" s="175"/>
      <c r="C249" s="175"/>
      <c r="D249" s="175"/>
      <c r="E249" s="175"/>
      <c r="F249" s="175"/>
      <c r="G249" s="175"/>
      <c r="H249" s="175"/>
      <c r="I249" s="175"/>
      <c r="J249" s="175"/>
      <c r="K249" s="175"/>
      <c r="L249" s="175"/>
      <c r="M249" s="175"/>
      <c r="N249" s="175"/>
      <c r="O249" s="175"/>
      <c r="P249" s="175"/>
      <c r="Q249" s="175"/>
      <c r="R249" s="176"/>
      <c r="S249" s="67"/>
      <c r="T249" s="67"/>
      <c r="U249" s="67"/>
      <c r="V249" s="67"/>
      <c r="W249" s="67"/>
      <c r="X249" s="67"/>
      <c r="Y249" s="67"/>
      <c r="Z249" s="67"/>
      <c r="AA249" s="67"/>
      <c r="AB249" s="67"/>
      <c r="AC249" s="67"/>
      <c r="AD249" s="67"/>
      <c r="AE249" s="67"/>
      <c r="AF249" s="67"/>
      <c r="AG249" s="67"/>
      <c r="AH249" s="67"/>
    </row>
    <row r="250">
      <c r="A250" s="171"/>
      <c r="B250" s="172"/>
      <c r="C250" s="172"/>
      <c r="D250" s="172"/>
      <c r="E250" s="172"/>
      <c r="F250" s="172"/>
      <c r="G250" s="172"/>
      <c r="H250" s="172"/>
      <c r="I250" s="172"/>
      <c r="J250" s="172"/>
      <c r="K250" s="172"/>
      <c r="L250" s="172"/>
      <c r="M250" s="172"/>
      <c r="N250" s="172"/>
      <c r="O250" s="172"/>
      <c r="P250" s="172"/>
      <c r="Q250" s="172"/>
      <c r="R250" s="173"/>
      <c r="S250" s="67"/>
      <c r="T250" s="67"/>
      <c r="U250" s="67"/>
      <c r="V250" s="67"/>
      <c r="W250" s="67"/>
      <c r="X250" s="67"/>
      <c r="Y250" s="67"/>
      <c r="Z250" s="67"/>
      <c r="AA250" s="67"/>
      <c r="AB250" s="67"/>
      <c r="AC250" s="67"/>
      <c r="AD250" s="67"/>
      <c r="AE250" s="67"/>
      <c r="AF250" s="67"/>
      <c r="AG250" s="67"/>
      <c r="AH250" s="67"/>
    </row>
    <row r="251">
      <c r="A251" s="174"/>
      <c r="B251" s="175"/>
      <c r="C251" s="175"/>
      <c r="D251" s="175"/>
      <c r="E251" s="175"/>
      <c r="F251" s="175"/>
      <c r="G251" s="175"/>
      <c r="H251" s="175"/>
      <c r="I251" s="175"/>
      <c r="J251" s="175"/>
      <c r="K251" s="175"/>
      <c r="L251" s="175"/>
      <c r="M251" s="175"/>
      <c r="N251" s="175"/>
      <c r="O251" s="175"/>
      <c r="P251" s="175"/>
      <c r="Q251" s="175"/>
      <c r="R251" s="176"/>
      <c r="S251" s="67"/>
      <c r="T251" s="67"/>
      <c r="U251" s="67"/>
      <c r="V251" s="67"/>
      <c r="W251" s="67"/>
      <c r="X251" s="67"/>
      <c r="Y251" s="67"/>
      <c r="Z251" s="67"/>
      <c r="AA251" s="67"/>
      <c r="AB251" s="67"/>
      <c r="AC251" s="67"/>
      <c r="AD251" s="67"/>
      <c r="AE251" s="67"/>
      <c r="AF251" s="67"/>
      <c r="AG251" s="67"/>
      <c r="AH251" s="67"/>
    </row>
    <row r="252">
      <c r="A252" s="171"/>
      <c r="B252" s="172"/>
      <c r="C252" s="172"/>
      <c r="D252" s="172"/>
      <c r="E252" s="172"/>
      <c r="F252" s="172"/>
      <c r="G252" s="172"/>
      <c r="H252" s="172"/>
      <c r="I252" s="172"/>
      <c r="J252" s="172"/>
      <c r="K252" s="172"/>
      <c r="L252" s="172"/>
      <c r="M252" s="172"/>
      <c r="N252" s="172"/>
      <c r="O252" s="172"/>
      <c r="P252" s="172"/>
      <c r="Q252" s="172"/>
      <c r="R252" s="173"/>
      <c r="S252" s="67"/>
      <c r="T252" s="67"/>
      <c r="U252" s="67"/>
      <c r="V252" s="67"/>
      <c r="W252" s="67"/>
      <c r="X252" s="67"/>
      <c r="Y252" s="67"/>
      <c r="Z252" s="67"/>
      <c r="AA252" s="67"/>
      <c r="AB252" s="67"/>
      <c r="AC252" s="67"/>
      <c r="AD252" s="67"/>
      <c r="AE252" s="67"/>
      <c r="AF252" s="67"/>
      <c r="AG252" s="67"/>
      <c r="AH252" s="67"/>
    </row>
    <row r="253">
      <c r="A253" s="174"/>
      <c r="B253" s="175"/>
      <c r="C253" s="175"/>
      <c r="D253" s="175"/>
      <c r="E253" s="175"/>
      <c r="F253" s="175"/>
      <c r="G253" s="175"/>
      <c r="H253" s="175"/>
      <c r="I253" s="175"/>
      <c r="J253" s="175"/>
      <c r="K253" s="175"/>
      <c r="L253" s="175"/>
      <c r="M253" s="175"/>
      <c r="N253" s="175"/>
      <c r="O253" s="175"/>
      <c r="P253" s="175"/>
      <c r="Q253" s="175"/>
      <c r="R253" s="176"/>
      <c r="S253" s="67"/>
      <c r="T253" s="67"/>
      <c r="U253" s="67"/>
      <c r="V253" s="67"/>
      <c r="W253" s="67"/>
      <c r="X253" s="67"/>
      <c r="Y253" s="67"/>
      <c r="Z253" s="67"/>
      <c r="AA253" s="67"/>
      <c r="AB253" s="67"/>
      <c r="AC253" s="67"/>
      <c r="AD253" s="67"/>
      <c r="AE253" s="67"/>
      <c r="AF253" s="67"/>
      <c r="AG253" s="67"/>
      <c r="AH253" s="67"/>
    </row>
    <row r="254">
      <c r="A254" s="171"/>
      <c r="B254" s="172"/>
      <c r="C254" s="172"/>
      <c r="D254" s="172"/>
      <c r="E254" s="172"/>
      <c r="F254" s="172"/>
      <c r="G254" s="172"/>
      <c r="H254" s="172"/>
      <c r="I254" s="172"/>
      <c r="J254" s="172"/>
      <c r="K254" s="172"/>
      <c r="L254" s="172"/>
      <c r="M254" s="172"/>
      <c r="N254" s="172"/>
      <c r="O254" s="172"/>
      <c r="P254" s="172"/>
      <c r="Q254" s="172"/>
      <c r="R254" s="173"/>
      <c r="S254" s="67"/>
      <c r="T254" s="67"/>
      <c r="U254" s="67"/>
      <c r="V254" s="67"/>
      <c r="W254" s="67"/>
      <c r="X254" s="67"/>
      <c r="Y254" s="67"/>
      <c r="Z254" s="67"/>
      <c r="AA254" s="67"/>
      <c r="AB254" s="67"/>
      <c r="AC254" s="67"/>
      <c r="AD254" s="67"/>
      <c r="AE254" s="67"/>
      <c r="AF254" s="67"/>
      <c r="AG254" s="67"/>
      <c r="AH254" s="67"/>
    </row>
    <row r="255">
      <c r="A255" s="174"/>
      <c r="B255" s="175"/>
      <c r="C255" s="175"/>
      <c r="D255" s="175"/>
      <c r="E255" s="175"/>
      <c r="F255" s="175"/>
      <c r="G255" s="175"/>
      <c r="H255" s="175"/>
      <c r="I255" s="175"/>
      <c r="J255" s="175"/>
      <c r="K255" s="175"/>
      <c r="L255" s="175"/>
      <c r="M255" s="175"/>
      <c r="N255" s="175"/>
      <c r="O255" s="175"/>
      <c r="P255" s="175"/>
      <c r="Q255" s="175"/>
      <c r="R255" s="176"/>
      <c r="S255" s="67"/>
      <c r="T255" s="67"/>
      <c r="U255" s="67"/>
      <c r="V255" s="67"/>
      <c r="W255" s="67"/>
      <c r="X255" s="67"/>
      <c r="Y255" s="67"/>
      <c r="Z255" s="67"/>
      <c r="AA255" s="67"/>
      <c r="AB255" s="67"/>
      <c r="AC255" s="67"/>
      <c r="AD255" s="67"/>
      <c r="AE255" s="67"/>
      <c r="AF255" s="67"/>
      <c r="AG255" s="67"/>
      <c r="AH255" s="67"/>
    </row>
    <row r="256">
      <c r="A256" s="171"/>
      <c r="B256" s="172"/>
      <c r="C256" s="172"/>
      <c r="D256" s="172"/>
      <c r="E256" s="172"/>
      <c r="F256" s="172"/>
      <c r="G256" s="172"/>
      <c r="H256" s="172"/>
      <c r="I256" s="172"/>
      <c r="J256" s="172"/>
      <c r="K256" s="172"/>
      <c r="L256" s="172"/>
      <c r="M256" s="172"/>
      <c r="N256" s="172"/>
      <c r="O256" s="172"/>
      <c r="P256" s="172"/>
      <c r="Q256" s="172"/>
      <c r="R256" s="173"/>
      <c r="S256" s="67"/>
      <c r="T256" s="67"/>
      <c r="U256" s="67"/>
      <c r="V256" s="67"/>
      <c r="W256" s="67"/>
      <c r="X256" s="67"/>
      <c r="Y256" s="67"/>
      <c r="Z256" s="67"/>
      <c r="AA256" s="67"/>
      <c r="AB256" s="67"/>
      <c r="AC256" s="67"/>
      <c r="AD256" s="67"/>
      <c r="AE256" s="67"/>
      <c r="AF256" s="67"/>
      <c r="AG256" s="67"/>
      <c r="AH256" s="67"/>
    </row>
    <row r="257">
      <c r="A257" s="174"/>
      <c r="B257" s="175"/>
      <c r="C257" s="175"/>
      <c r="D257" s="175"/>
      <c r="E257" s="175"/>
      <c r="F257" s="175"/>
      <c r="G257" s="175"/>
      <c r="H257" s="175"/>
      <c r="I257" s="175"/>
      <c r="J257" s="175"/>
      <c r="K257" s="175"/>
      <c r="L257" s="175"/>
      <c r="M257" s="175"/>
      <c r="N257" s="175"/>
      <c r="O257" s="175"/>
      <c r="P257" s="175"/>
      <c r="Q257" s="175"/>
      <c r="R257" s="176"/>
      <c r="S257" s="67"/>
      <c r="T257" s="67"/>
      <c r="U257" s="67"/>
      <c r="V257" s="67"/>
      <c r="W257" s="67"/>
      <c r="X257" s="67"/>
      <c r="Y257" s="67"/>
      <c r="Z257" s="67"/>
      <c r="AA257" s="67"/>
      <c r="AB257" s="67"/>
      <c r="AC257" s="67"/>
      <c r="AD257" s="67"/>
      <c r="AE257" s="67"/>
      <c r="AF257" s="67"/>
      <c r="AG257" s="67"/>
      <c r="AH257" s="67"/>
    </row>
    <row r="258">
      <c r="A258" s="171"/>
      <c r="B258" s="172"/>
      <c r="C258" s="172"/>
      <c r="D258" s="172"/>
      <c r="E258" s="172"/>
      <c r="F258" s="172"/>
      <c r="G258" s="172"/>
      <c r="H258" s="172"/>
      <c r="I258" s="172"/>
      <c r="J258" s="172"/>
      <c r="K258" s="172"/>
      <c r="L258" s="172"/>
      <c r="M258" s="172"/>
      <c r="N258" s="172"/>
      <c r="O258" s="172"/>
      <c r="P258" s="172"/>
      <c r="Q258" s="172"/>
      <c r="R258" s="173"/>
      <c r="S258" s="67"/>
      <c r="T258" s="67"/>
      <c r="U258" s="67"/>
      <c r="V258" s="67"/>
      <c r="W258" s="67"/>
      <c r="X258" s="67"/>
      <c r="Y258" s="67"/>
      <c r="Z258" s="67"/>
      <c r="AA258" s="67"/>
      <c r="AB258" s="67"/>
      <c r="AC258" s="67"/>
      <c r="AD258" s="67"/>
      <c r="AE258" s="67"/>
      <c r="AF258" s="67"/>
      <c r="AG258" s="67"/>
      <c r="AH258" s="67"/>
    </row>
    <row r="259">
      <c r="A259" s="174"/>
      <c r="B259" s="175"/>
      <c r="C259" s="175"/>
      <c r="D259" s="175"/>
      <c r="E259" s="175"/>
      <c r="F259" s="175"/>
      <c r="G259" s="175"/>
      <c r="H259" s="175"/>
      <c r="I259" s="175"/>
      <c r="J259" s="175"/>
      <c r="K259" s="175"/>
      <c r="L259" s="175"/>
      <c r="M259" s="175"/>
      <c r="N259" s="175"/>
      <c r="O259" s="175"/>
      <c r="P259" s="175"/>
      <c r="Q259" s="175"/>
      <c r="R259" s="176"/>
      <c r="S259" s="67"/>
      <c r="T259" s="67"/>
      <c r="U259" s="67"/>
      <c r="V259" s="67"/>
      <c r="W259" s="67"/>
      <c r="X259" s="67"/>
      <c r="Y259" s="67"/>
      <c r="Z259" s="67"/>
      <c r="AA259" s="67"/>
      <c r="AB259" s="67"/>
      <c r="AC259" s="67"/>
      <c r="AD259" s="67"/>
      <c r="AE259" s="67"/>
      <c r="AF259" s="67"/>
      <c r="AG259" s="67"/>
      <c r="AH259" s="67"/>
    </row>
    <row r="260">
      <c r="A260" s="171"/>
      <c r="B260" s="172"/>
      <c r="C260" s="172"/>
      <c r="D260" s="172"/>
      <c r="E260" s="172"/>
      <c r="F260" s="172"/>
      <c r="G260" s="172"/>
      <c r="H260" s="172"/>
      <c r="I260" s="172"/>
      <c r="J260" s="172"/>
      <c r="K260" s="172"/>
      <c r="L260" s="172"/>
      <c r="M260" s="172"/>
      <c r="N260" s="172"/>
      <c r="O260" s="172"/>
      <c r="P260" s="172"/>
      <c r="Q260" s="172"/>
      <c r="R260" s="173"/>
      <c r="S260" s="67"/>
      <c r="T260" s="67"/>
      <c r="U260" s="67"/>
      <c r="V260" s="67"/>
      <c r="W260" s="67"/>
      <c r="X260" s="67"/>
      <c r="Y260" s="67"/>
      <c r="Z260" s="67"/>
      <c r="AA260" s="67"/>
      <c r="AB260" s="67"/>
      <c r="AC260" s="67"/>
      <c r="AD260" s="67"/>
      <c r="AE260" s="67"/>
      <c r="AF260" s="67"/>
      <c r="AG260" s="67"/>
      <c r="AH260" s="67"/>
    </row>
    <row r="261">
      <c r="A261" s="174"/>
      <c r="B261" s="175"/>
      <c r="C261" s="175"/>
      <c r="D261" s="175"/>
      <c r="E261" s="175"/>
      <c r="F261" s="175"/>
      <c r="G261" s="175"/>
      <c r="H261" s="175"/>
      <c r="I261" s="175"/>
      <c r="J261" s="175"/>
      <c r="K261" s="175"/>
      <c r="L261" s="175"/>
      <c r="M261" s="175"/>
      <c r="N261" s="175"/>
      <c r="O261" s="175"/>
      <c r="P261" s="175"/>
      <c r="Q261" s="175"/>
      <c r="R261" s="176"/>
      <c r="S261" s="67"/>
      <c r="T261" s="67"/>
      <c r="U261" s="67"/>
      <c r="V261" s="67"/>
      <c r="W261" s="67"/>
      <c r="X261" s="67"/>
      <c r="Y261" s="67"/>
      <c r="Z261" s="67"/>
      <c r="AA261" s="67"/>
      <c r="AB261" s="67"/>
      <c r="AC261" s="67"/>
      <c r="AD261" s="67"/>
      <c r="AE261" s="67"/>
      <c r="AF261" s="67"/>
      <c r="AG261" s="67"/>
      <c r="AH261" s="67"/>
    </row>
    <row r="262">
      <c r="A262" s="171"/>
      <c r="B262" s="172"/>
      <c r="C262" s="172"/>
      <c r="D262" s="172"/>
      <c r="E262" s="172"/>
      <c r="F262" s="172"/>
      <c r="G262" s="172"/>
      <c r="H262" s="172"/>
      <c r="I262" s="172"/>
      <c r="J262" s="172"/>
      <c r="K262" s="172"/>
      <c r="L262" s="172"/>
      <c r="M262" s="172"/>
      <c r="N262" s="172"/>
      <c r="O262" s="172"/>
      <c r="P262" s="172"/>
      <c r="Q262" s="172"/>
      <c r="R262" s="173"/>
      <c r="S262" s="67"/>
      <c r="T262" s="67"/>
      <c r="U262" s="67"/>
      <c r="V262" s="67"/>
      <c r="W262" s="67"/>
      <c r="X262" s="67"/>
      <c r="Y262" s="67"/>
      <c r="Z262" s="67"/>
      <c r="AA262" s="67"/>
      <c r="AB262" s="67"/>
      <c r="AC262" s="67"/>
      <c r="AD262" s="67"/>
      <c r="AE262" s="67"/>
      <c r="AF262" s="67"/>
      <c r="AG262" s="67"/>
      <c r="AH262" s="67"/>
    </row>
    <row r="263">
      <c r="A263" s="174"/>
      <c r="B263" s="175"/>
      <c r="C263" s="175"/>
      <c r="D263" s="175"/>
      <c r="E263" s="175"/>
      <c r="F263" s="175"/>
      <c r="G263" s="175"/>
      <c r="H263" s="175"/>
      <c r="I263" s="175"/>
      <c r="J263" s="175"/>
      <c r="K263" s="175"/>
      <c r="L263" s="175"/>
      <c r="M263" s="175"/>
      <c r="N263" s="175"/>
      <c r="O263" s="175"/>
      <c r="P263" s="175"/>
      <c r="Q263" s="175"/>
      <c r="R263" s="176"/>
      <c r="S263" s="67"/>
      <c r="T263" s="67"/>
      <c r="U263" s="67"/>
      <c r="V263" s="67"/>
      <c r="W263" s="67"/>
      <c r="X263" s="67"/>
      <c r="Y263" s="67"/>
      <c r="Z263" s="67"/>
      <c r="AA263" s="67"/>
      <c r="AB263" s="67"/>
      <c r="AC263" s="67"/>
      <c r="AD263" s="67"/>
      <c r="AE263" s="67"/>
      <c r="AF263" s="67"/>
      <c r="AG263" s="67"/>
      <c r="AH263" s="67"/>
    </row>
    <row r="264">
      <c r="A264" s="171"/>
      <c r="B264" s="172"/>
      <c r="C264" s="172"/>
      <c r="D264" s="172"/>
      <c r="E264" s="172"/>
      <c r="F264" s="172"/>
      <c r="G264" s="172"/>
      <c r="H264" s="172"/>
      <c r="I264" s="172"/>
      <c r="J264" s="172"/>
      <c r="K264" s="172"/>
      <c r="L264" s="172"/>
      <c r="M264" s="172"/>
      <c r="N264" s="172"/>
      <c r="O264" s="172"/>
      <c r="P264" s="172"/>
      <c r="Q264" s="172"/>
      <c r="R264" s="173"/>
      <c r="S264" s="67"/>
      <c r="T264" s="67"/>
      <c r="U264" s="67"/>
      <c r="V264" s="67"/>
      <c r="W264" s="67"/>
      <c r="X264" s="67"/>
      <c r="Y264" s="67"/>
      <c r="Z264" s="67"/>
      <c r="AA264" s="67"/>
      <c r="AB264" s="67"/>
      <c r="AC264" s="67"/>
      <c r="AD264" s="67"/>
      <c r="AE264" s="67"/>
      <c r="AF264" s="67"/>
      <c r="AG264" s="67"/>
      <c r="AH264" s="67"/>
    </row>
    <row r="265">
      <c r="A265" s="174"/>
      <c r="B265" s="175"/>
      <c r="C265" s="175"/>
      <c r="D265" s="175"/>
      <c r="E265" s="175"/>
      <c r="F265" s="175"/>
      <c r="G265" s="175"/>
      <c r="H265" s="175"/>
      <c r="I265" s="175"/>
      <c r="J265" s="175"/>
      <c r="K265" s="175"/>
      <c r="L265" s="175"/>
      <c r="M265" s="175"/>
      <c r="N265" s="175"/>
      <c r="O265" s="175"/>
      <c r="P265" s="175"/>
      <c r="Q265" s="175"/>
      <c r="R265" s="176"/>
      <c r="S265" s="67"/>
      <c r="T265" s="67"/>
      <c r="U265" s="67"/>
      <c r="V265" s="67"/>
      <c r="W265" s="67"/>
      <c r="X265" s="67"/>
      <c r="Y265" s="67"/>
      <c r="Z265" s="67"/>
      <c r="AA265" s="67"/>
      <c r="AB265" s="67"/>
      <c r="AC265" s="67"/>
      <c r="AD265" s="67"/>
      <c r="AE265" s="67"/>
      <c r="AF265" s="67"/>
      <c r="AG265" s="67"/>
      <c r="AH265" s="67"/>
    </row>
    <row r="266">
      <c r="A266" s="171"/>
      <c r="B266" s="172"/>
      <c r="C266" s="172"/>
      <c r="D266" s="172"/>
      <c r="E266" s="172"/>
      <c r="F266" s="172"/>
      <c r="G266" s="172"/>
      <c r="H266" s="172"/>
      <c r="I266" s="172"/>
      <c r="J266" s="172"/>
      <c r="K266" s="172"/>
      <c r="L266" s="172"/>
      <c r="M266" s="172"/>
      <c r="N266" s="172"/>
      <c r="O266" s="172"/>
      <c r="P266" s="172"/>
      <c r="Q266" s="172"/>
      <c r="R266" s="173"/>
      <c r="S266" s="67"/>
      <c r="T266" s="67"/>
      <c r="U266" s="67"/>
      <c r="V266" s="67"/>
      <c r="W266" s="67"/>
      <c r="X266" s="67"/>
      <c r="Y266" s="67"/>
      <c r="Z266" s="67"/>
      <c r="AA266" s="67"/>
      <c r="AB266" s="67"/>
      <c r="AC266" s="67"/>
      <c r="AD266" s="67"/>
      <c r="AE266" s="67"/>
      <c r="AF266" s="67"/>
      <c r="AG266" s="67"/>
      <c r="AH266" s="67"/>
    </row>
    <row r="267">
      <c r="A267" s="174"/>
      <c r="B267" s="175"/>
      <c r="C267" s="175"/>
      <c r="D267" s="175"/>
      <c r="E267" s="175"/>
      <c r="F267" s="175"/>
      <c r="G267" s="175"/>
      <c r="H267" s="175"/>
      <c r="I267" s="175"/>
      <c r="J267" s="175"/>
      <c r="K267" s="175"/>
      <c r="L267" s="175"/>
      <c r="M267" s="175"/>
      <c r="N267" s="175"/>
      <c r="O267" s="175"/>
      <c r="P267" s="175"/>
      <c r="Q267" s="175"/>
      <c r="R267" s="176"/>
      <c r="S267" s="67"/>
      <c r="T267" s="67"/>
      <c r="U267" s="67"/>
      <c r="V267" s="67"/>
      <c r="W267" s="67"/>
      <c r="X267" s="67"/>
      <c r="Y267" s="67"/>
      <c r="Z267" s="67"/>
      <c r="AA267" s="67"/>
      <c r="AB267" s="67"/>
      <c r="AC267" s="67"/>
      <c r="AD267" s="67"/>
      <c r="AE267" s="67"/>
      <c r="AF267" s="67"/>
      <c r="AG267" s="67"/>
      <c r="AH267" s="67"/>
    </row>
    <row r="268">
      <c r="A268" s="171"/>
      <c r="B268" s="172"/>
      <c r="C268" s="172"/>
      <c r="D268" s="172"/>
      <c r="E268" s="172"/>
      <c r="F268" s="172"/>
      <c r="G268" s="172"/>
      <c r="H268" s="172"/>
      <c r="I268" s="172"/>
      <c r="J268" s="172"/>
      <c r="K268" s="172"/>
      <c r="L268" s="172"/>
      <c r="M268" s="172"/>
      <c r="N268" s="172"/>
      <c r="O268" s="172"/>
      <c r="P268" s="172"/>
      <c r="Q268" s="172"/>
      <c r="R268" s="173"/>
      <c r="S268" s="67"/>
      <c r="T268" s="67"/>
      <c r="U268" s="67"/>
      <c r="V268" s="67"/>
      <c r="W268" s="67"/>
      <c r="X268" s="67"/>
      <c r="Y268" s="67"/>
      <c r="Z268" s="67"/>
      <c r="AA268" s="67"/>
      <c r="AB268" s="67"/>
      <c r="AC268" s="67"/>
      <c r="AD268" s="67"/>
      <c r="AE268" s="67"/>
      <c r="AF268" s="67"/>
      <c r="AG268" s="67"/>
      <c r="AH268" s="67"/>
    </row>
    <row r="269">
      <c r="A269" s="174"/>
      <c r="B269" s="175"/>
      <c r="C269" s="175"/>
      <c r="D269" s="175"/>
      <c r="E269" s="175"/>
      <c r="F269" s="175"/>
      <c r="G269" s="175"/>
      <c r="H269" s="175"/>
      <c r="I269" s="175"/>
      <c r="J269" s="175"/>
      <c r="K269" s="175"/>
      <c r="L269" s="175"/>
      <c r="M269" s="175"/>
      <c r="N269" s="175"/>
      <c r="O269" s="175"/>
      <c r="P269" s="175"/>
      <c r="Q269" s="175"/>
      <c r="R269" s="176"/>
      <c r="S269" s="67"/>
      <c r="T269" s="67"/>
      <c r="U269" s="67"/>
      <c r="V269" s="67"/>
      <c r="W269" s="67"/>
      <c r="X269" s="67"/>
      <c r="Y269" s="67"/>
      <c r="Z269" s="67"/>
      <c r="AA269" s="67"/>
      <c r="AB269" s="67"/>
      <c r="AC269" s="67"/>
      <c r="AD269" s="67"/>
      <c r="AE269" s="67"/>
      <c r="AF269" s="67"/>
      <c r="AG269" s="67"/>
      <c r="AH269" s="67"/>
    </row>
    <row r="270">
      <c r="A270" s="171"/>
      <c r="B270" s="172"/>
      <c r="C270" s="172"/>
      <c r="D270" s="172"/>
      <c r="E270" s="172"/>
      <c r="F270" s="172"/>
      <c r="G270" s="172"/>
      <c r="H270" s="172"/>
      <c r="I270" s="172"/>
      <c r="J270" s="172"/>
      <c r="K270" s="172"/>
      <c r="L270" s="172"/>
      <c r="M270" s="172"/>
      <c r="N270" s="172"/>
      <c r="O270" s="172"/>
      <c r="P270" s="172"/>
      <c r="Q270" s="172"/>
      <c r="R270" s="173"/>
      <c r="S270" s="67"/>
      <c r="T270" s="67"/>
      <c r="U270" s="67"/>
      <c r="V270" s="67"/>
      <c r="W270" s="67"/>
      <c r="X270" s="67"/>
      <c r="Y270" s="67"/>
      <c r="Z270" s="67"/>
      <c r="AA270" s="67"/>
      <c r="AB270" s="67"/>
      <c r="AC270" s="67"/>
      <c r="AD270" s="67"/>
      <c r="AE270" s="67"/>
      <c r="AF270" s="67"/>
      <c r="AG270" s="67"/>
      <c r="AH270" s="67"/>
    </row>
    <row r="271">
      <c r="A271" s="174"/>
      <c r="B271" s="175"/>
      <c r="C271" s="175"/>
      <c r="D271" s="175"/>
      <c r="E271" s="175"/>
      <c r="F271" s="175"/>
      <c r="G271" s="175"/>
      <c r="H271" s="175"/>
      <c r="I271" s="175"/>
      <c r="J271" s="175"/>
      <c r="K271" s="175"/>
      <c r="L271" s="175"/>
      <c r="M271" s="175"/>
      <c r="N271" s="175"/>
      <c r="O271" s="175"/>
      <c r="P271" s="175"/>
      <c r="Q271" s="175"/>
      <c r="R271" s="176"/>
      <c r="S271" s="67"/>
      <c r="T271" s="67"/>
      <c r="U271" s="67"/>
      <c r="V271" s="67"/>
      <c r="W271" s="67"/>
      <c r="X271" s="67"/>
      <c r="Y271" s="67"/>
      <c r="Z271" s="67"/>
      <c r="AA271" s="67"/>
      <c r="AB271" s="67"/>
      <c r="AC271" s="67"/>
      <c r="AD271" s="67"/>
      <c r="AE271" s="67"/>
      <c r="AF271" s="67"/>
      <c r="AG271" s="67"/>
      <c r="AH271" s="67"/>
    </row>
    <row r="272">
      <c r="A272" s="171"/>
      <c r="B272" s="172"/>
      <c r="C272" s="172"/>
      <c r="D272" s="172"/>
      <c r="E272" s="172"/>
      <c r="F272" s="172"/>
      <c r="G272" s="172"/>
      <c r="H272" s="172"/>
      <c r="I272" s="172"/>
      <c r="J272" s="172"/>
      <c r="K272" s="172"/>
      <c r="L272" s="172"/>
      <c r="M272" s="172"/>
      <c r="N272" s="172"/>
      <c r="O272" s="172"/>
      <c r="P272" s="172"/>
      <c r="Q272" s="172"/>
      <c r="R272" s="173"/>
      <c r="S272" s="67"/>
      <c r="T272" s="67"/>
      <c r="U272" s="67"/>
      <c r="V272" s="67"/>
      <c r="W272" s="67"/>
      <c r="X272" s="67"/>
      <c r="Y272" s="67"/>
      <c r="Z272" s="67"/>
      <c r="AA272" s="67"/>
      <c r="AB272" s="67"/>
      <c r="AC272" s="67"/>
      <c r="AD272" s="67"/>
      <c r="AE272" s="67"/>
      <c r="AF272" s="67"/>
      <c r="AG272" s="67"/>
      <c r="AH272" s="67"/>
    </row>
    <row r="273">
      <c r="A273" s="174"/>
      <c r="B273" s="175"/>
      <c r="C273" s="175"/>
      <c r="D273" s="175"/>
      <c r="E273" s="175"/>
      <c r="F273" s="175"/>
      <c r="G273" s="175"/>
      <c r="H273" s="175"/>
      <c r="I273" s="175"/>
      <c r="J273" s="175"/>
      <c r="K273" s="175"/>
      <c r="L273" s="175"/>
      <c r="M273" s="175"/>
      <c r="N273" s="175"/>
      <c r="O273" s="175"/>
      <c r="P273" s="175"/>
      <c r="Q273" s="175"/>
      <c r="R273" s="176"/>
      <c r="S273" s="67"/>
      <c r="T273" s="67"/>
      <c r="U273" s="67"/>
      <c r="V273" s="67"/>
      <c r="W273" s="67"/>
      <c r="X273" s="67"/>
      <c r="Y273" s="67"/>
      <c r="Z273" s="67"/>
      <c r="AA273" s="67"/>
      <c r="AB273" s="67"/>
      <c r="AC273" s="67"/>
      <c r="AD273" s="67"/>
      <c r="AE273" s="67"/>
      <c r="AF273" s="67"/>
      <c r="AG273" s="67"/>
      <c r="AH273" s="67"/>
    </row>
    <row r="274">
      <c r="A274" s="171"/>
      <c r="B274" s="172"/>
      <c r="C274" s="172"/>
      <c r="D274" s="172"/>
      <c r="E274" s="172"/>
      <c r="F274" s="172"/>
      <c r="G274" s="172"/>
      <c r="H274" s="172"/>
      <c r="I274" s="172"/>
      <c r="J274" s="172"/>
      <c r="K274" s="172"/>
      <c r="L274" s="172"/>
      <c r="M274" s="172"/>
      <c r="N274" s="172"/>
      <c r="O274" s="172"/>
      <c r="P274" s="172"/>
      <c r="Q274" s="172"/>
      <c r="R274" s="173"/>
      <c r="S274" s="67"/>
      <c r="T274" s="67"/>
      <c r="U274" s="67"/>
      <c r="V274" s="67"/>
      <c r="W274" s="67"/>
      <c r="X274" s="67"/>
      <c r="Y274" s="67"/>
      <c r="Z274" s="67"/>
      <c r="AA274" s="67"/>
      <c r="AB274" s="67"/>
      <c r="AC274" s="67"/>
      <c r="AD274" s="67"/>
      <c r="AE274" s="67"/>
      <c r="AF274" s="67"/>
      <c r="AG274" s="67"/>
      <c r="AH274" s="67"/>
    </row>
    <row r="275">
      <c r="A275" s="174"/>
      <c r="B275" s="175"/>
      <c r="C275" s="175"/>
      <c r="D275" s="175"/>
      <c r="E275" s="175"/>
      <c r="F275" s="175"/>
      <c r="G275" s="175"/>
      <c r="H275" s="175"/>
      <c r="I275" s="175"/>
      <c r="J275" s="175"/>
      <c r="K275" s="175"/>
      <c r="L275" s="175"/>
      <c r="M275" s="175"/>
      <c r="N275" s="175"/>
      <c r="O275" s="175"/>
      <c r="P275" s="175"/>
      <c r="Q275" s="175"/>
      <c r="R275" s="176"/>
      <c r="S275" s="67"/>
      <c r="T275" s="67"/>
      <c r="U275" s="67"/>
      <c r="V275" s="67"/>
      <c r="W275" s="67"/>
      <c r="X275" s="67"/>
      <c r="Y275" s="67"/>
      <c r="Z275" s="67"/>
      <c r="AA275" s="67"/>
      <c r="AB275" s="67"/>
      <c r="AC275" s="67"/>
      <c r="AD275" s="67"/>
      <c r="AE275" s="67"/>
      <c r="AF275" s="67"/>
      <c r="AG275" s="67"/>
      <c r="AH275" s="67"/>
    </row>
    <row r="276">
      <c r="A276" s="171"/>
      <c r="B276" s="172"/>
      <c r="C276" s="172"/>
      <c r="D276" s="172"/>
      <c r="E276" s="172"/>
      <c r="F276" s="172"/>
      <c r="G276" s="172"/>
      <c r="H276" s="172"/>
      <c r="I276" s="172"/>
      <c r="J276" s="172"/>
      <c r="K276" s="172"/>
      <c r="L276" s="172"/>
      <c r="M276" s="172"/>
      <c r="N276" s="172"/>
      <c r="O276" s="172"/>
      <c r="P276" s="172"/>
      <c r="Q276" s="172"/>
      <c r="R276" s="173"/>
      <c r="S276" s="67"/>
      <c r="T276" s="67"/>
      <c r="U276" s="67"/>
      <c r="V276" s="67"/>
      <c r="W276" s="67"/>
      <c r="X276" s="67"/>
      <c r="Y276" s="67"/>
      <c r="Z276" s="67"/>
      <c r="AA276" s="67"/>
      <c r="AB276" s="67"/>
      <c r="AC276" s="67"/>
      <c r="AD276" s="67"/>
      <c r="AE276" s="67"/>
      <c r="AF276" s="67"/>
      <c r="AG276" s="67"/>
      <c r="AH276" s="67"/>
    </row>
    <row r="277">
      <c r="A277" s="174"/>
      <c r="B277" s="175"/>
      <c r="C277" s="175"/>
      <c r="D277" s="175"/>
      <c r="E277" s="175"/>
      <c r="F277" s="175"/>
      <c r="G277" s="175"/>
      <c r="H277" s="175"/>
      <c r="I277" s="175"/>
      <c r="J277" s="175"/>
      <c r="K277" s="175"/>
      <c r="L277" s="175"/>
      <c r="M277" s="175"/>
      <c r="N277" s="175"/>
      <c r="O277" s="175"/>
      <c r="P277" s="175"/>
      <c r="Q277" s="175"/>
      <c r="R277" s="176"/>
      <c r="S277" s="67"/>
      <c r="T277" s="67"/>
      <c r="U277" s="67"/>
      <c r="V277" s="67"/>
      <c r="W277" s="67"/>
      <c r="X277" s="67"/>
      <c r="Y277" s="67"/>
      <c r="Z277" s="67"/>
      <c r="AA277" s="67"/>
      <c r="AB277" s="67"/>
      <c r="AC277" s="67"/>
      <c r="AD277" s="67"/>
      <c r="AE277" s="67"/>
      <c r="AF277" s="67"/>
      <c r="AG277" s="67"/>
      <c r="AH277" s="67"/>
    </row>
    <row r="278">
      <c r="A278" s="171"/>
      <c r="B278" s="172"/>
      <c r="C278" s="172"/>
      <c r="D278" s="172"/>
      <c r="E278" s="172"/>
      <c r="F278" s="172"/>
      <c r="G278" s="172"/>
      <c r="H278" s="172"/>
      <c r="I278" s="172"/>
      <c r="J278" s="172"/>
      <c r="K278" s="172"/>
      <c r="L278" s="172"/>
      <c r="M278" s="172"/>
      <c r="N278" s="172"/>
      <c r="O278" s="172"/>
      <c r="P278" s="172"/>
      <c r="Q278" s="172"/>
      <c r="R278" s="173"/>
      <c r="S278" s="67"/>
      <c r="T278" s="67"/>
      <c r="U278" s="67"/>
      <c r="V278" s="67"/>
      <c r="W278" s="67"/>
      <c r="X278" s="67"/>
      <c r="Y278" s="67"/>
      <c r="Z278" s="67"/>
      <c r="AA278" s="67"/>
      <c r="AB278" s="67"/>
      <c r="AC278" s="67"/>
      <c r="AD278" s="67"/>
      <c r="AE278" s="67"/>
      <c r="AF278" s="67"/>
      <c r="AG278" s="67"/>
      <c r="AH278" s="67"/>
    </row>
    <row r="279">
      <c r="A279" s="174"/>
      <c r="B279" s="175"/>
      <c r="C279" s="175"/>
      <c r="D279" s="175"/>
      <c r="E279" s="175"/>
      <c r="F279" s="175"/>
      <c r="G279" s="175"/>
      <c r="H279" s="175"/>
      <c r="I279" s="175"/>
      <c r="J279" s="175"/>
      <c r="K279" s="175"/>
      <c r="L279" s="175"/>
      <c r="M279" s="175"/>
      <c r="N279" s="175"/>
      <c r="O279" s="175"/>
      <c r="P279" s="175"/>
      <c r="Q279" s="175"/>
      <c r="R279" s="176"/>
      <c r="S279" s="67"/>
      <c r="T279" s="67"/>
      <c r="U279" s="67"/>
      <c r="V279" s="67"/>
      <c r="W279" s="67"/>
      <c r="X279" s="67"/>
      <c r="Y279" s="67"/>
      <c r="Z279" s="67"/>
      <c r="AA279" s="67"/>
      <c r="AB279" s="67"/>
      <c r="AC279" s="67"/>
      <c r="AD279" s="67"/>
      <c r="AE279" s="67"/>
      <c r="AF279" s="67"/>
      <c r="AG279" s="67"/>
      <c r="AH279" s="67"/>
    </row>
    <row r="280">
      <c r="A280" s="171"/>
      <c r="B280" s="172"/>
      <c r="C280" s="172"/>
      <c r="D280" s="172"/>
      <c r="E280" s="172"/>
      <c r="F280" s="172"/>
      <c r="G280" s="172"/>
      <c r="H280" s="172"/>
      <c r="I280" s="172"/>
      <c r="J280" s="172"/>
      <c r="K280" s="172"/>
      <c r="L280" s="172"/>
      <c r="M280" s="172"/>
      <c r="N280" s="172"/>
      <c r="O280" s="172"/>
      <c r="P280" s="172"/>
      <c r="Q280" s="172"/>
      <c r="R280" s="173"/>
      <c r="S280" s="67"/>
      <c r="T280" s="67"/>
      <c r="U280" s="67"/>
      <c r="V280" s="67"/>
      <c r="W280" s="67"/>
      <c r="X280" s="67"/>
      <c r="Y280" s="67"/>
      <c r="Z280" s="67"/>
      <c r="AA280" s="67"/>
      <c r="AB280" s="67"/>
      <c r="AC280" s="67"/>
      <c r="AD280" s="67"/>
      <c r="AE280" s="67"/>
      <c r="AF280" s="67"/>
      <c r="AG280" s="67"/>
      <c r="AH280" s="67"/>
    </row>
    <row r="281">
      <c r="A281" s="174"/>
      <c r="B281" s="175"/>
      <c r="C281" s="175"/>
      <c r="D281" s="175"/>
      <c r="E281" s="175"/>
      <c r="F281" s="175"/>
      <c r="G281" s="175"/>
      <c r="H281" s="175"/>
      <c r="I281" s="175"/>
      <c r="J281" s="175"/>
      <c r="K281" s="175"/>
      <c r="L281" s="175"/>
      <c r="M281" s="175"/>
      <c r="N281" s="175"/>
      <c r="O281" s="175"/>
      <c r="P281" s="175"/>
      <c r="Q281" s="175"/>
      <c r="R281" s="176"/>
      <c r="S281" s="67"/>
      <c r="T281" s="67"/>
      <c r="U281" s="67"/>
      <c r="V281" s="67"/>
      <c r="W281" s="67"/>
      <c r="X281" s="67"/>
      <c r="Y281" s="67"/>
      <c r="Z281" s="67"/>
      <c r="AA281" s="67"/>
      <c r="AB281" s="67"/>
      <c r="AC281" s="67"/>
      <c r="AD281" s="67"/>
      <c r="AE281" s="67"/>
      <c r="AF281" s="67"/>
      <c r="AG281" s="67"/>
      <c r="AH281" s="67"/>
    </row>
    <row r="282">
      <c r="A282" s="171"/>
      <c r="B282" s="172"/>
      <c r="C282" s="172"/>
      <c r="D282" s="172"/>
      <c r="E282" s="172"/>
      <c r="F282" s="172"/>
      <c r="G282" s="172"/>
      <c r="H282" s="172"/>
      <c r="I282" s="172"/>
      <c r="J282" s="172"/>
      <c r="K282" s="172"/>
      <c r="L282" s="172"/>
      <c r="M282" s="172"/>
      <c r="N282" s="172"/>
      <c r="O282" s="172"/>
      <c r="P282" s="172"/>
      <c r="Q282" s="172"/>
      <c r="R282" s="173"/>
      <c r="S282" s="67"/>
      <c r="T282" s="67"/>
      <c r="U282" s="67"/>
      <c r="V282" s="67"/>
      <c r="W282" s="67"/>
      <c r="X282" s="67"/>
      <c r="Y282" s="67"/>
      <c r="Z282" s="67"/>
      <c r="AA282" s="67"/>
      <c r="AB282" s="67"/>
      <c r="AC282" s="67"/>
      <c r="AD282" s="67"/>
      <c r="AE282" s="67"/>
      <c r="AF282" s="67"/>
      <c r="AG282" s="67"/>
      <c r="AH282" s="67"/>
    </row>
    <row r="283">
      <c r="A283" s="174"/>
      <c r="B283" s="175"/>
      <c r="C283" s="175"/>
      <c r="D283" s="175"/>
      <c r="E283" s="175"/>
      <c r="F283" s="175"/>
      <c r="G283" s="175"/>
      <c r="H283" s="175"/>
      <c r="I283" s="175"/>
      <c r="J283" s="175"/>
      <c r="K283" s="175"/>
      <c r="L283" s="175"/>
      <c r="M283" s="175"/>
      <c r="N283" s="175"/>
      <c r="O283" s="175"/>
      <c r="P283" s="175"/>
      <c r="Q283" s="175"/>
      <c r="R283" s="176"/>
      <c r="S283" s="67"/>
      <c r="T283" s="67"/>
      <c r="U283" s="67"/>
      <c r="V283" s="67"/>
      <c r="W283" s="67"/>
      <c r="X283" s="67"/>
      <c r="Y283" s="67"/>
      <c r="Z283" s="67"/>
      <c r="AA283" s="67"/>
      <c r="AB283" s="67"/>
      <c r="AC283" s="67"/>
      <c r="AD283" s="67"/>
      <c r="AE283" s="67"/>
      <c r="AF283" s="67"/>
      <c r="AG283" s="67"/>
      <c r="AH283" s="67"/>
    </row>
    <row r="284">
      <c r="A284" s="171"/>
      <c r="B284" s="172"/>
      <c r="C284" s="172"/>
      <c r="D284" s="172"/>
      <c r="E284" s="172"/>
      <c r="F284" s="172"/>
      <c r="G284" s="172"/>
      <c r="H284" s="172"/>
      <c r="I284" s="172"/>
      <c r="J284" s="172"/>
      <c r="K284" s="172"/>
      <c r="L284" s="172"/>
      <c r="M284" s="172"/>
      <c r="N284" s="172"/>
      <c r="O284" s="172"/>
      <c r="P284" s="172"/>
      <c r="Q284" s="172"/>
      <c r="R284" s="173"/>
      <c r="S284" s="67"/>
      <c r="T284" s="67"/>
      <c r="U284" s="67"/>
      <c r="V284" s="67"/>
      <c r="W284" s="67"/>
      <c r="X284" s="67"/>
      <c r="Y284" s="67"/>
      <c r="Z284" s="67"/>
      <c r="AA284" s="67"/>
      <c r="AB284" s="67"/>
      <c r="AC284" s="67"/>
      <c r="AD284" s="67"/>
      <c r="AE284" s="67"/>
      <c r="AF284" s="67"/>
      <c r="AG284" s="67"/>
      <c r="AH284" s="67"/>
    </row>
    <row r="285">
      <c r="A285" s="174"/>
      <c r="B285" s="175"/>
      <c r="C285" s="175"/>
      <c r="D285" s="175"/>
      <c r="E285" s="175"/>
      <c r="F285" s="175"/>
      <c r="G285" s="175"/>
      <c r="H285" s="175"/>
      <c r="I285" s="175"/>
      <c r="J285" s="175"/>
      <c r="K285" s="175"/>
      <c r="L285" s="175"/>
      <c r="M285" s="175"/>
      <c r="N285" s="175"/>
      <c r="O285" s="175"/>
      <c r="P285" s="175"/>
      <c r="Q285" s="175"/>
      <c r="R285" s="176"/>
      <c r="S285" s="67"/>
      <c r="T285" s="67"/>
      <c r="U285" s="67"/>
      <c r="V285" s="67"/>
      <c r="W285" s="67"/>
      <c r="X285" s="67"/>
      <c r="Y285" s="67"/>
      <c r="Z285" s="67"/>
      <c r="AA285" s="67"/>
      <c r="AB285" s="67"/>
      <c r="AC285" s="67"/>
      <c r="AD285" s="67"/>
      <c r="AE285" s="67"/>
      <c r="AF285" s="67"/>
      <c r="AG285" s="67"/>
      <c r="AH285" s="67"/>
    </row>
    <row r="286">
      <c r="A286" s="171"/>
      <c r="B286" s="172"/>
      <c r="C286" s="172"/>
      <c r="D286" s="172"/>
      <c r="E286" s="172"/>
      <c r="F286" s="172"/>
      <c r="G286" s="172"/>
      <c r="H286" s="172"/>
      <c r="I286" s="172"/>
      <c r="J286" s="172"/>
      <c r="K286" s="172"/>
      <c r="L286" s="172"/>
      <c r="M286" s="172"/>
      <c r="N286" s="172"/>
      <c r="O286" s="172"/>
      <c r="P286" s="172"/>
      <c r="Q286" s="172"/>
      <c r="R286" s="173"/>
      <c r="S286" s="67"/>
      <c r="T286" s="67"/>
      <c r="U286" s="67"/>
      <c r="V286" s="67"/>
      <c r="W286" s="67"/>
      <c r="X286" s="67"/>
      <c r="Y286" s="67"/>
      <c r="Z286" s="67"/>
      <c r="AA286" s="67"/>
      <c r="AB286" s="67"/>
      <c r="AC286" s="67"/>
      <c r="AD286" s="67"/>
      <c r="AE286" s="67"/>
      <c r="AF286" s="67"/>
      <c r="AG286" s="67"/>
      <c r="AH286" s="67"/>
    </row>
    <row r="287">
      <c r="A287" s="174"/>
      <c r="B287" s="175"/>
      <c r="C287" s="175"/>
      <c r="D287" s="175"/>
      <c r="E287" s="175"/>
      <c r="F287" s="175"/>
      <c r="G287" s="175"/>
      <c r="H287" s="175"/>
      <c r="I287" s="175"/>
      <c r="J287" s="175"/>
      <c r="K287" s="175"/>
      <c r="L287" s="175"/>
      <c r="M287" s="175"/>
      <c r="N287" s="175"/>
      <c r="O287" s="175"/>
      <c r="P287" s="175"/>
      <c r="Q287" s="175"/>
      <c r="R287" s="176"/>
      <c r="S287" s="67"/>
      <c r="T287" s="67"/>
      <c r="U287" s="67"/>
      <c r="V287" s="67"/>
      <c r="W287" s="67"/>
      <c r="X287" s="67"/>
      <c r="Y287" s="67"/>
      <c r="Z287" s="67"/>
      <c r="AA287" s="67"/>
      <c r="AB287" s="67"/>
      <c r="AC287" s="67"/>
      <c r="AD287" s="67"/>
      <c r="AE287" s="67"/>
      <c r="AF287" s="67"/>
      <c r="AG287" s="67"/>
      <c r="AH287" s="67"/>
    </row>
    <row r="288">
      <c r="A288" s="171"/>
      <c r="B288" s="172"/>
      <c r="C288" s="172"/>
      <c r="D288" s="172"/>
      <c r="E288" s="172"/>
      <c r="F288" s="172"/>
      <c r="G288" s="172"/>
      <c r="H288" s="172"/>
      <c r="I288" s="172"/>
      <c r="J288" s="172"/>
      <c r="K288" s="172"/>
      <c r="L288" s="172"/>
      <c r="M288" s="172"/>
      <c r="N288" s="172"/>
      <c r="O288" s="172"/>
      <c r="P288" s="172"/>
      <c r="Q288" s="172"/>
      <c r="R288" s="173"/>
      <c r="S288" s="67"/>
      <c r="T288" s="67"/>
      <c r="U288" s="67"/>
      <c r="V288" s="67"/>
      <c r="W288" s="67"/>
      <c r="X288" s="67"/>
      <c r="Y288" s="67"/>
      <c r="Z288" s="67"/>
      <c r="AA288" s="67"/>
      <c r="AB288" s="67"/>
      <c r="AC288" s="67"/>
      <c r="AD288" s="67"/>
      <c r="AE288" s="67"/>
      <c r="AF288" s="67"/>
      <c r="AG288" s="67"/>
      <c r="AH288" s="67"/>
    </row>
    <row r="289">
      <c r="A289" s="174"/>
      <c r="B289" s="175"/>
      <c r="C289" s="175"/>
      <c r="D289" s="175"/>
      <c r="E289" s="175"/>
      <c r="F289" s="175"/>
      <c r="G289" s="175"/>
      <c r="H289" s="175"/>
      <c r="I289" s="175"/>
      <c r="J289" s="175"/>
      <c r="K289" s="175"/>
      <c r="L289" s="175"/>
      <c r="M289" s="175"/>
      <c r="N289" s="175"/>
      <c r="O289" s="175"/>
      <c r="P289" s="175"/>
      <c r="Q289" s="175"/>
      <c r="R289" s="176"/>
      <c r="S289" s="67"/>
      <c r="T289" s="67"/>
      <c r="U289" s="67"/>
      <c r="V289" s="67"/>
      <c r="W289" s="67"/>
      <c r="X289" s="67"/>
      <c r="Y289" s="67"/>
      <c r="Z289" s="67"/>
      <c r="AA289" s="67"/>
      <c r="AB289" s="67"/>
      <c r="AC289" s="67"/>
      <c r="AD289" s="67"/>
      <c r="AE289" s="67"/>
      <c r="AF289" s="67"/>
      <c r="AG289" s="67"/>
      <c r="AH289" s="67"/>
    </row>
    <row r="290">
      <c r="A290" s="171"/>
      <c r="B290" s="172"/>
      <c r="C290" s="172"/>
      <c r="D290" s="172"/>
      <c r="E290" s="172"/>
      <c r="F290" s="172"/>
      <c r="G290" s="172"/>
      <c r="H290" s="172"/>
      <c r="I290" s="172"/>
      <c r="J290" s="172"/>
      <c r="K290" s="172"/>
      <c r="L290" s="172"/>
      <c r="M290" s="172"/>
      <c r="N290" s="172"/>
      <c r="O290" s="172"/>
      <c r="P290" s="172"/>
      <c r="Q290" s="172"/>
      <c r="R290" s="173"/>
      <c r="S290" s="67"/>
      <c r="T290" s="67"/>
      <c r="U290" s="67"/>
      <c r="V290" s="67"/>
      <c r="W290" s="67"/>
      <c r="X290" s="67"/>
      <c r="Y290" s="67"/>
      <c r="Z290" s="67"/>
      <c r="AA290" s="67"/>
      <c r="AB290" s="67"/>
      <c r="AC290" s="67"/>
      <c r="AD290" s="67"/>
      <c r="AE290" s="67"/>
      <c r="AF290" s="67"/>
      <c r="AG290" s="67"/>
      <c r="AH290" s="67"/>
    </row>
    <row r="291">
      <c r="A291" s="174"/>
      <c r="B291" s="175"/>
      <c r="C291" s="175"/>
      <c r="D291" s="175"/>
      <c r="E291" s="175"/>
      <c r="F291" s="175"/>
      <c r="G291" s="175"/>
      <c r="H291" s="175"/>
      <c r="I291" s="175"/>
      <c r="J291" s="175"/>
      <c r="K291" s="175"/>
      <c r="L291" s="175"/>
      <c r="M291" s="175"/>
      <c r="N291" s="175"/>
      <c r="O291" s="175"/>
      <c r="P291" s="175"/>
      <c r="Q291" s="175"/>
      <c r="R291" s="176"/>
      <c r="S291" s="67"/>
      <c r="T291" s="67"/>
      <c r="U291" s="67"/>
      <c r="V291" s="67"/>
      <c r="W291" s="67"/>
      <c r="X291" s="67"/>
      <c r="Y291" s="67"/>
      <c r="Z291" s="67"/>
      <c r="AA291" s="67"/>
      <c r="AB291" s="67"/>
      <c r="AC291" s="67"/>
      <c r="AD291" s="67"/>
      <c r="AE291" s="67"/>
      <c r="AF291" s="67"/>
      <c r="AG291" s="67"/>
      <c r="AH291" s="67"/>
    </row>
    <row r="292">
      <c r="A292" s="171"/>
      <c r="B292" s="172"/>
      <c r="C292" s="172"/>
      <c r="D292" s="172"/>
      <c r="E292" s="172"/>
      <c r="F292" s="172"/>
      <c r="G292" s="172"/>
      <c r="H292" s="172"/>
      <c r="I292" s="172"/>
      <c r="J292" s="172"/>
      <c r="K292" s="172"/>
      <c r="L292" s="172"/>
      <c r="M292" s="172"/>
      <c r="N292" s="172"/>
      <c r="O292" s="172"/>
      <c r="P292" s="172"/>
      <c r="Q292" s="172"/>
      <c r="R292" s="173"/>
      <c r="S292" s="67"/>
      <c r="T292" s="67"/>
      <c r="U292" s="67"/>
      <c r="V292" s="67"/>
      <c r="W292" s="67"/>
      <c r="X292" s="67"/>
      <c r="Y292" s="67"/>
      <c r="Z292" s="67"/>
      <c r="AA292" s="67"/>
      <c r="AB292" s="67"/>
      <c r="AC292" s="67"/>
      <c r="AD292" s="67"/>
      <c r="AE292" s="67"/>
      <c r="AF292" s="67"/>
      <c r="AG292" s="67"/>
      <c r="AH292" s="67"/>
    </row>
    <row r="293">
      <c r="A293" s="174"/>
      <c r="B293" s="175"/>
      <c r="C293" s="175"/>
      <c r="D293" s="175"/>
      <c r="E293" s="175"/>
      <c r="F293" s="175"/>
      <c r="G293" s="175"/>
      <c r="H293" s="175"/>
      <c r="I293" s="175"/>
      <c r="J293" s="175"/>
      <c r="K293" s="175"/>
      <c r="L293" s="175"/>
      <c r="M293" s="175"/>
      <c r="N293" s="175"/>
      <c r="O293" s="175"/>
      <c r="P293" s="175"/>
      <c r="Q293" s="175"/>
      <c r="R293" s="176"/>
      <c r="S293" s="67"/>
      <c r="T293" s="67"/>
      <c r="U293" s="67"/>
      <c r="V293" s="67"/>
      <c r="W293" s="67"/>
      <c r="X293" s="67"/>
      <c r="Y293" s="67"/>
      <c r="Z293" s="67"/>
      <c r="AA293" s="67"/>
      <c r="AB293" s="67"/>
      <c r="AC293" s="67"/>
      <c r="AD293" s="67"/>
      <c r="AE293" s="67"/>
      <c r="AF293" s="67"/>
      <c r="AG293" s="67"/>
      <c r="AH293" s="67"/>
    </row>
    <row r="294">
      <c r="A294" s="171"/>
      <c r="B294" s="172"/>
      <c r="C294" s="172"/>
      <c r="D294" s="172"/>
      <c r="E294" s="172"/>
      <c r="F294" s="172"/>
      <c r="G294" s="172"/>
      <c r="H294" s="172"/>
      <c r="I294" s="172"/>
      <c r="J294" s="172"/>
      <c r="K294" s="172"/>
      <c r="L294" s="172"/>
      <c r="M294" s="172"/>
      <c r="N294" s="172"/>
      <c r="O294" s="172"/>
      <c r="P294" s="172"/>
      <c r="Q294" s="172"/>
      <c r="R294" s="173"/>
      <c r="S294" s="67"/>
      <c r="T294" s="67"/>
      <c r="U294" s="67"/>
      <c r="V294" s="67"/>
      <c r="W294" s="67"/>
      <c r="X294" s="67"/>
      <c r="Y294" s="67"/>
      <c r="Z294" s="67"/>
      <c r="AA294" s="67"/>
      <c r="AB294" s="67"/>
      <c r="AC294" s="67"/>
      <c r="AD294" s="67"/>
      <c r="AE294" s="67"/>
      <c r="AF294" s="67"/>
      <c r="AG294" s="67"/>
      <c r="AH294" s="67"/>
    </row>
    <row r="295">
      <c r="A295" s="174"/>
      <c r="B295" s="175"/>
      <c r="C295" s="175"/>
      <c r="D295" s="175"/>
      <c r="E295" s="175"/>
      <c r="F295" s="175"/>
      <c r="G295" s="175"/>
      <c r="H295" s="175"/>
      <c r="I295" s="175"/>
      <c r="J295" s="175"/>
      <c r="K295" s="175"/>
      <c r="L295" s="175"/>
      <c r="M295" s="175"/>
      <c r="N295" s="175"/>
      <c r="O295" s="175"/>
      <c r="P295" s="175"/>
      <c r="Q295" s="175"/>
      <c r="R295" s="176"/>
      <c r="S295" s="67"/>
      <c r="T295" s="67"/>
      <c r="U295" s="67"/>
      <c r="V295" s="67"/>
      <c r="W295" s="67"/>
      <c r="X295" s="67"/>
      <c r="Y295" s="67"/>
      <c r="Z295" s="67"/>
      <c r="AA295" s="67"/>
      <c r="AB295" s="67"/>
      <c r="AC295" s="67"/>
      <c r="AD295" s="67"/>
      <c r="AE295" s="67"/>
      <c r="AF295" s="67"/>
      <c r="AG295" s="67"/>
      <c r="AH295" s="67"/>
    </row>
    <row r="296">
      <c r="A296" s="171"/>
      <c r="B296" s="172"/>
      <c r="C296" s="172"/>
      <c r="D296" s="172"/>
      <c r="E296" s="172"/>
      <c r="F296" s="172"/>
      <c r="G296" s="172"/>
      <c r="H296" s="172"/>
      <c r="I296" s="172"/>
      <c r="J296" s="172"/>
      <c r="K296" s="172"/>
      <c r="L296" s="172"/>
      <c r="M296" s="172"/>
      <c r="N296" s="172"/>
      <c r="O296" s="172"/>
      <c r="P296" s="172"/>
      <c r="Q296" s="172"/>
      <c r="R296" s="173"/>
      <c r="S296" s="67"/>
      <c r="T296" s="67"/>
      <c r="U296" s="67"/>
      <c r="V296" s="67"/>
      <c r="W296" s="67"/>
      <c r="X296" s="67"/>
      <c r="Y296" s="67"/>
      <c r="Z296" s="67"/>
      <c r="AA296" s="67"/>
      <c r="AB296" s="67"/>
      <c r="AC296" s="67"/>
      <c r="AD296" s="67"/>
      <c r="AE296" s="67"/>
      <c r="AF296" s="67"/>
      <c r="AG296" s="67"/>
      <c r="AH296" s="67"/>
    </row>
    <row r="297">
      <c r="A297" s="174"/>
      <c r="B297" s="175"/>
      <c r="C297" s="175"/>
      <c r="D297" s="175"/>
      <c r="E297" s="175"/>
      <c r="F297" s="175"/>
      <c r="G297" s="175"/>
      <c r="H297" s="175"/>
      <c r="I297" s="175"/>
      <c r="J297" s="175"/>
      <c r="K297" s="175"/>
      <c r="L297" s="175"/>
      <c r="M297" s="175"/>
      <c r="N297" s="175"/>
      <c r="O297" s="175"/>
      <c r="P297" s="175"/>
      <c r="Q297" s="175"/>
      <c r="R297" s="176"/>
      <c r="S297" s="67"/>
      <c r="T297" s="67"/>
      <c r="U297" s="67"/>
      <c r="V297" s="67"/>
      <c r="W297" s="67"/>
      <c r="X297" s="67"/>
      <c r="Y297" s="67"/>
      <c r="Z297" s="67"/>
      <c r="AA297" s="67"/>
      <c r="AB297" s="67"/>
      <c r="AC297" s="67"/>
      <c r="AD297" s="67"/>
      <c r="AE297" s="67"/>
      <c r="AF297" s="67"/>
      <c r="AG297" s="67"/>
      <c r="AH297" s="67"/>
    </row>
    <row r="298">
      <c r="A298" s="171"/>
      <c r="B298" s="172"/>
      <c r="C298" s="172"/>
      <c r="D298" s="172"/>
      <c r="E298" s="172"/>
      <c r="F298" s="172"/>
      <c r="G298" s="172"/>
      <c r="H298" s="172"/>
      <c r="I298" s="172"/>
      <c r="J298" s="172"/>
      <c r="K298" s="172"/>
      <c r="L298" s="172"/>
      <c r="M298" s="172"/>
      <c r="N298" s="172"/>
      <c r="O298" s="172"/>
      <c r="P298" s="172"/>
      <c r="Q298" s="172"/>
      <c r="R298" s="173"/>
      <c r="S298" s="67"/>
      <c r="T298" s="67"/>
      <c r="U298" s="67"/>
      <c r="V298" s="67"/>
      <c r="W298" s="67"/>
      <c r="X298" s="67"/>
      <c r="Y298" s="67"/>
      <c r="Z298" s="67"/>
      <c r="AA298" s="67"/>
      <c r="AB298" s="67"/>
      <c r="AC298" s="67"/>
      <c r="AD298" s="67"/>
      <c r="AE298" s="67"/>
      <c r="AF298" s="67"/>
      <c r="AG298" s="67"/>
      <c r="AH298" s="67"/>
    </row>
    <row r="299">
      <c r="A299" s="174"/>
      <c r="B299" s="175"/>
      <c r="C299" s="175"/>
      <c r="D299" s="175"/>
      <c r="E299" s="175"/>
      <c r="F299" s="175"/>
      <c r="G299" s="175"/>
      <c r="H299" s="175"/>
      <c r="I299" s="175"/>
      <c r="J299" s="175"/>
      <c r="K299" s="175"/>
      <c r="L299" s="175"/>
      <c r="M299" s="175"/>
      <c r="N299" s="175"/>
      <c r="O299" s="175"/>
      <c r="P299" s="175"/>
      <c r="Q299" s="175"/>
      <c r="R299" s="176"/>
      <c r="S299" s="67"/>
      <c r="T299" s="67"/>
      <c r="U299" s="67"/>
      <c r="V299" s="67"/>
      <c r="W299" s="67"/>
      <c r="X299" s="67"/>
      <c r="Y299" s="67"/>
      <c r="Z299" s="67"/>
      <c r="AA299" s="67"/>
      <c r="AB299" s="67"/>
      <c r="AC299" s="67"/>
      <c r="AD299" s="67"/>
      <c r="AE299" s="67"/>
      <c r="AF299" s="67"/>
      <c r="AG299" s="67"/>
      <c r="AH299" s="67"/>
    </row>
    <row r="300">
      <c r="A300" s="171"/>
      <c r="B300" s="172"/>
      <c r="C300" s="172"/>
      <c r="D300" s="172"/>
      <c r="E300" s="172"/>
      <c r="F300" s="172"/>
      <c r="G300" s="172"/>
      <c r="H300" s="172"/>
      <c r="I300" s="172"/>
      <c r="J300" s="172"/>
      <c r="K300" s="172"/>
      <c r="L300" s="172"/>
      <c r="M300" s="172"/>
      <c r="N300" s="172"/>
      <c r="O300" s="172"/>
      <c r="P300" s="172"/>
      <c r="Q300" s="172"/>
      <c r="R300" s="173"/>
      <c r="S300" s="67"/>
      <c r="T300" s="67"/>
      <c r="U300" s="67"/>
      <c r="V300" s="67"/>
      <c r="W300" s="67"/>
      <c r="X300" s="67"/>
      <c r="Y300" s="67"/>
      <c r="Z300" s="67"/>
      <c r="AA300" s="67"/>
      <c r="AB300" s="67"/>
      <c r="AC300" s="67"/>
      <c r="AD300" s="67"/>
      <c r="AE300" s="67"/>
      <c r="AF300" s="67"/>
      <c r="AG300" s="67"/>
      <c r="AH300" s="67"/>
    </row>
    <row r="301">
      <c r="A301" s="174"/>
      <c r="B301" s="175"/>
      <c r="C301" s="175"/>
      <c r="D301" s="175"/>
      <c r="E301" s="175"/>
      <c r="F301" s="175"/>
      <c r="G301" s="175"/>
      <c r="H301" s="175"/>
      <c r="I301" s="175"/>
      <c r="J301" s="175"/>
      <c r="K301" s="175"/>
      <c r="L301" s="175"/>
      <c r="M301" s="175"/>
      <c r="N301" s="175"/>
      <c r="O301" s="175"/>
      <c r="P301" s="175"/>
      <c r="Q301" s="175"/>
      <c r="R301" s="176"/>
      <c r="S301" s="67"/>
      <c r="T301" s="67"/>
      <c r="U301" s="67"/>
      <c r="V301" s="67"/>
      <c r="W301" s="67"/>
      <c r="X301" s="67"/>
      <c r="Y301" s="67"/>
      <c r="Z301" s="67"/>
      <c r="AA301" s="67"/>
      <c r="AB301" s="67"/>
      <c r="AC301" s="67"/>
      <c r="AD301" s="67"/>
      <c r="AE301" s="67"/>
      <c r="AF301" s="67"/>
      <c r="AG301" s="67"/>
      <c r="AH301" s="67"/>
    </row>
    <row r="302">
      <c r="A302" s="171"/>
      <c r="B302" s="172"/>
      <c r="C302" s="172"/>
      <c r="D302" s="172"/>
      <c r="E302" s="172"/>
      <c r="F302" s="172"/>
      <c r="G302" s="172"/>
      <c r="H302" s="172"/>
      <c r="I302" s="172"/>
      <c r="J302" s="172"/>
      <c r="K302" s="172"/>
      <c r="L302" s="172"/>
      <c r="M302" s="172"/>
      <c r="N302" s="172"/>
      <c r="O302" s="172"/>
      <c r="P302" s="172"/>
      <c r="Q302" s="172"/>
      <c r="R302" s="173"/>
      <c r="S302" s="67"/>
      <c r="T302" s="67"/>
      <c r="U302" s="67"/>
      <c r="V302" s="67"/>
      <c r="W302" s="67"/>
      <c r="X302" s="67"/>
      <c r="Y302" s="67"/>
      <c r="Z302" s="67"/>
      <c r="AA302" s="67"/>
      <c r="AB302" s="67"/>
      <c r="AC302" s="67"/>
      <c r="AD302" s="67"/>
      <c r="AE302" s="67"/>
      <c r="AF302" s="67"/>
      <c r="AG302" s="67"/>
      <c r="AH302" s="67"/>
    </row>
    <row r="303">
      <c r="A303" s="174"/>
      <c r="B303" s="175"/>
      <c r="C303" s="175"/>
      <c r="D303" s="175"/>
      <c r="E303" s="175"/>
      <c r="F303" s="175"/>
      <c r="G303" s="175"/>
      <c r="H303" s="175"/>
      <c r="I303" s="175"/>
      <c r="J303" s="175"/>
      <c r="K303" s="175"/>
      <c r="L303" s="175"/>
      <c r="M303" s="175"/>
      <c r="N303" s="175"/>
      <c r="O303" s="175"/>
      <c r="P303" s="175"/>
      <c r="Q303" s="175"/>
      <c r="R303" s="176"/>
      <c r="S303" s="67"/>
      <c r="T303" s="67"/>
      <c r="U303" s="67"/>
      <c r="V303" s="67"/>
      <c r="W303" s="67"/>
      <c r="X303" s="67"/>
      <c r="Y303" s="67"/>
      <c r="Z303" s="67"/>
      <c r="AA303" s="67"/>
      <c r="AB303" s="67"/>
      <c r="AC303" s="67"/>
      <c r="AD303" s="67"/>
      <c r="AE303" s="67"/>
      <c r="AF303" s="67"/>
      <c r="AG303" s="67"/>
      <c r="AH303" s="67"/>
    </row>
    <row r="304">
      <c r="A304" s="171"/>
      <c r="B304" s="172"/>
      <c r="C304" s="172"/>
      <c r="D304" s="172"/>
      <c r="E304" s="172"/>
      <c r="F304" s="172"/>
      <c r="G304" s="172"/>
      <c r="H304" s="172"/>
      <c r="I304" s="172"/>
      <c r="J304" s="172"/>
      <c r="K304" s="172"/>
      <c r="L304" s="172"/>
      <c r="M304" s="172"/>
      <c r="N304" s="172"/>
      <c r="O304" s="172"/>
      <c r="P304" s="172"/>
      <c r="Q304" s="172"/>
      <c r="R304" s="173"/>
      <c r="S304" s="67"/>
      <c r="T304" s="67"/>
      <c r="U304" s="67"/>
      <c r="V304" s="67"/>
      <c r="W304" s="67"/>
      <c r="X304" s="67"/>
      <c r="Y304" s="67"/>
      <c r="Z304" s="67"/>
      <c r="AA304" s="67"/>
      <c r="AB304" s="67"/>
      <c r="AC304" s="67"/>
      <c r="AD304" s="67"/>
      <c r="AE304" s="67"/>
      <c r="AF304" s="67"/>
      <c r="AG304" s="67"/>
      <c r="AH304" s="67"/>
    </row>
    <row r="305">
      <c r="A305" s="174"/>
      <c r="B305" s="175"/>
      <c r="C305" s="175"/>
      <c r="D305" s="175"/>
      <c r="E305" s="175"/>
      <c r="F305" s="175"/>
      <c r="G305" s="175"/>
      <c r="H305" s="175"/>
      <c r="I305" s="175"/>
      <c r="J305" s="175"/>
      <c r="K305" s="175"/>
      <c r="L305" s="175"/>
      <c r="M305" s="175"/>
      <c r="N305" s="175"/>
      <c r="O305" s="175"/>
      <c r="P305" s="175"/>
      <c r="Q305" s="175"/>
      <c r="R305" s="176"/>
      <c r="S305" s="67"/>
      <c r="T305" s="67"/>
      <c r="U305" s="67"/>
      <c r="V305" s="67"/>
      <c r="W305" s="67"/>
      <c r="X305" s="67"/>
      <c r="Y305" s="67"/>
      <c r="Z305" s="67"/>
      <c r="AA305" s="67"/>
      <c r="AB305" s="67"/>
      <c r="AC305" s="67"/>
      <c r="AD305" s="67"/>
      <c r="AE305" s="67"/>
      <c r="AF305" s="67"/>
      <c r="AG305" s="67"/>
      <c r="AH305" s="67"/>
    </row>
    <row r="306">
      <c r="A306" s="171"/>
      <c r="B306" s="172"/>
      <c r="C306" s="172"/>
      <c r="D306" s="172"/>
      <c r="E306" s="172"/>
      <c r="F306" s="172"/>
      <c r="G306" s="172"/>
      <c r="H306" s="172"/>
      <c r="I306" s="172"/>
      <c r="J306" s="172"/>
      <c r="K306" s="172"/>
      <c r="L306" s="172"/>
      <c r="M306" s="172"/>
      <c r="N306" s="172"/>
      <c r="O306" s="172"/>
      <c r="P306" s="172"/>
      <c r="Q306" s="172"/>
      <c r="R306" s="173"/>
      <c r="S306" s="67"/>
      <c r="T306" s="67"/>
      <c r="U306" s="67"/>
      <c r="V306" s="67"/>
      <c r="W306" s="67"/>
      <c r="X306" s="67"/>
      <c r="Y306" s="67"/>
      <c r="Z306" s="67"/>
      <c r="AA306" s="67"/>
      <c r="AB306" s="67"/>
      <c r="AC306" s="67"/>
      <c r="AD306" s="67"/>
      <c r="AE306" s="67"/>
      <c r="AF306" s="67"/>
      <c r="AG306" s="67"/>
      <c r="AH306" s="67"/>
    </row>
    <row r="307">
      <c r="A307" s="174"/>
      <c r="B307" s="175"/>
      <c r="C307" s="175"/>
      <c r="D307" s="175"/>
      <c r="E307" s="175"/>
      <c r="F307" s="175"/>
      <c r="G307" s="175"/>
      <c r="H307" s="175"/>
      <c r="I307" s="175"/>
      <c r="J307" s="175"/>
      <c r="K307" s="175"/>
      <c r="L307" s="175"/>
      <c r="M307" s="175"/>
      <c r="N307" s="175"/>
      <c r="O307" s="175"/>
      <c r="P307" s="175"/>
      <c r="Q307" s="175"/>
      <c r="R307" s="176"/>
      <c r="S307" s="67"/>
      <c r="T307" s="67"/>
      <c r="U307" s="67"/>
      <c r="V307" s="67"/>
      <c r="W307" s="67"/>
      <c r="X307" s="67"/>
      <c r="Y307" s="67"/>
      <c r="Z307" s="67"/>
      <c r="AA307" s="67"/>
      <c r="AB307" s="67"/>
      <c r="AC307" s="67"/>
      <c r="AD307" s="67"/>
      <c r="AE307" s="67"/>
      <c r="AF307" s="67"/>
      <c r="AG307" s="67"/>
      <c r="AH307" s="67"/>
    </row>
    <row r="308">
      <c r="A308" s="171"/>
      <c r="B308" s="172"/>
      <c r="C308" s="172"/>
      <c r="D308" s="172"/>
      <c r="E308" s="172"/>
      <c r="F308" s="172"/>
      <c r="G308" s="172"/>
      <c r="H308" s="172"/>
      <c r="I308" s="172"/>
      <c r="J308" s="172"/>
      <c r="K308" s="172"/>
      <c r="L308" s="172"/>
      <c r="M308" s="172"/>
      <c r="N308" s="172"/>
      <c r="O308" s="172"/>
      <c r="P308" s="172"/>
      <c r="Q308" s="172"/>
      <c r="R308" s="173"/>
      <c r="S308" s="67"/>
      <c r="T308" s="67"/>
      <c r="U308" s="67"/>
      <c r="V308" s="67"/>
      <c r="W308" s="67"/>
      <c r="X308" s="67"/>
      <c r="Y308" s="67"/>
      <c r="Z308" s="67"/>
      <c r="AA308" s="67"/>
      <c r="AB308" s="67"/>
      <c r="AC308" s="67"/>
      <c r="AD308" s="67"/>
      <c r="AE308" s="67"/>
      <c r="AF308" s="67"/>
      <c r="AG308" s="67"/>
      <c r="AH308" s="67"/>
    </row>
    <row r="309">
      <c r="A309" s="174"/>
      <c r="B309" s="175"/>
      <c r="C309" s="175"/>
      <c r="D309" s="175"/>
      <c r="E309" s="175"/>
      <c r="F309" s="175"/>
      <c r="G309" s="175"/>
      <c r="H309" s="175"/>
      <c r="I309" s="175"/>
      <c r="J309" s="175"/>
      <c r="K309" s="175"/>
      <c r="L309" s="175"/>
      <c r="M309" s="175"/>
      <c r="N309" s="175"/>
      <c r="O309" s="175"/>
      <c r="P309" s="175"/>
      <c r="Q309" s="175"/>
      <c r="R309" s="176"/>
      <c r="S309" s="67"/>
      <c r="T309" s="67"/>
      <c r="U309" s="67"/>
      <c r="V309" s="67"/>
      <c r="W309" s="67"/>
      <c r="X309" s="67"/>
      <c r="Y309" s="67"/>
      <c r="Z309" s="67"/>
      <c r="AA309" s="67"/>
      <c r="AB309" s="67"/>
      <c r="AC309" s="67"/>
      <c r="AD309" s="67"/>
      <c r="AE309" s="67"/>
      <c r="AF309" s="67"/>
      <c r="AG309" s="67"/>
      <c r="AH309" s="67"/>
    </row>
    <row r="310">
      <c r="A310" s="171"/>
      <c r="B310" s="172"/>
      <c r="C310" s="172"/>
      <c r="D310" s="172"/>
      <c r="E310" s="172"/>
      <c r="F310" s="172"/>
      <c r="G310" s="172"/>
      <c r="H310" s="172"/>
      <c r="I310" s="172"/>
      <c r="J310" s="172"/>
      <c r="K310" s="172"/>
      <c r="L310" s="172"/>
      <c r="M310" s="172"/>
      <c r="N310" s="172"/>
      <c r="O310" s="172"/>
      <c r="P310" s="172"/>
      <c r="Q310" s="172"/>
      <c r="R310" s="173"/>
      <c r="S310" s="67"/>
      <c r="T310" s="67"/>
      <c r="U310" s="67"/>
      <c r="V310" s="67"/>
      <c r="W310" s="67"/>
      <c r="X310" s="67"/>
      <c r="Y310" s="67"/>
      <c r="Z310" s="67"/>
      <c r="AA310" s="67"/>
      <c r="AB310" s="67"/>
      <c r="AC310" s="67"/>
      <c r="AD310" s="67"/>
      <c r="AE310" s="67"/>
      <c r="AF310" s="67"/>
      <c r="AG310" s="67"/>
      <c r="AH310" s="67"/>
    </row>
    <row r="311">
      <c r="A311" s="174"/>
      <c r="B311" s="175"/>
      <c r="C311" s="175"/>
      <c r="D311" s="175"/>
      <c r="E311" s="175"/>
      <c r="F311" s="175"/>
      <c r="G311" s="175"/>
      <c r="H311" s="175"/>
      <c r="I311" s="175"/>
      <c r="J311" s="175"/>
      <c r="K311" s="175"/>
      <c r="L311" s="175"/>
      <c r="M311" s="175"/>
      <c r="N311" s="175"/>
      <c r="O311" s="175"/>
      <c r="P311" s="175"/>
      <c r="Q311" s="175"/>
      <c r="R311" s="176"/>
      <c r="S311" s="67"/>
      <c r="T311" s="67"/>
      <c r="U311" s="67"/>
      <c r="V311" s="67"/>
      <c r="W311" s="67"/>
      <c r="X311" s="67"/>
      <c r="Y311" s="67"/>
      <c r="Z311" s="67"/>
      <c r="AA311" s="67"/>
      <c r="AB311" s="67"/>
      <c r="AC311" s="67"/>
      <c r="AD311" s="67"/>
      <c r="AE311" s="67"/>
      <c r="AF311" s="67"/>
      <c r="AG311" s="67"/>
      <c r="AH311" s="67"/>
    </row>
    <row r="312">
      <c r="A312" s="171"/>
      <c r="B312" s="172"/>
      <c r="C312" s="172"/>
      <c r="D312" s="172"/>
      <c r="E312" s="172"/>
      <c r="F312" s="172"/>
      <c r="G312" s="172"/>
      <c r="H312" s="172"/>
      <c r="I312" s="172"/>
      <c r="J312" s="172"/>
      <c r="K312" s="172"/>
      <c r="L312" s="172"/>
      <c r="M312" s="172"/>
      <c r="N312" s="172"/>
      <c r="O312" s="172"/>
      <c r="P312" s="172"/>
      <c r="Q312" s="172"/>
      <c r="R312" s="173"/>
      <c r="S312" s="67"/>
      <c r="T312" s="67"/>
      <c r="U312" s="67"/>
      <c r="V312" s="67"/>
      <c r="W312" s="67"/>
      <c r="X312" s="67"/>
      <c r="Y312" s="67"/>
      <c r="Z312" s="67"/>
      <c r="AA312" s="67"/>
      <c r="AB312" s="67"/>
      <c r="AC312" s="67"/>
      <c r="AD312" s="67"/>
      <c r="AE312" s="67"/>
      <c r="AF312" s="67"/>
      <c r="AG312" s="67"/>
      <c r="AH312" s="67"/>
    </row>
    <row r="313">
      <c r="A313" s="174"/>
      <c r="B313" s="175"/>
      <c r="C313" s="175"/>
      <c r="D313" s="175"/>
      <c r="E313" s="175"/>
      <c r="F313" s="175"/>
      <c r="G313" s="175"/>
      <c r="H313" s="175"/>
      <c r="I313" s="175"/>
      <c r="J313" s="175"/>
      <c r="K313" s="175"/>
      <c r="L313" s="175"/>
      <c r="M313" s="175"/>
      <c r="N313" s="175"/>
      <c r="O313" s="175"/>
      <c r="P313" s="175"/>
      <c r="Q313" s="175"/>
      <c r="R313" s="176"/>
      <c r="S313" s="67"/>
      <c r="T313" s="67"/>
      <c r="U313" s="67"/>
      <c r="V313" s="67"/>
      <c r="W313" s="67"/>
      <c r="X313" s="67"/>
      <c r="Y313" s="67"/>
      <c r="Z313" s="67"/>
      <c r="AA313" s="67"/>
      <c r="AB313" s="67"/>
      <c r="AC313" s="67"/>
      <c r="AD313" s="67"/>
      <c r="AE313" s="67"/>
      <c r="AF313" s="67"/>
      <c r="AG313" s="67"/>
      <c r="AH313" s="67"/>
    </row>
    <row r="314">
      <c r="A314" s="171"/>
      <c r="B314" s="172"/>
      <c r="C314" s="172"/>
      <c r="D314" s="172"/>
      <c r="E314" s="172"/>
      <c r="F314" s="172"/>
      <c r="G314" s="172"/>
      <c r="H314" s="172"/>
      <c r="I314" s="172"/>
      <c r="J314" s="172"/>
      <c r="K314" s="172"/>
      <c r="L314" s="172"/>
      <c r="M314" s="172"/>
      <c r="N314" s="172"/>
      <c r="O314" s="172"/>
      <c r="P314" s="172"/>
      <c r="Q314" s="172"/>
      <c r="R314" s="173"/>
      <c r="S314" s="67"/>
      <c r="T314" s="67"/>
      <c r="U314" s="67"/>
      <c r="V314" s="67"/>
      <c r="W314" s="67"/>
      <c r="X314" s="67"/>
      <c r="Y314" s="67"/>
      <c r="Z314" s="67"/>
      <c r="AA314" s="67"/>
      <c r="AB314" s="67"/>
      <c r="AC314" s="67"/>
      <c r="AD314" s="67"/>
      <c r="AE314" s="67"/>
      <c r="AF314" s="67"/>
      <c r="AG314" s="67"/>
      <c r="AH314" s="67"/>
    </row>
    <row r="315">
      <c r="A315" s="174"/>
      <c r="B315" s="175"/>
      <c r="C315" s="175"/>
      <c r="D315" s="175"/>
      <c r="E315" s="175"/>
      <c r="F315" s="175"/>
      <c r="G315" s="175"/>
      <c r="H315" s="175"/>
      <c r="I315" s="175"/>
      <c r="J315" s="175"/>
      <c r="K315" s="175"/>
      <c r="L315" s="175"/>
      <c r="M315" s="175"/>
      <c r="N315" s="175"/>
      <c r="O315" s="175"/>
      <c r="P315" s="175"/>
      <c r="Q315" s="175"/>
      <c r="R315" s="176"/>
      <c r="S315" s="67"/>
      <c r="T315" s="67"/>
      <c r="U315" s="67"/>
      <c r="V315" s="67"/>
      <c r="W315" s="67"/>
      <c r="X315" s="67"/>
      <c r="Y315" s="67"/>
      <c r="Z315" s="67"/>
      <c r="AA315" s="67"/>
      <c r="AB315" s="67"/>
      <c r="AC315" s="67"/>
      <c r="AD315" s="67"/>
      <c r="AE315" s="67"/>
      <c r="AF315" s="67"/>
      <c r="AG315" s="67"/>
      <c r="AH315" s="67"/>
    </row>
    <row r="316">
      <c r="A316" s="171"/>
      <c r="B316" s="172"/>
      <c r="C316" s="172"/>
      <c r="D316" s="172"/>
      <c r="E316" s="172"/>
      <c r="F316" s="172"/>
      <c r="G316" s="172"/>
      <c r="H316" s="172"/>
      <c r="I316" s="172"/>
      <c r="J316" s="172"/>
      <c r="K316" s="172"/>
      <c r="L316" s="172"/>
      <c r="M316" s="172"/>
      <c r="N316" s="172"/>
      <c r="O316" s="172"/>
      <c r="P316" s="172"/>
      <c r="Q316" s="172"/>
      <c r="R316" s="173"/>
      <c r="S316" s="67"/>
      <c r="T316" s="67"/>
      <c r="U316" s="67"/>
      <c r="V316" s="67"/>
      <c r="W316" s="67"/>
      <c r="X316" s="67"/>
      <c r="Y316" s="67"/>
      <c r="Z316" s="67"/>
      <c r="AA316" s="67"/>
      <c r="AB316" s="67"/>
      <c r="AC316" s="67"/>
      <c r="AD316" s="67"/>
      <c r="AE316" s="67"/>
      <c r="AF316" s="67"/>
      <c r="AG316" s="67"/>
      <c r="AH316" s="67"/>
    </row>
    <row r="317">
      <c r="A317" s="174"/>
      <c r="B317" s="175"/>
      <c r="C317" s="175"/>
      <c r="D317" s="175"/>
      <c r="E317" s="175"/>
      <c r="F317" s="175"/>
      <c r="G317" s="175"/>
      <c r="H317" s="175"/>
      <c r="I317" s="175"/>
      <c r="J317" s="175"/>
      <c r="K317" s="175"/>
      <c r="L317" s="175"/>
      <c r="M317" s="175"/>
      <c r="N317" s="175"/>
      <c r="O317" s="175"/>
      <c r="P317" s="175"/>
      <c r="Q317" s="175"/>
      <c r="R317" s="176"/>
      <c r="S317" s="67"/>
      <c r="T317" s="67"/>
      <c r="U317" s="67"/>
      <c r="V317" s="67"/>
      <c r="W317" s="67"/>
      <c r="X317" s="67"/>
      <c r="Y317" s="67"/>
      <c r="Z317" s="67"/>
      <c r="AA317" s="67"/>
      <c r="AB317" s="67"/>
      <c r="AC317" s="67"/>
      <c r="AD317" s="67"/>
      <c r="AE317" s="67"/>
      <c r="AF317" s="67"/>
      <c r="AG317" s="67"/>
      <c r="AH317" s="67"/>
    </row>
    <row r="318">
      <c r="A318" s="171"/>
      <c r="B318" s="172"/>
      <c r="C318" s="172"/>
      <c r="D318" s="172"/>
      <c r="E318" s="172"/>
      <c r="F318" s="172"/>
      <c r="G318" s="172"/>
      <c r="H318" s="172"/>
      <c r="I318" s="172"/>
      <c r="J318" s="172"/>
      <c r="K318" s="172"/>
      <c r="L318" s="172"/>
      <c r="M318" s="172"/>
      <c r="N318" s="172"/>
      <c r="O318" s="172"/>
      <c r="P318" s="172"/>
      <c r="Q318" s="172"/>
      <c r="R318" s="173"/>
      <c r="S318" s="67"/>
      <c r="T318" s="67"/>
      <c r="U318" s="67"/>
      <c r="V318" s="67"/>
      <c r="W318" s="67"/>
      <c r="X318" s="67"/>
      <c r="Y318" s="67"/>
      <c r="Z318" s="67"/>
      <c r="AA318" s="67"/>
      <c r="AB318" s="67"/>
      <c r="AC318" s="67"/>
      <c r="AD318" s="67"/>
      <c r="AE318" s="67"/>
      <c r="AF318" s="67"/>
      <c r="AG318" s="67"/>
      <c r="AH318" s="67"/>
    </row>
    <row r="319">
      <c r="A319" s="174"/>
      <c r="B319" s="175"/>
      <c r="C319" s="175"/>
      <c r="D319" s="175"/>
      <c r="E319" s="175"/>
      <c r="F319" s="175"/>
      <c r="G319" s="175"/>
      <c r="H319" s="175"/>
      <c r="I319" s="175"/>
      <c r="J319" s="175"/>
      <c r="K319" s="175"/>
      <c r="L319" s="175"/>
      <c r="M319" s="175"/>
      <c r="N319" s="175"/>
      <c r="O319" s="175"/>
      <c r="P319" s="175"/>
      <c r="Q319" s="175"/>
      <c r="R319" s="176"/>
      <c r="S319" s="67"/>
      <c r="T319" s="67"/>
      <c r="U319" s="67"/>
      <c r="V319" s="67"/>
      <c r="W319" s="67"/>
      <c r="X319" s="67"/>
      <c r="Y319" s="67"/>
      <c r="Z319" s="67"/>
      <c r="AA319" s="67"/>
      <c r="AB319" s="67"/>
      <c r="AC319" s="67"/>
      <c r="AD319" s="67"/>
      <c r="AE319" s="67"/>
      <c r="AF319" s="67"/>
      <c r="AG319" s="67"/>
      <c r="AH319" s="67"/>
    </row>
    <row r="320">
      <c r="A320" s="171"/>
      <c r="B320" s="172"/>
      <c r="C320" s="172"/>
      <c r="D320" s="172"/>
      <c r="E320" s="172"/>
      <c r="F320" s="172"/>
      <c r="G320" s="172"/>
      <c r="H320" s="172"/>
      <c r="I320" s="172"/>
      <c r="J320" s="172"/>
      <c r="K320" s="172"/>
      <c r="L320" s="172"/>
      <c r="M320" s="172"/>
      <c r="N320" s="172"/>
      <c r="O320" s="172"/>
      <c r="P320" s="172"/>
      <c r="Q320" s="172"/>
      <c r="R320" s="173"/>
      <c r="S320" s="67"/>
      <c r="T320" s="67"/>
      <c r="U320" s="67"/>
      <c r="V320" s="67"/>
      <c r="W320" s="67"/>
      <c r="X320" s="67"/>
      <c r="Y320" s="67"/>
      <c r="Z320" s="67"/>
      <c r="AA320" s="67"/>
      <c r="AB320" s="67"/>
      <c r="AC320" s="67"/>
      <c r="AD320" s="67"/>
      <c r="AE320" s="67"/>
      <c r="AF320" s="67"/>
      <c r="AG320" s="67"/>
      <c r="AH320" s="67"/>
    </row>
    <row r="321">
      <c r="A321" s="174"/>
      <c r="B321" s="175"/>
      <c r="C321" s="175"/>
      <c r="D321" s="175"/>
      <c r="E321" s="175"/>
      <c r="F321" s="175"/>
      <c r="G321" s="175"/>
      <c r="H321" s="175"/>
      <c r="I321" s="175"/>
      <c r="J321" s="175"/>
      <c r="K321" s="175"/>
      <c r="L321" s="175"/>
      <c r="M321" s="175"/>
      <c r="N321" s="175"/>
      <c r="O321" s="175"/>
      <c r="P321" s="175"/>
      <c r="Q321" s="175"/>
      <c r="R321" s="176"/>
      <c r="S321" s="67"/>
      <c r="T321" s="67"/>
      <c r="U321" s="67"/>
      <c r="V321" s="67"/>
      <c r="W321" s="67"/>
      <c r="X321" s="67"/>
      <c r="Y321" s="67"/>
      <c r="Z321" s="67"/>
      <c r="AA321" s="67"/>
      <c r="AB321" s="67"/>
      <c r="AC321" s="67"/>
      <c r="AD321" s="67"/>
      <c r="AE321" s="67"/>
      <c r="AF321" s="67"/>
      <c r="AG321" s="67"/>
      <c r="AH321" s="67"/>
    </row>
    <row r="322">
      <c r="A322" s="171"/>
      <c r="B322" s="172"/>
      <c r="C322" s="172"/>
      <c r="D322" s="172"/>
      <c r="E322" s="172"/>
      <c r="F322" s="172"/>
      <c r="G322" s="172"/>
      <c r="H322" s="172"/>
      <c r="I322" s="172"/>
      <c r="J322" s="172"/>
      <c r="K322" s="172"/>
      <c r="L322" s="172"/>
      <c r="M322" s="172"/>
      <c r="N322" s="172"/>
      <c r="O322" s="172"/>
      <c r="P322" s="172"/>
      <c r="Q322" s="172"/>
      <c r="R322" s="173"/>
      <c r="S322" s="67"/>
      <c r="T322" s="67"/>
      <c r="U322" s="67"/>
      <c r="V322" s="67"/>
      <c r="W322" s="67"/>
      <c r="X322" s="67"/>
      <c r="Y322" s="67"/>
      <c r="Z322" s="67"/>
      <c r="AA322" s="67"/>
      <c r="AB322" s="67"/>
      <c r="AC322" s="67"/>
      <c r="AD322" s="67"/>
      <c r="AE322" s="67"/>
      <c r="AF322" s="67"/>
      <c r="AG322" s="67"/>
      <c r="AH322" s="67"/>
    </row>
    <row r="323">
      <c r="A323" s="174"/>
      <c r="B323" s="175"/>
      <c r="C323" s="175"/>
      <c r="D323" s="175"/>
      <c r="E323" s="175"/>
      <c r="F323" s="175"/>
      <c r="G323" s="175"/>
      <c r="H323" s="175"/>
      <c r="I323" s="175"/>
      <c r="J323" s="175"/>
      <c r="K323" s="175"/>
      <c r="L323" s="175"/>
      <c r="M323" s="175"/>
      <c r="N323" s="175"/>
      <c r="O323" s="175"/>
      <c r="P323" s="175"/>
      <c r="Q323" s="175"/>
      <c r="R323" s="176"/>
      <c r="S323" s="67"/>
      <c r="T323" s="67"/>
      <c r="U323" s="67"/>
      <c r="V323" s="67"/>
      <c r="W323" s="67"/>
      <c r="X323" s="67"/>
      <c r="Y323" s="67"/>
      <c r="Z323" s="67"/>
      <c r="AA323" s="67"/>
      <c r="AB323" s="67"/>
      <c r="AC323" s="67"/>
      <c r="AD323" s="67"/>
      <c r="AE323" s="67"/>
      <c r="AF323" s="67"/>
      <c r="AG323" s="67"/>
      <c r="AH323" s="67"/>
    </row>
    <row r="324">
      <c r="A324" s="171"/>
      <c r="B324" s="172"/>
      <c r="C324" s="172"/>
      <c r="D324" s="172"/>
      <c r="E324" s="172"/>
      <c r="F324" s="172"/>
      <c r="G324" s="172"/>
      <c r="H324" s="172"/>
      <c r="I324" s="172"/>
      <c r="J324" s="172"/>
      <c r="K324" s="172"/>
      <c r="L324" s="172"/>
      <c r="M324" s="172"/>
      <c r="N324" s="172"/>
      <c r="O324" s="172"/>
      <c r="P324" s="172"/>
      <c r="Q324" s="172"/>
      <c r="R324" s="173"/>
      <c r="S324" s="67"/>
      <c r="T324" s="67"/>
      <c r="U324" s="67"/>
      <c r="V324" s="67"/>
      <c r="W324" s="67"/>
      <c r="X324" s="67"/>
      <c r="Y324" s="67"/>
      <c r="Z324" s="67"/>
      <c r="AA324" s="67"/>
      <c r="AB324" s="67"/>
      <c r="AC324" s="67"/>
      <c r="AD324" s="67"/>
      <c r="AE324" s="67"/>
      <c r="AF324" s="67"/>
      <c r="AG324" s="67"/>
      <c r="AH324" s="67"/>
    </row>
    <row r="325">
      <c r="A325" s="174"/>
      <c r="B325" s="175"/>
      <c r="C325" s="175"/>
      <c r="D325" s="175"/>
      <c r="E325" s="175"/>
      <c r="F325" s="175"/>
      <c r="G325" s="175"/>
      <c r="H325" s="175"/>
      <c r="I325" s="175"/>
      <c r="J325" s="175"/>
      <c r="K325" s="175"/>
      <c r="L325" s="175"/>
      <c r="M325" s="175"/>
      <c r="N325" s="175"/>
      <c r="O325" s="175"/>
      <c r="P325" s="175"/>
      <c r="Q325" s="175"/>
      <c r="R325" s="176"/>
      <c r="S325" s="67"/>
      <c r="T325" s="67"/>
      <c r="U325" s="67"/>
      <c r="V325" s="67"/>
      <c r="W325" s="67"/>
      <c r="X325" s="67"/>
      <c r="Y325" s="67"/>
      <c r="Z325" s="67"/>
      <c r="AA325" s="67"/>
      <c r="AB325" s="67"/>
      <c r="AC325" s="67"/>
      <c r="AD325" s="67"/>
      <c r="AE325" s="67"/>
      <c r="AF325" s="67"/>
      <c r="AG325" s="67"/>
      <c r="AH325" s="67"/>
    </row>
    <row r="326">
      <c r="A326" s="171"/>
      <c r="B326" s="172"/>
      <c r="C326" s="172"/>
      <c r="D326" s="172"/>
      <c r="E326" s="172"/>
      <c r="F326" s="172"/>
      <c r="G326" s="172"/>
      <c r="H326" s="172"/>
      <c r="I326" s="172"/>
      <c r="J326" s="172"/>
      <c r="K326" s="172"/>
      <c r="L326" s="172"/>
      <c r="M326" s="172"/>
      <c r="N326" s="172"/>
      <c r="O326" s="172"/>
      <c r="P326" s="172"/>
      <c r="Q326" s="172"/>
      <c r="R326" s="173"/>
      <c r="S326" s="67"/>
      <c r="T326" s="67"/>
      <c r="U326" s="67"/>
      <c r="V326" s="67"/>
      <c r="W326" s="67"/>
      <c r="X326" s="67"/>
      <c r="Y326" s="67"/>
      <c r="Z326" s="67"/>
      <c r="AA326" s="67"/>
      <c r="AB326" s="67"/>
      <c r="AC326" s="67"/>
      <c r="AD326" s="67"/>
      <c r="AE326" s="67"/>
      <c r="AF326" s="67"/>
      <c r="AG326" s="67"/>
      <c r="AH326" s="67"/>
    </row>
    <row r="327">
      <c r="A327" s="174"/>
      <c r="B327" s="175"/>
      <c r="C327" s="175"/>
      <c r="D327" s="175"/>
      <c r="E327" s="175"/>
      <c r="F327" s="175"/>
      <c r="G327" s="175"/>
      <c r="H327" s="175"/>
      <c r="I327" s="175"/>
      <c r="J327" s="175"/>
      <c r="K327" s="175"/>
      <c r="L327" s="175"/>
      <c r="M327" s="175"/>
      <c r="N327" s="175"/>
      <c r="O327" s="175"/>
      <c r="P327" s="175"/>
      <c r="Q327" s="175"/>
      <c r="R327" s="176"/>
      <c r="S327" s="67"/>
      <c r="T327" s="67"/>
      <c r="U327" s="67"/>
      <c r="V327" s="67"/>
      <c r="W327" s="67"/>
      <c r="X327" s="67"/>
      <c r="Y327" s="67"/>
      <c r="Z327" s="67"/>
      <c r="AA327" s="67"/>
      <c r="AB327" s="67"/>
      <c r="AC327" s="67"/>
      <c r="AD327" s="67"/>
      <c r="AE327" s="67"/>
      <c r="AF327" s="67"/>
      <c r="AG327" s="67"/>
      <c r="AH327" s="67"/>
    </row>
    <row r="328">
      <c r="A328" s="171"/>
      <c r="B328" s="172"/>
      <c r="C328" s="172"/>
      <c r="D328" s="172"/>
      <c r="E328" s="172"/>
      <c r="F328" s="172"/>
      <c r="G328" s="172"/>
      <c r="H328" s="172"/>
      <c r="I328" s="172"/>
      <c r="J328" s="172"/>
      <c r="K328" s="172"/>
      <c r="L328" s="172"/>
      <c r="M328" s="172"/>
      <c r="N328" s="172"/>
      <c r="O328" s="172"/>
      <c r="P328" s="172"/>
      <c r="Q328" s="172"/>
      <c r="R328" s="173"/>
      <c r="S328" s="67"/>
      <c r="T328" s="67"/>
      <c r="U328" s="67"/>
      <c r="V328" s="67"/>
      <c r="W328" s="67"/>
      <c r="X328" s="67"/>
      <c r="Y328" s="67"/>
      <c r="Z328" s="67"/>
      <c r="AA328" s="67"/>
      <c r="AB328" s="67"/>
      <c r="AC328" s="67"/>
      <c r="AD328" s="67"/>
      <c r="AE328" s="67"/>
      <c r="AF328" s="67"/>
      <c r="AG328" s="67"/>
      <c r="AH328" s="67"/>
    </row>
    <row r="329">
      <c r="A329" s="174"/>
      <c r="B329" s="175"/>
      <c r="C329" s="175"/>
      <c r="D329" s="175"/>
      <c r="E329" s="175"/>
      <c r="F329" s="175"/>
      <c r="G329" s="175"/>
      <c r="H329" s="175"/>
      <c r="I329" s="175"/>
      <c r="J329" s="175"/>
      <c r="K329" s="175"/>
      <c r="L329" s="175"/>
      <c r="M329" s="175"/>
      <c r="N329" s="175"/>
      <c r="O329" s="175"/>
      <c r="P329" s="175"/>
      <c r="Q329" s="175"/>
      <c r="R329" s="176"/>
      <c r="S329" s="67"/>
      <c r="T329" s="67"/>
      <c r="U329" s="67"/>
      <c r="V329" s="67"/>
      <c r="W329" s="67"/>
      <c r="X329" s="67"/>
      <c r="Y329" s="67"/>
      <c r="Z329" s="67"/>
      <c r="AA329" s="67"/>
      <c r="AB329" s="67"/>
      <c r="AC329" s="67"/>
      <c r="AD329" s="67"/>
      <c r="AE329" s="67"/>
      <c r="AF329" s="67"/>
      <c r="AG329" s="67"/>
      <c r="AH329" s="67"/>
    </row>
    <row r="330">
      <c r="A330" s="171"/>
      <c r="B330" s="172"/>
      <c r="C330" s="172"/>
      <c r="D330" s="172"/>
      <c r="E330" s="172"/>
      <c r="F330" s="172"/>
      <c r="G330" s="172"/>
      <c r="H330" s="172"/>
      <c r="I330" s="172"/>
      <c r="J330" s="172"/>
      <c r="K330" s="172"/>
      <c r="L330" s="172"/>
      <c r="M330" s="172"/>
      <c r="N330" s="172"/>
      <c r="O330" s="172"/>
      <c r="P330" s="172"/>
      <c r="Q330" s="172"/>
      <c r="R330" s="173"/>
      <c r="S330" s="67"/>
      <c r="T330" s="67"/>
      <c r="U330" s="67"/>
      <c r="V330" s="67"/>
      <c r="W330" s="67"/>
      <c r="X330" s="67"/>
      <c r="Y330" s="67"/>
      <c r="Z330" s="67"/>
      <c r="AA330" s="67"/>
      <c r="AB330" s="67"/>
      <c r="AC330" s="67"/>
      <c r="AD330" s="67"/>
      <c r="AE330" s="67"/>
      <c r="AF330" s="67"/>
      <c r="AG330" s="67"/>
      <c r="AH330" s="67"/>
    </row>
    <row r="331">
      <c r="A331" s="174"/>
      <c r="B331" s="175"/>
      <c r="C331" s="175"/>
      <c r="D331" s="175"/>
      <c r="E331" s="175"/>
      <c r="F331" s="175"/>
      <c r="G331" s="175"/>
      <c r="H331" s="175"/>
      <c r="I331" s="175"/>
      <c r="J331" s="175"/>
      <c r="K331" s="175"/>
      <c r="L331" s="175"/>
      <c r="M331" s="175"/>
      <c r="N331" s="175"/>
      <c r="O331" s="175"/>
      <c r="P331" s="175"/>
      <c r="Q331" s="175"/>
      <c r="R331" s="176"/>
      <c r="S331" s="67"/>
      <c r="T331" s="67"/>
      <c r="U331" s="67"/>
      <c r="V331" s="67"/>
      <c r="W331" s="67"/>
      <c r="X331" s="67"/>
      <c r="Y331" s="67"/>
      <c r="Z331" s="67"/>
      <c r="AA331" s="67"/>
      <c r="AB331" s="67"/>
      <c r="AC331" s="67"/>
      <c r="AD331" s="67"/>
      <c r="AE331" s="67"/>
      <c r="AF331" s="67"/>
      <c r="AG331" s="67"/>
      <c r="AH331" s="67"/>
    </row>
    <row r="332">
      <c r="A332" s="171"/>
      <c r="B332" s="172"/>
      <c r="C332" s="172"/>
      <c r="D332" s="172"/>
      <c r="E332" s="172"/>
      <c r="F332" s="172"/>
      <c r="G332" s="172"/>
      <c r="H332" s="172"/>
      <c r="I332" s="172"/>
      <c r="J332" s="172"/>
      <c r="K332" s="172"/>
      <c r="L332" s="172"/>
      <c r="M332" s="172"/>
      <c r="N332" s="172"/>
      <c r="O332" s="172"/>
      <c r="P332" s="172"/>
      <c r="Q332" s="172"/>
      <c r="R332" s="173"/>
      <c r="S332" s="67"/>
      <c r="T332" s="67"/>
      <c r="U332" s="67"/>
      <c r="V332" s="67"/>
      <c r="W332" s="67"/>
      <c r="X332" s="67"/>
      <c r="Y332" s="67"/>
      <c r="Z332" s="67"/>
      <c r="AA332" s="67"/>
      <c r="AB332" s="67"/>
      <c r="AC332" s="67"/>
      <c r="AD332" s="67"/>
      <c r="AE332" s="67"/>
      <c r="AF332" s="67"/>
      <c r="AG332" s="67"/>
      <c r="AH332" s="67"/>
    </row>
    <row r="333">
      <c r="A333" s="174"/>
      <c r="B333" s="175"/>
      <c r="C333" s="175"/>
      <c r="D333" s="175"/>
      <c r="E333" s="175"/>
      <c r="F333" s="175"/>
      <c r="G333" s="175"/>
      <c r="H333" s="175"/>
      <c r="I333" s="175"/>
      <c r="J333" s="175"/>
      <c r="K333" s="175"/>
      <c r="L333" s="175"/>
      <c r="M333" s="175"/>
      <c r="N333" s="175"/>
      <c r="O333" s="175"/>
      <c r="P333" s="175"/>
      <c r="Q333" s="175"/>
      <c r="R333" s="176"/>
      <c r="S333" s="67"/>
      <c r="T333" s="67"/>
      <c r="U333" s="67"/>
      <c r="V333" s="67"/>
      <c r="W333" s="67"/>
      <c r="X333" s="67"/>
      <c r="Y333" s="67"/>
      <c r="Z333" s="67"/>
      <c r="AA333" s="67"/>
      <c r="AB333" s="67"/>
      <c r="AC333" s="67"/>
      <c r="AD333" s="67"/>
      <c r="AE333" s="67"/>
      <c r="AF333" s="67"/>
      <c r="AG333" s="67"/>
      <c r="AH333" s="67"/>
    </row>
    <row r="334">
      <c r="A334" s="171"/>
      <c r="B334" s="172"/>
      <c r="C334" s="172"/>
      <c r="D334" s="172"/>
      <c r="E334" s="172"/>
      <c r="F334" s="172"/>
      <c r="G334" s="172"/>
      <c r="H334" s="172"/>
      <c r="I334" s="172"/>
      <c r="J334" s="172"/>
      <c r="K334" s="172"/>
      <c r="L334" s="172"/>
      <c r="M334" s="172"/>
      <c r="N334" s="172"/>
      <c r="O334" s="172"/>
      <c r="P334" s="172"/>
      <c r="Q334" s="172"/>
      <c r="R334" s="173"/>
      <c r="S334" s="67"/>
      <c r="T334" s="67"/>
      <c r="U334" s="67"/>
      <c r="V334" s="67"/>
      <c r="W334" s="67"/>
      <c r="X334" s="67"/>
      <c r="Y334" s="67"/>
      <c r="Z334" s="67"/>
      <c r="AA334" s="67"/>
      <c r="AB334" s="67"/>
      <c r="AC334" s="67"/>
      <c r="AD334" s="67"/>
      <c r="AE334" s="67"/>
      <c r="AF334" s="67"/>
      <c r="AG334" s="67"/>
      <c r="AH334" s="67"/>
    </row>
    <row r="335">
      <c r="A335" s="174"/>
      <c r="B335" s="175"/>
      <c r="C335" s="175"/>
      <c r="D335" s="175"/>
      <c r="E335" s="175"/>
      <c r="F335" s="175"/>
      <c r="G335" s="175"/>
      <c r="H335" s="175"/>
      <c r="I335" s="175"/>
      <c r="J335" s="175"/>
      <c r="K335" s="175"/>
      <c r="L335" s="175"/>
      <c r="M335" s="175"/>
      <c r="N335" s="175"/>
      <c r="O335" s="175"/>
      <c r="P335" s="175"/>
      <c r="Q335" s="175"/>
      <c r="R335" s="176"/>
      <c r="S335" s="67"/>
      <c r="T335" s="67"/>
      <c r="U335" s="67"/>
      <c r="V335" s="67"/>
      <c r="W335" s="67"/>
      <c r="X335" s="67"/>
      <c r="Y335" s="67"/>
      <c r="Z335" s="67"/>
      <c r="AA335" s="67"/>
      <c r="AB335" s="67"/>
      <c r="AC335" s="67"/>
      <c r="AD335" s="67"/>
      <c r="AE335" s="67"/>
      <c r="AF335" s="67"/>
      <c r="AG335" s="67"/>
      <c r="AH335" s="67"/>
    </row>
    <row r="336">
      <c r="A336" s="171"/>
      <c r="B336" s="172"/>
      <c r="C336" s="172"/>
      <c r="D336" s="172"/>
      <c r="E336" s="172"/>
      <c r="F336" s="172"/>
      <c r="G336" s="172"/>
      <c r="H336" s="172"/>
      <c r="I336" s="172"/>
      <c r="J336" s="172"/>
      <c r="K336" s="172"/>
      <c r="L336" s="172"/>
      <c r="M336" s="172"/>
      <c r="N336" s="172"/>
      <c r="O336" s="172"/>
      <c r="P336" s="172"/>
      <c r="Q336" s="172"/>
      <c r="R336" s="173"/>
      <c r="S336" s="67"/>
      <c r="T336" s="67"/>
      <c r="U336" s="67"/>
      <c r="V336" s="67"/>
      <c r="W336" s="67"/>
      <c r="X336" s="67"/>
      <c r="Y336" s="67"/>
      <c r="Z336" s="67"/>
      <c r="AA336" s="67"/>
      <c r="AB336" s="67"/>
      <c r="AC336" s="67"/>
      <c r="AD336" s="67"/>
      <c r="AE336" s="67"/>
      <c r="AF336" s="67"/>
      <c r="AG336" s="67"/>
      <c r="AH336" s="67"/>
    </row>
    <row r="337">
      <c r="A337" s="174"/>
      <c r="B337" s="175"/>
      <c r="C337" s="175"/>
      <c r="D337" s="175"/>
      <c r="E337" s="175"/>
      <c r="F337" s="175"/>
      <c r="G337" s="175"/>
      <c r="H337" s="175"/>
      <c r="I337" s="175"/>
      <c r="J337" s="175"/>
      <c r="K337" s="175"/>
      <c r="L337" s="175"/>
      <c r="M337" s="175"/>
      <c r="N337" s="175"/>
      <c r="O337" s="175"/>
      <c r="P337" s="175"/>
      <c r="Q337" s="175"/>
      <c r="R337" s="176"/>
      <c r="S337" s="67"/>
      <c r="T337" s="67"/>
      <c r="U337" s="67"/>
      <c r="V337" s="67"/>
      <c r="W337" s="67"/>
      <c r="X337" s="67"/>
      <c r="Y337" s="67"/>
      <c r="Z337" s="67"/>
      <c r="AA337" s="67"/>
      <c r="AB337" s="67"/>
      <c r="AC337" s="67"/>
      <c r="AD337" s="67"/>
      <c r="AE337" s="67"/>
      <c r="AF337" s="67"/>
      <c r="AG337" s="67"/>
      <c r="AH337" s="67"/>
    </row>
    <row r="338">
      <c r="A338" s="171"/>
      <c r="B338" s="172"/>
      <c r="C338" s="172"/>
      <c r="D338" s="172"/>
      <c r="E338" s="172"/>
      <c r="F338" s="172"/>
      <c r="G338" s="172"/>
      <c r="H338" s="172"/>
      <c r="I338" s="172"/>
      <c r="J338" s="172"/>
      <c r="K338" s="172"/>
      <c r="L338" s="172"/>
      <c r="M338" s="172"/>
      <c r="N338" s="172"/>
      <c r="O338" s="172"/>
      <c r="P338" s="172"/>
      <c r="Q338" s="172"/>
      <c r="R338" s="173"/>
      <c r="S338" s="67"/>
      <c r="T338" s="67"/>
      <c r="U338" s="67"/>
      <c r="V338" s="67"/>
      <c r="W338" s="67"/>
      <c r="X338" s="67"/>
      <c r="Y338" s="67"/>
      <c r="Z338" s="67"/>
      <c r="AA338" s="67"/>
      <c r="AB338" s="67"/>
      <c r="AC338" s="67"/>
      <c r="AD338" s="67"/>
      <c r="AE338" s="67"/>
      <c r="AF338" s="67"/>
      <c r="AG338" s="67"/>
      <c r="AH338" s="67"/>
    </row>
    <row r="339">
      <c r="A339" s="174"/>
      <c r="B339" s="175"/>
      <c r="C339" s="175"/>
      <c r="D339" s="175"/>
      <c r="E339" s="175"/>
      <c r="F339" s="175"/>
      <c r="G339" s="175"/>
      <c r="H339" s="175"/>
      <c r="I339" s="175"/>
      <c r="J339" s="175"/>
      <c r="K339" s="175"/>
      <c r="L339" s="175"/>
      <c r="M339" s="175"/>
      <c r="N339" s="175"/>
      <c r="O339" s="175"/>
      <c r="P339" s="175"/>
      <c r="Q339" s="175"/>
      <c r="R339" s="176"/>
      <c r="S339" s="67"/>
      <c r="T339" s="67"/>
      <c r="U339" s="67"/>
      <c r="V339" s="67"/>
      <c r="W339" s="67"/>
      <c r="X339" s="67"/>
      <c r="Y339" s="67"/>
      <c r="Z339" s="67"/>
      <c r="AA339" s="67"/>
      <c r="AB339" s="67"/>
      <c r="AC339" s="67"/>
      <c r="AD339" s="67"/>
      <c r="AE339" s="67"/>
      <c r="AF339" s="67"/>
      <c r="AG339" s="67"/>
      <c r="AH339" s="67"/>
    </row>
    <row r="340">
      <c r="A340" s="171"/>
      <c r="B340" s="172"/>
      <c r="C340" s="172"/>
      <c r="D340" s="172"/>
      <c r="E340" s="172"/>
      <c r="F340" s="172"/>
      <c r="G340" s="172"/>
      <c r="H340" s="172"/>
      <c r="I340" s="172"/>
      <c r="J340" s="172"/>
      <c r="K340" s="172"/>
      <c r="L340" s="172"/>
      <c r="M340" s="172"/>
      <c r="N340" s="172"/>
      <c r="O340" s="172"/>
      <c r="P340" s="172"/>
      <c r="Q340" s="172"/>
      <c r="R340" s="173"/>
      <c r="S340" s="67"/>
      <c r="T340" s="67"/>
      <c r="U340" s="67"/>
      <c r="V340" s="67"/>
      <c r="W340" s="67"/>
      <c r="X340" s="67"/>
      <c r="Y340" s="67"/>
      <c r="Z340" s="67"/>
      <c r="AA340" s="67"/>
      <c r="AB340" s="67"/>
      <c r="AC340" s="67"/>
      <c r="AD340" s="67"/>
      <c r="AE340" s="67"/>
      <c r="AF340" s="67"/>
      <c r="AG340" s="67"/>
      <c r="AH340" s="67"/>
    </row>
    <row r="341">
      <c r="A341" s="174"/>
      <c r="B341" s="175"/>
      <c r="C341" s="175"/>
      <c r="D341" s="175"/>
      <c r="E341" s="175"/>
      <c r="F341" s="175"/>
      <c r="G341" s="175"/>
      <c r="H341" s="175"/>
      <c r="I341" s="175"/>
      <c r="J341" s="175"/>
      <c r="K341" s="175"/>
      <c r="L341" s="175"/>
      <c r="M341" s="175"/>
      <c r="N341" s="175"/>
      <c r="O341" s="175"/>
      <c r="P341" s="175"/>
      <c r="Q341" s="175"/>
      <c r="R341" s="176"/>
      <c r="S341" s="67"/>
      <c r="T341" s="67"/>
      <c r="U341" s="67"/>
      <c r="V341" s="67"/>
      <c r="W341" s="67"/>
      <c r="X341" s="67"/>
      <c r="Y341" s="67"/>
      <c r="Z341" s="67"/>
      <c r="AA341" s="67"/>
      <c r="AB341" s="67"/>
      <c r="AC341" s="67"/>
      <c r="AD341" s="67"/>
      <c r="AE341" s="67"/>
      <c r="AF341" s="67"/>
      <c r="AG341" s="67"/>
      <c r="AH341" s="67"/>
    </row>
    <row r="342">
      <c r="A342" s="171"/>
      <c r="B342" s="172"/>
      <c r="C342" s="172"/>
      <c r="D342" s="172"/>
      <c r="E342" s="172"/>
      <c r="F342" s="172"/>
      <c r="G342" s="172"/>
      <c r="H342" s="172"/>
      <c r="I342" s="172"/>
      <c r="J342" s="172"/>
      <c r="K342" s="172"/>
      <c r="L342" s="172"/>
      <c r="M342" s="172"/>
      <c r="N342" s="172"/>
      <c r="O342" s="172"/>
      <c r="P342" s="172"/>
      <c r="Q342" s="172"/>
      <c r="R342" s="173"/>
      <c r="S342" s="67"/>
      <c r="T342" s="67"/>
      <c r="U342" s="67"/>
      <c r="V342" s="67"/>
      <c r="W342" s="67"/>
      <c r="X342" s="67"/>
      <c r="Y342" s="67"/>
      <c r="Z342" s="67"/>
      <c r="AA342" s="67"/>
      <c r="AB342" s="67"/>
      <c r="AC342" s="67"/>
      <c r="AD342" s="67"/>
      <c r="AE342" s="67"/>
      <c r="AF342" s="67"/>
      <c r="AG342" s="67"/>
      <c r="AH342" s="67"/>
    </row>
    <row r="343">
      <c r="A343" s="174"/>
      <c r="B343" s="175"/>
      <c r="C343" s="175"/>
      <c r="D343" s="175"/>
      <c r="E343" s="175"/>
      <c r="F343" s="175"/>
      <c r="G343" s="175"/>
      <c r="H343" s="175"/>
      <c r="I343" s="175"/>
      <c r="J343" s="175"/>
      <c r="K343" s="175"/>
      <c r="L343" s="175"/>
      <c r="M343" s="175"/>
      <c r="N343" s="175"/>
      <c r="O343" s="175"/>
      <c r="P343" s="175"/>
      <c r="Q343" s="175"/>
      <c r="R343" s="176"/>
      <c r="S343" s="67"/>
      <c r="T343" s="67"/>
      <c r="U343" s="67"/>
      <c r="V343" s="67"/>
      <c r="W343" s="67"/>
      <c r="X343" s="67"/>
      <c r="Y343" s="67"/>
      <c r="Z343" s="67"/>
      <c r="AA343" s="67"/>
      <c r="AB343" s="67"/>
      <c r="AC343" s="67"/>
      <c r="AD343" s="67"/>
      <c r="AE343" s="67"/>
      <c r="AF343" s="67"/>
      <c r="AG343" s="67"/>
      <c r="AH343" s="67"/>
    </row>
    <row r="344">
      <c r="A344" s="171"/>
      <c r="B344" s="172"/>
      <c r="C344" s="172"/>
      <c r="D344" s="172"/>
      <c r="E344" s="172"/>
      <c r="F344" s="172"/>
      <c r="G344" s="172"/>
      <c r="H344" s="172"/>
      <c r="I344" s="172"/>
      <c r="J344" s="172"/>
      <c r="K344" s="172"/>
      <c r="L344" s="172"/>
      <c r="M344" s="172"/>
      <c r="N344" s="172"/>
      <c r="O344" s="172"/>
      <c r="P344" s="172"/>
      <c r="Q344" s="172"/>
      <c r="R344" s="173"/>
      <c r="S344" s="67"/>
      <c r="T344" s="67"/>
      <c r="U344" s="67"/>
      <c r="V344" s="67"/>
      <c r="W344" s="67"/>
      <c r="X344" s="67"/>
      <c r="Y344" s="67"/>
      <c r="Z344" s="67"/>
      <c r="AA344" s="67"/>
      <c r="AB344" s="67"/>
      <c r="AC344" s="67"/>
      <c r="AD344" s="67"/>
      <c r="AE344" s="67"/>
      <c r="AF344" s="67"/>
      <c r="AG344" s="67"/>
      <c r="AH344" s="67"/>
    </row>
    <row r="345">
      <c r="A345" s="174"/>
      <c r="B345" s="175"/>
      <c r="C345" s="175"/>
      <c r="D345" s="175"/>
      <c r="E345" s="175"/>
      <c r="F345" s="175"/>
      <c r="G345" s="175"/>
      <c r="H345" s="175"/>
      <c r="I345" s="175"/>
      <c r="J345" s="175"/>
      <c r="K345" s="175"/>
      <c r="L345" s="175"/>
      <c r="M345" s="175"/>
      <c r="N345" s="175"/>
      <c r="O345" s="175"/>
      <c r="P345" s="175"/>
      <c r="Q345" s="175"/>
      <c r="R345" s="176"/>
      <c r="S345" s="67"/>
      <c r="T345" s="67"/>
      <c r="U345" s="67"/>
      <c r="V345" s="67"/>
      <c r="W345" s="67"/>
      <c r="X345" s="67"/>
      <c r="Y345" s="67"/>
      <c r="Z345" s="67"/>
      <c r="AA345" s="67"/>
      <c r="AB345" s="67"/>
      <c r="AC345" s="67"/>
      <c r="AD345" s="67"/>
      <c r="AE345" s="67"/>
      <c r="AF345" s="67"/>
      <c r="AG345" s="67"/>
      <c r="AH345" s="67"/>
    </row>
    <row r="346">
      <c r="A346" s="171"/>
      <c r="B346" s="172"/>
      <c r="C346" s="172"/>
      <c r="D346" s="172"/>
      <c r="E346" s="172"/>
      <c r="F346" s="172"/>
      <c r="G346" s="172"/>
      <c r="H346" s="172"/>
      <c r="I346" s="172"/>
      <c r="J346" s="172"/>
      <c r="K346" s="172"/>
      <c r="L346" s="172"/>
      <c r="M346" s="172"/>
      <c r="N346" s="172"/>
      <c r="O346" s="172"/>
      <c r="P346" s="172"/>
      <c r="Q346" s="172"/>
      <c r="R346" s="173"/>
      <c r="S346" s="67"/>
      <c r="T346" s="67"/>
      <c r="U346" s="67"/>
      <c r="V346" s="67"/>
      <c r="W346" s="67"/>
      <c r="X346" s="67"/>
      <c r="Y346" s="67"/>
      <c r="Z346" s="67"/>
      <c r="AA346" s="67"/>
      <c r="AB346" s="67"/>
      <c r="AC346" s="67"/>
      <c r="AD346" s="67"/>
      <c r="AE346" s="67"/>
      <c r="AF346" s="67"/>
      <c r="AG346" s="67"/>
      <c r="AH346" s="67"/>
    </row>
    <row r="347">
      <c r="A347" s="174"/>
      <c r="B347" s="175"/>
      <c r="C347" s="175"/>
      <c r="D347" s="175"/>
      <c r="E347" s="175"/>
      <c r="F347" s="175"/>
      <c r="G347" s="175"/>
      <c r="H347" s="175"/>
      <c r="I347" s="175"/>
      <c r="J347" s="175"/>
      <c r="K347" s="175"/>
      <c r="L347" s="175"/>
      <c r="M347" s="175"/>
      <c r="N347" s="175"/>
      <c r="O347" s="175"/>
      <c r="P347" s="175"/>
      <c r="Q347" s="175"/>
      <c r="R347" s="176"/>
      <c r="S347" s="67"/>
      <c r="T347" s="67"/>
      <c r="U347" s="67"/>
      <c r="V347" s="67"/>
      <c r="W347" s="67"/>
      <c r="X347" s="67"/>
      <c r="Y347" s="67"/>
      <c r="Z347" s="67"/>
      <c r="AA347" s="67"/>
      <c r="AB347" s="67"/>
      <c r="AC347" s="67"/>
      <c r="AD347" s="67"/>
      <c r="AE347" s="67"/>
      <c r="AF347" s="67"/>
      <c r="AG347" s="67"/>
      <c r="AH347" s="67"/>
    </row>
    <row r="348">
      <c r="A348" s="171"/>
      <c r="B348" s="172"/>
      <c r="C348" s="172"/>
      <c r="D348" s="172"/>
      <c r="E348" s="172"/>
      <c r="F348" s="172"/>
      <c r="G348" s="172"/>
      <c r="H348" s="172"/>
      <c r="I348" s="172"/>
      <c r="J348" s="172"/>
      <c r="K348" s="172"/>
      <c r="L348" s="172"/>
      <c r="M348" s="172"/>
      <c r="N348" s="172"/>
      <c r="O348" s="172"/>
      <c r="P348" s="172"/>
      <c r="Q348" s="172"/>
      <c r="R348" s="173"/>
      <c r="S348" s="67"/>
      <c r="T348" s="67"/>
      <c r="U348" s="67"/>
      <c r="V348" s="67"/>
      <c r="W348" s="67"/>
      <c r="X348" s="67"/>
      <c r="Y348" s="67"/>
      <c r="Z348" s="67"/>
      <c r="AA348" s="67"/>
      <c r="AB348" s="67"/>
      <c r="AC348" s="67"/>
      <c r="AD348" s="67"/>
      <c r="AE348" s="67"/>
      <c r="AF348" s="67"/>
      <c r="AG348" s="67"/>
      <c r="AH348" s="67"/>
    </row>
    <row r="349">
      <c r="A349" s="174"/>
      <c r="B349" s="175"/>
      <c r="C349" s="175"/>
      <c r="D349" s="175"/>
      <c r="E349" s="175"/>
      <c r="F349" s="175"/>
      <c r="G349" s="175"/>
      <c r="H349" s="175"/>
      <c r="I349" s="175"/>
      <c r="J349" s="175"/>
      <c r="K349" s="175"/>
      <c r="L349" s="175"/>
      <c r="M349" s="175"/>
      <c r="N349" s="175"/>
      <c r="O349" s="175"/>
      <c r="P349" s="175"/>
      <c r="Q349" s="175"/>
      <c r="R349" s="176"/>
      <c r="S349" s="67"/>
      <c r="T349" s="67"/>
      <c r="U349" s="67"/>
      <c r="V349" s="67"/>
      <c r="W349" s="67"/>
      <c r="X349" s="67"/>
      <c r="Y349" s="67"/>
      <c r="Z349" s="67"/>
      <c r="AA349" s="67"/>
      <c r="AB349" s="67"/>
      <c r="AC349" s="67"/>
      <c r="AD349" s="67"/>
      <c r="AE349" s="67"/>
      <c r="AF349" s="67"/>
      <c r="AG349" s="67"/>
      <c r="AH349" s="67"/>
    </row>
    <row r="350">
      <c r="A350" s="171"/>
      <c r="B350" s="172"/>
      <c r="C350" s="172"/>
      <c r="D350" s="172"/>
      <c r="E350" s="172"/>
      <c r="F350" s="172"/>
      <c r="G350" s="172"/>
      <c r="H350" s="172"/>
      <c r="I350" s="172"/>
      <c r="J350" s="172"/>
      <c r="K350" s="172"/>
      <c r="L350" s="172"/>
      <c r="M350" s="172"/>
      <c r="N350" s="172"/>
      <c r="O350" s="172"/>
      <c r="P350" s="172"/>
      <c r="Q350" s="172"/>
      <c r="R350" s="173"/>
      <c r="S350" s="67"/>
      <c r="T350" s="67"/>
      <c r="U350" s="67"/>
      <c r="V350" s="67"/>
      <c r="W350" s="67"/>
      <c r="X350" s="67"/>
      <c r="Y350" s="67"/>
      <c r="Z350" s="67"/>
      <c r="AA350" s="67"/>
      <c r="AB350" s="67"/>
      <c r="AC350" s="67"/>
      <c r="AD350" s="67"/>
      <c r="AE350" s="67"/>
      <c r="AF350" s="67"/>
      <c r="AG350" s="67"/>
      <c r="AH350" s="67"/>
    </row>
    <row r="351">
      <c r="A351" s="174"/>
      <c r="B351" s="175"/>
      <c r="C351" s="175"/>
      <c r="D351" s="175"/>
      <c r="E351" s="175"/>
      <c r="F351" s="175"/>
      <c r="G351" s="175"/>
      <c r="H351" s="175"/>
      <c r="I351" s="175"/>
      <c r="J351" s="175"/>
      <c r="K351" s="175"/>
      <c r="L351" s="175"/>
      <c r="M351" s="175"/>
      <c r="N351" s="175"/>
      <c r="O351" s="175"/>
      <c r="P351" s="175"/>
      <c r="Q351" s="175"/>
      <c r="R351" s="176"/>
      <c r="S351" s="67"/>
      <c r="T351" s="67"/>
      <c r="U351" s="67"/>
      <c r="V351" s="67"/>
      <c r="W351" s="67"/>
      <c r="X351" s="67"/>
      <c r="Y351" s="67"/>
      <c r="Z351" s="67"/>
      <c r="AA351" s="67"/>
      <c r="AB351" s="67"/>
      <c r="AC351" s="67"/>
      <c r="AD351" s="67"/>
      <c r="AE351" s="67"/>
      <c r="AF351" s="67"/>
      <c r="AG351" s="67"/>
      <c r="AH351" s="67"/>
    </row>
    <row r="352">
      <c r="A352" s="171"/>
      <c r="B352" s="172"/>
      <c r="C352" s="172"/>
      <c r="D352" s="172"/>
      <c r="E352" s="172"/>
      <c r="F352" s="172"/>
      <c r="G352" s="172"/>
      <c r="H352" s="172"/>
      <c r="I352" s="172"/>
      <c r="J352" s="172"/>
      <c r="K352" s="172"/>
      <c r="L352" s="172"/>
      <c r="M352" s="172"/>
      <c r="N352" s="172"/>
      <c r="O352" s="172"/>
      <c r="P352" s="172"/>
      <c r="Q352" s="172"/>
      <c r="R352" s="173"/>
      <c r="S352" s="67"/>
      <c r="T352" s="67"/>
      <c r="U352" s="67"/>
      <c r="V352" s="67"/>
      <c r="W352" s="67"/>
      <c r="X352" s="67"/>
      <c r="Y352" s="67"/>
      <c r="Z352" s="67"/>
      <c r="AA352" s="67"/>
      <c r="AB352" s="67"/>
      <c r="AC352" s="67"/>
      <c r="AD352" s="67"/>
      <c r="AE352" s="67"/>
      <c r="AF352" s="67"/>
      <c r="AG352" s="67"/>
      <c r="AH352" s="67"/>
    </row>
    <row r="353">
      <c r="A353" s="174"/>
      <c r="B353" s="175"/>
      <c r="C353" s="175"/>
      <c r="D353" s="175"/>
      <c r="E353" s="175"/>
      <c r="F353" s="175"/>
      <c r="G353" s="175"/>
      <c r="H353" s="175"/>
      <c r="I353" s="175"/>
      <c r="J353" s="175"/>
      <c r="K353" s="175"/>
      <c r="L353" s="175"/>
      <c r="M353" s="175"/>
      <c r="N353" s="175"/>
      <c r="O353" s="175"/>
      <c r="P353" s="175"/>
      <c r="Q353" s="175"/>
      <c r="R353" s="176"/>
      <c r="S353" s="67"/>
      <c r="T353" s="67"/>
      <c r="U353" s="67"/>
      <c r="V353" s="67"/>
      <c r="W353" s="67"/>
      <c r="X353" s="67"/>
      <c r="Y353" s="67"/>
      <c r="Z353" s="67"/>
      <c r="AA353" s="67"/>
      <c r="AB353" s="67"/>
      <c r="AC353" s="67"/>
      <c r="AD353" s="67"/>
      <c r="AE353" s="67"/>
      <c r="AF353" s="67"/>
      <c r="AG353" s="67"/>
      <c r="AH353" s="67"/>
    </row>
    <row r="354">
      <c r="A354" s="171"/>
      <c r="B354" s="172"/>
      <c r="C354" s="172"/>
      <c r="D354" s="172"/>
      <c r="E354" s="172"/>
      <c r="F354" s="172"/>
      <c r="G354" s="172"/>
      <c r="H354" s="172"/>
      <c r="I354" s="172"/>
      <c r="J354" s="172"/>
      <c r="K354" s="172"/>
      <c r="L354" s="172"/>
      <c r="M354" s="172"/>
      <c r="N354" s="172"/>
      <c r="O354" s="172"/>
      <c r="P354" s="172"/>
      <c r="Q354" s="172"/>
      <c r="R354" s="173"/>
      <c r="S354" s="67"/>
      <c r="T354" s="67"/>
      <c r="U354" s="67"/>
      <c r="V354" s="67"/>
      <c r="W354" s="67"/>
      <c r="X354" s="67"/>
      <c r="Y354" s="67"/>
      <c r="Z354" s="67"/>
      <c r="AA354" s="67"/>
      <c r="AB354" s="67"/>
      <c r="AC354" s="67"/>
      <c r="AD354" s="67"/>
      <c r="AE354" s="67"/>
      <c r="AF354" s="67"/>
      <c r="AG354" s="67"/>
      <c r="AH354" s="67"/>
    </row>
    <row r="355">
      <c r="A355" s="174"/>
      <c r="B355" s="175"/>
      <c r="C355" s="175"/>
      <c r="D355" s="175"/>
      <c r="E355" s="175"/>
      <c r="F355" s="175"/>
      <c r="G355" s="175"/>
      <c r="H355" s="175"/>
      <c r="I355" s="175"/>
      <c r="J355" s="175"/>
      <c r="K355" s="175"/>
      <c r="L355" s="175"/>
      <c r="M355" s="175"/>
      <c r="N355" s="175"/>
      <c r="O355" s="175"/>
      <c r="P355" s="175"/>
      <c r="Q355" s="175"/>
      <c r="R355" s="176"/>
      <c r="S355" s="67"/>
      <c r="T355" s="67"/>
      <c r="U355" s="67"/>
      <c r="V355" s="67"/>
      <c r="W355" s="67"/>
      <c r="X355" s="67"/>
      <c r="Y355" s="67"/>
      <c r="Z355" s="67"/>
      <c r="AA355" s="67"/>
      <c r="AB355" s="67"/>
      <c r="AC355" s="67"/>
      <c r="AD355" s="67"/>
      <c r="AE355" s="67"/>
      <c r="AF355" s="67"/>
      <c r="AG355" s="67"/>
      <c r="AH355" s="67"/>
    </row>
    <row r="356">
      <c r="A356" s="171"/>
      <c r="B356" s="172"/>
      <c r="C356" s="172"/>
      <c r="D356" s="172"/>
      <c r="E356" s="172"/>
      <c r="F356" s="172"/>
      <c r="G356" s="172"/>
      <c r="H356" s="172"/>
      <c r="I356" s="172"/>
      <c r="J356" s="172"/>
      <c r="K356" s="172"/>
      <c r="L356" s="172"/>
      <c r="M356" s="172"/>
      <c r="N356" s="172"/>
      <c r="O356" s="172"/>
      <c r="P356" s="172"/>
      <c r="Q356" s="172"/>
      <c r="R356" s="173"/>
      <c r="S356" s="67"/>
      <c r="T356" s="67"/>
      <c r="U356" s="67"/>
      <c r="V356" s="67"/>
      <c r="W356" s="67"/>
      <c r="X356" s="67"/>
      <c r="Y356" s="67"/>
      <c r="Z356" s="67"/>
      <c r="AA356" s="67"/>
      <c r="AB356" s="67"/>
      <c r="AC356" s="67"/>
      <c r="AD356" s="67"/>
      <c r="AE356" s="67"/>
      <c r="AF356" s="67"/>
      <c r="AG356" s="67"/>
      <c r="AH356" s="67"/>
    </row>
    <row r="357">
      <c r="A357" s="174"/>
      <c r="B357" s="175"/>
      <c r="C357" s="175"/>
      <c r="D357" s="175"/>
      <c r="E357" s="175"/>
      <c r="F357" s="175"/>
      <c r="G357" s="175"/>
      <c r="H357" s="175"/>
      <c r="I357" s="175"/>
      <c r="J357" s="175"/>
      <c r="K357" s="175"/>
      <c r="L357" s="175"/>
      <c r="M357" s="175"/>
      <c r="N357" s="175"/>
      <c r="O357" s="175"/>
      <c r="P357" s="175"/>
      <c r="Q357" s="175"/>
      <c r="R357" s="176"/>
      <c r="S357" s="67"/>
      <c r="T357" s="67"/>
      <c r="U357" s="67"/>
      <c r="V357" s="67"/>
      <c r="W357" s="67"/>
      <c r="X357" s="67"/>
      <c r="Y357" s="67"/>
      <c r="Z357" s="67"/>
      <c r="AA357" s="67"/>
      <c r="AB357" s="67"/>
      <c r="AC357" s="67"/>
      <c r="AD357" s="67"/>
      <c r="AE357" s="67"/>
      <c r="AF357" s="67"/>
      <c r="AG357" s="67"/>
      <c r="AH357" s="67"/>
    </row>
    <row r="358">
      <c r="A358" s="171"/>
      <c r="B358" s="172"/>
      <c r="C358" s="172"/>
      <c r="D358" s="172"/>
      <c r="E358" s="172"/>
      <c r="F358" s="172"/>
      <c r="G358" s="172"/>
      <c r="H358" s="172"/>
      <c r="I358" s="172"/>
      <c r="J358" s="172"/>
      <c r="K358" s="172"/>
      <c r="L358" s="172"/>
      <c r="M358" s="172"/>
      <c r="N358" s="172"/>
      <c r="O358" s="172"/>
      <c r="P358" s="172"/>
      <c r="Q358" s="172"/>
      <c r="R358" s="173"/>
      <c r="S358" s="67"/>
      <c r="T358" s="67"/>
      <c r="U358" s="67"/>
      <c r="V358" s="67"/>
      <c r="W358" s="67"/>
      <c r="X358" s="67"/>
      <c r="Y358" s="67"/>
      <c r="Z358" s="67"/>
      <c r="AA358" s="67"/>
      <c r="AB358" s="67"/>
      <c r="AC358" s="67"/>
      <c r="AD358" s="67"/>
      <c r="AE358" s="67"/>
      <c r="AF358" s="67"/>
      <c r="AG358" s="67"/>
      <c r="AH358" s="67"/>
    </row>
    <row r="359">
      <c r="A359" s="174"/>
      <c r="B359" s="175"/>
      <c r="C359" s="175"/>
      <c r="D359" s="175"/>
      <c r="E359" s="175"/>
      <c r="F359" s="175"/>
      <c r="G359" s="175"/>
      <c r="H359" s="175"/>
      <c r="I359" s="175"/>
      <c r="J359" s="175"/>
      <c r="K359" s="175"/>
      <c r="L359" s="175"/>
      <c r="M359" s="175"/>
      <c r="N359" s="175"/>
      <c r="O359" s="175"/>
      <c r="P359" s="175"/>
      <c r="Q359" s="175"/>
      <c r="R359" s="176"/>
      <c r="S359" s="67"/>
      <c r="T359" s="67"/>
      <c r="U359" s="67"/>
      <c r="V359" s="67"/>
      <c r="W359" s="67"/>
      <c r="X359" s="67"/>
      <c r="Y359" s="67"/>
      <c r="Z359" s="67"/>
      <c r="AA359" s="67"/>
      <c r="AB359" s="67"/>
      <c r="AC359" s="67"/>
      <c r="AD359" s="67"/>
      <c r="AE359" s="67"/>
      <c r="AF359" s="67"/>
      <c r="AG359" s="67"/>
      <c r="AH359" s="67"/>
    </row>
    <row r="360">
      <c r="A360" s="171"/>
      <c r="B360" s="172"/>
      <c r="C360" s="172"/>
      <c r="D360" s="172"/>
      <c r="E360" s="172"/>
      <c r="F360" s="172"/>
      <c r="G360" s="172"/>
      <c r="H360" s="172"/>
      <c r="I360" s="172"/>
      <c r="J360" s="172"/>
      <c r="K360" s="172"/>
      <c r="L360" s="172"/>
      <c r="M360" s="172"/>
      <c r="N360" s="172"/>
      <c r="O360" s="172"/>
      <c r="P360" s="172"/>
      <c r="Q360" s="172"/>
      <c r="R360" s="173"/>
      <c r="S360" s="67"/>
      <c r="T360" s="67"/>
      <c r="U360" s="67"/>
      <c r="V360" s="67"/>
      <c r="W360" s="67"/>
      <c r="X360" s="67"/>
      <c r="Y360" s="67"/>
      <c r="Z360" s="67"/>
      <c r="AA360" s="67"/>
      <c r="AB360" s="67"/>
      <c r="AC360" s="67"/>
      <c r="AD360" s="67"/>
      <c r="AE360" s="67"/>
      <c r="AF360" s="67"/>
      <c r="AG360" s="67"/>
      <c r="AH360" s="67"/>
    </row>
    <row r="361">
      <c r="A361" s="174"/>
      <c r="B361" s="175"/>
      <c r="C361" s="175"/>
      <c r="D361" s="175"/>
      <c r="E361" s="175"/>
      <c r="F361" s="175"/>
      <c r="G361" s="175"/>
      <c r="H361" s="175"/>
      <c r="I361" s="175"/>
      <c r="J361" s="175"/>
      <c r="K361" s="175"/>
      <c r="L361" s="175"/>
      <c r="M361" s="175"/>
      <c r="N361" s="175"/>
      <c r="O361" s="175"/>
      <c r="P361" s="175"/>
      <c r="Q361" s="175"/>
      <c r="R361" s="176"/>
      <c r="S361" s="67"/>
      <c r="T361" s="67"/>
      <c r="U361" s="67"/>
      <c r="V361" s="67"/>
      <c r="W361" s="67"/>
      <c r="X361" s="67"/>
      <c r="Y361" s="67"/>
      <c r="Z361" s="67"/>
      <c r="AA361" s="67"/>
      <c r="AB361" s="67"/>
      <c r="AC361" s="67"/>
      <c r="AD361" s="67"/>
      <c r="AE361" s="67"/>
      <c r="AF361" s="67"/>
      <c r="AG361" s="67"/>
      <c r="AH361" s="67"/>
    </row>
    <row r="362">
      <c r="A362" s="171"/>
      <c r="B362" s="172"/>
      <c r="C362" s="172"/>
      <c r="D362" s="172"/>
      <c r="E362" s="172"/>
      <c r="F362" s="172"/>
      <c r="G362" s="172"/>
      <c r="H362" s="172"/>
      <c r="I362" s="172"/>
      <c r="J362" s="172"/>
      <c r="K362" s="172"/>
      <c r="L362" s="172"/>
      <c r="M362" s="172"/>
      <c r="N362" s="172"/>
      <c r="O362" s="172"/>
      <c r="P362" s="172"/>
      <c r="Q362" s="172"/>
      <c r="R362" s="173"/>
      <c r="S362" s="67"/>
      <c r="T362" s="67"/>
      <c r="U362" s="67"/>
      <c r="V362" s="67"/>
      <c r="W362" s="67"/>
      <c r="X362" s="67"/>
      <c r="Y362" s="67"/>
      <c r="Z362" s="67"/>
      <c r="AA362" s="67"/>
      <c r="AB362" s="67"/>
      <c r="AC362" s="67"/>
      <c r="AD362" s="67"/>
      <c r="AE362" s="67"/>
      <c r="AF362" s="67"/>
      <c r="AG362" s="67"/>
      <c r="AH362" s="67"/>
    </row>
    <row r="363">
      <c r="A363" s="174"/>
      <c r="B363" s="175"/>
      <c r="C363" s="175"/>
      <c r="D363" s="175"/>
      <c r="E363" s="175"/>
      <c r="F363" s="175"/>
      <c r="G363" s="175"/>
      <c r="H363" s="175"/>
      <c r="I363" s="175"/>
      <c r="J363" s="175"/>
      <c r="K363" s="175"/>
      <c r="L363" s="175"/>
      <c r="M363" s="175"/>
      <c r="N363" s="175"/>
      <c r="O363" s="175"/>
      <c r="P363" s="175"/>
      <c r="Q363" s="175"/>
      <c r="R363" s="176"/>
      <c r="S363" s="67"/>
      <c r="T363" s="67"/>
      <c r="U363" s="67"/>
      <c r="V363" s="67"/>
      <c r="W363" s="67"/>
      <c r="X363" s="67"/>
      <c r="Y363" s="67"/>
      <c r="Z363" s="67"/>
      <c r="AA363" s="67"/>
      <c r="AB363" s="67"/>
      <c r="AC363" s="67"/>
      <c r="AD363" s="67"/>
      <c r="AE363" s="67"/>
      <c r="AF363" s="67"/>
      <c r="AG363" s="67"/>
      <c r="AH363" s="67"/>
    </row>
    <row r="364">
      <c r="A364" s="171"/>
      <c r="B364" s="172"/>
      <c r="C364" s="172"/>
      <c r="D364" s="172"/>
      <c r="E364" s="172"/>
      <c r="F364" s="172"/>
      <c r="G364" s="172"/>
      <c r="H364" s="172"/>
      <c r="I364" s="172"/>
      <c r="J364" s="172"/>
      <c r="K364" s="172"/>
      <c r="L364" s="172"/>
      <c r="M364" s="172"/>
      <c r="N364" s="172"/>
      <c r="O364" s="172"/>
      <c r="P364" s="172"/>
      <c r="Q364" s="172"/>
      <c r="R364" s="173"/>
      <c r="S364" s="67"/>
      <c r="T364" s="67"/>
      <c r="U364" s="67"/>
      <c r="V364" s="67"/>
      <c r="W364" s="67"/>
      <c r="X364" s="67"/>
      <c r="Y364" s="67"/>
      <c r="Z364" s="67"/>
      <c r="AA364" s="67"/>
      <c r="AB364" s="67"/>
      <c r="AC364" s="67"/>
      <c r="AD364" s="67"/>
      <c r="AE364" s="67"/>
      <c r="AF364" s="67"/>
      <c r="AG364" s="67"/>
      <c r="AH364" s="67"/>
    </row>
    <row r="365">
      <c r="A365" s="174"/>
      <c r="B365" s="175"/>
      <c r="C365" s="175"/>
      <c r="D365" s="175"/>
      <c r="E365" s="175"/>
      <c r="F365" s="175"/>
      <c r="G365" s="175"/>
      <c r="H365" s="175"/>
      <c r="I365" s="175"/>
      <c r="J365" s="175"/>
      <c r="K365" s="175"/>
      <c r="L365" s="175"/>
      <c r="M365" s="175"/>
      <c r="N365" s="175"/>
      <c r="O365" s="175"/>
      <c r="P365" s="175"/>
      <c r="Q365" s="175"/>
      <c r="R365" s="176"/>
      <c r="S365" s="67"/>
      <c r="T365" s="67"/>
      <c r="U365" s="67"/>
      <c r="V365" s="67"/>
      <c r="W365" s="67"/>
      <c r="X365" s="67"/>
      <c r="Y365" s="67"/>
      <c r="Z365" s="67"/>
      <c r="AA365" s="67"/>
      <c r="AB365" s="67"/>
      <c r="AC365" s="67"/>
      <c r="AD365" s="67"/>
      <c r="AE365" s="67"/>
      <c r="AF365" s="67"/>
      <c r="AG365" s="67"/>
      <c r="AH365" s="67"/>
    </row>
    <row r="366">
      <c r="A366" s="171"/>
      <c r="B366" s="172"/>
      <c r="C366" s="172"/>
      <c r="D366" s="172"/>
      <c r="E366" s="172"/>
      <c r="F366" s="172"/>
      <c r="G366" s="172"/>
      <c r="H366" s="172"/>
      <c r="I366" s="172"/>
      <c r="J366" s="172"/>
      <c r="K366" s="172"/>
      <c r="L366" s="172"/>
      <c r="M366" s="172"/>
      <c r="N366" s="172"/>
      <c r="O366" s="172"/>
      <c r="P366" s="172"/>
      <c r="Q366" s="172"/>
      <c r="R366" s="173"/>
      <c r="S366" s="67"/>
      <c r="T366" s="67"/>
      <c r="U366" s="67"/>
      <c r="V366" s="67"/>
      <c r="W366" s="67"/>
      <c r="X366" s="67"/>
      <c r="Y366" s="67"/>
      <c r="Z366" s="67"/>
      <c r="AA366" s="67"/>
      <c r="AB366" s="67"/>
      <c r="AC366" s="67"/>
      <c r="AD366" s="67"/>
      <c r="AE366" s="67"/>
      <c r="AF366" s="67"/>
      <c r="AG366" s="67"/>
      <c r="AH366" s="67"/>
    </row>
    <row r="367">
      <c r="A367" s="174"/>
      <c r="B367" s="175"/>
      <c r="C367" s="175"/>
      <c r="D367" s="175"/>
      <c r="E367" s="175"/>
      <c r="F367" s="175"/>
      <c r="G367" s="175"/>
      <c r="H367" s="175"/>
      <c r="I367" s="175"/>
      <c r="J367" s="175"/>
      <c r="K367" s="175"/>
      <c r="L367" s="175"/>
      <c r="M367" s="175"/>
      <c r="N367" s="175"/>
      <c r="O367" s="175"/>
      <c r="P367" s="175"/>
      <c r="Q367" s="175"/>
      <c r="R367" s="176"/>
      <c r="S367" s="67"/>
      <c r="T367" s="67"/>
      <c r="U367" s="67"/>
      <c r="V367" s="67"/>
      <c r="W367" s="67"/>
      <c r="X367" s="67"/>
      <c r="Y367" s="67"/>
      <c r="Z367" s="67"/>
      <c r="AA367" s="67"/>
      <c r="AB367" s="67"/>
      <c r="AC367" s="67"/>
      <c r="AD367" s="67"/>
      <c r="AE367" s="67"/>
      <c r="AF367" s="67"/>
      <c r="AG367" s="67"/>
      <c r="AH367" s="67"/>
    </row>
    <row r="368">
      <c r="A368" s="171"/>
      <c r="B368" s="172"/>
      <c r="C368" s="172"/>
      <c r="D368" s="172"/>
      <c r="E368" s="172"/>
      <c r="F368" s="172"/>
      <c r="G368" s="172"/>
      <c r="H368" s="172"/>
      <c r="I368" s="172"/>
      <c r="J368" s="172"/>
      <c r="K368" s="172"/>
      <c r="L368" s="172"/>
      <c r="M368" s="172"/>
      <c r="N368" s="172"/>
      <c r="O368" s="172"/>
      <c r="P368" s="172"/>
      <c r="Q368" s="172"/>
      <c r="R368" s="173"/>
      <c r="S368" s="67"/>
      <c r="T368" s="67"/>
      <c r="U368" s="67"/>
      <c r="V368" s="67"/>
      <c r="W368" s="67"/>
      <c r="X368" s="67"/>
      <c r="Y368" s="67"/>
      <c r="Z368" s="67"/>
      <c r="AA368" s="67"/>
      <c r="AB368" s="67"/>
      <c r="AC368" s="67"/>
      <c r="AD368" s="67"/>
      <c r="AE368" s="67"/>
      <c r="AF368" s="67"/>
      <c r="AG368" s="67"/>
      <c r="AH368" s="67"/>
    </row>
    <row r="369">
      <c r="A369" s="174"/>
      <c r="B369" s="175"/>
      <c r="C369" s="175"/>
      <c r="D369" s="175"/>
      <c r="E369" s="175"/>
      <c r="F369" s="175"/>
      <c r="G369" s="175"/>
      <c r="H369" s="175"/>
      <c r="I369" s="175"/>
      <c r="J369" s="175"/>
      <c r="K369" s="175"/>
      <c r="L369" s="175"/>
      <c r="M369" s="175"/>
      <c r="N369" s="175"/>
      <c r="O369" s="175"/>
      <c r="P369" s="175"/>
      <c r="Q369" s="175"/>
      <c r="R369" s="176"/>
      <c r="S369" s="67"/>
      <c r="T369" s="67"/>
      <c r="U369" s="67"/>
      <c r="V369" s="67"/>
      <c r="W369" s="67"/>
      <c r="X369" s="67"/>
      <c r="Y369" s="67"/>
      <c r="Z369" s="67"/>
      <c r="AA369" s="67"/>
      <c r="AB369" s="67"/>
      <c r="AC369" s="67"/>
      <c r="AD369" s="67"/>
      <c r="AE369" s="67"/>
      <c r="AF369" s="67"/>
      <c r="AG369" s="67"/>
      <c r="AH369" s="67"/>
    </row>
    <row r="370">
      <c r="A370" s="171"/>
      <c r="B370" s="172"/>
      <c r="C370" s="172"/>
      <c r="D370" s="172"/>
      <c r="E370" s="172"/>
      <c r="F370" s="172"/>
      <c r="G370" s="172"/>
      <c r="H370" s="172"/>
      <c r="I370" s="172"/>
      <c r="J370" s="172"/>
      <c r="K370" s="172"/>
      <c r="L370" s="172"/>
      <c r="M370" s="172"/>
      <c r="N370" s="172"/>
      <c r="O370" s="172"/>
      <c r="P370" s="172"/>
      <c r="Q370" s="172"/>
      <c r="R370" s="173"/>
      <c r="S370" s="67"/>
      <c r="T370" s="67"/>
      <c r="U370" s="67"/>
      <c r="V370" s="67"/>
      <c r="W370" s="67"/>
      <c r="X370" s="67"/>
      <c r="Y370" s="67"/>
      <c r="Z370" s="67"/>
      <c r="AA370" s="67"/>
      <c r="AB370" s="67"/>
      <c r="AC370" s="67"/>
      <c r="AD370" s="67"/>
      <c r="AE370" s="67"/>
      <c r="AF370" s="67"/>
      <c r="AG370" s="67"/>
      <c r="AH370" s="67"/>
    </row>
    <row r="371">
      <c r="A371" s="174"/>
      <c r="B371" s="175"/>
      <c r="C371" s="175"/>
      <c r="D371" s="175"/>
      <c r="E371" s="175"/>
      <c r="F371" s="175"/>
      <c r="G371" s="175"/>
      <c r="H371" s="175"/>
      <c r="I371" s="175"/>
      <c r="J371" s="175"/>
      <c r="K371" s="175"/>
      <c r="L371" s="175"/>
      <c r="M371" s="175"/>
      <c r="N371" s="175"/>
      <c r="O371" s="175"/>
      <c r="P371" s="175"/>
      <c r="Q371" s="175"/>
      <c r="R371" s="176"/>
      <c r="S371" s="67"/>
      <c r="T371" s="67"/>
      <c r="U371" s="67"/>
      <c r="V371" s="67"/>
      <c r="W371" s="67"/>
      <c r="X371" s="67"/>
      <c r="Y371" s="67"/>
      <c r="Z371" s="67"/>
      <c r="AA371" s="67"/>
      <c r="AB371" s="67"/>
      <c r="AC371" s="67"/>
      <c r="AD371" s="67"/>
      <c r="AE371" s="67"/>
      <c r="AF371" s="67"/>
      <c r="AG371" s="67"/>
      <c r="AH371" s="67"/>
    </row>
    <row r="372">
      <c r="A372" s="171"/>
      <c r="B372" s="172"/>
      <c r="C372" s="172"/>
      <c r="D372" s="172"/>
      <c r="E372" s="172"/>
      <c r="F372" s="172"/>
      <c r="G372" s="172"/>
      <c r="H372" s="172"/>
      <c r="I372" s="172"/>
      <c r="J372" s="172"/>
      <c r="K372" s="172"/>
      <c r="L372" s="172"/>
      <c r="M372" s="172"/>
      <c r="N372" s="172"/>
      <c r="O372" s="172"/>
      <c r="P372" s="172"/>
      <c r="Q372" s="172"/>
      <c r="R372" s="173"/>
      <c r="S372" s="67"/>
      <c r="T372" s="67"/>
      <c r="U372" s="67"/>
      <c r="V372" s="67"/>
      <c r="W372" s="67"/>
      <c r="X372" s="67"/>
      <c r="Y372" s="67"/>
      <c r="Z372" s="67"/>
      <c r="AA372" s="67"/>
      <c r="AB372" s="67"/>
      <c r="AC372" s="67"/>
      <c r="AD372" s="67"/>
      <c r="AE372" s="67"/>
      <c r="AF372" s="67"/>
      <c r="AG372" s="67"/>
      <c r="AH372" s="67"/>
    </row>
    <row r="373">
      <c r="A373" s="174"/>
      <c r="B373" s="175"/>
      <c r="C373" s="175"/>
      <c r="D373" s="175"/>
      <c r="E373" s="175"/>
      <c r="F373" s="175"/>
      <c r="G373" s="175"/>
      <c r="H373" s="175"/>
      <c r="I373" s="175"/>
      <c r="J373" s="175"/>
      <c r="K373" s="175"/>
      <c r="L373" s="175"/>
      <c r="M373" s="175"/>
      <c r="N373" s="175"/>
      <c r="O373" s="175"/>
      <c r="P373" s="175"/>
      <c r="Q373" s="175"/>
      <c r="R373" s="176"/>
      <c r="S373" s="67"/>
      <c r="T373" s="67"/>
      <c r="U373" s="67"/>
      <c r="V373" s="67"/>
      <c r="W373" s="67"/>
      <c r="X373" s="67"/>
      <c r="Y373" s="67"/>
      <c r="Z373" s="67"/>
      <c r="AA373" s="67"/>
      <c r="AB373" s="67"/>
      <c r="AC373" s="67"/>
      <c r="AD373" s="67"/>
      <c r="AE373" s="67"/>
      <c r="AF373" s="67"/>
      <c r="AG373" s="67"/>
      <c r="AH373" s="67"/>
    </row>
    <row r="374">
      <c r="A374" s="171"/>
      <c r="B374" s="172"/>
      <c r="C374" s="172"/>
      <c r="D374" s="172"/>
      <c r="E374" s="172"/>
      <c r="F374" s="172"/>
      <c r="G374" s="172"/>
      <c r="H374" s="172"/>
      <c r="I374" s="172"/>
      <c r="J374" s="172"/>
      <c r="K374" s="172"/>
      <c r="L374" s="172"/>
      <c r="M374" s="172"/>
      <c r="N374" s="172"/>
      <c r="O374" s="172"/>
      <c r="P374" s="172"/>
      <c r="Q374" s="172"/>
      <c r="R374" s="173"/>
      <c r="S374" s="67"/>
      <c r="T374" s="67"/>
      <c r="U374" s="67"/>
      <c r="V374" s="67"/>
      <c r="W374" s="67"/>
      <c r="X374" s="67"/>
      <c r="Y374" s="67"/>
      <c r="Z374" s="67"/>
      <c r="AA374" s="67"/>
      <c r="AB374" s="67"/>
      <c r="AC374" s="67"/>
      <c r="AD374" s="67"/>
      <c r="AE374" s="67"/>
      <c r="AF374" s="67"/>
      <c r="AG374" s="67"/>
      <c r="AH374" s="67"/>
    </row>
    <row r="375">
      <c r="A375" s="174"/>
      <c r="B375" s="175"/>
      <c r="C375" s="175"/>
      <c r="D375" s="175"/>
      <c r="E375" s="175"/>
      <c r="F375" s="175"/>
      <c r="G375" s="175"/>
      <c r="H375" s="175"/>
      <c r="I375" s="175"/>
      <c r="J375" s="175"/>
      <c r="K375" s="175"/>
      <c r="L375" s="175"/>
      <c r="M375" s="175"/>
      <c r="N375" s="175"/>
      <c r="O375" s="175"/>
      <c r="P375" s="175"/>
      <c r="Q375" s="175"/>
      <c r="R375" s="176"/>
      <c r="S375" s="67"/>
      <c r="T375" s="67"/>
      <c r="U375" s="67"/>
      <c r="V375" s="67"/>
      <c r="W375" s="67"/>
      <c r="X375" s="67"/>
      <c r="Y375" s="67"/>
      <c r="Z375" s="67"/>
      <c r="AA375" s="67"/>
      <c r="AB375" s="67"/>
      <c r="AC375" s="67"/>
      <c r="AD375" s="67"/>
      <c r="AE375" s="67"/>
      <c r="AF375" s="67"/>
      <c r="AG375" s="67"/>
      <c r="AH375" s="67"/>
    </row>
    <row r="376">
      <c r="A376" s="171"/>
      <c r="B376" s="172"/>
      <c r="C376" s="172"/>
      <c r="D376" s="172"/>
      <c r="E376" s="172"/>
      <c r="F376" s="172"/>
      <c r="G376" s="172"/>
      <c r="H376" s="172"/>
      <c r="I376" s="172"/>
      <c r="J376" s="172"/>
      <c r="K376" s="172"/>
      <c r="L376" s="172"/>
      <c r="M376" s="172"/>
      <c r="N376" s="172"/>
      <c r="O376" s="172"/>
      <c r="P376" s="172"/>
      <c r="Q376" s="172"/>
      <c r="R376" s="173"/>
      <c r="S376" s="67"/>
      <c r="T376" s="67"/>
      <c r="U376" s="67"/>
      <c r="V376" s="67"/>
      <c r="W376" s="67"/>
      <c r="X376" s="67"/>
      <c r="Y376" s="67"/>
      <c r="Z376" s="67"/>
      <c r="AA376" s="67"/>
      <c r="AB376" s="67"/>
      <c r="AC376" s="67"/>
      <c r="AD376" s="67"/>
      <c r="AE376" s="67"/>
      <c r="AF376" s="67"/>
      <c r="AG376" s="67"/>
      <c r="AH376" s="67"/>
    </row>
    <row r="377">
      <c r="A377" s="174"/>
      <c r="B377" s="175"/>
      <c r="C377" s="175"/>
      <c r="D377" s="175"/>
      <c r="E377" s="175"/>
      <c r="F377" s="175"/>
      <c r="G377" s="175"/>
      <c r="H377" s="175"/>
      <c r="I377" s="175"/>
      <c r="J377" s="175"/>
      <c r="K377" s="175"/>
      <c r="L377" s="175"/>
      <c r="M377" s="175"/>
      <c r="N377" s="175"/>
      <c r="O377" s="175"/>
      <c r="P377" s="175"/>
      <c r="Q377" s="175"/>
      <c r="R377" s="176"/>
      <c r="S377" s="67"/>
      <c r="T377" s="67"/>
      <c r="U377" s="67"/>
      <c r="V377" s="67"/>
      <c r="W377" s="67"/>
      <c r="X377" s="67"/>
      <c r="Y377" s="67"/>
      <c r="Z377" s="67"/>
      <c r="AA377" s="67"/>
      <c r="AB377" s="67"/>
      <c r="AC377" s="67"/>
      <c r="AD377" s="67"/>
      <c r="AE377" s="67"/>
      <c r="AF377" s="67"/>
      <c r="AG377" s="67"/>
      <c r="AH377" s="67"/>
    </row>
    <row r="378">
      <c r="A378" s="171"/>
      <c r="B378" s="172"/>
      <c r="C378" s="172"/>
      <c r="D378" s="172"/>
      <c r="E378" s="172"/>
      <c r="F378" s="172"/>
      <c r="G378" s="172"/>
      <c r="H378" s="172"/>
      <c r="I378" s="172"/>
      <c r="J378" s="172"/>
      <c r="K378" s="172"/>
      <c r="L378" s="172"/>
      <c r="M378" s="172"/>
      <c r="N378" s="172"/>
      <c r="O378" s="172"/>
      <c r="P378" s="172"/>
      <c r="Q378" s="172"/>
      <c r="R378" s="173"/>
      <c r="S378" s="67"/>
      <c r="T378" s="67"/>
      <c r="U378" s="67"/>
      <c r="V378" s="67"/>
      <c r="W378" s="67"/>
      <c r="X378" s="67"/>
      <c r="Y378" s="67"/>
      <c r="Z378" s="67"/>
      <c r="AA378" s="67"/>
      <c r="AB378" s="67"/>
      <c r="AC378" s="67"/>
      <c r="AD378" s="67"/>
      <c r="AE378" s="67"/>
      <c r="AF378" s="67"/>
      <c r="AG378" s="67"/>
      <c r="AH378" s="67"/>
    </row>
    <row r="379">
      <c r="A379" s="174"/>
      <c r="B379" s="175"/>
      <c r="C379" s="175"/>
      <c r="D379" s="175"/>
      <c r="E379" s="175"/>
      <c r="F379" s="175"/>
      <c r="G379" s="175"/>
      <c r="H379" s="175"/>
      <c r="I379" s="175"/>
      <c r="J379" s="175"/>
      <c r="K379" s="175"/>
      <c r="L379" s="175"/>
      <c r="M379" s="175"/>
      <c r="N379" s="175"/>
      <c r="O379" s="175"/>
      <c r="P379" s="175"/>
      <c r="Q379" s="175"/>
      <c r="R379" s="176"/>
      <c r="S379" s="67"/>
      <c r="T379" s="67"/>
      <c r="U379" s="67"/>
      <c r="V379" s="67"/>
      <c r="W379" s="67"/>
      <c r="X379" s="67"/>
      <c r="Y379" s="67"/>
      <c r="Z379" s="67"/>
      <c r="AA379" s="67"/>
      <c r="AB379" s="67"/>
      <c r="AC379" s="67"/>
      <c r="AD379" s="67"/>
      <c r="AE379" s="67"/>
      <c r="AF379" s="67"/>
      <c r="AG379" s="67"/>
      <c r="AH379" s="67"/>
    </row>
    <row r="380">
      <c r="A380" s="171"/>
      <c r="B380" s="172"/>
      <c r="C380" s="172"/>
      <c r="D380" s="172"/>
      <c r="E380" s="172"/>
      <c r="F380" s="172"/>
      <c r="G380" s="172"/>
      <c r="H380" s="172"/>
      <c r="I380" s="172"/>
      <c r="J380" s="172"/>
      <c r="K380" s="172"/>
      <c r="L380" s="172"/>
      <c r="M380" s="172"/>
      <c r="N380" s="172"/>
      <c r="O380" s="172"/>
      <c r="P380" s="172"/>
      <c r="Q380" s="172"/>
      <c r="R380" s="173"/>
      <c r="S380" s="67"/>
      <c r="T380" s="67"/>
      <c r="U380" s="67"/>
      <c r="V380" s="67"/>
      <c r="W380" s="67"/>
      <c r="X380" s="67"/>
      <c r="Y380" s="67"/>
      <c r="Z380" s="67"/>
      <c r="AA380" s="67"/>
      <c r="AB380" s="67"/>
      <c r="AC380" s="67"/>
      <c r="AD380" s="67"/>
      <c r="AE380" s="67"/>
      <c r="AF380" s="67"/>
      <c r="AG380" s="67"/>
      <c r="AH380" s="67"/>
    </row>
    <row r="381">
      <c r="A381" s="174"/>
      <c r="B381" s="175"/>
      <c r="C381" s="175"/>
      <c r="D381" s="175"/>
      <c r="E381" s="175"/>
      <c r="F381" s="175"/>
      <c r="G381" s="175"/>
      <c r="H381" s="175"/>
      <c r="I381" s="175"/>
      <c r="J381" s="175"/>
      <c r="K381" s="175"/>
      <c r="L381" s="175"/>
      <c r="M381" s="175"/>
      <c r="N381" s="175"/>
      <c r="O381" s="175"/>
      <c r="P381" s="175"/>
      <c r="Q381" s="175"/>
      <c r="R381" s="176"/>
      <c r="S381" s="67"/>
      <c r="T381" s="67"/>
      <c r="U381" s="67"/>
      <c r="V381" s="67"/>
      <c r="W381" s="67"/>
      <c r="X381" s="67"/>
      <c r="Y381" s="67"/>
      <c r="Z381" s="67"/>
      <c r="AA381" s="67"/>
      <c r="AB381" s="67"/>
      <c r="AC381" s="67"/>
      <c r="AD381" s="67"/>
      <c r="AE381" s="67"/>
      <c r="AF381" s="67"/>
      <c r="AG381" s="67"/>
      <c r="AH381" s="67"/>
    </row>
    <row r="382">
      <c r="A382" s="171"/>
      <c r="B382" s="172"/>
      <c r="C382" s="172"/>
      <c r="D382" s="172"/>
      <c r="E382" s="172"/>
      <c r="F382" s="172"/>
      <c r="G382" s="172"/>
      <c r="H382" s="172"/>
      <c r="I382" s="172"/>
      <c r="J382" s="172"/>
      <c r="K382" s="172"/>
      <c r="L382" s="172"/>
      <c r="M382" s="172"/>
      <c r="N382" s="172"/>
      <c r="O382" s="172"/>
      <c r="P382" s="172"/>
      <c r="Q382" s="172"/>
      <c r="R382" s="173"/>
      <c r="S382" s="67"/>
      <c r="T382" s="67"/>
      <c r="U382" s="67"/>
      <c r="V382" s="67"/>
      <c r="W382" s="67"/>
      <c r="X382" s="67"/>
      <c r="Y382" s="67"/>
      <c r="Z382" s="67"/>
      <c r="AA382" s="67"/>
      <c r="AB382" s="67"/>
      <c r="AC382" s="67"/>
      <c r="AD382" s="67"/>
      <c r="AE382" s="67"/>
      <c r="AF382" s="67"/>
      <c r="AG382" s="67"/>
      <c r="AH382" s="67"/>
    </row>
    <row r="383">
      <c r="A383" s="174"/>
      <c r="B383" s="175"/>
      <c r="C383" s="175"/>
      <c r="D383" s="175"/>
      <c r="E383" s="175"/>
      <c r="F383" s="175"/>
      <c r="G383" s="175"/>
      <c r="H383" s="175"/>
      <c r="I383" s="175"/>
      <c r="J383" s="175"/>
      <c r="K383" s="175"/>
      <c r="L383" s="175"/>
      <c r="M383" s="175"/>
      <c r="N383" s="175"/>
      <c r="O383" s="175"/>
      <c r="P383" s="175"/>
      <c r="Q383" s="175"/>
      <c r="R383" s="176"/>
      <c r="S383" s="67"/>
      <c r="T383" s="67"/>
      <c r="U383" s="67"/>
      <c r="V383" s="67"/>
      <c r="W383" s="67"/>
      <c r="X383" s="67"/>
      <c r="Y383" s="67"/>
      <c r="Z383" s="67"/>
      <c r="AA383" s="67"/>
      <c r="AB383" s="67"/>
      <c r="AC383" s="67"/>
      <c r="AD383" s="67"/>
      <c r="AE383" s="67"/>
      <c r="AF383" s="67"/>
      <c r="AG383" s="67"/>
      <c r="AH383" s="67"/>
    </row>
    <row r="384">
      <c r="A384" s="171"/>
      <c r="B384" s="172"/>
      <c r="C384" s="172"/>
      <c r="D384" s="172"/>
      <c r="E384" s="172"/>
      <c r="F384" s="172"/>
      <c r="G384" s="172"/>
      <c r="H384" s="172"/>
      <c r="I384" s="172"/>
      <c r="J384" s="172"/>
      <c r="K384" s="172"/>
      <c r="L384" s="172"/>
      <c r="M384" s="172"/>
      <c r="N384" s="172"/>
      <c r="O384" s="172"/>
      <c r="P384" s="172"/>
      <c r="Q384" s="172"/>
      <c r="R384" s="173"/>
      <c r="S384" s="67"/>
      <c r="T384" s="67"/>
      <c r="U384" s="67"/>
      <c r="V384" s="67"/>
      <c r="W384" s="67"/>
      <c r="X384" s="67"/>
      <c r="Y384" s="67"/>
      <c r="Z384" s="67"/>
      <c r="AA384" s="67"/>
      <c r="AB384" s="67"/>
      <c r="AC384" s="67"/>
      <c r="AD384" s="67"/>
      <c r="AE384" s="67"/>
      <c r="AF384" s="67"/>
      <c r="AG384" s="67"/>
      <c r="AH384" s="67"/>
    </row>
    <row r="385">
      <c r="A385" s="174"/>
      <c r="B385" s="175"/>
      <c r="C385" s="175"/>
      <c r="D385" s="175"/>
      <c r="E385" s="175"/>
      <c r="F385" s="175"/>
      <c r="G385" s="175"/>
      <c r="H385" s="175"/>
      <c r="I385" s="175"/>
      <c r="J385" s="175"/>
      <c r="K385" s="175"/>
      <c r="L385" s="175"/>
      <c r="M385" s="175"/>
      <c r="N385" s="175"/>
      <c r="O385" s="175"/>
      <c r="P385" s="175"/>
      <c r="Q385" s="175"/>
      <c r="R385" s="176"/>
      <c r="S385" s="67"/>
      <c r="T385" s="67"/>
      <c r="U385" s="67"/>
      <c r="V385" s="67"/>
      <c r="W385" s="67"/>
      <c r="X385" s="67"/>
      <c r="Y385" s="67"/>
      <c r="Z385" s="67"/>
      <c r="AA385" s="67"/>
      <c r="AB385" s="67"/>
      <c r="AC385" s="67"/>
      <c r="AD385" s="67"/>
      <c r="AE385" s="67"/>
      <c r="AF385" s="67"/>
      <c r="AG385" s="67"/>
      <c r="AH385" s="67"/>
    </row>
    <row r="386">
      <c r="A386" s="171"/>
      <c r="B386" s="172"/>
      <c r="C386" s="172"/>
      <c r="D386" s="172"/>
      <c r="E386" s="172"/>
      <c r="F386" s="172"/>
      <c r="G386" s="172"/>
      <c r="H386" s="172"/>
      <c r="I386" s="172"/>
      <c r="J386" s="172"/>
      <c r="K386" s="172"/>
      <c r="L386" s="172"/>
      <c r="M386" s="172"/>
      <c r="N386" s="172"/>
      <c r="O386" s="172"/>
      <c r="P386" s="172"/>
      <c r="Q386" s="172"/>
      <c r="R386" s="173"/>
      <c r="S386" s="67"/>
      <c r="T386" s="67"/>
      <c r="U386" s="67"/>
      <c r="V386" s="67"/>
      <c r="W386" s="67"/>
      <c r="X386" s="67"/>
      <c r="Y386" s="67"/>
      <c r="Z386" s="67"/>
      <c r="AA386" s="67"/>
      <c r="AB386" s="67"/>
      <c r="AC386" s="67"/>
      <c r="AD386" s="67"/>
      <c r="AE386" s="67"/>
      <c r="AF386" s="67"/>
      <c r="AG386" s="67"/>
      <c r="AH386" s="67"/>
    </row>
    <row r="387">
      <c r="A387" s="174"/>
      <c r="B387" s="175"/>
      <c r="C387" s="175"/>
      <c r="D387" s="175"/>
      <c r="E387" s="175"/>
      <c r="F387" s="175"/>
      <c r="G387" s="175"/>
      <c r="H387" s="175"/>
      <c r="I387" s="175"/>
      <c r="J387" s="175"/>
      <c r="K387" s="175"/>
      <c r="L387" s="175"/>
      <c r="M387" s="175"/>
      <c r="N387" s="175"/>
      <c r="O387" s="175"/>
      <c r="P387" s="175"/>
      <c r="Q387" s="175"/>
      <c r="R387" s="176"/>
      <c r="S387" s="67"/>
      <c r="T387" s="67"/>
      <c r="U387" s="67"/>
      <c r="V387" s="67"/>
      <c r="W387" s="67"/>
      <c r="X387" s="67"/>
      <c r="Y387" s="67"/>
      <c r="Z387" s="67"/>
      <c r="AA387" s="67"/>
      <c r="AB387" s="67"/>
      <c r="AC387" s="67"/>
      <c r="AD387" s="67"/>
      <c r="AE387" s="67"/>
      <c r="AF387" s="67"/>
      <c r="AG387" s="67"/>
      <c r="AH387" s="67"/>
    </row>
    <row r="388">
      <c r="A388" s="171"/>
      <c r="B388" s="172"/>
      <c r="C388" s="172"/>
      <c r="D388" s="172"/>
      <c r="E388" s="172"/>
      <c r="F388" s="172"/>
      <c r="G388" s="172"/>
      <c r="H388" s="172"/>
      <c r="I388" s="172"/>
      <c r="J388" s="172"/>
      <c r="K388" s="172"/>
      <c r="L388" s="172"/>
      <c r="M388" s="172"/>
      <c r="N388" s="172"/>
      <c r="O388" s="172"/>
      <c r="P388" s="172"/>
      <c r="Q388" s="172"/>
      <c r="R388" s="173"/>
      <c r="S388" s="67"/>
      <c r="T388" s="67"/>
      <c r="U388" s="67"/>
      <c r="V388" s="67"/>
      <c r="W388" s="67"/>
      <c r="X388" s="67"/>
      <c r="Y388" s="67"/>
      <c r="Z388" s="67"/>
      <c r="AA388" s="67"/>
      <c r="AB388" s="67"/>
      <c r="AC388" s="67"/>
      <c r="AD388" s="67"/>
      <c r="AE388" s="67"/>
      <c r="AF388" s="67"/>
      <c r="AG388" s="67"/>
      <c r="AH388" s="67"/>
    </row>
    <row r="389">
      <c r="A389" s="174"/>
      <c r="B389" s="175"/>
      <c r="C389" s="175"/>
      <c r="D389" s="175"/>
      <c r="E389" s="175"/>
      <c r="F389" s="175"/>
      <c r="G389" s="175"/>
      <c r="H389" s="175"/>
      <c r="I389" s="175"/>
      <c r="J389" s="175"/>
      <c r="K389" s="175"/>
      <c r="L389" s="175"/>
      <c r="M389" s="175"/>
      <c r="N389" s="175"/>
      <c r="O389" s="175"/>
      <c r="P389" s="175"/>
      <c r="Q389" s="175"/>
      <c r="R389" s="176"/>
      <c r="S389" s="67"/>
      <c r="T389" s="67"/>
      <c r="U389" s="67"/>
      <c r="V389" s="67"/>
      <c r="W389" s="67"/>
      <c r="X389" s="67"/>
      <c r="Y389" s="67"/>
      <c r="Z389" s="67"/>
      <c r="AA389" s="67"/>
      <c r="AB389" s="67"/>
      <c r="AC389" s="67"/>
      <c r="AD389" s="67"/>
      <c r="AE389" s="67"/>
      <c r="AF389" s="67"/>
      <c r="AG389" s="67"/>
      <c r="AH389" s="67"/>
    </row>
    <row r="390">
      <c r="A390" s="171"/>
      <c r="B390" s="172"/>
      <c r="C390" s="172"/>
      <c r="D390" s="172"/>
      <c r="E390" s="172"/>
      <c r="F390" s="172"/>
      <c r="G390" s="172"/>
      <c r="H390" s="172"/>
      <c r="I390" s="172"/>
      <c r="J390" s="172"/>
      <c r="K390" s="172"/>
      <c r="L390" s="172"/>
      <c r="M390" s="172"/>
      <c r="N390" s="172"/>
      <c r="O390" s="172"/>
      <c r="P390" s="172"/>
      <c r="Q390" s="172"/>
      <c r="R390" s="173"/>
      <c r="S390" s="67"/>
      <c r="T390" s="67"/>
      <c r="U390" s="67"/>
      <c r="V390" s="67"/>
      <c r="W390" s="67"/>
      <c r="X390" s="67"/>
      <c r="Y390" s="67"/>
      <c r="Z390" s="67"/>
      <c r="AA390" s="67"/>
      <c r="AB390" s="67"/>
      <c r="AC390" s="67"/>
      <c r="AD390" s="67"/>
      <c r="AE390" s="67"/>
      <c r="AF390" s="67"/>
      <c r="AG390" s="67"/>
      <c r="AH390" s="67"/>
    </row>
    <row r="391">
      <c r="A391" s="174"/>
      <c r="B391" s="175"/>
      <c r="C391" s="175"/>
      <c r="D391" s="175"/>
      <c r="E391" s="175"/>
      <c r="F391" s="175"/>
      <c r="G391" s="175"/>
      <c r="H391" s="175"/>
      <c r="I391" s="175"/>
      <c r="J391" s="175"/>
      <c r="K391" s="175"/>
      <c r="L391" s="175"/>
      <c r="M391" s="175"/>
      <c r="N391" s="175"/>
      <c r="O391" s="175"/>
      <c r="P391" s="175"/>
      <c r="Q391" s="175"/>
      <c r="R391" s="176"/>
      <c r="S391" s="67"/>
      <c r="T391" s="67"/>
      <c r="U391" s="67"/>
      <c r="V391" s="67"/>
      <c r="W391" s="67"/>
      <c r="X391" s="67"/>
      <c r="Y391" s="67"/>
      <c r="Z391" s="67"/>
      <c r="AA391" s="67"/>
      <c r="AB391" s="67"/>
      <c r="AC391" s="67"/>
      <c r="AD391" s="67"/>
      <c r="AE391" s="67"/>
      <c r="AF391" s="67"/>
      <c r="AG391" s="67"/>
      <c r="AH391" s="67"/>
    </row>
    <row r="392">
      <c r="A392" s="171"/>
      <c r="B392" s="172"/>
      <c r="C392" s="172"/>
      <c r="D392" s="172"/>
      <c r="E392" s="172"/>
      <c r="F392" s="172"/>
      <c r="G392" s="172"/>
      <c r="H392" s="172"/>
      <c r="I392" s="172"/>
      <c r="J392" s="172"/>
      <c r="K392" s="172"/>
      <c r="L392" s="172"/>
      <c r="M392" s="172"/>
      <c r="N392" s="172"/>
      <c r="O392" s="172"/>
      <c r="P392" s="172"/>
      <c r="Q392" s="172"/>
      <c r="R392" s="173"/>
      <c r="S392" s="67"/>
      <c r="T392" s="67"/>
      <c r="U392" s="67"/>
      <c r="V392" s="67"/>
      <c r="W392" s="67"/>
      <c r="X392" s="67"/>
      <c r="Y392" s="67"/>
      <c r="Z392" s="67"/>
      <c r="AA392" s="67"/>
      <c r="AB392" s="67"/>
      <c r="AC392" s="67"/>
      <c r="AD392" s="67"/>
      <c r="AE392" s="67"/>
      <c r="AF392" s="67"/>
      <c r="AG392" s="67"/>
      <c r="AH392" s="67"/>
    </row>
    <row r="393">
      <c r="A393" s="174"/>
      <c r="B393" s="175"/>
      <c r="C393" s="175"/>
      <c r="D393" s="175"/>
      <c r="E393" s="175"/>
      <c r="F393" s="175"/>
      <c r="G393" s="175"/>
      <c r="H393" s="175"/>
      <c r="I393" s="175"/>
      <c r="J393" s="175"/>
      <c r="K393" s="175"/>
      <c r="L393" s="175"/>
      <c r="M393" s="175"/>
      <c r="N393" s="175"/>
      <c r="O393" s="175"/>
      <c r="P393" s="175"/>
      <c r="Q393" s="175"/>
      <c r="R393" s="176"/>
      <c r="S393" s="67"/>
      <c r="T393" s="67"/>
      <c r="U393" s="67"/>
      <c r="V393" s="67"/>
      <c r="W393" s="67"/>
      <c r="X393" s="67"/>
      <c r="Y393" s="67"/>
      <c r="Z393" s="67"/>
      <c r="AA393" s="67"/>
      <c r="AB393" s="67"/>
      <c r="AC393" s="67"/>
      <c r="AD393" s="67"/>
      <c r="AE393" s="67"/>
      <c r="AF393" s="67"/>
      <c r="AG393" s="67"/>
      <c r="AH393" s="67"/>
    </row>
    <row r="394">
      <c r="A394" s="171"/>
      <c r="B394" s="172"/>
      <c r="C394" s="172"/>
      <c r="D394" s="172"/>
      <c r="E394" s="172"/>
      <c r="F394" s="172"/>
      <c r="G394" s="172"/>
      <c r="H394" s="172"/>
      <c r="I394" s="172"/>
      <c r="J394" s="172"/>
      <c r="K394" s="172"/>
      <c r="L394" s="172"/>
      <c r="M394" s="172"/>
      <c r="N394" s="172"/>
      <c r="O394" s="172"/>
      <c r="P394" s="172"/>
      <c r="Q394" s="172"/>
      <c r="R394" s="173"/>
      <c r="S394" s="67"/>
      <c r="T394" s="67"/>
      <c r="U394" s="67"/>
      <c r="V394" s="67"/>
      <c r="W394" s="67"/>
      <c r="X394" s="67"/>
      <c r="Y394" s="67"/>
      <c r="Z394" s="67"/>
      <c r="AA394" s="67"/>
      <c r="AB394" s="67"/>
      <c r="AC394" s="67"/>
      <c r="AD394" s="67"/>
      <c r="AE394" s="67"/>
      <c r="AF394" s="67"/>
      <c r="AG394" s="67"/>
      <c r="AH394" s="67"/>
    </row>
    <row r="395">
      <c r="A395" s="174"/>
      <c r="B395" s="175"/>
      <c r="C395" s="175"/>
      <c r="D395" s="175"/>
      <c r="E395" s="175"/>
      <c r="F395" s="175"/>
      <c r="G395" s="175"/>
      <c r="H395" s="175"/>
      <c r="I395" s="175"/>
      <c r="J395" s="175"/>
      <c r="K395" s="175"/>
      <c r="L395" s="175"/>
      <c r="M395" s="175"/>
      <c r="N395" s="175"/>
      <c r="O395" s="175"/>
      <c r="P395" s="175"/>
      <c r="Q395" s="175"/>
      <c r="R395" s="176"/>
      <c r="S395" s="67"/>
      <c r="T395" s="67"/>
      <c r="U395" s="67"/>
      <c r="V395" s="67"/>
      <c r="W395" s="67"/>
      <c r="X395" s="67"/>
      <c r="Y395" s="67"/>
      <c r="Z395" s="67"/>
      <c r="AA395" s="67"/>
      <c r="AB395" s="67"/>
      <c r="AC395" s="67"/>
      <c r="AD395" s="67"/>
      <c r="AE395" s="67"/>
      <c r="AF395" s="67"/>
      <c r="AG395" s="67"/>
      <c r="AH395" s="67"/>
    </row>
    <row r="396">
      <c r="A396" s="171"/>
      <c r="B396" s="172"/>
      <c r="C396" s="172"/>
      <c r="D396" s="172"/>
      <c r="E396" s="172"/>
      <c r="F396" s="172"/>
      <c r="G396" s="172"/>
      <c r="H396" s="172"/>
      <c r="I396" s="172"/>
      <c r="J396" s="172"/>
      <c r="K396" s="172"/>
      <c r="L396" s="172"/>
      <c r="M396" s="172"/>
      <c r="N396" s="172"/>
      <c r="O396" s="172"/>
      <c r="P396" s="172"/>
      <c r="Q396" s="172"/>
      <c r="R396" s="173"/>
      <c r="S396" s="67"/>
      <c r="T396" s="67"/>
      <c r="U396" s="67"/>
      <c r="V396" s="67"/>
      <c r="W396" s="67"/>
      <c r="X396" s="67"/>
      <c r="Y396" s="67"/>
      <c r="Z396" s="67"/>
      <c r="AA396" s="67"/>
      <c r="AB396" s="67"/>
      <c r="AC396" s="67"/>
      <c r="AD396" s="67"/>
      <c r="AE396" s="67"/>
      <c r="AF396" s="67"/>
      <c r="AG396" s="67"/>
      <c r="AH396" s="67"/>
    </row>
    <row r="397">
      <c r="A397" s="174"/>
      <c r="B397" s="175"/>
      <c r="C397" s="175"/>
      <c r="D397" s="175"/>
      <c r="E397" s="175"/>
      <c r="F397" s="175"/>
      <c r="G397" s="175"/>
      <c r="H397" s="175"/>
      <c r="I397" s="175"/>
      <c r="J397" s="175"/>
      <c r="K397" s="175"/>
      <c r="L397" s="175"/>
      <c r="M397" s="175"/>
      <c r="N397" s="175"/>
      <c r="O397" s="175"/>
      <c r="P397" s="175"/>
      <c r="Q397" s="175"/>
      <c r="R397" s="176"/>
      <c r="S397" s="67"/>
      <c r="T397" s="67"/>
      <c r="U397" s="67"/>
      <c r="V397" s="67"/>
      <c r="W397" s="67"/>
      <c r="X397" s="67"/>
      <c r="Y397" s="67"/>
      <c r="Z397" s="67"/>
      <c r="AA397" s="67"/>
      <c r="AB397" s="67"/>
      <c r="AC397" s="67"/>
      <c r="AD397" s="67"/>
      <c r="AE397" s="67"/>
      <c r="AF397" s="67"/>
      <c r="AG397" s="67"/>
      <c r="AH397" s="67"/>
    </row>
    <row r="398">
      <c r="A398" s="171"/>
      <c r="B398" s="172"/>
      <c r="C398" s="172"/>
      <c r="D398" s="172"/>
      <c r="E398" s="172"/>
      <c r="F398" s="172"/>
      <c r="G398" s="172"/>
      <c r="H398" s="172"/>
      <c r="I398" s="172"/>
      <c r="J398" s="172"/>
      <c r="K398" s="172"/>
      <c r="L398" s="172"/>
      <c r="M398" s="172"/>
      <c r="N398" s="172"/>
      <c r="O398" s="172"/>
      <c r="P398" s="172"/>
      <c r="Q398" s="172"/>
      <c r="R398" s="173"/>
      <c r="S398" s="67"/>
      <c r="T398" s="67"/>
      <c r="U398" s="67"/>
      <c r="V398" s="67"/>
      <c r="W398" s="67"/>
      <c r="X398" s="67"/>
      <c r="Y398" s="67"/>
      <c r="Z398" s="67"/>
      <c r="AA398" s="67"/>
      <c r="AB398" s="67"/>
      <c r="AC398" s="67"/>
      <c r="AD398" s="67"/>
      <c r="AE398" s="67"/>
      <c r="AF398" s="67"/>
      <c r="AG398" s="67"/>
      <c r="AH398" s="67"/>
    </row>
    <row r="399">
      <c r="A399" s="174"/>
      <c r="B399" s="175"/>
      <c r="C399" s="175"/>
      <c r="D399" s="175"/>
      <c r="E399" s="175"/>
      <c r="F399" s="175"/>
      <c r="G399" s="175"/>
      <c r="H399" s="175"/>
      <c r="I399" s="175"/>
      <c r="J399" s="175"/>
      <c r="K399" s="175"/>
      <c r="L399" s="175"/>
      <c r="M399" s="175"/>
      <c r="N399" s="175"/>
      <c r="O399" s="175"/>
      <c r="P399" s="175"/>
      <c r="Q399" s="175"/>
      <c r="R399" s="176"/>
      <c r="S399" s="67"/>
      <c r="T399" s="67"/>
      <c r="U399" s="67"/>
      <c r="V399" s="67"/>
      <c r="W399" s="67"/>
      <c r="X399" s="67"/>
      <c r="Y399" s="67"/>
      <c r="Z399" s="67"/>
      <c r="AA399" s="67"/>
      <c r="AB399" s="67"/>
      <c r="AC399" s="67"/>
      <c r="AD399" s="67"/>
      <c r="AE399" s="67"/>
      <c r="AF399" s="67"/>
      <c r="AG399" s="67"/>
      <c r="AH399" s="67"/>
    </row>
    <row r="400">
      <c r="A400" s="171"/>
      <c r="B400" s="172"/>
      <c r="C400" s="172"/>
      <c r="D400" s="172"/>
      <c r="E400" s="172"/>
      <c r="F400" s="172"/>
      <c r="G400" s="172"/>
      <c r="H400" s="172"/>
      <c r="I400" s="172"/>
      <c r="J400" s="172"/>
      <c r="K400" s="172"/>
      <c r="L400" s="172"/>
      <c r="M400" s="172"/>
      <c r="N400" s="172"/>
      <c r="O400" s="172"/>
      <c r="P400" s="172"/>
      <c r="Q400" s="172"/>
      <c r="R400" s="173"/>
      <c r="S400" s="67"/>
      <c r="T400" s="67"/>
      <c r="U400" s="67"/>
      <c r="V400" s="67"/>
      <c r="W400" s="67"/>
      <c r="X400" s="67"/>
      <c r="Y400" s="67"/>
      <c r="Z400" s="67"/>
      <c r="AA400" s="67"/>
      <c r="AB400" s="67"/>
      <c r="AC400" s="67"/>
      <c r="AD400" s="67"/>
      <c r="AE400" s="67"/>
      <c r="AF400" s="67"/>
      <c r="AG400" s="67"/>
      <c r="AH400" s="67"/>
    </row>
    <row r="401">
      <c r="A401" s="174"/>
      <c r="B401" s="175"/>
      <c r="C401" s="175"/>
      <c r="D401" s="175"/>
      <c r="E401" s="175"/>
      <c r="F401" s="175"/>
      <c r="G401" s="175"/>
      <c r="H401" s="175"/>
      <c r="I401" s="175"/>
      <c r="J401" s="175"/>
      <c r="K401" s="175"/>
      <c r="L401" s="175"/>
      <c r="M401" s="175"/>
      <c r="N401" s="175"/>
      <c r="O401" s="175"/>
      <c r="P401" s="175"/>
      <c r="Q401" s="175"/>
      <c r="R401" s="176"/>
      <c r="S401" s="67"/>
      <c r="T401" s="67"/>
      <c r="U401" s="67"/>
      <c r="V401" s="67"/>
      <c r="W401" s="67"/>
      <c r="X401" s="67"/>
      <c r="Y401" s="67"/>
      <c r="Z401" s="67"/>
      <c r="AA401" s="67"/>
      <c r="AB401" s="67"/>
      <c r="AC401" s="67"/>
      <c r="AD401" s="67"/>
      <c r="AE401" s="67"/>
      <c r="AF401" s="67"/>
      <c r="AG401" s="67"/>
      <c r="AH401" s="67"/>
    </row>
    <row r="402">
      <c r="A402" s="171"/>
      <c r="B402" s="172"/>
      <c r="C402" s="172"/>
      <c r="D402" s="172"/>
      <c r="E402" s="172"/>
      <c r="F402" s="172"/>
      <c r="G402" s="172"/>
      <c r="H402" s="172"/>
      <c r="I402" s="172"/>
      <c r="J402" s="172"/>
      <c r="K402" s="172"/>
      <c r="L402" s="172"/>
      <c r="M402" s="172"/>
      <c r="N402" s="172"/>
      <c r="O402" s="172"/>
      <c r="P402" s="172"/>
      <c r="Q402" s="172"/>
      <c r="R402" s="173"/>
      <c r="S402" s="67"/>
      <c r="T402" s="67"/>
      <c r="U402" s="67"/>
      <c r="V402" s="67"/>
      <c r="W402" s="67"/>
      <c r="X402" s="67"/>
      <c r="Y402" s="67"/>
      <c r="Z402" s="67"/>
      <c r="AA402" s="67"/>
      <c r="AB402" s="67"/>
      <c r="AC402" s="67"/>
      <c r="AD402" s="67"/>
      <c r="AE402" s="67"/>
      <c r="AF402" s="67"/>
      <c r="AG402" s="67"/>
      <c r="AH402" s="67"/>
    </row>
    <row r="403">
      <c r="A403" s="174"/>
      <c r="B403" s="175"/>
      <c r="C403" s="175"/>
      <c r="D403" s="175"/>
      <c r="E403" s="175"/>
      <c r="F403" s="175"/>
      <c r="G403" s="175"/>
      <c r="H403" s="175"/>
      <c r="I403" s="175"/>
      <c r="J403" s="175"/>
      <c r="K403" s="175"/>
      <c r="L403" s="175"/>
      <c r="M403" s="175"/>
      <c r="N403" s="175"/>
      <c r="O403" s="175"/>
      <c r="P403" s="175"/>
      <c r="Q403" s="175"/>
      <c r="R403" s="176"/>
      <c r="S403" s="67"/>
      <c r="T403" s="67"/>
      <c r="U403" s="67"/>
      <c r="V403" s="67"/>
      <c r="W403" s="67"/>
      <c r="X403" s="67"/>
      <c r="Y403" s="67"/>
      <c r="Z403" s="67"/>
      <c r="AA403" s="67"/>
      <c r="AB403" s="67"/>
      <c r="AC403" s="67"/>
      <c r="AD403" s="67"/>
      <c r="AE403" s="67"/>
      <c r="AF403" s="67"/>
      <c r="AG403" s="67"/>
      <c r="AH403" s="67"/>
    </row>
    <row r="404">
      <c r="A404" s="171"/>
      <c r="B404" s="172"/>
      <c r="C404" s="172"/>
      <c r="D404" s="172"/>
      <c r="E404" s="172"/>
      <c r="F404" s="172"/>
      <c r="G404" s="172"/>
      <c r="H404" s="172"/>
      <c r="I404" s="172"/>
      <c r="J404" s="172"/>
      <c r="K404" s="172"/>
      <c r="L404" s="172"/>
      <c r="M404" s="172"/>
      <c r="N404" s="172"/>
      <c r="O404" s="172"/>
      <c r="P404" s="172"/>
      <c r="Q404" s="172"/>
      <c r="R404" s="173"/>
      <c r="S404" s="67"/>
      <c r="T404" s="67"/>
      <c r="U404" s="67"/>
      <c r="V404" s="67"/>
      <c r="W404" s="67"/>
      <c r="X404" s="67"/>
      <c r="Y404" s="67"/>
      <c r="Z404" s="67"/>
      <c r="AA404" s="67"/>
      <c r="AB404" s="67"/>
      <c r="AC404" s="67"/>
      <c r="AD404" s="67"/>
      <c r="AE404" s="67"/>
      <c r="AF404" s="67"/>
      <c r="AG404" s="67"/>
      <c r="AH404" s="67"/>
    </row>
    <row r="405">
      <c r="A405" s="174"/>
      <c r="B405" s="175"/>
      <c r="C405" s="175"/>
      <c r="D405" s="175"/>
      <c r="E405" s="175"/>
      <c r="F405" s="175"/>
      <c r="G405" s="175"/>
      <c r="H405" s="175"/>
      <c r="I405" s="175"/>
      <c r="J405" s="175"/>
      <c r="K405" s="175"/>
      <c r="L405" s="175"/>
      <c r="M405" s="175"/>
      <c r="N405" s="175"/>
      <c r="O405" s="175"/>
      <c r="P405" s="175"/>
      <c r="Q405" s="175"/>
      <c r="R405" s="176"/>
      <c r="S405" s="67"/>
      <c r="T405" s="67"/>
      <c r="U405" s="67"/>
      <c r="V405" s="67"/>
      <c r="W405" s="67"/>
      <c r="X405" s="67"/>
      <c r="Y405" s="67"/>
      <c r="Z405" s="67"/>
      <c r="AA405" s="67"/>
      <c r="AB405" s="67"/>
      <c r="AC405" s="67"/>
      <c r="AD405" s="67"/>
      <c r="AE405" s="67"/>
      <c r="AF405" s="67"/>
      <c r="AG405" s="67"/>
      <c r="AH405" s="67"/>
    </row>
    <row r="406">
      <c r="A406" s="171"/>
      <c r="B406" s="172"/>
      <c r="C406" s="172"/>
      <c r="D406" s="172"/>
      <c r="E406" s="172"/>
      <c r="F406" s="172"/>
      <c r="G406" s="172"/>
      <c r="H406" s="172"/>
      <c r="I406" s="172"/>
      <c r="J406" s="172"/>
      <c r="K406" s="172"/>
      <c r="L406" s="172"/>
      <c r="M406" s="172"/>
      <c r="N406" s="172"/>
      <c r="O406" s="172"/>
      <c r="P406" s="172"/>
      <c r="Q406" s="172"/>
      <c r="R406" s="173"/>
      <c r="S406" s="67"/>
      <c r="T406" s="67"/>
      <c r="U406" s="67"/>
      <c r="V406" s="67"/>
      <c r="W406" s="67"/>
      <c r="X406" s="67"/>
      <c r="Y406" s="67"/>
      <c r="Z406" s="67"/>
      <c r="AA406" s="67"/>
      <c r="AB406" s="67"/>
      <c r="AC406" s="67"/>
      <c r="AD406" s="67"/>
      <c r="AE406" s="67"/>
      <c r="AF406" s="67"/>
      <c r="AG406" s="67"/>
      <c r="AH406" s="67"/>
    </row>
    <row r="407">
      <c r="A407" s="174"/>
      <c r="B407" s="175"/>
      <c r="C407" s="175"/>
      <c r="D407" s="175"/>
      <c r="E407" s="175"/>
      <c r="F407" s="175"/>
      <c r="G407" s="175"/>
      <c r="H407" s="175"/>
      <c r="I407" s="175"/>
      <c r="J407" s="175"/>
      <c r="K407" s="175"/>
      <c r="L407" s="175"/>
      <c r="M407" s="175"/>
      <c r="N407" s="175"/>
      <c r="O407" s="175"/>
      <c r="P407" s="175"/>
      <c r="Q407" s="175"/>
      <c r="R407" s="176"/>
      <c r="S407" s="67"/>
      <c r="T407" s="67"/>
      <c r="U407" s="67"/>
      <c r="V407" s="67"/>
      <c r="W407" s="67"/>
      <c r="X407" s="67"/>
      <c r="Y407" s="67"/>
      <c r="Z407" s="67"/>
      <c r="AA407" s="67"/>
      <c r="AB407" s="67"/>
      <c r="AC407" s="67"/>
      <c r="AD407" s="67"/>
      <c r="AE407" s="67"/>
      <c r="AF407" s="67"/>
      <c r="AG407" s="67"/>
      <c r="AH407" s="67"/>
    </row>
    <row r="408">
      <c r="A408" s="171"/>
      <c r="B408" s="172"/>
      <c r="C408" s="172"/>
      <c r="D408" s="172"/>
      <c r="E408" s="172"/>
      <c r="F408" s="172"/>
      <c r="G408" s="172"/>
      <c r="H408" s="172"/>
      <c r="I408" s="172"/>
      <c r="J408" s="172"/>
      <c r="K408" s="172"/>
      <c r="L408" s="172"/>
      <c r="M408" s="172"/>
      <c r="N408" s="172"/>
      <c r="O408" s="172"/>
      <c r="P408" s="172"/>
      <c r="Q408" s="172"/>
      <c r="R408" s="173"/>
      <c r="S408" s="67"/>
      <c r="T408" s="67"/>
      <c r="U408" s="67"/>
      <c r="V408" s="67"/>
      <c r="W408" s="67"/>
      <c r="X408" s="67"/>
      <c r="Y408" s="67"/>
      <c r="Z408" s="67"/>
      <c r="AA408" s="67"/>
      <c r="AB408" s="67"/>
      <c r="AC408" s="67"/>
      <c r="AD408" s="67"/>
      <c r="AE408" s="67"/>
      <c r="AF408" s="67"/>
      <c r="AG408" s="67"/>
      <c r="AH408" s="67"/>
    </row>
    <row r="409">
      <c r="A409" s="174"/>
      <c r="B409" s="175"/>
      <c r="C409" s="175"/>
      <c r="D409" s="175"/>
      <c r="E409" s="175"/>
      <c r="F409" s="175"/>
      <c r="G409" s="175"/>
      <c r="H409" s="175"/>
      <c r="I409" s="175"/>
      <c r="J409" s="175"/>
      <c r="K409" s="175"/>
      <c r="L409" s="175"/>
      <c r="M409" s="175"/>
      <c r="N409" s="175"/>
      <c r="O409" s="175"/>
      <c r="P409" s="175"/>
      <c r="Q409" s="175"/>
      <c r="R409" s="176"/>
      <c r="S409" s="67"/>
      <c r="T409" s="67"/>
      <c r="U409" s="67"/>
      <c r="V409" s="67"/>
      <c r="W409" s="67"/>
      <c r="X409" s="67"/>
      <c r="Y409" s="67"/>
      <c r="Z409" s="67"/>
      <c r="AA409" s="67"/>
      <c r="AB409" s="67"/>
      <c r="AC409" s="67"/>
      <c r="AD409" s="67"/>
      <c r="AE409" s="67"/>
      <c r="AF409" s="67"/>
      <c r="AG409" s="67"/>
      <c r="AH409" s="67"/>
    </row>
    <row r="410">
      <c r="A410" s="171"/>
      <c r="B410" s="172"/>
      <c r="C410" s="172"/>
      <c r="D410" s="172"/>
      <c r="E410" s="172"/>
      <c r="F410" s="172"/>
      <c r="G410" s="172"/>
      <c r="H410" s="172"/>
      <c r="I410" s="172"/>
      <c r="J410" s="172"/>
      <c r="K410" s="172"/>
      <c r="L410" s="172"/>
      <c r="M410" s="172"/>
      <c r="N410" s="172"/>
      <c r="O410" s="172"/>
      <c r="P410" s="172"/>
      <c r="Q410" s="172"/>
      <c r="R410" s="173"/>
      <c r="S410" s="67"/>
      <c r="T410" s="67"/>
      <c r="U410" s="67"/>
      <c r="V410" s="67"/>
      <c r="W410" s="67"/>
      <c r="X410" s="67"/>
      <c r="Y410" s="67"/>
      <c r="Z410" s="67"/>
      <c r="AA410" s="67"/>
      <c r="AB410" s="67"/>
      <c r="AC410" s="67"/>
      <c r="AD410" s="67"/>
      <c r="AE410" s="67"/>
      <c r="AF410" s="67"/>
      <c r="AG410" s="67"/>
      <c r="AH410" s="67"/>
    </row>
    <row r="411">
      <c r="A411" s="174"/>
      <c r="B411" s="175"/>
      <c r="C411" s="175"/>
      <c r="D411" s="175"/>
      <c r="E411" s="175"/>
      <c r="F411" s="175"/>
      <c r="G411" s="175"/>
      <c r="H411" s="175"/>
      <c r="I411" s="175"/>
      <c r="J411" s="175"/>
      <c r="K411" s="175"/>
      <c r="L411" s="175"/>
      <c r="M411" s="175"/>
      <c r="N411" s="175"/>
      <c r="O411" s="175"/>
      <c r="P411" s="175"/>
      <c r="Q411" s="175"/>
      <c r="R411" s="176"/>
      <c r="S411" s="67"/>
      <c r="T411" s="67"/>
      <c r="U411" s="67"/>
      <c r="V411" s="67"/>
      <c r="W411" s="67"/>
      <c r="X411" s="67"/>
      <c r="Y411" s="67"/>
      <c r="Z411" s="67"/>
      <c r="AA411" s="67"/>
      <c r="AB411" s="67"/>
      <c r="AC411" s="67"/>
      <c r="AD411" s="67"/>
      <c r="AE411" s="67"/>
      <c r="AF411" s="67"/>
      <c r="AG411" s="67"/>
      <c r="AH411" s="67"/>
    </row>
    <row r="412">
      <c r="A412" s="171"/>
      <c r="B412" s="172"/>
      <c r="C412" s="172"/>
      <c r="D412" s="172"/>
      <c r="E412" s="172"/>
      <c r="F412" s="172"/>
      <c r="G412" s="172"/>
      <c r="H412" s="172"/>
      <c r="I412" s="172"/>
      <c r="J412" s="172"/>
      <c r="K412" s="172"/>
      <c r="L412" s="172"/>
      <c r="M412" s="172"/>
      <c r="N412" s="172"/>
      <c r="O412" s="172"/>
      <c r="P412" s="172"/>
      <c r="Q412" s="172"/>
      <c r="R412" s="173"/>
      <c r="S412" s="67"/>
      <c r="T412" s="67"/>
      <c r="U412" s="67"/>
      <c r="V412" s="67"/>
      <c r="W412" s="67"/>
      <c r="X412" s="67"/>
      <c r="Y412" s="67"/>
      <c r="Z412" s="67"/>
      <c r="AA412" s="67"/>
      <c r="AB412" s="67"/>
      <c r="AC412" s="67"/>
      <c r="AD412" s="67"/>
      <c r="AE412" s="67"/>
      <c r="AF412" s="67"/>
      <c r="AG412" s="67"/>
      <c r="AH412" s="67"/>
    </row>
    <row r="413">
      <c r="A413" s="174"/>
      <c r="B413" s="175"/>
      <c r="C413" s="175"/>
      <c r="D413" s="175"/>
      <c r="E413" s="175"/>
      <c r="F413" s="175"/>
      <c r="G413" s="175"/>
      <c r="H413" s="175"/>
      <c r="I413" s="175"/>
      <c r="J413" s="175"/>
      <c r="K413" s="175"/>
      <c r="L413" s="175"/>
      <c r="M413" s="175"/>
      <c r="N413" s="175"/>
      <c r="O413" s="175"/>
      <c r="P413" s="175"/>
      <c r="Q413" s="175"/>
      <c r="R413" s="176"/>
      <c r="S413" s="67"/>
      <c r="T413" s="67"/>
      <c r="U413" s="67"/>
      <c r="V413" s="67"/>
      <c r="W413" s="67"/>
      <c r="X413" s="67"/>
      <c r="Y413" s="67"/>
      <c r="Z413" s="67"/>
      <c r="AA413" s="67"/>
      <c r="AB413" s="67"/>
      <c r="AC413" s="67"/>
      <c r="AD413" s="67"/>
      <c r="AE413" s="67"/>
      <c r="AF413" s="67"/>
      <c r="AG413" s="67"/>
      <c r="AH413" s="67"/>
    </row>
    <row r="414">
      <c r="A414" s="171"/>
      <c r="B414" s="172"/>
      <c r="C414" s="172"/>
      <c r="D414" s="172"/>
      <c r="E414" s="172"/>
      <c r="F414" s="172"/>
      <c r="G414" s="172"/>
      <c r="H414" s="172"/>
      <c r="I414" s="172"/>
      <c r="J414" s="172"/>
      <c r="K414" s="172"/>
      <c r="L414" s="172"/>
      <c r="M414" s="172"/>
      <c r="N414" s="172"/>
      <c r="O414" s="172"/>
      <c r="P414" s="172"/>
      <c r="Q414" s="172"/>
      <c r="R414" s="173"/>
      <c r="S414" s="67"/>
      <c r="T414" s="67"/>
      <c r="U414" s="67"/>
      <c r="V414" s="67"/>
      <c r="W414" s="67"/>
      <c r="X414" s="67"/>
      <c r="Y414" s="67"/>
      <c r="Z414" s="67"/>
      <c r="AA414" s="67"/>
      <c r="AB414" s="67"/>
      <c r="AC414" s="67"/>
      <c r="AD414" s="67"/>
      <c r="AE414" s="67"/>
      <c r="AF414" s="67"/>
      <c r="AG414" s="67"/>
      <c r="AH414" s="67"/>
    </row>
    <row r="415">
      <c r="A415" s="174"/>
      <c r="B415" s="175"/>
      <c r="C415" s="175"/>
      <c r="D415" s="175"/>
      <c r="E415" s="175"/>
      <c r="F415" s="175"/>
      <c r="G415" s="175"/>
      <c r="H415" s="175"/>
      <c r="I415" s="175"/>
      <c r="J415" s="175"/>
      <c r="K415" s="175"/>
      <c r="L415" s="175"/>
      <c r="M415" s="175"/>
      <c r="N415" s="175"/>
      <c r="O415" s="175"/>
      <c r="P415" s="175"/>
      <c r="Q415" s="175"/>
      <c r="R415" s="176"/>
      <c r="S415" s="67"/>
      <c r="T415" s="67"/>
      <c r="U415" s="67"/>
      <c r="V415" s="67"/>
      <c r="W415" s="67"/>
      <c r="X415" s="67"/>
      <c r="Y415" s="67"/>
      <c r="Z415" s="67"/>
      <c r="AA415" s="67"/>
      <c r="AB415" s="67"/>
      <c r="AC415" s="67"/>
      <c r="AD415" s="67"/>
      <c r="AE415" s="67"/>
      <c r="AF415" s="67"/>
      <c r="AG415" s="67"/>
      <c r="AH415" s="67"/>
    </row>
    <row r="416">
      <c r="A416" s="171"/>
      <c r="B416" s="172"/>
      <c r="C416" s="172"/>
      <c r="D416" s="172"/>
      <c r="E416" s="172"/>
      <c r="F416" s="172"/>
      <c r="G416" s="172"/>
      <c r="H416" s="172"/>
      <c r="I416" s="172"/>
      <c r="J416" s="172"/>
      <c r="K416" s="172"/>
      <c r="L416" s="172"/>
      <c r="M416" s="172"/>
      <c r="N416" s="172"/>
      <c r="O416" s="172"/>
      <c r="P416" s="172"/>
      <c r="Q416" s="172"/>
      <c r="R416" s="173"/>
      <c r="S416" s="67"/>
      <c r="T416" s="67"/>
      <c r="U416" s="67"/>
      <c r="V416" s="67"/>
      <c r="W416" s="67"/>
      <c r="X416" s="67"/>
      <c r="Y416" s="67"/>
      <c r="Z416" s="67"/>
      <c r="AA416" s="67"/>
      <c r="AB416" s="67"/>
      <c r="AC416" s="67"/>
      <c r="AD416" s="67"/>
      <c r="AE416" s="67"/>
      <c r="AF416" s="67"/>
      <c r="AG416" s="67"/>
      <c r="AH416" s="67"/>
    </row>
    <row r="417">
      <c r="A417" s="174"/>
      <c r="B417" s="175"/>
      <c r="C417" s="175"/>
      <c r="D417" s="175"/>
      <c r="E417" s="175"/>
      <c r="F417" s="175"/>
      <c r="G417" s="175"/>
      <c r="H417" s="175"/>
      <c r="I417" s="175"/>
      <c r="J417" s="175"/>
      <c r="K417" s="175"/>
      <c r="L417" s="175"/>
      <c r="M417" s="175"/>
      <c r="N417" s="175"/>
      <c r="O417" s="175"/>
      <c r="P417" s="175"/>
      <c r="Q417" s="175"/>
      <c r="R417" s="176"/>
      <c r="S417" s="67"/>
      <c r="T417" s="67"/>
      <c r="U417" s="67"/>
      <c r="V417" s="67"/>
      <c r="W417" s="67"/>
      <c r="X417" s="67"/>
      <c r="Y417" s="67"/>
      <c r="Z417" s="67"/>
      <c r="AA417" s="67"/>
      <c r="AB417" s="67"/>
      <c r="AC417" s="67"/>
      <c r="AD417" s="67"/>
      <c r="AE417" s="67"/>
      <c r="AF417" s="67"/>
      <c r="AG417" s="67"/>
      <c r="AH417" s="67"/>
    </row>
    <row r="418">
      <c r="A418" s="171"/>
      <c r="B418" s="172"/>
      <c r="C418" s="172"/>
      <c r="D418" s="172"/>
      <c r="E418" s="172"/>
      <c r="F418" s="172"/>
      <c r="G418" s="172"/>
      <c r="H418" s="172"/>
      <c r="I418" s="172"/>
      <c r="J418" s="172"/>
      <c r="K418" s="172"/>
      <c r="L418" s="172"/>
      <c r="M418" s="172"/>
      <c r="N418" s="172"/>
      <c r="O418" s="172"/>
      <c r="P418" s="172"/>
      <c r="Q418" s="172"/>
      <c r="R418" s="173"/>
      <c r="S418" s="67"/>
      <c r="T418" s="67"/>
      <c r="U418" s="67"/>
      <c r="V418" s="67"/>
      <c r="W418" s="67"/>
      <c r="X418" s="67"/>
      <c r="Y418" s="67"/>
      <c r="Z418" s="67"/>
      <c r="AA418" s="67"/>
      <c r="AB418" s="67"/>
      <c r="AC418" s="67"/>
      <c r="AD418" s="67"/>
      <c r="AE418" s="67"/>
      <c r="AF418" s="67"/>
      <c r="AG418" s="67"/>
      <c r="AH418" s="67"/>
    </row>
    <row r="419">
      <c r="A419" s="174"/>
      <c r="B419" s="175"/>
      <c r="C419" s="175"/>
      <c r="D419" s="175"/>
      <c r="E419" s="175"/>
      <c r="F419" s="175"/>
      <c r="G419" s="175"/>
      <c r="H419" s="175"/>
      <c r="I419" s="175"/>
      <c r="J419" s="175"/>
      <c r="K419" s="175"/>
      <c r="L419" s="175"/>
      <c r="M419" s="175"/>
      <c r="N419" s="175"/>
      <c r="O419" s="175"/>
      <c r="P419" s="175"/>
      <c r="Q419" s="175"/>
      <c r="R419" s="176"/>
      <c r="S419" s="67"/>
      <c r="T419" s="67"/>
      <c r="U419" s="67"/>
      <c r="V419" s="67"/>
      <c r="W419" s="67"/>
      <c r="X419" s="67"/>
      <c r="Y419" s="67"/>
      <c r="Z419" s="67"/>
      <c r="AA419" s="67"/>
      <c r="AB419" s="67"/>
      <c r="AC419" s="67"/>
      <c r="AD419" s="67"/>
      <c r="AE419" s="67"/>
      <c r="AF419" s="67"/>
      <c r="AG419" s="67"/>
      <c r="AH419" s="67"/>
    </row>
    <row r="420">
      <c r="A420" s="171"/>
      <c r="B420" s="172"/>
      <c r="C420" s="172"/>
      <c r="D420" s="172"/>
      <c r="E420" s="172"/>
      <c r="F420" s="172"/>
      <c r="G420" s="172"/>
      <c r="H420" s="172"/>
      <c r="I420" s="172"/>
      <c r="J420" s="172"/>
      <c r="K420" s="172"/>
      <c r="L420" s="172"/>
      <c r="M420" s="172"/>
      <c r="N420" s="172"/>
      <c r="O420" s="172"/>
      <c r="P420" s="172"/>
      <c r="Q420" s="172"/>
      <c r="R420" s="173"/>
      <c r="S420" s="67"/>
      <c r="T420" s="67"/>
      <c r="U420" s="67"/>
      <c r="V420" s="67"/>
      <c r="W420" s="67"/>
      <c r="X420" s="67"/>
      <c r="Y420" s="67"/>
      <c r="Z420" s="67"/>
      <c r="AA420" s="67"/>
      <c r="AB420" s="67"/>
      <c r="AC420" s="67"/>
      <c r="AD420" s="67"/>
      <c r="AE420" s="67"/>
      <c r="AF420" s="67"/>
      <c r="AG420" s="67"/>
      <c r="AH420" s="67"/>
    </row>
    <row r="421">
      <c r="A421" s="174"/>
      <c r="B421" s="175"/>
      <c r="C421" s="175"/>
      <c r="D421" s="175"/>
      <c r="E421" s="175"/>
      <c r="F421" s="175"/>
      <c r="G421" s="175"/>
      <c r="H421" s="175"/>
      <c r="I421" s="175"/>
      <c r="J421" s="175"/>
      <c r="K421" s="175"/>
      <c r="L421" s="175"/>
      <c r="M421" s="175"/>
      <c r="N421" s="175"/>
      <c r="O421" s="175"/>
      <c r="P421" s="175"/>
      <c r="Q421" s="175"/>
      <c r="R421" s="176"/>
      <c r="S421" s="67"/>
      <c r="T421" s="67"/>
      <c r="U421" s="67"/>
      <c r="V421" s="67"/>
      <c r="W421" s="67"/>
      <c r="X421" s="67"/>
      <c r="Y421" s="67"/>
      <c r="Z421" s="67"/>
      <c r="AA421" s="67"/>
      <c r="AB421" s="67"/>
      <c r="AC421" s="67"/>
      <c r="AD421" s="67"/>
      <c r="AE421" s="67"/>
      <c r="AF421" s="67"/>
      <c r="AG421" s="67"/>
      <c r="AH421" s="67"/>
    </row>
    <row r="422">
      <c r="A422" s="171"/>
      <c r="B422" s="172"/>
      <c r="C422" s="172"/>
      <c r="D422" s="172"/>
      <c r="E422" s="172"/>
      <c r="F422" s="172"/>
      <c r="G422" s="172"/>
      <c r="H422" s="172"/>
      <c r="I422" s="172"/>
      <c r="J422" s="172"/>
      <c r="K422" s="172"/>
      <c r="L422" s="172"/>
      <c r="M422" s="172"/>
      <c r="N422" s="172"/>
      <c r="O422" s="172"/>
      <c r="P422" s="172"/>
      <c r="Q422" s="172"/>
      <c r="R422" s="173"/>
      <c r="S422" s="67"/>
      <c r="T422" s="67"/>
      <c r="U422" s="67"/>
      <c r="V422" s="67"/>
      <c r="W422" s="67"/>
      <c r="X422" s="67"/>
      <c r="Y422" s="67"/>
      <c r="Z422" s="67"/>
      <c r="AA422" s="67"/>
      <c r="AB422" s="67"/>
      <c r="AC422" s="67"/>
      <c r="AD422" s="67"/>
      <c r="AE422" s="67"/>
      <c r="AF422" s="67"/>
      <c r="AG422" s="67"/>
      <c r="AH422" s="67"/>
    </row>
    <row r="423">
      <c r="A423" s="174"/>
      <c r="B423" s="175"/>
      <c r="C423" s="175"/>
      <c r="D423" s="175"/>
      <c r="E423" s="175"/>
      <c r="F423" s="175"/>
      <c r="G423" s="175"/>
      <c r="H423" s="175"/>
      <c r="I423" s="175"/>
      <c r="J423" s="175"/>
      <c r="K423" s="175"/>
      <c r="L423" s="175"/>
      <c r="M423" s="175"/>
      <c r="N423" s="175"/>
      <c r="O423" s="175"/>
      <c r="P423" s="175"/>
      <c r="Q423" s="175"/>
      <c r="R423" s="176"/>
      <c r="S423" s="67"/>
      <c r="T423" s="67"/>
      <c r="U423" s="67"/>
      <c r="V423" s="67"/>
      <c r="W423" s="67"/>
      <c r="X423" s="67"/>
      <c r="Y423" s="67"/>
      <c r="Z423" s="67"/>
      <c r="AA423" s="67"/>
      <c r="AB423" s="67"/>
      <c r="AC423" s="67"/>
      <c r="AD423" s="67"/>
      <c r="AE423" s="67"/>
      <c r="AF423" s="67"/>
      <c r="AG423" s="67"/>
      <c r="AH423" s="67"/>
    </row>
    <row r="424">
      <c r="A424" s="171"/>
      <c r="B424" s="172"/>
      <c r="C424" s="172"/>
      <c r="D424" s="172"/>
      <c r="E424" s="172"/>
      <c r="F424" s="172"/>
      <c r="G424" s="172"/>
      <c r="H424" s="172"/>
      <c r="I424" s="172"/>
      <c r="J424" s="172"/>
      <c r="K424" s="172"/>
      <c r="L424" s="172"/>
      <c r="M424" s="172"/>
      <c r="N424" s="172"/>
      <c r="O424" s="172"/>
      <c r="P424" s="172"/>
      <c r="Q424" s="172"/>
      <c r="R424" s="173"/>
      <c r="S424" s="67"/>
      <c r="T424" s="67"/>
      <c r="U424" s="67"/>
      <c r="V424" s="67"/>
      <c r="W424" s="67"/>
      <c r="X424" s="67"/>
      <c r="Y424" s="67"/>
      <c r="Z424" s="67"/>
      <c r="AA424" s="67"/>
      <c r="AB424" s="67"/>
      <c r="AC424" s="67"/>
      <c r="AD424" s="67"/>
      <c r="AE424" s="67"/>
      <c r="AF424" s="67"/>
      <c r="AG424" s="67"/>
      <c r="AH424" s="67"/>
    </row>
    <row r="425">
      <c r="A425" s="174"/>
      <c r="B425" s="175"/>
      <c r="C425" s="175"/>
      <c r="D425" s="175"/>
      <c r="E425" s="175"/>
      <c r="F425" s="175"/>
      <c r="G425" s="175"/>
      <c r="H425" s="175"/>
      <c r="I425" s="175"/>
      <c r="J425" s="175"/>
      <c r="K425" s="175"/>
      <c r="L425" s="175"/>
      <c r="M425" s="175"/>
      <c r="N425" s="175"/>
      <c r="O425" s="175"/>
      <c r="P425" s="175"/>
      <c r="Q425" s="175"/>
      <c r="R425" s="176"/>
      <c r="S425" s="67"/>
      <c r="T425" s="67"/>
      <c r="U425" s="67"/>
      <c r="V425" s="67"/>
      <c r="W425" s="67"/>
      <c r="X425" s="67"/>
      <c r="Y425" s="67"/>
      <c r="Z425" s="67"/>
      <c r="AA425" s="67"/>
      <c r="AB425" s="67"/>
      <c r="AC425" s="67"/>
      <c r="AD425" s="67"/>
      <c r="AE425" s="67"/>
      <c r="AF425" s="67"/>
      <c r="AG425" s="67"/>
      <c r="AH425" s="67"/>
    </row>
    <row r="426">
      <c r="A426" s="171"/>
      <c r="B426" s="172"/>
      <c r="C426" s="172"/>
      <c r="D426" s="172"/>
      <c r="E426" s="172"/>
      <c r="F426" s="172"/>
      <c r="G426" s="172"/>
      <c r="H426" s="172"/>
      <c r="I426" s="172"/>
      <c r="J426" s="172"/>
      <c r="K426" s="172"/>
      <c r="L426" s="172"/>
      <c r="M426" s="172"/>
      <c r="N426" s="172"/>
      <c r="O426" s="172"/>
      <c r="P426" s="172"/>
      <c r="Q426" s="172"/>
      <c r="R426" s="173"/>
      <c r="S426" s="67"/>
      <c r="T426" s="67"/>
      <c r="U426" s="67"/>
      <c r="V426" s="67"/>
      <c r="W426" s="67"/>
      <c r="X426" s="67"/>
      <c r="Y426" s="67"/>
      <c r="Z426" s="67"/>
      <c r="AA426" s="67"/>
      <c r="AB426" s="67"/>
      <c r="AC426" s="67"/>
      <c r="AD426" s="67"/>
      <c r="AE426" s="67"/>
      <c r="AF426" s="67"/>
      <c r="AG426" s="67"/>
      <c r="AH426" s="67"/>
    </row>
    <row r="427">
      <c r="A427" s="174"/>
      <c r="B427" s="175"/>
      <c r="C427" s="175"/>
      <c r="D427" s="175"/>
      <c r="E427" s="175"/>
      <c r="F427" s="175"/>
      <c r="G427" s="175"/>
      <c r="H427" s="175"/>
      <c r="I427" s="175"/>
      <c r="J427" s="175"/>
      <c r="K427" s="175"/>
      <c r="L427" s="175"/>
      <c r="M427" s="175"/>
      <c r="N427" s="175"/>
      <c r="O427" s="175"/>
      <c r="P427" s="175"/>
      <c r="Q427" s="175"/>
      <c r="R427" s="176"/>
      <c r="S427" s="67"/>
      <c r="T427" s="67"/>
      <c r="U427" s="67"/>
      <c r="V427" s="67"/>
      <c r="W427" s="67"/>
      <c r="X427" s="67"/>
      <c r="Y427" s="67"/>
      <c r="Z427" s="67"/>
      <c r="AA427" s="67"/>
      <c r="AB427" s="67"/>
      <c r="AC427" s="67"/>
      <c r="AD427" s="67"/>
      <c r="AE427" s="67"/>
      <c r="AF427" s="67"/>
      <c r="AG427" s="67"/>
      <c r="AH427" s="67"/>
    </row>
    <row r="428">
      <c r="A428" s="171"/>
      <c r="B428" s="172"/>
      <c r="C428" s="172"/>
      <c r="D428" s="172"/>
      <c r="E428" s="172"/>
      <c r="F428" s="172"/>
      <c r="G428" s="172"/>
      <c r="H428" s="172"/>
      <c r="I428" s="172"/>
      <c r="J428" s="172"/>
      <c r="K428" s="172"/>
      <c r="L428" s="172"/>
      <c r="M428" s="172"/>
      <c r="N428" s="172"/>
      <c r="O428" s="172"/>
      <c r="P428" s="172"/>
      <c r="Q428" s="172"/>
      <c r="R428" s="173"/>
      <c r="S428" s="67"/>
      <c r="T428" s="67"/>
      <c r="U428" s="67"/>
      <c r="V428" s="67"/>
      <c r="W428" s="67"/>
      <c r="X428" s="67"/>
      <c r="Y428" s="67"/>
      <c r="Z428" s="67"/>
      <c r="AA428" s="67"/>
      <c r="AB428" s="67"/>
      <c r="AC428" s="67"/>
      <c r="AD428" s="67"/>
      <c r="AE428" s="67"/>
      <c r="AF428" s="67"/>
      <c r="AG428" s="67"/>
      <c r="AH428" s="67"/>
    </row>
    <row r="429">
      <c r="A429" s="174"/>
      <c r="B429" s="175"/>
      <c r="C429" s="175"/>
      <c r="D429" s="175"/>
      <c r="E429" s="175"/>
      <c r="F429" s="175"/>
      <c r="G429" s="175"/>
      <c r="H429" s="175"/>
      <c r="I429" s="175"/>
      <c r="J429" s="175"/>
      <c r="K429" s="175"/>
      <c r="L429" s="175"/>
      <c r="M429" s="175"/>
      <c r="N429" s="175"/>
      <c r="O429" s="175"/>
      <c r="P429" s="175"/>
      <c r="Q429" s="175"/>
      <c r="R429" s="176"/>
      <c r="S429" s="67"/>
      <c r="T429" s="67"/>
      <c r="U429" s="67"/>
      <c r="V429" s="67"/>
      <c r="W429" s="67"/>
      <c r="X429" s="67"/>
      <c r="Y429" s="67"/>
      <c r="Z429" s="67"/>
      <c r="AA429" s="67"/>
      <c r="AB429" s="67"/>
      <c r="AC429" s="67"/>
      <c r="AD429" s="67"/>
      <c r="AE429" s="67"/>
      <c r="AF429" s="67"/>
      <c r="AG429" s="67"/>
      <c r="AH429" s="67"/>
    </row>
    <row r="430">
      <c r="A430" s="171"/>
      <c r="B430" s="172"/>
      <c r="C430" s="172"/>
      <c r="D430" s="172"/>
      <c r="E430" s="172"/>
      <c r="F430" s="172"/>
      <c r="G430" s="172"/>
      <c r="H430" s="172"/>
      <c r="I430" s="172"/>
      <c r="J430" s="172"/>
      <c r="K430" s="172"/>
      <c r="L430" s="172"/>
      <c r="M430" s="172"/>
      <c r="N430" s="172"/>
      <c r="O430" s="172"/>
      <c r="P430" s="172"/>
      <c r="Q430" s="172"/>
      <c r="R430" s="173"/>
      <c r="S430" s="67"/>
      <c r="T430" s="67"/>
      <c r="U430" s="67"/>
      <c r="V430" s="67"/>
      <c r="W430" s="67"/>
      <c r="X430" s="67"/>
      <c r="Y430" s="67"/>
      <c r="Z430" s="67"/>
      <c r="AA430" s="67"/>
      <c r="AB430" s="67"/>
      <c r="AC430" s="67"/>
      <c r="AD430" s="67"/>
      <c r="AE430" s="67"/>
      <c r="AF430" s="67"/>
      <c r="AG430" s="67"/>
      <c r="AH430" s="67"/>
    </row>
    <row r="431">
      <c r="A431" s="174"/>
      <c r="B431" s="175"/>
      <c r="C431" s="175"/>
      <c r="D431" s="175"/>
      <c r="E431" s="175"/>
      <c r="F431" s="175"/>
      <c r="G431" s="175"/>
      <c r="H431" s="175"/>
      <c r="I431" s="175"/>
      <c r="J431" s="175"/>
      <c r="K431" s="175"/>
      <c r="L431" s="175"/>
      <c r="M431" s="175"/>
      <c r="N431" s="175"/>
      <c r="O431" s="175"/>
      <c r="P431" s="175"/>
      <c r="Q431" s="175"/>
      <c r="R431" s="176"/>
      <c r="S431" s="67"/>
      <c r="T431" s="67"/>
      <c r="U431" s="67"/>
      <c r="V431" s="67"/>
      <c r="W431" s="67"/>
      <c r="X431" s="67"/>
      <c r="Y431" s="67"/>
      <c r="Z431" s="67"/>
      <c r="AA431" s="67"/>
      <c r="AB431" s="67"/>
      <c r="AC431" s="67"/>
      <c r="AD431" s="67"/>
      <c r="AE431" s="67"/>
      <c r="AF431" s="67"/>
      <c r="AG431" s="67"/>
      <c r="AH431" s="67"/>
    </row>
    <row r="432">
      <c r="A432" s="171"/>
      <c r="B432" s="172"/>
      <c r="C432" s="172"/>
      <c r="D432" s="172"/>
      <c r="E432" s="172"/>
      <c r="F432" s="172"/>
      <c r="G432" s="172"/>
      <c r="H432" s="172"/>
      <c r="I432" s="172"/>
      <c r="J432" s="172"/>
      <c r="K432" s="172"/>
      <c r="L432" s="172"/>
      <c r="M432" s="172"/>
      <c r="N432" s="172"/>
      <c r="O432" s="172"/>
      <c r="P432" s="172"/>
      <c r="Q432" s="172"/>
      <c r="R432" s="173"/>
      <c r="S432" s="67"/>
      <c r="T432" s="67"/>
      <c r="U432" s="67"/>
      <c r="V432" s="67"/>
      <c r="W432" s="67"/>
      <c r="X432" s="67"/>
      <c r="Y432" s="67"/>
      <c r="Z432" s="67"/>
      <c r="AA432" s="67"/>
      <c r="AB432" s="67"/>
      <c r="AC432" s="67"/>
      <c r="AD432" s="67"/>
      <c r="AE432" s="67"/>
      <c r="AF432" s="67"/>
      <c r="AG432" s="67"/>
      <c r="AH432" s="67"/>
    </row>
    <row r="433">
      <c r="A433" s="174"/>
      <c r="B433" s="175"/>
      <c r="C433" s="175"/>
      <c r="D433" s="175"/>
      <c r="E433" s="175"/>
      <c r="F433" s="175"/>
      <c r="G433" s="175"/>
      <c r="H433" s="175"/>
      <c r="I433" s="175"/>
      <c r="J433" s="175"/>
      <c r="K433" s="175"/>
      <c r="L433" s="175"/>
      <c r="M433" s="175"/>
      <c r="N433" s="175"/>
      <c r="O433" s="175"/>
      <c r="P433" s="175"/>
      <c r="Q433" s="175"/>
      <c r="R433" s="176"/>
      <c r="S433" s="67"/>
      <c r="T433" s="67"/>
      <c r="U433" s="67"/>
      <c r="V433" s="67"/>
      <c r="W433" s="67"/>
      <c r="X433" s="67"/>
      <c r="Y433" s="67"/>
      <c r="Z433" s="67"/>
      <c r="AA433" s="67"/>
      <c r="AB433" s="67"/>
      <c r="AC433" s="67"/>
      <c r="AD433" s="67"/>
      <c r="AE433" s="67"/>
      <c r="AF433" s="67"/>
      <c r="AG433" s="67"/>
      <c r="AH433" s="67"/>
    </row>
    <row r="434">
      <c r="A434" s="171"/>
      <c r="B434" s="172"/>
      <c r="C434" s="172"/>
      <c r="D434" s="172"/>
      <c r="E434" s="172"/>
      <c r="F434" s="172"/>
      <c r="G434" s="172"/>
      <c r="H434" s="172"/>
      <c r="I434" s="172"/>
      <c r="J434" s="172"/>
      <c r="K434" s="172"/>
      <c r="L434" s="172"/>
      <c r="M434" s="172"/>
      <c r="N434" s="172"/>
      <c r="O434" s="172"/>
      <c r="P434" s="172"/>
      <c r="Q434" s="172"/>
      <c r="R434" s="173"/>
      <c r="S434" s="67"/>
      <c r="T434" s="67"/>
      <c r="U434" s="67"/>
      <c r="V434" s="67"/>
      <c r="W434" s="67"/>
      <c r="X434" s="67"/>
      <c r="Y434" s="67"/>
      <c r="Z434" s="67"/>
      <c r="AA434" s="67"/>
      <c r="AB434" s="67"/>
      <c r="AC434" s="67"/>
      <c r="AD434" s="67"/>
      <c r="AE434" s="67"/>
      <c r="AF434" s="67"/>
      <c r="AG434" s="67"/>
      <c r="AH434" s="67"/>
    </row>
    <row r="435">
      <c r="A435" s="174"/>
      <c r="B435" s="175"/>
      <c r="C435" s="175"/>
      <c r="D435" s="175"/>
      <c r="E435" s="175"/>
      <c r="F435" s="175"/>
      <c r="G435" s="175"/>
      <c r="H435" s="175"/>
      <c r="I435" s="175"/>
      <c r="J435" s="175"/>
      <c r="K435" s="175"/>
      <c r="L435" s="175"/>
      <c r="M435" s="175"/>
      <c r="N435" s="175"/>
      <c r="O435" s="175"/>
      <c r="P435" s="175"/>
      <c r="Q435" s="175"/>
      <c r="R435" s="176"/>
      <c r="S435" s="67"/>
      <c r="T435" s="67"/>
      <c r="U435" s="67"/>
      <c r="V435" s="67"/>
      <c r="W435" s="67"/>
      <c r="X435" s="67"/>
      <c r="Y435" s="67"/>
      <c r="Z435" s="67"/>
      <c r="AA435" s="67"/>
      <c r="AB435" s="67"/>
      <c r="AC435" s="67"/>
      <c r="AD435" s="67"/>
      <c r="AE435" s="67"/>
      <c r="AF435" s="67"/>
      <c r="AG435" s="67"/>
      <c r="AH435" s="67"/>
    </row>
    <row r="436">
      <c r="A436" s="171"/>
      <c r="B436" s="172"/>
      <c r="C436" s="172"/>
      <c r="D436" s="172"/>
      <c r="E436" s="172"/>
      <c r="F436" s="172"/>
      <c r="G436" s="172"/>
      <c r="H436" s="172"/>
      <c r="I436" s="172"/>
      <c r="J436" s="172"/>
      <c r="K436" s="172"/>
      <c r="L436" s="172"/>
      <c r="M436" s="172"/>
      <c r="N436" s="172"/>
      <c r="O436" s="172"/>
      <c r="P436" s="172"/>
      <c r="Q436" s="172"/>
      <c r="R436" s="173"/>
      <c r="S436" s="67"/>
      <c r="T436" s="67"/>
      <c r="U436" s="67"/>
      <c r="V436" s="67"/>
      <c r="W436" s="67"/>
      <c r="X436" s="67"/>
      <c r="Y436" s="67"/>
      <c r="Z436" s="67"/>
      <c r="AA436" s="67"/>
      <c r="AB436" s="67"/>
      <c r="AC436" s="67"/>
      <c r="AD436" s="67"/>
      <c r="AE436" s="67"/>
      <c r="AF436" s="67"/>
      <c r="AG436" s="67"/>
      <c r="AH436" s="67"/>
    </row>
    <row r="437">
      <c r="A437" s="174"/>
      <c r="B437" s="175"/>
      <c r="C437" s="175"/>
      <c r="D437" s="175"/>
      <c r="E437" s="175"/>
      <c r="F437" s="175"/>
      <c r="G437" s="175"/>
      <c r="H437" s="175"/>
      <c r="I437" s="175"/>
      <c r="J437" s="175"/>
      <c r="K437" s="175"/>
      <c r="L437" s="175"/>
      <c r="M437" s="175"/>
      <c r="N437" s="175"/>
      <c r="O437" s="175"/>
      <c r="P437" s="175"/>
      <c r="Q437" s="175"/>
      <c r="R437" s="176"/>
      <c r="S437" s="67"/>
      <c r="T437" s="67"/>
      <c r="U437" s="67"/>
      <c r="V437" s="67"/>
      <c r="W437" s="67"/>
      <c r="X437" s="67"/>
      <c r="Y437" s="67"/>
      <c r="Z437" s="67"/>
      <c r="AA437" s="67"/>
      <c r="AB437" s="67"/>
      <c r="AC437" s="67"/>
      <c r="AD437" s="67"/>
      <c r="AE437" s="67"/>
      <c r="AF437" s="67"/>
      <c r="AG437" s="67"/>
      <c r="AH437" s="67"/>
    </row>
    <row r="438">
      <c r="A438" s="171"/>
      <c r="B438" s="172"/>
      <c r="C438" s="172"/>
      <c r="D438" s="172"/>
      <c r="E438" s="172"/>
      <c r="F438" s="172"/>
      <c r="G438" s="172"/>
      <c r="H438" s="172"/>
      <c r="I438" s="172"/>
      <c r="J438" s="172"/>
      <c r="K438" s="172"/>
      <c r="L438" s="172"/>
      <c r="M438" s="172"/>
      <c r="N438" s="172"/>
      <c r="O438" s="172"/>
      <c r="P438" s="172"/>
      <c r="Q438" s="172"/>
      <c r="R438" s="173"/>
      <c r="S438" s="67"/>
      <c r="T438" s="67"/>
      <c r="U438" s="67"/>
      <c r="V438" s="67"/>
      <c r="W438" s="67"/>
      <c r="X438" s="67"/>
      <c r="Y438" s="67"/>
      <c r="Z438" s="67"/>
      <c r="AA438" s="67"/>
      <c r="AB438" s="67"/>
      <c r="AC438" s="67"/>
      <c r="AD438" s="67"/>
      <c r="AE438" s="67"/>
      <c r="AF438" s="67"/>
      <c r="AG438" s="67"/>
      <c r="AH438" s="67"/>
    </row>
    <row r="439">
      <c r="A439" s="174"/>
      <c r="B439" s="175"/>
      <c r="C439" s="175"/>
      <c r="D439" s="175"/>
      <c r="E439" s="175"/>
      <c r="F439" s="175"/>
      <c r="G439" s="175"/>
      <c r="H439" s="175"/>
      <c r="I439" s="175"/>
      <c r="J439" s="175"/>
      <c r="K439" s="175"/>
      <c r="L439" s="175"/>
      <c r="M439" s="175"/>
      <c r="N439" s="175"/>
      <c r="O439" s="175"/>
      <c r="P439" s="175"/>
      <c r="Q439" s="175"/>
      <c r="R439" s="176"/>
      <c r="S439" s="67"/>
      <c r="T439" s="67"/>
      <c r="U439" s="67"/>
      <c r="V439" s="67"/>
      <c r="W439" s="67"/>
      <c r="X439" s="67"/>
      <c r="Y439" s="67"/>
      <c r="Z439" s="67"/>
      <c r="AA439" s="67"/>
      <c r="AB439" s="67"/>
      <c r="AC439" s="67"/>
      <c r="AD439" s="67"/>
      <c r="AE439" s="67"/>
      <c r="AF439" s="67"/>
      <c r="AG439" s="67"/>
      <c r="AH439" s="67"/>
    </row>
    <row r="440">
      <c r="A440" s="171"/>
      <c r="B440" s="172"/>
      <c r="C440" s="172"/>
      <c r="D440" s="172"/>
      <c r="E440" s="172"/>
      <c r="F440" s="172"/>
      <c r="G440" s="172"/>
      <c r="H440" s="172"/>
      <c r="I440" s="172"/>
      <c r="J440" s="172"/>
      <c r="K440" s="172"/>
      <c r="L440" s="172"/>
      <c r="M440" s="172"/>
      <c r="N440" s="172"/>
      <c r="O440" s="172"/>
      <c r="P440" s="172"/>
      <c r="Q440" s="172"/>
      <c r="R440" s="173"/>
      <c r="S440" s="67"/>
      <c r="T440" s="67"/>
      <c r="U440" s="67"/>
      <c r="V440" s="67"/>
      <c r="W440" s="67"/>
      <c r="X440" s="67"/>
      <c r="Y440" s="67"/>
      <c r="Z440" s="67"/>
      <c r="AA440" s="67"/>
      <c r="AB440" s="67"/>
      <c r="AC440" s="67"/>
      <c r="AD440" s="67"/>
      <c r="AE440" s="67"/>
      <c r="AF440" s="67"/>
      <c r="AG440" s="67"/>
      <c r="AH440" s="67"/>
    </row>
    <row r="441">
      <c r="A441" s="174"/>
      <c r="B441" s="175"/>
      <c r="C441" s="175"/>
      <c r="D441" s="175"/>
      <c r="E441" s="175"/>
      <c r="F441" s="175"/>
      <c r="G441" s="175"/>
      <c r="H441" s="175"/>
      <c r="I441" s="175"/>
      <c r="J441" s="175"/>
      <c r="K441" s="175"/>
      <c r="L441" s="175"/>
      <c r="M441" s="175"/>
      <c r="N441" s="175"/>
      <c r="O441" s="175"/>
      <c r="P441" s="175"/>
      <c r="Q441" s="175"/>
      <c r="R441" s="176"/>
      <c r="S441" s="67"/>
      <c r="T441" s="67"/>
      <c r="U441" s="67"/>
      <c r="V441" s="67"/>
      <c r="W441" s="67"/>
      <c r="X441" s="67"/>
      <c r="Y441" s="67"/>
      <c r="Z441" s="67"/>
      <c r="AA441" s="67"/>
      <c r="AB441" s="67"/>
      <c r="AC441" s="67"/>
      <c r="AD441" s="67"/>
      <c r="AE441" s="67"/>
      <c r="AF441" s="67"/>
      <c r="AG441" s="67"/>
      <c r="AH441" s="67"/>
    </row>
    <row r="442">
      <c r="A442" s="171"/>
      <c r="B442" s="172"/>
      <c r="C442" s="172"/>
      <c r="D442" s="172"/>
      <c r="E442" s="172"/>
      <c r="F442" s="172"/>
      <c r="G442" s="172"/>
      <c r="H442" s="172"/>
      <c r="I442" s="172"/>
      <c r="J442" s="172"/>
      <c r="K442" s="172"/>
      <c r="L442" s="172"/>
      <c r="M442" s="172"/>
      <c r="N442" s="172"/>
      <c r="O442" s="172"/>
      <c r="P442" s="172"/>
      <c r="Q442" s="172"/>
      <c r="R442" s="173"/>
      <c r="S442" s="67"/>
      <c r="T442" s="67"/>
      <c r="U442" s="67"/>
      <c r="V442" s="67"/>
      <c r="W442" s="67"/>
      <c r="X442" s="67"/>
      <c r="Y442" s="67"/>
      <c r="Z442" s="67"/>
      <c r="AA442" s="67"/>
      <c r="AB442" s="67"/>
      <c r="AC442" s="67"/>
      <c r="AD442" s="67"/>
      <c r="AE442" s="67"/>
      <c r="AF442" s="67"/>
      <c r="AG442" s="67"/>
      <c r="AH442" s="67"/>
    </row>
    <row r="443">
      <c r="A443" s="174"/>
      <c r="B443" s="175"/>
      <c r="C443" s="175"/>
      <c r="D443" s="175"/>
      <c r="E443" s="175"/>
      <c r="F443" s="175"/>
      <c r="G443" s="175"/>
      <c r="H443" s="175"/>
      <c r="I443" s="175"/>
      <c r="J443" s="175"/>
      <c r="K443" s="175"/>
      <c r="L443" s="175"/>
      <c r="M443" s="175"/>
      <c r="N443" s="175"/>
      <c r="O443" s="175"/>
      <c r="P443" s="175"/>
      <c r="Q443" s="175"/>
      <c r="R443" s="176"/>
      <c r="S443" s="67"/>
      <c r="T443" s="67"/>
      <c r="U443" s="67"/>
      <c r="V443" s="67"/>
      <c r="W443" s="67"/>
      <c r="X443" s="67"/>
      <c r="Y443" s="67"/>
      <c r="Z443" s="67"/>
      <c r="AA443" s="67"/>
      <c r="AB443" s="67"/>
      <c r="AC443" s="67"/>
      <c r="AD443" s="67"/>
      <c r="AE443" s="67"/>
      <c r="AF443" s="67"/>
      <c r="AG443" s="67"/>
      <c r="AH443" s="67"/>
    </row>
    <row r="444">
      <c r="A444" s="171"/>
      <c r="B444" s="172"/>
      <c r="C444" s="172"/>
      <c r="D444" s="172"/>
      <c r="E444" s="172"/>
      <c r="F444" s="172"/>
      <c r="G444" s="172"/>
      <c r="H444" s="172"/>
      <c r="I444" s="172"/>
      <c r="J444" s="172"/>
      <c r="K444" s="172"/>
      <c r="L444" s="172"/>
      <c r="M444" s="172"/>
      <c r="N444" s="172"/>
      <c r="O444" s="172"/>
      <c r="P444" s="172"/>
      <c r="Q444" s="172"/>
      <c r="R444" s="173"/>
      <c r="S444" s="67"/>
      <c r="T444" s="67"/>
      <c r="U444" s="67"/>
      <c r="V444" s="67"/>
      <c r="W444" s="67"/>
      <c r="X444" s="67"/>
      <c r="Y444" s="67"/>
      <c r="Z444" s="67"/>
      <c r="AA444" s="67"/>
      <c r="AB444" s="67"/>
      <c r="AC444" s="67"/>
      <c r="AD444" s="67"/>
      <c r="AE444" s="67"/>
      <c r="AF444" s="67"/>
      <c r="AG444" s="67"/>
      <c r="AH444" s="67"/>
    </row>
    <row r="445">
      <c r="A445" s="174"/>
      <c r="B445" s="175"/>
      <c r="C445" s="175"/>
      <c r="D445" s="175"/>
      <c r="E445" s="175"/>
      <c r="F445" s="175"/>
      <c r="G445" s="175"/>
      <c r="H445" s="175"/>
      <c r="I445" s="175"/>
      <c r="J445" s="175"/>
      <c r="K445" s="175"/>
      <c r="L445" s="175"/>
      <c r="M445" s="175"/>
      <c r="N445" s="175"/>
      <c r="O445" s="175"/>
      <c r="P445" s="175"/>
      <c r="Q445" s="175"/>
      <c r="R445" s="176"/>
      <c r="S445" s="67"/>
      <c r="T445" s="67"/>
      <c r="U445" s="67"/>
      <c r="V445" s="67"/>
      <c r="W445" s="67"/>
      <c r="X445" s="67"/>
      <c r="Y445" s="67"/>
      <c r="Z445" s="67"/>
      <c r="AA445" s="67"/>
      <c r="AB445" s="67"/>
      <c r="AC445" s="67"/>
      <c r="AD445" s="67"/>
      <c r="AE445" s="67"/>
      <c r="AF445" s="67"/>
      <c r="AG445" s="67"/>
      <c r="AH445" s="67"/>
    </row>
    <row r="446">
      <c r="A446" s="171"/>
      <c r="B446" s="172"/>
      <c r="C446" s="172"/>
      <c r="D446" s="172"/>
      <c r="E446" s="172"/>
      <c r="F446" s="172"/>
      <c r="G446" s="172"/>
      <c r="H446" s="172"/>
      <c r="I446" s="172"/>
      <c r="J446" s="172"/>
      <c r="K446" s="172"/>
      <c r="L446" s="172"/>
      <c r="M446" s="172"/>
      <c r="N446" s="172"/>
      <c r="O446" s="172"/>
      <c r="P446" s="172"/>
      <c r="Q446" s="172"/>
      <c r="R446" s="173"/>
      <c r="S446" s="67"/>
      <c r="T446" s="67"/>
      <c r="U446" s="67"/>
      <c r="V446" s="67"/>
      <c r="W446" s="67"/>
      <c r="X446" s="67"/>
      <c r="Y446" s="67"/>
      <c r="Z446" s="67"/>
      <c r="AA446" s="67"/>
      <c r="AB446" s="67"/>
      <c r="AC446" s="67"/>
      <c r="AD446" s="67"/>
      <c r="AE446" s="67"/>
      <c r="AF446" s="67"/>
      <c r="AG446" s="67"/>
      <c r="AH446" s="67"/>
    </row>
    <row r="447">
      <c r="A447" s="174"/>
      <c r="B447" s="175"/>
      <c r="C447" s="175"/>
      <c r="D447" s="175"/>
      <c r="E447" s="175"/>
      <c r="F447" s="175"/>
      <c r="G447" s="175"/>
      <c r="H447" s="175"/>
      <c r="I447" s="175"/>
      <c r="J447" s="175"/>
      <c r="K447" s="175"/>
      <c r="L447" s="175"/>
      <c r="M447" s="175"/>
      <c r="N447" s="175"/>
      <c r="O447" s="175"/>
      <c r="P447" s="175"/>
      <c r="Q447" s="175"/>
      <c r="R447" s="176"/>
      <c r="S447" s="67"/>
      <c r="T447" s="67"/>
      <c r="U447" s="67"/>
      <c r="V447" s="67"/>
      <c r="W447" s="67"/>
      <c r="X447" s="67"/>
      <c r="Y447" s="67"/>
      <c r="Z447" s="67"/>
      <c r="AA447" s="67"/>
      <c r="AB447" s="67"/>
      <c r="AC447" s="67"/>
      <c r="AD447" s="67"/>
      <c r="AE447" s="67"/>
      <c r="AF447" s="67"/>
      <c r="AG447" s="67"/>
      <c r="AH447" s="67"/>
    </row>
    <row r="448">
      <c r="A448" s="171"/>
      <c r="B448" s="172"/>
      <c r="C448" s="172"/>
      <c r="D448" s="172"/>
      <c r="E448" s="172"/>
      <c r="F448" s="172"/>
      <c r="G448" s="172"/>
      <c r="H448" s="172"/>
      <c r="I448" s="172"/>
      <c r="J448" s="172"/>
      <c r="K448" s="172"/>
      <c r="L448" s="172"/>
      <c r="M448" s="172"/>
      <c r="N448" s="172"/>
      <c r="O448" s="172"/>
      <c r="P448" s="172"/>
      <c r="Q448" s="172"/>
      <c r="R448" s="173"/>
      <c r="S448" s="67"/>
      <c r="T448" s="67"/>
      <c r="U448" s="67"/>
      <c r="V448" s="67"/>
      <c r="W448" s="67"/>
      <c r="X448" s="67"/>
      <c r="Y448" s="67"/>
      <c r="Z448" s="67"/>
      <c r="AA448" s="67"/>
      <c r="AB448" s="67"/>
      <c r="AC448" s="67"/>
      <c r="AD448" s="67"/>
      <c r="AE448" s="67"/>
      <c r="AF448" s="67"/>
      <c r="AG448" s="67"/>
      <c r="AH448" s="67"/>
    </row>
    <row r="449">
      <c r="A449" s="174"/>
      <c r="B449" s="175"/>
      <c r="C449" s="175"/>
      <c r="D449" s="175"/>
      <c r="E449" s="175"/>
      <c r="F449" s="175"/>
      <c r="G449" s="175"/>
      <c r="H449" s="175"/>
      <c r="I449" s="175"/>
      <c r="J449" s="175"/>
      <c r="K449" s="175"/>
      <c r="L449" s="175"/>
      <c r="M449" s="175"/>
      <c r="N449" s="175"/>
      <c r="O449" s="175"/>
      <c r="P449" s="175"/>
      <c r="Q449" s="175"/>
      <c r="R449" s="176"/>
      <c r="S449" s="67"/>
      <c r="T449" s="67"/>
      <c r="U449" s="67"/>
      <c r="V449" s="67"/>
      <c r="W449" s="67"/>
      <c r="X449" s="67"/>
      <c r="Y449" s="67"/>
      <c r="Z449" s="67"/>
      <c r="AA449" s="67"/>
      <c r="AB449" s="67"/>
      <c r="AC449" s="67"/>
      <c r="AD449" s="67"/>
      <c r="AE449" s="67"/>
      <c r="AF449" s="67"/>
      <c r="AG449" s="67"/>
      <c r="AH449" s="67"/>
    </row>
    <row r="450">
      <c r="A450" s="171"/>
      <c r="B450" s="172"/>
      <c r="C450" s="172"/>
      <c r="D450" s="172"/>
      <c r="E450" s="172"/>
      <c r="F450" s="172"/>
      <c r="G450" s="172"/>
      <c r="H450" s="172"/>
      <c r="I450" s="172"/>
      <c r="J450" s="172"/>
      <c r="K450" s="172"/>
      <c r="L450" s="172"/>
      <c r="M450" s="172"/>
      <c r="N450" s="172"/>
      <c r="O450" s="172"/>
      <c r="P450" s="172"/>
      <c r="Q450" s="172"/>
      <c r="R450" s="173"/>
      <c r="S450" s="67"/>
      <c r="T450" s="67"/>
      <c r="U450" s="67"/>
      <c r="V450" s="67"/>
      <c r="W450" s="67"/>
      <c r="X450" s="67"/>
      <c r="Y450" s="67"/>
      <c r="Z450" s="67"/>
      <c r="AA450" s="67"/>
      <c r="AB450" s="67"/>
      <c r="AC450" s="67"/>
      <c r="AD450" s="67"/>
      <c r="AE450" s="67"/>
      <c r="AF450" s="67"/>
      <c r="AG450" s="67"/>
      <c r="AH450" s="67"/>
    </row>
    <row r="451">
      <c r="A451" s="174"/>
      <c r="B451" s="175"/>
      <c r="C451" s="175"/>
      <c r="D451" s="175"/>
      <c r="E451" s="175"/>
      <c r="F451" s="175"/>
      <c r="G451" s="175"/>
      <c r="H451" s="175"/>
      <c r="I451" s="175"/>
      <c r="J451" s="175"/>
      <c r="K451" s="175"/>
      <c r="L451" s="175"/>
      <c r="M451" s="175"/>
      <c r="N451" s="175"/>
      <c r="O451" s="175"/>
      <c r="P451" s="175"/>
      <c r="Q451" s="175"/>
      <c r="R451" s="176"/>
      <c r="S451" s="67"/>
      <c r="T451" s="67"/>
      <c r="U451" s="67"/>
      <c r="V451" s="67"/>
      <c r="W451" s="67"/>
      <c r="X451" s="67"/>
      <c r="Y451" s="67"/>
      <c r="Z451" s="67"/>
      <c r="AA451" s="67"/>
      <c r="AB451" s="67"/>
      <c r="AC451" s="67"/>
      <c r="AD451" s="67"/>
      <c r="AE451" s="67"/>
      <c r="AF451" s="67"/>
      <c r="AG451" s="67"/>
      <c r="AH451" s="67"/>
    </row>
    <row r="452">
      <c r="A452" s="171"/>
      <c r="B452" s="172"/>
      <c r="C452" s="172"/>
      <c r="D452" s="172"/>
      <c r="E452" s="172"/>
      <c r="F452" s="172"/>
      <c r="G452" s="172"/>
      <c r="H452" s="172"/>
      <c r="I452" s="172"/>
      <c r="J452" s="172"/>
      <c r="K452" s="172"/>
      <c r="L452" s="172"/>
      <c r="M452" s="172"/>
      <c r="N452" s="172"/>
      <c r="O452" s="172"/>
      <c r="P452" s="172"/>
      <c r="Q452" s="172"/>
      <c r="R452" s="173"/>
      <c r="S452" s="67"/>
      <c r="T452" s="67"/>
      <c r="U452" s="67"/>
      <c r="V452" s="67"/>
      <c r="W452" s="67"/>
      <c r="X452" s="67"/>
      <c r="Y452" s="67"/>
      <c r="Z452" s="67"/>
      <c r="AA452" s="67"/>
      <c r="AB452" s="67"/>
      <c r="AC452" s="67"/>
      <c r="AD452" s="67"/>
      <c r="AE452" s="67"/>
      <c r="AF452" s="67"/>
      <c r="AG452" s="67"/>
      <c r="AH452" s="67"/>
    </row>
    <row r="453">
      <c r="A453" s="174"/>
      <c r="B453" s="175"/>
      <c r="C453" s="175"/>
      <c r="D453" s="175"/>
      <c r="E453" s="175"/>
      <c r="F453" s="175"/>
      <c r="G453" s="175"/>
      <c r="H453" s="175"/>
      <c r="I453" s="175"/>
      <c r="J453" s="175"/>
      <c r="K453" s="175"/>
      <c r="L453" s="175"/>
      <c r="M453" s="175"/>
      <c r="N453" s="175"/>
      <c r="O453" s="175"/>
      <c r="P453" s="175"/>
      <c r="Q453" s="175"/>
      <c r="R453" s="176"/>
      <c r="S453" s="67"/>
      <c r="T453" s="67"/>
      <c r="U453" s="67"/>
      <c r="V453" s="67"/>
      <c r="W453" s="67"/>
      <c r="X453" s="67"/>
      <c r="Y453" s="67"/>
      <c r="Z453" s="67"/>
      <c r="AA453" s="67"/>
      <c r="AB453" s="67"/>
      <c r="AC453" s="67"/>
      <c r="AD453" s="67"/>
      <c r="AE453" s="67"/>
      <c r="AF453" s="67"/>
      <c r="AG453" s="67"/>
      <c r="AH453" s="67"/>
    </row>
    <row r="454">
      <c r="A454" s="171"/>
      <c r="B454" s="172"/>
      <c r="C454" s="172"/>
      <c r="D454" s="172"/>
      <c r="E454" s="172"/>
      <c r="F454" s="172"/>
      <c r="G454" s="172"/>
      <c r="H454" s="172"/>
      <c r="I454" s="172"/>
      <c r="J454" s="172"/>
      <c r="K454" s="172"/>
      <c r="L454" s="172"/>
      <c r="M454" s="172"/>
      <c r="N454" s="172"/>
      <c r="O454" s="172"/>
      <c r="P454" s="172"/>
      <c r="Q454" s="172"/>
      <c r="R454" s="173"/>
      <c r="S454" s="67"/>
      <c r="T454" s="67"/>
      <c r="U454" s="67"/>
      <c r="V454" s="67"/>
      <c r="W454" s="67"/>
      <c r="X454" s="67"/>
      <c r="Y454" s="67"/>
      <c r="Z454" s="67"/>
      <c r="AA454" s="67"/>
      <c r="AB454" s="67"/>
      <c r="AC454" s="67"/>
      <c r="AD454" s="67"/>
      <c r="AE454" s="67"/>
      <c r="AF454" s="67"/>
      <c r="AG454" s="67"/>
      <c r="AH454" s="67"/>
    </row>
    <row r="455">
      <c r="A455" s="174"/>
      <c r="B455" s="175"/>
      <c r="C455" s="175"/>
      <c r="D455" s="175"/>
      <c r="E455" s="175"/>
      <c r="F455" s="175"/>
      <c r="G455" s="175"/>
      <c r="H455" s="175"/>
      <c r="I455" s="175"/>
      <c r="J455" s="175"/>
      <c r="K455" s="175"/>
      <c r="L455" s="175"/>
      <c r="M455" s="175"/>
      <c r="N455" s="175"/>
      <c r="O455" s="175"/>
      <c r="P455" s="175"/>
      <c r="Q455" s="175"/>
      <c r="R455" s="176"/>
      <c r="S455" s="67"/>
      <c r="T455" s="67"/>
      <c r="U455" s="67"/>
      <c r="V455" s="67"/>
      <c r="W455" s="67"/>
      <c r="X455" s="67"/>
      <c r="Y455" s="67"/>
      <c r="Z455" s="67"/>
      <c r="AA455" s="67"/>
      <c r="AB455" s="67"/>
      <c r="AC455" s="67"/>
      <c r="AD455" s="67"/>
      <c r="AE455" s="67"/>
      <c r="AF455" s="67"/>
      <c r="AG455" s="67"/>
      <c r="AH455" s="67"/>
    </row>
    <row r="456">
      <c r="A456" s="171"/>
      <c r="B456" s="172"/>
      <c r="C456" s="172"/>
      <c r="D456" s="172"/>
      <c r="E456" s="172"/>
      <c r="F456" s="172"/>
      <c r="G456" s="172"/>
      <c r="H456" s="172"/>
      <c r="I456" s="172"/>
      <c r="J456" s="172"/>
      <c r="K456" s="172"/>
      <c r="L456" s="172"/>
      <c r="M456" s="172"/>
      <c r="N456" s="172"/>
      <c r="O456" s="172"/>
      <c r="P456" s="172"/>
      <c r="Q456" s="172"/>
      <c r="R456" s="173"/>
      <c r="S456" s="67"/>
      <c r="T456" s="67"/>
      <c r="U456" s="67"/>
      <c r="V456" s="67"/>
      <c r="W456" s="67"/>
      <c r="X456" s="67"/>
      <c r="Y456" s="67"/>
      <c r="Z456" s="67"/>
      <c r="AA456" s="67"/>
      <c r="AB456" s="67"/>
      <c r="AC456" s="67"/>
      <c r="AD456" s="67"/>
      <c r="AE456" s="67"/>
      <c r="AF456" s="67"/>
      <c r="AG456" s="67"/>
      <c r="AH456" s="67"/>
    </row>
    <row r="457">
      <c r="A457" s="174"/>
      <c r="B457" s="175"/>
      <c r="C457" s="175"/>
      <c r="D457" s="175"/>
      <c r="E457" s="175"/>
      <c r="F457" s="175"/>
      <c r="G457" s="175"/>
      <c r="H457" s="175"/>
      <c r="I457" s="175"/>
      <c r="J457" s="175"/>
      <c r="K457" s="175"/>
      <c r="L457" s="175"/>
      <c r="M457" s="175"/>
      <c r="N457" s="175"/>
      <c r="O457" s="175"/>
      <c r="P457" s="175"/>
      <c r="Q457" s="175"/>
      <c r="R457" s="176"/>
      <c r="S457" s="67"/>
      <c r="T457" s="67"/>
      <c r="U457" s="67"/>
      <c r="V457" s="67"/>
      <c r="W457" s="67"/>
      <c r="X457" s="67"/>
      <c r="Y457" s="67"/>
      <c r="Z457" s="67"/>
      <c r="AA457" s="67"/>
      <c r="AB457" s="67"/>
      <c r="AC457" s="67"/>
      <c r="AD457" s="67"/>
      <c r="AE457" s="67"/>
      <c r="AF457" s="67"/>
      <c r="AG457" s="67"/>
      <c r="AH457" s="67"/>
    </row>
    <row r="458">
      <c r="A458" s="171"/>
      <c r="B458" s="172"/>
      <c r="C458" s="172"/>
      <c r="D458" s="172"/>
      <c r="E458" s="172"/>
      <c r="F458" s="172"/>
      <c r="G458" s="172"/>
      <c r="H458" s="172"/>
      <c r="I458" s="172"/>
      <c r="J458" s="172"/>
      <c r="K458" s="172"/>
      <c r="L458" s="172"/>
      <c r="M458" s="172"/>
      <c r="N458" s="172"/>
      <c r="O458" s="172"/>
      <c r="P458" s="172"/>
      <c r="Q458" s="172"/>
      <c r="R458" s="173"/>
      <c r="S458" s="67"/>
      <c r="T458" s="67"/>
      <c r="U458" s="67"/>
      <c r="V458" s="67"/>
      <c r="W458" s="67"/>
      <c r="X458" s="67"/>
      <c r="Y458" s="67"/>
      <c r="Z458" s="67"/>
      <c r="AA458" s="67"/>
      <c r="AB458" s="67"/>
      <c r="AC458" s="67"/>
      <c r="AD458" s="67"/>
      <c r="AE458" s="67"/>
      <c r="AF458" s="67"/>
      <c r="AG458" s="67"/>
      <c r="AH458" s="67"/>
    </row>
    <row r="459">
      <c r="A459" s="174"/>
      <c r="B459" s="175"/>
      <c r="C459" s="175"/>
      <c r="D459" s="175"/>
      <c r="E459" s="175"/>
      <c r="F459" s="175"/>
      <c r="G459" s="175"/>
      <c r="H459" s="175"/>
      <c r="I459" s="175"/>
      <c r="J459" s="175"/>
      <c r="K459" s="175"/>
      <c r="L459" s="175"/>
      <c r="M459" s="175"/>
      <c r="N459" s="175"/>
      <c r="O459" s="175"/>
      <c r="P459" s="175"/>
      <c r="Q459" s="175"/>
      <c r="R459" s="176"/>
      <c r="S459" s="67"/>
      <c r="T459" s="67"/>
      <c r="U459" s="67"/>
      <c r="V459" s="67"/>
      <c r="W459" s="67"/>
      <c r="X459" s="67"/>
      <c r="Y459" s="67"/>
      <c r="Z459" s="67"/>
      <c r="AA459" s="67"/>
      <c r="AB459" s="67"/>
      <c r="AC459" s="67"/>
      <c r="AD459" s="67"/>
      <c r="AE459" s="67"/>
      <c r="AF459" s="67"/>
      <c r="AG459" s="67"/>
      <c r="AH459" s="67"/>
    </row>
    <row r="460">
      <c r="A460" s="171"/>
      <c r="B460" s="172"/>
      <c r="C460" s="172"/>
      <c r="D460" s="172"/>
      <c r="E460" s="172"/>
      <c r="F460" s="172"/>
      <c r="G460" s="172"/>
      <c r="H460" s="172"/>
      <c r="I460" s="172"/>
      <c r="J460" s="172"/>
      <c r="K460" s="172"/>
      <c r="L460" s="172"/>
      <c r="M460" s="172"/>
      <c r="N460" s="172"/>
      <c r="O460" s="172"/>
      <c r="P460" s="172"/>
      <c r="Q460" s="172"/>
      <c r="R460" s="173"/>
      <c r="S460" s="67"/>
      <c r="T460" s="67"/>
      <c r="U460" s="67"/>
      <c r="V460" s="67"/>
      <c r="W460" s="67"/>
      <c r="X460" s="67"/>
      <c r="Y460" s="67"/>
      <c r="Z460" s="67"/>
      <c r="AA460" s="67"/>
      <c r="AB460" s="67"/>
      <c r="AC460" s="67"/>
      <c r="AD460" s="67"/>
      <c r="AE460" s="67"/>
      <c r="AF460" s="67"/>
      <c r="AG460" s="67"/>
      <c r="AH460" s="67"/>
    </row>
    <row r="461">
      <c r="A461" s="174"/>
      <c r="B461" s="175"/>
      <c r="C461" s="175"/>
      <c r="D461" s="175"/>
      <c r="E461" s="175"/>
      <c r="F461" s="175"/>
      <c r="G461" s="175"/>
      <c r="H461" s="175"/>
      <c r="I461" s="175"/>
      <c r="J461" s="175"/>
      <c r="K461" s="175"/>
      <c r="L461" s="175"/>
      <c r="M461" s="175"/>
      <c r="N461" s="175"/>
      <c r="O461" s="175"/>
      <c r="P461" s="175"/>
      <c r="Q461" s="175"/>
      <c r="R461" s="176"/>
      <c r="S461" s="67"/>
      <c r="T461" s="67"/>
      <c r="U461" s="67"/>
      <c r="V461" s="67"/>
      <c r="W461" s="67"/>
      <c r="X461" s="67"/>
      <c r="Y461" s="67"/>
      <c r="Z461" s="67"/>
      <c r="AA461" s="67"/>
      <c r="AB461" s="67"/>
      <c r="AC461" s="67"/>
      <c r="AD461" s="67"/>
      <c r="AE461" s="67"/>
      <c r="AF461" s="67"/>
      <c r="AG461" s="67"/>
      <c r="AH461" s="67"/>
    </row>
    <row r="462">
      <c r="A462" s="171"/>
      <c r="B462" s="172"/>
      <c r="C462" s="172"/>
      <c r="D462" s="172"/>
      <c r="E462" s="172"/>
      <c r="F462" s="172"/>
      <c r="G462" s="172"/>
      <c r="H462" s="172"/>
      <c r="I462" s="172"/>
      <c r="J462" s="172"/>
      <c r="K462" s="172"/>
      <c r="L462" s="172"/>
      <c r="M462" s="172"/>
      <c r="N462" s="172"/>
      <c r="O462" s="172"/>
      <c r="P462" s="172"/>
      <c r="Q462" s="172"/>
      <c r="R462" s="173"/>
      <c r="S462" s="67"/>
      <c r="T462" s="67"/>
      <c r="U462" s="67"/>
      <c r="V462" s="67"/>
      <c r="W462" s="67"/>
      <c r="X462" s="67"/>
      <c r="Y462" s="67"/>
      <c r="Z462" s="67"/>
      <c r="AA462" s="67"/>
      <c r="AB462" s="67"/>
      <c r="AC462" s="67"/>
      <c r="AD462" s="67"/>
      <c r="AE462" s="67"/>
      <c r="AF462" s="67"/>
      <c r="AG462" s="67"/>
      <c r="AH462" s="67"/>
    </row>
    <row r="463">
      <c r="A463" s="174"/>
      <c r="B463" s="175"/>
      <c r="C463" s="175"/>
      <c r="D463" s="175"/>
      <c r="E463" s="175"/>
      <c r="F463" s="175"/>
      <c r="G463" s="175"/>
      <c r="H463" s="175"/>
      <c r="I463" s="175"/>
      <c r="J463" s="175"/>
      <c r="K463" s="175"/>
      <c r="L463" s="175"/>
      <c r="M463" s="175"/>
      <c r="N463" s="175"/>
      <c r="O463" s="175"/>
      <c r="P463" s="175"/>
      <c r="Q463" s="175"/>
      <c r="R463" s="176"/>
      <c r="S463" s="67"/>
      <c r="T463" s="67"/>
      <c r="U463" s="67"/>
      <c r="V463" s="67"/>
      <c r="W463" s="67"/>
      <c r="X463" s="67"/>
      <c r="Y463" s="67"/>
      <c r="Z463" s="67"/>
      <c r="AA463" s="67"/>
      <c r="AB463" s="67"/>
      <c r="AC463" s="67"/>
      <c r="AD463" s="67"/>
      <c r="AE463" s="67"/>
      <c r="AF463" s="67"/>
      <c r="AG463" s="67"/>
      <c r="AH463" s="67"/>
    </row>
    <row r="464">
      <c r="A464" s="171"/>
      <c r="B464" s="172"/>
      <c r="C464" s="172"/>
      <c r="D464" s="172"/>
      <c r="E464" s="172"/>
      <c r="F464" s="172"/>
      <c r="G464" s="172"/>
      <c r="H464" s="172"/>
      <c r="I464" s="172"/>
      <c r="J464" s="172"/>
      <c r="K464" s="172"/>
      <c r="L464" s="172"/>
      <c r="M464" s="172"/>
      <c r="N464" s="172"/>
      <c r="O464" s="172"/>
      <c r="P464" s="172"/>
      <c r="Q464" s="172"/>
      <c r="R464" s="173"/>
      <c r="S464" s="67"/>
      <c r="T464" s="67"/>
      <c r="U464" s="67"/>
      <c r="V464" s="67"/>
      <c r="W464" s="67"/>
      <c r="X464" s="67"/>
      <c r="Y464" s="67"/>
      <c r="Z464" s="67"/>
      <c r="AA464" s="67"/>
      <c r="AB464" s="67"/>
      <c r="AC464" s="67"/>
      <c r="AD464" s="67"/>
      <c r="AE464" s="67"/>
      <c r="AF464" s="67"/>
      <c r="AG464" s="67"/>
      <c r="AH464" s="67"/>
    </row>
    <row r="465">
      <c r="A465" s="174"/>
      <c r="B465" s="175"/>
      <c r="C465" s="175"/>
      <c r="D465" s="175"/>
      <c r="E465" s="175"/>
      <c r="F465" s="175"/>
      <c r="G465" s="175"/>
      <c r="H465" s="175"/>
      <c r="I465" s="175"/>
      <c r="J465" s="175"/>
      <c r="K465" s="175"/>
      <c r="L465" s="175"/>
      <c r="M465" s="175"/>
      <c r="N465" s="175"/>
      <c r="O465" s="175"/>
      <c r="P465" s="175"/>
      <c r="Q465" s="175"/>
      <c r="R465" s="176"/>
      <c r="S465" s="67"/>
      <c r="T465" s="67"/>
      <c r="U465" s="67"/>
      <c r="V465" s="67"/>
      <c r="W465" s="67"/>
      <c r="X465" s="67"/>
      <c r="Y465" s="67"/>
      <c r="Z465" s="67"/>
      <c r="AA465" s="67"/>
      <c r="AB465" s="67"/>
      <c r="AC465" s="67"/>
      <c r="AD465" s="67"/>
      <c r="AE465" s="67"/>
      <c r="AF465" s="67"/>
      <c r="AG465" s="67"/>
      <c r="AH465" s="67"/>
    </row>
    <row r="466">
      <c r="A466" s="171"/>
      <c r="B466" s="172"/>
      <c r="C466" s="172"/>
      <c r="D466" s="172"/>
      <c r="E466" s="172"/>
      <c r="F466" s="172"/>
      <c r="G466" s="172"/>
      <c r="H466" s="172"/>
      <c r="I466" s="172"/>
      <c r="J466" s="172"/>
      <c r="K466" s="172"/>
      <c r="L466" s="172"/>
      <c r="M466" s="172"/>
      <c r="N466" s="172"/>
      <c r="O466" s="172"/>
      <c r="P466" s="172"/>
      <c r="Q466" s="172"/>
      <c r="R466" s="173"/>
      <c r="S466" s="67"/>
      <c r="T466" s="67"/>
      <c r="U466" s="67"/>
      <c r="V466" s="67"/>
      <c r="W466" s="67"/>
      <c r="X466" s="67"/>
      <c r="Y466" s="67"/>
      <c r="Z466" s="67"/>
      <c r="AA466" s="67"/>
      <c r="AB466" s="67"/>
      <c r="AC466" s="67"/>
      <c r="AD466" s="67"/>
      <c r="AE466" s="67"/>
      <c r="AF466" s="67"/>
      <c r="AG466" s="67"/>
      <c r="AH466" s="67"/>
    </row>
    <row r="467">
      <c r="A467" s="174"/>
      <c r="B467" s="175"/>
      <c r="C467" s="175"/>
      <c r="D467" s="175"/>
      <c r="E467" s="175"/>
      <c r="F467" s="175"/>
      <c r="G467" s="175"/>
      <c r="H467" s="175"/>
      <c r="I467" s="175"/>
      <c r="J467" s="175"/>
      <c r="K467" s="175"/>
      <c r="L467" s="175"/>
      <c r="M467" s="175"/>
      <c r="N467" s="175"/>
      <c r="O467" s="175"/>
      <c r="P467" s="175"/>
      <c r="Q467" s="175"/>
      <c r="R467" s="176"/>
      <c r="S467" s="67"/>
      <c r="T467" s="67"/>
      <c r="U467" s="67"/>
      <c r="V467" s="67"/>
      <c r="W467" s="67"/>
      <c r="X467" s="67"/>
      <c r="Y467" s="67"/>
      <c r="Z467" s="67"/>
      <c r="AA467" s="67"/>
      <c r="AB467" s="67"/>
      <c r="AC467" s="67"/>
      <c r="AD467" s="67"/>
      <c r="AE467" s="67"/>
      <c r="AF467" s="67"/>
      <c r="AG467" s="67"/>
      <c r="AH467" s="67"/>
    </row>
    <row r="468">
      <c r="A468" s="171"/>
      <c r="B468" s="172"/>
      <c r="C468" s="172"/>
      <c r="D468" s="172"/>
      <c r="E468" s="172"/>
      <c r="F468" s="172"/>
      <c r="G468" s="172"/>
      <c r="H468" s="172"/>
      <c r="I468" s="172"/>
      <c r="J468" s="172"/>
      <c r="K468" s="172"/>
      <c r="L468" s="172"/>
      <c r="M468" s="172"/>
      <c r="N468" s="172"/>
      <c r="O468" s="172"/>
      <c r="P468" s="172"/>
      <c r="Q468" s="172"/>
      <c r="R468" s="173"/>
      <c r="S468" s="67"/>
      <c r="T468" s="67"/>
      <c r="U468" s="67"/>
      <c r="V468" s="67"/>
      <c r="W468" s="67"/>
      <c r="X468" s="67"/>
      <c r="Y468" s="67"/>
      <c r="Z468" s="67"/>
      <c r="AA468" s="67"/>
      <c r="AB468" s="67"/>
      <c r="AC468" s="67"/>
      <c r="AD468" s="67"/>
      <c r="AE468" s="67"/>
      <c r="AF468" s="67"/>
      <c r="AG468" s="67"/>
      <c r="AH468" s="67"/>
    </row>
    <row r="469">
      <c r="A469" s="174"/>
      <c r="B469" s="175"/>
      <c r="C469" s="175"/>
      <c r="D469" s="175"/>
      <c r="E469" s="175"/>
      <c r="F469" s="175"/>
      <c r="G469" s="175"/>
      <c r="H469" s="175"/>
      <c r="I469" s="175"/>
      <c r="J469" s="175"/>
      <c r="K469" s="175"/>
      <c r="L469" s="175"/>
      <c r="M469" s="175"/>
      <c r="N469" s="175"/>
      <c r="O469" s="175"/>
      <c r="P469" s="175"/>
      <c r="Q469" s="175"/>
      <c r="R469" s="176"/>
      <c r="S469" s="67"/>
      <c r="T469" s="67"/>
      <c r="U469" s="67"/>
      <c r="V469" s="67"/>
      <c r="W469" s="67"/>
      <c r="X469" s="67"/>
      <c r="Y469" s="67"/>
      <c r="Z469" s="67"/>
      <c r="AA469" s="67"/>
      <c r="AB469" s="67"/>
      <c r="AC469" s="67"/>
      <c r="AD469" s="67"/>
      <c r="AE469" s="67"/>
      <c r="AF469" s="67"/>
      <c r="AG469" s="67"/>
      <c r="AH469" s="67"/>
    </row>
    <row r="470">
      <c r="A470" s="171"/>
      <c r="B470" s="172"/>
      <c r="C470" s="172"/>
      <c r="D470" s="172"/>
      <c r="E470" s="172"/>
      <c r="F470" s="172"/>
      <c r="G470" s="172"/>
      <c r="H470" s="172"/>
      <c r="I470" s="172"/>
      <c r="J470" s="172"/>
      <c r="K470" s="172"/>
      <c r="L470" s="172"/>
      <c r="M470" s="172"/>
      <c r="N470" s="172"/>
      <c r="O470" s="172"/>
      <c r="P470" s="172"/>
      <c r="Q470" s="172"/>
      <c r="R470" s="173"/>
      <c r="S470" s="67"/>
      <c r="T470" s="67"/>
      <c r="U470" s="67"/>
      <c r="V470" s="67"/>
      <c r="W470" s="67"/>
      <c r="X470" s="67"/>
      <c r="Y470" s="67"/>
      <c r="Z470" s="67"/>
      <c r="AA470" s="67"/>
      <c r="AB470" s="67"/>
      <c r="AC470" s="67"/>
      <c r="AD470" s="67"/>
      <c r="AE470" s="67"/>
      <c r="AF470" s="67"/>
      <c r="AG470" s="67"/>
      <c r="AH470" s="67"/>
    </row>
    <row r="471">
      <c r="A471" s="174"/>
      <c r="B471" s="175"/>
      <c r="C471" s="175"/>
      <c r="D471" s="175"/>
      <c r="E471" s="175"/>
      <c r="F471" s="175"/>
      <c r="G471" s="175"/>
      <c r="H471" s="175"/>
      <c r="I471" s="175"/>
      <c r="J471" s="175"/>
      <c r="K471" s="175"/>
      <c r="L471" s="175"/>
      <c r="M471" s="175"/>
      <c r="N471" s="175"/>
      <c r="O471" s="175"/>
      <c r="P471" s="175"/>
      <c r="Q471" s="175"/>
      <c r="R471" s="176"/>
      <c r="S471" s="67"/>
      <c r="T471" s="67"/>
      <c r="U471" s="67"/>
      <c r="V471" s="67"/>
      <c r="W471" s="67"/>
      <c r="X471" s="67"/>
      <c r="Y471" s="67"/>
      <c r="Z471" s="67"/>
      <c r="AA471" s="67"/>
      <c r="AB471" s="67"/>
      <c r="AC471" s="67"/>
      <c r="AD471" s="67"/>
      <c r="AE471" s="67"/>
      <c r="AF471" s="67"/>
      <c r="AG471" s="67"/>
      <c r="AH471" s="67"/>
    </row>
    <row r="472">
      <c r="A472" s="171"/>
      <c r="B472" s="172"/>
      <c r="C472" s="172"/>
      <c r="D472" s="172"/>
      <c r="E472" s="172"/>
      <c r="F472" s="172"/>
      <c r="G472" s="172"/>
      <c r="H472" s="172"/>
      <c r="I472" s="172"/>
      <c r="J472" s="172"/>
      <c r="K472" s="172"/>
      <c r="L472" s="172"/>
      <c r="M472" s="172"/>
      <c r="N472" s="172"/>
      <c r="O472" s="172"/>
      <c r="P472" s="172"/>
      <c r="Q472" s="172"/>
      <c r="R472" s="173"/>
      <c r="S472" s="67"/>
      <c r="T472" s="67"/>
      <c r="U472" s="67"/>
      <c r="V472" s="67"/>
      <c r="W472" s="67"/>
      <c r="X472" s="67"/>
      <c r="Y472" s="67"/>
      <c r="Z472" s="67"/>
      <c r="AA472" s="67"/>
      <c r="AB472" s="67"/>
      <c r="AC472" s="67"/>
      <c r="AD472" s="67"/>
      <c r="AE472" s="67"/>
      <c r="AF472" s="67"/>
      <c r="AG472" s="67"/>
      <c r="AH472" s="67"/>
    </row>
    <row r="473">
      <c r="A473" s="174"/>
      <c r="B473" s="175"/>
      <c r="C473" s="175"/>
      <c r="D473" s="175"/>
      <c r="E473" s="175"/>
      <c r="F473" s="175"/>
      <c r="G473" s="175"/>
      <c r="H473" s="175"/>
      <c r="I473" s="175"/>
      <c r="J473" s="175"/>
      <c r="K473" s="175"/>
      <c r="L473" s="175"/>
      <c r="M473" s="175"/>
      <c r="N473" s="175"/>
      <c r="O473" s="175"/>
      <c r="P473" s="175"/>
      <c r="Q473" s="175"/>
      <c r="R473" s="176"/>
      <c r="S473" s="67"/>
      <c r="T473" s="67"/>
      <c r="U473" s="67"/>
      <c r="V473" s="67"/>
      <c r="W473" s="67"/>
      <c r="X473" s="67"/>
      <c r="Y473" s="67"/>
      <c r="Z473" s="67"/>
      <c r="AA473" s="67"/>
      <c r="AB473" s="67"/>
      <c r="AC473" s="67"/>
      <c r="AD473" s="67"/>
      <c r="AE473" s="67"/>
      <c r="AF473" s="67"/>
      <c r="AG473" s="67"/>
      <c r="AH473" s="67"/>
    </row>
    <row r="474">
      <c r="A474" s="171"/>
      <c r="B474" s="172"/>
      <c r="C474" s="172"/>
      <c r="D474" s="172"/>
      <c r="E474" s="172"/>
      <c r="F474" s="172"/>
      <c r="G474" s="172"/>
      <c r="H474" s="172"/>
      <c r="I474" s="172"/>
      <c r="J474" s="172"/>
      <c r="K474" s="172"/>
      <c r="L474" s="172"/>
      <c r="M474" s="172"/>
      <c r="N474" s="172"/>
      <c r="O474" s="172"/>
      <c r="P474" s="172"/>
      <c r="Q474" s="172"/>
      <c r="R474" s="173"/>
      <c r="S474" s="67"/>
      <c r="T474" s="67"/>
      <c r="U474" s="67"/>
      <c r="V474" s="67"/>
      <c r="W474" s="67"/>
      <c r="X474" s="67"/>
      <c r="Y474" s="67"/>
      <c r="Z474" s="67"/>
      <c r="AA474" s="67"/>
      <c r="AB474" s="67"/>
      <c r="AC474" s="67"/>
      <c r="AD474" s="67"/>
      <c r="AE474" s="67"/>
      <c r="AF474" s="67"/>
      <c r="AG474" s="67"/>
      <c r="AH474" s="67"/>
    </row>
    <row r="475">
      <c r="A475" s="174"/>
      <c r="B475" s="175"/>
      <c r="C475" s="175"/>
      <c r="D475" s="175"/>
      <c r="E475" s="175"/>
      <c r="F475" s="175"/>
      <c r="G475" s="175"/>
      <c r="H475" s="175"/>
      <c r="I475" s="175"/>
      <c r="J475" s="175"/>
      <c r="K475" s="175"/>
      <c r="L475" s="175"/>
      <c r="M475" s="175"/>
      <c r="N475" s="175"/>
      <c r="O475" s="175"/>
      <c r="P475" s="175"/>
      <c r="Q475" s="175"/>
      <c r="R475" s="176"/>
      <c r="S475" s="67"/>
      <c r="T475" s="67"/>
      <c r="U475" s="67"/>
      <c r="V475" s="67"/>
      <c r="W475" s="67"/>
      <c r="X475" s="67"/>
      <c r="Y475" s="67"/>
      <c r="Z475" s="67"/>
      <c r="AA475" s="67"/>
      <c r="AB475" s="67"/>
      <c r="AC475" s="67"/>
      <c r="AD475" s="67"/>
      <c r="AE475" s="67"/>
      <c r="AF475" s="67"/>
      <c r="AG475" s="67"/>
      <c r="AH475" s="67"/>
    </row>
    <row r="476">
      <c r="A476" s="171"/>
      <c r="B476" s="172"/>
      <c r="C476" s="172"/>
      <c r="D476" s="172"/>
      <c r="E476" s="172"/>
      <c r="F476" s="172"/>
      <c r="G476" s="172"/>
      <c r="H476" s="172"/>
      <c r="I476" s="172"/>
      <c r="J476" s="172"/>
      <c r="K476" s="172"/>
      <c r="L476" s="172"/>
      <c r="M476" s="172"/>
      <c r="N476" s="172"/>
      <c r="O476" s="172"/>
      <c r="P476" s="172"/>
      <c r="Q476" s="172"/>
      <c r="R476" s="173"/>
      <c r="S476" s="67"/>
      <c r="T476" s="67"/>
      <c r="U476" s="67"/>
      <c r="V476" s="67"/>
      <c r="W476" s="67"/>
      <c r="X476" s="67"/>
      <c r="Y476" s="67"/>
      <c r="Z476" s="67"/>
      <c r="AA476" s="67"/>
      <c r="AB476" s="67"/>
      <c r="AC476" s="67"/>
      <c r="AD476" s="67"/>
      <c r="AE476" s="67"/>
      <c r="AF476" s="67"/>
      <c r="AG476" s="67"/>
      <c r="AH476" s="67"/>
    </row>
    <row r="477">
      <c r="A477" s="174"/>
      <c r="B477" s="175"/>
      <c r="C477" s="175"/>
      <c r="D477" s="175"/>
      <c r="E477" s="175"/>
      <c r="F477" s="175"/>
      <c r="G477" s="175"/>
      <c r="H477" s="175"/>
      <c r="I477" s="175"/>
      <c r="J477" s="175"/>
      <c r="K477" s="175"/>
      <c r="L477" s="175"/>
      <c r="M477" s="175"/>
      <c r="N477" s="175"/>
      <c r="O477" s="175"/>
      <c r="P477" s="175"/>
      <c r="Q477" s="175"/>
      <c r="R477" s="176"/>
      <c r="S477" s="67"/>
      <c r="T477" s="67"/>
      <c r="U477" s="67"/>
      <c r="V477" s="67"/>
      <c r="W477" s="67"/>
      <c r="X477" s="67"/>
      <c r="Y477" s="67"/>
      <c r="Z477" s="67"/>
      <c r="AA477" s="67"/>
      <c r="AB477" s="67"/>
      <c r="AC477" s="67"/>
      <c r="AD477" s="67"/>
      <c r="AE477" s="67"/>
      <c r="AF477" s="67"/>
      <c r="AG477" s="67"/>
      <c r="AH477" s="67"/>
    </row>
    <row r="478">
      <c r="A478" s="171"/>
      <c r="B478" s="172"/>
      <c r="C478" s="172"/>
      <c r="D478" s="172"/>
      <c r="E478" s="172"/>
      <c r="F478" s="172"/>
      <c r="G478" s="172"/>
      <c r="H478" s="172"/>
      <c r="I478" s="172"/>
      <c r="J478" s="172"/>
      <c r="K478" s="172"/>
      <c r="L478" s="172"/>
      <c r="M478" s="172"/>
      <c r="N478" s="172"/>
      <c r="O478" s="172"/>
      <c r="P478" s="172"/>
      <c r="Q478" s="172"/>
      <c r="R478" s="173"/>
      <c r="S478" s="67"/>
      <c r="T478" s="67"/>
      <c r="U478" s="67"/>
      <c r="V478" s="67"/>
      <c r="W478" s="67"/>
      <c r="X478" s="67"/>
      <c r="Y478" s="67"/>
      <c r="Z478" s="67"/>
      <c r="AA478" s="67"/>
      <c r="AB478" s="67"/>
      <c r="AC478" s="67"/>
      <c r="AD478" s="67"/>
      <c r="AE478" s="67"/>
      <c r="AF478" s="67"/>
      <c r="AG478" s="67"/>
      <c r="AH478" s="67"/>
    </row>
    <row r="479">
      <c r="A479" s="174"/>
      <c r="B479" s="175"/>
      <c r="C479" s="175"/>
      <c r="D479" s="175"/>
      <c r="E479" s="175"/>
      <c r="F479" s="175"/>
      <c r="G479" s="175"/>
      <c r="H479" s="175"/>
      <c r="I479" s="175"/>
      <c r="J479" s="175"/>
      <c r="K479" s="175"/>
      <c r="L479" s="175"/>
      <c r="M479" s="175"/>
      <c r="N479" s="175"/>
      <c r="O479" s="175"/>
      <c r="P479" s="175"/>
      <c r="Q479" s="175"/>
      <c r="R479" s="176"/>
      <c r="S479" s="67"/>
      <c r="T479" s="67"/>
      <c r="U479" s="67"/>
      <c r="V479" s="67"/>
      <c r="W479" s="67"/>
      <c r="X479" s="67"/>
      <c r="Y479" s="67"/>
      <c r="Z479" s="67"/>
      <c r="AA479" s="67"/>
      <c r="AB479" s="67"/>
      <c r="AC479" s="67"/>
      <c r="AD479" s="67"/>
      <c r="AE479" s="67"/>
      <c r="AF479" s="67"/>
      <c r="AG479" s="67"/>
      <c r="AH479" s="67"/>
    </row>
    <row r="480">
      <c r="A480" s="171"/>
      <c r="B480" s="172"/>
      <c r="C480" s="172"/>
      <c r="D480" s="172"/>
      <c r="E480" s="172"/>
      <c r="F480" s="172"/>
      <c r="G480" s="172"/>
      <c r="H480" s="172"/>
      <c r="I480" s="172"/>
      <c r="J480" s="172"/>
      <c r="K480" s="172"/>
      <c r="L480" s="172"/>
      <c r="M480" s="172"/>
      <c r="N480" s="172"/>
      <c r="O480" s="172"/>
      <c r="P480" s="172"/>
      <c r="Q480" s="172"/>
      <c r="R480" s="173"/>
      <c r="S480" s="67"/>
      <c r="T480" s="67"/>
      <c r="U480" s="67"/>
      <c r="V480" s="67"/>
      <c r="W480" s="67"/>
      <c r="X480" s="67"/>
      <c r="Y480" s="67"/>
      <c r="Z480" s="67"/>
      <c r="AA480" s="67"/>
      <c r="AB480" s="67"/>
      <c r="AC480" s="67"/>
      <c r="AD480" s="67"/>
      <c r="AE480" s="67"/>
      <c r="AF480" s="67"/>
      <c r="AG480" s="67"/>
      <c r="AH480" s="67"/>
    </row>
    <row r="481">
      <c r="A481" s="174"/>
      <c r="B481" s="175"/>
      <c r="C481" s="175"/>
      <c r="D481" s="175"/>
      <c r="E481" s="175"/>
      <c r="F481" s="175"/>
      <c r="G481" s="175"/>
      <c r="H481" s="175"/>
      <c r="I481" s="175"/>
      <c r="J481" s="175"/>
      <c r="K481" s="175"/>
      <c r="L481" s="175"/>
      <c r="M481" s="175"/>
      <c r="N481" s="175"/>
      <c r="O481" s="175"/>
      <c r="P481" s="175"/>
      <c r="Q481" s="175"/>
      <c r="R481" s="176"/>
      <c r="S481" s="67"/>
      <c r="T481" s="67"/>
      <c r="U481" s="67"/>
      <c r="V481" s="67"/>
      <c r="W481" s="67"/>
      <c r="X481" s="67"/>
      <c r="Y481" s="67"/>
      <c r="Z481" s="67"/>
      <c r="AA481" s="67"/>
      <c r="AB481" s="67"/>
      <c r="AC481" s="67"/>
      <c r="AD481" s="67"/>
      <c r="AE481" s="67"/>
      <c r="AF481" s="67"/>
      <c r="AG481" s="67"/>
      <c r="AH481" s="67"/>
    </row>
    <row r="482">
      <c r="A482" s="171"/>
      <c r="B482" s="172"/>
      <c r="C482" s="172"/>
      <c r="D482" s="172"/>
      <c r="E482" s="172"/>
      <c r="F482" s="172"/>
      <c r="G482" s="172"/>
      <c r="H482" s="172"/>
      <c r="I482" s="172"/>
      <c r="J482" s="172"/>
      <c r="K482" s="172"/>
      <c r="L482" s="172"/>
      <c r="M482" s="172"/>
      <c r="N482" s="172"/>
      <c r="O482" s="172"/>
      <c r="P482" s="172"/>
      <c r="Q482" s="172"/>
      <c r="R482" s="173"/>
      <c r="S482" s="67"/>
      <c r="T482" s="67"/>
      <c r="U482" s="67"/>
      <c r="V482" s="67"/>
      <c r="W482" s="67"/>
      <c r="X482" s="67"/>
      <c r="Y482" s="67"/>
      <c r="Z482" s="67"/>
      <c r="AA482" s="67"/>
      <c r="AB482" s="67"/>
      <c r="AC482" s="67"/>
      <c r="AD482" s="67"/>
      <c r="AE482" s="67"/>
      <c r="AF482" s="67"/>
      <c r="AG482" s="67"/>
      <c r="AH482" s="67"/>
    </row>
    <row r="483">
      <c r="A483" s="174"/>
      <c r="B483" s="175"/>
      <c r="C483" s="175"/>
      <c r="D483" s="175"/>
      <c r="E483" s="175"/>
      <c r="F483" s="175"/>
      <c r="G483" s="175"/>
      <c r="H483" s="175"/>
      <c r="I483" s="175"/>
      <c r="J483" s="175"/>
      <c r="K483" s="175"/>
      <c r="L483" s="175"/>
      <c r="M483" s="175"/>
      <c r="N483" s="175"/>
      <c r="O483" s="175"/>
      <c r="P483" s="175"/>
      <c r="Q483" s="175"/>
      <c r="R483" s="176"/>
      <c r="S483" s="67"/>
      <c r="T483" s="67"/>
      <c r="U483" s="67"/>
      <c r="V483" s="67"/>
      <c r="W483" s="67"/>
      <c r="X483" s="67"/>
      <c r="Y483" s="67"/>
      <c r="Z483" s="67"/>
      <c r="AA483" s="67"/>
      <c r="AB483" s="67"/>
      <c r="AC483" s="67"/>
      <c r="AD483" s="67"/>
      <c r="AE483" s="67"/>
      <c r="AF483" s="67"/>
      <c r="AG483" s="67"/>
      <c r="AH483" s="67"/>
    </row>
    <row r="484">
      <c r="A484" s="171"/>
      <c r="B484" s="172"/>
      <c r="C484" s="172"/>
      <c r="D484" s="172"/>
      <c r="E484" s="172"/>
      <c r="F484" s="172"/>
      <c r="G484" s="172"/>
      <c r="H484" s="172"/>
      <c r="I484" s="172"/>
      <c r="J484" s="172"/>
      <c r="K484" s="172"/>
      <c r="L484" s="172"/>
      <c r="M484" s="172"/>
      <c r="N484" s="172"/>
      <c r="O484" s="172"/>
      <c r="P484" s="172"/>
      <c r="Q484" s="172"/>
      <c r="R484" s="173"/>
      <c r="S484" s="67"/>
      <c r="T484" s="67"/>
      <c r="U484" s="67"/>
      <c r="V484" s="67"/>
      <c r="W484" s="67"/>
      <c r="X484" s="67"/>
      <c r="Y484" s="67"/>
      <c r="Z484" s="67"/>
      <c r="AA484" s="67"/>
      <c r="AB484" s="67"/>
      <c r="AC484" s="67"/>
      <c r="AD484" s="67"/>
      <c r="AE484" s="67"/>
      <c r="AF484" s="67"/>
      <c r="AG484" s="67"/>
      <c r="AH484" s="67"/>
    </row>
    <row r="485">
      <c r="A485" s="174"/>
      <c r="B485" s="175"/>
      <c r="C485" s="175"/>
      <c r="D485" s="175"/>
      <c r="E485" s="175"/>
      <c r="F485" s="175"/>
      <c r="G485" s="175"/>
      <c r="H485" s="175"/>
      <c r="I485" s="175"/>
      <c r="J485" s="175"/>
      <c r="K485" s="175"/>
      <c r="L485" s="175"/>
      <c r="M485" s="175"/>
      <c r="N485" s="175"/>
      <c r="O485" s="175"/>
      <c r="P485" s="175"/>
      <c r="Q485" s="175"/>
      <c r="R485" s="176"/>
      <c r="S485" s="67"/>
      <c r="T485" s="67"/>
      <c r="U485" s="67"/>
      <c r="V485" s="67"/>
      <c r="W485" s="67"/>
      <c r="X485" s="67"/>
      <c r="Y485" s="67"/>
      <c r="Z485" s="67"/>
      <c r="AA485" s="67"/>
      <c r="AB485" s="67"/>
      <c r="AC485" s="67"/>
      <c r="AD485" s="67"/>
      <c r="AE485" s="67"/>
      <c r="AF485" s="67"/>
      <c r="AG485" s="67"/>
      <c r="AH485" s="67"/>
    </row>
    <row r="486">
      <c r="A486" s="171"/>
      <c r="B486" s="172"/>
      <c r="C486" s="172"/>
      <c r="D486" s="172"/>
      <c r="E486" s="172"/>
      <c r="F486" s="172"/>
      <c r="G486" s="172"/>
      <c r="H486" s="172"/>
      <c r="I486" s="172"/>
      <c r="J486" s="172"/>
      <c r="K486" s="172"/>
      <c r="L486" s="172"/>
      <c r="M486" s="172"/>
      <c r="N486" s="172"/>
      <c r="O486" s="172"/>
      <c r="P486" s="172"/>
      <c r="Q486" s="172"/>
      <c r="R486" s="173"/>
      <c r="S486" s="67"/>
      <c r="T486" s="67"/>
      <c r="U486" s="67"/>
      <c r="V486" s="67"/>
      <c r="W486" s="67"/>
      <c r="X486" s="67"/>
      <c r="Y486" s="67"/>
      <c r="Z486" s="67"/>
      <c r="AA486" s="67"/>
      <c r="AB486" s="67"/>
      <c r="AC486" s="67"/>
      <c r="AD486" s="67"/>
      <c r="AE486" s="67"/>
      <c r="AF486" s="67"/>
      <c r="AG486" s="67"/>
      <c r="AH486" s="67"/>
    </row>
    <row r="487">
      <c r="A487" s="174"/>
      <c r="B487" s="175"/>
      <c r="C487" s="175"/>
      <c r="D487" s="175"/>
      <c r="E487" s="175"/>
      <c r="F487" s="175"/>
      <c r="G487" s="175"/>
      <c r="H487" s="175"/>
      <c r="I487" s="175"/>
      <c r="J487" s="175"/>
      <c r="K487" s="175"/>
      <c r="L487" s="175"/>
      <c r="M487" s="175"/>
      <c r="N487" s="175"/>
      <c r="O487" s="175"/>
      <c r="P487" s="175"/>
      <c r="Q487" s="175"/>
      <c r="R487" s="176"/>
      <c r="S487" s="67"/>
      <c r="T487" s="67"/>
      <c r="U487" s="67"/>
      <c r="V487" s="67"/>
      <c r="W487" s="67"/>
      <c r="X487" s="67"/>
      <c r="Y487" s="67"/>
      <c r="Z487" s="67"/>
      <c r="AA487" s="67"/>
      <c r="AB487" s="67"/>
      <c r="AC487" s="67"/>
      <c r="AD487" s="67"/>
      <c r="AE487" s="67"/>
      <c r="AF487" s="67"/>
      <c r="AG487" s="67"/>
      <c r="AH487" s="67"/>
    </row>
    <row r="488">
      <c r="A488" s="171"/>
      <c r="B488" s="172"/>
      <c r="C488" s="172"/>
      <c r="D488" s="172"/>
      <c r="E488" s="172"/>
      <c r="F488" s="172"/>
      <c r="G488" s="172"/>
      <c r="H488" s="172"/>
      <c r="I488" s="172"/>
      <c r="J488" s="172"/>
      <c r="K488" s="172"/>
      <c r="L488" s="172"/>
      <c r="M488" s="172"/>
      <c r="N488" s="172"/>
      <c r="O488" s="172"/>
      <c r="P488" s="172"/>
      <c r="Q488" s="172"/>
      <c r="R488" s="173"/>
      <c r="S488" s="67"/>
      <c r="T488" s="67"/>
      <c r="U488" s="67"/>
      <c r="V488" s="67"/>
      <c r="W488" s="67"/>
      <c r="X488" s="67"/>
      <c r="Y488" s="67"/>
      <c r="Z488" s="67"/>
      <c r="AA488" s="67"/>
      <c r="AB488" s="67"/>
      <c r="AC488" s="67"/>
      <c r="AD488" s="67"/>
      <c r="AE488" s="67"/>
      <c r="AF488" s="67"/>
      <c r="AG488" s="67"/>
      <c r="AH488" s="67"/>
    </row>
    <row r="489">
      <c r="A489" s="174"/>
      <c r="B489" s="175"/>
      <c r="C489" s="175"/>
      <c r="D489" s="175"/>
      <c r="E489" s="175"/>
      <c r="F489" s="175"/>
      <c r="G489" s="175"/>
      <c r="H489" s="175"/>
      <c r="I489" s="175"/>
      <c r="J489" s="175"/>
      <c r="K489" s="175"/>
      <c r="L489" s="175"/>
      <c r="M489" s="175"/>
      <c r="N489" s="175"/>
      <c r="O489" s="175"/>
      <c r="P489" s="175"/>
      <c r="Q489" s="175"/>
      <c r="R489" s="176"/>
      <c r="S489" s="67"/>
      <c r="T489" s="67"/>
      <c r="U489" s="67"/>
      <c r="V489" s="67"/>
      <c r="W489" s="67"/>
      <c r="X489" s="67"/>
      <c r="Y489" s="67"/>
      <c r="Z489" s="67"/>
      <c r="AA489" s="67"/>
      <c r="AB489" s="67"/>
      <c r="AC489" s="67"/>
      <c r="AD489" s="67"/>
      <c r="AE489" s="67"/>
      <c r="AF489" s="67"/>
      <c r="AG489" s="67"/>
      <c r="AH489" s="67"/>
    </row>
    <row r="490">
      <c r="A490" s="171"/>
      <c r="B490" s="172"/>
      <c r="C490" s="172"/>
      <c r="D490" s="172"/>
      <c r="E490" s="172"/>
      <c r="F490" s="172"/>
      <c r="G490" s="172"/>
      <c r="H490" s="172"/>
      <c r="I490" s="172"/>
      <c r="J490" s="172"/>
      <c r="K490" s="172"/>
      <c r="L490" s="172"/>
      <c r="M490" s="172"/>
      <c r="N490" s="172"/>
      <c r="O490" s="172"/>
      <c r="P490" s="172"/>
      <c r="Q490" s="172"/>
      <c r="R490" s="173"/>
      <c r="S490" s="67"/>
      <c r="T490" s="67"/>
      <c r="U490" s="67"/>
      <c r="V490" s="67"/>
      <c r="W490" s="67"/>
      <c r="X490" s="67"/>
      <c r="Y490" s="67"/>
      <c r="Z490" s="67"/>
      <c r="AA490" s="67"/>
      <c r="AB490" s="67"/>
      <c r="AC490" s="67"/>
      <c r="AD490" s="67"/>
      <c r="AE490" s="67"/>
      <c r="AF490" s="67"/>
      <c r="AG490" s="67"/>
      <c r="AH490" s="67"/>
    </row>
    <row r="491">
      <c r="A491" s="174"/>
      <c r="B491" s="175"/>
      <c r="C491" s="175"/>
      <c r="D491" s="175"/>
      <c r="E491" s="175"/>
      <c r="F491" s="175"/>
      <c r="G491" s="175"/>
      <c r="H491" s="175"/>
      <c r="I491" s="175"/>
      <c r="J491" s="175"/>
      <c r="K491" s="175"/>
      <c r="L491" s="175"/>
      <c r="M491" s="175"/>
      <c r="N491" s="175"/>
      <c r="O491" s="175"/>
      <c r="P491" s="175"/>
      <c r="Q491" s="175"/>
      <c r="R491" s="176"/>
      <c r="S491" s="67"/>
      <c r="T491" s="67"/>
      <c r="U491" s="67"/>
      <c r="V491" s="67"/>
      <c r="W491" s="67"/>
      <c r="X491" s="67"/>
      <c r="Y491" s="67"/>
      <c r="Z491" s="67"/>
      <c r="AA491" s="67"/>
      <c r="AB491" s="67"/>
      <c r="AC491" s="67"/>
      <c r="AD491" s="67"/>
      <c r="AE491" s="67"/>
      <c r="AF491" s="67"/>
      <c r="AG491" s="67"/>
      <c r="AH491" s="67"/>
    </row>
    <row r="492">
      <c r="A492" s="171"/>
      <c r="B492" s="172"/>
      <c r="C492" s="172"/>
      <c r="D492" s="172"/>
      <c r="E492" s="172"/>
      <c r="F492" s="172"/>
      <c r="G492" s="172"/>
      <c r="H492" s="172"/>
      <c r="I492" s="172"/>
      <c r="J492" s="172"/>
      <c r="K492" s="172"/>
      <c r="L492" s="172"/>
      <c r="M492" s="172"/>
      <c r="N492" s="172"/>
      <c r="O492" s="172"/>
      <c r="P492" s="172"/>
      <c r="Q492" s="172"/>
      <c r="R492" s="173"/>
      <c r="S492" s="67"/>
      <c r="T492" s="67"/>
      <c r="U492" s="67"/>
      <c r="V492" s="67"/>
      <c r="W492" s="67"/>
      <c r="X492" s="67"/>
      <c r="Y492" s="67"/>
      <c r="Z492" s="67"/>
      <c r="AA492" s="67"/>
      <c r="AB492" s="67"/>
      <c r="AC492" s="67"/>
      <c r="AD492" s="67"/>
      <c r="AE492" s="67"/>
      <c r="AF492" s="67"/>
      <c r="AG492" s="67"/>
      <c r="AH492" s="67"/>
    </row>
    <row r="493">
      <c r="A493" s="174"/>
      <c r="B493" s="175"/>
      <c r="C493" s="175"/>
      <c r="D493" s="175"/>
      <c r="E493" s="175"/>
      <c r="F493" s="175"/>
      <c r="G493" s="175"/>
      <c r="H493" s="175"/>
      <c r="I493" s="175"/>
      <c r="J493" s="175"/>
      <c r="K493" s="175"/>
      <c r="L493" s="175"/>
      <c r="M493" s="175"/>
      <c r="N493" s="175"/>
      <c r="O493" s="175"/>
      <c r="P493" s="175"/>
      <c r="Q493" s="175"/>
      <c r="R493" s="176"/>
      <c r="S493" s="67"/>
      <c r="T493" s="67"/>
      <c r="U493" s="67"/>
      <c r="V493" s="67"/>
      <c r="W493" s="67"/>
      <c r="X493" s="67"/>
      <c r="Y493" s="67"/>
      <c r="Z493" s="67"/>
      <c r="AA493" s="67"/>
      <c r="AB493" s="67"/>
      <c r="AC493" s="67"/>
      <c r="AD493" s="67"/>
      <c r="AE493" s="67"/>
      <c r="AF493" s="67"/>
      <c r="AG493" s="67"/>
      <c r="AH493" s="67"/>
    </row>
    <row r="494">
      <c r="A494" s="171"/>
      <c r="B494" s="172"/>
      <c r="C494" s="172"/>
      <c r="D494" s="172"/>
      <c r="E494" s="172"/>
      <c r="F494" s="172"/>
      <c r="G494" s="172"/>
      <c r="H494" s="172"/>
      <c r="I494" s="172"/>
      <c r="J494" s="172"/>
      <c r="K494" s="172"/>
      <c r="L494" s="172"/>
      <c r="M494" s="172"/>
      <c r="N494" s="172"/>
      <c r="O494" s="172"/>
      <c r="P494" s="172"/>
      <c r="Q494" s="172"/>
      <c r="R494" s="173"/>
      <c r="S494" s="67"/>
      <c r="T494" s="67"/>
      <c r="U494" s="67"/>
      <c r="V494" s="67"/>
      <c r="W494" s="67"/>
      <c r="X494" s="67"/>
      <c r="Y494" s="67"/>
      <c r="Z494" s="67"/>
      <c r="AA494" s="67"/>
      <c r="AB494" s="67"/>
      <c r="AC494" s="67"/>
      <c r="AD494" s="67"/>
      <c r="AE494" s="67"/>
      <c r="AF494" s="67"/>
      <c r="AG494" s="67"/>
      <c r="AH494" s="67"/>
    </row>
    <row r="495">
      <c r="A495" s="174"/>
      <c r="B495" s="175"/>
      <c r="C495" s="175"/>
      <c r="D495" s="175"/>
      <c r="E495" s="175"/>
      <c r="F495" s="175"/>
      <c r="G495" s="175"/>
      <c r="H495" s="175"/>
      <c r="I495" s="175"/>
      <c r="J495" s="175"/>
      <c r="K495" s="175"/>
      <c r="L495" s="175"/>
      <c r="M495" s="175"/>
      <c r="N495" s="175"/>
      <c r="O495" s="175"/>
      <c r="P495" s="175"/>
      <c r="Q495" s="175"/>
      <c r="R495" s="176"/>
      <c r="S495" s="67"/>
      <c r="T495" s="67"/>
      <c r="U495" s="67"/>
      <c r="V495" s="67"/>
      <c r="W495" s="67"/>
      <c r="X495" s="67"/>
      <c r="Y495" s="67"/>
      <c r="Z495" s="67"/>
      <c r="AA495" s="67"/>
      <c r="AB495" s="67"/>
      <c r="AC495" s="67"/>
      <c r="AD495" s="67"/>
      <c r="AE495" s="67"/>
      <c r="AF495" s="67"/>
      <c r="AG495" s="67"/>
      <c r="AH495" s="67"/>
    </row>
    <row r="496">
      <c r="A496" s="171"/>
      <c r="B496" s="172"/>
      <c r="C496" s="172"/>
      <c r="D496" s="172"/>
      <c r="E496" s="172"/>
      <c r="F496" s="172"/>
      <c r="G496" s="172"/>
      <c r="H496" s="172"/>
      <c r="I496" s="172"/>
      <c r="J496" s="172"/>
      <c r="K496" s="172"/>
      <c r="L496" s="172"/>
      <c r="M496" s="172"/>
      <c r="N496" s="172"/>
      <c r="O496" s="172"/>
      <c r="P496" s="172"/>
      <c r="Q496" s="172"/>
      <c r="R496" s="173"/>
      <c r="S496" s="67"/>
      <c r="T496" s="67"/>
      <c r="U496" s="67"/>
      <c r="V496" s="67"/>
      <c r="W496" s="67"/>
      <c r="X496" s="67"/>
      <c r="Y496" s="67"/>
      <c r="Z496" s="67"/>
      <c r="AA496" s="67"/>
      <c r="AB496" s="67"/>
      <c r="AC496" s="67"/>
      <c r="AD496" s="67"/>
      <c r="AE496" s="67"/>
      <c r="AF496" s="67"/>
      <c r="AG496" s="67"/>
      <c r="AH496" s="67"/>
    </row>
    <row r="497">
      <c r="A497" s="174"/>
      <c r="B497" s="175"/>
      <c r="C497" s="175"/>
      <c r="D497" s="175"/>
      <c r="E497" s="175"/>
      <c r="F497" s="175"/>
      <c r="G497" s="175"/>
      <c r="H497" s="175"/>
      <c r="I497" s="175"/>
      <c r="J497" s="175"/>
      <c r="K497" s="175"/>
      <c r="L497" s="175"/>
      <c r="M497" s="175"/>
      <c r="N497" s="175"/>
      <c r="O497" s="175"/>
      <c r="P497" s="175"/>
      <c r="Q497" s="175"/>
      <c r="R497" s="176"/>
      <c r="S497" s="67"/>
      <c r="T497" s="67"/>
      <c r="U497" s="67"/>
      <c r="V497" s="67"/>
      <c r="W497" s="67"/>
      <c r="X497" s="67"/>
      <c r="Y497" s="67"/>
      <c r="Z497" s="67"/>
      <c r="AA497" s="67"/>
      <c r="AB497" s="67"/>
      <c r="AC497" s="67"/>
      <c r="AD497" s="67"/>
      <c r="AE497" s="67"/>
      <c r="AF497" s="67"/>
      <c r="AG497" s="67"/>
      <c r="AH497" s="67"/>
    </row>
    <row r="498">
      <c r="A498" s="171"/>
      <c r="B498" s="172"/>
      <c r="C498" s="172"/>
      <c r="D498" s="172"/>
      <c r="E498" s="172"/>
      <c r="F498" s="172"/>
      <c r="G498" s="172"/>
      <c r="H498" s="172"/>
      <c r="I498" s="172"/>
      <c r="J498" s="172"/>
      <c r="K498" s="172"/>
      <c r="L498" s="172"/>
      <c r="M498" s="172"/>
      <c r="N498" s="172"/>
      <c r="O498" s="172"/>
      <c r="P498" s="172"/>
      <c r="Q498" s="172"/>
      <c r="R498" s="173"/>
      <c r="S498" s="67"/>
      <c r="T498" s="67"/>
      <c r="U498" s="67"/>
      <c r="V498" s="67"/>
      <c r="W498" s="67"/>
      <c r="X498" s="67"/>
      <c r="Y498" s="67"/>
      <c r="Z498" s="67"/>
      <c r="AA498" s="67"/>
      <c r="AB498" s="67"/>
      <c r="AC498" s="67"/>
      <c r="AD498" s="67"/>
      <c r="AE498" s="67"/>
      <c r="AF498" s="67"/>
      <c r="AG498" s="67"/>
      <c r="AH498" s="67"/>
    </row>
    <row r="499">
      <c r="A499" s="174"/>
      <c r="B499" s="175"/>
      <c r="C499" s="175"/>
      <c r="D499" s="175"/>
      <c r="E499" s="175"/>
      <c r="F499" s="175"/>
      <c r="G499" s="175"/>
      <c r="H499" s="175"/>
      <c r="I499" s="175"/>
      <c r="J499" s="175"/>
      <c r="K499" s="175"/>
      <c r="L499" s="175"/>
      <c r="M499" s="175"/>
      <c r="N499" s="175"/>
      <c r="O499" s="175"/>
      <c r="P499" s="175"/>
      <c r="Q499" s="175"/>
      <c r="R499" s="176"/>
      <c r="S499" s="67"/>
      <c r="T499" s="67"/>
      <c r="U499" s="67"/>
      <c r="V499" s="67"/>
      <c r="W499" s="67"/>
      <c r="X499" s="67"/>
      <c r="Y499" s="67"/>
      <c r="Z499" s="67"/>
      <c r="AA499" s="67"/>
      <c r="AB499" s="67"/>
      <c r="AC499" s="67"/>
      <c r="AD499" s="67"/>
      <c r="AE499" s="67"/>
      <c r="AF499" s="67"/>
      <c r="AG499" s="67"/>
      <c r="AH499" s="67"/>
    </row>
    <row r="500">
      <c r="A500" s="171"/>
      <c r="B500" s="172"/>
      <c r="C500" s="172"/>
      <c r="D500" s="172"/>
      <c r="E500" s="172"/>
      <c r="F500" s="172"/>
      <c r="G500" s="172"/>
      <c r="H500" s="172"/>
      <c r="I500" s="172"/>
      <c r="J500" s="172"/>
      <c r="K500" s="172"/>
      <c r="L500" s="172"/>
      <c r="M500" s="172"/>
      <c r="N500" s="172"/>
      <c r="O500" s="172"/>
      <c r="P500" s="172"/>
      <c r="Q500" s="172"/>
      <c r="R500" s="173"/>
      <c r="S500" s="67"/>
      <c r="T500" s="67"/>
      <c r="U500" s="67"/>
      <c r="V500" s="67"/>
      <c r="W500" s="67"/>
      <c r="X500" s="67"/>
      <c r="Y500" s="67"/>
      <c r="Z500" s="67"/>
      <c r="AA500" s="67"/>
      <c r="AB500" s="67"/>
      <c r="AC500" s="67"/>
      <c r="AD500" s="67"/>
      <c r="AE500" s="67"/>
      <c r="AF500" s="67"/>
      <c r="AG500" s="67"/>
      <c r="AH500" s="67"/>
    </row>
    <row r="501">
      <c r="A501" s="174"/>
      <c r="B501" s="175"/>
      <c r="C501" s="175"/>
      <c r="D501" s="175"/>
      <c r="E501" s="175"/>
      <c r="F501" s="175"/>
      <c r="G501" s="175"/>
      <c r="H501" s="175"/>
      <c r="I501" s="175"/>
      <c r="J501" s="175"/>
      <c r="K501" s="175"/>
      <c r="L501" s="175"/>
      <c r="M501" s="175"/>
      <c r="N501" s="175"/>
      <c r="O501" s="175"/>
      <c r="P501" s="175"/>
      <c r="Q501" s="175"/>
      <c r="R501" s="176"/>
      <c r="S501" s="67"/>
      <c r="T501" s="67"/>
      <c r="U501" s="67"/>
      <c r="V501" s="67"/>
      <c r="W501" s="67"/>
      <c r="X501" s="67"/>
      <c r="Y501" s="67"/>
      <c r="Z501" s="67"/>
      <c r="AA501" s="67"/>
      <c r="AB501" s="67"/>
      <c r="AC501" s="67"/>
      <c r="AD501" s="67"/>
      <c r="AE501" s="67"/>
      <c r="AF501" s="67"/>
      <c r="AG501" s="67"/>
      <c r="AH501" s="67"/>
    </row>
    <row r="502">
      <c r="A502" s="171"/>
      <c r="B502" s="172"/>
      <c r="C502" s="172"/>
      <c r="D502" s="172"/>
      <c r="E502" s="172"/>
      <c r="F502" s="172"/>
      <c r="G502" s="172"/>
      <c r="H502" s="172"/>
      <c r="I502" s="172"/>
      <c r="J502" s="172"/>
      <c r="K502" s="172"/>
      <c r="L502" s="172"/>
      <c r="M502" s="172"/>
      <c r="N502" s="172"/>
      <c r="O502" s="172"/>
      <c r="P502" s="172"/>
      <c r="Q502" s="172"/>
      <c r="R502" s="173"/>
      <c r="S502" s="67"/>
      <c r="T502" s="67"/>
      <c r="U502" s="67"/>
      <c r="V502" s="67"/>
      <c r="W502" s="67"/>
      <c r="X502" s="67"/>
      <c r="Y502" s="67"/>
      <c r="Z502" s="67"/>
      <c r="AA502" s="67"/>
      <c r="AB502" s="67"/>
      <c r="AC502" s="67"/>
      <c r="AD502" s="67"/>
      <c r="AE502" s="67"/>
      <c r="AF502" s="67"/>
      <c r="AG502" s="67"/>
      <c r="AH502" s="67"/>
    </row>
    <row r="503">
      <c r="A503" s="174"/>
      <c r="B503" s="175"/>
      <c r="C503" s="175"/>
      <c r="D503" s="175"/>
      <c r="E503" s="175"/>
      <c r="F503" s="175"/>
      <c r="G503" s="175"/>
      <c r="H503" s="175"/>
      <c r="I503" s="175"/>
      <c r="J503" s="175"/>
      <c r="K503" s="175"/>
      <c r="L503" s="175"/>
      <c r="M503" s="175"/>
      <c r="N503" s="175"/>
      <c r="O503" s="175"/>
      <c r="P503" s="175"/>
      <c r="Q503" s="175"/>
      <c r="R503" s="176"/>
      <c r="S503" s="67"/>
      <c r="T503" s="67"/>
      <c r="U503" s="67"/>
      <c r="V503" s="67"/>
      <c r="W503" s="67"/>
      <c r="X503" s="67"/>
      <c r="Y503" s="67"/>
      <c r="Z503" s="67"/>
      <c r="AA503" s="67"/>
      <c r="AB503" s="67"/>
      <c r="AC503" s="67"/>
      <c r="AD503" s="67"/>
      <c r="AE503" s="67"/>
      <c r="AF503" s="67"/>
      <c r="AG503" s="67"/>
      <c r="AH503" s="67"/>
    </row>
    <row r="504">
      <c r="A504" s="171"/>
      <c r="B504" s="172"/>
      <c r="C504" s="172"/>
      <c r="D504" s="172"/>
      <c r="E504" s="172"/>
      <c r="F504" s="172"/>
      <c r="G504" s="172"/>
      <c r="H504" s="172"/>
      <c r="I504" s="172"/>
      <c r="J504" s="172"/>
      <c r="K504" s="172"/>
      <c r="L504" s="172"/>
      <c r="M504" s="172"/>
      <c r="N504" s="172"/>
      <c r="O504" s="172"/>
      <c r="P504" s="172"/>
      <c r="Q504" s="172"/>
      <c r="R504" s="173"/>
      <c r="S504" s="67"/>
      <c r="T504" s="67"/>
      <c r="U504" s="67"/>
      <c r="V504" s="67"/>
      <c r="W504" s="67"/>
      <c r="X504" s="67"/>
      <c r="Y504" s="67"/>
      <c r="Z504" s="67"/>
      <c r="AA504" s="67"/>
      <c r="AB504" s="67"/>
      <c r="AC504" s="67"/>
      <c r="AD504" s="67"/>
      <c r="AE504" s="67"/>
      <c r="AF504" s="67"/>
      <c r="AG504" s="67"/>
      <c r="AH504" s="67"/>
    </row>
    <row r="505">
      <c r="A505" s="174"/>
      <c r="B505" s="175"/>
      <c r="C505" s="175"/>
      <c r="D505" s="175"/>
      <c r="E505" s="175"/>
      <c r="F505" s="175"/>
      <c r="G505" s="175"/>
      <c r="H505" s="175"/>
      <c r="I505" s="175"/>
      <c r="J505" s="175"/>
      <c r="K505" s="175"/>
      <c r="L505" s="175"/>
      <c r="M505" s="175"/>
      <c r="N505" s="175"/>
      <c r="O505" s="175"/>
      <c r="P505" s="175"/>
      <c r="Q505" s="175"/>
      <c r="R505" s="176"/>
      <c r="S505" s="67"/>
      <c r="T505" s="67"/>
      <c r="U505" s="67"/>
      <c r="V505" s="67"/>
      <c r="W505" s="67"/>
      <c r="X505" s="67"/>
      <c r="Y505" s="67"/>
      <c r="Z505" s="67"/>
      <c r="AA505" s="67"/>
      <c r="AB505" s="67"/>
      <c r="AC505" s="67"/>
      <c r="AD505" s="67"/>
      <c r="AE505" s="67"/>
      <c r="AF505" s="67"/>
      <c r="AG505" s="67"/>
      <c r="AH505" s="67"/>
    </row>
    <row r="506">
      <c r="A506" s="171"/>
      <c r="B506" s="172"/>
      <c r="C506" s="172"/>
      <c r="D506" s="172"/>
      <c r="E506" s="172"/>
      <c r="F506" s="172"/>
      <c r="G506" s="172"/>
      <c r="H506" s="172"/>
      <c r="I506" s="172"/>
      <c r="J506" s="172"/>
      <c r="K506" s="172"/>
      <c r="L506" s="172"/>
      <c r="M506" s="172"/>
      <c r="N506" s="172"/>
      <c r="O506" s="172"/>
      <c r="P506" s="172"/>
      <c r="Q506" s="172"/>
      <c r="R506" s="173"/>
      <c r="S506" s="67"/>
      <c r="T506" s="67"/>
      <c r="U506" s="67"/>
      <c r="V506" s="67"/>
      <c r="W506" s="67"/>
      <c r="X506" s="67"/>
      <c r="Y506" s="67"/>
      <c r="Z506" s="67"/>
      <c r="AA506" s="67"/>
      <c r="AB506" s="67"/>
      <c r="AC506" s="67"/>
      <c r="AD506" s="67"/>
      <c r="AE506" s="67"/>
      <c r="AF506" s="67"/>
      <c r="AG506" s="67"/>
      <c r="AH506" s="67"/>
    </row>
    <row r="507">
      <c r="A507" s="174"/>
      <c r="B507" s="175"/>
      <c r="C507" s="175"/>
      <c r="D507" s="175"/>
      <c r="E507" s="175"/>
      <c r="F507" s="175"/>
      <c r="G507" s="175"/>
      <c r="H507" s="175"/>
      <c r="I507" s="175"/>
      <c r="J507" s="175"/>
      <c r="K507" s="175"/>
      <c r="L507" s="175"/>
      <c r="M507" s="175"/>
      <c r="N507" s="175"/>
      <c r="O507" s="175"/>
      <c r="P507" s="175"/>
      <c r="Q507" s="175"/>
      <c r="R507" s="176"/>
      <c r="S507" s="67"/>
      <c r="T507" s="67"/>
      <c r="U507" s="67"/>
      <c r="V507" s="67"/>
      <c r="W507" s="67"/>
      <c r="X507" s="67"/>
      <c r="Y507" s="67"/>
      <c r="Z507" s="67"/>
      <c r="AA507" s="67"/>
      <c r="AB507" s="67"/>
      <c r="AC507" s="67"/>
      <c r="AD507" s="67"/>
      <c r="AE507" s="67"/>
      <c r="AF507" s="67"/>
      <c r="AG507" s="67"/>
      <c r="AH507" s="67"/>
    </row>
    <row r="508">
      <c r="A508" s="171"/>
      <c r="B508" s="172"/>
      <c r="C508" s="172"/>
      <c r="D508" s="172"/>
      <c r="E508" s="172"/>
      <c r="F508" s="172"/>
      <c r="G508" s="172"/>
      <c r="H508" s="172"/>
      <c r="I508" s="172"/>
      <c r="J508" s="172"/>
      <c r="K508" s="172"/>
      <c r="L508" s="172"/>
      <c r="M508" s="172"/>
      <c r="N508" s="172"/>
      <c r="O508" s="172"/>
      <c r="P508" s="172"/>
      <c r="Q508" s="172"/>
      <c r="R508" s="173"/>
      <c r="S508" s="67"/>
      <c r="T508" s="67"/>
      <c r="U508" s="67"/>
      <c r="V508" s="67"/>
      <c r="W508" s="67"/>
      <c r="X508" s="67"/>
      <c r="Y508" s="67"/>
      <c r="Z508" s="67"/>
      <c r="AA508" s="67"/>
      <c r="AB508" s="67"/>
      <c r="AC508" s="67"/>
      <c r="AD508" s="67"/>
      <c r="AE508" s="67"/>
      <c r="AF508" s="67"/>
      <c r="AG508" s="67"/>
      <c r="AH508" s="67"/>
    </row>
    <row r="509">
      <c r="A509" s="174"/>
      <c r="B509" s="175"/>
      <c r="C509" s="175"/>
      <c r="D509" s="175"/>
      <c r="E509" s="175"/>
      <c r="F509" s="175"/>
      <c r="G509" s="175"/>
      <c r="H509" s="175"/>
      <c r="I509" s="175"/>
      <c r="J509" s="175"/>
      <c r="K509" s="175"/>
      <c r="L509" s="175"/>
      <c r="M509" s="175"/>
      <c r="N509" s="175"/>
      <c r="O509" s="175"/>
      <c r="P509" s="175"/>
      <c r="Q509" s="175"/>
      <c r="R509" s="176"/>
      <c r="S509" s="67"/>
      <c r="T509" s="67"/>
      <c r="U509" s="67"/>
      <c r="V509" s="67"/>
      <c r="W509" s="67"/>
      <c r="X509" s="67"/>
      <c r="Y509" s="67"/>
      <c r="Z509" s="67"/>
      <c r="AA509" s="67"/>
      <c r="AB509" s="67"/>
      <c r="AC509" s="67"/>
      <c r="AD509" s="67"/>
      <c r="AE509" s="67"/>
      <c r="AF509" s="67"/>
      <c r="AG509" s="67"/>
      <c r="AH509" s="67"/>
    </row>
    <row r="510">
      <c r="A510" s="171"/>
      <c r="B510" s="172"/>
      <c r="C510" s="172"/>
      <c r="D510" s="172"/>
      <c r="E510" s="172"/>
      <c r="F510" s="172"/>
      <c r="G510" s="172"/>
      <c r="H510" s="172"/>
      <c r="I510" s="172"/>
      <c r="J510" s="172"/>
      <c r="K510" s="172"/>
      <c r="L510" s="172"/>
      <c r="M510" s="172"/>
      <c r="N510" s="172"/>
      <c r="O510" s="172"/>
      <c r="P510" s="172"/>
      <c r="Q510" s="172"/>
      <c r="R510" s="173"/>
      <c r="S510" s="67"/>
      <c r="T510" s="67"/>
      <c r="U510" s="67"/>
      <c r="V510" s="67"/>
      <c r="W510" s="67"/>
      <c r="X510" s="67"/>
      <c r="Y510" s="67"/>
      <c r="Z510" s="67"/>
      <c r="AA510" s="67"/>
      <c r="AB510" s="67"/>
      <c r="AC510" s="67"/>
      <c r="AD510" s="67"/>
      <c r="AE510" s="67"/>
      <c r="AF510" s="67"/>
      <c r="AG510" s="67"/>
      <c r="AH510" s="67"/>
    </row>
    <row r="511">
      <c r="A511" s="174"/>
      <c r="B511" s="175"/>
      <c r="C511" s="175"/>
      <c r="D511" s="175"/>
      <c r="E511" s="175"/>
      <c r="F511" s="175"/>
      <c r="G511" s="175"/>
      <c r="H511" s="175"/>
      <c r="I511" s="175"/>
      <c r="J511" s="175"/>
      <c r="K511" s="175"/>
      <c r="L511" s="175"/>
      <c r="M511" s="175"/>
      <c r="N511" s="175"/>
      <c r="O511" s="175"/>
      <c r="P511" s="175"/>
      <c r="Q511" s="175"/>
      <c r="R511" s="176"/>
      <c r="S511" s="67"/>
      <c r="T511" s="67"/>
      <c r="U511" s="67"/>
      <c r="V511" s="67"/>
      <c r="W511" s="67"/>
      <c r="X511" s="67"/>
      <c r="Y511" s="67"/>
      <c r="Z511" s="67"/>
      <c r="AA511" s="67"/>
      <c r="AB511" s="67"/>
      <c r="AC511" s="67"/>
      <c r="AD511" s="67"/>
      <c r="AE511" s="67"/>
      <c r="AF511" s="67"/>
      <c r="AG511" s="67"/>
      <c r="AH511" s="67"/>
    </row>
    <row r="512">
      <c r="A512" s="171"/>
      <c r="B512" s="172"/>
      <c r="C512" s="172"/>
      <c r="D512" s="172"/>
      <c r="E512" s="172"/>
      <c r="F512" s="172"/>
      <c r="G512" s="172"/>
      <c r="H512" s="172"/>
      <c r="I512" s="172"/>
      <c r="J512" s="172"/>
      <c r="K512" s="172"/>
      <c r="L512" s="172"/>
      <c r="M512" s="172"/>
      <c r="N512" s="172"/>
      <c r="O512" s="172"/>
      <c r="P512" s="172"/>
      <c r="Q512" s="172"/>
      <c r="R512" s="173"/>
      <c r="S512" s="67"/>
      <c r="T512" s="67"/>
      <c r="U512" s="67"/>
      <c r="V512" s="67"/>
      <c r="W512" s="67"/>
      <c r="X512" s="67"/>
      <c r="Y512" s="67"/>
      <c r="Z512" s="67"/>
      <c r="AA512" s="67"/>
      <c r="AB512" s="67"/>
      <c r="AC512" s="67"/>
      <c r="AD512" s="67"/>
      <c r="AE512" s="67"/>
      <c r="AF512" s="67"/>
      <c r="AG512" s="67"/>
      <c r="AH512" s="67"/>
    </row>
    <row r="513">
      <c r="A513" s="174"/>
      <c r="B513" s="175"/>
      <c r="C513" s="175"/>
      <c r="D513" s="175"/>
      <c r="E513" s="175"/>
      <c r="F513" s="175"/>
      <c r="G513" s="175"/>
      <c r="H513" s="175"/>
      <c r="I513" s="175"/>
      <c r="J513" s="175"/>
      <c r="K513" s="175"/>
      <c r="L513" s="175"/>
      <c r="M513" s="175"/>
      <c r="N513" s="175"/>
      <c r="O513" s="175"/>
      <c r="P513" s="175"/>
      <c r="Q513" s="175"/>
      <c r="R513" s="176"/>
      <c r="S513" s="67"/>
      <c r="T513" s="67"/>
      <c r="U513" s="67"/>
      <c r="V513" s="67"/>
      <c r="W513" s="67"/>
      <c r="X513" s="67"/>
      <c r="Y513" s="67"/>
      <c r="Z513" s="67"/>
      <c r="AA513" s="67"/>
      <c r="AB513" s="67"/>
      <c r="AC513" s="67"/>
      <c r="AD513" s="67"/>
      <c r="AE513" s="67"/>
      <c r="AF513" s="67"/>
      <c r="AG513" s="67"/>
      <c r="AH513" s="67"/>
    </row>
    <row r="514">
      <c r="A514" s="171"/>
      <c r="B514" s="172"/>
      <c r="C514" s="172"/>
      <c r="D514" s="172"/>
      <c r="E514" s="172"/>
      <c r="F514" s="172"/>
      <c r="G514" s="172"/>
      <c r="H514" s="172"/>
      <c r="I514" s="172"/>
      <c r="J514" s="172"/>
      <c r="K514" s="172"/>
      <c r="L514" s="172"/>
      <c r="M514" s="172"/>
      <c r="N514" s="172"/>
      <c r="O514" s="172"/>
      <c r="P514" s="172"/>
      <c r="Q514" s="172"/>
      <c r="R514" s="173"/>
      <c r="S514" s="67"/>
      <c r="T514" s="67"/>
      <c r="U514" s="67"/>
      <c r="V514" s="67"/>
      <c r="W514" s="67"/>
      <c r="X514" s="67"/>
      <c r="Y514" s="67"/>
      <c r="Z514" s="67"/>
      <c r="AA514" s="67"/>
      <c r="AB514" s="67"/>
      <c r="AC514" s="67"/>
      <c r="AD514" s="67"/>
      <c r="AE514" s="67"/>
      <c r="AF514" s="67"/>
      <c r="AG514" s="67"/>
      <c r="AH514" s="67"/>
    </row>
    <row r="515">
      <c r="A515" s="174"/>
      <c r="B515" s="175"/>
      <c r="C515" s="175"/>
      <c r="D515" s="175"/>
      <c r="E515" s="175"/>
      <c r="F515" s="175"/>
      <c r="G515" s="175"/>
      <c r="H515" s="175"/>
      <c r="I515" s="175"/>
      <c r="J515" s="175"/>
      <c r="K515" s="175"/>
      <c r="L515" s="175"/>
      <c r="M515" s="175"/>
      <c r="N515" s="175"/>
      <c r="O515" s="175"/>
      <c r="P515" s="175"/>
      <c r="Q515" s="175"/>
      <c r="R515" s="176"/>
      <c r="S515" s="67"/>
      <c r="T515" s="67"/>
      <c r="U515" s="67"/>
      <c r="V515" s="67"/>
      <c r="W515" s="67"/>
      <c r="X515" s="67"/>
      <c r="Y515" s="67"/>
      <c r="Z515" s="67"/>
      <c r="AA515" s="67"/>
      <c r="AB515" s="67"/>
      <c r="AC515" s="67"/>
      <c r="AD515" s="67"/>
      <c r="AE515" s="67"/>
      <c r="AF515" s="67"/>
      <c r="AG515" s="67"/>
      <c r="AH515" s="67"/>
    </row>
    <row r="516">
      <c r="A516" s="171"/>
      <c r="B516" s="172"/>
      <c r="C516" s="172"/>
      <c r="D516" s="172"/>
      <c r="E516" s="172"/>
      <c r="F516" s="172"/>
      <c r="G516" s="172"/>
      <c r="H516" s="172"/>
      <c r="I516" s="172"/>
      <c r="J516" s="172"/>
      <c r="K516" s="172"/>
      <c r="L516" s="172"/>
      <c r="M516" s="172"/>
      <c r="N516" s="172"/>
      <c r="O516" s="172"/>
      <c r="P516" s="172"/>
      <c r="Q516" s="172"/>
      <c r="R516" s="173"/>
      <c r="S516" s="67"/>
      <c r="T516" s="67"/>
      <c r="U516" s="67"/>
      <c r="V516" s="67"/>
      <c r="W516" s="67"/>
      <c r="X516" s="67"/>
      <c r="Y516" s="67"/>
      <c r="Z516" s="67"/>
      <c r="AA516" s="67"/>
      <c r="AB516" s="67"/>
      <c r="AC516" s="67"/>
      <c r="AD516" s="67"/>
      <c r="AE516" s="67"/>
      <c r="AF516" s="67"/>
      <c r="AG516" s="67"/>
      <c r="AH516" s="67"/>
    </row>
    <row r="517">
      <c r="A517" s="174"/>
      <c r="B517" s="175"/>
      <c r="C517" s="175"/>
      <c r="D517" s="175"/>
      <c r="E517" s="175"/>
      <c r="F517" s="175"/>
      <c r="G517" s="175"/>
      <c r="H517" s="175"/>
      <c r="I517" s="175"/>
      <c r="J517" s="175"/>
      <c r="K517" s="175"/>
      <c r="L517" s="175"/>
      <c r="M517" s="175"/>
      <c r="N517" s="175"/>
      <c r="O517" s="175"/>
      <c r="P517" s="175"/>
      <c r="Q517" s="175"/>
      <c r="R517" s="176"/>
      <c r="S517" s="67"/>
      <c r="T517" s="67"/>
      <c r="U517" s="67"/>
      <c r="V517" s="67"/>
      <c r="W517" s="67"/>
      <c r="X517" s="67"/>
      <c r="Y517" s="67"/>
      <c r="Z517" s="67"/>
      <c r="AA517" s="67"/>
      <c r="AB517" s="67"/>
      <c r="AC517" s="67"/>
      <c r="AD517" s="67"/>
      <c r="AE517" s="67"/>
      <c r="AF517" s="67"/>
      <c r="AG517" s="67"/>
      <c r="AH517" s="67"/>
    </row>
    <row r="518">
      <c r="A518" s="171"/>
      <c r="B518" s="172"/>
      <c r="C518" s="172"/>
      <c r="D518" s="172"/>
      <c r="E518" s="172"/>
      <c r="F518" s="172"/>
      <c r="G518" s="172"/>
      <c r="H518" s="172"/>
      <c r="I518" s="172"/>
      <c r="J518" s="172"/>
      <c r="K518" s="172"/>
      <c r="L518" s="172"/>
      <c r="M518" s="172"/>
      <c r="N518" s="172"/>
      <c r="O518" s="172"/>
      <c r="P518" s="172"/>
      <c r="Q518" s="172"/>
      <c r="R518" s="173"/>
      <c r="S518" s="67"/>
      <c r="T518" s="67"/>
      <c r="U518" s="67"/>
      <c r="V518" s="67"/>
      <c r="W518" s="67"/>
      <c r="X518" s="67"/>
      <c r="Y518" s="67"/>
      <c r="Z518" s="67"/>
      <c r="AA518" s="67"/>
      <c r="AB518" s="67"/>
      <c r="AC518" s="67"/>
      <c r="AD518" s="67"/>
      <c r="AE518" s="67"/>
      <c r="AF518" s="67"/>
      <c r="AG518" s="67"/>
      <c r="AH518" s="67"/>
    </row>
    <row r="519">
      <c r="A519" s="174"/>
      <c r="B519" s="175"/>
      <c r="C519" s="175"/>
      <c r="D519" s="175"/>
      <c r="E519" s="175"/>
      <c r="F519" s="175"/>
      <c r="G519" s="175"/>
      <c r="H519" s="175"/>
      <c r="I519" s="175"/>
      <c r="J519" s="175"/>
      <c r="K519" s="175"/>
      <c r="L519" s="175"/>
      <c r="M519" s="175"/>
      <c r="N519" s="175"/>
      <c r="O519" s="175"/>
      <c r="P519" s="175"/>
      <c r="Q519" s="175"/>
      <c r="R519" s="176"/>
      <c r="S519" s="67"/>
      <c r="T519" s="67"/>
      <c r="U519" s="67"/>
      <c r="V519" s="67"/>
      <c r="W519" s="67"/>
      <c r="X519" s="67"/>
      <c r="Y519" s="67"/>
      <c r="Z519" s="67"/>
      <c r="AA519" s="67"/>
      <c r="AB519" s="67"/>
      <c r="AC519" s="67"/>
      <c r="AD519" s="67"/>
      <c r="AE519" s="67"/>
      <c r="AF519" s="67"/>
      <c r="AG519" s="67"/>
      <c r="AH519" s="67"/>
    </row>
    <row r="520">
      <c r="A520" s="171"/>
      <c r="B520" s="172"/>
      <c r="C520" s="172"/>
      <c r="D520" s="172"/>
      <c r="E520" s="172"/>
      <c r="F520" s="172"/>
      <c r="G520" s="172"/>
      <c r="H520" s="172"/>
      <c r="I520" s="172"/>
      <c r="J520" s="172"/>
      <c r="K520" s="172"/>
      <c r="L520" s="172"/>
      <c r="M520" s="172"/>
      <c r="N520" s="172"/>
      <c r="O520" s="172"/>
      <c r="P520" s="172"/>
      <c r="Q520" s="172"/>
      <c r="R520" s="173"/>
      <c r="S520" s="67"/>
      <c r="T520" s="67"/>
      <c r="U520" s="67"/>
      <c r="V520" s="67"/>
      <c r="W520" s="67"/>
      <c r="X520" s="67"/>
      <c r="Y520" s="67"/>
      <c r="Z520" s="67"/>
      <c r="AA520" s="67"/>
      <c r="AB520" s="67"/>
      <c r="AC520" s="67"/>
      <c r="AD520" s="67"/>
      <c r="AE520" s="67"/>
      <c r="AF520" s="67"/>
      <c r="AG520" s="67"/>
      <c r="AH520" s="67"/>
    </row>
    <row r="521">
      <c r="A521" s="174"/>
      <c r="B521" s="175"/>
      <c r="C521" s="175"/>
      <c r="D521" s="175"/>
      <c r="E521" s="175"/>
      <c r="F521" s="175"/>
      <c r="G521" s="175"/>
      <c r="H521" s="175"/>
      <c r="I521" s="175"/>
      <c r="J521" s="175"/>
      <c r="K521" s="175"/>
      <c r="L521" s="175"/>
      <c r="M521" s="175"/>
      <c r="N521" s="175"/>
      <c r="O521" s="175"/>
      <c r="P521" s="175"/>
      <c r="Q521" s="175"/>
      <c r="R521" s="176"/>
      <c r="S521" s="67"/>
      <c r="T521" s="67"/>
      <c r="U521" s="67"/>
      <c r="V521" s="67"/>
      <c r="W521" s="67"/>
      <c r="X521" s="67"/>
      <c r="Y521" s="67"/>
      <c r="Z521" s="67"/>
      <c r="AA521" s="67"/>
      <c r="AB521" s="67"/>
      <c r="AC521" s="67"/>
      <c r="AD521" s="67"/>
      <c r="AE521" s="67"/>
      <c r="AF521" s="67"/>
      <c r="AG521" s="67"/>
      <c r="AH521" s="67"/>
    </row>
    <row r="522">
      <c r="A522" s="171"/>
      <c r="B522" s="172"/>
      <c r="C522" s="172"/>
      <c r="D522" s="172"/>
      <c r="E522" s="172"/>
      <c r="F522" s="172"/>
      <c r="G522" s="172"/>
      <c r="H522" s="172"/>
      <c r="I522" s="172"/>
      <c r="J522" s="172"/>
      <c r="K522" s="172"/>
      <c r="L522" s="172"/>
      <c r="M522" s="172"/>
      <c r="N522" s="172"/>
      <c r="O522" s="172"/>
      <c r="P522" s="172"/>
      <c r="Q522" s="172"/>
      <c r="R522" s="173"/>
      <c r="S522" s="67"/>
      <c r="T522" s="67"/>
      <c r="U522" s="67"/>
      <c r="V522" s="67"/>
      <c r="W522" s="67"/>
      <c r="X522" s="67"/>
      <c r="Y522" s="67"/>
      <c r="Z522" s="67"/>
      <c r="AA522" s="67"/>
      <c r="AB522" s="67"/>
      <c r="AC522" s="67"/>
      <c r="AD522" s="67"/>
      <c r="AE522" s="67"/>
      <c r="AF522" s="67"/>
      <c r="AG522" s="67"/>
      <c r="AH522" s="67"/>
    </row>
    <row r="523">
      <c r="A523" s="174"/>
      <c r="B523" s="175"/>
      <c r="C523" s="175"/>
      <c r="D523" s="175"/>
      <c r="E523" s="175"/>
      <c r="F523" s="175"/>
      <c r="G523" s="175"/>
      <c r="H523" s="175"/>
      <c r="I523" s="175"/>
      <c r="J523" s="175"/>
      <c r="K523" s="175"/>
      <c r="L523" s="175"/>
      <c r="M523" s="175"/>
      <c r="N523" s="175"/>
      <c r="O523" s="175"/>
      <c r="P523" s="175"/>
      <c r="Q523" s="175"/>
      <c r="R523" s="176"/>
      <c r="S523" s="67"/>
      <c r="T523" s="67"/>
      <c r="U523" s="67"/>
      <c r="V523" s="67"/>
      <c r="W523" s="67"/>
      <c r="X523" s="67"/>
      <c r="Y523" s="67"/>
      <c r="Z523" s="67"/>
      <c r="AA523" s="67"/>
      <c r="AB523" s="67"/>
      <c r="AC523" s="67"/>
      <c r="AD523" s="67"/>
      <c r="AE523" s="67"/>
      <c r="AF523" s="67"/>
      <c r="AG523" s="67"/>
      <c r="AH523" s="67"/>
    </row>
    <row r="524">
      <c r="A524" s="171"/>
      <c r="B524" s="172"/>
      <c r="C524" s="172"/>
      <c r="D524" s="172"/>
      <c r="E524" s="172"/>
      <c r="F524" s="172"/>
      <c r="G524" s="172"/>
      <c r="H524" s="172"/>
      <c r="I524" s="172"/>
      <c r="J524" s="172"/>
      <c r="K524" s="172"/>
      <c r="L524" s="172"/>
      <c r="M524" s="172"/>
      <c r="N524" s="172"/>
      <c r="O524" s="172"/>
      <c r="P524" s="172"/>
      <c r="Q524" s="172"/>
      <c r="R524" s="173"/>
      <c r="S524" s="67"/>
      <c r="T524" s="67"/>
      <c r="U524" s="67"/>
      <c r="V524" s="67"/>
      <c r="W524" s="67"/>
      <c r="X524" s="67"/>
      <c r="Y524" s="67"/>
      <c r="Z524" s="67"/>
      <c r="AA524" s="67"/>
      <c r="AB524" s="67"/>
      <c r="AC524" s="67"/>
      <c r="AD524" s="67"/>
      <c r="AE524" s="67"/>
      <c r="AF524" s="67"/>
      <c r="AG524" s="67"/>
      <c r="AH524" s="67"/>
    </row>
    <row r="525">
      <c r="A525" s="174"/>
      <c r="B525" s="175"/>
      <c r="C525" s="175"/>
      <c r="D525" s="175"/>
      <c r="E525" s="175"/>
      <c r="F525" s="175"/>
      <c r="G525" s="175"/>
      <c r="H525" s="175"/>
      <c r="I525" s="175"/>
      <c r="J525" s="175"/>
      <c r="K525" s="175"/>
      <c r="L525" s="175"/>
      <c r="M525" s="175"/>
      <c r="N525" s="175"/>
      <c r="O525" s="175"/>
      <c r="P525" s="175"/>
      <c r="Q525" s="175"/>
      <c r="R525" s="176"/>
      <c r="S525" s="67"/>
      <c r="T525" s="67"/>
      <c r="U525" s="67"/>
      <c r="V525" s="67"/>
      <c r="W525" s="67"/>
      <c r="X525" s="67"/>
      <c r="Y525" s="67"/>
      <c r="Z525" s="67"/>
      <c r="AA525" s="67"/>
      <c r="AB525" s="67"/>
      <c r="AC525" s="67"/>
      <c r="AD525" s="67"/>
      <c r="AE525" s="67"/>
      <c r="AF525" s="67"/>
      <c r="AG525" s="67"/>
      <c r="AH525" s="67"/>
    </row>
    <row r="526">
      <c r="A526" s="171"/>
      <c r="B526" s="172"/>
      <c r="C526" s="172"/>
      <c r="D526" s="172"/>
      <c r="E526" s="172"/>
      <c r="F526" s="172"/>
      <c r="G526" s="172"/>
      <c r="H526" s="172"/>
      <c r="I526" s="172"/>
      <c r="J526" s="172"/>
      <c r="K526" s="172"/>
      <c r="L526" s="172"/>
      <c r="M526" s="172"/>
      <c r="N526" s="172"/>
      <c r="O526" s="172"/>
      <c r="P526" s="172"/>
      <c r="Q526" s="172"/>
      <c r="R526" s="173"/>
      <c r="S526" s="67"/>
      <c r="T526" s="67"/>
      <c r="U526" s="67"/>
      <c r="V526" s="67"/>
      <c r="W526" s="67"/>
      <c r="X526" s="67"/>
      <c r="Y526" s="67"/>
      <c r="Z526" s="67"/>
      <c r="AA526" s="67"/>
      <c r="AB526" s="67"/>
      <c r="AC526" s="67"/>
      <c r="AD526" s="67"/>
      <c r="AE526" s="67"/>
      <c r="AF526" s="67"/>
      <c r="AG526" s="67"/>
      <c r="AH526" s="67"/>
    </row>
    <row r="527">
      <c r="A527" s="174"/>
      <c r="B527" s="175"/>
      <c r="C527" s="175"/>
      <c r="D527" s="175"/>
      <c r="E527" s="175"/>
      <c r="F527" s="175"/>
      <c r="G527" s="175"/>
      <c r="H527" s="175"/>
      <c r="I527" s="175"/>
      <c r="J527" s="175"/>
      <c r="K527" s="175"/>
      <c r="L527" s="175"/>
      <c r="M527" s="175"/>
      <c r="N527" s="175"/>
      <c r="O527" s="175"/>
      <c r="P527" s="175"/>
      <c r="Q527" s="175"/>
      <c r="R527" s="176"/>
      <c r="S527" s="67"/>
      <c r="T527" s="67"/>
      <c r="U527" s="67"/>
      <c r="V527" s="67"/>
      <c r="W527" s="67"/>
      <c r="X527" s="67"/>
      <c r="Y527" s="67"/>
      <c r="Z527" s="67"/>
      <c r="AA527" s="67"/>
      <c r="AB527" s="67"/>
      <c r="AC527" s="67"/>
      <c r="AD527" s="67"/>
      <c r="AE527" s="67"/>
      <c r="AF527" s="67"/>
      <c r="AG527" s="67"/>
      <c r="AH527" s="67"/>
    </row>
    <row r="528">
      <c r="A528" s="171"/>
      <c r="B528" s="172"/>
      <c r="C528" s="172"/>
      <c r="D528" s="172"/>
      <c r="E528" s="172"/>
      <c r="F528" s="172"/>
      <c r="G528" s="172"/>
      <c r="H528" s="172"/>
      <c r="I528" s="172"/>
      <c r="J528" s="172"/>
      <c r="K528" s="172"/>
      <c r="L528" s="172"/>
      <c r="M528" s="172"/>
      <c r="N528" s="172"/>
      <c r="O528" s="172"/>
      <c r="P528" s="172"/>
      <c r="Q528" s="172"/>
      <c r="R528" s="173"/>
      <c r="S528" s="67"/>
      <c r="T528" s="67"/>
      <c r="U528" s="67"/>
      <c r="V528" s="67"/>
      <c r="W528" s="67"/>
      <c r="X528" s="67"/>
      <c r="Y528" s="67"/>
      <c r="Z528" s="67"/>
      <c r="AA528" s="67"/>
      <c r="AB528" s="67"/>
      <c r="AC528" s="67"/>
      <c r="AD528" s="67"/>
      <c r="AE528" s="67"/>
      <c r="AF528" s="67"/>
      <c r="AG528" s="67"/>
      <c r="AH528" s="67"/>
    </row>
    <row r="529">
      <c r="A529" s="174"/>
      <c r="B529" s="175"/>
      <c r="C529" s="175"/>
      <c r="D529" s="175"/>
      <c r="E529" s="175"/>
      <c r="F529" s="175"/>
      <c r="G529" s="175"/>
      <c r="H529" s="175"/>
      <c r="I529" s="175"/>
      <c r="J529" s="175"/>
      <c r="K529" s="175"/>
      <c r="L529" s="175"/>
      <c r="M529" s="175"/>
      <c r="N529" s="175"/>
      <c r="O529" s="175"/>
      <c r="P529" s="175"/>
      <c r="Q529" s="175"/>
      <c r="R529" s="176"/>
      <c r="S529" s="67"/>
      <c r="T529" s="67"/>
      <c r="U529" s="67"/>
      <c r="V529" s="67"/>
      <c r="W529" s="67"/>
      <c r="X529" s="67"/>
      <c r="Y529" s="67"/>
      <c r="Z529" s="67"/>
      <c r="AA529" s="67"/>
      <c r="AB529" s="67"/>
      <c r="AC529" s="67"/>
      <c r="AD529" s="67"/>
      <c r="AE529" s="67"/>
      <c r="AF529" s="67"/>
      <c r="AG529" s="67"/>
      <c r="AH529" s="67"/>
    </row>
    <row r="530">
      <c r="A530" s="171"/>
      <c r="B530" s="172"/>
      <c r="C530" s="172"/>
      <c r="D530" s="172"/>
      <c r="E530" s="172"/>
      <c r="F530" s="172"/>
      <c r="G530" s="172"/>
      <c r="H530" s="172"/>
      <c r="I530" s="172"/>
      <c r="J530" s="172"/>
      <c r="K530" s="172"/>
      <c r="L530" s="172"/>
      <c r="M530" s="172"/>
      <c r="N530" s="172"/>
      <c r="O530" s="172"/>
      <c r="P530" s="172"/>
      <c r="Q530" s="172"/>
      <c r="R530" s="173"/>
      <c r="S530" s="67"/>
      <c r="T530" s="67"/>
      <c r="U530" s="67"/>
      <c r="V530" s="67"/>
      <c r="W530" s="67"/>
      <c r="X530" s="67"/>
      <c r="Y530" s="67"/>
      <c r="Z530" s="67"/>
      <c r="AA530" s="67"/>
      <c r="AB530" s="67"/>
      <c r="AC530" s="67"/>
      <c r="AD530" s="67"/>
      <c r="AE530" s="67"/>
      <c r="AF530" s="67"/>
      <c r="AG530" s="67"/>
      <c r="AH530" s="67"/>
    </row>
    <row r="531">
      <c r="A531" s="174"/>
      <c r="B531" s="175"/>
      <c r="C531" s="175"/>
      <c r="D531" s="175"/>
      <c r="E531" s="175"/>
      <c r="F531" s="175"/>
      <c r="G531" s="175"/>
      <c r="H531" s="175"/>
      <c r="I531" s="175"/>
      <c r="J531" s="175"/>
      <c r="K531" s="175"/>
      <c r="L531" s="175"/>
      <c r="M531" s="175"/>
      <c r="N531" s="175"/>
      <c r="O531" s="175"/>
      <c r="P531" s="175"/>
      <c r="Q531" s="175"/>
      <c r="R531" s="176"/>
      <c r="S531" s="67"/>
      <c r="T531" s="67"/>
      <c r="U531" s="67"/>
      <c r="V531" s="67"/>
      <c r="W531" s="67"/>
      <c r="X531" s="67"/>
      <c r="Y531" s="67"/>
      <c r="Z531" s="67"/>
      <c r="AA531" s="67"/>
      <c r="AB531" s="67"/>
      <c r="AC531" s="67"/>
      <c r="AD531" s="67"/>
      <c r="AE531" s="67"/>
      <c r="AF531" s="67"/>
      <c r="AG531" s="67"/>
      <c r="AH531" s="67"/>
    </row>
    <row r="532">
      <c r="A532" s="171"/>
      <c r="B532" s="172"/>
      <c r="C532" s="172"/>
      <c r="D532" s="172"/>
      <c r="E532" s="172"/>
      <c r="F532" s="172"/>
      <c r="G532" s="172"/>
      <c r="H532" s="172"/>
      <c r="I532" s="172"/>
      <c r="J532" s="172"/>
      <c r="K532" s="172"/>
      <c r="L532" s="172"/>
      <c r="M532" s="172"/>
      <c r="N532" s="172"/>
      <c r="O532" s="172"/>
      <c r="P532" s="172"/>
      <c r="Q532" s="172"/>
      <c r="R532" s="173"/>
      <c r="S532" s="67"/>
      <c r="T532" s="67"/>
      <c r="U532" s="67"/>
      <c r="V532" s="67"/>
      <c r="W532" s="67"/>
      <c r="X532" s="67"/>
      <c r="Y532" s="67"/>
      <c r="Z532" s="67"/>
      <c r="AA532" s="67"/>
      <c r="AB532" s="67"/>
      <c r="AC532" s="67"/>
      <c r="AD532" s="67"/>
      <c r="AE532" s="67"/>
      <c r="AF532" s="67"/>
      <c r="AG532" s="67"/>
      <c r="AH532" s="67"/>
    </row>
    <row r="533">
      <c r="A533" s="174"/>
      <c r="B533" s="175"/>
      <c r="C533" s="175"/>
      <c r="D533" s="175"/>
      <c r="E533" s="175"/>
      <c r="F533" s="175"/>
      <c r="G533" s="175"/>
      <c r="H533" s="175"/>
      <c r="I533" s="175"/>
      <c r="J533" s="175"/>
      <c r="K533" s="175"/>
      <c r="L533" s="175"/>
      <c r="M533" s="175"/>
      <c r="N533" s="175"/>
      <c r="O533" s="175"/>
      <c r="P533" s="175"/>
      <c r="Q533" s="175"/>
      <c r="R533" s="176"/>
      <c r="S533" s="67"/>
      <c r="T533" s="67"/>
      <c r="U533" s="67"/>
      <c r="V533" s="67"/>
      <c r="W533" s="67"/>
      <c r="X533" s="67"/>
      <c r="Y533" s="67"/>
      <c r="Z533" s="67"/>
      <c r="AA533" s="67"/>
      <c r="AB533" s="67"/>
      <c r="AC533" s="67"/>
      <c r="AD533" s="67"/>
      <c r="AE533" s="67"/>
      <c r="AF533" s="67"/>
      <c r="AG533" s="67"/>
      <c r="AH533" s="67"/>
    </row>
    <row r="534">
      <c r="A534" s="171"/>
      <c r="B534" s="172"/>
      <c r="C534" s="172"/>
      <c r="D534" s="172"/>
      <c r="E534" s="172"/>
      <c r="F534" s="172"/>
      <c r="G534" s="172"/>
      <c r="H534" s="172"/>
      <c r="I534" s="172"/>
      <c r="J534" s="172"/>
      <c r="K534" s="172"/>
      <c r="L534" s="172"/>
      <c r="M534" s="172"/>
      <c r="N534" s="172"/>
      <c r="O534" s="172"/>
      <c r="P534" s="172"/>
      <c r="Q534" s="172"/>
      <c r="R534" s="173"/>
      <c r="S534" s="67"/>
      <c r="T534" s="67"/>
      <c r="U534" s="67"/>
      <c r="V534" s="67"/>
      <c r="W534" s="67"/>
      <c r="X534" s="67"/>
      <c r="Y534" s="67"/>
      <c r="Z534" s="67"/>
      <c r="AA534" s="67"/>
      <c r="AB534" s="67"/>
      <c r="AC534" s="67"/>
      <c r="AD534" s="67"/>
      <c r="AE534" s="67"/>
      <c r="AF534" s="67"/>
      <c r="AG534" s="67"/>
      <c r="AH534" s="67"/>
    </row>
    <row r="535">
      <c r="A535" s="174"/>
      <c r="B535" s="175"/>
      <c r="C535" s="175"/>
      <c r="D535" s="175"/>
      <c r="E535" s="175"/>
      <c r="F535" s="175"/>
      <c r="G535" s="175"/>
      <c r="H535" s="175"/>
      <c r="I535" s="175"/>
      <c r="J535" s="175"/>
      <c r="K535" s="175"/>
      <c r="L535" s="175"/>
      <c r="M535" s="175"/>
      <c r="N535" s="175"/>
      <c r="O535" s="175"/>
      <c r="P535" s="175"/>
      <c r="Q535" s="175"/>
      <c r="R535" s="176"/>
      <c r="S535" s="67"/>
      <c r="T535" s="67"/>
      <c r="U535" s="67"/>
      <c r="V535" s="67"/>
      <c r="W535" s="67"/>
      <c r="X535" s="67"/>
      <c r="Y535" s="67"/>
      <c r="Z535" s="67"/>
      <c r="AA535" s="67"/>
      <c r="AB535" s="67"/>
      <c r="AC535" s="67"/>
      <c r="AD535" s="67"/>
      <c r="AE535" s="67"/>
      <c r="AF535" s="67"/>
      <c r="AG535" s="67"/>
      <c r="AH535" s="67"/>
    </row>
    <row r="536">
      <c r="A536" s="171"/>
      <c r="B536" s="172"/>
      <c r="C536" s="172"/>
      <c r="D536" s="172"/>
      <c r="E536" s="172"/>
      <c r="F536" s="172"/>
      <c r="G536" s="172"/>
      <c r="H536" s="172"/>
      <c r="I536" s="172"/>
      <c r="J536" s="172"/>
      <c r="K536" s="172"/>
      <c r="L536" s="172"/>
      <c r="M536" s="172"/>
      <c r="N536" s="172"/>
      <c r="O536" s="172"/>
      <c r="P536" s="172"/>
      <c r="Q536" s="172"/>
      <c r="R536" s="173"/>
      <c r="S536" s="67"/>
      <c r="T536" s="67"/>
      <c r="U536" s="67"/>
      <c r="V536" s="67"/>
      <c r="W536" s="67"/>
      <c r="X536" s="67"/>
      <c r="Y536" s="67"/>
      <c r="Z536" s="67"/>
      <c r="AA536" s="67"/>
      <c r="AB536" s="67"/>
      <c r="AC536" s="67"/>
      <c r="AD536" s="67"/>
      <c r="AE536" s="67"/>
      <c r="AF536" s="67"/>
      <c r="AG536" s="67"/>
      <c r="AH536" s="67"/>
    </row>
    <row r="537">
      <c r="A537" s="174"/>
      <c r="B537" s="175"/>
      <c r="C537" s="175"/>
      <c r="D537" s="175"/>
      <c r="E537" s="175"/>
      <c r="F537" s="175"/>
      <c r="G537" s="175"/>
      <c r="H537" s="175"/>
      <c r="I537" s="175"/>
      <c r="J537" s="175"/>
      <c r="K537" s="175"/>
      <c r="L537" s="175"/>
      <c r="M537" s="175"/>
      <c r="N537" s="175"/>
      <c r="O537" s="175"/>
      <c r="P537" s="175"/>
      <c r="Q537" s="175"/>
      <c r="R537" s="176"/>
      <c r="S537" s="67"/>
      <c r="T537" s="67"/>
      <c r="U537" s="67"/>
      <c r="V537" s="67"/>
      <c r="W537" s="67"/>
      <c r="X537" s="67"/>
      <c r="Y537" s="67"/>
      <c r="Z537" s="67"/>
      <c r="AA537" s="67"/>
      <c r="AB537" s="67"/>
      <c r="AC537" s="67"/>
      <c r="AD537" s="67"/>
      <c r="AE537" s="67"/>
      <c r="AF537" s="67"/>
      <c r="AG537" s="67"/>
      <c r="AH537" s="67"/>
    </row>
    <row r="538">
      <c r="A538" s="171"/>
      <c r="B538" s="172"/>
      <c r="C538" s="172"/>
      <c r="D538" s="172"/>
      <c r="E538" s="172"/>
      <c r="F538" s="172"/>
      <c r="G538" s="172"/>
      <c r="H538" s="172"/>
      <c r="I538" s="172"/>
      <c r="J538" s="172"/>
      <c r="K538" s="172"/>
      <c r="L538" s="172"/>
      <c r="M538" s="172"/>
      <c r="N538" s="172"/>
      <c r="O538" s="172"/>
      <c r="P538" s="172"/>
      <c r="Q538" s="172"/>
      <c r="R538" s="173"/>
      <c r="S538" s="67"/>
      <c r="T538" s="67"/>
      <c r="U538" s="67"/>
      <c r="V538" s="67"/>
      <c r="W538" s="67"/>
      <c r="X538" s="67"/>
      <c r="Y538" s="67"/>
      <c r="Z538" s="67"/>
      <c r="AA538" s="67"/>
      <c r="AB538" s="67"/>
      <c r="AC538" s="67"/>
      <c r="AD538" s="67"/>
      <c r="AE538" s="67"/>
      <c r="AF538" s="67"/>
      <c r="AG538" s="67"/>
      <c r="AH538" s="67"/>
    </row>
    <row r="539">
      <c r="A539" s="174"/>
      <c r="B539" s="175"/>
      <c r="C539" s="175"/>
      <c r="D539" s="175"/>
      <c r="E539" s="175"/>
      <c r="F539" s="175"/>
      <c r="G539" s="175"/>
      <c r="H539" s="175"/>
      <c r="I539" s="175"/>
      <c r="J539" s="175"/>
      <c r="K539" s="175"/>
      <c r="L539" s="175"/>
      <c r="M539" s="175"/>
      <c r="N539" s="175"/>
      <c r="O539" s="175"/>
      <c r="P539" s="175"/>
      <c r="Q539" s="175"/>
      <c r="R539" s="176"/>
      <c r="S539" s="67"/>
      <c r="T539" s="67"/>
      <c r="U539" s="67"/>
      <c r="V539" s="67"/>
      <c r="W539" s="67"/>
      <c r="X539" s="67"/>
      <c r="Y539" s="67"/>
      <c r="Z539" s="67"/>
      <c r="AA539" s="67"/>
      <c r="AB539" s="67"/>
      <c r="AC539" s="67"/>
      <c r="AD539" s="67"/>
      <c r="AE539" s="67"/>
      <c r="AF539" s="67"/>
      <c r="AG539" s="67"/>
      <c r="AH539" s="67"/>
    </row>
    <row r="540">
      <c r="A540" s="171"/>
      <c r="B540" s="172"/>
      <c r="C540" s="172"/>
      <c r="D540" s="172"/>
      <c r="E540" s="172"/>
      <c r="F540" s="172"/>
      <c r="G540" s="172"/>
      <c r="H540" s="172"/>
      <c r="I540" s="172"/>
      <c r="J540" s="172"/>
      <c r="K540" s="172"/>
      <c r="L540" s="172"/>
      <c r="M540" s="172"/>
      <c r="N540" s="172"/>
      <c r="O540" s="172"/>
      <c r="P540" s="172"/>
      <c r="Q540" s="172"/>
      <c r="R540" s="173"/>
      <c r="S540" s="67"/>
      <c r="T540" s="67"/>
      <c r="U540" s="67"/>
      <c r="V540" s="67"/>
      <c r="W540" s="67"/>
      <c r="X540" s="67"/>
      <c r="Y540" s="67"/>
      <c r="Z540" s="67"/>
      <c r="AA540" s="67"/>
      <c r="AB540" s="67"/>
      <c r="AC540" s="67"/>
      <c r="AD540" s="67"/>
      <c r="AE540" s="67"/>
      <c r="AF540" s="67"/>
      <c r="AG540" s="67"/>
      <c r="AH540" s="67"/>
    </row>
    <row r="541">
      <c r="A541" s="174"/>
      <c r="B541" s="175"/>
      <c r="C541" s="175"/>
      <c r="D541" s="175"/>
      <c r="E541" s="175"/>
      <c r="F541" s="175"/>
      <c r="G541" s="175"/>
      <c r="H541" s="175"/>
      <c r="I541" s="175"/>
      <c r="J541" s="175"/>
      <c r="K541" s="175"/>
      <c r="L541" s="175"/>
      <c r="M541" s="175"/>
      <c r="N541" s="175"/>
      <c r="O541" s="175"/>
      <c r="P541" s="175"/>
      <c r="Q541" s="175"/>
      <c r="R541" s="176"/>
      <c r="S541" s="67"/>
      <c r="T541" s="67"/>
      <c r="U541" s="67"/>
      <c r="V541" s="67"/>
      <c r="W541" s="67"/>
      <c r="X541" s="67"/>
      <c r="Y541" s="67"/>
      <c r="Z541" s="67"/>
      <c r="AA541" s="67"/>
      <c r="AB541" s="67"/>
      <c r="AC541" s="67"/>
      <c r="AD541" s="67"/>
      <c r="AE541" s="67"/>
      <c r="AF541" s="67"/>
      <c r="AG541" s="67"/>
      <c r="AH541" s="67"/>
    </row>
    <row r="542">
      <c r="A542" s="171"/>
      <c r="B542" s="172"/>
      <c r="C542" s="172"/>
      <c r="D542" s="172"/>
      <c r="E542" s="172"/>
      <c r="F542" s="172"/>
      <c r="G542" s="172"/>
      <c r="H542" s="172"/>
      <c r="I542" s="172"/>
      <c r="J542" s="172"/>
      <c r="K542" s="172"/>
      <c r="L542" s="172"/>
      <c r="M542" s="172"/>
      <c r="N542" s="172"/>
      <c r="O542" s="172"/>
      <c r="P542" s="172"/>
      <c r="Q542" s="172"/>
      <c r="R542" s="173"/>
      <c r="S542" s="67"/>
      <c r="T542" s="67"/>
      <c r="U542" s="67"/>
      <c r="V542" s="67"/>
      <c r="W542" s="67"/>
      <c r="X542" s="67"/>
      <c r="Y542" s="67"/>
      <c r="Z542" s="67"/>
      <c r="AA542" s="67"/>
      <c r="AB542" s="67"/>
      <c r="AC542" s="67"/>
      <c r="AD542" s="67"/>
      <c r="AE542" s="67"/>
      <c r="AF542" s="67"/>
      <c r="AG542" s="67"/>
      <c r="AH542" s="67"/>
    </row>
    <row r="543">
      <c r="A543" s="174"/>
      <c r="B543" s="175"/>
      <c r="C543" s="175"/>
      <c r="D543" s="175"/>
      <c r="E543" s="175"/>
      <c r="F543" s="175"/>
      <c r="G543" s="175"/>
      <c r="H543" s="175"/>
      <c r="I543" s="175"/>
      <c r="J543" s="175"/>
      <c r="K543" s="175"/>
      <c r="L543" s="175"/>
      <c r="M543" s="175"/>
      <c r="N543" s="175"/>
      <c r="O543" s="175"/>
      <c r="P543" s="175"/>
      <c r="Q543" s="175"/>
      <c r="R543" s="176"/>
      <c r="S543" s="67"/>
      <c r="T543" s="67"/>
      <c r="U543" s="67"/>
      <c r="V543" s="67"/>
      <c r="W543" s="67"/>
      <c r="X543" s="67"/>
      <c r="Y543" s="67"/>
      <c r="Z543" s="67"/>
      <c r="AA543" s="67"/>
      <c r="AB543" s="67"/>
      <c r="AC543" s="67"/>
      <c r="AD543" s="67"/>
      <c r="AE543" s="67"/>
      <c r="AF543" s="67"/>
      <c r="AG543" s="67"/>
      <c r="AH543" s="67"/>
    </row>
    <row r="544">
      <c r="A544" s="171"/>
      <c r="B544" s="172"/>
      <c r="C544" s="172"/>
      <c r="D544" s="172"/>
      <c r="E544" s="172"/>
      <c r="F544" s="172"/>
      <c r="G544" s="172"/>
      <c r="H544" s="172"/>
      <c r="I544" s="172"/>
      <c r="J544" s="172"/>
      <c r="K544" s="172"/>
      <c r="L544" s="172"/>
      <c r="M544" s="172"/>
      <c r="N544" s="172"/>
      <c r="O544" s="172"/>
      <c r="P544" s="172"/>
      <c r="Q544" s="172"/>
      <c r="R544" s="173"/>
      <c r="S544" s="67"/>
      <c r="T544" s="67"/>
      <c r="U544" s="67"/>
      <c r="V544" s="67"/>
      <c r="W544" s="67"/>
      <c r="X544" s="67"/>
      <c r="Y544" s="67"/>
      <c r="Z544" s="67"/>
      <c r="AA544" s="67"/>
      <c r="AB544" s="67"/>
      <c r="AC544" s="67"/>
      <c r="AD544" s="67"/>
      <c r="AE544" s="67"/>
      <c r="AF544" s="67"/>
      <c r="AG544" s="67"/>
      <c r="AH544" s="67"/>
    </row>
    <row r="545">
      <c r="A545" s="174"/>
      <c r="B545" s="175"/>
      <c r="C545" s="175"/>
      <c r="D545" s="175"/>
      <c r="E545" s="175"/>
      <c r="F545" s="175"/>
      <c r="G545" s="175"/>
      <c r="H545" s="175"/>
      <c r="I545" s="175"/>
      <c r="J545" s="175"/>
      <c r="K545" s="175"/>
      <c r="L545" s="175"/>
      <c r="M545" s="175"/>
      <c r="N545" s="175"/>
      <c r="O545" s="175"/>
      <c r="P545" s="175"/>
      <c r="Q545" s="175"/>
      <c r="R545" s="176"/>
      <c r="S545" s="67"/>
      <c r="T545" s="67"/>
      <c r="U545" s="67"/>
      <c r="V545" s="67"/>
      <c r="W545" s="67"/>
      <c r="X545" s="67"/>
      <c r="Y545" s="67"/>
      <c r="Z545" s="67"/>
      <c r="AA545" s="67"/>
      <c r="AB545" s="67"/>
      <c r="AC545" s="67"/>
      <c r="AD545" s="67"/>
      <c r="AE545" s="67"/>
      <c r="AF545" s="67"/>
      <c r="AG545" s="67"/>
      <c r="AH545" s="67"/>
    </row>
    <row r="546">
      <c r="A546" s="171"/>
      <c r="B546" s="172"/>
      <c r="C546" s="172"/>
      <c r="D546" s="172"/>
      <c r="E546" s="172"/>
      <c r="F546" s="172"/>
      <c r="G546" s="172"/>
      <c r="H546" s="172"/>
      <c r="I546" s="172"/>
      <c r="J546" s="172"/>
      <c r="K546" s="172"/>
      <c r="L546" s="172"/>
      <c r="M546" s="172"/>
      <c r="N546" s="172"/>
      <c r="O546" s="172"/>
      <c r="P546" s="172"/>
      <c r="Q546" s="172"/>
      <c r="R546" s="173"/>
      <c r="S546" s="67"/>
      <c r="T546" s="67"/>
      <c r="U546" s="67"/>
      <c r="V546" s="67"/>
      <c r="W546" s="67"/>
      <c r="X546" s="67"/>
      <c r="Y546" s="67"/>
      <c r="Z546" s="67"/>
      <c r="AA546" s="67"/>
      <c r="AB546" s="67"/>
      <c r="AC546" s="67"/>
      <c r="AD546" s="67"/>
      <c r="AE546" s="67"/>
      <c r="AF546" s="67"/>
      <c r="AG546" s="67"/>
      <c r="AH546" s="67"/>
    </row>
    <row r="547">
      <c r="A547" s="174"/>
      <c r="B547" s="175"/>
      <c r="C547" s="175"/>
      <c r="D547" s="175"/>
      <c r="E547" s="175"/>
      <c r="F547" s="175"/>
      <c r="G547" s="175"/>
      <c r="H547" s="175"/>
      <c r="I547" s="175"/>
      <c r="J547" s="175"/>
      <c r="K547" s="175"/>
      <c r="L547" s="175"/>
      <c r="M547" s="175"/>
      <c r="N547" s="175"/>
      <c r="O547" s="175"/>
      <c r="P547" s="175"/>
      <c r="Q547" s="175"/>
      <c r="R547" s="176"/>
      <c r="S547" s="67"/>
      <c r="T547" s="67"/>
      <c r="U547" s="67"/>
      <c r="V547" s="67"/>
      <c r="W547" s="67"/>
      <c r="X547" s="67"/>
      <c r="Y547" s="67"/>
      <c r="Z547" s="67"/>
      <c r="AA547" s="67"/>
      <c r="AB547" s="67"/>
      <c r="AC547" s="67"/>
      <c r="AD547" s="67"/>
      <c r="AE547" s="67"/>
      <c r="AF547" s="67"/>
      <c r="AG547" s="67"/>
      <c r="AH547" s="67"/>
    </row>
    <row r="548">
      <c r="A548" s="171"/>
      <c r="B548" s="172"/>
      <c r="C548" s="172"/>
      <c r="D548" s="172"/>
      <c r="E548" s="172"/>
      <c r="F548" s="172"/>
      <c r="G548" s="172"/>
      <c r="H548" s="172"/>
      <c r="I548" s="172"/>
      <c r="J548" s="172"/>
      <c r="K548" s="172"/>
      <c r="L548" s="172"/>
      <c r="M548" s="172"/>
      <c r="N548" s="172"/>
      <c r="O548" s="172"/>
      <c r="P548" s="172"/>
      <c r="Q548" s="172"/>
      <c r="R548" s="173"/>
      <c r="S548" s="67"/>
      <c r="T548" s="67"/>
      <c r="U548" s="67"/>
      <c r="V548" s="67"/>
      <c r="W548" s="67"/>
      <c r="X548" s="67"/>
      <c r="Y548" s="67"/>
      <c r="Z548" s="67"/>
      <c r="AA548" s="67"/>
      <c r="AB548" s="67"/>
      <c r="AC548" s="67"/>
      <c r="AD548" s="67"/>
      <c r="AE548" s="67"/>
      <c r="AF548" s="67"/>
      <c r="AG548" s="67"/>
      <c r="AH548" s="67"/>
    </row>
    <row r="549">
      <c r="A549" s="174"/>
      <c r="B549" s="175"/>
      <c r="C549" s="175"/>
      <c r="D549" s="175"/>
      <c r="E549" s="175"/>
      <c r="F549" s="175"/>
      <c r="G549" s="175"/>
      <c r="H549" s="175"/>
      <c r="I549" s="175"/>
      <c r="J549" s="175"/>
      <c r="K549" s="175"/>
      <c r="L549" s="175"/>
      <c r="M549" s="175"/>
      <c r="N549" s="175"/>
      <c r="O549" s="175"/>
      <c r="P549" s="175"/>
      <c r="Q549" s="175"/>
      <c r="R549" s="176"/>
      <c r="S549" s="67"/>
      <c r="T549" s="67"/>
      <c r="U549" s="67"/>
      <c r="V549" s="67"/>
      <c r="W549" s="67"/>
      <c r="X549" s="67"/>
      <c r="Y549" s="67"/>
      <c r="Z549" s="67"/>
      <c r="AA549" s="67"/>
      <c r="AB549" s="67"/>
      <c r="AC549" s="67"/>
      <c r="AD549" s="67"/>
      <c r="AE549" s="67"/>
      <c r="AF549" s="67"/>
      <c r="AG549" s="67"/>
      <c r="AH549" s="67"/>
    </row>
    <row r="550">
      <c r="A550" s="171"/>
      <c r="B550" s="172"/>
      <c r="C550" s="172"/>
      <c r="D550" s="172"/>
      <c r="E550" s="172"/>
      <c r="F550" s="172"/>
      <c r="G550" s="172"/>
      <c r="H550" s="172"/>
      <c r="I550" s="172"/>
      <c r="J550" s="172"/>
      <c r="K550" s="172"/>
      <c r="L550" s="172"/>
      <c r="M550" s="172"/>
      <c r="N550" s="172"/>
      <c r="O550" s="172"/>
      <c r="P550" s="172"/>
      <c r="Q550" s="172"/>
      <c r="R550" s="173"/>
      <c r="S550" s="67"/>
      <c r="T550" s="67"/>
      <c r="U550" s="67"/>
      <c r="V550" s="67"/>
      <c r="W550" s="67"/>
      <c r="X550" s="67"/>
      <c r="Y550" s="67"/>
      <c r="Z550" s="67"/>
      <c r="AA550" s="67"/>
      <c r="AB550" s="67"/>
      <c r="AC550" s="67"/>
      <c r="AD550" s="67"/>
      <c r="AE550" s="67"/>
      <c r="AF550" s="67"/>
      <c r="AG550" s="67"/>
      <c r="AH550" s="67"/>
    </row>
    <row r="551">
      <c r="A551" s="174"/>
      <c r="B551" s="175"/>
      <c r="C551" s="175"/>
      <c r="D551" s="175"/>
      <c r="E551" s="175"/>
      <c r="F551" s="175"/>
      <c r="G551" s="175"/>
      <c r="H551" s="175"/>
      <c r="I551" s="175"/>
      <c r="J551" s="175"/>
      <c r="K551" s="175"/>
      <c r="L551" s="175"/>
      <c r="M551" s="175"/>
      <c r="N551" s="175"/>
      <c r="O551" s="175"/>
      <c r="P551" s="175"/>
      <c r="Q551" s="175"/>
      <c r="R551" s="176"/>
      <c r="S551" s="67"/>
      <c r="T551" s="67"/>
      <c r="U551" s="67"/>
      <c r="V551" s="67"/>
      <c r="W551" s="67"/>
      <c r="X551" s="67"/>
      <c r="Y551" s="67"/>
      <c r="Z551" s="67"/>
      <c r="AA551" s="67"/>
      <c r="AB551" s="67"/>
      <c r="AC551" s="67"/>
      <c r="AD551" s="67"/>
      <c r="AE551" s="67"/>
      <c r="AF551" s="67"/>
      <c r="AG551" s="67"/>
      <c r="AH551" s="67"/>
    </row>
    <row r="552">
      <c r="A552" s="171"/>
      <c r="B552" s="172"/>
      <c r="C552" s="172"/>
      <c r="D552" s="172"/>
      <c r="E552" s="172"/>
      <c r="F552" s="172"/>
      <c r="G552" s="172"/>
      <c r="H552" s="172"/>
      <c r="I552" s="172"/>
      <c r="J552" s="172"/>
      <c r="K552" s="172"/>
      <c r="L552" s="172"/>
      <c r="M552" s="172"/>
      <c r="N552" s="172"/>
      <c r="O552" s="172"/>
      <c r="P552" s="172"/>
      <c r="Q552" s="172"/>
      <c r="R552" s="173"/>
      <c r="S552" s="67"/>
      <c r="T552" s="67"/>
      <c r="U552" s="67"/>
      <c r="V552" s="67"/>
      <c r="W552" s="67"/>
      <c r="X552" s="67"/>
      <c r="Y552" s="67"/>
      <c r="Z552" s="67"/>
      <c r="AA552" s="67"/>
      <c r="AB552" s="67"/>
      <c r="AC552" s="67"/>
      <c r="AD552" s="67"/>
      <c r="AE552" s="67"/>
      <c r="AF552" s="67"/>
      <c r="AG552" s="67"/>
      <c r="AH552" s="67"/>
    </row>
    <row r="553">
      <c r="A553" s="174"/>
      <c r="B553" s="175"/>
      <c r="C553" s="175"/>
      <c r="D553" s="175"/>
      <c r="E553" s="175"/>
      <c r="F553" s="175"/>
      <c r="G553" s="175"/>
      <c r="H553" s="175"/>
      <c r="I553" s="175"/>
      <c r="J553" s="175"/>
      <c r="K553" s="175"/>
      <c r="L553" s="175"/>
      <c r="M553" s="175"/>
      <c r="N553" s="175"/>
      <c r="O553" s="175"/>
      <c r="P553" s="175"/>
      <c r="Q553" s="175"/>
      <c r="R553" s="176"/>
      <c r="S553" s="67"/>
      <c r="T553" s="67"/>
      <c r="U553" s="67"/>
      <c r="V553" s="67"/>
      <c r="W553" s="67"/>
      <c r="X553" s="67"/>
      <c r="Y553" s="67"/>
      <c r="Z553" s="67"/>
      <c r="AA553" s="67"/>
      <c r="AB553" s="67"/>
      <c r="AC553" s="67"/>
      <c r="AD553" s="67"/>
      <c r="AE553" s="67"/>
      <c r="AF553" s="67"/>
      <c r="AG553" s="67"/>
      <c r="AH553" s="67"/>
    </row>
    <row r="554">
      <c r="A554" s="171"/>
      <c r="B554" s="172"/>
      <c r="C554" s="172"/>
      <c r="D554" s="172"/>
      <c r="E554" s="172"/>
      <c r="F554" s="172"/>
      <c r="G554" s="172"/>
      <c r="H554" s="172"/>
      <c r="I554" s="172"/>
      <c r="J554" s="172"/>
      <c r="K554" s="172"/>
      <c r="L554" s="172"/>
      <c r="M554" s="172"/>
      <c r="N554" s="172"/>
      <c r="O554" s="172"/>
      <c r="P554" s="172"/>
      <c r="Q554" s="172"/>
      <c r="R554" s="173"/>
      <c r="S554" s="67"/>
      <c r="T554" s="67"/>
      <c r="U554" s="67"/>
      <c r="V554" s="67"/>
      <c r="W554" s="67"/>
      <c r="X554" s="67"/>
      <c r="Y554" s="67"/>
      <c r="Z554" s="67"/>
      <c r="AA554" s="67"/>
      <c r="AB554" s="67"/>
      <c r="AC554" s="67"/>
      <c r="AD554" s="67"/>
      <c r="AE554" s="67"/>
      <c r="AF554" s="67"/>
      <c r="AG554" s="67"/>
      <c r="AH554" s="67"/>
    </row>
    <row r="555">
      <c r="A555" s="174"/>
      <c r="B555" s="175"/>
      <c r="C555" s="175"/>
      <c r="D555" s="175"/>
      <c r="E555" s="175"/>
      <c r="F555" s="175"/>
      <c r="G555" s="175"/>
      <c r="H555" s="175"/>
      <c r="I555" s="175"/>
      <c r="J555" s="175"/>
      <c r="K555" s="175"/>
      <c r="L555" s="175"/>
      <c r="M555" s="175"/>
      <c r="N555" s="175"/>
      <c r="O555" s="175"/>
      <c r="P555" s="175"/>
      <c r="Q555" s="175"/>
      <c r="R555" s="176"/>
      <c r="S555" s="67"/>
      <c r="T555" s="67"/>
      <c r="U555" s="67"/>
      <c r="V555" s="67"/>
      <c r="W555" s="67"/>
      <c r="X555" s="67"/>
      <c r="Y555" s="67"/>
      <c r="Z555" s="67"/>
      <c r="AA555" s="67"/>
      <c r="AB555" s="67"/>
      <c r="AC555" s="67"/>
      <c r="AD555" s="67"/>
      <c r="AE555" s="67"/>
      <c r="AF555" s="67"/>
      <c r="AG555" s="67"/>
      <c r="AH555" s="67"/>
    </row>
    <row r="556">
      <c r="A556" s="171"/>
      <c r="B556" s="172"/>
      <c r="C556" s="172"/>
      <c r="D556" s="172"/>
      <c r="E556" s="172"/>
      <c r="F556" s="172"/>
      <c r="G556" s="172"/>
      <c r="H556" s="172"/>
      <c r="I556" s="172"/>
      <c r="J556" s="172"/>
      <c r="K556" s="172"/>
      <c r="L556" s="172"/>
      <c r="M556" s="172"/>
      <c r="N556" s="172"/>
      <c r="O556" s="172"/>
      <c r="P556" s="172"/>
      <c r="Q556" s="172"/>
      <c r="R556" s="173"/>
      <c r="S556" s="67"/>
      <c r="T556" s="67"/>
      <c r="U556" s="67"/>
      <c r="V556" s="67"/>
      <c r="W556" s="67"/>
      <c r="X556" s="67"/>
      <c r="Y556" s="67"/>
      <c r="Z556" s="67"/>
      <c r="AA556" s="67"/>
      <c r="AB556" s="67"/>
      <c r="AC556" s="67"/>
      <c r="AD556" s="67"/>
      <c r="AE556" s="67"/>
      <c r="AF556" s="67"/>
      <c r="AG556" s="67"/>
      <c r="AH556" s="67"/>
    </row>
    <row r="557">
      <c r="A557" s="174"/>
      <c r="B557" s="175"/>
      <c r="C557" s="175"/>
      <c r="D557" s="175"/>
      <c r="E557" s="175"/>
      <c r="F557" s="175"/>
      <c r="G557" s="175"/>
      <c r="H557" s="175"/>
      <c r="I557" s="175"/>
      <c r="J557" s="175"/>
      <c r="K557" s="175"/>
      <c r="L557" s="175"/>
      <c r="M557" s="175"/>
      <c r="N557" s="175"/>
      <c r="O557" s="175"/>
      <c r="P557" s="175"/>
      <c r="Q557" s="175"/>
      <c r="R557" s="176"/>
      <c r="S557" s="67"/>
      <c r="T557" s="67"/>
      <c r="U557" s="67"/>
      <c r="V557" s="67"/>
      <c r="W557" s="67"/>
      <c r="X557" s="67"/>
      <c r="Y557" s="67"/>
      <c r="Z557" s="67"/>
      <c r="AA557" s="67"/>
      <c r="AB557" s="67"/>
      <c r="AC557" s="67"/>
      <c r="AD557" s="67"/>
      <c r="AE557" s="67"/>
      <c r="AF557" s="67"/>
      <c r="AG557" s="67"/>
      <c r="AH557" s="67"/>
    </row>
    <row r="558">
      <c r="A558" s="171"/>
      <c r="B558" s="172"/>
      <c r="C558" s="172"/>
      <c r="D558" s="172"/>
      <c r="E558" s="172"/>
      <c r="F558" s="172"/>
      <c r="G558" s="172"/>
      <c r="H558" s="172"/>
      <c r="I558" s="172"/>
      <c r="J558" s="172"/>
      <c r="K558" s="172"/>
      <c r="L558" s="172"/>
      <c r="M558" s="172"/>
      <c r="N558" s="172"/>
      <c r="O558" s="172"/>
      <c r="P558" s="172"/>
      <c r="Q558" s="172"/>
      <c r="R558" s="173"/>
      <c r="S558" s="67"/>
      <c r="T558" s="67"/>
      <c r="U558" s="67"/>
      <c r="V558" s="67"/>
      <c r="W558" s="67"/>
      <c r="X558" s="67"/>
      <c r="Y558" s="67"/>
      <c r="Z558" s="67"/>
      <c r="AA558" s="67"/>
      <c r="AB558" s="67"/>
      <c r="AC558" s="67"/>
      <c r="AD558" s="67"/>
      <c r="AE558" s="67"/>
      <c r="AF558" s="67"/>
      <c r="AG558" s="67"/>
      <c r="AH558" s="67"/>
    </row>
    <row r="559">
      <c r="A559" s="174"/>
      <c r="B559" s="175"/>
      <c r="C559" s="175"/>
      <c r="D559" s="175"/>
      <c r="E559" s="175"/>
      <c r="F559" s="175"/>
      <c r="G559" s="175"/>
      <c r="H559" s="175"/>
      <c r="I559" s="175"/>
      <c r="J559" s="175"/>
      <c r="K559" s="175"/>
      <c r="L559" s="175"/>
      <c r="M559" s="175"/>
      <c r="N559" s="175"/>
      <c r="O559" s="175"/>
      <c r="P559" s="175"/>
      <c r="Q559" s="175"/>
      <c r="R559" s="176"/>
      <c r="S559" s="67"/>
      <c r="T559" s="67"/>
      <c r="U559" s="67"/>
      <c r="V559" s="67"/>
      <c r="W559" s="67"/>
      <c r="X559" s="67"/>
      <c r="Y559" s="67"/>
      <c r="Z559" s="67"/>
      <c r="AA559" s="67"/>
      <c r="AB559" s="67"/>
      <c r="AC559" s="67"/>
      <c r="AD559" s="67"/>
      <c r="AE559" s="67"/>
      <c r="AF559" s="67"/>
      <c r="AG559" s="67"/>
      <c r="AH559" s="67"/>
    </row>
    <row r="560">
      <c r="A560" s="171"/>
      <c r="B560" s="172"/>
      <c r="C560" s="172"/>
      <c r="D560" s="172"/>
      <c r="E560" s="172"/>
      <c r="F560" s="172"/>
      <c r="G560" s="172"/>
      <c r="H560" s="172"/>
      <c r="I560" s="172"/>
      <c r="J560" s="172"/>
      <c r="K560" s="172"/>
      <c r="L560" s="172"/>
      <c r="M560" s="172"/>
      <c r="N560" s="172"/>
      <c r="O560" s="172"/>
      <c r="P560" s="172"/>
      <c r="Q560" s="172"/>
      <c r="R560" s="173"/>
      <c r="S560" s="67"/>
      <c r="T560" s="67"/>
      <c r="U560" s="67"/>
      <c r="V560" s="67"/>
      <c r="W560" s="67"/>
      <c r="X560" s="67"/>
      <c r="Y560" s="67"/>
      <c r="Z560" s="67"/>
      <c r="AA560" s="67"/>
      <c r="AB560" s="67"/>
      <c r="AC560" s="67"/>
      <c r="AD560" s="67"/>
      <c r="AE560" s="67"/>
      <c r="AF560" s="67"/>
      <c r="AG560" s="67"/>
      <c r="AH560" s="67"/>
    </row>
    <row r="561">
      <c r="A561" s="174"/>
      <c r="B561" s="175"/>
      <c r="C561" s="175"/>
      <c r="D561" s="175"/>
      <c r="E561" s="175"/>
      <c r="F561" s="175"/>
      <c r="G561" s="175"/>
      <c r="H561" s="175"/>
      <c r="I561" s="175"/>
      <c r="J561" s="175"/>
      <c r="K561" s="175"/>
      <c r="L561" s="175"/>
      <c r="M561" s="175"/>
      <c r="N561" s="175"/>
      <c r="O561" s="175"/>
      <c r="P561" s="175"/>
      <c r="Q561" s="175"/>
      <c r="R561" s="176"/>
      <c r="S561" s="67"/>
      <c r="T561" s="67"/>
      <c r="U561" s="67"/>
      <c r="V561" s="67"/>
      <c r="W561" s="67"/>
      <c r="X561" s="67"/>
      <c r="Y561" s="67"/>
      <c r="Z561" s="67"/>
      <c r="AA561" s="67"/>
      <c r="AB561" s="67"/>
      <c r="AC561" s="67"/>
      <c r="AD561" s="67"/>
      <c r="AE561" s="67"/>
      <c r="AF561" s="67"/>
      <c r="AG561" s="67"/>
      <c r="AH561" s="67"/>
    </row>
    <row r="562">
      <c r="A562" s="171"/>
      <c r="B562" s="172"/>
      <c r="C562" s="172"/>
      <c r="D562" s="172"/>
      <c r="E562" s="172"/>
      <c r="F562" s="172"/>
      <c r="G562" s="172"/>
      <c r="H562" s="172"/>
      <c r="I562" s="172"/>
      <c r="J562" s="172"/>
      <c r="K562" s="172"/>
      <c r="L562" s="172"/>
      <c r="M562" s="172"/>
      <c r="N562" s="172"/>
      <c r="O562" s="172"/>
      <c r="P562" s="172"/>
      <c r="Q562" s="172"/>
      <c r="R562" s="173"/>
      <c r="S562" s="67"/>
      <c r="T562" s="67"/>
      <c r="U562" s="67"/>
      <c r="V562" s="67"/>
      <c r="W562" s="67"/>
      <c r="X562" s="67"/>
      <c r="Y562" s="67"/>
      <c r="Z562" s="67"/>
      <c r="AA562" s="67"/>
      <c r="AB562" s="67"/>
      <c r="AC562" s="67"/>
      <c r="AD562" s="67"/>
      <c r="AE562" s="67"/>
      <c r="AF562" s="67"/>
      <c r="AG562" s="67"/>
      <c r="AH562" s="67"/>
    </row>
    <row r="563">
      <c r="A563" s="174"/>
      <c r="B563" s="175"/>
      <c r="C563" s="175"/>
      <c r="D563" s="175"/>
      <c r="E563" s="175"/>
      <c r="F563" s="175"/>
      <c r="G563" s="175"/>
      <c r="H563" s="175"/>
      <c r="I563" s="175"/>
      <c r="J563" s="175"/>
      <c r="K563" s="175"/>
      <c r="L563" s="175"/>
      <c r="M563" s="175"/>
      <c r="N563" s="175"/>
      <c r="O563" s="175"/>
      <c r="P563" s="175"/>
      <c r="Q563" s="175"/>
      <c r="R563" s="176"/>
      <c r="S563" s="67"/>
      <c r="T563" s="67"/>
      <c r="U563" s="67"/>
      <c r="V563" s="67"/>
      <c r="W563" s="67"/>
      <c r="X563" s="67"/>
      <c r="Y563" s="67"/>
      <c r="Z563" s="67"/>
      <c r="AA563" s="67"/>
      <c r="AB563" s="67"/>
      <c r="AC563" s="67"/>
      <c r="AD563" s="67"/>
      <c r="AE563" s="67"/>
      <c r="AF563" s="67"/>
      <c r="AG563" s="67"/>
      <c r="AH563" s="67"/>
    </row>
    <row r="564">
      <c r="A564" s="171"/>
      <c r="B564" s="172"/>
      <c r="C564" s="172"/>
      <c r="D564" s="172"/>
      <c r="E564" s="172"/>
      <c r="F564" s="172"/>
      <c r="G564" s="172"/>
      <c r="H564" s="172"/>
      <c r="I564" s="172"/>
      <c r="J564" s="172"/>
      <c r="K564" s="172"/>
      <c r="L564" s="172"/>
      <c r="M564" s="172"/>
      <c r="N564" s="172"/>
      <c r="O564" s="172"/>
      <c r="P564" s="172"/>
      <c r="Q564" s="172"/>
      <c r="R564" s="173"/>
      <c r="S564" s="67"/>
      <c r="T564" s="67"/>
      <c r="U564" s="67"/>
      <c r="V564" s="67"/>
      <c r="W564" s="67"/>
      <c r="X564" s="67"/>
      <c r="Y564" s="67"/>
      <c r="Z564" s="67"/>
      <c r="AA564" s="67"/>
      <c r="AB564" s="67"/>
      <c r="AC564" s="67"/>
      <c r="AD564" s="67"/>
      <c r="AE564" s="67"/>
      <c r="AF564" s="67"/>
      <c r="AG564" s="67"/>
      <c r="AH564" s="67"/>
    </row>
    <row r="565">
      <c r="A565" s="174"/>
      <c r="B565" s="175"/>
      <c r="C565" s="175"/>
      <c r="D565" s="175"/>
      <c r="E565" s="175"/>
      <c r="F565" s="175"/>
      <c r="G565" s="175"/>
      <c r="H565" s="175"/>
      <c r="I565" s="175"/>
      <c r="J565" s="175"/>
      <c r="K565" s="175"/>
      <c r="L565" s="175"/>
      <c r="M565" s="175"/>
      <c r="N565" s="175"/>
      <c r="O565" s="175"/>
      <c r="P565" s="175"/>
      <c r="Q565" s="175"/>
      <c r="R565" s="176"/>
      <c r="S565" s="67"/>
      <c r="T565" s="67"/>
      <c r="U565" s="67"/>
      <c r="V565" s="67"/>
      <c r="W565" s="67"/>
      <c r="X565" s="67"/>
      <c r="Y565" s="67"/>
      <c r="Z565" s="67"/>
      <c r="AA565" s="67"/>
      <c r="AB565" s="67"/>
      <c r="AC565" s="67"/>
      <c r="AD565" s="67"/>
      <c r="AE565" s="67"/>
      <c r="AF565" s="67"/>
      <c r="AG565" s="67"/>
      <c r="AH565" s="67"/>
    </row>
    <row r="566">
      <c r="A566" s="171"/>
      <c r="B566" s="172"/>
      <c r="C566" s="172"/>
      <c r="D566" s="172"/>
      <c r="E566" s="172"/>
      <c r="F566" s="172"/>
      <c r="G566" s="172"/>
      <c r="H566" s="172"/>
      <c r="I566" s="172"/>
      <c r="J566" s="172"/>
      <c r="K566" s="172"/>
      <c r="L566" s="172"/>
      <c r="M566" s="172"/>
      <c r="N566" s="172"/>
      <c r="O566" s="172"/>
      <c r="P566" s="172"/>
      <c r="Q566" s="172"/>
      <c r="R566" s="173"/>
      <c r="S566" s="67"/>
      <c r="T566" s="67"/>
      <c r="U566" s="67"/>
      <c r="V566" s="67"/>
      <c r="W566" s="67"/>
      <c r="X566" s="67"/>
      <c r="Y566" s="67"/>
      <c r="Z566" s="67"/>
      <c r="AA566" s="67"/>
      <c r="AB566" s="67"/>
      <c r="AC566" s="67"/>
      <c r="AD566" s="67"/>
      <c r="AE566" s="67"/>
      <c r="AF566" s="67"/>
      <c r="AG566" s="67"/>
      <c r="AH566" s="67"/>
    </row>
    <row r="567">
      <c r="A567" s="174"/>
      <c r="B567" s="175"/>
      <c r="C567" s="175"/>
      <c r="D567" s="175"/>
      <c r="E567" s="175"/>
      <c r="F567" s="175"/>
      <c r="G567" s="175"/>
      <c r="H567" s="175"/>
      <c r="I567" s="175"/>
      <c r="J567" s="175"/>
      <c r="K567" s="175"/>
      <c r="L567" s="175"/>
      <c r="M567" s="175"/>
      <c r="N567" s="175"/>
      <c r="O567" s="175"/>
      <c r="P567" s="175"/>
      <c r="Q567" s="175"/>
      <c r="R567" s="176"/>
      <c r="S567" s="67"/>
      <c r="T567" s="67"/>
      <c r="U567" s="67"/>
      <c r="V567" s="67"/>
      <c r="W567" s="67"/>
      <c r="X567" s="67"/>
      <c r="Y567" s="67"/>
      <c r="Z567" s="67"/>
      <c r="AA567" s="67"/>
      <c r="AB567" s="67"/>
      <c r="AC567" s="67"/>
      <c r="AD567" s="67"/>
      <c r="AE567" s="67"/>
      <c r="AF567" s="67"/>
      <c r="AG567" s="67"/>
      <c r="AH567" s="67"/>
    </row>
    <row r="568">
      <c r="A568" s="171"/>
      <c r="B568" s="172"/>
      <c r="C568" s="172"/>
      <c r="D568" s="172"/>
      <c r="E568" s="172"/>
      <c r="F568" s="172"/>
      <c r="G568" s="172"/>
      <c r="H568" s="172"/>
      <c r="I568" s="172"/>
      <c r="J568" s="172"/>
      <c r="K568" s="172"/>
      <c r="L568" s="172"/>
      <c r="M568" s="172"/>
      <c r="N568" s="172"/>
      <c r="O568" s="172"/>
      <c r="P568" s="172"/>
      <c r="Q568" s="172"/>
      <c r="R568" s="173"/>
      <c r="S568" s="67"/>
      <c r="T568" s="67"/>
      <c r="U568" s="67"/>
      <c r="V568" s="67"/>
      <c r="W568" s="67"/>
      <c r="X568" s="67"/>
      <c r="Y568" s="67"/>
      <c r="Z568" s="67"/>
      <c r="AA568" s="67"/>
      <c r="AB568" s="67"/>
      <c r="AC568" s="67"/>
      <c r="AD568" s="67"/>
      <c r="AE568" s="67"/>
      <c r="AF568" s="67"/>
      <c r="AG568" s="67"/>
      <c r="AH568" s="67"/>
    </row>
    <row r="569">
      <c r="A569" s="174"/>
      <c r="B569" s="175"/>
      <c r="C569" s="175"/>
      <c r="D569" s="175"/>
      <c r="E569" s="175"/>
      <c r="F569" s="175"/>
      <c r="G569" s="175"/>
      <c r="H569" s="175"/>
      <c r="I569" s="175"/>
      <c r="J569" s="175"/>
      <c r="K569" s="175"/>
      <c r="L569" s="175"/>
      <c r="M569" s="175"/>
      <c r="N569" s="175"/>
      <c r="O569" s="175"/>
      <c r="P569" s="175"/>
      <c r="Q569" s="175"/>
      <c r="R569" s="176"/>
      <c r="S569" s="67"/>
      <c r="T569" s="67"/>
      <c r="U569" s="67"/>
      <c r="V569" s="67"/>
      <c r="W569" s="67"/>
      <c r="X569" s="67"/>
      <c r="Y569" s="67"/>
      <c r="Z569" s="67"/>
      <c r="AA569" s="67"/>
      <c r="AB569" s="67"/>
      <c r="AC569" s="67"/>
      <c r="AD569" s="67"/>
      <c r="AE569" s="67"/>
      <c r="AF569" s="67"/>
      <c r="AG569" s="67"/>
      <c r="AH569" s="67"/>
    </row>
    <row r="570">
      <c r="A570" s="171"/>
      <c r="B570" s="172"/>
      <c r="C570" s="172"/>
      <c r="D570" s="172"/>
      <c r="E570" s="172"/>
      <c r="F570" s="172"/>
      <c r="G570" s="172"/>
      <c r="H570" s="172"/>
      <c r="I570" s="172"/>
      <c r="J570" s="172"/>
      <c r="K570" s="172"/>
      <c r="L570" s="172"/>
      <c r="M570" s="172"/>
      <c r="N570" s="172"/>
      <c r="O570" s="172"/>
      <c r="P570" s="172"/>
      <c r="Q570" s="172"/>
      <c r="R570" s="173"/>
      <c r="S570" s="67"/>
      <c r="T570" s="67"/>
      <c r="U570" s="67"/>
      <c r="V570" s="67"/>
      <c r="W570" s="67"/>
      <c r="X570" s="67"/>
      <c r="Y570" s="67"/>
      <c r="Z570" s="67"/>
      <c r="AA570" s="67"/>
      <c r="AB570" s="67"/>
      <c r="AC570" s="67"/>
      <c r="AD570" s="67"/>
      <c r="AE570" s="67"/>
      <c r="AF570" s="67"/>
      <c r="AG570" s="67"/>
      <c r="AH570" s="67"/>
    </row>
    <row r="571">
      <c r="A571" s="174"/>
      <c r="B571" s="175"/>
      <c r="C571" s="175"/>
      <c r="D571" s="175"/>
      <c r="E571" s="175"/>
      <c r="F571" s="175"/>
      <c r="G571" s="175"/>
      <c r="H571" s="175"/>
      <c r="I571" s="175"/>
      <c r="J571" s="175"/>
      <c r="K571" s="175"/>
      <c r="L571" s="175"/>
      <c r="M571" s="175"/>
      <c r="N571" s="175"/>
      <c r="O571" s="175"/>
      <c r="P571" s="175"/>
      <c r="Q571" s="175"/>
      <c r="R571" s="176"/>
      <c r="S571" s="67"/>
      <c r="T571" s="67"/>
      <c r="U571" s="67"/>
      <c r="V571" s="67"/>
      <c r="W571" s="67"/>
      <c r="X571" s="67"/>
      <c r="Y571" s="67"/>
      <c r="Z571" s="67"/>
      <c r="AA571" s="67"/>
      <c r="AB571" s="67"/>
      <c r="AC571" s="67"/>
      <c r="AD571" s="67"/>
      <c r="AE571" s="67"/>
      <c r="AF571" s="67"/>
      <c r="AG571" s="67"/>
      <c r="AH571" s="67"/>
    </row>
    <row r="572">
      <c r="A572" s="171"/>
      <c r="B572" s="172"/>
      <c r="C572" s="172"/>
      <c r="D572" s="172"/>
      <c r="E572" s="172"/>
      <c r="F572" s="172"/>
      <c r="G572" s="172"/>
      <c r="H572" s="172"/>
      <c r="I572" s="172"/>
      <c r="J572" s="172"/>
      <c r="K572" s="172"/>
      <c r="L572" s="172"/>
      <c r="M572" s="172"/>
      <c r="N572" s="172"/>
      <c r="O572" s="172"/>
      <c r="P572" s="172"/>
      <c r="Q572" s="172"/>
      <c r="R572" s="173"/>
      <c r="S572" s="67"/>
      <c r="T572" s="67"/>
      <c r="U572" s="67"/>
      <c r="V572" s="67"/>
      <c r="W572" s="67"/>
      <c r="X572" s="67"/>
      <c r="Y572" s="67"/>
      <c r="Z572" s="67"/>
      <c r="AA572" s="67"/>
      <c r="AB572" s="67"/>
      <c r="AC572" s="67"/>
      <c r="AD572" s="67"/>
      <c r="AE572" s="67"/>
      <c r="AF572" s="67"/>
      <c r="AG572" s="67"/>
      <c r="AH572" s="67"/>
    </row>
    <row r="573">
      <c r="A573" s="174"/>
      <c r="B573" s="175"/>
      <c r="C573" s="175"/>
      <c r="D573" s="175"/>
      <c r="E573" s="175"/>
      <c r="F573" s="175"/>
      <c r="G573" s="175"/>
      <c r="H573" s="175"/>
      <c r="I573" s="175"/>
      <c r="J573" s="175"/>
      <c r="K573" s="175"/>
      <c r="L573" s="175"/>
      <c r="M573" s="175"/>
      <c r="N573" s="175"/>
      <c r="O573" s="175"/>
      <c r="P573" s="175"/>
      <c r="Q573" s="175"/>
      <c r="R573" s="176"/>
      <c r="S573" s="67"/>
      <c r="T573" s="67"/>
      <c r="U573" s="67"/>
      <c r="V573" s="67"/>
      <c r="W573" s="67"/>
      <c r="X573" s="67"/>
      <c r="Y573" s="67"/>
      <c r="Z573" s="67"/>
      <c r="AA573" s="67"/>
      <c r="AB573" s="67"/>
      <c r="AC573" s="67"/>
      <c r="AD573" s="67"/>
      <c r="AE573" s="67"/>
      <c r="AF573" s="67"/>
      <c r="AG573" s="67"/>
      <c r="AH573" s="67"/>
    </row>
    <row r="574">
      <c r="A574" s="171"/>
      <c r="B574" s="172"/>
      <c r="C574" s="172"/>
      <c r="D574" s="172"/>
      <c r="E574" s="172"/>
      <c r="F574" s="172"/>
      <c r="G574" s="172"/>
      <c r="H574" s="172"/>
      <c r="I574" s="172"/>
      <c r="J574" s="172"/>
      <c r="K574" s="172"/>
      <c r="L574" s="172"/>
      <c r="M574" s="172"/>
      <c r="N574" s="172"/>
      <c r="O574" s="172"/>
      <c r="P574" s="172"/>
      <c r="Q574" s="172"/>
      <c r="R574" s="173"/>
      <c r="S574" s="67"/>
      <c r="T574" s="67"/>
      <c r="U574" s="67"/>
      <c r="V574" s="67"/>
      <c r="W574" s="67"/>
      <c r="X574" s="67"/>
      <c r="Y574" s="67"/>
      <c r="Z574" s="67"/>
      <c r="AA574" s="67"/>
      <c r="AB574" s="67"/>
      <c r="AC574" s="67"/>
      <c r="AD574" s="67"/>
      <c r="AE574" s="67"/>
      <c r="AF574" s="67"/>
      <c r="AG574" s="67"/>
      <c r="AH574" s="67"/>
    </row>
    <row r="575">
      <c r="A575" s="174"/>
      <c r="B575" s="175"/>
      <c r="C575" s="175"/>
      <c r="D575" s="175"/>
      <c r="E575" s="175"/>
      <c r="F575" s="175"/>
      <c r="G575" s="175"/>
      <c r="H575" s="175"/>
      <c r="I575" s="175"/>
      <c r="J575" s="175"/>
      <c r="K575" s="175"/>
      <c r="L575" s="175"/>
      <c r="M575" s="175"/>
      <c r="N575" s="175"/>
      <c r="O575" s="175"/>
      <c r="P575" s="175"/>
      <c r="Q575" s="175"/>
      <c r="R575" s="176"/>
      <c r="S575" s="67"/>
      <c r="T575" s="67"/>
      <c r="U575" s="67"/>
      <c r="V575" s="67"/>
      <c r="W575" s="67"/>
      <c r="X575" s="67"/>
      <c r="Y575" s="67"/>
      <c r="Z575" s="67"/>
      <c r="AA575" s="67"/>
      <c r="AB575" s="67"/>
      <c r="AC575" s="67"/>
      <c r="AD575" s="67"/>
      <c r="AE575" s="67"/>
      <c r="AF575" s="67"/>
      <c r="AG575" s="67"/>
      <c r="AH575" s="67"/>
    </row>
    <row r="576">
      <c r="A576" s="171"/>
      <c r="B576" s="172"/>
      <c r="C576" s="172"/>
      <c r="D576" s="172"/>
      <c r="E576" s="172"/>
      <c r="F576" s="172"/>
      <c r="G576" s="172"/>
      <c r="H576" s="172"/>
      <c r="I576" s="172"/>
      <c r="J576" s="172"/>
      <c r="K576" s="172"/>
      <c r="L576" s="172"/>
      <c r="M576" s="172"/>
      <c r="N576" s="172"/>
      <c r="O576" s="172"/>
      <c r="P576" s="172"/>
      <c r="Q576" s="172"/>
      <c r="R576" s="173"/>
      <c r="S576" s="67"/>
      <c r="T576" s="67"/>
      <c r="U576" s="67"/>
      <c r="V576" s="67"/>
      <c r="W576" s="67"/>
      <c r="X576" s="67"/>
      <c r="Y576" s="67"/>
      <c r="Z576" s="67"/>
      <c r="AA576" s="67"/>
      <c r="AB576" s="67"/>
      <c r="AC576" s="67"/>
      <c r="AD576" s="67"/>
      <c r="AE576" s="67"/>
      <c r="AF576" s="67"/>
      <c r="AG576" s="67"/>
      <c r="AH576" s="67"/>
    </row>
    <row r="577">
      <c r="A577" s="174"/>
      <c r="B577" s="175"/>
      <c r="C577" s="175"/>
      <c r="D577" s="175"/>
      <c r="E577" s="175"/>
      <c r="F577" s="175"/>
      <c r="G577" s="175"/>
      <c r="H577" s="175"/>
      <c r="I577" s="175"/>
      <c r="J577" s="175"/>
      <c r="K577" s="175"/>
      <c r="L577" s="175"/>
      <c r="M577" s="175"/>
      <c r="N577" s="175"/>
      <c r="O577" s="175"/>
      <c r="P577" s="175"/>
      <c r="Q577" s="175"/>
      <c r="R577" s="176"/>
      <c r="S577" s="67"/>
      <c r="T577" s="67"/>
      <c r="U577" s="67"/>
      <c r="V577" s="67"/>
      <c r="W577" s="67"/>
      <c r="X577" s="67"/>
      <c r="Y577" s="67"/>
      <c r="Z577" s="67"/>
      <c r="AA577" s="67"/>
      <c r="AB577" s="67"/>
      <c r="AC577" s="67"/>
      <c r="AD577" s="67"/>
      <c r="AE577" s="67"/>
      <c r="AF577" s="67"/>
      <c r="AG577" s="67"/>
      <c r="AH577" s="67"/>
    </row>
    <row r="578">
      <c r="A578" s="171"/>
      <c r="B578" s="172"/>
      <c r="C578" s="172"/>
      <c r="D578" s="172"/>
      <c r="E578" s="172"/>
      <c r="F578" s="172"/>
      <c r="G578" s="172"/>
      <c r="H578" s="172"/>
      <c r="I578" s="172"/>
      <c r="J578" s="172"/>
      <c r="K578" s="172"/>
      <c r="L578" s="172"/>
      <c r="M578" s="172"/>
      <c r="N578" s="172"/>
      <c r="O578" s="172"/>
      <c r="P578" s="172"/>
      <c r="Q578" s="172"/>
      <c r="R578" s="173"/>
      <c r="S578" s="67"/>
      <c r="T578" s="67"/>
      <c r="U578" s="67"/>
      <c r="V578" s="67"/>
      <c r="W578" s="67"/>
      <c r="X578" s="67"/>
      <c r="Y578" s="67"/>
      <c r="Z578" s="67"/>
      <c r="AA578" s="67"/>
      <c r="AB578" s="67"/>
      <c r="AC578" s="67"/>
      <c r="AD578" s="67"/>
      <c r="AE578" s="67"/>
      <c r="AF578" s="67"/>
      <c r="AG578" s="67"/>
      <c r="AH578" s="67"/>
    </row>
    <row r="579">
      <c r="A579" s="174"/>
      <c r="B579" s="175"/>
      <c r="C579" s="175"/>
      <c r="D579" s="175"/>
      <c r="E579" s="175"/>
      <c r="F579" s="175"/>
      <c r="G579" s="175"/>
      <c r="H579" s="175"/>
      <c r="I579" s="175"/>
      <c r="J579" s="175"/>
      <c r="K579" s="175"/>
      <c r="L579" s="175"/>
      <c r="M579" s="175"/>
      <c r="N579" s="175"/>
      <c r="O579" s="175"/>
      <c r="P579" s="175"/>
      <c r="Q579" s="175"/>
      <c r="R579" s="176"/>
      <c r="S579" s="67"/>
      <c r="T579" s="67"/>
      <c r="U579" s="67"/>
      <c r="V579" s="67"/>
      <c r="W579" s="67"/>
      <c r="X579" s="67"/>
      <c r="Y579" s="67"/>
      <c r="Z579" s="67"/>
      <c r="AA579" s="67"/>
      <c r="AB579" s="67"/>
      <c r="AC579" s="67"/>
      <c r="AD579" s="67"/>
      <c r="AE579" s="67"/>
      <c r="AF579" s="67"/>
      <c r="AG579" s="67"/>
      <c r="AH579" s="67"/>
    </row>
    <row r="580">
      <c r="A580" s="171"/>
      <c r="B580" s="172"/>
      <c r="C580" s="172"/>
      <c r="D580" s="172"/>
      <c r="E580" s="172"/>
      <c r="F580" s="172"/>
      <c r="G580" s="172"/>
      <c r="H580" s="172"/>
      <c r="I580" s="172"/>
      <c r="J580" s="172"/>
      <c r="K580" s="172"/>
      <c r="L580" s="172"/>
      <c r="M580" s="172"/>
      <c r="N580" s="172"/>
      <c r="O580" s="172"/>
      <c r="P580" s="172"/>
      <c r="Q580" s="172"/>
      <c r="R580" s="173"/>
      <c r="S580" s="67"/>
      <c r="T580" s="67"/>
      <c r="U580" s="67"/>
      <c r="V580" s="67"/>
      <c r="W580" s="67"/>
      <c r="X580" s="67"/>
      <c r="Y580" s="67"/>
      <c r="Z580" s="67"/>
      <c r="AA580" s="67"/>
      <c r="AB580" s="67"/>
      <c r="AC580" s="67"/>
      <c r="AD580" s="67"/>
      <c r="AE580" s="67"/>
      <c r="AF580" s="67"/>
      <c r="AG580" s="67"/>
      <c r="AH580" s="67"/>
    </row>
    <row r="581">
      <c r="A581" s="174"/>
      <c r="B581" s="175"/>
      <c r="C581" s="175"/>
      <c r="D581" s="175"/>
      <c r="E581" s="175"/>
      <c r="F581" s="175"/>
      <c r="G581" s="175"/>
      <c r="H581" s="175"/>
      <c r="I581" s="175"/>
      <c r="J581" s="175"/>
      <c r="K581" s="175"/>
      <c r="L581" s="175"/>
      <c r="M581" s="175"/>
      <c r="N581" s="175"/>
      <c r="O581" s="175"/>
      <c r="P581" s="175"/>
      <c r="Q581" s="175"/>
      <c r="R581" s="176"/>
      <c r="S581" s="67"/>
      <c r="T581" s="67"/>
      <c r="U581" s="67"/>
      <c r="V581" s="67"/>
      <c r="W581" s="67"/>
      <c r="X581" s="67"/>
      <c r="Y581" s="67"/>
      <c r="Z581" s="67"/>
      <c r="AA581" s="67"/>
      <c r="AB581" s="67"/>
      <c r="AC581" s="67"/>
      <c r="AD581" s="67"/>
      <c r="AE581" s="67"/>
      <c r="AF581" s="67"/>
      <c r="AG581" s="67"/>
      <c r="AH581" s="67"/>
    </row>
    <row r="582">
      <c r="A582" s="171"/>
      <c r="B582" s="172"/>
      <c r="C582" s="172"/>
      <c r="D582" s="172"/>
      <c r="E582" s="172"/>
      <c r="F582" s="172"/>
      <c r="G582" s="172"/>
      <c r="H582" s="172"/>
      <c r="I582" s="172"/>
      <c r="J582" s="172"/>
      <c r="K582" s="172"/>
      <c r="L582" s="172"/>
      <c r="M582" s="172"/>
      <c r="N582" s="172"/>
      <c r="O582" s="172"/>
      <c r="P582" s="172"/>
      <c r="Q582" s="172"/>
      <c r="R582" s="173"/>
      <c r="S582" s="67"/>
      <c r="T582" s="67"/>
      <c r="U582" s="67"/>
      <c r="V582" s="67"/>
      <c r="W582" s="67"/>
      <c r="X582" s="67"/>
      <c r="Y582" s="67"/>
      <c r="Z582" s="67"/>
      <c r="AA582" s="67"/>
      <c r="AB582" s="67"/>
      <c r="AC582" s="67"/>
      <c r="AD582" s="67"/>
      <c r="AE582" s="67"/>
      <c r="AF582" s="67"/>
      <c r="AG582" s="67"/>
      <c r="AH582" s="67"/>
    </row>
    <row r="583">
      <c r="A583" s="174"/>
      <c r="B583" s="175"/>
      <c r="C583" s="175"/>
      <c r="D583" s="175"/>
      <c r="E583" s="175"/>
      <c r="F583" s="175"/>
      <c r="G583" s="175"/>
      <c r="H583" s="175"/>
      <c r="I583" s="175"/>
      <c r="J583" s="175"/>
      <c r="K583" s="175"/>
      <c r="L583" s="175"/>
      <c r="M583" s="175"/>
      <c r="N583" s="175"/>
      <c r="O583" s="175"/>
      <c r="P583" s="175"/>
      <c r="Q583" s="175"/>
      <c r="R583" s="176"/>
      <c r="S583" s="67"/>
      <c r="T583" s="67"/>
      <c r="U583" s="67"/>
      <c r="V583" s="67"/>
      <c r="W583" s="67"/>
      <c r="X583" s="67"/>
      <c r="Y583" s="67"/>
      <c r="Z583" s="67"/>
      <c r="AA583" s="67"/>
      <c r="AB583" s="67"/>
      <c r="AC583" s="67"/>
      <c r="AD583" s="67"/>
      <c r="AE583" s="67"/>
      <c r="AF583" s="67"/>
      <c r="AG583" s="67"/>
      <c r="AH583" s="67"/>
    </row>
    <row r="584">
      <c r="A584" s="171"/>
      <c r="B584" s="172"/>
      <c r="C584" s="172"/>
      <c r="D584" s="172"/>
      <c r="E584" s="172"/>
      <c r="F584" s="172"/>
      <c r="G584" s="172"/>
      <c r="H584" s="172"/>
      <c r="I584" s="172"/>
      <c r="J584" s="172"/>
      <c r="K584" s="172"/>
      <c r="L584" s="172"/>
      <c r="M584" s="172"/>
      <c r="N584" s="172"/>
      <c r="O584" s="172"/>
      <c r="P584" s="172"/>
      <c r="Q584" s="172"/>
      <c r="R584" s="173"/>
      <c r="S584" s="67"/>
      <c r="T584" s="67"/>
      <c r="U584" s="67"/>
      <c r="V584" s="67"/>
      <c r="W584" s="67"/>
      <c r="X584" s="67"/>
      <c r="Y584" s="67"/>
      <c r="Z584" s="67"/>
      <c r="AA584" s="67"/>
      <c r="AB584" s="67"/>
      <c r="AC584" s="67"/>
      <c r="AD584" s="67"/>
      <c r="AE584" s="67"/>
      <c r="AF584" s="67"/>
      <c r="AG584" s="67"/>
      <c r="AH584" s="67"/>
    </row>
    <row r="585">
      <c r="A585" s="174"/>
      <c r="B585" s="175"/>
      <c r="C585" s="175"/>
      <c r="D585" s="175"/>
      <c r="E585" s="175"/>
      <c r="F585" s="175"/>
      <c r="G585" s="175"/>
      <c r="H585" s="175"/>
      <c r="I585" s="175"/>
      <c r="J585" s="175"/>
      <c r="K585" s="175"/>
      <c r="L585" s="175"/>
      <c r="M585" s="175"/>
      <c r="N585" s="175"/>
      <c r="O585" s="175"/>
      <c r="P585" s="175"/>
      <c r="Q585" s="175"/>
      <c r="R585" s="176"/>
      <c r="S585" s="67"/>
      <c r="T585" s="67"/>
      <c r="U585" s="67"/>
      <c r="V585" s="67"/>
      <c r="W585" s="67"/>
      <c r="X585" s="67"/>
      <c r="Y585" s="67"/>
      <c r="Z585" s="67"/>
      <c r="AA585" s="67"/>
      <c r="AB585" s="67"/>
      <c r="AC585" s="67"/>
      <c r="AD585" s="67"/>
      <c r="AE585" s="67"/>
      <c r="AF585" s="67"/>
      <c r="AG585" s="67"/>
      <c r="AH585" s="67"/>
    </row>
    <row r="586">
      <c r="A586" s="171"/>
      <c r="B586" s="172"/>
      <c r="C586" s="172"/>
      <c r="D586" s="172"/>
      <c r="E586" s="172"/>
      <c r="F586" s="172"/>
      <c r="G586" s="172"/>
      <c r="H586" s="172"/>
      <c r="I586" s="172"/>
      <c r="J586" s="172"/>
      <c r="K586" s="172"/>
      <c r="L586" s="172"/>
      <c r="M586" s="172"/>
      <c r="N586" s="172"/>
      <c r="O586" s="172"/>
      <c r="P586" s="172"/>
      <c r="Q586" s="172"/>
      <c r="R586" s="173"/>
      <c r="S586" s="67"/>
      <c r="T586" s="67"/>
      <c r="U586" s="67"/>
      <c r="V586" s="67"/>
      <c r="W586" s="67"/>
      <c r="X586" s="67"/>
      <c r="Y586" s="67"/>
      <c r="Z586" s="67"/>
      <c r="AA586" s="67"/>
      <c r="AB586" s="67"/>
      <c r="AC586" s="67"/>
      <c r="AD586" s="67"/>
      <c r="AE586" s="67"/>
      <c r="AF586" s="67"/>
      <c r="AG586" s="67"/>
      <c r="AH586" s="67"/>
    </row>
    <row r="587">
      <c r="A587" s="174"/>
      <c r="B587" s="175"/>
      <c r="C587" s="175"/>
      <c r="D587" s="175"/>
      <c r="E587" s="175"/>
      <c r="F587" s="175"/>
      <c r="G587" s="175"/>
      <c r="H587" s="175"/>
      <c r="I587" s="175"/>
      <c r="J587" s="175"/>
      <c r="K587" s="175"/>
      <c r="L587" s="175"/>
      <c r="M587" s="175"/>
      <c r="N587" s="175"/>
      <c r="O587" s="175"/>
      <c r="P587" s="175"/>
      <c r="Q587" s="175"/>
      <c r="R587" s="176"/>
      <c r="S587" s="67"/>
      <c r="T587" s="67"/>
      <c r="U587" s="67"/>
      <c r="V587" s="67"/>
      <c r="W587" s="67"/>
      <c r="X587" s="67"/>
      <c r="Y587" s="67"/>
      <c r="Z587" s="67"/>
      <c r="AA587" s="67"/>
      <c r="AB587" s="67"/>
      <c r="AC587" s="67"/>
      <c r="AD587" s="67"/>
      <c r="AE587" s="67"/>
      <c r="AF587" s="67"/>
      <c r="AG587" s="67"/>
      <c r="AH587" s="67"/>
    </row>
    <row r="588">
      <c r="A588" s="171"/>
      <c r="B588" s="172"/>
      <c r="C588" s="172"/>
      <c r="D588" s="172"/>
      <c r="E588" s="172"/>
      <c r="F588" s="172"/>
      <c r="G588" s="172"/>
      <c r="H588" s="172"/>
      <c r="I588" s="172"/>
      <c r="J588" s="172"/>
      <c r="K588" s="172"/>
      <c r="L588" s="172"/>
      <c r="M588" s="172"/>
      <c r="N588" s="172"/>
      <c r="O588" s="172"/>
      <c r="P588" s="172"/>
      <c r="Q588" s="172"/>
      <c r="R588" s="173"/>
      <c r="S588" s="67"/>
      <c r="T588" s="67"/>
      <c r="U588" s="67"/>
      <c r="V588" s="67"/>
      <c r="W588" s="67"/>
      <c r="X588" s="67"/>
      <c r="Y588" s="67"/>
      <c r="Z588" s="67"/>
      <c r="AA588" s="67"/>
      <c r="AB588" s="67"/>
      <c r="AC588" s="67"/>
      <c r="AD588" s="67"/>
      <c r="AE588" s="67"/>
      <c r="AF588" s="67"/>
      <c r="AG588" s="67"/>
      <c r="AH588" s="67"/>
    </row>
    <row r="589">
      <c r="A589" s="174"/>
      <c r="B589" s="175"/>
      <c r="C589" s="175"/>
      <c r="D589" s="175"/>
      <c r="E589" s="175"/>
      <c r="F589" s="175"/>
      <c r="G589" s="175"/>
      <c r="H589" s="175"/>
      <c r="I589" s="175"/>
      <c r="J589" s="175"/>
      <c r="K589" s="175"/>
      <c r="L589" s="175"/>
      <c r="M589" s="175"/>
      <c r="N589" s="175"/>
      <c r="O589" s="175"/>
      <c r="P589" s="175"/>
      <c r="Q589" s="175"/>
      <c r="R589" s="176"/>
      <c r="S589" s="67"/>
      <c r="T589" s="67"/>
      <c r="U589" s="67"/>
      <c r="V589" s="67"/>
      <c r="W589" s="67"/>
      <c r="X589" s="67"/>
      <c r="Y589" s="67"/>
      <c r="Z589" s="67"/>
      <c r="AA589" s="67"/>
      <c r="AB589" s="67"/>
      <c r="AC589" s="67"/>
      <c r="AD589" s="67"/>
      <c r="AE589" s="67"/>
      <c r="AF589" s="67"/>
      <c r="AG589" s="67"/>
      <c r="AH589" s="67"/>
    </row>
    <row r="590">
      <c r="A590" s="171"/>
      <c r="B590" s="172"/>
      <c r="C590" s="172"/>
      <c r="D590" s="172"/>
      <c r="E590" s="172"/>
      <c r="F590" s="172"/>
      <c r="G590" s="172"/>
      <c r="H590" s="172"/>
      <c r="I590" s="172"/>
      <c r="J590" s="172"/>
      <c r="K590" s="172"/>
      <c r="L590" s="172"/>
      <c r="M590" s="172"/>
      <c r="N590" s="172"/>
      <c r="O590" s="172"/>
      <c r="P590" s="172"/>
      <c r="Q590" s="172"/>
      <c r="R590" s="173"/>
      <c r="S590" s="67"/>
      <c r="T590" s="67"/>
      <c r="U590" s="67"/>
      <c r="V590" s="67"/>
      <c r="W590" s="67"/>
      <c r="X590" s="67"/>
      <c r="Y590" s="67"/>
      <c r="Z590" s="67"/>
      <c r="AA590" s="67"/>
      <c r="AB590" s="67"/>
      <c r="AC590" s="67"/>
      <c r="AD590" s="67"/>
      <c r="AE590" s="67"/>
      <c r="AF590" s="67"/>
      <c r="AG590" s="67"/>
      <c r="AH590" s="67"/>
    </row>
    <row r="591">
      <c r="A591" s="174"/>
      <c r="B591" s="175"/>
      <c r="C591" s="175"/>
      <c r="D591" s="175"/>
      <c r="E591" s="175"/>
      <c r="F591" s="175"/>
      <c r="G591" s="175"/>
      <c r="H591" s="175"/>
      <c r="I591" s="175"/>
      <c r="J591" s="175"/>
      <c r="K591" s="175"/>
      <c r="L591" s="175"/>
      <c r="M591" s="175"/>
      <c r="N591" s="175"/>
      <c r="O591" s="175"/>
      <c r="P591" s="175"/>
      <c r="Q591" s="175"/>
      <c r="R591" s="176"/>
      <c r="S591" s="67"/>
      <c r="T591" s="67"/>
      <c r="U591" s="67"/>
      <c r="V591" s="67"/>
      <c r="W591" s="67"/>
      <c r="X591" s="67"/>
      <c r="Y591" s="67"/>
      <c r="Z591" s="67"/>
      <c r="AA591" s="67"/>
      <c r="AB591" s="67"/>
      <c r="AC591" s="67"/>
      <c r="AD591" s="67"/>
      <c r="AE591" s="67"/>
      <c r="AF591" s="67"/>
      <c r="AG591" s="67"/>
      <c r="AH591" s="67"/>
    </row>
    <row r="592">
      <c r="A592" s="171"/>
      <c r="B592" s="172"/>
      <c r="C592" s="172"/>
      <c r="D592" s="172"/>
      <c r="E592" s="172"/>
      <c r="F592" s="172"/>
      <c r="G592" s="172"/>
      <c r="H592" s="172"/>
      <c r="I592" s="172"/>
      <c r="J592" s="172"/>
      <c r="K592" s="172"/>
      <c r="L592" s="172"/>
      <c r="M592" s="172"/>
      <c r="N592" s="172"/>
      <c r="O592" s="172"/>
      <c r="P592" s="172"/>
      <c r="Q592" s="172"/>
      <c r="R592" s="173"/>
      <c r="S592" s="67"/>
      <c r="T592" s="67"/>
      <c r="U592" s="67"/>
      <c r="V592" s="67"/>
      <c r="W592" s="67"/>
      <c r="X592" s="67"/>
      <c r="Y592" s="67"/>
      <c r="Z592" s="67"/>
      <c r="AA592" s="67"/>
      <c r="AB592" s="67"/>
      <c r="AC592" s="67"/>
      <c r="AD592" s="67"/>
      <c r="AE592" s="67"/>
      <c r="AF592" s="67"/>
      <c r="AG592" s="67"/>
      <c r="AH592" s="67"/>
    </row>
    <row r="593">
      <c r="A593" s="174"/>
      <c r="B593" s="175"/>
      <c r="C593" s="175"/>
      <c r="D593" s="175"/>
      <c r="E593" s="175"/>
      <c r="F593" s="175"/>
      <c r="G593" s="175"/>
      <c r="H593" s="175"/>
      <c r="I593" s="175"/>
      <c r="J593" s="175"/>
      <c r="K593" s="175"/>
      <c r="L593" s="175"/>
      <c r="M593" s="175"/>
      <c r="N593" s="175"/>
      <c r="O593" s="175"/>
      <c r="P593" s="175"/>
      <c r="Q593" s="175"/>
      <c r="R593" s="176"/>
      <c r="S593" s="67"/>
      <c r="T593" s="67"/>
      <c r="U593" s="67"/>
      <c r="V593" s="67"/>
      <c r="W593" s="67"/>
      <c r="X593" s="67"/>
      <c r="Y593" s="67"/>
      <c r="Z593" s="67"/>
      <c r="AA593" s="67"/>
      <c r="AB593" s="67"/>
      <c r="AC593" s="67"/>
      <c r="AD593" s="67"/>
      <c r="AE593" s="67"/>
      <c r="AF593" s="67"/>
      <c r="AG593" s="67"/>
      <c r="AH593" s="67"/>
    </row>
    <row r="594">
      <c r="A594" s="171"/>
      <c r="B594" s="172"/>
      <c r="C594" s="172"/>
      <c r="D594" s="172"/>
      <c r="E594" s="172"/>
      <c r="F594" s="172"/>
      <c r="G594" s="172"/>
      <c r="H594" s="172"/>
      <c r="I594" s="172"/>
      <c r="J594" s="172"/>
      <c r="K594" s="172"/>
      <c r="L594" s="172"/>
      <c r="M594" s="172"/>
      <c r="N594" s="172"/>
      <c r="O594" s="172"/>
      <c r="P594" s="172"/>
      <c r="Q594" s="172"/>
      <c r="R594" s="173"/>
      <c r="S594" s="67"/>
      <c r="T594" s="67"/>
      <c r="U594" s="67"/>
      <c r="V594" s="67"/>
      <c r="W594" s="67"/>
      <c r="X594" s="67"/>
      <c r="Y594" s="67"/>
      <c r="Z594" s="67"/>
      <c r="AA594" s="67"/>
      <c r="AB594" s="67"/>
      <c r="AC594" s="67"/>
      <c r="AD594" s="67"/>
      <c r="AE594" s="67"/>
      <c r="AF594" s="67"/>
      <c r="AG594" s="67"/>
      <c r="AH594" s="67"/>
    </row>
    <row r="595">
      <c r="A595" s="174"/>
      <c r="B595" s="175"/>
      <c r="C595" s="175"/>
      <c r="D595" s="175"/>
      <c r="E595" s="175"/>
      <c r="F595" s="175"/>
      <c r="G595" s="175"/>
      <c r="H595" s="175"/>
      <c r="I595" s="175"/>
      <c r="J595" s="175"/>
      <c r="K595" s="175"/>
      <c r="L595" s="175"/>
      <c r="M595" s="175"/>
      <c r="N595" s="175"/>
      <c r="O595" s="175"/>
      <c r="P595" s="175"/>
      <c r="Q595" s="175"/>
      <c r="R595" s="176"/>
      <c r="S595" s="67"/>
      <c r="T595" s="67"/>
      <c r="U595" s="67"/>
      <c r="V595" s="67"/>
      <c r="W595" s="67"/>
      <c r="X595" s="67"/>
      <c r="Y595" s="67"/>
      <c r="Z595" s="67"/>
      <c r="AA595" s="67"/>
      <c r="AB595" s="67"/>
      <c r="AC595" s="67"/>
      <c r="AD595" s="67"/>
      <c r="AE595" s="67"/>
      <c r="AF595" s="67"/>
      <c r="AG595" s="67"/>
      <c r="AH595" s="67"/>
    </row>
    <row r="596">
      <c r="A596" s="171"/>
      <c r="B596" s="172"/>
      <c r="C596" s="172"/>
      <c r="D596" s="172"/>
      <c r="E596" s="172"/>
      <c r="F596" s="172"/>
      <c r="G596" s="172"/>
      <c r="H596" s="172"/>
      <c r="I596" s="172"/>
      <c r="J596" s="172"/>
      <c r="K596" s="172"/>
      <c r="L596" s="172"/>
      <c r="M596" s="172"/>
      <c r="N596" s="172"/>
      <c r="O596" s="172"/>
      <c r="P596" s="172"/>
      <c r="Q596" s="172"/>
      <c r="R596" s="173"/>
      <c r="S596" s="67"/>
      <c r="T596" s="67"/>
      <c r="U596" s="67"/>
      <c r="V596" s="67"/>
      <c r="W596" s="67"/>
      <c r="X596" s="67"/>
      <c r="Y596" s="67"/>
      <c r="Z596" s="67"/>
      <c r="AA596" s="67"/>
      <c r="AB596" s="67"/>
      <c r="AC596" s="67"/>
      <c r="AD596" s="67"/>
      <c r="AE596" s="67"/>
      <c r="AF596" s="67"/>
      <c r="AG596" s="67"/>
      <c r="AH596" s="67"/>
    </row>
    <row r="597">
      <c r="A597" s="174"/>
      <c r="B597" s="175"/>
      <c r="C597" s="175"/>
      <c r="D597" s="175"/>
      <c r="E597" s="175"/>
      <c r="F597" s="175"/>
      <c r="G597" s="175"/>
      <c r="H597" s="175"/>
      <c r="I597" s="175"/>
      <c r="J597" s="175"/>
      <c r="K597" s="175"/>
      <c r="L597" s="175"/>
      <c r="M597" s="175"/>
      <c r="N597" s="175"/>
      <c r="O597" s="175"/>
      <c r="P597" s="175"/>
      <c r="Q597" s="175"/>
      <c r="R597" s="176"/>
      <c r="S597" s="67"/>
      <c r="T597" s="67"/>
      <c r="U597" s="67"/>
      <c r="V597" s="67"/>
      <c r="W597" s="67"/>
      <c r="X597" s="67"/>
      <c r="Y597" s="67"/>
      <c r="Z597" s="67"/>
      <c r="AA597" s="67"/>
      <c r="AB597" s="67"/>
      <c r="AC597" s="67"/>
      <c r="AD597" s="67"/>
      <c r="AE597" s="67"/>
      <c r="AF597" s="67"/>
      <c r="AG597" s="67"/>
      <c r="AH597" s="67"/>
    </row>
    <row r="598">
      <c r="A598" s="171"/>
      <c r="B598" s="172"/>
      <c r="C598" s="172"/>
      <c r="D598" s="172"/>
      <c r="E598" s="172"/>
      <c r="F598" s="172"/>
      <c r="G598" s="172"/>
      <c r="H598" s="172"/>
      <c r="I598" s="172"/>
      <c r="J598" s="172"/>
      <c r="K598" s="172"/>
      <c r="L598" s="172"/>
      <c r="M598" s="172"/>
      <c r="N598" s="172"/>
      <c r="O598" s="172"/>
      <c r="P598" s="172"/>
      <c r="Q598" s="172"/>
      <c r="R598" s="173"/>
      <c r="S598" s="67"/>
      <c r="T598" s="67"/>
      <c r="U598" s="67"/>
      <c r="V598" s="67"/>
      <c r="W598" s="67"/>
      <c r="X598" s="67"/>
      <c r="Y598" s="67"/>
      <c r="Z598" s="67"/>
      <c r="AA598" s="67"/>
      <c r="AB598" s="67"/>
      <c r="AC598" s="67"/>
      <c r="AD598" s="67"/>
      <c r="AE598" s="67"/>
      <c r="AF598" s="67"/>
      <c r="AG598" s="67"/>
      <c r="AH598" s="67"/>
    </row>
    <row r="599">
      <c r="A599" s="174"/>
      <c r="B599" s="175"/>
      <c r="C599" s="175"/>
      <c r="D599" s="175"/>
      <c r="E599" s="175"/>
      <c r="F599" s="175"/>
      <c r="G599" s="175"/>
      <c r="H599" s="175"/>
      <c r="I599" s="175"/>
      <c r="J599" s="175"/>
      <c r="K599" s="175"/>
      <c r="L599" s="175"/>
      <c r="M599" s="175"/>
      <c r="N599" s="175"/>
      <c r="O599" s="175"/>
      <c r="P599" s="175"/>
      <c r="Q599" s="175"/>
      <c r="R599" s="176"/>
      <c r="S599" s="67"/>
      <c r="T599" s="67"/>
      <c r="U599" s="67"/>
      <c r="V599" s="67"/>
      <c r="W599" s="67"/>
      <c r="X599" s="67"/>
      <c r="Y599" s="67"/>
      <c r="Z599" s="67"/>
      <c r="AA599" s="67"/>
      <c r="AB599" s="67"/>
      <c r="AC599" s="67"/>
      <c r="AD599" s="67"/>
      <c r="AE599" s="67"/>
      <c r="AF599" s="67"/>
      <c r="AG599" s="67"/>
      <c r="AH599" s="67"/>
    </row>
    <row r="600">
      <c r="A600" s="171"/>
      <c r="B600" s="172"/>
      <c r="C600" s="172"/>
      <c r="D600" s="172"/>
      <c r="E600" s="172"/>
      <c r="F600" s="172"/>
      <c r="G600" s="172"/>
      <c r="H600" s="172"/>
      <c r="I600" s="172"/>
      <c r="J600" s="172"/>
      <c r="K600" s="172"/>
      <c r="L600" s="172"/>
      <c r="M600" s="172"/>
      <c r="N600" s="172"/>
      <c r="O600" s="172"/>
      <c r="P600" s="172"/>
      <c r="Q600" s="172"/>
      <c r="R600" s="173"/>
      <c r="S600" s="67"/>
      <c r="T600" s="67"/>
      <c r="U600" s="67"/>
      <c r="V600" s="67"/>
      <c r="W600" s="67"/>
      <c r="X600" s="67"/>
      <c r="Y600" s="67"/>
      <c r="Z600" s="67"/>
      <c r="AA600" s="67"/>
      <c r="AB600" s="67"/>
      <c r="AC600" s="67"/>
      <c r="AD600" s="67"/>
      <c r="AE600" s="67"/>
      <c r="AF600" s="67"/>
      <c r="AG600" s="67"/>
      <c r="AH600" s="67"/>
    </row>
    <row r="601">
      <c r="A601" s="174"/>
      <c r="B601" s="175"/>
      <c r="C601" s="175"/>
      <c r="D601" s="175"/>
      <c r="E601" s="175"/>
      <c r="F601" s="175"/>
      <c r="G601" s="175"/>
      <c r="H601" s="175"/>
      <c r="I601" s="175"/>
      <c r="J601" s="175"/>
      <c r="K601" s="175"/>
      <c r="L601" s="175"/>
      <c r="M601" s="175"/>
      <c r="N601" s="175"/>
      <c r="O601" s="175"/>
      <c r="P601" s="175"/>
      <c r="Q601" s="175"/>
      <c r="R601" s="176"/>
      <c r="S601" s="67"/>
      <c r="T601" s="67"/>
      <c r="U601" s="67"/>
      <c r="V601" s="67"/>
      <c r="W601" s="67"/>
      <c r="X601" s="67"/>
      <c r="Y601" s="67"/>
      <c r="Z601" s="67"/>
      <c r="AA601" s="67"/>
      <c r="AB601" s="67"/>
      <c r="AC601" s="67"/>
      <c r="AD601" s="67"/>
      <c r="AE601" s="67"/>
      <c r="AF601" s="67"/>
      <c r="AG601" s="67"/>
      <c r="AH601" s="67"/>
    </row>
    <row r="602">
      <c r="A602" s="171"/>
      <c r="B602" s="172"/>
      <c r="C602" s="172"/>
      <c r="D602" s="172"/>
      <c r="E602" s="172"/>
      <c r="F602" s="172"/>
      <c r="G602" s="172"/>
      <c r="H602" s="172"/>
      <c r="I602" s="172"/>
      <c r="J602" s="172"/>
      <c r="K602" s="172"/>
      <c r="L602" s="172"/>
      <c r="M602" s="172"/>
      <c r="N602" s="172"/>
      <c r="O602" s="172"/>
      <c r="P602" s="172"/>
      <c r="Q602" s="172"/>
      <c r="R602" s="173"/>
      <c r="S602" s="67"/>
      <c r="T602" s="67"/>
      <c r="U602" s="67"/>
      <c r="V602" s="67"/>
      <c r="W602" s="67"/>
      <c r="X602" s="67"/>
      <c r="Y602" s="67"/>
      <c r="Z602" s="67"/>
      <c r="AA602" s="67"/>
      <c r="AB602" s="67"/>
      <c r="AC602" s="67"/>
      <c r="AD602" s="67"/>
      <c r="AE602" s="67"/>
      <c r="AF602" s="67"/>
      <c r="AG602" s="67"/>
      <c r="AH602" s="67"/>
    </row>
    <row r="603">
      <c r="A603" s="174"/>
      <c r="B603" s="175"/>
      <c r="C603" s="175"/>
      <c r="D603" s="175"/>
      <c r="E603" s="175"/>
      <c r="F603" s="175"/>
      <c r="G603" s="175"/>
      <c r="H603" s="175"/>
      <c r="I603" s="175"/>
      <c r="J603" s="175"/>
      <c r="K603" s="175"/>
      <c r="L603" s="175"/>
      <c r="M603" s="175"/>
      <c r="N603" s="175"/>
      <c r="O603" s="175"/>
      <c r="P603" s="175"/>
      <c r="Q603" s="175"/>
      <c r="R603" s="176"/>
      <c r="S603" s="67"/>
      <c r="T603" s="67"/>
      <c r="U603" s="67"/>
      <c r="V603" s="67"/>
      <c r="W603" s="67"/>
      <c r="X603" s="67"/>
      <c r="Y603" s="67"/>
      <c r="Z603" s="67"/>
      <c r="AA603" s="67"/>
      <c r="AB603" s="67"/>
      <c r="AC603" s="67"/>
      <c r="AD603" s="67"/>
      <c r="AE603" s="67"/>
      <c r="AF603" s="67"/>
      <c r="AG603" s="67"/>
      <c r="AH603" s="67"/>
    </row>
    <row r="604">
      <c r="A604" s="171"/>
      <c r="B604" s="172"/>
      <c r="C604" s="172"/>
      <c r="D604" s="172"/>
      <c r="E604" s="172"/>
      <c r="F604" s="172"/>
      <c r="G604" s="172"/>
      <c r="H604" s="172"/>
      <c r="I604" s="172"/>
      <c r="J604" s="172"/>
      <c r="K604" s="172"/>
      <c r="L604" s="172"/>
      <c r="M604" s="172"/>
      <c r="N604" s="172"/>
      <c r="O604" s="172"/>
      <c r="P604" s="172"/>
      <c r="Q604" s="172"/>
      <c r="R604" s="173"/>
      <c r="S604" s="67"/>
      <c r="T604" s="67"/>
      <c r="U604" s="67"/>
      <c r="V604" s="67"/>
      <c r="W604" s="67"/>
      <c r="X604" s="67"/>
      <c r="Y604" s="67"/>
      <c r="Z604" s="67"/>
      <c r="AA604" s="67"/>
      <c r="AB604" s="67"/>
      <c r="AC604" s="67"/>
      <c r="AD604" s="67"/>
      <c r="AE604" s="67"/>
      <c r="AF604" s="67"/>
      <c r="AG604" s="67"/>
      <c r="AH604" s="67"/>
    </row>
    <row r="605">
      <c r="A605" s="174"/>
      <c r="B605" s="175"/>
      <c r="C605" s="175"/>
      <c r="D605" s="175"/>
      <c r="E605" s="175"/>
      <c r="F605" s="175"/>
      <c r="G605" s="175"/>
      <c r="H605" s="175"/>
      <c r="I605" s="175"/>
      <c r="J605" s="175"/>
      <c r="K605" s="175"/>
      <c r="L605" s="175"/>
      <c r="M605" s="175"/>
      <c r="N605" s="175"/>
      <c r="O605" s="175"/>
      <c r="P605" s="175"/>
      <c r="Q605" s="175"/>
      <c r="R605" s="176"/>
      <c r="S605" s="67"/>
      <c r="T605" s="67"/>
      <c r="U605" s="67"/>
      <c r="V605" s="67"/>
      <c r="W605" s="67"/>
      <c r="X605" s="67"/>
      <c r="Y605" s="67"/>
      <c r="Z605" s="67"/>
      <c r="AA605" s="67"/>
      <c r="AB605" s="67"/>
      <c r="AC605" s="67"/>
      <c r="AD605" s="67"/>
      <c r="AE605" s="67"/>
      <c r="AF605" s="67"/>
      <c r="AG605" s="67"/>
      <c r="AH605" s="67"/>
    </row>
    <row r="606">
      <c r="A606" s="171"/>
      <c r="B606" s="172"/>
      <c r="C606" s="172"/>
      <c r="D606" s="172"/>
      <c r="E606" s="172"/>
      <c r="F606" s="172"/>
      <c r="G606" s="172"/>
      <c r="H606" s="172"/>
      <c r="I606" s="172"/>
      <c r="J606" s="172"/>
      <c r="K606" s="172"/>
      <c r="L606" s="172"/>
      <c r="M606" s="172"/>
      <c r="N606" s="172"/>
      <c r="O606" s="172"/>
      <c r="P606" s="172"/>
      <c r="Q606" s="172"/>
      <c r="R606" s="173"/>
      <c r="S606" s="67"/>
      <c r="T606" s="67"/>
      <c r="U606" s="67"/>
      <c r="V606" s="67"/>
      <c r="W606" s="67"/>
      <c r="X606" s="67"/>
      <c r="Y606" s="67"/>
      <c r="Z606" s="67"/>
      <c r="AA606" s="67"/>
      <c r="AB606" s="67"/>
      <c r="AC606" s="67"/>
      <c r="AD606" s="67"/>
      <c r="AE606" s="67"/>
      <c r="AF606" s="67"/>
      <c r="AG606" s="67"/>
      <c r="AH606" s="67"/>
    </row>
    <row r="607">
      <c r="A607" s="174"/>
      <c r="B607" s="175"/>
      <c r="C607" s="175"/>
      <c r="D607" s="175"/>
      <c r="E607" s="175"/>
      <c r="F607" s="175"/>
      <c r="G607" s="175"/>
      <c r="H607" s="175"/>
      <c r="I607" s="175"/>
      <c r="J607" s="175"/>
      <c r="K607" s="175"/>
      <c r="L607" s="175"/>
      <c r="M607" s="175"/>
      <c r="N607" s="175"/>
      <c r="O607" s="175"/>
      <c r="P607" s="175"/>
      <c r="Q607" s="175"/>
      <c r="R607" s="176"/>
      <c r="S607" s="67"/>
      <c r="T607" s="67"/>
      <c r="U607" s="67"/>
      <c r="V607" s="67"/>
      <c r="W607" s="67"/>
      <c r="X607" s="67"/>
      <c r="Y607" s="67"/>
      <c r="Z607" s="67"/>
      <c r="AA607" s="67"/>
      <c r="AB607" s="67"/>
      <c r="AC607" s="67"/>
      <c r="AD607" s="67"/>
      <c r="AE607" s="67"/>
      <c r="AF607" s="67"/>
      <c r="AG607" s="67"/>
      <c r="AH607" s="67"/>
    </row>
    <row r="608">
      <c r="A608" s="171"/>
      <c r="B608" s="172"/>
      <c r="C608" s="172"/>
      <c r="D608" s="172"/>
      <c r="E608" s="172"/>
      <c r="F608" s="172"/>
      <c r="G608" s="172"/>
      <c r="H608" s="172"/>
      <c r="I608" s="172"/>
      <c r="J608" s="172"/>
      <c r="K608" s="172"/>
      <c r="L608" s="172"/>
      <c r="M608" s="172"/>
      <c r="N608" s="172"/>
      <c r="O608" s="172"/>
      <c r="P608" s="172"/>
      <c r="Q608" s="172"/>
      <c r="R608" s="173"/>
      <c r="S608" s="67"/>
      <c r="T608" s="67"/>
      <c r="U608" s="67"/>
      <c r="V608" s="67"/>
      <c r="W608" s="67"/>
      <c r="X608" s="67"/>
      <c r="Y608" s="67"/>
      <c r="Z608" s="67"/>
      <c r="AA608" s="67"/>
      <c r="AB608" s="67"/>
      <c r="AC608" s="67"/>
      <c r="AD608" s="67"/>
      <c r="AE608" s="67"/>
      <c r="AF608" s="67"/>
      <c r="AG608" s="67"/>
      <c r="AH608" s="67"/>
    </row>
    <row r="609">
      <c r="A609" s="174"/>
      <c r="B609" s="175"/>
      <c r="C609" s="175"/>
      <c r="D609" s="175"/>
      <c r="E609" s="175"/>
      <c r="F609" s="175"/>
      <c r="G609" s="175"/>
      <c r="H609" s="175"/>
      <c r="I609" s="175"/>
      <c r="J609" s="175"/>
      <c r="K609" s="175"/>
      <c r="L609" s="175"/>
      <c r="M609" s="175"/>
      <c r="N609" s="175"/>
      <c r="O609" s="175"/>
      <c r="P609" s="175"/>
      <c r="Q609" s="175"/>
      <c r="R609" s="176"/>
      <c r="S609" s="67"/>
      <c r="T609" s="67"/>
      <c r="U609" s="67"/>
      <c r="V609" s="67"/>
      <c r="W609" s="67"/>
      <c r="X609" s="67"/>
      <c r="Y609" s="67"/>
      <c r="Z609" s="67"/>
      <c r="AA609" s="67"/>
      <c r="AB609" s="67"/>
      <c r="AC609" s="67"/>
      <c r="AD609" s="67"/>
      <c r="AE609" s="67"/>
      <c r="AF609" s="67"/>
      <c r="AG609" s="67"/>
      <c r="AH609" s="67"/>
    </row>
    <row r="610">
      <c r="A610" s="171"/>
      <c r="B610" s="172"/>
      <c r="C610" s="172"/>
      <c r="D610" s="172"/>
      <c r="E610" s="172"/>
      <c r="F610" s="172"/>
      <c r="G610" s="172"/>
      <c r="H610" s="172"/>
      <c r="I610" s="172"/>
      <c r="J610" s="172"/>
      <c r="K610" s="172"/>
      <c r="L610" s="172"/>
      <c r="M610" s="172"/>
      <c r="N610" s="172"/>
      <c r="O610" s="172"/>
      <c r="P610" s="172"/>
      <c r="Q610" s="172"/>
      <c r="R610" s="173"/>
      <c r="S610" s="67"/>
      <c r="T610" s="67"/>
      <c r="U610" s="67"/>
      <c r="V610" s="67"/>
      <c r="W610" s="67"/>
      <c r="X610" s="67"/>
      <c r="Y610" s="67"/>
      <c r="Z610" s="67"/>
      <c r="AA610" s="67"/>
      <c r="AB610" s="67"/>
      <c r="AC610" s="67"/>
      <c r="AD610" s="67"/>
      <c r="AE610" s="67"/>
      <c r="AF610" s="67"/>
      <c r="AG610" s="67"/>
      <c r="AH610" s="67"/>
    </row>
    <row r="611">
      <c r="A611" s="174"/>
      <c r="B611" s="175"/>
      <c r="C611" s="175"/>
      <c r="D611" s="175"/>
      <c r="E611" s="175"/>
      <c r="F611" s="175"/>
      <c r="G611" s="175"/>
      <c r="H611" s="175"/>
      <c r="I611" s="175"/>
      <c r="J611" s="175"/>
      <c r="K611" s="175"/>
      <c r="L611" s="175"/>
      <c r="M611" s="175"/>
      <c r="N611" s="175"/>
      <c r="O611" s="175"/>
      <c r="P611" s="175"/>
      <c r="Q611" s="175"/>
      <c r="R611" s="176"/>
      <c r="S611" s="67"/>
      <c r="T611" s="67"/>
      <c r="U611" s="67"/>
      <c r="V611" s="67"/>
      <c r="W611" s="67"/>
      <c r="X611" s="67"/>
      <c r="Y611" s="67"/>
      <c r="Z611" s="67"/>
      <c r="AA611" s="67"/>
      <c r="AB611" s="67"/>
      <c r="AC611" s="67"/>
      <c r="AD611" s="67"/>
      <c r="AE611" s="67"/>
      <c r="AF611" s="67"/>
      <c r="AG611" s="67"/>
      <c r="AH611" s="67"/>
    </row>
    <row r="612">
      <c r="A612" s="171"/>
      <c r="B612" s="172"/>
      <c r="C612" s="172"/>
      <c r="D612" s="172"/>
      <c r="E612" s="172"/>
      <c r="F612" s="172"/>
      <c r="G612" s="172"/>
      <c r="H612" s="172"/>
      <c r="I612" s="172"/>
      <c r="J612" s="172"/>
      <c r="K612" s="172"/>
      <c r="L612" s="172"/>
      <c r="M612" s="172"/>
      <c r="N612" s="172"/>
      <c r="O612" s="172"/>
      <c r="P612" s="172"/>
      <c r="Q612" s="172"/>
      <c r="R612" s="173"/>
      <c r="S612" s="67"/>
      <c r="T612" s="67"/>
      <c r="U612" s="67"/>
      <c r="V612" s="67"/>
      <c r="W612" s="67"/>
      <c r="X612" s="67"/>
      <c r="Y612" s="67"/>
      <c r="Z612" s="67"/>
      <c r="AA612" s="67"/>
      <c r="AB612" s="67"/>
      <c r="AC612" s="67"/>
      <c r="AD612" s="67"/>
      <c r="AE612" s="67"/>
      <c r="AF612" s="67"/>
      <c r="AG612" s="67"/>
      <c r="AH612" s="67"/>
    </row>
    <row r="613">
      <c r="A613" s="174"/>
      <c r="B613" s="175"/>
      <c r="C613" s="175"/>
      <c r="D613" s="175"/>
      <c r="E613" s="175"/>
      <c r="F613" s="175"/>
      <c r="G613" s="175"/>
      <c r="H613" s="175"/>
      <c r="I613" s="175"/>
      <c r="J613" s="175"/>
      <c r="K613" s="175"/>
      <c r="L613" s="175"/>
      <c r="M613" s="175"/>
      <c r="N613" s="175"/>
      <c r="O613" s="175"/>
      <c r="P613" s="175"/>
      <c r="Q613" s="175"/>
      <c r="R613" s="176"/>
      <c r="S613" s="67"/>
      <c r="T613" s="67"/>
      <c r="U613" s="67"/>
      <c r="V613" s="67"/>
      <c r="W613" s="67"/>
      <c r="X613" s="67"/>
      <c r="Y613" s="67"/>
      <c r="Z613" s="67"/>
      <c r="AA613" s="67"/>
      <c r="AB613" s="67"/>
      <c r="AC613" s="67"/>
      <c r="AD613" s="67"/>
      <c r="AE613" s="67"/>
      <c r="AF613" s="67"/>
      <c r="AG613" s="67"/>
      <c r="AH613" s="67"/>
    </row>
    <row r="614">
      <c r="A614" s="171"/>
      <c r="B614" s="172"/>
      <c r="C614" s="172"/>
      <c r="D614" s="172"/>
      <c r="E614" s="172"/>
      <c r="F614" s="172"/>
      <c r="G614" s="172"/>
      <c r="H614" s="172"/>
      <c r="I614" s="172"/>
      <c r="J614" s="172"/>
      <c r="K614" s="172"/>
      <c r="L614" s="172"/>
      <c r="M614" s="172"/>
      <c r="N614" s="172"/>
      <c r="O614" s="172"/>
      <c r="P614" s="172"/>
      <c r="Q614" s="172"/>
      <c r="R614" s="173"/>
      <c r="S614" s="67"/>
      <c r="T614" s="67"/>
      <c r="U614" s="67"/>
      <c r="V614" s="67"/>
      <c r="W614" s="67"/>
      <c r="X614" s="67"/>
      <c r="Y614" s="67"/>
      <c r="Z614" s="67"/>
      <c r="AA614" s="67"/>
      <c r="AB614" s="67"/>
      <c r="AC614" s="67"/>
      <c r="AD614" s="67"/>
      <c r="AE614" s="67"/>
      <c r="AF614" s="67"/>
      <c r="AG614" s="67"/>
      <c r="AH614" s="67"/>
    </row>
    <row r="615">
      <c r="A615" s="174"/>
      <c r="B615" s="175"/>
      <c r="C615" s="175"/>
      <c r="D615" s="175"/>
      <c r="E615" s="175"/>
      <c r="F615" s="175"/>
      <c r="G615" s="175"/>
      <c r="H615" s="175"/>
      <c r="I615" s="175"/>
      <c r="J615" s="175"/>
      <c r="K615" s="175"/>
      <c r="L615" s="175"/>
      <c r="M615" s="175"/>
      <c r="N615" s="175"/>
      <c r="O615" s="175"/>
      <c r="P615" s="175"/>
      <c r="Q615" s="175"/>
      <c r="R615" s="176"/>
      <c r="S615" s="67"/>
      <c r="T615" s="67"/>
      <c r="U615" s="67"/>
      <c r="V615" s="67"/>
      <c r="W615" s="67"/>
      <c r="X615" s="67"/>
      <c r="Y615" s="67"/>
      <c r="Z615" s="67"/>
      <c r="AA615" s="67"/>
      <c r="AB615" s="67"/>
      <c r="AC615" s="67"/>
      <c r="AD615" s="67"/>
      <c r="AE615" s="67"/>
      <c r="AF615" s="67"/>
      <c r="AG615" s="67"/>
      <c r="AH615" s="67"/>
    </row>
    <row r="616">
      <c r="A616" s="171"/>
      <c r="B616" s="172"/>
      <c r="C616" s="172"/>
      <c r="D616" s="172"/>
      <c r="E616" s="172"/>
      <c r="F616" s="172"/>
      <c r="G616" s="172"/>
      <c r="H616" s="172"/>
      <c r="I616" s="172"/>
      <c r="J616" s="172"/>
      <c r="K616" s="172"/>
      <c r="L616" s="172"/>
      <c r="M616" s="172"/>
      <c r="N616" s="172"/>
      <c r="O616" s="172"/>
      <c r="P616" s="172"/>
      <c r="Q616" s="172"/>
      <c r="R616" s="173"/>
      <c r="S616" s="67"/>
      <c r="T616" s="67"/>
      <c r="U616" s="67"/>
      <c r="V616" s="67"/>
      <c r="W616" s="67"/>
      <c r="X616" s="67"/>
      <c r="Y616" s="67"/>
      <c r="Z616" s="67"/>
      <c r="AA616" s="67"/>
      <c r="AB616" s="67"/>
      <c r="AC616" s="67"/>
      <c r="AD616" s="67"/>
      <c r="AE616" s="67"/>
      <c r="AF616" s="67"/>
      <c r="AG616" s="67"/>
      <c r="AH616" s="67"/>
    </row>
    <row r="617">
      <c r="A617" s="174"/>
      <c r="B617" s="175"/>
      <c r="C617" s="175"/>
      <c r="D617" s="175"/>
      <c r="E617" s="175"/>
      <c r="F617" s="175"/>
      <c r="G617" s="175"/>
      <c r="H617" s="175"/>
      <c r="I617" s="175"/>
      <c r="J617" s="175"/>
      <c r="K617" s="175"/>
      <c r="L617" s="175"/>
      <c r="M617" s="175"/>
      <c r="N617" s="175"/>
      <c r="O617" s="175"/>
      <c r="P617" s="175"/>
      <c r="Q617" s="175"/>
      <c r="R617" s="176"/>
      <c r="S617" s="67"/>
      <c r="T617" s="67"/>
      <c r="U617" s="67"/>
      <c r="V617" s="67"/>
      <c r="W617" s="67"/>
      <c r="X617" s="67"/>
      <c r="Y617" s="67"/>
      <c r="Z617" s="67"/>
      <c r="AA617" s="67"/>
      <c r="AB617" s="67"/>
      <c r="AC617" s="67"/>
      <c r="AD617" s="67"/>
      <c r="AE617" s="67"/>
      <c r="AF617" s="67"/>
      <c r="AG617" s="67"/>
      <c r="AH617" s="67"/>
    </row>
    <row r="618">
      <c r="A618" s="171"/>
      <c r="B618" s="172"/>
      <c r="C618" s="172"/>
      <c r="D618" s="172"/>
      <c r="E618" s="172"/>
      <c r="F618" s="172"/>
      <c r="G618" s="172"/>
      <c r="H618" s="172"/>
      <c r="I618" s="172"/>
      <c r="J618" s="172"/>
      <c r="K618" s="172"/>
      <c r="L618" s="172"/>
      <c r="M618" s="172"/>
      <c r="N618" s="172"/>
      <c r="O618" s="172"/>
      <c r="P618" s="172"/>
      <c r="Q618" s="172"/>
      <c r="R618" s="173"/>
      <c r="S618" s="67"/>
      <c r="T618" s="67"/>
      <c r="U618" s="67"/>
      <c r="V618" s="67"/>
      <c r="W618" s="67"/>
      <c r="X618" s="67"/>
      <c r="Y618" s="67"/>
      <c r="Z618" s="67"/>
      <c r="AA618" s="67"/>
      <c r="AB618" s="67"/>
      <c r="AC618" s="67"/>
      <c r="AD618" s="67"/>
      <c r="AE618" s="67"/>
      <c r="AF618" s="67"/>
      <c r="AG618" s="67"/>
      <c r="AH618" s="67"/>
    </row>
    <row r="619">
      <c r="A619" s="174"/>
      <c r="B619" s="175"/>
      <c r="C619" s="175"/>
      <c r="D619" s="175"/>
      <c r="E619" s="175"/>
      <c r="F619" s="175"/>
      <c r="G619" s="175"/>
      <c r="H619" s="175"/>
      <c r="I619" s="175"/>
      <c r="J619" s="175"/>
      <c r="K619" s="175"/>
      <c r="L619" s="175"/>
      <c r="M619" s="175"/>
      <c r="N619" s="175"/>
      <c r="O619" s="175"/>
      <c r="P619" s="175"/>
      <c r="Q619" s="175"/>
      <c r="R619" s="176"/>
      <c r="S619" s="67"/>
      <c r="T619" s="67"/>
      <c r="U619" s="67"/>
      <c r="V619" s="67"/>
      <c r="W619" s="67"/>
      <c r="X619" s="67"/>
      <c r="Y619" s="67"/>
      <c r="Z619" s="67"/>
      <c r="AA619" s="67"/>
      <c r="AB619" s="67"/>
      <c r="AC619" s="67"/>
      <c r="AD619" s="67"/>
      <c r="AE619" s="67"/>
      <c r="AF619" s="67"/>
      <c r="AG619" s="67"/>
      <c r="AH619" s="67"/>
    </row>
    <row r="620">
      <c r="A620" s="171"/>
      <c r="B620" s="172"/>
      <c r="C620" s="172"/>
      <c r="D620" s="172"/>
      <c r="E620" s="172"/>
      <c r="F620" s="172"/>
      <c r="G620" s="172"/>
      <c r="H620" s="172"/>
      <c r="I620" s="172"/>
      <c r="J620" s="172"/>
      <c r="K620" s="172"/>
      <c r="L620" s="172"/>
      <c r="M620" s="172"/>
      <c r="N620" s="172"/>
      <c r="O620" s="172"/>
      <c r="P620" s="172"/>
      <c r="Q620" s="172"/>
      <c r="R620" s="173"/>
      <c r="S620" s="67"/>
      <c r="T620" s="67"/>
      <c r="U620" s="67"/>
      <c r="V620" s="67"/>
      <c r="W620" s="67"/>
      <c r="X620" s="67"/>
      <c r="Y620" s="67"/>
      <c r="Z620" s="67"/>
      <c r="AA620" s="67"/>
      <c r="AB620" s="67"/>
      <c r="AC620" s="67"/>
      <c r="AD620" s="67"/>
      <c r="AE620" s="67"/>
      <c r="AF620" s="67"/>
      <c r="AG620" s="67"/>
      <c r="AH620" s="67"/>
    </row>
    <row r="621">
      <c r="A621" s="174"/>
      <c r="B621" s="175"/>
      <c r="C621" s="175"/>
      <c r="D621" s="175"/>
      <c r="E621" s="175"/>
      <c r="F621" s="175"/>
      <c r="G621" s="175"/>
      <c r="H621" s="175"/>
      <c r="I621" s="175"/>
      <c r="J621" s="175"/>
      <c r="K621" s="175"/>
      <c r="L621" s="175"/>
      <c r="M621" s="175"/>
      <c r="N621" s="175"/>
      <c r="O621" s="175"/>
      <c r="P621" s="175"/>
      <c r="Q621" s="175"/>
      <c r="R621" s="176"/>
      <c r="S621" s="67"/>
      <c r="T621" s="67"/>
      <c r="U621" s="67"/>
      <c r="V621" s="67"/>
      <c r="W621" s="67"/>
      <c r="X621" s="67"/>
      <c r="Y621" s="67"/>
      <c r="Z621" s="67"/>
      <c r="AA621" s="67"/>
      <c r="AB621" s="67"/>
      <c r="AC621" s="67"/>
      <c r="AD621" s="67"/>
      <c r="AE621" s="67"/>
      <c r="AF621" s="67"/>
      <c r="AG621" s="67"/>
      <c r="AH621" s="67"/>
    </row>
    <row r="622">
      <c r="A622" s="171"/>
      <c r="B622" s="172"/>
      <c r="C622" s="172"/>
      <c r="D622" s="172"/>
      <c r="E622" s="172"/>
      <c r="F622" s="172"/>
      <c r="G622" s="172"/>
      <c r="H622" s="172"/>
      <c r="I622" s="172"/>
      <c r="J622" s="172"/>
      <c r="K622" s="172"/>
      <c r="L622" s="172"/>
      <c r="M622" s="172"/>
      <c r="N622" s="172"/>
      <c r="O622" s="172"/>
      <c r="P622" s="172"/>
      <c r="Q622" s="172"/>
      <c r="R622" s="173"/>
      <c r="S622" s="67"/>
      <c r="T622" s="67"/>
      <c r="U622" s="67"/>
      <c r="V622" s="67"/>
      <c r="W622" s="67"/>
      <c r="X622" s="67"/>
      <c r="Y622" s="67"/>
      <c r="Z622" s="67"/>
      <c r="AA622" s="67"/>
      <c r="AB622" s="67"/>
      <c r="AC622" s="67"/>
      <c r="AD622" s="67"/>
      <c r="AE622" s="67"/>
      <c r="AF622" s="67"/>
      <c r="AG622" s="67"/>
      <c r="AH622" s="67"/>
    </row>
    <row r="623">
      <c r="A623" s="174"/>
      <c r="B623" s="175"/>
      <c r="C623" s="175"/>
      <c r="D623" s="175"/>
      <c r="E623" s="175"/>
      <c r="F623" s="175"/>
      <c r="G623" s="175"/>
      <c r="H623" s="175"/>
      <c r="I623" s="175"/>
      <c r="J623" s="175"/>
      <c r="K623" s="175"/>
      <c r="L623" s="175"/>
      <c r="M623" s="175"/>
      <c r="N623" s="175"/>
      <c r="O623" s="175"/>
      <c r="P623" s="175"/>
      <c r="Q623" s="175"/>
      <c r="R623" s="176"/>
      <c r="S623" s="67"/>
      <c r="T623" s="67"/>
      <c r="U623" s="67"/>
      <c r="V623" s="67"/>
      <c r="W623" s="67"/>
      <c r="X623" s="67"/>
      <c r="Y623" s="67"/>
      <c r="Z623" s="67"/>
      <c r="AA623" s="67"/>
      <c r="AB623" s="67"/>
      <c r="AC623" s="67"/>
      <c r="AD623" s="67"/>
      <c r="AE623" s="67"/>
      <c r="AF623" s="67"/>
      <c r="AG623" s="67"/>
      <c r="AH623" s="67"/>
    </row>
    <row r="624">
      <c r="A624" s="171"/>
      <c r="B624" s="172"/>
      <c r="C624" s="172"/>
      <c r="D624" s="172"/>
      <c r="E624" s="172"/>
      <c r="F624" s="172"/>
      <c r="G624" s="172"/>
      <c r="H624" s="172"/>
      <c r="I624" s="172"/>
      <c r="J624" s="172"/>
      <c r="K624" s="172"/>
      <c r="L624" s="172"/>
      <c r="M624" s="172"/>
      <c r="N624" s="172"/>
      <c r="O624" s="172"/>
      <c r="P624" s="172"/>
      <c r="Q624" s="172"/>
      <c r="R624" s="173"/>
      <c r="S624" s="67"/>
      <c r="T624" s="67"/>
      <c r="U624" s="67"/>
      <c r="V624" s="67"/>
      <c r="W624" s="67"/>
      <c r="X624" s="67"/>
      <c r="Y624" s="67"/>
      <c r="Z624" s="67"/>
      <c r="AA624" s="67"/>
      <c r="AB624" s="67"/>
      <c r="AC624" s="67"/>
      <c r="AD624" s="67"/>
      <c r="AE624" s="67"/>
      <c r="AF624" s="67"/>
      <c r="AG624" s="67"/>
      <c r="AH624" s="67"/>
    </row>
    <row r="625">
      <c r="A625" s="174"/>
      <c r="B625" s="175"/>
      <c r="C625" s="175"/>
      <c r="D625" s="175"/>
      <c r="E625" s="175"/>
      <c r="F625" s="175"/>
      <c r="G625" s="175"/>
      <c r="H625" s="175"/>
      <c r="I625" s="175"/>
      <c r="J625" s="175"/>
      <c r="K625" s="175"/>
      <c r="L625" s="175"/>
      <c r="M625" s="175"/>
      <c r="N625" s="175"/>
      <c r="O625" s="175"/>
      <c r="P625" s="175"/>
      <c r="Q625" s="175"/>
      <c r="R625" s="176"/>
      <c r="S625" s="67"/>
      <c r="T625" s="67"/>
      <c r="U625" s="67"/>
      <c r="V625" s="67"/>
      <c r="W625" s="67"/>
      <c r="X625" s="67"/>
      <c r="Y625" s="67"/>
      <c r="Z625" s="67"/>
      <c r="AA625" s="67"/>
      <c r="AB625" s="67"/>
      <c r="AC625" s="67"/>
      <c r="AD625" s="67"/>
      <c r="AE625" s="67"/>
      <c r="AF625" s="67"/>
      <c r="AG625" s="67"/>
      <c r="AH625" s="67"/>
    </row>
    <row r="626">
      <c r="A626" s="171"/>
      <c r="B626" s="172"/>
      <c r="C626" s="172"/>
      <c r="D626" s="172"/>
      <c r="E626" s="172"/>
      <c r="F626" s="172"/>
      <c r="G626" s="172"/>
      <c r="H626" s="172"/>
      <c r="I626" s="172"/>
      <c r="J626" s="172"/>
      <c r="K626" s="172"/>
      <c r="L626" s="172"/>
      <c r="M626" s="172"/>
      <c r="N626" s="172"/>
      <c r="O626" s="172"/>
      <c r="P626" s="172"/>
      <c r="Q626" s="172"/>
      <c r="R626" s="173"/>
      <c r="S626" s="67"/>
      <c r="T626" s="67"/>
      <c r="U626" s="67"/>
      <c r="V626" s="67"/>
      <c r="W626" s="67"/>
      <c r="X626" s="67"/>
      <c r="Y626" s="67"/>
      <c r="Z626" s="67"/>
      <c r="AA626" s="67"/>
      <c r="AB626" s="67"/>
      <c r="AC626" s="67"/>
      <c r="AD626" s="67"/>
      <c r="AE626" s="67"/>
      <c r="AF626" s="67"/>
      <c r="AG626" s="67"/>
      <c r="AH626" s="67"/>
    </row>
    <row r="627">
      <c r="A627" s="174"/>
      <c r="B627" s="175"/>
      <c r="C627" s="175"/>
      <c r="D627" s="175"/>
      <c r="E627" s="175"/>
      <c r="F627" s="175"/>
      <c r="G627" s="175"/>
      <c r="H627" s="175"/>
      <c r="I627" s="175"/>
      <c r="J627" s="175"/>
      <c r="K627" s="175"/>
      <c r="L627" s="175"/>
      <c r="M627" s="175"/>
      <c r="N627" s="175"/>
      <c r="O627" s="175"/>
      <c r="P627" s="175"/>
      <c r="Q627" s="175"/>
      <c r="R627" s="176"/>
      <c r="S627" s="67"/>
      <c r="T627" s="67"/>
      <c r="U627" s="67"/>
      <c r="V627" s="67"/>
      <c r="W627" s="67"/>
      <c r="X627" s="67"/>
      <c r="Y627" s="67"/>
      <c r="Z627" s="67"/>
      <c r="AA627" s="67"/>
      <c r="AB627" s="67"/>
      <c r="AC627" s="67"/>
      <c r="AD627" s="67"/>
      <c r="AE627" s="67"/>
      <c r="AF627" s="67"/>
      <c r="AG627" s="67"/>
      <c r="AH627" s="67"/>
    </row>
    <row r="628">
      <c r="A628" s="171"/>
      <c r="B628" s="172"/>
      <c r="C628" s="172"/>
      <c r="D628" s="172"/>
      <c r="E628" s="172"/>
      <c r="F628" s="172"/>
      <c r="G628" s="172"/>
      <c r="H628" s="172"/>
      <c r="I628" s="172"/>
      <c r="J628" s="172"/>
      <c r="K628" s="172"/>
      <c r="L628" s="172"/>
      <c r="M628" s="172"/>
      <c r="N628" s="172"/>
      <c r="O628" s="172"/>
      <c r="P628" s="172"/>
      <c r="Q628" s="172"/>
      <c r="R628" s="173"/>
      <c r="S628" s="67"/>
      <c r="T628" s="67"/>
      <c r="U628" s="67"/>
      <c r="V628" s="67"/>
      <c r="W628" s="67"/>
      <c r="X628" s="67"/>
      <c r="Y628" s="67"/>
      <c r="Z628" s="67"/>
      <c r="AA628" s="67"/>
      <c r="AB628" s="67"/>
      <c r="AC628" s="67"/>
      <c r="AD628" s="67"/>
      <c r="AE628" s="67"/>
      <c r="AF628" s="67"/>
      <c r="AG628" s="67"/>
      <c r="AH628" s="67"/>
    </row>
    <row r="629">
      <c r="A629" s="174"/>
      <c r="B629" s="175"/>
      <c r="C629" s="175"/>
      <c r="D629" s="175"/>
      <c r="E629" s="175"/>
      <c r="F629" s="175"/>
      <c r="G629" s="175"/>
      <c r="H629" s="175"/>
      <c r="I629" s="175"/>
      <c r="J629" s="175"/>
      <c r="K629" s="175"/>
      <c r="L629" s="175"/>
      <c r="M629" s="175"/>
      <c r="N629" s="175"/>
      <c r="O629" s="175"/>
      <c r="P629" s="175"/>
      <c r="Q629" s="175"/>
      <c r="R629" s="176"/>
      <c r="S629" s="67"/>
      <c r="T629" s="67"/>
      <c r="U629" s="67"/>
      <c r="V629" s="67"/>
      <c r="W629" s="67"/>
      <c r="X629" s="67"/>
      <c r="Y629" s="67"/>
      <c r="Z629" s="67"/>
      <c r="AA629" s="67"/>
      <c r="AB629" s="67"/>
      <c r="AC629" s="67"/>
      <c r="AD629" s="67"/>
      <c r="AE629" s="67"/>
      <c r="AF629" s="67"/>
      <c r="AG629" s="67"/>
      <c r="AH629" s="67"/>
    </row>
    <row r="630">
      <c r="A630" s="171"/>
      <c r="B630" s="172"/>
      <c r="C630" s="172"/>
      <c r="D630" s="172"/>
      <c r="E630" s="172"/>
      <c r="F630" s="172"/>
      <c r="G630" s="172"/>
      <c r="H630" s="172"/>
      <c r="I630" s="172"/>
      <c r="J630" s="172"/>
      <c r="K630" s="172"/>
      <c r="L630" s="172"/>
      <c r="M630" s="172"/>
      <c r="N630" s="172"/>
      <c r="O630" s="172"/>
      <c r="P630" s="172"/>
      <c r="Q630" s="172"/>
      <c r="R630" s="173"/>
      <c r="S630" s="67"/>
      <c r="T630" s="67"/>
      <c r="U630" s="67"/>
      <c r="V630" s="67"/>
      <c r="W630" s="67"/>
      <c r="X630" s="67"/>
      <c r="Y630" s="67"/>
      <c r="Z630" s="67"/>
      <c r="AA630" s="67"/>
      <c r="AB630" s="67"/>
      <c r="AC630" s="67"/>
      <c r="AD630" s="67"/>
      <c r="AE630" s="67"/>
      <c r="AF630" s="67"/>
      <c r="AG630" s="67"/>
      <c r="AH630" s="67"/>
    </row>
    <row r="631">
      <c r="A631" s="174"/>
      <c r="B631" s="175"/>
      <c r="C631" s="175"/>
      <c r="D631" s="175"/>
      <c r="E631" s="175"/>
      <c r="F631" s="175"/>
      <c r="G631" s="175"/>
      <c r="H631" s="175"/>
      <c r="I631" s="175"/>
      <c r="J631" s="175"/>
      <c r="K631" s="175"/>
      <c r="L631" s="175"/>
      <c r="M631" s="175"/>
      <c r="N631" s="175"/>
      <c r="O631" s="175"/>
      <c r="P631" s="175"/>
      <c r="Q631" s="175"/>
      <c r="R631" s="176"/>
      <c r="S631" s="67"/>
      <c r="T631" s="67"/>
      <c r="U631" s="67"/>
      <c r="V631" s="67"/>
      <c r="W631" s="67"/>
      <c r="X631" s="67"/>
      <c r="Y631" s="67"/>
      <c r="Z631" s="67"/>
      <c r="AA631" s="67"/>
      <c r="AB631" s="67"/>
      <c r="AC631" s="67"/>
      <c r="AD631" s="67"/>
      <c r="AE631" s="67"/>
      <c r="AF631" s="67"/>
      <c r="AG631" s="67"/>
      <c r="AH631" s="67"/>
    </row>
    <row r="632">
      <c r="A632" s="171"/>
      <c r="B632" s="172"/>
      <c r="C632" s="172"/>
      <c r="D632" s="172"/>
      <c r="E632" s="172"/>
      <c r="F632" s="172"/>
      <c r="G632" s="172"/>
      <c r="H632" s="172"/>
      <c r="I632" s="172"/>
      <c r="J632" s="172"/>
      <c r="K632" s="172"/>
      <c r="L632" s="172"/>
      <c r="M632" s="172"/>
      <c r="N632" s="172"/>
      <c r="O632" s="172"/>
      <c r="P632" s="172"/>
      <c r="Q632" s="172"/>
      <c r="R632" s="173"/>
      <c r="S632" s="67"/>
      <c r="T632" s="67"/>
      <c r="U632" s="67"/>
      <c r="V632" s="67"/>
      <c r="W632" s="67"/>
      <c r="X632" s="67"/>
      <c r="Y632" s="67"/>
      <c r="Z632" s="67"/>
      <c r="AA632" s="67"/>
      <c r="AB632" s="67"/>
      <c r="AC632" s="67"/>
      <c r="AD632" s="67"/>
      <c r="AE632" s="67"/>
      <c r="AF632" s="67"/>
      <c r="AG632" s="67"/>
      <c r="AH632" s="67"/>
    </row>
    <row r="633">
      <c r="A633" s="174"/>
      <c r="B633" s="175"/>
      <c r="C633" s="175"/>
      <c r="D633" s="175"/>
      <c r="E633" s="175"/>
      <c r="F633" s="175"/>
      <c r="G633" s="175"/>
      <c r="H633" s="175"/>
      <c r="I633" s="175"/>
      <c r="J633" s="175"/>
      <c r="K633" s="175"/>
      <c r="L633" s="175"/>
      <c r="M633" s="175"/>
      <c r="N633" s="175"/>
      <c r="O633" s="175"/>
      <c r="P633" s="175"/>
      <c r="Q633" s="175"/>
      <c r="R633" s="176"/>
      <c r="S633" s="67"/>
      <c r="T633" s="67"/>
      <c r="U633" s="67"/>
      <c r="V633" s="67"/>
      <c r="W633" s="67"/>
      <c r="X633" s="67"/>
      <c r="Y633" s="67"/>
      <c r="Z633" s="67"/>
      <c r="AA633" s="67"/>
      <c r="AB633" s="67"/>
      <c r="AC633" s="67"/>
      <c r="AD633" s="67"/>
      <c r="AE633" s="67"/>
      <c r="AF633" s="67"/>
      <c r="AG633" s="67"/>
      <c r="AH633" s="67"/>
    </row>
    <row r="634">
      <c r="A634" s="171"/>
      <c r="B634" s="172"/>
      <c r="C634" s="172"/>
      <c r="D634" s="172"/>
      <c r="E634" s="172"/>
      <c r="F634" s="172"/>
      <c r="G634" s="172"/>
      <c r="H634" s="172"/>
      <c r="I634" s="172"/>
      <c r="J634" s="172"/>
      <c r="K634" s="172"/>
      <c r="L634" s="172"/>
      <c r="M634" s="172"/>
      <c r="N634" s="172"/>
      <c r="O634" s="172"/>
      <c r="P634" s="172"/>
      <c r="Q634" s="172"/>
      <c r="R634" s="173"/>
      <c r="S634" s="67"/>
      <c r="T634" s="67"/>
      <c r="U634" s="67"/>
      <c r="V634" s="67"/>
      <c r="W634" s="67"/>
      <c r="X634" s="67"/>
      <c r="Y634" s="67"/>
      <c r="Z634" s="67"/>
      <c r="AA634" s="67"/>
      <c r="AB634" s="67"/>
      <c r="AC634" s="67"/>
      <c r="AD634" s="67"/>
      <c r="AE634" s="67"/>
      <c r="AF634" s="67"/>
      <c r="AG634" s="67"/>
      <c r="AH634" s="67"/>
    </row>
    <row r="635">
      <c r="A635" s="174"/>
      <c r="B635" s="175"/>
      <c r="C635" s="175"/>
      <c r="D635" s="175"/>
      <c r="E635" s="175"/>
      <c r="F635" s="175"/>
      <c r="G635" s="175"/>
      <c r="H635" s="175"/>
      <c r="I635" s="175"/>
      <c r="J635" s="175"/>
      <c r="K635" s="175"/>
      <c r="L635" s="175"/>
      <c r="M635" s="175"/>
      <c r="N635" s="175"/>
      <c r="O635" s="175"/>
      <c r="P635" s="175"/>
      <c r="Q635" s="175"/>
      <c r="R635" s="176"/>
      <c r="S635" s="67"/>
      <c r="T635" s="67"/>
      <c r="U635" s="67"/>
      <c r="V635" s="67"/>
      <c r="W635" s="67"/>
      <c r="X635" s="67"/>
      <c r="Y635" s="67"/>
      <c r="Z635" s="67"/>
      <c r="AA635" s="67"/>
      <c r="AB635" s="67"/>
      <c r="AC635" s="67"/>
      <c r="AD635" s="67"/>
      <c r="AE635" s="67"/>
      <c r="AF635" s="67"/>
      <c r="AG635" s="67"/>
      <c r="AH635" s="67"/>
    </row>
    <row r="636">
      <c r="A636" s="171"/>
      <c r="B636" s="172"/>
      <c r="C636" s="172"/>
      <c r="D636" s="172"/>
      <c r="E636" s="172"/>
      <c r="F636" s="172"/>
      <c r="G636" s="172"/>
      <c r="H636" s="172"/>
      <c r="I636" s="172"/>
      <c r="J636" s="172"/>
      <c r="K636" s="172"/>
      <c r="L636" s="172"/>
      <c r="M636" s="172"/>
      <c r="N636" s="172"/>
      <c r="O636" s="172"/>
      <c r="P636" s="172"/>
      <c r="Q636" s="172"/>
      <c r="R636" s="173"/>
      <c r="S636" s="67"/>
      <c r="T636" s="67"/>
      <c r="U636" s="67"/>
      <c r="V636" s="67"/>
      <c r="W636" s="67"/>
      <c r="X636" s="67"/>
      <c r="Y636" s="67"/>
      <c r="Z636" s="67"/>
      <c r="AA636" s="67"/>
      <c r="AB636" s="67"/>
      <c r="AC636" s="67"/>
      <c r="AD636" s="67"/>
      <c r="AE636" s="67"/>
      <c r="AF636" s="67"/>
      <c r="AG636" s="67"/>
      <c r="AH636" s="67"/>
    </row>
    <row r="637">
      <c r="A637" s="174"/>
      <c r="B637" s="175"/>
      <c r="C637" s="175"/>
      <c r="D637" s="175"/>
      <c r="E637" s="175"/>
      <c r="F637" s="175"/>
      <c r="G637" s="175"/>
      <c r="H637" s="175"/>
      <c r="I637" s="175"/>
      <c r="J637" s="175"/>
      <c r="K637" s="175"/>
      <c r="L637" s="175"/>
      <c r="M637" s="175"/>
      <c r="N637" s="175"/>
      <c r="O637" s="175"/>
      <c r="P637" s="175"/>
      <c r="Q637" s="175"/>
      <c r="R637" s="176"/>
      <c r="S637" s="67"/>
      <c r="T637" s="67"/>
      <c r="U637" s="67"/>
      <c r="V637" s="67"/>
      <c r="W637" s="67"/>
      <c r="X637" s="67"/>
      <c r="Y637" s="67"/>
      <c r="Z637" s="67"/>
      <c r="AA637" s="67"/>
      <c r="AB637" s="67"/>
      <c r="AC637" s="67"/>
      <c r="AD637" s="67"/>
      <c r="AE637" s="67"/>
      <c r="AF637" s="67"/>
      <c r="AG637" s="67"/>
      <c r="AH637" s="67"/>
    </row>
    <row r="638">
      <c r="A638" s="171"/>
      <c r="B638" s="172"/>
      <c r="C638" s="172"/>
      <c r="D638" s="172"/>
      <c r="E638" s="172"/>
      <c r="F638" s="172"/>
      <c r="G638" s="172"/>
      <c r="H638" s="172"/>
      <c r="I638" s="172"/>
      <c r="J638" s="172"/>
      <c r="K638" s="172"/>
      <c r="L638" s="172"/>
      <c r="M638" s="172"/>
      <c r="N638" s="172"/>
      <c r="O638" s="172"/>
      <c r="P638" s="172"/>
      <c r="Q638" s="172"/>
      <c r="R638" s="173"/>
      <c r="S638" s="67"/>
      <c r="T638" s="67"/>
      <c r="U638" s="67"/>
      <c r="V638" s="67"/>
      <c r="W638" s="67"/>
      <c r="X638" s="67"/>
      <c r="Y638" s="67"/>
      <c r="Z638" s="67"/>
      <c r="AA638" s="67"/>
      <c r="AB638" s="67"/>
      <c r="AC638" s="67"/>
      <c r="AD638" s="67"/>
      <c r="AE638" s="67"/>
      <c r="AF638" s="67"/>
      <c r="AG638" s="67"/>
      <c r="AH638" s="67"/>
    </row>
    <row r="639">
      <c r="A639" s="174"/>
      <c r="B639" s="175"/>
      <c r="C639" s="175"/>
      <c r="D639" s="175"/>
      <c r="E639" s="175"/>
      <c r="F639" s="175"/>
      <c r="G639" s="175"/>
      <c r="H639" s="175"/>
      <c r="I639" s="175"/>
      <c r="J639" s="175"/>
      <c r="K639" s="175"/>
      <c r="L639" s="175"/>
      <c r="M639" s="175"/>
      <c r="N639" s="175"/>
      <c r="O639" s="175"/>
      <c r="P639" s="175"/>
      <c r="Q639" s="175"/>
      <c r="R639" s="176"/>
      <c r="S639" s="67"/>
      <c r="T639" s="67"/>
      <c r="U639" s="67"/>
      <c r="V639" s="67"/>
      <c r="W639" s="67"/>
      <c r="X639" s="67"/>
      <c r="Y639" s="67"/>
      <c r="Z639" s="67"/>
      <c r="AA639" s="67"/>
      <c r="AB639" s="67"/>
      <c r="AC639" s="67"/>
      <c r="AD639" s="67"/>
      <c r="AE639" s="67"/>
      <c r="AF639" s="67"/>
      <c r="AG639" s="67"/>
      <c r="AH639" s="67"/>
    </row>
    <row r="640">
      <c r="A640" s="171"/>
      <c r="B640" s="172"/>
      <c r="C640" s="172"/>
      <c r="D640" s="172"/>
      <c r="E640" s="172"/>
      <c r="F640" s="172"/>
      <c r="G640" s="172"/>
      <c r="H640" s="172"/>
      <c r="I640" s="172"/>
      <c r="J640" s="172"/>
      <c r="K640" s="172"/>
      <c r="L640" s="172"/>
      <c r="M640" s="172"/>
      <c r="N640" s="172"/>
      <c r="O640" s="172"/>
      <c r="P640" s="172"/>
      <c r="Q640" s="172"/>
      <c r="R640" s="173"/>
      <c r="S640" s="67"/>
      <c r="T640" s="67"/>
      <c r="U640" s="67"/>
      <c r="V640" s="67"/>
      <c r="W640" s="67"/>
      <c r="X640" s="67"/>
      <c r="Y640" s="67"/>
      <c r="Z640" s="67"/>
      <c r="AA640" s="67"/>
      <c r="AB640" s="67"/>
      <c r="AC640" s="67"/>
      <c r="AD640" s="67"/>
      <c r="AE640" s="67"/>
      <c r="AF640" s="67"/>
      <c r="AG640" s="67"/>
      <c r="AH640" s="67"/>
    </row>
    <row r="641">
      <c r="A641" s="174"/>
      <c r="B641" s="175"/>
      <c r="C641" s="175"/>
      <c r="D641" s="175"/>
      <c r="E641" s="175"/>
      <c r="F641" s="175"/>
      <c r="G641" s="175"/>
      <c r="H641" s="175"/>
      <c r="I641" s="175"/>
      <c r="J641" s="175"/>
      <c r="K641" s="175"/>
      <c r="L641" s="175"/>
      <c r="M641" s="175"/>
      <c r="N641" s="175"/>
      <c r="O641" s="175"/>
      <c r="P641" s="175"/>
      <c r="Q641" s="175"/>
      <c r="R641" s="176"/>
      <c r="S641" s="67"/>
      <c r="T641" s="67"/>
      <c r="U641" s="67"/>
      <c r="V641" s="67"/>
      <c r="W641" s="67"/>
      <c r="X641" s="67"/>
      <c r="Y641" s="67"/>
      <c r="Z641" s="67"/>
      <c r="AA641" s="67"/>
      <c r="AB641" s="67"/>
      <c r="AC641" s="67"/>
      <c r="AD641" s="67"/>
      <c r="AE641" s="67"/>
      <c r="AF641" s="67"/>
      <c r="AG641" s="67"/>
      <c r="AH641" s="67"/>
    </row>
    <row r="642">
      <c r="A642" s="171"/>
      <c r="B642" s="172"/>
      <c r="C642" s="172"/>
      <c r="D642" s="172"/>
      <c r="E642" s="172"/>
      <c r="F642" s="172"/>
      <c r="G642" s="172"/>
      <c r="H642" s="172"/>
      <c r="I642" s="172"/>
      <c r="J642" s="172"/>
      <c r="K642" s="172"/>
      <c r="L642" s="172"/>
      <c r="M642" s="172"/>
      <c r="N642" s="172"/>
      <c r="O642" s="172"/>
      <c r="P642" s="172"/>
      <c r="Q642" s="172"/>
      <c r="R642" s="173"/>
      <c r="S642" s="67"/>
      <c r="T642" s="67"/>
      <c r="U642" s="67"/>
      <c r="V642" s="67"/>
      <c r="W642" s="67"/>
      <c r="X642" s="67"/>
      <c r="Y642" s="67"/>
      <c r="Z642" s="67"/>
      <c r="AA642" s="67"/>
      <c r="AB642" s="67"/>
      <c r="AC642" s="67"/>
      <c r="AD642" s="67"/>
      <c r="AE642" s="67"/>
      <c r="AF642" s="67"/>
      <c r="AG642" s="67"/>
      <c r="AH642" s="67"/>
    </row>
    <row r="643">
      <c r="A643" s="174"/>
      <c r="B643" s="175"/>
      <c r="C643" s="175"/>
      <c r="D643" s="175"/>
      <c r="E643" s="175"/>
      <c r="F643" s="175"/>
      <c r="G643" s="175"/>
      <c r="H643" s="175"/>
      <c r="I643" s="175"/>
      <c r="J643" s="175"/>
      <c r="K643" s="175"/>
      <c r="L643" s="175"/>
      <c r="M643" s="175"/>
      <c r="N643" s="175"/>
      <c r="O643" s="175"/>
      <c r="P643" s="175"/>
      <c r="Q643" s="175"/>
      <c r="R643" s="176"/>
      <c r="S643" s="67"/>
      <c r="T643" s="67"/>
      <c r="U643" s="67"/>
      <c r="V643" s="67"/>
      <c r="W643" s="67"/>
      <c r="X643" s="67"/>
      <c r="Y643" s="67"/>
      <c r="Z643" s="67"/>
      <c r="AA643" s="67"/>
      <c r="AB643" s="67"/>
      <c r="AC643" s="67"/>
      <c r="AD643" s="67"/>
      <c r="AE643" s="67"/>
      <c r="AF643" s="67"/>
      <c r="AG643" s="67"/>
      <c r="AH643" s="67"/>
    </row>
    <row r="644">
      <c r="A644" s="171"/>
      <c r="B644" s="172"/>
      <c r="C644" s="172"/>
      <c r="D644" s="172"/>
      <c r="E644" s="172"/>
      <c r="F644" s="172"/>
      <c r="G644" s="172"/>
      <c r="H644" s="172"/>
      <c r="I644" s="172"/>
      <c r="J644" s="172"/>
      <c r="K644" s="172"/>
      <c r="L644" s="172"/>
      <c r="M644" s="172"/>
      <c r="N644" s="172"/>
      <c r="O644" s="172"/>
      <c r="P644" s="172"/>
      <c r="Q644" s="172"/>
      <c r="R644" s="173"/>
      <c r="S644" s="67"/>
      <c r="T644" s="67"/>
      <c r="U644" s="67"/>
      <c r="V644" s="67"/>
      <c r="W644" s="67"/>
      <c r="X644" s="67"/>
      <c r="Y644" s="67"/>
      <c r="Z644" s="67"/>
      <c r="AA644" s="67"/>
      <c r="AB644" s="67"/>
      <c r="AC644" s="67"/>
      <c r="AD644" s="67"/>
      <c r="AE644" s="67"/>
      <c r="AF644" s="67"/>
      <c r="AG644" s="67"/>
      <c r="AH644" s="67"/>
    </row>
    <row r="645">
      <c r="A645" s="174"/>
      <c r="B645" s="175"/>
      <c r="C645" s="175"/>
      <c r="D645" s="175"/>
      <c r="E645" s="175"/>
      <c r="F645" s="175"/>
      <c r="G645" s="175"/>
      <c r="H645" s="175"/>
      <c r="I645" s="175"/>
      <c r="J645" s="175"/>
      <c r="K645" s="175"/>
      <c r="L645" s="175"/>
      <c r="M645" s="175"/>
      <c r="N645" s="175"/>
      <c r="O645" s="175"/>
      <c r="P645" s="175"/>
      <c r="Q645" s="175"/>
      <c r="R645" s="176"/>
      <c r="S645" s="67"/>
      <c r="T645" s="67"/>
      <c r="U645" s="67"/>
      <c r="V645" s="67"/>
      <c r="W645" s="67"/>
      <c r="X645" s="67"/>
      <c r="Y645" s="67"/>
      <c r="Z645" s="67"/>
      <c r="AA645" s="67"/>
      <c r="AB645" s="67"/>
      <c r="AC645" s="67"/>
      <c r="AD645" s="67"/>
      <c r="AE645" s="67"/>
      <c r="AF645" s="67"/>
      <c r="AG645" s="67"/>
      <c r="AH645" s="67"/>
    </row>
    <row r="646">
      <c r="A646" s="171"/>
      <c r="B646" s="172"/>
      <c r="C646" s="172"/>
      <c r="D646" s="172"/>
      <c r="E646" s="172"/>
      <c r="F646" s="172"/>
      <c r="G646" s="172"/>
      <c r="H646" s="172"/>
      <c r="I646" s="172"/>
      <c r="J646" s="172"/>
      <c r="K646" s="172"/>
      <c r="L646" s="172"/>
      <c r="M646" s="172"/>
      <c r="N646" s="172"/>
      <c r="O646" s="172"/>
      <c r="P646" s="172"/>
      <c r="Q646" s="172"/>
      <c r="R646" s="173"/>
      <c r="S646" s="67"/>
      <c r="T646" s="67"/>
      <c r="U646" s="67"/>
      <c r="V646" s="67"/>
      <c r="W646" s="67"/>
      <c r="X646" s="67"/>
      <c r="Y646" s="67"/>
      <c r="Z646" s="67"/>
      <c r="AA646" s="67"/>
      <c r="AB646" s="67"/>
      <c r="AC646" s="67"/>
      <c r="AD646" s="67"/>
      <c r="AE646" s="67"/>
      <c r="AF646" s="67"/>
      <c r="AG646" s="67"/>
      <c r="AH646" s="67"/>
    </row>
    <row r="647">
      <c r="A647" s="174"/>
      <c r="B647" s="175"/>
      <c r="C647" s="175"/>
      <c r="D647" s="175"/>
      <c r="E647" s="175"/>
      <c r="F647" s="175"/>
      <c r="G647" s="175"/>
      <c r="H647" s="175"/>
      <c r="I647" s="175"/>
      <c r="J647" s="175"/>
      <c r="K647" s="175"/>
      <c r="L647" s="175"/>
      <c r="M647" s="175"/>
      <c r="N647" s="175"/>
      <c r="O647" s="175"/>
      <c r="P647" s="175"/>
      <c r="Q647" s="175"/>
      <c r="R647" s="176"/>
      <c r="S647" s="67"/>
      <c r="T647" s="67"/>
      <c r="U647" s="67"/>
      <c r="V647" s="67"/>
      <c r="W647" s="67"/>
      <c r="X647" s="67"/>
      <c r="Y647" s="67"/>
      <c r="Z647" s="67"/>
      <c r="AA647" s="67"/>
      <c r="AB647" s="67"/>
      <c r="AC647" s="67"/>
      <c r="AD647" s="67"/>
      <c r="AE647" s="67"/>
      <c r="AF647" s="67"/>
      <c r="AG647" s="67"/>
      <c r="AH647" s="67"/>
    </row>
    <row r="648">
      <c r="A648" s="171"/>
      <c r="B648" s="172"/>
      <c r="C648" s="172"/>
      <c r="D648" s="172"/>
      <c r="E648" s="172"/>
      <c r="F648" s="172"/>
      <c r="G648" s="172"/>
      <c r="H648" s="172"/>
      <c r="I648" s="172"/>
      <c r="J648" s="172"/>
      <c r="K648" s="172"/>
      <c r="L648" s="172"/>
      <c r="M648" s="172"/>
      <c r="N648" s="172"/>
      <c r="O648" s="172"/>
      <c r="P648" s="172"/>
      <c r="Q648" s="172"/>
      <c r="R648" s="173"/>
      <c r="S648" s="67"/>
      <c r="T648" s="67"/>
      <c r="U648" s="67"/>
      <c r="V648" s="67"/>
      <c r="W648" s="67"/>
      <c r="X648" s="67"/>
      <c r="Y648" s="67"/>
      <c r="Z648" s="67"/>
      <c r="AA648" s="67"/>
      <c r="AB648" s="67"/>
      <c r="AC648" s="67"/>
      <c r="AD648" s="67"/>
      <c r="AE648" s="67"/>
      <c r="AF648" s="67"/>
      <c r="AG648" s="67"/>
      <c r="AH648" s="67"/>
    </row>
    <row r="649">
      <c r="A649" s="174"/>
      <c r="B649" s="175"/>
      <c r="C649" s="175"/>
      <c r="D649" s="175"/>
      <c r="E649" s="175"/>
      <c r="F649" s="175"/>
      <c r="G649" s="175"/>
      <c r="H649" s="175"/>
      <c r="I649" s="175"/>
      <c r="J649" s="175"/>
      <c r="K649" s="175"/>
      <c r="L649" s="175"/>
      <c r="M649" s="175"/>
      <c r="N649" s="175"/>
      <c r="O649" s="175"/>
      <c r="P649" s="175"/>
      <c r="Q649" s="175"/>
      <c r="R649" s="176"/>
      <c r="S649" s="67"/>
      <c r="T649" s="67"/>
      <c r="U649" s="67"/>
      <c r="V649" s="67"/>
      <c r="W649" s="67"/>
      <c r="X649" s="67"/>
      <c r="Y649" s="67"/>
      <c r="Z649" s="67"/>
      <c r="AA649" s="67"/>
      <c r="AB649" s="67"/>
      <c r="AC649" s="67"/>
      <c r="AD649" s="67"/>
      <c r="AE649" s="67"/>
      <c r="AF649" s="67"/>
      <c r="AG649" s="67"/>
      <c r="AH649" s="67"/>
    </row>
    <row r="650">
      <c r="A650" s="171"/>
      <c r="B650" s="172"/>
      <c r="C650" s="172"/>
      <c r="D650" s="172"/>
      <c r="E650" s="172"/>
      <c r="F650" s="172"/>
      <c r="G650" s="172"/>
      <c r="H650" s="172"/>
      <c r="I650" s="172"/>
      <c r="J650" s="172"/>
      <c r="K650" s="172"/>
      <c r="L650" s="172"/>
      <c r="M650" s="172"/>
      <c r="N650" s="172"/>
      <c r="O650" s="172"/>
      <c r="P650" s="172"/>
      <c r="Q650" s="172"/>
      <c r="R650" s="173"/>
      <c r="S650" s="67"/>
      <c r="T650" s="67"/>
      <c r="U650" s="67"/>
      <c r="V650" s="67"/>
      <c r="W650" s="67"/>
      <c r="X650" s="67"/>
      <c r="Y650" s="67"/>
      <c r="Z650" s="67"/>
      <c r="AA650" s="67"/>
      <c r="AB650" s="67"/>
      <c r="AC650" s="67"/>
      <c r="AD650" s="67"/>
      <c r="AE650" s="67"/>
      <c r="AF650" s="67"/>
      <c r="AG650" s="67"/>
      <c r="AH650" s="67"/>
    </row>
    <row r="651">
      <c r="A651" s="174"/>
      <c r="B651" s="175"/>
      <c r="C651" s="175"/>
      <c r="D651" s="175"/>
      <c r="E651" s="175"/>
      <c r="F651" s="175"/>
      <c r="G651" s="175"/>
      <c r="H651" s="175"/>
      <c r="I651" s="175"/>
      <c r="J651" s="175"/>
      <c r="K651" s="175"/>
      <c r="L651" s="175"/>
      <c r="M651" s="175"/>
      <c r="N651" s="175"/>
      <c r="O651" s="175"/>
      <c r="P651" s="175"/>
      <c r="Q651" s="175"/>
      <c r="R651" s="176"/>
      <c r="S651" s="67"/>
      <c r="T651" s="67"/>
      <c r="U651" s="67"/>
      <c r="V651" s="67"/>
      <c r="W651" s="67"/>
      <c r="X651" s="67"/>
      <c r="Y651" s="67"/>
      <c r="Z651" s="67"/>
      <c r="AA651" s="67"/>
      <c r="AB651" s="67"/>
      <c r="AC651" s="67"/>
      <c r="AD651" s="67"/>
      <c r="AE651" s="67"/>
      <c r="AF651" s="67"/>
      <c r="AG651" s="67"/>
      <c r="AH651" s="67"/>
    </row>
    <row r="652">
      <c r="A652" s="171"/>
      <c r="B652" s="172"/>
      <c r="C652" s="172"/>
      <c r="D652" s="172"/>
      <c r="E652" s="172"/>
      <c r="F652" s="172"/>
      <c r="G652" s="172"/>
      <c r="H652" s="172"/>
      <c r="I652" s="172"/>
      <c r="J652" s="172"/>
      <c r="K652" s="172"/>
      <c r="L652" s="172"/>
      <c r="M652" s="172"/>
      <c r="N652" s="172"/>
      <c r="O652" s="172"/>
      <c r="P652" s="172"/>
      <c r="Q652" s="172"/>
      <c r="R652" s="173"/>
      <c r="S652" s="67"/>
      <c r="T652" s="67"/>
      <c r="U652" s="67"/>
      <c r="V652" s="67"/>
      <c r="W652" s="67"/>
      <c r="X652" s="67"/>
      <c r="Y652" s="67"/>
      <c r="Z652" s="67"/>
      <c r="AA652" s="67"/>
      <c r="AB652" s="67"/>
      <c r="AC652" s="67"/>
      <c r="AD652" s="67"/>
      <c r="AE652" s="67"/>
      <c r="AF652" s="67"/>
      <c r="AG652" s="67"/>
      <c r="AH652" s="67"/>
    </row>
    <row r="653">
      <c r="A653" s="174"/>
      <c r="B653" s="175"/>
      <c r="C653" s="175"/>
      <c r="D653" s="175"/>
      <c r="E653" s="175"/>
      <c r="F653" s="175"/>
      <c r="G653" s="175"/>
      <c r="H653" s="175"/>
      <c r="I653" s="175"/>
      <c r="J653" s="175"/>
      <c r="K653" s="175"/>
      <c r="L653" s="175"/>
      <c r="M653" s="175"/>
      <c r="N653" s="175"/>
      <c r="O653" s="175"/>
      <c r="P653" s="175"/>
      <c r="Q653" s="175"/>
      <c r="R653" s="176"/>
      <c r="S653" s="67"/>
      <c r="T653" s="67"/>
      <c r="U653" s="67"/>
      <c r="V653" s="67"/>
      <c r="W653" s="67"/>
      <c r="X653" s="67"/>
      <c r="Y653" s="67"/>
      <c r="Z653" s="67"/>
      <c r="AA653" s="67"/>
      <c r="AB653" s="67"/>
      <c r="AC653" s="67"/>
      <c r="AD653" s="67"/>
      <c r="AE653" s="67"/>
      <c r="AF653" s="67"/>
      <c r="AG653" s="67"/>
      <c r="AH653" s="67"/>
    </row>
    <row r="654">
      <c r="A654" s="171"/>
      <c r="B654" s="172"/>
      <c r="C654" s="172"/>
      <c r="D654" s="172"/>
      <c r="E654" s="172"/>
      <c r="F654" s="172"/>
      <c r="G654" s="172"/>
      <c r="H654" s="172"/>
      <c r="I654" s="172"/>
      <c r="J654" s="172"/>
      <c r="K654" s="172"/>
      <c r="L654" s="172"/>
      <c r="M654" s="172"/>
      <c r="N654" s="172"/>
      <c r="O654" s="172"/>
      <c r="P654" s="172"/>
      <c r="Q654" s="172"/>
      <c r="R654" s="173"/>
      <c r="S654" s="67"/>
      <c r="T654" s="67"/>
      <c r="U654" s="67"/>
      <c r="V654" s="67"/>
      <c r="W654" s="67"/>
      <c r="X654" s="67"/>
      <c r="Y654" s="67"/>
      <c r="Z654" s="67"/>
      <c r="AA654" s="67"/>
      <c r="AB654" s="67"/>
      <c r="AC654" s="67"/>
      <c r="AD654" s="67"/>
      <c r="AE654" s="67"/>
      <c r="AF654" s="67"/>
      <c r="AG654" s="67"/>
      <c r="AH654" s="67"/>
    </row>
    <row r="655">
      <c r="A655" s="174"/>
      <c r="B655" s="175"/>
      <c r="C655" s="175"/>
      <c r="D655" s="175"/>
      <c r="E655" s="175"/>
      <c r="F655" s="175"/>
      <c r="G655" s="175"/>
      <c r="H655" s="175"/>
      <c r="I655" s="175"/>
      <c r="J655" s="175"/>
      <c r="K655" s="175"/>
      <c r="L655" s="175"/>
      <c r="M655" s="175"/>
      <c r="N655" s="175"/>
      <c r="O655" s="175"/>
      <c r="P655" s="175"/>
      <c r="Q655" s="175"/>
      <c r="R655" s="176"/>
      <c r="S655" s="67"/>
      <c r="T655" s="67"/>
      <c r="U655" s="67"/>
      <c r="V655" s="67"/>
      <c r="W655" s="67"/>
      <c r="X655" s="67"/>
      <c r="Y655" s="67"/>
      <c r="Z655" s="67"/>
      <c r="AA655" s="67"/>
      <c r="AB655" s="67"/>
      <c r="AC655" s="67"/>
      <c r="AD655" s="67"/>
      <c r="AE655" s="67"/>
      <c r="AF655" s="67"/>
      <c r="AG655" s="67"/>
      <c r="AH655" s="67"/>
    </row>
    <row r="656">
      <c r="A656" s="171"/>
      <c r="B656" s="172"/>
      <c r="C656" s="172"/>
      <c r="D656" s="172"/>
      <c r="E656" s="172"/>
      <c r="F656" s="172"/>
      <c r="G656" s="172"/>
      <c r="H656" s="172"/>
      <c r="I656" s="172"/>
      <c r="J656" s="172"/>
      <c r="K656" s="172"/>
      <c r="L656" s="172"/>
      <c r="M656" s="172"/>
      <c r="N656" s="172"/>
      <c r="O656" s="172"/>
      <c r="P656" s="172"/>
      <c r="Q656" s="172"/>
      <c r="R656" s="173"/>
      <c r="S656" s="67"/>
      <c r="T656" s="67"/>
      <c r="U656" s="67"/>
      <c r="V656" s="67"/>
      <c r="W656" s="67"/>
      <c r="X656" s="67"/>
      <c r="Y656" s="67"/>
      <c r="Z656" s="67"/>
      <c r="AA656" s="67"/>
      <c r="AB656" s="67"/>
      <c r="AC656" s="67"/>
      <c r="AD656" s="67"/>
      <c r="AE656" s="67"/>
      <c r="AF656" s="67"/>
      <c r="AG656" s="67"/>
      <c r="AH656" s="67"/>
    </row>
    <row r="657">
      <c r="A657" s="174"/>
      <c r="B657" s="175"/>
      <c r="C657" s="175"/>
      <c r="D657" s="175"/>
      <c r="E657" s="175"/>
      <c r="F657" s="175"/>
      <c r="G657" s="175"/>
      <c r="H657" s="175"/>
      <c r="I657" s="175"/>
      <c r="J657" s="175"/>
      <c r="K657" s="175"/>
      <c r="L657" s="175"/>
      <c r="M657" s="175"/>
      <c r="N657" s="175"/>
      <c r="O657" s="175"/>
      <c r="P657" s="175"/>
      <c r="Q657" s="175"/>
      <c r="R657" s="176"/>
      <c r="S657" s="67"/>
      <c r="T657" s="67"/>
      <c r="U657" s="67"/>
      <c r="V657" s="67"/>
      <c r="W657" s="67"/>
      <c r="X657" s="67"/>
      <c r="Y657" s="67"/>
      <c r="Z657" s="67"/>
      <c r="AA657" s="67"/>
      <c r="AB657" s="67"/>
      <c r="AC657" s="67"/>
      <c r="AD657" s="67"/>
      <c r="AE657" s="67"/>
      <c r="AF657" s="67"/>
      <c r="AG657" s="67"/>
      <c r="AH657" s="67"/>
    </row>
    <row r="658">
      <c r="A658" s="171"/>
      <c r="B658" s="172"/>
      <c r="C658" s="172"/>
      <c r="D658" s="172"/>
      <c r="E658" s="172"/>
      <c r="F658" s="172"/>
      <c r="G658" s="172"/>
      <c r="H658" s="172"/>
      <c r="I658" s="172"/>
      <c r="J658" s="172"/>
      <c r="K658" s="172"/>
      <c r="L658" s="172"/>
      <c r="M658" s="172"/>
      <c r="N658" s="172"/>
      <c r="O658" s="172"/>
      <c r="P658" s="172"/>
      <c r="Q658" s="172"/>
      <c r="R658" s="173"/>
      <c r="S658" s="67"/>
      <c r="T658" s="67"/>
      <c r="U658" s="67"/>
      <c r="V658" s="67"/>
      <c r="W658" s="67"/>
      <c r="X658" s="67"/>
      <c r="Y658" s="67"/>
      <c r="Z658" s="67"/>
      <c r="AA658" s="67"/>
      <c r="AB658" s="67"/>
      <c r="AC658" s="67"/>
      <c r="AD658" s="67"/>
      <c r="AE658" s="67"/>
      <c r="AF658" s="67"/>
      <c r="AG658" s="67"/>
      <c r="AH658" s="67"/>
    </row>
    <row r="659">
      <c r="A659" s="174"/>
      <c r="B659" s="175"/>
      <c r="C659" s="175"/>
      <c r="D659" s="175"/>
      <c r="E659" s="175"/>
      <c r="F659" s="175"/>
      <c r="G659" s="175"/>
      <c r="H659" s="175"/>
      <c r="I659" s="175"/>
      <c r="J659" s="175"/>
      <c r="K659" s="175"/>
      <c r="L659" s="175"/>
      <c r="M659" s="175"/>
      <c r="N659" s="175"/>
      <c r="O659" s="175"/>
      <c r="P659" s="175"/>
      <c r="Q659" s="175"/>
      <c r="R659" s="176"/>
      <c r="S659" s="67"/>
      <c r="T659" s="67"/>
      <c r="U659" s="67"/>
      <c r="V659" s="67"/>
      <c r="W659" s="67"/>
      <c r="X659" s="67"/>
      <c r="Y659" s="67"/>
      <c r="Z659" s="67"/>
      <c r="AA659" s="67"/>
      <c r="AB659" s="67"/>
      <c r="AC659" s="67"/>
      <c r="AD659" s="67"/>
      <c r="AE659" s="67"/>
      <c r="AF659" s="67"/>
      <c r="AG659" s="67"/>
      <c r="AH659" s="67"/>
    </row>
    <row r="660">
      <c r="A660" s="171"/>
      <c r="B660" s="172"/>
      <c r="C660" s="172"/>
      <c r="D660" s="172"/>
      <c r="E660" s="172"/>
      <c r="F660" s="172"/>
      <c r="G660" s="172"/>
      <c r="H660" s="172"/>
      <c r="I660" s="172"/>
      <c r="J660" s="172"/>
      <c r="K660" s="172"/>
      <c r="L660" s="172"/>
      <c r="M660" s="172"/>
      <c r="N660" s="172"/>
      <c r="O660" s="172"/>
      <c r="P660" s="172"/>
      <c r="Q660" s="172"/>
      <c r="R660" s="173"/>
      <c r="S660" s="67"/>
      <c r="T660" s="67"/>
      <c r="U660" s="67"/>
      <c r="V660" s="67"/>
      <c r="W660" s="67"/>
      <c r="X660" s="67"/>
      <c r="Y660" s="67"/>
      <c r="Z660" s="67"/>
      <c r="AA660" s="67"/>
      <c r="AB660" s="67"/>
      <c r="AC660" s="67"/>
      <c r="AD660" s="67"/>
      <c r="AE660" s="67"/>
      <c r="AF660" s="67"/>
      <c r="AG660" s="67"/>
      <c r="AH660" s="67"/>
    </row>
    <row r="661">
      <c r="A661" s="174"/>
      <c r="B661" s="175"/>
      <c r="C661" s="175"/>
      <c r="D661" s="175"/>
      <c r="E661" s="175"/>
      <c r="F661" s="175"/>
      <c r="G661" s="175"/>
      <c r="H661" s="175"/>
      <c r="I661" s="175"/>
      <c r="J661" s="175"/>
      <c r="K661" s="175"/>
      <c r="L661" s="175"/>
      <c r="M661" s="175"/>
      <c r="N661" s="175"/>
      <c r="O661" s="175"/>
      <c r="P661" s="175"/>
      <c r="Q661" s="175"/>
      <c r="R661" s="176"/>
      <c r="S661" s="67"/>
      <c r="T661" s="67"/>
      <c r="U661" s="67"/>
      <c r="V661" s="67"/>
      <c r="W661" s="67"/>
      <c r="X661" s="67"/>
      <c r="Y661" s="67"/>
      <c r="Z661" s="67"/>
      <c r="AA661" s="67"/>
      <c r="AB661" s="67"/>
      <c r="AC661" s="67"/>
      <c r="AD661" s="67"/>
      <c r="AE661" s="67"/>
      <c r="AF661" s="67"/>
      <c r="AG661" s="67"/>
      <c r="AH661" s="67"/>
    </row>
    <row r="662">
      <c r="A662" s="171"/>
      <c r="B662" s="172"/>
      <c r="C662" s="172"/>
      <c r="D662" s="172"/>
      <c r="E662" s="172"/>
      <c r="F662" s="172"/>
      <c r="G662" s="172"/>
      <c r="H662" s="172"/>
      <c r="I662" s="172"/>
      <c r="J662" s="172"/>
      <c r="K662" s="172"/>
      <c r="L662" s="172"/>
      <c r="M662" s="172"/>
      <c r="N662" s="172"/>
      <c r="O662" s="172"/>
      <c r="P662" s="172"/>
      <c r="Q662" s="172"/>
      <c r="R662" s="173"/>
      <c r="S662" s="67"/>
      <c r="T662" s="67"/>
      <c r="U662" s="67"/>
      <c r="V662" s="67"/>
      <c r="W662" s="67"/>
      <c r="X662" s="67"/>
      <c r="Y662" s="67"/>
      <c r="Z662" s="67"/>
      <c r="AA662" s="67"/>
      <c r="AB662" s="67"/>
      <c r="AC662" s="67"/>
      <c r="AD662" s="67"/>
      <c r="AE662" s="67"/>
      <c r="AF662" s="67"/>
      <c r="AG662" s="67"/>
      <c r="AH662" s="67"/>
    </row>
    <row r="663">
      <c r="A663" s="174"/>
      <c r="B663" s="175"/>
      <c r="C663" s="175"/>
      <c r="D663" s="175"/>
      <c r="E663" s="175"/>
      <c r="F663" s="175"/>
      <c r="G663" s="175"/>
      <c r="H663" s="175"/>
      <c r="I663" s="175"/>
      <c r="J663" s="175"/>
      <c r="K663" s="175"/>
      <c r="L663" s="175"/>
      <c r="M663" s="175"/>
      <c r="N663" s="175"/>
      <c r="O663" s="175"/>
      <c r="P663" s="175"/>
      <c r="Q663" s="175"/>
      <c r="R663" s="176"/>
      <c r="S663" s="67"/>
      <c r="T663" s="67"/>
      <c r="U663" s="67"/>
      <c r="V663" s="67"/>
      <c r="W663" s="67"/>
      <c r="X663" s="67"/>
      <c r="Y663" s="67"/>
      <c r="Z663" s="67"/>
      <c r="AA663" s="67"/>
      <c r="AB663" s="67"/>
      <c r="AC663" s="67"/>
      <c r="AD663" s="67"/>
      <c r="AE663" s="67"/>
      <c r="AF663" s="67"/>
      <c r="AG663" s="67"/>
      <c r="AH663" s="67"/>
    </row>
    <row r="664">
      <c r="A664" s="171"/>
      <c r="B664" s="172"/>
      <c r="C664" s="172"/>
      <c r="D664" s="172"/>
      <c r="E664" s="172"/>
      <c r="F664" s="172"/>
      <c r="G664" s="172"/>
      <c r="H664" s="172"/>
      <c r="I664" s="172"/>
      <c r="J664" s="172"/>
      <c r="K664" s="172"/>
      <c r="L664" s="172"/>
      <c r="M664" s="172"/>
      <c r="N664" s="172"/>
      <c r="O664" s="172"/>
      <c r="P664" s="172"/>
      <c r="Q664" s="172"/>
      <c r="R664" s="173"/>
      <c r="S664" s="67"/>
      <c r="T664" s="67"/>
      <c r="U664" s="67"/>
      <c r="V664" s="67"/>
      <c r="W664" s="67"/>
      <c r="X664" s="67"/>
      <c r="Y664" s="67"/>
      <c r="Z664" s="67"/>
      <c r="AA664" s="67"/>
      <c r="AB664" s="67"/>
      <c r="AC664" s="67"/>
      <c r="AD664" s="67"/>
      <c r="AE664" s="67"/>
      <c r="AF664" s="67"/>
      <c r="AG664" s="67"/>
      <c r="AH664" s="67"/>
    </row>
    <row r="665">
      <c r="A665" s="174"/>
      <c r="B665" s="175"/>
      <c r="C665" s="175"/>
      <c r="D665" s="175"/>
      <c r="E665" s="175"/>
      <c r="F665" s="175"/>
      <c r="G665" s="175"/>
      <c r="H665" s="175"/>
      <c r="I665" s="175"/>
      <c r="J665" s="175"/>
      <c r="K665" s="175"/>
      <c r="L665" s="175"/>
      <c r="M665" s="175"/>
      <c r="N665" s="175"/>
      <c r="O665" s="175"/>
      <c r="P665" s="175"/>
      <c r="Q665" s="175"/>
      <c r="R665" s="176"/>
      <c r="S665" s="67"/>
      <c r="T665" s="67"/>
      <c r="U665" s="67"/>
      <c r="V665" s="67"/>
      <c r="W665" s="67"/>
      <c r="X665" s="67"/>
      <c r="Y665" s="67"/>
      <c r="Z665" s="67"/>
      <c r="AA665" s="67"/>
      <c r="AB665" s="67"/>
      <c r="AC665" s="67"/>
      <c r="AD665" s="67"/>
      <c r="AE665" s="67"/>
      <c r="AF665" s="67"/>
      <c r="AG665" s="67"/>
      <c r="AH665" s="67"/>
    </row>
    <row r="666">
      <c r="A666" s="171"/>
      <c r="B666" s="172"/>
      <c r="C666" s="172"/>
      <c r="D666" s="172"/>
      <c r="E666" s="172"/>
      <c r="F666" s="172"/>
      <c r="G666" s="172"/>
      <c r="H666" s="172"/>
      <c r="I666" s="172"/>
      <c r="J666" s="172"/>
      <c r="K666" s="172"/>
      <c r="L666" s="172"/>
      <c r="M666" s="172"/>
      <c r="N666" s="172"/>
      <c r="O666" s="172"/>
      <c r="P666" s="172"/>
      <c r="Q666" s="172"/>
      <c r="R666" s="173"/>
      <c r="S666" s="67"/>
      <c r="T666" s="67"/>
      <c r="U666" s="67"/>
      <c r="V666" s="67"/>
      <c r="W666" s="67"/>
      <c r="X666" s="67"/>
      <c r="Y666" s="67"/>
      <c r="Z666" s="67"/>
      <c r="AA666" s="67"/>
      <c r="AB666" s="67"/>
      <c r="AC666" s="67"/>
      <c r="AD666" s="67"/>
      <c r="AE666" s="67"/>
      <c r="AF666" s="67"/>
      <c r="AG666" s="67"/>
      <c r="AH666" s="67"/>
    </row>
    <row r="667">
      <c r="A667" s="174"/>
      <c r="B667" s="175"/>
      <c r="C667" s="175"/>
      <c r="D667" s="175"/>
      <c r="E667" s="175"/>
      <c r="F667" s="175"/>
      <c r="G667" s="175"/>
      <c r="H667" s="175"/>
      <c r="I667" s="175"/>
      <c r="J667" s="175"/>
      <c r="K667" s="175"/>
      <c r="L667" s="175"/>
      <c r="M667" s="175"/>
      <c r="N667" s="175"/>
      <c r="O667" s="175"/>
      <c r="P667" s="175"/>
      <c r="Q667" s="175"/>
      <c r="R667" s="176"/>
      <c r="S667" s="67"/>
      <c r="T667" s="67"/>
      <c r="U667" s="67"/>
      <c r="V667" s="67"/>
      <c r="W667" s="67"/>
      <c r="X667" s="67"/>
      <c r="Y667" s="67"/>
      <c r="Z667" s="67"/>
      <c r="AA667" s="67"/>
      <c r="AB667" s="67"/>
      <c r="AC667" s="67"/>
      <c r="AD667" s="67"/>
      <c r="AE667" s="67"/>
      <c r="AF667" s="67"/>
      <c r="AG667" s="67"/>
      <c r="AH667" s="67"/>
    </row>
    <row r="668">
      <c r="A668" s="171"/>
      <c r="B668" s="172"/>
      <c r="C668" s="172"/>
      <c r="D668" s="172"/>
      <c r="E668" s="172"/>
      <c r="F668" s="172"/>
      <c r="G668" s="172"/>
      <c r="H668" s="172"/>
      <c r="I668" s="172"/>
      <c r="J668" s="172"/>
      <c r="K668" s="172"/>
      <c r="L668" s="172"/>
      <c r="M668" s="172"/>
      <c r="N668" s="172"/>
      <c r="O668" s="172"/>
      <c r="P668" s="172"/>
      <c r="Q668" s="172"/>
      <c r="R668" s="173"/>
      <c r="S668" s="67"/>
      <c r="T668" s="67"/>
      <c r="U668" s="67"/>
      <c r="V668" s="67"/>
      <c r="W668" s="67"/>
      <c r="X668" s="67"/>
      <c r="Y668" s="67"/>
      <c r="Z668" s="67"/>
      <c r="AA668" s="67"/>
      <c r="AB668" s="67"/>
      <c r="AC668" s="67"/>
      <c r="AD668" s="67"/>
      <c r="AE668" s="67"/>
      <c r="AF668" s="67"/>
      <c r="AG668" s="67"/>
      <c r="AH668" s="67"/>
    </row>
    <row r="669">
      <c r="A669" s="174"/>
      <c r="B669" s="175"/>
      <c r="C669" s="175"/>
      <c r="D669" s="175"/>
      <c r="E669" s="175"/>
      <c r="F669" s="175"/>
      <c r="G669" s="175"/>
      <c r="H669" s="175"/>
      <c r="I669" s="175"/>
      <c r="J669" s="175"/>
      <c r="K669" s="175"/>
      <c r="L669" s="175"/>
      <c r="M669" s="175"/>
      <c r="N669" s="175"/>
      <c r="O669" s="175"/>
      <c r="P669" s="175"/>
      <c r="Q669" s="175"/>
      <c r="R669" s="176"/>
      <c r="S669" s="67"/>
      <c r="T669" s="67"/>
      <c r="U669" s="67"/>
      <c r="V669" s="67"/>
      <c r="W669" s="67"/>
      <c r="X669" s="67"/>
      <c r="Y669" s="67"/>
      <c r="Z669" s="67"/>
      <c r="AA669" s="67"/>
      <c r="AB669" s="67"/>
      <c r="AC669" s="67"/>
      <c r="AD669" s="67"/>
      <c r="AE669" s="67"/>
      <c r="AF669" s="67"/>
      <c r="AG669" s="67"/>
      <c r="AH669" s="67"/>
    </row>
    <row r="670">
      <c r="A670" s="171"/>
      <c r="B670" s="172"/>
      <c r="C670" s="172"/>
      <c r="D670" s="172"/>
      <c r="E670" s="172"/>
      <c r="F670" s="172"/>
      <c r="G670" s="172"/>
      <c r="H670" s="172"/>
      <c r="I670" s="172"/>
      <c r="J670" s="172"/>
      <c r="K670" s="172"/>
      <c r="L670" s="172"/>
      <c r="M670" s="172"/>
      <c r="N670" s="172"/>
      <c r="O670" s="172"/>
      <c r="P670" s="172"/>
      <c r="Q670" s="172"/>
      <c r="R670" s="173"/>
      <c r="S670" s="67"/>
      <c r="T670" s="67"/>
      <c r="U670" s="67"/>
      <c r="V670" s="67"/>
      <c r="W670" s="67"/>
      <c r="X670" s="67"/>
      <c r="Y670" s="67"/>
      <c r="Z670" s="67"/>
      <c r="AA670" s="67"/>
      <c r="AB670" s="67"/>
      <c r="AC670" s="67"/>
      <c r="AD670" s="67"/>
      <c r="AE670" s="67"/>
      <c r="AF670" s="67"/>
      <c r="AG670" s="67"/>
      <c r="AH670" s="67"/>
    </row>
    <row r="671">
      <c r="A671" s="174"/>
      <c r="B671" s="175"/>
      <c r="C671" s="175"/>
      <c r="D671" s="175"/>
      <c r="E671" s="175"/>
      <c r="F671" s="175"/>
      <c r="G671" s="175"/>
      <c r="H671" s="175"/>
      <c r="I671" s="175"/>
      <c r="J671" s="175"/>
      <c r="K671" s="175"/>
      <c r="L671" s="175"/>
      <c r="M671" s="175"/>
      <c r="N671" s="175"/>
      <c r="O671" s="175"/>
      <c r="P671" s="175"/>
      <c r="Q671" s="175"/>
      <c r="R671" s="176"/>
      <c r="S671" s="67"/>
      <c r="T671" s="67"/>
      <c r="U671" s="67"/>
      <c r="V671" s="67"/>
      <c r="W671" s="67"/>
      <c r="X671" s="67"/>
      <c r="Y671" s="67"/>
      <c r="Z671" s="67"/>
      <c r="AA671" s="67"/>
      <c r="AB671" s="67"/>
      <c r="AC671" s="67"/>
      <c r="AD671" s="67"/>
      <c r="AE671" s="67"/>
      <c r="AF671" s="67"/>
      <c r="AG671" s="67"/>
      <c r="AH671" s="67"/>
    </row>
    <row r="672">
      <c r="A672" s="171"/>
      <c r="B672" s="172"/>
      <c r="C672" s="172"/>
      <c r="D672" s="172"/>
      <c r="E672" s="172"/>
      <c r="F672" s="172"/>
      <c r="G672" s="172"/>
      <c r="H672" s="172"/>
      <c r="I672" s="172"/>
      <c r="J672" s="172"/>
      <c r="K672" s="172"/>
      <c r="L672" s="172"/>
      <c r="M672" s="172"/>
      <c r="N672" s="172"/>
      <c r="O672" s="172"/>
      <c r="P672" s="172"/>
      <c r="Q672" s="172"/>
      <c r="R672" s="173"/>
      <c r="S672" s="67"/>
      <c r="T672" s="67"/>
      <c r="U672" s="67"/>
      <c r="V672" s="67"/>
      <c r="W672" s="67"/>
      <c r="X672" s="67"/>
      <c r="Y672" s="67"/>
      <c r="Z672" s="67"/>
      <c r="AA672" s="67"/>
      <c r="AB672" s="67"/>
      <c r="AC672" s="67"/>
      <c r="AD672" s="67"/>
      <c r="AE672" s="67"/>
      <c r="AF672" s="67"/>
      <c r="AG672" s="67"/>
      <c r="AH672" s="67"/>
    </row>
    <row r="673">
      <c r="A673" s="174"/>
      <c r="B673" s="175"/>
      <c r="C673" s="175"/>
      <c r="D673" s="175"/>
      <c r="E673" s="175"/>
      <c r="F673" s="175"/>
      <c r="G673" s="175"/>
      <c r="H673" s="175"/>
      <c r="I673" s="175"/>
      <c r="J673" s="175"/>
      <c r="K673" s="175"/>
      <c r="L673" s="175"/>
      <c r="M673" s="175"/>
      <c r="N673" s="175"/>
      <c r="O673" s="175"/>
      <c r="P673" s="175"/>
      <c r="Q673" s="175"/>
      <c r="R673" s="176"/>
      <c r="S673" s="67"/>
      <c r="T673" s="67"/>
      <c r="U673" s="67"/>
      <c r="V673" s="67"/>
      <c r="W673" s="67"/>
      <c r="X673" s="67"/>
      <c r="Y673" s="67"/>
      <c r="Z673" s="67"/>
      <c r="AA673" s="67"/>
      <c r="AB673" s="67"/>
      <c r="AC673" s="67"/>
      <c r="AD673" s="67"/>
      <c r="AE673" s="67"/>
      <c r="AF673" s="67"/>
      <c r="AG673" s="67"/>
      <c r="AH673" s="67"/>
    </row>
    <row r="674">
      <c r="A674" s="171"/>
      <c r="B674" s="172"/>
      <c r="C674" s="172"/>
      <c r="D674" s="172"/>
      <c r="E674" s="172"/>
      <c r="F674" s="172"/>
      <c r="G674" s="172"/>
      <c r="H674" s="172"/>
      <c r="I674" s="172"/>
      <c r="J674" s="172"/>
      <c r="K674" s="172"/>
      <c r="L674" s="172"/>
      <c r="M674" s="172"/>
      <c r="N674" s="172"/>
      <c r="O674" s="172"/>
      <c r="P674" s="172"/>
      <c r="Q674" s="172"/>
      <c r="R674" s="173"/>
      <c r="S674" s="67"/>
      <c r="T674" s="67"/>
      <c r="U674" s="67"/>
      <c r="V674" s="67"/>
      <c r="W674" s="67"/>
      <c r="X674" s="67"/>
      <c r="Y674" s="67"/>
      <c r="Z674" s="67"/>
      <c r="AA674" s="67"/>
      <c r="AB674" s="67"/>
      <c r="AC674" s="67"/>
      <c r="AD674" s="67"/>
      <c r="AE674" s="67"/>
      <c r="AF674" s="67"/>
      <c r="AG674" s="67"/>
      <c r="AH674" s="67"/>
    </row>
    <row r="675">
      <c r="A675" s="174"/>
      <c r="B675" s="175"/>
      <c r="C675" s="175"/>
      <c r="D675" s="175"/>
      <c r="E675" s="175"/>
      <c r="F675" s="175"/>
      <c r="G675" s="175"/>
      <c r="H675" s="175"/>
      <c r="I675" s="175"/>
      <c r="J675" s="175"/>
      <c r="K675" s="175"/>
      <c r="L675" s="175"/>
      <c r="M675" s="175"/>
      <c r="N675" s="175"/>
      <c r="O675" s="175"/>
      <c r="P675" s="175"/>
      <c r="Q675" s="175"/>
      <c r="R675" s="176"/>
      <c r="S675" s="67"/>
      <c r="T675" s="67"/>
      <c r="U675" s="67"/>
      <c r="V675" s="67"/>
      <c r="W675" s="67"/>
      <c r="X675" s="67"/>
      <c r="Y675" s="67"/>
      <c r="Z675" s="67"/>
      <c r="AA675" s="67"/>
      <c r="AB675" s="67"/>
      <c r="AC675" s="67"/>
      <c r="AD675" s="67"/>
      <c r="AE675" s="67"/>
      <c r="AF675" s="67"/>
      <c r="AG675" s="67"/>
      <c r="AH675" s="67"/>
    </row>
    <row r="676">
      <c r="A676" s="171"/>
      <c r="B676" s="172"/>
      <c r="C676" s="172"/>
      <c r="D676" s="172"/>
      <c r="E676" s="172"/>
      <c r="F676" s="172"/>
      <c r="G676" s="172"/>
      <c r="H676" s="172"/>
      <c r="I676" s="172"/>
      <c r="J676" s="172"/>
      <c r="K676" s="172"/>
      <c r="L676" s="172"/>
      <c r="M676" s="172"/>
      <c r="N676" s="172"/>
      <c r="O676" s="172"/>
      <c r="P676" s="172"/>
      <c r="Q676" s="172"/>
      <c r="R676" s="173"/>
      <c r="S676" s="67"/>
      <c r="T676" s="67"/>
      <c r="U676" s="67"/>
      <c r="V676" s="67"/>
      <c r="W676" s="67"/>
      <c r="X676" s="67"/>
      <c r="Y676" s="67"/>
      <c r="Z676" s="67"/>
      <c r="AA676" s="67"/>
      <c r="AB676" s="67"/>
      <c r="AC676" s="67"/>
      <c r="AD676" s="67"/>
      <c r="AE676" s="67"/>
      <c r="AF676" s="67"/>
      <c r="AG676" s="67"/>
      <c r="AH676" s="67"/>
    </row>
    <row r="677">
      <c r="A677" s="174"/>
      <c r="B677" s="175"/>
      <c r="C677" s="175"/>
      <c r="D677" s="175"/>
      <c r="E677" s="175"/>
      <c r="F677" s="175"/>
      <c r="G677" s="175"/>
      <c r="H677" s="175"/>
      <c r="I677" s="175"/>
      <c r="J677" s="175"/>
      <c r="K677" s="175"/>
      <c r="L677" s="175"/>
      <c r="M677" s="175"/>
      <c r="N677" s="175"/>
      <c r="O677" s="175"/>
      <c r="P677" s="175"/>
      <c r="Q677" s="175"/>
      <c r="R677" s="176"/>
      <c r="S677" s="67"/>
      <c r="T677" s="67"/>
      <c r="U677" s="67"/>
      <c r="V677" s="67"/>
      <c r="W677" s="67"/>
      <c r="X677" s="67"/>
      <c r="Y677" s="67"/>
      <c r="Z677" s="67"/>
      <c r="AA677" s="67"/>
      <c r="AB677" s="67"/>
      <c r="AC677" s="67"/>
      <c r="AD677" s="67"/>
      <c r="AE677" s="67"/>
      <c r="AF677" s="67"/>
      <c r="AG677" s="67"/>
      <c r="AH677" s="67"/>
    </row>
    <row r="678">
      <c r="A678" s="171"/>
      <c r="B678" s="172"/>
      <c r="C678" s="172"/>
      <c r="D678" s="172"/>
      <c r="E678" s="172"/>
      <c r="F678" s="172"/>
      <c r="G678" s="172"/>
      <c r="H678" s="172"/>
      <c r="I678" s="172"/>
      <c r="J678" s="172"/>
      <c r="K678" s="172"/>
      <c r="L678" s="172"/>
      <c r="M678" s="172"/>
      <c r="N678" s="172"/>
      <c r="O678" s="172"/>
      <c r="P678" s="172"/>
      <c r="Q678" s="172"/>
      <c r="R678" s="173"/>
      <c r="S678" s="67"/>
      <c r="T678" s="67"/>
      <c r="U678" s="67"/>
      <c r="V678" s="67"/>
      <c r="W678" s="67"/>
      <c r="X678" s="67"/>
      <c r="Y678" s="67"/>
      <c r="Z678" s="67"/>
      <c r="AA678" s="67"/>
      <c r="AB678" s="67"/>
      <c r="AC678" s="67"/>
      <c r="AD678" s="67"/>
      <c r="AE678" s="67"/>
      <c r="AF678" s="67"/>
      <c r="AG678" s="67"/>
      <c r="AH678" s="67"/>
    </row>
    <row r="679">
      <c r="A679" s="174"/>
      <c r="B679" s="175"/>
      <c r="C679" s="175"/>
      <c r="D679" s="175"/>
      <c r="E679" s="175"/>
      <c r="F679" s="175"/>
      <c r="G679" s="175"/>
      <c r="H679" s="175"/>
      <c r="I679" s="175"/>
      <c r="J679" s="175"/>
      <c r="K679" s="175"/>
      <c r="L679" s="175"/>
      <c r="M679" s="175"/>
      <c r="N679" s="175"/>
      <c r="O679" s="175"/>
      <c r="P679" s="175"/>
      <c r="Q679" s="175"/>
      <c r="R679" s="176"/>
      <c r="S679" s="67"/>
      <c r="T679" s="67"/>
      <c r="U679" s="67"/>
      <c r="V679" s="67"/>
      <c r="W679" s="67"/>
      <c r="X679" s="67"/>
      <c r="Y679" s="67"/>
      <c r="Z679" s="67"/>
      <c r="AA679" s="67"/>
      <c r="AB679" s="67"/>
      <c r="AC679" s="67"/>
      <c r="AD679" s="67"/>
      <c r="AE679" s="67"/>
      <c r="AF679" s="67"/>
      <c r="AG679" s="67"/>
      <c r="AH679" s="67"/>
    </row>
    <row r="680">
      <c r="A680" s="171"/>
      <c r="B680" s="172"/>
      <c r="C680" s="172"/>
      <c r="D680" s="172"/>
      <c r="E680" s="172"/>
      <c r="F680" s="172"/>
      <c r="G680" s="172"/>
      <c r="H680" s="172"/>
      <c r="I680" s="172"/>
      <c r="J680" s="172"/>
      <c r="K680" s="172"/>
      <c r="L680" s="172"/>
      <c r="M680" s="172"/>
      <c r="N680" s="172"/>
      <c r="O680" s="172"/>
      <c r="P680" s="172"/>
      <c r="Q680" s="172"/>
      <c r="R680" s="173"/>
      <c r="S680" s="67"/>
      <c r="T680" s="67"/>
      <c r="U680" s="67"/>
      <c r="V680" s="67"/>
      <c r="W680" s="67"/>
      <c r="X680" s="67"/>
      <c r="Y680" s="67"/>
      <c r="Z680" s="67"/>
      <c r="AA680" s="67"/>
      <c r="AB680" s="67"/>
      <c r="AC680" s="67"/>
      <c r="AD680" s="67"/>
      <c r="AE680" s="67"/>
      <c r="AF680" s="67"/>
      <c r="AG680" s="67"/>
      <c r="AH680" s="67"/>
    </row>
    <row r="681">
      <c r="A681" s="174"/>
      <c r="B681" s="175"/>
      <c r="C681" s="175"/>
      <c r="D681" s="175"/>
      <c r="E681" s="175"/>
      <c r="F681" s="175"/>
      <c r="G681" s="175"/>
      <c r="H681" s="175"/>
      <c r="I681" s="175"/>
      <c r="J681" s="175"/>
      <c r="K681" s="175"/>
      <c r="L681" s="175"/>
      <c r="M681" s="175"/>
      <c r="N681" s="175"/>
      <c r="O681" s="175"/>
      <c r="P681" s="175"/>
      <c r="Q681" s="175"/>
      <c r="R681" s="176"/>
      <c r="S681" s="67"/>
      <c r="T681" s="67"/>
      <c r="U681" s="67"/>
      <c r="V681" s="67"/>
      <c r="W681" s="67"/>
      <c r="X681" s="67"/>
      <c r="Y681" s="67"/>
      <c r="Z681" s="67"/>
      <c r="AA681" s="67"/>
      <c r="AB681" s="67"/>
      <c r="AC681" s="67"/>
      <c r="AD681" s="67"/>
      <c r="AE681" s="67"/>
      <c r="AF681" s="67"/>
      <c r="AG681" s="67"/>
      <c r="AH681" s="67"/>
    </row>
    <row r="682">
      <c r="A682" s="171"/>
      <c r="B682" s="172"/>
      <c r="C682" s="172"/>
      <c r="D682" s="172"/>
      <c r="E682" s="172"/>
      <c r="F682" s="172"/>
      <c r="G682" s="172"/>
      <c r="H682" s="172"/>
      <c r="I682" s="172"/>
      <c r="J682" s="172"/>
      <c r="K682" s="172"/>
      <c r="L682" s="172"/>
      <c r="M682" s="172"/>
      <c r="N682" s="172"/>
      <c r="O682" s="172"/>
      <c r="P682" s="172"/>
      <c r="Q682" s="172"/>
      <c r="R682" s="173"/>
      <c r="S682" s="67"/>
      <c r="T682" s="67"/>
      <c r="U682" s="67"/>
      <c r="V682" s="67"/>
      <c r="W682" s="67"/>
      <c r="X682" s="67"/>
      <c r="Y682" s="67"/>
      <c r="Z682" s="67"/>
      <c r="AA682" s="67"/>
      <c r="AB682" s="67"/>
      <c r="AC682" s="67"/>
      <c r="AD682" s="67"/>
      <c r="AE682" s="67"/>
      <c r="AF682" s="67"/>
      <c r="AG682" s="67"/>
      <c r="AH682" s="67"/>
    </row>
    <row r="683">
      <c r="A683" s="174"/>
      <c r="B683" s="175"/>
      <c r="C683" s="175"/>
      <c r="D683" s="175"/>
      <c r="E683" s="175"/>
      <c r="F683" s="175"/>
      <c r="G683" s="175"/>
      <c r="H683" s="175"/>
      <c r="I683" s="175"/>
      <c r="J683" s="175"/>
      <c r="K683" s="175"/>
      <c r="L683" s="175"/>
      <c r="M683" s="175"/>
      <c r="N683" s="175"/>
      <c r="O683" s="175"/>
      <c r="P683" s="175"/>
      <c r="Q683" s="175"/>
      <c r="R683" s="176"/>
      <c r="S683" s="67"/>
      <c r="T683" s="67"/>
      <c r="U683" s="67"/>
      <c r="V683" s="67"/>
      <c r="W683" s="67"/>
      <c r="X683" s="67"/>
      <c r="Y683" s="67"/>
      <c r="Z683" s="67"/>
      <c r="AA683" s="67"/>
      <c r="AB683" s="67"/>
      <c r="AC683" s="67"/>
      <c r="AD683" s="67"/>
      <c r="AE683" s="67"/>
      <c r="AF683" s="67"/>
      <c r="AG683" s="67"/>
      <c r="AH683" s="67"/>
    </row>
    <row r="684">
      <c r="A684" s="171"/>
      <c r="B684" s="172"/>
      <c r="C684" s="172"/>
      <c r="D684" s="172"/>
      <c r="E684" s="172"/>
      <c r="F684" s="172"/>
      <c r="G684" s="172"/>
      <c r="H684" s="172"/>
      <c r="I684" s="172"/>
      <c r="J684" s="172"/>
      <c r="K684" s="172"/>
      <c r="L684" s="172"/>
      <c r="M684" s="172"/>
      <c r="N684" s="172"/>
      <c r="O684" s="172"/>
      <c r="P684" s="172"/>
      <c r="Q684" s="172"/>
      <c r="R684" s="173"/>
      <c r="S684" s="67"/>
      <c r="T684" s="67"/>
      <c r="U684" s="67"/>
      <c r="V684" s="67"/>
      <c r="W684" s="67"/>
      <c r="X684" s="67"/>
      <c r="Y684" s="67"/>
      <c r="Z684" s="67"/>
      <c r="AA684" s="67"/>
      <c r="AB684" s="67"/>
      <c r="AC684" s="67"/>
      <c r="AD684" s="67"/>
      <c r="AE684" s="67"/>
      <c r="AF684" s="67"/>
      <c r="AG684" s="67"/>
      <c r="AH684" s="67"/>
    </row>
    <row r="685">
      <c r="A685" s="174"/>
      <c r="B685" s="175"/>
      <c r="C685" s="175"/>
      <c r="D685" s="175"/>
      <c r="E685" s="175"/>
      <c r="F685" s="175"/>
      <c r="G685" s="175"/>
      <c r="H685" s="175"/>
      <c r="I685" s="175"/>
      <c r="J685" s="175"/>
      <c r="K685" s="175"/>
      <c r="L685" s="175"/>
      <c r="M685" s="175"/>
      <c r="N685" s="175"/>
      <c r="O685" s="175"/>
      <c r="P685" s="175"/>
      <c r="Q685" s="175"/>
      <c r="R685" s="176"/>
      <c r="S685" s="67"/>
      <c r="T685" s="67"/>
      <c r="U685" s="67"/>
      <c r="V685" s="67"/>
      <c r="W685" s="67"/>
      <c r="X685" s="67"/>
      <c r="Y685" s="67"/>
      <c r="Z685" s="67"/>
      <c r="AA685" s="67"/>
      <c r="AB685" s="67"/>
      <c r="AC685" s="67"/>
      <c r="AD685" s="67"/>
      <c r="AE685" s="67"/>
      <c r="AF685" s="67"/>
      <c r="AG685" s="67"/>
      <c r="AH685" s="67"/>
    </row>
    <row r="686">
      <c r="A686" s="171"/>
      <c r="B686" s="172"/>
      <c r="C686" s="172"/>
      <c r="D686" s="172"/>
      <c r="E686" s="172"/>
      <c r="F686" s="172"/>
      <c r="G686" s="172"/>
      <c r="H686" s="172"/>
      <c r="I686" s="172"/>
      <c r="J686" s="172"/>
      <c r="K686" s="172"/>
      <c r="L686" s="172"/>
      <c r="M686" s="172"/>
      <c r="N686" s="172"/>
      <c r="O686" s="172"/>
      <c r="P686" s="172"/>
      <c r="Q686" s="172"/>
      <c r="R686" s="173"/>
      <c r="S686" s="67"/>
      <c r="T686" s="67"/>
      <c r="U686" s="67"/>
      <c r="V686" s="67"/>
      <c r="W686" s="67"/>
      <c r="X686" s="67"/>
      <c r="Y686" s="67"/>
      <c r="Z686" s="67"/>
      <c r="AA686" s="67"/>
      <c r="AB686" s="67"/>
      <c r="AC686" s="67"/>
      <c r="AD686" s="67"/>
      <c r="AE686" s="67"/>
      <c r="AF686" s="67"/>
      <c r="AG686" s="67"/>
      <c r="AH686" s="67"/>
    </row>
    <row r="687">
      <c r="A687" s="174"/>
      <c r="B687" s="175"/>
      <c r="C687" s="175"/>
      <c r="D687" s="175"/>
      <c r="E687" s="175"/>
      <c r="F687" s="175"/>
      <c r="G687" s="175"/>
      <c r="H687" s="175"/>
      <c r="I687" s="175"/>
      <c r="J687" s="175"/>
      <c r="K687" s="175"/>
      <c r="L687" s="175"/>
      <c r="M687" s="175"/>
      <c r="N687" s="175"/>
      <c r="O687" s="175"/>
      <c r="P687" s="175"/>
      <c r="Q687" s="175"/>
      <c r="R687" s="176"/>
      <c r="S687" s="67"/>
      <c r="T687" s="67"/>
      <c r="U687" s="67"/>
      <c r="V687" s="67"/>
      <c r="W687" s="67"/>
      <c r="X687" s="67"/>
      <c r="Y687" s="67"/>
      <c r="Z687" s="67"/>
      <c r="AA687" s="67"/>
      <c r="AB687" s="67"/>
      <c r="AC687" s="67"/>
      <c r="AD687" s="67"/>
      <c r="AE687" s="67"/>
      <c r="AF687" s="67"/>
      <c r="AG687" s="67"/>
      <c r="AH687" s="67"/>
    </row>
    <row r="688">
      <c r="A688" s="171"/>
      <c r="B688" s="172"/>
      <c r="C688" s="172"/>
      <c r="D688" s="172"/>
      <c r="E688" s="172"/>
      <c r="F688" s="172"/>
      <c r="G688" s="172"/>
      <c r="H688" s="172"/>
      <c r="I688" s="172"/>
      <c r="J688" s="172"/>
      <c r="K688" s="172"/>
      <c r="L688" s="172"/>
      <c r="M688" s="172"/>
      <c r="N688" s="172"/>
      <c r="O688" s="172"/>
      <c r="P688" s="172"/>
      <c r="Q688" s="172"/>
      <c r="R688" s="173"/>
      <c r="S688" s="67"/>
      <c r="T688" s="67"/>
      <c r="U688" s="67"/>
      <c r="V688" s="67"/>
      <c r="W688" s="67"/>
      <c r="X688" s="67"/>
      <c r="Y688" s="67"/>
      <c r="Z688" s="67"/>
      <c r="AA688" s="67"/>
      <c r="AB688" s="67"/>
      <c r="AC688" s="67"/>
      <c r="AD688" s="67"/>
      <c r="AE688" s="67"/>
      <c r="AF688" s="67"/>
      <c r="AG688" s="67"/>
      <c r="AH688" s="67"/>
    </row>
    <row r="689">
      <c r="A689" s="174"/>
      <c r="B689" s="175"/>
      <c r="C689" s="175"/>
      <c r="D689" s="175"/>
      <c r="E689" s="175"/>
      <c r="F689" s="175"/>
      <c r="G689" s="175"/>
      <c r="H689" s="175"/>
      <c r="I689" s="175"/>
      <c r="J689" s="175"/>
      <c r="K689" s="175"/>
      <c r="L689" s="175"/>
      <c r="M689" s="175"/>
      <c r="N689" s="175"/>
      <c r="O689" s="175"/>
      <c r="P689" s="175"/>
      <c r="Q689" s="175"/>
      <c r="R689" s="176"/>
      <c r="S689" s="67"/>
      <c r="T689" s="67"/>
      <c r="U689" s="67"/>
      <c r="V689" s="67"/>
      <c r="W689" s="67"/>
      <c r="X689" s="67"/>
      <c r="Y689" s="67"/>
      <c r="Z689" s="67"/>
      <c r="AA689" s="67"/>
      <c r="AB689" s="67"/>
      <c r="AC689" s="67"/>
      <c r="AD689" s="67"/>
      <c r="AE689" s="67"/>
      <c r="AF689" s="67"/>
      <c r="AG689" s="67"/>
      <c r="AH689" s="67"/>
    </row>
    <row r="690">
      <c r="A690" s="171"/>
      <c r="B690" s="172"/>
      <c r="C690" s="172"/>
      <c r="D690" s="172"/>
      <c r="E690" s="172"/>
      <c r="F690" s="172"/>
      <c r="G690" s="172"/>
      <c r="H690" s="172"/>
      <c r="I690" s="172"/>
      <c r="J690" s="172"/>
      <c r="K690" s="172"/>
      <c r="L690" s="172"/>
      <c r="M690" s="172"/>
      <c r="N690" s="172"/>
      <c r="O690" s="172"/>
      <c r="P690" s="172"/>
      <c r="Q690" s="172"/>
      <c r="R690" s="173"/>
      <c r="S690" s="67"/>
      <c r="T690" s="67"/>
      <c r="U690" s="67"/>
      <c r="V690" s="67"/>
      <c r="W690" s="67"/>
      <c r="X690" s="67"/>
      <c r="Y690" s="67"/>
      <c r="Z690" s="67"/>
      <c r="AA690" s="67"/>
      <c r="AB690" s="67"/>
      <c r="AC690" s="67"/>
      <c r="AD690" s="67"/>
      <c r="AE690" s="67"/>
      <c r="AF690" s="67"/>
      <c r="AG690" s="67"/>
      <c r="AH690" s="67"/>
    </row>
    <row r="691">
      <c r="A691" s="174"/>
      <c r="B691" s="175"/>
      <c r="C691" s="175"/>
      <c r="D691" s="175"/>
      <c r="E691" s="175"/>
      <c r="F691" s="175"/>
      <c r="G691" s="175"/>
      <c r="H691" s="175"/>
      <c r="I691" s="175"/>
      <c r="J691" s="175"/>
      <c r="K691" s="175"/>
      <c r="L691" s="175"/>
      <c r="M691" s="175"/>
      <c r="N691" s="175"/>
      <c r="O691" s="175"/>
      <c r="P691" s="175"/>
      <c r="Q691" s="175"/>
      <c r="R691" s="176"/>
      <c r="S691" s="67"/>
      <c r="T691" s="67"/>
      <c r="U691" s="67"/>
      <c r="V691" s="67"/>
      <c r="W691" s="67"/>
      <c r="X691" s="67"/>
      <c r="Y691" s="67"/>
      <c r="Z691" s="67"/>
      <c r="AA691" s="67"/>
      <c r="AB691" s="67"/>
      <c r="AC691" s="67"/>
      <c r="AD691" s="67"/>
      <c r="AE691" s="67"/>
      <c r="AF691" s="67"/>
      <c r="AG691" s="67"/>
      <c r="AH691" s="67"/>
    </row>
    <row r="692">
      <c r="A692" s="171"/>
      <c r="B692" s="172"/>
      <c r="C692" s="172"/>
      <c r="D692" s="172"/>
      <c r="E692" s="172"/>
      <c r="F692" s="172"/>
      <c r="G692" s="172"/>
      <c r="H692" s="172"/>
      <c r="I692" s="172"/>
      <c r="J692" s="172"/>
      <c r="K692" s="172"/>
      <c r="L692" s="172"/>
      <c r="M692" s="172"/>
      <c r="N692" s="172"/>
      <c r="O692" s="172"/>
      <c r="P692" s="172"/>
      <c r="Q692" s="172"/>
      <c r="R692" s="173"/>
      <c r="S692" s="67"/>
      <c r="T692" s="67"/>
      <c r="U692" s="67"/>
      <c r="V692" s="67"/>
      <c r="W692" s="67"/>
      <c r="X692" s="67"/>
      <c r="Y692" s="67"/>
      <c r="Z692" s="67"/>
      <c r="AA692" s="67"/>
      <c r="AB692" s="67"/>
      <c r="AC692" s="67"/>
      <c r="AD692" s="67"/>
      <c r="AE692" s="67"/>
      <c r="AF692" s="67"/>
      <c r="AG692" s="67"/>
      <c r="AH692" s="67"/>
    </row>
    <row r="693">
      <c r="A693" s="174"/>
      <c r="B693" s="175"/>
      <c r="C693" s="175"/>
      <c r="D693" s="175"/>
      <c r="E693" s="175"/>
      <c r="F693" s="175"/>
      <c r="G693" s="175"/>
      <c r="H693" s="175"/>
      <c r="I693" s="175"/>
      <c r="J693" s="175"/>
      <c r="K693" s="175"/>
      <c r="L693" s="175"/>
      <c r="M693" s="175"/>
      <c r="N693" s="175"/>
      <c r="O693" s="175"/>
      <c r="P693" s="175"/>
      <c r="Q693" s="175"/>
      <c r="R693" s="176"/>
      <c r="S693" s="67"/>
      <c r="T693" s="67"/>
      <c r="U693" s="67"/>
      <c r="V693" s="67"/>
      <c r="W693" s="67"/>
      <c r="X693" s="67"/>
      <c r="Y693" s="67"/>
      <c r="Z693" s="67"/>
      <c r="AA693" s="67"/>
      <c r="AB693" s="67"/>
      <c r="AC693" s="67"/>
      <c r="AD693" s="67"/>
      <c r="AE693" s="67"/>
      <c r="AF693" s="67"/>
      <c r="AG693" s="67"/>
      <c r="AH693" s="67"/>
    </row>
    <row r="694">
      <c r="A694" s="171"/>
      <c r="B694" s="172"/>
      <c r="C694" s="172"/>
      <c r="D694" s="172"/>
      <c r="E694" s="172"/>
      <c r="F694" s="172"/>
      <c r="G694" s="172"/>
      <c r="H694" s="172"/>
      <c r="I694" s="172"/>
      <c r="J694" s="172"/>
      <c r="K694" s="172"/>
      <c r="L694" s="172"/>
      <c r="M694" s="172"/>
      <c r="N694" s="172"/>
      <c r="O694" s="172"/>
      <c r="P694" s="172"/>
      <c r="Q694" s="172"/>
      <c r="R694" s="173"/>
      <c r="S694" s="67"/>
      <c r="T694" s="67"/>
      <c r="U694" s="67"/>
      <c r="V694" s="67"/>
      <c r="W694" s="67"/>
      <c r="X694" s="67"/>
      <c r="Y694" s="67"/>
      <c r="Z694" s="67"/>
      <c r="AA694" s="67"/>
      <c r="AB694" s="67"/>
      <c r="AC694" s="67"/>
      <c r="AD694" s="67"/>
      <c r="AE694" s="67"/>
      <c r="AF694" s="67"/>
      <c r="AG694" s="67"/>
      <c r="AH694" s="67"/>
    </row>
    <row r="695">
      <c r="A695" s="174"/>
      <c r="B695" s="175"/>
      <c r="C695" s="175"/>
      <c r="D695" s="175"/>
      <c r="E695" s="175"/>
      <c r="F695" s="175"/>
      <c r="G695" s="175"/>
      <c r="H695" s="175"/>
      <c r="I695" s="175"/>
      <c r="J695" s="175"/>
      <c r="K695" s="175"/>
      <c r="L695" s="175"/>
      <c r="M695" s="175"/>
      <c r="N695" s="175"/>
      <c r="O695" s="175"/>
      <c r="P695" s="175"/>
      <c r="Q695" s="175"/>
      <c r="R695" s="176"/>
      <c r="S695" s="67"/>
      <c r="T695" s="67"/>
      <c r="U695" s="67"/>
      <c r="V695" s="67"/>
      <c r="W695" s="67"/>
      <c r="X695" s="67"/>
      <c r="Y695" s="67"/>
      <c r="Z695" s="67"/>
      <c r="AA695" s="67"/>
      <c r="AB695" s="67"/>
      <c r="AC695" s="67"/>
      <c r="AD695" s="67"/>
      <c r="AE695" s="67"/>
      <c r="AF695" s="67"/>
      <c r="AG695" s="67"/>
      <c r="AH695" s="67"/>
    </row>
    <row r="696">
      <c r="A696" s="171"/>
      <c r="B696" s="172"/>
      <c r="C696" s="172"/>
      <c r="D696" s="172"/>
      <c r="E696" s="172"/>
      <c r="F696" s="172"/>
      <c r="G696" s="172"/>
      <c r="H696" s="172"/>
      <c r="I696" s="172"/>
      <c r="J696" s="172"/>
      <c r="K696" s="172"/>
      <c r="L696" s="172"/>
      <c r="M696" s="172"/>
      <c r="N696" s="172"/>
      <c r="O696" s="172"/>
      <c r="P696" s="172"/>
      <c r="Q696" s="172"/>
      <c r="R696" s="173"/>
      <c r="S696" s="67"/>
      <c r="T696" s="67"/>
      <c r="U696" s="67"/>
      <c r="V696" s="67"/>
      <c r="W696" s="67"/>
      <c r="X696" s="67"/>
      <c r="Y696" s="67"/>
      <c r="Z696" s="67"/>
      <c r="AA696" s="67"/>
      <c r="AB696" s="67"/>
      <c r="AC696" s="67"/>
      <c r="AD696" s="67"/>
      <c r="AE696" s="67"/>
      <c r="AF696" s="67"/>
      <c r="AG696" s="67"/>
      <c r="AH696" s="67"/>
    </row>
    <row r="697">
      <c r="A697" s="174"/>
      <c r="B697" s="175"/>
      <c r="C697" s="175"/>
      <c r="D697" s="175"/>
      <c r="E697" s="175"/>
      <c r="F697" s="175"/>
      <c r="G697" s="175"/>
      <c r="H697" s="175"/>
      <c r="I697" s="175"/>
      <c r="J697" s="175"/>
      <c r="K697" s="175"/>
      <c r="L697" s="175"/>
      <c r="M697" s="175"/>
      <c r="N697" s="175"/>
      <c r="O697" s="175"/>
      <c r="P697" s="175"/>
      <c r="Q697" s="175"/>
      <c r="R697" s="176"/>
      <c r="S697" s="67"/>
      <c r="T697" s="67"/>
      <c r="U697" s="67"/>
      <c r="V697" s="67"/>
      <c r="W697" s="67"/>
      <c r="X697" s="67"/>
      <c r="Y697" s="67"/>
      <c r="Z697" s="67"/>
      <c r="AA697" s="67"/>
      <c r="AB697" s="67"/>
      <c r="AC697" s="67"/>
      <c r="AD697" s="67"/>
      <c r="AE697" s="67"/>
      <c r="AF697" s="67"/>
      <c r="AG697" s="67"/>
      <c r="AH697" s="67"/>
    </row>
    <row r="698">
      <c r="A698" s="171"/>
      <c r="B698" s="172"/>
      <c r="C698" s="172"/>
      <c r="D698" s="172"/>
      <c r="E698" s="172"/>
      <c r="F698" s="172"/>
      <c r="G698" s="172"/>
      <c r="H698" s="172"/>
      <c r="I698" s="172"/>
      <c r="J698" s="172"/>
      <c r="K698" s="172"/>
      <c r="L698" s="172"/>
      <c r="M698" s="172"/>
      <c r="N698" s="172"/>
      <c r="O698" s="172"/>
      <c r="P698" s="172"/>
      <c r="Q698" s="172"/>
      <c r="R698" s="173"/>
      <c r="S698" s="67"/>
      <c r="T698" s="67"/>
      <c r="U698" s="67"/>
      <c r="V698" s="67"/>
      <c r="W698" s="67"/>
      <c r="X698" s="67"/>
      <c r="Y698" s="67"/>
      <c r="Z698" s="67"/>
      <c r="AA698" s="67"/>
      <c r="AB698" s="67"/>
      <c r="AC698" s="67"/>
      <c r="AD698" s="67"/>
      <c r="AE698" s="67"/>
      <c r="AF698" s="67"/>
      <c r="AG698" s="67"/>
      <c r="AH698" s="67"/>
    </row>
    <row r="699">
      <c r="A699" s="174"/>
      <c r="B699" s="175"/>
      <c r="C699" s="175"/>
      <c r="D699" s="175"/>
      <c r="E699" s="175"/>
      <c r="F699" s="175"/>
      <c r="G699" s="175"/>
      <c r="H699" s="175"/>
      <c r="I699" s="175"/>
      <c r="J699" s="175"/>
      <c r="K699" s="175"/>
      <c r="L699" s="175"/>
      <c r="M699" s="175"/>
      <c r="N699" s="175"/>
      <c r="O699" s="175"/>
      <c r="P699" s="175"/>
      <c r="Q699" s="175"/>
      <c r="R699" s="176"/>
      <c r="S699" s="67"/>
      <c r="T699" s="67"/>
      <c r="U699" s="67"/>
      <c r="V699" s="67"/>
      <c r="W699" s="67"/>
      <c r="X699" s="67"/>
      <c r="Y699" s="67"/>
      <c r="Z699" s="67"/>
      <c r="AA699" s="67"/>
      <c r="AB699" s="67"/>
      <c r="AC699" s="67"/>
      <c r="AD699" s="67"/>
      <c r="AE699" s="67"/>
      <c r="AF699" s="67"/>
      <c r="AG699" s="67"/>
      <c r="AH699" s="67"/>
    </row>
    <row r="700">
      <c r="A700" s="171"/>
      <c r="B700" s="172"/>
      <c r="C700" s="172"/>
      <c r="D700" s="172"/>
      <c r="E700" s="172"/>
      <c r="F700" s="172"/>
      <c r="G700" s="172"/>
      <c r="H700" s="172"/>
      <c r="I700" s="172"/>
      <c r="J700" s="172"/>
      <c r="K700" s="172"/>
      <c r="L700" s="172"/>
      <c r="M700" s="172"/>
      <c r="N700" s="172"/>
      <c r="O700" s="172"/>
      <c r="P700" s="172"/>
      <c r="Q700" s="172"/>
      <c r="R700" s="173"/>
      <c r="S700" s="67"/>
      <c r="T700" s="67"/>
      <c r="U700" s="67"/>
      <c r="V700" s="67"/>
      <c r="W700" s="67"/>
      <c r="X700" s="67"/>
      <c r="Y700" s="67"/>
      <c r="Z700" s="67"/>
      <c r="AA700" s="67"/>
      <c r="AB700" s="67"/>
      <c r="AC700" s="67"/>
      <c r="AD700" s="67"/>
      <c r="AE700" s="67"/>
      <c r="AF700" s="67"/>
      <c r="AG700" s="67"/>
      <c r="AH700" s="67"/>
    </row>
    <row r="701">
      <c r="A701" s="174"/>
      <c r="B701" s="175"/>
      <c r="C701" s="175"/>
      <c r="D701" s="175"/>
      <c r="E701" s="175"/>
      <c r="F701" s="175"/>
      <c r="G701" s="175"/>
      <c r="H701" s="175"/>
      <c r="I701" s="175"/>
      <c r="J701" s="175"/>
      <c r="K701" s="175"/>
      <c r="L701" s="175"/>
      <c r="M701" s="175"/>
      <c r="N701" s="175"/>
      <c r="O701" s="175"/>
      <c r="P701" s="175"/>
      <c r="Q701" s="175"/>
      <c r="R701" s="176"/>
      <c r="S701" s="67"/>
      <c r="T701" s="67"/>
      <c r="U701" s="67"/>
      <c r="V701" s="67"/>
      <c r="W701" s="67"/>
      <c r="X701" s="67"/>
      <c r="Y701" s="67"/>
      <c r="Z701" s="67"/>
      <c r="AA701" s="67"/>
      <c r="AB701" s="67"/>
      <c r="AC701" s="67"/>
      <c r="AD701" s="67"/>
      <c r="AE701" s="67"/>
      <c r="AF701" s="67"/>
      <c r="AG701" s="67"/>
      <c r="AH701" s="67"/>
    </row>
    <row r="702">
      <c r="A702" s="171"/>
      <c r="B702" s="172"/>
      <c r="C702" s="172"/>
      <c r="D702" s="172"/>
      <c r="E702" s="172"/>
      <c r="F702" s="172"/>
      <c r="G702" s="172"/>
      <c r="H702" s="172"/>
      <c r="I702" s="172"/>
      <c r="J702" s="172"/>
      <c r="K702" s="172"/>
      <c r="L702" s="172"/>
      <c r="M702" s="172"/>
      <c r="N702" s="172"/>
      <c r="O702" s="172"/>
      <c r="P702" s="172"/>
      <c r="Q702" s="172"/>
      <c r="R702" s="173"/>
      <c r="S702" s="67"/>
      <c r="T702" s="67"/>
      <c r="U702" s="67"/>
      <c r="V702" s="67"/>
      <c r="W702" s="67"/>
      <c r="X702" s="67"/>
      <c r="Y702" s="67"/>
      <c r="Z702" s="67"/>
      <c r="AA702" s="67"/>
      <c r="AB702" s="67"/>
      <c r="AC702" s="67"/>
      <c r="AD702" s="67"/>
      <c r="AE702" s="67"/>
      <c r="AF702" s="67"/>
      <c r="AG702" s="67"/>
      <c r="AH702" s="67"/>
    </row>
    <row r="703">
      <c r="A703" s="174"/>
      <c r="B703" s="175"/>
      <c r="C703" s="175"/>
      <c r="D703" s="175"/>
      <c r="E703" s="175"/>
      <c r="F703" s="175"/>
      <c r="G703" s="175"/>
      <c r="H703" s="175"/>
      <c r="I703" s="175"/>
      <c r="J703" s="175"/>
      <c r="K703" s="175"/>
      <c r="L703" s="175"/>
      <c r="M703" s="175"/>
      <c r="N703" s="175"/>
      <c r="O703" s="175"/>
      <c r="P703" s="175"/>
      <c r="Q703" s="175"/>
      <c r="R703" s="176"/>
      <c r="S703" s="67"/>
      <c r="T703" s="67"/>
      <c r="U703" s="67"/>
      <c r="V703" s="67"/>
      <c r="W703" s="67"/>
      <c r="X703" s="67"/>
      <c r="Y703" s="67"/>
      <c r="Z703" s="67"/>
      <c r="AA703" s="67"/>
      <c r="AB703" s="67"/>
      <c r="AC703" s="67"/>
      <c r="AD703" s="67"/>
      <c r="AE703" s="67"/>
      <c r="AF703" s="67"/>
      <c r="AG703" s="67"/>
      <c r="AH703" s="67"/>
    </row>
    <row r="704">
      <c r="A704" s="171"/>
      <c r="B704" s="172"/>
      <c r="C704" s="172"/>
      <c r="D704" s="172"/>
      <c r="E704" s="172"/>
      <c r="F704" s="172"/>
      <c r="G704" s="172"/>
      <c r="H704" s="172"/>
      <c r="I704" s="172"/>
      <c r="J704" s="172"/>
      <c r="K704" s="172"/>
      <c r="L704" s="172"/>
      <c r="M704" s="172"/>
      <c r="N704" s="172"/>
      <c r="O704" s="172"/>
      <c r="P704" s="172"/>
      <c r="Q704" s="172"/>
      <c r="R704" s="173"/>
      <c r="S704" s="67"/>
      <c r="T704" s="67"/>
      <c r="U704" s="67"/>
      <c r="V704" s="67"/>
      <c r="W704" s="67"/>
      <c r="X704" s="67"/>
      <c r="Y704" s="67"/>
      <c r="Z704" s="67"/>
      <c r="AA704" s="67"/>
      <c r="AB704" s="67"/>
      <c r="AC704" s="67"/>
      <c r="AD704" s="67"/>
      <c r="AE704" s="67"/>
      <c r="AF704" s="67"/>
      <c r="AG704" s="67"/>
      <c r="AH704" s="67"/>
    </row>
    <row r="705">
      <c r="A705" s="174"/>
      <c r="B705" s="175"/>
      <c r="C705" s="175"/>
      <c r="D705" s="175"/>
      <c r="E705" s="175"/>
      <c r="F705" s="175"/>
      <c r="G705" s="175"/>
      <c r="H705" s="175"/>
      <c r="I705" s="175"/>
      <c r="J705" s="175"/>
      <c r="K705" s="175"/>
      <c r="L705" s="175"/>
      <c r="M705" s="175"/>
      <c r="N705" s="175"/>
      <c r="O705" s="175"/>
      <c r="P705" s="175"/>
      <c r="Q705" s="175"/>
      <c r="R705" s="176"/>
      <c r="S705" s="67"/>
      <c r="T705" s="67"/>
      <c r="U705" s="67"/>
      <c r="V705" s="67"/>
      <c r="W705" s="67"/>
      <c r="X705" s="67"/>
      <c r="Y705" s="67"/>
      <c r="Z705" s="67"/>
      <c r="AA705" s="67"/>
      <c r="AB705" s="67"/>
      <c r="AC705" s="67"/>
      <c r="AD705" s="67"/>
      <c r="AE705" s="67"/>
      <c r="AF705" s="67"/>
      <c r="AG705" s="67"/>
      <c r="AH705" s="67"/>
    </row>
    <row r="706">
      <c r="A706" s="171"/>
      <c r="B706" s="172"/>
      <c r="C706" s="172"/>
      <c r="D706" s="172"/>
      <c r="E706" s="172"/>
      <c r="F706" s="172"/>
      <c r="G706" s="172"/>
      <c r="H706" s="172"/>
      <c r="I706" s="172"/>
      <c r="J706" s="172"/>
      <c r="K706" s="172"/>
      <c r="L706" s="172"/>
      <c r="M706" s="172"/>
      <c r="N706" s="172"/>
      <c r="O706" s="172"/>
      <c r="P706" s="172"/>
      <c r="Q706" s="172"/>
      <c r="R706" s="173"/>
      <c r="S706" s="67"/>
      <c r="T706" s="67"/>
      <c r="U706" s="67"/>
      <c r="V706" s="67"/>
      <c r="W706" s="67"/>
      <c r="X706" s="67"/>
      <c r="Y706" s="67"/>
      <c r="Z706" s="67"/>
      <c r="AA706" s="67"/>
      <c r="AB706" s="67"/>
      <c r="AC706" s="67"/>
      <c r="AD706" s="67"/>
      <c r="AE706" s="67"/>
      <c r="AF706" s="67"/>
      <c r="AG706" s="67"/>
      <c r="AH706" s="67"/>
    </row>
    <row r="707">
      <c r="A707" s="174"/>
      <c r="B707" s="175"/>
      <c r="C707" s="175"/>
      <c r="D707" s="175"/>
      <c r="E707" s="175"/>
      <c r="F707" s="175"/>
      <c r="G707" s="175"/>
      <c r="H707" s="175"/>
      <c r="I707" s="175"/>
      <c r="J707" s="175"/>
      <c r="K707" s="175"/>
      <c r="L707" s="175"/>
      <c r="M707" s="175"/>
      <c r="N707" s="175"/>
      <c r="O707" s="175"/>
      <c r="P707" s="175"/>
      <c r="Q707" s="175"/>
      <c r="R707" s="176"/>
      <c r="S707" s="67"/>
      <c r="T707" s="67"/>
      <c r="U707" s="67"/>
      <c r="V707" s="67"/>
      <c r="W707" s="67"/>
      <c r="X707" s="67"/>
      <c r="Y707" s="67"/>
      <c r="Z707" s="67"/>
      <c r="AA707" s="67"/>
      <c r="AB707" s="67"/>
      <c r="AC707" s="67"/>
      <c r="AD707" s="67"/>
      <c r="AE707" s="67"/>
      <c r="AF707" s="67"/>
      <c r="AG707" s="67"/>
      <c r="AH707" s="67"/>
    </row>
    <row r="708">
      <c r="A708" s="171"/>
      <c r="B708" s="172"/>
      <c r="C708" s="172"/>
      <c r="D708" s="172"/>
      <c r="E708" s="172"/>
      <c r="F708" s="172"/>
      <c r="G708" s="172"/>
      <c r="H708" s="172"/>
      <c r="I708" s="172"/>
      <c r="J708" s="172"/>
      <c r="K708" s="172"/>
      <c r="L708" s="172"/>
      <c r="M708" s="172"/>
      <c r="N708" s="172"/>
      <c r="O708" s="172"/>
      <c r="P708" s="172"/>
      <c r="Q708" s="172"/>
      <c r="R708" s="173"/>
      <c r="S708" s="67"/>
      <c r="T708" s="67"/>
      <c r="U708" s="67"/>
      <c r="V708" s="67"/>
      <c r="W708" s="67"/>
      <c r="X708" s="67"/>
      <c r="Y708" s="67"/>
      <c r="Z708" s="67"/>
      <c r="AA708" s="67"/>
      <c r="AB708" s="67"/>
      <c r="AC708" s="67"/>
      <c r="AD708" s="67"/>
      <c r="AE708" s="67"/>
      <c r="AF708" s="67"/>
      <c r="AG708" s="67"/>
      <c r="AH708" s="67"/>
    </row>
    <row r="709">
      <c r="A709" s="174"/>
      <c r="B709" s="175"/>
      <c r="C709" s="175"/>
      <c r="D709" s="175"/>
      <c r="E709" s="175"/>
      <c r="F709" s="175"/>
      <c r="G709" s="175"/>
      <c r="H709" s="175"/>
      <c r="I709" s="175"/>
      <c r="J709" s="175"/>
      <c r="K709" s="175"/>
      <c r="L709" s="175"/>
      <c r="M709" s="175"/>
      <c r="N709" s="175"/>
      <c r="O709" s="175"/>
      <c r="P709" s="175"/>
      <c r="Q709" s="175"/>
      <c r="R709" s="176"/>
      <c r="S709" s="67"/>
      <c r="T709" s="67"/>
      <c r="U709" s="67"/>
      <c r="V709" s="67"/>
      <c r="W709" s="67"/>
      <c r="X709" s="67"/>
      <c r="Y709" s="67"/>
      <c r="Z709" s="67"/>
      <c r="AA709" s="67"/>
      <c r="AB709" s="67"/>
      <c r="AC709" s="67"/>
      <c r="AD709" s="67"/>
      <c r="AE709" s="67"/>
      <c r="AF709" s="67"/>
      <c r="AG709" s="67"/>
      <c r="AH709" s="67"/>
    </row>
    <row r="710">
      <c r="A710" s="171"/>
      <c r="B710" s="172"/>
      <c r="C710" s="172"/>
      <c r="D710" s="172"/>
      <c r="E710" s="172"/>
      <c r="F710" s="172"/>
      <c r="G710" s="172"/>
      <c r="H710" s="172"/>
      <c r="I710" s="172"/>
      <c r="J710" s="172"/>
      <c r="K710" s="172"/>
      <c r="L710" s="172"/>
      <c r="M710" s="172"/>
      <c r="N710" s="172"/>
      <c r="O710" s="172"/>
      <c r="P710" s="172"/>
      <c r="Q710" s="172"/>
      <c r="R710" s="173"/>
      <c r="S710" s="67"/>
      <c r="T710" s="67"/>
      <c r="U710" s="67"/>
      <c r="V710" s="67"/>
      <c r="W710" s="67"/>
      <c r="X710" s="67"/>
      <c r="Y710" s="67"/>
      <c r="Z710" s="67"/>
      <c r="AA710" s="67"/>
      <c r="AB710" s="67"/>
      <c r="AC710" s="67"/>
      <c r="AD710" s="67"/>
      <c r="AE710" s="67"/>
      <c r="AF710" s="67"/>
      <c r="AG710" s="67"/>
      <c r="AH710" s="67"/>
    </row>
    <row r="711">
      <c r="A711" s="174"/>
      <c r="B711" s="175"/>
      <c r="C711" s="175"/>
      <c r="D711" s="175"/>
      <c r="E711" s="175"/>
      <c r="F711" s="175"/>
      <c r="G711" s="175"/>
      <c r="H711" s="175"/>
      <c r="I711" s="175"/>
      <c r="J711" s="175"/>
      <c r="K711" s="175"/>
      <c r="L711" s="175"/>
      <c r="M711" s="175"/>
      <c r="N711" s="175"/>
      <c r="O711" s="175"/>
      <c r="P711" s="175"/>
      <c r="Q711" s="175"/>
      <c r="R711" s="176"/>
      <c r="S711" s="67"/>
      <c r="T711" s="67"/>
      <c r="U711" s="67"/>
      <c r="V711" s="67"/>
      <c r="W711" s="67"/>
      <c r="X711" s="67"/>
      <c r="Y711" s="67"/>
      <c r="Z711" s="67"/>
      <c r="AA711" s="67"/>
      <c r="AB711" s="67"/>
      <c r="AC711" s="67"/>
      <c r="AD711" s="67"/>
      <c r="AE711" s="67"/>
      <c r="AF711" s="67"/>
      <c r="AG711" s="67"/>
      <c r="AH711" s="67"/>
    </row>
    <row r="712">
      <c r="A712" s="171"/>
      <c r="B712" s="172"/>
      <c r="C712" s="172"/>
      <c r="D712" s="172"/>
      <c r="E712" s="172"/>
      <c r="F712" s="172"/>
      <c r="G712" s="172"/>
      <c r="H712" s="172"/>
      <c r="I712" s="172"/>
      <c r="J712" s="172"/>
      <c r="K712" s="172"/>
      <c r="L712" s="172"/>
      <c r="M712" s="172"/>
      <c r="N712" s="172"/>
      <c r="O712" s="172"/>
      <c r="P712" s="172"/>
      <c r="Q712" s="172"/>
      <c r="R712" s="173"/>
      <c r="S712" s="67"/>
      <c r="T712" s="67"/>
      <c r="U712" s="67"/>
      <c r="V712" s="67"/>
      <c r="W712" s="67"/>
      <c r="X712" s="67"/>
      <c r="Y712" s="67"/>
      <c r="Z712" s="67"/>
      <c r="AA712" s="67"/>
      <c r="AB712" s="67"/>
      <c r="AC712" s="67"/>
      <c r="AD712" s="67"/>
      <c r="AE712" s="67"/>
      <c r="AF712" s="67"/>
      <c r="AG712" s="67"/>
      <c r="AH712" s="67"/>
    </row>
    <row r="713">
      <c r="A713" s="174"/>
      <c r="B713" s="175"/>
      <c r="C713" s="175"/>
      <c r="D713" s="175"/>
      <c r="E713" s="175"/>
      <c r="F713" s="175"/>
      <c r="G713" s="175"/>
      <c r="H713" s="175"/>
      <c r="I713" s="175"/>
      <c r="J713" s="175"/>
      <c r="K713" s="175"/>
      <c r="L713" s="175"/>
      <c r="M713" s="175"/>
      <c r="N713" s="175"/>
      <c r="O713" s="175"/>
      <c r="P713" s="175"/>
      <c r="Q713" s="175"/>
      <c r="R713" s="176"/>
      <c r="S713" s="67"/>
      <c r="T713" s="67"/>
      <c r="U713" s="67"/>
      <c r="V713" s="67"/>
      <c r="W713" s="67"/>
      <c r="X713" s="67"/>
      <c r="Y713" s="67"/>
      <c r="Z713" s="67"/>
      <c r="AA713" s="67"/>
      <c r="AB713" s="67"/>
      <c r="AC713" s="67"/>
      <c r="AD713" s="67"/>
      <c r="AE713" s="67"/>
      <c r="AF713" s="67"/>
      <c r="AG713" s="67"/>
      <c r="AH713" s="67"/>
    </row>
    <row r="714">
      <c r="A714" s="171"/>
      <c r="B714" s="172"/>
      <c r="C714" s="172"/>
      <c r="D714" s="172"/>
      <c r="E714" s="172"/>
      <c r="F714" s="172"/>
      <c r="G714" s="172"/>
      <c r="H714" s="172"/>
      <c r="I714" s="172"/>
      <c r="J714" s="172"/>
      <c r="K714" s="172"/>
      <c r="L714" s="172"/>
      <c r="M714" s="172"/>
      <c r="N714" s="172"/>
      <c r="O714" s="172"/>
      <c r="P714" s="172"/>
      <c r="Q714" s="172"/>
      <c r="R714" s="173"/>
      <c r="S714" s="67"/>
      <c r="T714" s="67"/>
      <c r="U714" s="67"/>
      <c r="V714" s="67"/>
      <c r="W714" s="67"/>
      <c r="X714" s="67"/>
      <c r="Y714" s="67"/>
      <c r="Z714" s="67"/>
      <c r="AA714" s="67"/>
      <c r="AB714" s="67"/>
      <c r="AC714" s="67"/>
      <c r="AD714" s="67"/>
      <c r="AE714" s="67"/>
      <c r="AF714" s="67"/>
      <c r="AG714" s="67"/>
      <c r="AH714" s="67"/>
    </row>
    <row r="715">
      <c r="A715" s="174"/>
      <c r="B715" s="175"/>
      <c r="C715" s="175"/>
      <c r="D715" s="175"/>
      <c r="E715" s="175"/>
      <c r="F715" s="175"/>
      <c r="G715" s="175"/>
      <c r="H715" s="175"/>
      <c r="I715" s="175"/>
      <c r="J715" s="175"/>
      <c r="K715" s="175"/>
      <c r="L715" s="175"/>
      <c r="M715" s="175"/>
      <c r="N715" s="175"/>
      <c r="O715" s="175"/>
      <c r="P715" s="175"/>
      <c r="Q715" s="175"/>
      <c r="R715" s="176"/>
      <c r="S715" s="67"/>
      <c r="T715" s="67"/>
      <c r="U715" s="67"/>
      <c r="V715" s="67"/>
      <c r="W715" s="67"/>
      <c r="X715" s="67"/>
      <c r="Y715" s="67"/>
      <c r="Z715" s="67"/>
      <c r="AA715" s="67"/>
      <c r="AB715" s="67"/>
      <c r="AC715" s="67"/>
      <c r="AD715" s="67"/>
      <c r="AE715" s="67"/>
      <c r="AF715" s="67"/>
      <c r="AG715" s="67"/>
      <c r="AH715" s="67"/>
    </row>
    <row r="716">
      <c r="A716" s="171"/>
      <c r="B716" s="172"/>
      <c r="C716" s="172"/>
      <c r="D716" s="172"/>
      <c r="E716" s="172"/>
      <c r="F716" s="172"/>
      <c r="G716" s="172"/>
      <c r="H716" s="172"/>
      <c r="I716" s="172"/>
      <c r="J716" s="172"/>
      <c r="K716" s="172"/>
      <c r="L716" s="172"/>
      <c r="M716" s="172"/>
      <c r="N716" s="172"/>
      <c r="O716" s="172"/>
      <c r="P716" s="172"/>
      <c r="Q716" s="172"/>
      <c r="R716" s="173"/>
      <c r="S716" s="67"/>
      <c r="T716" s="67"/>
      <c r="U716" s="67"/>
      <c r="V716" s="67"/>
      <c r="W716" s="67"/>
      <c r="X716" s="67"/>
      <c r="Y716" s="67"/>
      <c r="Z716" s="67"/>
      <c r="AA716" s="67"/>
      <c r="AB716" s="67"/>
      <c r="AC716" s="67"/>
      <c r="AD716" s="67"/>
      <c r="AE716" s="67"/>
      <c r="AF716" s="67"/>
      <c r="AG716" s="67"/>
      <c r="AH716" s="67"/>
    </row>
    <row r="717">
      <c r="A717" s="174"/>
      <c r="B717" s="175"/>
      <c r="C717" s="175"/>
      <c r="D717" s="175"/>
      <c r="E717" s="175"/>
      <c r="F717" s="175"/>
      <c r="G717" s="175"/>
      <c r="H717" s="175"/>
      <c r="I717" s="175"/>
      <c r="J717" s="175"/>
      <c r="K717" s="175"/>
      <c r="L717" s="175"/>
      <c r="M717" s="175"/>
      <c r="N717" s="175"/>
      <c r="O717" s="175"/>
      <c r="P717" s="175"/>
      <c r="Q717" s="175"/>
      <c r="R717" s="176"/>
      <c r="S717" s="67"/>
      <c r="T717" s="67"/>
      <c r="U717" s="67"/>
      <c r="V717" s="67"/>
      <c r="W717" s="67"/>
      <c r="X717" s="67"/>
      <c r="Y717" s="67"/>
      <c r="Z717" s="67"/>
      <c r="AA717" s="67"/>
      <c r="AB717" s="67"/>
      <c r="AC717" s="67"/>
      <c r="AD717" s="67"/>
      <c r="AE717" s="67"/>
      <c r="AF717" s="67"/>
      <c r="AG717" s="67"/>
      <c r="AH717" s="67"/>
    </row>
    <row r="718">
      <c r="A718" s="171"/>
      <c r="B718" s="172"/>
      <c r="C718" s="172"/>
      <c r="D718" s="172"/>
      <c r="E718" s="172"/>
      <c r="F718" s="172"/>
      <c r="G718" s="172"/>
      <c r="H718" s="172"/>
      <c r="I718" s="172"/>
      <c r="J718" s="172"/>
      <c r="K718" s="172"/>
      <c r="L718" s="172"/>
      <c r="M718" s="172"/>
      <c r="N718" s="172"/>
      <c r="O718" s="172"/>
      <c r="P718" s="172"/>
      <c r="Q718" s="172"/>
      <c r="R718" s="173"/>
      <c r="S718" s="67"/>
      <c r="T718" s="67"/>
      <c r="U718" s="67"/>
      <c r="V718" s="67"/>
      <c r="W718" s="67"/>
      <c r="X718" s="67"/>
      <c r="Y718" s="67"/>
      <c r="Z718" s="67"/>
      <c r="AA718" s="67"/>
      <c r="AB718" s="67"/>
      <c r="AC718" s="67"/>
      <c r="AD718" s="67"/>
      <c r="AE718" s="67"/>
      <c r="AF718" s="67"/>
      <c r="AG718" s="67"/>
      <c r="AH718" s="67"/>
    </row>
    <row r="719">
      <c r="A719" s="174"/>
      <c r="B719" s="175"/>
      <c r="C719" s="175"/>
      <c r="D719" s="175"/>
      <c r="E719" s="175"/>
      <c r="F719" s="175"/>
      <c r="G719" s="175"/>
      <c r="H719" s="175"/>
      <c r="I719" s="175"/>
      <c r="J719" s="175"/>
      <c r="K719" s="175"/>
      <c r="L719" s="175"/>
      <c r="M719" s="175"/>
      <c r="N719" s="175"/>
      <c r="O719" s="175"/>
      <c r="P719" s="175"/>
      <c r="Q719" s="175"/>
      <c r="R719" s="176"/>
      <c r="S719" s="67"/>
      <c r="T719" s="67"/>
      <c r="U719" s="67"/>
      <c r="V719" s="67"/>
      <c r="W719" s="67"/>
      <c r="X719" s="67"/>
      <c r="Y719" s="67"/>
      <c r="Z719" s="67"/>
      <c r="AA719" s="67"/>
      <c r="AB719" s="67"/>
      <c r="AC719" s="67"/>
      <c r="AD719" s="67"/>
      <c r="AE719" s="67"/>
      <c r="AF719" s="67"/>
      <c r="AG719" s="67"/>
      <c r="AH719" s="67"/>
    </row>
    <row r="720">
      <c r="A720" s="171"/>
      <c r="B720" s="172"/>
      <c r="C720" s="172"/>
      <c r="D720" s="172"/>
      <c r="E720" s="172"/>
      <c r="F720" s="172"/>
      <c r="G720" s="172"/>
      <c r="H720" s="172"/>
      <c r="I720" s="172"/>
      <c r="J720" s="172"/>
      <c r="K720" s="172"/>
      <c r="L720" s="172"/>
      <c r="M720" s="172"/>
      <c r="N720" s="172"/>
      <c r="O720" s="172"/>
      <c r="P720" s="172"/>
      <c r="Q720" s="172"/>
      <c r="R720" s="173"/>
      <c r="S720" s="67"/>
      <c r="T720" s="67"/>
      <c r="U720" s="67"/>
      <c r="V720" s="67"/>
      <c r="W720" s="67"/>
      <c r="X720" s="67"/>
      <c r="Y720" s="67"/>
      <c r="Z720" s="67"/>
      <c r="AA720" s="67"/>
      <c r="AB720" s="67"/>
      <c r="AC720" s="67"/>
      <c r="AD720" s="67"/>
      <c r="AE720" s="67"/>
      <c r="AF720" s="67"/>
      <c r="AG720" s="67"/>
      <c r="AH720" s="67"/>
    </row>
    <row r="721">
      <c r="A721" s="174"/>
      <c r="B721" s="175"/>
      <c r="C721" s="175"/>
      <c r="D721" s="175"/>
      <c r="E721" s="175"/>
      <c r="F721" s="175"/>
      <c r="G721" s="175"/>
      <c r="H721" s="175"/>
      <c r="I721" s="175"/>
      <c r="J721" s="175"/>
      <c r="K721" s="175"/>
      <c r="L721" s="175"/>
      <c r="M721" s="175"/>
      <c r="N721" s="175"/>
      <c r="O721" s="175"/>
      <c r="P721" s="175"/>
      <c r="Q721" s="175"/>
      <c r="R721" s="176"/>
      <c r="S721" s="67"/>
      <c r="T721" s="67"/>
      <c r="U721" s="67"/>
      <c r="V721" s="67"/>
      <c r="W721" s="67"/>
      <c r="X721" s="67"/>
      <c r="Y721" s="67"/>
      <c r="Z721" s="67"/>
      <c r="AA721" s="67"/>
      <c r="AB721" s="67"/>
      <c r="AC721" s="67"/>
      <c r="AD721" s="67"/>
      <c r="AE721" s="67"/>
      <c r="AF721" s="67"/>
      <c r="AG721" s="67"/>
      <c r="AH721" s="67"/>
    </row>
    <row r="722">
      <c r="A722" s="171"/>
      <c r="B722" s="172"/>
      <c r="C722" s="172"/>
      <c r="D722" s="172"/>
      <c r="E722" s="172"/>
      <c r="F722" s="172"/>
      <c r="G722" s="172"/>
      <c r="H722" s="172"/>
      <c r="I722" s="172"/>
      <c r="J722" s="172"/>
      <c r="K722" s="172"/>
      <c r="L722" s="172"/>
      <c r="M722" s="172"/>
      <c r="N722" s="172"/>
      <c r="O722" s="172"/>
      <c r="P722" s="172"/>
      <c r="Q722" s="172"/>
      <c r="R722" s="173"/>
      <c r="S722" s="67"/>
      <c r="T722" s="67"/>
      <c r="U722" s="67"/>
      <c r="V722" s="67"/>
      <c r="W722" s="67"/>
      <c r="X722" s="67"/>
      <c r="Y722" s="67"/>
      <c r="Z722" s="67"/>
      <c r="AA722" s="67"/>
      <c r="AB722" s="67"/>
      <c r="AC722" s="67"/>
      <c r="AD722" s="67"/>
      <c r="AE722" s="67"/>
      <c r="AF722" s="67"/>
      <c r="AG722" s="67"/>
      <c r="AH722" s="67"/>
    </row>
    <row r="723">
      <c r="A723" s="174"/>
      <c r="B723" s="175"/>
      <c r="C723" s="175"/>
      <c r="D723" s="175"/>
      <c r="E723" s="175"/>
      <c r="F723" s="175"/>
      <c r="G723" s="175"/>
      <c r="H723" s="175"/>
      <c r="I723" s="175"/>
      <c r="J723" s="175"/>
      <c r="K723" s="175"/>
      <c r="L723" s="175"/>
      <c r="M723" s="175"/>
      <c r="N723" s="175"/>
      <c r="O723" s="175"/>
      <c r="P723" s="175"/>
      <c r="Q723" s="175"/>
      <c r="R723" s="176"/>
      <c r="S723" s="67"/>
      <c r="T723" s="67"/>
      <c r="U723" s="67"/>
      <c r="V723" s="67"/>
      <c r="W723" s="67"/>
      <c r="X723" s="67"/>
      <c r="Y723" s="67"/>
      <c r="Z723" s="67"/>
      <c r="AA723" s="67"/>
      <c r="AB723" s="67"/>
      <c r="AC723" s="67"/>
      <c r="AD723" s="67"/>
      <c r="AE723" s="67"/>
      <c r="AF723" s="67"/>
      <c r="AG723" s="67"/>
      <c r="AH723" s="67"/>
    </row>
    <row r="724">
      <c r="A724" s="171"/>
      <c r="B724" s="172"/>
      <c r="C724" s="172"/>
      <c r="D724" s="172"/>
      <c r="E724" s="172"/>
      <c r="F724" s="172"/>
      <c r="G724" s="172"/>
      <c r="H724" s="172"/>
      <c r="I724" s="172"/>
      <c r="J724" s="172"/>
      <c r="K724" s="172"/>
      <c r="L724" s="172"/>
      <c r="M724" s="172"/>
      <c r="N724" s="172"/>
      <c r="O724" s="172"/>
      <c r="P724" s="172"/>
      <c r="Q724" s="172"/>
      <c r="R724" s="173"/>
      <c r="S724" s="67"/>
      <c r="T724" s="67"/>
      <c r="U724" s="67"/>
      <c r="V724" s="67"/>
      <c r="W724" s="67"/>
      <c r="X724" s="67"/>
      <c r="Y724" s="67"/>
      <c r="Z724" s="67"/>
      <c r="AA724" s="67"/>
      <c r="AB724" s="67"/>
      <c r="AC724" s="67"/>
      <c r="AD724" s="67"/>
      <c r="AE724" s="67"/>
      <c r="AF724" s="67"/>
      <c r="AG724" s="67"/>
      <c r="AH724" s="67"/>
    </row>
    <row r="725">
      <c r="A725" s="174"/>
      <c r="B725" s="175"/>
      <c r="C725" s="175"/>
      <c r="D725" s="175"/>
      <c r="E725" s="175"/>
      <c r="F725" s="175"/>
      <c r="G725" s="175"/>
      <c r="H725" s="175"/>
      <c r="I725" s="175"/>
      <c r="J725" s="175"/>
      <c r="K725" s="175"/>
      <c r="L725" s="175"/>
      <c r="M725" s="175"/>
      <c r="N725" s="175"/>
      <c r="O725" s="175"/>
      <c r="P725" s="175"/>
      <c r="Q725" s="175"/>
      <c r="R725" s="176"/>
      <c r="S725" s="67"/>
      <c r="T725" s="67"/>
      <c r="U725" s="67"/>
      <c r="V725" s="67"/>
      <c r="W725" s="67"/>
      <c r="X725" s="67"/>
      <c r="Y725" s="67"/>
      <c r="Z725" s="67"/>
      <c r="AA725" s="67"/>
      <c r="AB725" s="67"/>
      <c r="AC725" s="67"/>
      <c r="AD725" s="67"/>
      <c r="AE725" s="67"/>
      <c r="AF725" s="67"/>
      <c r="AG725" s="67"/>
      <c r="AH725" s="67"/>
    </row>
    <row r="726">
      <c r="A726" s="171"/>
      <c r="B726" s="172"/>
      <c r="C726" s="172"/>
      <c r="D726" s="172"/>
      <c r="E726" s="172"/>
      <c r="F726" s="172"/>
      <c r="G726" s="172"/>
      <c r="H726" s="172"/>
      <c r="I726" s="172"/>
      <c r="J726" s="172"/>
      <c r="K726" s="172"/>
      <c r="L726" s="172"/>
      <c r="M726" s="172"/>
      <c r="N726" s="172"/>
      <c r="O726" s="172"/>
      <c r="P726" s="172"/>
      <c r="Q726" s="172"/>
      <c r="R726" s="173"/>
      <c r="S726" s="67"/>
      <c r="T726" s="67"/>
      <c r="U726" s="67"/>
      <c r="V726" s="67"/>
      <c r="W726" s="67"/>
      <c r="X726" s="67"/>
      <c r="Y726" s="67"/>
      <c r="Z726" s="67"/>
      <c r="AA726" s="67"/>
      <c r="AB726" s="67"/>
      <c r="AC726" s="67"/>
      <c r="AD726" s="67"/>
      <c r="AE726" s="67"/>
      <c r="AF726" s="67"/>
      <c r="AG726" s="67"/>
      <c r="AH726" s="67"/>
    </row>
    <row r="727">
      <c r="A727" s="174"/>
      <c r="B727" s="175"/>
      <c r="C727" s="175"/>
      <c r="D727" s="175"/>
      <c r="E727" s="175"/>
      <c r="F727" s="175"/>
      <c r="G727" s="175"/>
      <c r="H727" s="175"/>
      <c r="I727" s="175"/>
      <c r="J727" s="175"/>
      <c r="K727" s="175"/>
      <c r="L727" s="175"/>
      <c r="M727" s="175"/>
      <c r="N727" s="175"/>
      <c r="O727" s="175"/>
      <c r="P727" s="175"/>
      <c r="Q727" s="175"/>
      <c r="R727" s="176"/>
      <c r="S727" s="67"/>
      <c r="T727" s="67"/>
      <c r="U727" s="67"/>
      <c r="V727" s="67"/>
      <c r="W727" s="67"/>
      <c r="X727" s="67"/>
      <c r="Y727" s="67"/>
      <c r="Z727" s="67"/>
      <c r="AA727" s="67"/>
      <c r="AB727" s="67"/>
      <c r="AC727" s="67"/>
      <c r="AD727" s="67"/>
      <c r="AE727" s="67"/>
      <c r="AF727" s="67"/>
      <c r="AG727" s="67"/>
      <c r="AH727" s="67"/>
    </row>
    <row r="728">
      <c r="A728" s="171"/>
      <c r="B728" s="172"/>
      <c r="C728" s="172"/>
      <c r="D728" s="172"/>
      <c r="E728" s="172"/>
      <c r="F728" s="172"/>
      <c r="G728" s="172"/>
      <c r="H728" s="172"/>
      <c r="I728" s="172"/>
      <c r="J728" s="172"/>
      <c r="K728" s="172"/>
      <c r="L728" s="172"/>
      <c r="M728" s="172"/>
      <c r="N728" s="172"/>
      <c r="O728" s="172"/>
      <c r="P728" s="172"/>
      <c r="Q728" s="172"/>
      <c r="R728" s="173"/>
      <c r="S728" s="67"/>
      <c r="T728" s="67"/>
      <c r="U728" s="67"/>
      <c r="V728" s="67"/>
      <c r="W728" s="67"/>
      <c r="X728" s="67"/>
      <c r="Y728" s="67"/>
      <c r="Z728" s="67"/>
      <c r="AA728" s="67"/>
      <c r="AB728" s="67"/>
      <c r="AC728" s="67"/>
      <c r="AD728" s="67"/>
      <c r="AE728" s="67"/>
      <c r="AF728" s="67"/>
      <c r="AG728" s="67"/>
      <c r="AH728" s="67"/>
    </row>
    <row r="729">
      <c r="A729" s="174"/>
      <c r="B729" s="175"/>
      <c r="C729" s="175"/>
      <c r="D729" s="175"/>
      <c r="E729" s="175"/>
      <c r="F729" s="175"/>
      <c r="G729" s="175"/>
      <c r="H729" s="175"/>
      <c r="I729" s="175"/>
      <c r="J729" s="175"/>
      <c r="K729" s="175"/>
      <c r="L729" s="175"/>
      <c r="M729" s="175"/>
      <c r="N729" s="175"/>
      <c r="O729" s="175"/>
      <c r="P729" s="175"/>
      <c r="Q729" s="175"/>
      <c r="R729" s="176"/>
      <c r="S729" s="67"/>
      <c r="T729" s="67"/>
      <c r="U729" s="67"/>
      <c r="V729" s="67"/>
      <c r="W729" s="67"/>
      <c r="X729" s="67"/>
      <c r="Y729" s="67"/>
      <c r="Z729" s="67"/>
      <c r="AA729" s="67"/>
      <c r="AB729" s="67"/>
      <c r="AC729" s="67"/>
      <c r="AD729" s="67"/>
      <c r="AE729" s="67"/>
      <c r="AF729" s="67"/>
      <c r="AG729" s="67"/>
      <c r="AH729" s="67"/>
    </row>
    <row r="730">
      <c r="A730" s="171"/>
      <c r="B730" s="172"/>
      <c r="C730" s="172"/>
      <c r="D730" s="172"/>
      <c r="E730" s="172"/>
      <c r="F730" s="172"/>
      <c r="G730" s="172"/>
      <c r="H730" s="172"/>
      <c r="I730" s="172"/>
      <c r="J730" s="172"/>
      <c r="K730" s="172"/>
      <c r="L730" s="172"/>
      <c r="M730" s="172"/>
      <c r="N730" s="172"/>
      <c r="O730" s="172"/>
      <c r="P730" s="172"/>
      <c r="Q730" s="172"/>
      <c r="R730" s="173"/>
      <c r="S730" s="67"/>
      <c r="T730" s="67"/>
      <c r="U730" s="67"/>
      <c r="V730" s="67"/>
      <c r="W730" s="67"/>
      <c r="X730" s="67"/>
      <c r="Y730" s="67"/>
      <c r="Z730" s="67"/>
      <c r="AA730" s="67"/>
      <c r="AB730" s="67"/>
      <c r="AC730" s="67"/>
      <c r="AD730" s="67"/>
      <c r="AE730" s="67"/>
      <c r="AF730" s="67"/>
      <c r="AG730" s="67"/>
      <c r="AH730" s="67"/>
    </row>
    <row r="731">
      <c r="A731" s="174"/>
      <c r="B731" s="175"/>
      <c r="C731" s="175"/>
      <c r="D731" s="175"/>
      <c r="E731" s="175"/>
      <c r="F731" s="175"/>
      <c r="G731" s="175"/>
      <c r="H731" s="175"/>
      <c r="I731" s="175"/>
      <c r="J731" s="175"/>
      <c r="K731" s="175"/>
      <c r="L731" s="175"/>
      <c r="M731" s="175"/>
      <c r="N731" s="175"/>
      <c r="O731" s="175"/>
      <c r="P731" s="175"/>
      <c r="Q731" s="175"/>
      <c r="R731" s="176"/>
      <c r="S731" s="67"/>
      <c r="T731" s="67"/>
      <c r="U731" s="67"/>
      <c r="V731" s="67"/>
      <c r="W731" s="67"/>
      <c r="X731" s="67"/>
      <c r="Y731" s="67"/>
      <c r="Z731" s="67"/>
      <c r="AA731" s="67"/>
      <c r="AB731" s="67"/>
      <c r="AC731" s="67"/>
      <c r="AD731" s="67"/>
      <c r="AE731" s="67"/>
      <c r="AF731" s="67"/>
      <c r="AG731" s="67"/>
      <c r="AH731" s="67"/>
    </row>
    <row r="732">
      <c r="A732" s="171"/>
      <c r="B732" s="172"/>
      <c r="C732" s="172"/>
      <c r="D732" s="172"/>
      <c r="E732" s="172"/>
      <c r="F732" s="172"/>
      <c r="G732" s="172"/>
      <c r="H732" s="172"/>
      <c r="I732" s="172"/>
      <c r="J732" s="172"/>
      <c r="K732" s="172"/>
      <c r="L732" s="172"/>
      <c r="M732" s="172"/>
      <c r="N732" s="172"/>
      <c r="O732" s="172"/>
      <c r="P732" s="172"/>
      <c r="Q732" s="172"/>
      <c r="R732" s="173"/>
      <c r="S732" s="67"/>
      <c r="T732" s="67"/>
      <c r="U732" s="67"/>
      <c r="V732" s="67"/>
      <c r="W732" s="67"/>
      <c r="X732" s="67"/>
      <c r="Y732" s="67"/>
      <c r="Z732" s="67"/>
      <c r="AA732" s="67"/>
      <c r="AB732" s="67"/>
      <c r="AC732" s="67"/>
      <c r="AD732" s="67"/>
      <c r="AE732" s="67"/>
      <c r="AF732" s="67"/>
      <c r="AG732" s="67"/>
      <c r="AH732" s="67"/>
    </row>
    <row r="733">
      <c r="A733" s="174"/>
      <c r="B733" s="175"/>
      <c r="C733" s="175"/>
      <c r="D733" s="175"/>
      <c r="E733" s="175"/>
      <c r="F733" s="175"/>
      <c r="G733" s="175"/>
      <c r="H733" s="175"/>
      <c r="I733" s="175"/>
      <c r="J733" s="175"/>
      <c r="K733" s="175"/>
      <c r="L733" s="175"/>
      <c r="M733" s="175"/>
      <c r="N733" s="175"/>
      <c r="O733" s="175"/>
      <c r="P733" s="175"/>
      <c r="Q733" s="175"/>
      <c r="R733" s="176"/>
      <c r="S733" s="67"/>
      <c r="T733" s="67"/>
      <c r="U733" s="67"/>
      <c r="V733" s="67"/>
      <c r="W733" s="67"/>
      <c r="X733" s="67"/>
      <c r="Y733" s="67"/>
      <c r="Z733" s="67"/>
      <c r="AA733" s="67"/>
      <c r="AB733" s="67"/>
      <c r="AC733" s="67"/>
      <c r="AD733" s="67"/>
      <c r="AE733" s="67"/>
      <c r="AF733" s="67"/>
      <c r="AG733" s="67"/>
      <c r="AH733" s="67"/>
    </row>
    <row r="734">
      <c r="A734" s="171"/>
      <c r="B734" s="172"/>
      <c r="C734" s="172"/>
      <c r="D734" s="172"/>
      <c r="E734" s="172"/>
      <c r="F734" s="172"/>
      <c r="G734" s="172"/>
      <c r="H734" s="172"/>
      <c r="I734" s="172"/>
      <c r="J734" s="172"/>
      <c r="K734" s="172"/>
      <c r="L734" s="172"/>
      <c r="M734" s="172"/>
      <c r="N734" s="172"/>
      <c r="O734" s="172"/>
      <c r="P734" s="172"/>
      <c r="Q734" s="172"/>
      <c r="R734" s="173"/>
      <c r="S734" s="67"/>
      <c r="T734" s="67"/>
      <c r="U734" s="67"/>
      <c r="V734" s="67"/>
      <c r="W734" s="67"/>
      <c r="X734" s="67"/>
      <c r="Y734" s="67"/>
      <c r="Z734" s="67"/>
      <c r="AA734" s="67"/>
      <c r="AB734" s="67"/>
      <c r="AC734" s="67"/>
      <c r="AD734" s="67"/>
      <c r="AE734" s="67"/>
      <c r="AF734" s="67"/>
      <c r="AG734" s="67"/>
      <c r="AH734" s="67"/>
    </row>
    <row r="735">
      <c r="A735" s="174"/>
      <c r="B735" s="175"/>
      <c r="C735" s="175"/>
      <c r="D735" s="175"/>
      <c r="E735" s="175"/>
      <c r="F735" s="175"/>
      <c r="G735" s="175"/>
      <c r="H735" s="175"/>
      <c r="I735" s="175"/>
      <c r="J735" s="175"/>
      <c r="K735" s="175"/>
      <c r="L735" s="175"/>
      <c r="M735" s="175"/>
      <c r="N735" s="175"/>
      <c r="O735" s="175"/>
      <c r="P735" s="175"/>
      <c r="Q735" s="175"/>
      <c r="R735" s="176"/>
      <c r="S735" s="67"/>
      <c r="T735" s="67"/>
      <c r="U735" s="67"/>
      <c r="V735" s="67"/>
      <c r="W735" s="67"/>
      <c r="X735" s="67"/>
      <c r="Y735" s="67"/>
      <c r="Z735" s="67"/>
      <c r="AA735" s="67"/>
      <c r="AB735" s="67"/>
      <c r="AC735" s="67"/>
      <c r="AD735" s="67"/>
      <c r="AE735" s="67"/>
      <c r="AF735" s="67"/>
      <c r="AG735" s="67"/>
      <c r="AH735" s="67"/>
    </row>
    <row r="736">
      <c r="A736" s="171"/>
      <c r="B736" s="172"/>
      <c r="C736" s="172"/>
      <c r="D736" s="172"/>
      <c r="E736" s="172"/>
      <c r="F736" s="172"/>
      <c r="G736" s="172"/>
      <c r="H736" s="172"/>
      <c r="I736" s="172"/>
      <c r="J736" s="172"/>
      <c r="K736" s="172"/>
      <c r="L736" s="172"/>
      <c r="M736" s="172"/>
      <c r="N736" s="172"/>
      <c r="O736" s="172"/>
      <c r="P736" s="172"/>
      <c r="Q736" s="172"/>
      <c r="R736" s="173"/>
      <c r="S736" s="67"/>
      <c r="T736" s="67"/>
      <c r="U736" s="67"/>
      <c r="V736" s="67"/>
      <c r="W736" s="67"/>
      <c r="X736" s="67"/>
      <c r="Y736" s="67"/>
      <c r="Z736" s="67"/>
      <c r="AA736" s="67"/>
      <c r="AB736" s="67"/>
      <c r="AC736" s="67"/>
      <c r="AD736" s="67"/>
      <c r="AE736" s="67"/>
      <c r="AF736" s="67"/>
      <c r="AG736" s="67"/>
      <c r="AH736" s="67"/>
    </row>
    <row r="737">
      <c r="A737" s="174"/>
      <c r="B737" s="175"/>
      <c r="C737" s="175"/>
      <c r="D737" s="175"/>
      <c r="E737" s="175"/>
      <c r="F737" s="175"/>
      <c r="G737" s="175"/>
      <c r="H737" s="175"/>
      <c r="I737" s="175"/>
      <c r="J737" s="175"/>
      <c r="K737" s="175"/>
      <c r="L737" s="175"/>
      <c r="M737" s="175"/>
      <c r="N737" s="175"/>
      <c r="O737" s="175"/>
      <c r="P737" s="175"/>
      <c r="Q737" s="175"/>
      <c r="R737" s="176"/>
      <c r="S737" s="67"/>
      <c r="T737" s="67"/>
      <c r="U737" s="67"/>
      <c r="V737" s="67"/>
      <c r="W737" s="67"/>
      <c r="X737" s="67"/>
      <c r="Y737" s="67"/>
      <c r="Z737" s="67"/>
      <c r="AA737" s="67"/>
      <c r="AB737" s="67"/>
      <c r="AC737" s="67"/>
      <c r="AD737" s="67"/>
      <c r="AE737" s="67"/>
      <c r="AF737" s="67"/>
      <c r="AG737" s="67"/>
      <c r="AH737" s="67"/>
    </row>
    <row r="738">
      <c r="A738" s="171"/>
      <c r="B738" s="172"/>
      <c r="C738" s="172"/>
      <c r="D738" s="172"/>
      <c r="E738" s="172"/>
      <c r="F738" s="172"/>
      <c r="G738" s="172"/>
      <c r="H738" s="172"/>
      <c r="I738" s="172"/>
      <c r="J738" s="172"/>
      <c r="K738" s="172"/>
      <c r="L738" s="172"/>
      <c r="M738" s="172"/>
      <c r="N738" s="172"/>
      <c r="O738" s="172"/>
      <c r="P738" s="172"/>
      <c r="Q738" s="172"/>
      <c r="R738" s="173"/>
      <c r="S738" s="67"/>
      <c r="T738" s="67"/>
      <c r="U738" s="67"/>
      <c r="V738" s="67"/>
      <c r="W738" s="67"/>
      <c r="X738" s="67"/>
      <c r="Y738" s="67"/>
      <c r="Z738" s="67"/>
      <c r="AA738" s="67"/>
      <c r="AB738" s="67"/>
      <c r="AC738" s="67"/>
      <c r="AD738" s="67"/>
      <c r="AE738" s="67"/>
      <c r="AF738" s="67"/>
      <c r="AG738" s="67"/>
      <c r="AH738" s="67"/>
    </row>
    <row r="739">
      <c r="A739" s="174"/>
      <c r="B739" s="175"/>
      <c r="C739" s="175"/>
      <c r="D739" s="175"/>
      <c r="E739" s="175"/>
      <c r="F739" s="175"/>
      <c r="G739" s="175"/>
      <c r="H739" s="175"/>
      <c r="I739" s="175"/>
      <c r="J739" s="175"/>
      <c r="K739" s="175"/>
      <c r="L739" s="175"/>
      <c r="M739" s="175"/>
      <c r="N739" s="175"/>
      <c r="O739" s="175"/>
      <c r="P739" s="175"/>
      <c r="Q739" s="175"/>
      <c r="R739" s="176"/>
      <c r="S739" s="67"/>
      <c r="T739" s="67"/>
      <c r="U739" s="67"/>
      <c r="V739" s="67"/>
      <c r="W739" s="67"/>
      <c r="X739" s="67"/>
      <c r="Y739" s="67"/>
      <c r="Z739" s="67"/>
      <c r="AA739" s="67"/>
      <c r="AB739" s="67"/>
      <c r="AC739" s="67"/>
      <c r="AD739" s="67"/>
      <c r="AE739" s="67"/>
      <c r="AF739" s="67"/>
      <c r="AG739" s="67"/>
      <c r="AH739" s="67"/>
    </row>
    <row r="740">
      <c r="A740" s="171"/>
      <c r="B740" s="172"/>
      <c r="C740" s="172"/>
      <c r="D740" s="172"/>
      <c r="E740" s="172"/>
      <c r="F740" s="172"/>
      <c r="G740" s="172"/>
      <c r="H740" s="172"/>
      <c r="I740" s="172"/>
      <c r="J740" s="172"/>
      <c r="K740" s="172"/>
      <c r="L740" s="172"/>
      <c r="M740" s="172"/>
      <c r="N740" s="172"/>
      <c r="O740" s="172"/>
      <c r="P740" s="172"/>
      <c r="Q740" s="172"/>
      <c r="R740" s="173"/>
      <c r="S740" s="67"/>
      <c r="T740" s="67"/>
      <c r="U740" s="67"/>
      <c r="V740" s="67"/>
      <c r="W740" s="67"/>
      <c r="X740" s="67"/>
      <c r="Y740" s="67"/>
      <c r="Z740" s="67"/>
      <c r="AA740" s="67"/>
      <c r="AB740" s="67"/>
      <c r="AC740" s="67"/>
      <c r="AD740" s="67"/>
      <c r="AE740" s="67"/>
      <c r="AF740" s="67"/>
      <c r="AG740" s="67"/>
      <c r="AH740" s="67"/>
    </row>
    <row r="741">
      <c r="A741" s="174"/>
      <c r="B741" s="175"/>
      <c r="C741" s="175"/>
      <c r="D741" s="175"/>
      <c r="E741" s="175"/>
      <c r="F741" s="175"/>
      <c r="G741" s="175"/>
      <c r="H741" s="175"/>
      <c r="I741" s="175"/>
      <c r="J741" s="175"/>
      <c r="K741" s="175"/>
      <c r="L741" s="175"/>
      <c r="M741" s="175"/>
      <c r="N741" s="175"/>
      <c r="O741" s="175"/>
      <c r="P741" s="175"/>
      <c r="Q741" s="175"/>
      <c r="R741" s="176"/>
      <c r="S741" s="67"/>
      <c r="T741" s="67"/>
      <c r="U741" s="67"/>
      <c r="V741" s="67"/>
      <c r="W741" s="67"/>
      <c r="X741" s="67"/>
      <c r="Y741" s="67"/>
      <c r="Z741" s="67"/>
      <c r="AA741" s="67"/>
      <c r="AB741" s="67"/>
      <c r="AC741" s="67"/>
      <c r="AD741" s="67"/>
      <c r="AE741" s="67"/>
      <c r="AF741" s="67"/>
      <c r="AG741" s="67"/>
      <c r="AH741" s="67"/>
    </row>
    <row r="742">
      <c r="A742" s="171"/>
      <c r="B742" s="172"/>
      <c r="C742" s="172"/>
      <c r="D742" s="172"/>
      <c r="E742" s="172"/>
      <c r="F742" s="172"/>
      <c r="G742" s="172"/>
      <c r="H742" s="172"/>
      <c r="I742" s="172"/>
      <c r="J742" s="172"/>
      <c r="K742" s="172"/>
      <c r="L742" s="172"/>
      <c r="M742" s="172"/>
      <c r="N742" s="172"/>
      <c r="O742" s="172"/>
      <c r="P742" s="172"/>
      <c r="Q742" s="172"/>
      <c r="R742" s="173"/>
      <c r="S742" s="67"/>
      <c r="T742" s="67"/>
      <c r="U742" s="67"/>
      <c r="V742" s="67"/>
      <c r="W742" s="67"/>
      <c r="X742" s="67"/>
      <c r="Y742" s="67"/>
      <c r="Z742" s="67"/>
      <c r="AA742" s="67"/>
      <c r="AB742" s="67"/>
      <c r="AC742" s="67"/>
      <c r="AD742" s="67"/>
      <c r="AE742" s="67"/>
      <c r="AF742" s="67"/>
      <c r="AG742" s="67"/>
      <c r="AH742" s="67"/>
    </row>
    <row r="743">
      <c r="A743" s="174"/>
      <c r="B743" s="175"/>
      <c r="C743" s="175"/>
      <c r="D743" s="175"/>
      <c r="E743" s="175"/>
      <c r="F743" s="175"/>
      <c r="G743" s="175"/>
      <c r="H743" s="175"/>
      <c r="I743" s="175"/>
      <c r="J743" s="175"/>
      <c r="K743" s="175"/>
      <c r="L743" s="175"/>
      <c r="M743" s="175"/>
      <c r="N743" s="175"/>
      <c r="O743" s="175"/>
      <c r="P743" s="175"/>
      <c r="Q743" s="175"/>
      <c r="R743" s="176"/>
      <c r="S743" s="67"/>
      <c r="T743" s="67"/>
      <c r="U743" s="67"/>
      <c r="V743" s="67"/>
      <c r="W743" s="67"/>
      <c r="X743" s="67"/>
      <c r="Y743" s="67"/>
      <c r="Z743" s="67"/>
      <c r="AA743" s="67"/>
      <c r="AB743" s="67"/>
      <c r="AC743" s="67"/>
      <c r="AD743" s="67"/>
      <c r="AE743" s="67"/>
      <c r="AF743" s="67"/>
      <c r="AG743" s="67"/>
      <c r="AH743" s="67"/>
    </row>
    <row r="744">
      <c r="A744" s="171"/>
      <c r="B744" s="172"/>
      <c r="C744" s="172"/>
      <c r="D744" s="172"/>
      <c r="E744" s="172"/>
      <c r="F744" s="172"/>
      <c r="G744" s="172"/>
      <c r="H744" s="172"/>
      <c r="I744" s="172"/>
      <c r="J744" s="172"/>
      <c r="K744" s="172"/>
      <c r="L744" s="172"/>
      <c r="M744" s="172"/>
      <c r="N744" s="172"/>
      <c r="O744" s="172"/>
      <c r="P744" s="172"/>
      <c r="Q744" s="172"/>
      <c r="R744" s="173"/>
      <c r="S744" s="67"/>
      <c r="T744" s="67"/>
      <c r="U744" s="67"/>
      <c r="V744" s="67"/>
      <c r="W744" s="67"/>
      <c r="X744" s="67"/>
      <c r="Y744" s="67"/>
      <c r="Z744" s="67"/>
      <c r="AA744" s="67"/>
      <c r="AB744" s="67"/>
      <c r="AC744" s="67"/>
      <c r="AD744" s="67"/>
      <c r="AE744" s="67"/>
      <c r="AF744" s="67"/>
      <c r="AG744" s="67"/>
      <c r="AH744" s="67"/>
    </row>
    <row r="745">
      <c r="A745" s="174"/>
      <c r="B745" s="175"/>
      <c r="C745" s="175"/>
      <c r="D745" s="175"/>
      <c r="E745" s="175"/>
      <c r="F745" s="175"/>
      <c r="G745" s="175"/>
      <c r="H745" s="175"/>
      <c r="I745" s="175"/>
      <c r="J745" s="175"/>
      <c r="K745" s="175"/>
      <c r="L745" s="175"/>
      <c r="M745" s="175"/>
      <c r="N745" s="175"/>
      <c r="O745" s="175"/>
      <c r="P745" s="175"/>
      <c r="Q745" s="175"/>
      <c r="R745" s="176"/>
      <c r="S745" s="67"/>
      <c r="T745" s="67"/>
      <c r="U745" s="67"/>
      <c r="V745" s="67"/>
      <c r="W745" s="67"/>
      <c r="X745" s="67"/>
      <c r="Y745" s="67"/>
      <c r="Z745" s="67"/>
      <c r="AA745" s="67"/>
      <c r="AB745" s="67"/>
      <c r="AC745" s="67"/>
      <c r="AD745" s="67"/>
      <c r="AE745" s="67"/>
      <c r="AF745" s="67"/>
      <c r="AG745" s="67"/>
      <c r="AH745" s="67"/>
    </row>
    <row r="746">
      <c r="A746" s="171"/>
      <c r="B746" s="172"/>
      <c r="C746" s="172"/>
      <c r="D746" s="172"/>
      <c r="E746" s="172"/>
      <c r="F746" s="172"/>
      <c r="G746" s="172"/>
      <c r="H746" s="172"/>
      <c r="I746" s="172"/>
      <c r="J746" s="172"/>
      <c r="K746" s="172"/>
      <c r="L746" s="172"/>
      <c r="M746" s="172"/>
      <c r="N746" s="172"/>
      <c r="O746" s="172"/>
      <c r="P746" s="172"/>
      <c r="Q746" s="172"/>
      <c r="R746" s="173"/>
      <c r="S746" s="67"/>
      <c r="T746" s="67"/>
      <c r="U746" s="67"/>
      <c r="V746" s="67"/>
      <c r="W746" s="67"/>
      <c r="X746" s="67"/>
      <c r="Y746" s="67"/>
      <c r="Z746" s="67"/>
      <c r="AA746" s="67"/>
      <c r="AB746" s="67"/>
      <c r="AC746" s="67"/>
      <c r="AD746" s="67"/>
      <c r="AE746" s="67"/>
      <c r="AF746" s="67"/>
      <c r="AG746" s="67"/>
      <c r="AH746" s="67"/>
    </row>
    <row r="747">
      <c r="A747" s="174"/>
      <c r="B747" s="175"/>
      <c r="C747" s="175"/>
      <c r="D747" s="175"/>
      <c r="E747" s="175"/>
      <c r="F747" s="175"/>
      <c r="G747" s="175"/>
      <c r="H747" s="175"/>
      <c r="I747" s="175"/>
      <c r="J747" s="175"/>
      <c r="K747" s="175"/>
      <c r="L747" s="175"/>
      <c r="M747" s="175"/>
      <c r="N747" s="175"/>
      <c r="O747" s="175"/>
      <c r="P747" s="175"/>
      <c r="Q747" s="175"/>
      <c r="R747" s="176"/>
      <c r="S747" s="67"/>
      <c r="T747" s="67"/>
      <c r="U747" s="67"/>
      <c r="V747" s="67"/>
      <c r="W747" s="67"/>
      <c r="X747" s="67"/>
      <c r="Y747" s="67"/>
      <c r="Z747" s="67"/>
      <c r="AA747" s="67"/>
      <c r="AB747" s="67"/>
      <c r="AC747" s="67"/>
      <c r="AD747" s="67"/>
      <c r="AE747" s="67"/>
      <c r="AF747" s="67"/>
      <c r="AG747" s="67"/>
      <c r="AH747" s="67"/>
    </row>
    <row r="748">
      <c r="A748" s="171"/>
      <c r="B748" s="172"/>
      <c r="C748" s="172"/>
      <c r="D748" s="172"/>
      <c r="E748" s="172"/>
      <c r="F748" s="172"/>
      <c r="G748" s="172"/>
      <c r="H748" s="172"/>
      <c r="I748" s="172"/>
      <c r="J748" s="172"/>
      <c r="K748" s="172"/>
      <c r="L748" s="172"/>
      <c r="M748" s="172"/>
      <c r="N748" s="172"/>
      <c r="O748" s="172"/>
      <c r="P748" s="172"/>
      <c r="Q748" s="172"/>
      <c r="R748" s="173"/>
      <c r="S748" s="67"/>
      <c r="T748" s="67"/>
      <c r="U748" s="67"/>
      <c r="V748" s="67"/>
      <c r="W748" s="67"/>
      <c r="X748" s="67"/>
      <c r="Y748" s="67"/>
      <c r="Z748" s="67"/>
      <c r="AA748" s="67"/>
      <c r="AB748" s="67"/>
      <c r="AC748" s="67"/>
      <c r="AD748" s="67"/>
      <c r="AE748" s="67"/>
      <c r="AF748" s="67"/>
      <c r="AG748" s="67"/>
      <c r="AH748" s="67"/>
    </row>
    <row r="749">
      <c r="A749" s="174"/>
      <c r="B749" s="175"/>
      <c r="C749" s="175"/>
      <c r="D749" s="175"/>
      <c r="E749" s="175"/>
      <c r="F749" s="175"/>
      <c r="G749" s="175"/>
      <c r="H749" s="175"/>
      <c r="I749" s="175"/>
      <c r="J749" s="175"/>
      <c r="K749" s="175"/>
      <c r="L749" s="175"/>
      <c r="M749" s="175"/>
      <c r="N749" s="175"/>
      <c r="O749" s="175"/>
      <c r="P749" s="175"/>
      <c r="Q749" s="175"/>
      <c r="R749" s="176"/>
      <c r="S749" s="67"/>
      <c r="T749" s="67"/>
      <c r="U749" s="67"/>
      <c r="V749" s="67"/>
      <c r="W749" s="67"/>
      <c r="X749" s="67"/>
      <c r="Y749" s="67"/>
      <c r="Z749" s="67"/>
      <c r="AA749" s="67"/>
      <c r="AB749" s="67"/>
      <c r="AC749" s="67"/>
      <c r="AD749" s="67"/>
      <c r="AE749" s="67"/>
      <c r="AF749" s="67"/>
      <c r="AG749" s="67"/>
      <c r="AH749" s="67"/>
    </row>
    <row r="750">
      <c r="A750" s="171"/>
      <c r="B750" s="172"/>
      <c r="C750" s="172"/>
      <c r="D750" s="172"/>
      <c r="E750" s="172"/>
      <c r="F750" s="172"/>
      <c r="G750" s="172"/>
      <c r="H750" s="172"/>
      <c r="I750" s="172"/>
      <c r="J750" s="172"/>
      <c r="K750" s="172"/>
      <c r="L750" s="172"/>
      <c r="M750" s="172"/>
      <c r="N750" s="172"/>
      <c r="O750" s="172"/>
      <c r="P750" s="172"/>
      <c r="Q750" s="172"/>
      <c r="R750" s="173"/>
      <c r="S750" s="67"/>
      <c r="T750" s="67"/>
      <c r="U750" s="67"/>
      <c r="V750" s="67"/>
      <c r="W750" s="67"/>
      <c r="X750" s="67"/>
      <c r="Y750" s="67"/>
      <c r="Z750" s="67"/>
      <c r="AA750" s="67"/>
      <c r="AB750" s="67"/>
      <c r="AC750" s="67"/>
      <c r="AD750" s="67"/>
      <c r="AE750" s="67"/>
      <c r="AF750" s="67"/>
      <c r="AG750" s="67"/>
      <c r="AH750" s="67"/>
    </row>
    <row r="751">
      <c r="A751" s="174"/>
      <c r="B751" s="175"/>
      <c r="C751" s="175"/>
      <c r="D751" s="175"/>
      <c r="E751" s="175"/>
      <c r="F751" s="175"/>
      <c r="G751" s="175"/>
      <c r="H751" s="175"/>
      <c r="I751" s="175"/>
      <c r="J751" s="175"/>
      <c r="K751" s="175"/>
      <c r="L751" s="175"/>
      <c r="M751" s="175"/>
      <c r="N751" s="175"/>
      <c r="O751" s="175"/>
      <c r="P751" s="175"/>
      <c r="Q751" s="175"/>
      <c r="R751" s="176"/>
      <c r="S751" s="67"/>
      <c r="T751" s="67"/>
      <c r="U751" s="67"/>
      <c r="V751" s="67"/>
      <c r="W751" s="67"/>
      <c r="X751" s="67"/>
      <c r="Y751" s="67"/>
      <c r="Z751" s="67"/>
      <c r="AA751" s="67"/>
      <c r="AB751" s="67"/>
      <c r="AC751" s="67"/>
      <c r="AD751" s="67"/>
      <c r="AE751" s="67"/>
      <c r="AF751" s="67"/>
      <c r="AG751" s="67"/>
      <c r="AH751" s="67"/>
    </row>
    <row r="752">
      <c r="A752" s="171"/>
      <c r="B752" s="172"/>
      <c r="C752" s="172"/>
      <c r="D752" s="172"/>
      <c r="E752" s="172"/>
      <c r="F752" s="172"/>
      <c r="G752" s="172"/>
      <c r="H752" s="172"/>
      <c r="I752" s="172"/>
      <c r="J752" s="172"/>
      <c r="K752" s="172"/>
      <c r="L752" s="172"/>
      <c r="M752" s="172"/>
      <c r="N752" s="172"/>
      <c r="O752" s="172"/>
      <c r="P752" s="172"/>
      <c r="Q752" s="172"/>
      <c r="R752" s="173"/>
      <c r="S752" s="67"/>
      <c r="T752" s="67"/>
      <c r="U752" s="67"/>
      <c r="V752" s="67"/>
      <c r="W752" s="67"/>
      <c r="X752" s="67"/>
      <c r="Y752" s="67"/>
      <c r="Z752" s="67"/>
      <c r="AA752" s="67"/>
      <c r="AB752" s="67"/>
      <c r="AC752" s="67"/>
      <c r="AD752" s="67"/>
      <c r="AE752" s="67"/>
      <c r="AF752" s="67"/>
      <c r="AG752" s="67"/>
      <c r="AH752" s="67"/>
    </row>
    <row r="753">
      <c r="A753" s="174"/>
      <c r="B753" s="175"/>
      <c r="C753" s="175"/>
      <c r="D753" s="175"/>
      <c r="E753" s="175"/>
      <c r="F753" s="175"/>
      <c r="G753" s="175"/>
      <c r="H753" s="175"/>
      <c r="I753" s="175"/>
      <c r="J753" s="175"/>
      <c r="K753" s="175"/>
      <c r="L753" s="175"/>
      <c r="M753" s="175"/>
      <c r="N753" s="175"/>
      <c r="O753" s="175"/>
      <c r="P753" s="175"/>
      <c r="Q753" s="175"/>
      <c r="R753" s="176"/>
      <c r="S753" s="67"/>
      <c r="T753" s="67"/>
      <c r="U753" s="67"/>
      <c r="V753" s="67"/>
      <c r="W753" s="67"/>
      <c r="X753" s="67"/>
      <c r="Y753" s="67"/>
      <c r="Z753" s="67"/>
      <c r="AA753" s="67"/>
      <c r="AB753" s="67"/>
      <c r="AC753" s="67"/>
      <c r="AD753" s="67"/>
      <c r="AE753" s="67"/>
      <c r="AF753" s="67"/>
      <c r="AG753" s="67"/>
      <c r="AH753" s="67"/>
    </row>
    <row r="754">
      <c r="A754" s="171"/>
      <c r="B754" s="172"/>
      <c r="C754" s="172"/>
      <c r="D754" s="172"/>
      <c r="E754" s="172"/>
      <c r="F754" s="172"/>
      <c r="G754" s="172"/>
      <c r="H754" s="172"/>
      <c r="I754" s="172"/>
      <c r="J754" s="172"/>
      <c r="K754" s="172"/>
      <c r="L754" s="172"/>
      <c r="M754" s="172"/>
      <c r="N754" s="172"/>
      <c r="O754" s="172"/>
      <c r="P754" s="172"/>
      <c r="Q754" s="172"/>
      <c r="R754" s="173"/>
      <c r="S754" s="67"/>
      <c r="T754" s="67"/>
      <c r="U754" s="67"/>
      <c r="V754" s="67"/>
      <c r="W754" s="67"/>
      <c r="X754" s="67"/>
      <c r="Y754" s="67"/>
      <c r="Z754" s="67"/>
      <c r="AA754" s="67"/>
      <c r="AB754" s="67"/>
      <c r="AC754" s="67"/>
      <c r="AD754" s="67"/>
      <c r="AE754" s="67"/>
      <c r="AF754" s="67"/>
      <c r="AG754" s="67"/>
      <c r="AH754" s="67"/>
    </row>
    <row r="755">
      <c r="A755" s="174"/>
      <c r="B755" s="175"/>
      <c r="C755" s="175"/>
      <c r="D755" s="175"/>
      <c r="E755" s="175"/>
      <c r="F755" s="175"/>
      <c r="G755" s="175"/>
      <c r="H755" s="175"/>
      <c r="I755" s="175"/>
      <c r="J755" s="175"/>
      <c r="K755" s="175"/>
      <c r="L755" s="175"/>
      <c r="M755" s="175"/>
      <c r="N755" s="175"/>
      <c r="O755" s="175"/>
      <c r="P755" s="175"/>
      <c r="Q755" s="175"/>
      <c r="R755" s="176"/>
      <c r="S755" s="67"/>
      <c r="T755" s="67"/>
      <c r="U755" s="67"/>
      <c r="V755" s="67"/>
      <c r="W755" s="67"/>
      <c r="X755" s="67"/>
      <c r="Y755" s="67"/>
      <c r="Z755" s="67"/>
      <c r="AA755" s="67"/>
      <c r="AB755" s="67"/>
      <c r="AC755" s="67"/>
      <c r="AD755" s="67"/>
      <c r="AE755" s="67"/>
      <c r="AF755" s="67"/>
      <c r="AG755" s="67"/>
      <c r="AH755" s="67"/>
    </row>
    <row r="756">
      <c r="A756" s="171"/>
      <c r="B756" s="172"/>
      <c r="C756" s="172"/>
      <c r="D756" s="172"/>
      <c r="E756" s="172"/>
      <c r="F756" s="172"/>
      <c r="G756" s="172"/>
      <c r="H756" s="172"/>
      <c r="I756" s="172"/>
      <c r="J756" s="172"/>
      <c r="K756" s="172"/>
      <c r="L756" s="172"/>
      <c r="M756" s="172"/>
      <c r="N756" s="172"/>
      <c r="O756" s="172"/>
      <c r="P756" s="172"/>
      <c r="Q756" s="172"/>
      <c r="R756" s="173"/>
      <c r="S756" s="67"/>
      <c r="T756" s="67"/>
      <c r="U756" s="67"/>
      <c r="V756" s="67"/>
      <c r="W756" s="67"/>
      <c r="X756" s="67"/>
      <c r="Y756" s="67"/>
      <c r="Z756" s="67"/>
      <c r="AA756" s="67"/>
      <c r="AB756" s="67"/>
      <c r="AC756" s="67"/>
      <c r="AD756" s="67"/>
      <c r="AE756" s="67"/>
      <c r="AF756" s="67"/>
      <c r="AG756" s="67"/>
      <c r="AH756" s="67"/>
    </row>
    <row r="757">
      <c r="A757" s="174"/>
      <c r="B757" s="175"/>
      <c r="C757" s="175"/>
      <c r="D757" s="175"/>
      <c r="E757" s="175"/>
      <c r="F757" s="175"/>
      <c r="G757" s="175"/>
      <c r="H757" s="175"/>
      <c r="I757" s="175"/>
      <c r="J757" s="175"/>
      <c r="K757" s="175"/>
      <c r="L757" s="175"/>
      <c r="M757" s="175"/>
      <c r="N757" s="175"/>
      <c r="O757" s="175"/>
      <c r="P757" s="175"/>
      <c r="Q757" s="175"/>
      <c r="R757" s="176"/>
      <c r="S757" s="67"/>
      <c r="T757" s="67"/>
      <c r="U757" s="67"/>
      <c r="V757" s="67"/>
      <c r="W757" s="67"/>
      <c r="X757" s="67"/>
      <c r="Y757" s="67"/>
      <c r="Z757" s="67"/>
      <c r="AA757" s="67"/>
      <c r="AB757" s="67"/>
      <c r="AC757" s="67"/>
      <c r="AD757" s="67"/>
      <c r="AE757" s="67"/>
      <c r="AF757" s="67"/>
      <c r="AG757" s="67"/>
      <c r="AH757" s="67"/>
    </row>
    <row r="758">
      <c r="A758" s="171"/>
      <c r="B758" s="172"/>
      <c r="C758" s="172"/>
      <c r="D758" s="172"/>
      <c r="E758" s="172"/>
      <c r="F758" s="172"/>
      <c r="G758" s="172"/>
      <c r="H758" s="172"/>
      <c r="I758" s="172"/>
      <c r="J758" s="172"/>
      <c r="K758" s="172"/>
      <c r="L758" s="172"/>
      <c r="M758" s="172"/>
      <c r="N758" s="172"/>
      <c r="O758" s="172"/>
      <c r="P758" s="172"/>
      <c r="Q758" s="172"/>
      <c r="R758" s="173"/>
      <c r="S758" s="67"/>
      <c r="T758" s="67"/>
      <c r="U758" s="67"/>
      <c r="V758" s="67"/>
      <c r="W758" s="67"/>
      <c r="X758" s="67"/>
      <c r="Y758" s="67"/>
      <c r="Z758" s="67"/>
      <c r="AA758" s="67"/>
      <c r="AB758" s="67"/>
      <c r="AC758" s="67"/>
      <c r="AD758" s="67"/>
      <c r="AE758" s="67"/>
      <c r="AF758" s="67"/>
      <c r="AG758" s="67"/>
      <c r="AH758" s="67"/>
    </row>
    <row r="759">
      <c r="A759" s="174"/>
      <c r="B759" s="175"/>
      <c r="C759" s="175"/>
      <c r="D759" s="175"/>
      <c r="E759" s="175"/>
      <c r="F759" s="175"/>
      <c r="G759" s="175"/>
      <c r="H759" s="175"/>
      <c r="I759" s="175"/>
      <c r="J759" s="175"/>
      <c r="K759" s="175"/>
      <c r="L759" s="175"/>
      <c r="M759" s="175"/>
      <c r="N759" s="175"/>
      <c r="O759" s="175"/>
      <c r="P759" s="175"/>
      <c r="Q759" s="175"/>
      <c r="R759" s="176"/>
      <c r="S759" s="67"/>
      <c r="T759" s="67"/>
      <c r="U759" s="67"/>
      <c r="V759" s="67"/>
      <c r="W759" s="67"/>
      <c r="X759" s="67"/>
      <c r="Y759" s="67"/>
      <c r="Z759" s="67"/>
      <c r="AA759" s="67"/>
      <c r="AB759" s="67"/>
      <c r="AC759" s="67"/>
      <c r="AD759" s="67"/>
      <c r="AE759" s="67"/>
      <c r="AF759" s="67"/>
      <c r="AG759" s="67"/>
      <c r="AH759" s="67"/>
    </row>
    <row r="760">
      <c r="A760" s="171"/>
      <c r="B760" s="172"/>
      <c r="C760" s="172"/>
      <c r="D760" s="172"/>
      <c r="E760" s="172"/>
      <c r="F760" s="172"/>
      <c r="G760" s="172"/>
      <c r="H760" s="172"/>
      <c r="I760" s="172"/>
      <c r="J760" s="172"/>
      <c r="K760" s="172"/>
      <c r="L760" s="172"/>
      <c r="M760" s="172"/>
      <c r="N760" s="172"/>
      <c r="O760" s="172"/>
      <c r="P760" s="172"/>
      <c r="Q760" s="172"/>
      <c r="R760" s="173"/>
      <c r="S760" s="67"/>
      <c r="T760" s="67"/>
      <c r="U760" s="67"/>
      <c r="V760" s="67"/>
      <c r="W760" s="67"/>
      <c r="X760" s="67"/>
      <c r="Y760" s="67"/>
      <c r="Z760" s="67"/>
      <c r="AA760" s="67"/>
      <c r="AB760" s="67"/>
      <c r="AC760" s="67"/>
      <c r="AD760" s="67"/>
      <c r="AE760" s="67"/>
      <c r="AF760" s="67"/>
      <c r="AG760" s="67"/>
      <c r="AH760" s="67"/>
    </row>
    <row r="761">
      <c r="A761" s="174"/>
      <c r="B761" s="175"/>
      <c r="C761" s="175"/>
      <c r="D761" s="175"/>
      <c r="E761" s="175"/>
      <c r="F761" s="175"/>
      <c r="G761" s="175"/>
      <c r="H761" s="175"/>
      <c r="I761" s="175"/>
      <c r="J761" s="175"/>
      <c r="K761" s="175"/>
      <c r="L761" s="175"/>
      <c r="M761" s="175"/>
      <c r="N761" s="175"/>
      <c r="O761" s="175"/>
      <c r="P761" s="175"/>
      <c r="Q761" s="175"/>
      <c r="R761" s="176"/>
      <c r="S761" s="67"/>
      <c r="T761" s="67"/>
      <c r="U761" s="67"/>
      <c r="V761" s="67"/>
      <c r="W761" s="67"/>
      <c r="X761" s="67"/>
      <c r="Y761" s="67"/>
      <c r="Z761" s="67"/>
      <c r="AA761" s="67"/>
      <c r="AB761" s="67"/>
      <c r="AC761" s="67"/>
      <c r="AD761" s="67"/>
      <c r="AE761" s="67"/>
      <c r="AF761" s="67"/>
      <c r="AG761" s="67"/>
      <c r="AH761" s="67"/>
    </row>
    <row r="762">
      <c r="A762" s="171"/>
      <c r="B762" s="172"/>
      <c r="C762" s="172"/>
      <c r="D762" s="172"/>
      <c r="E762" s="172"/>
      <c r="F762" s="172"/>
      <c r="G762" s="172"/>
      <c r="H762" s="172"/>
      <c r="I762" s="172"/>
      <c r="J762" s="172"/>
      <c r="K762" s="172"/>
      <c r="L762" s="172"/>
      <c r="M762" s="172"/>
      <c r="N762" s="172"/>
      <c r="O762" s="172"/>
      <c r="P762" s="172"/>
      <c r="Q762" s="172"/>
      <c r="R762" s="173"/>
      <c r="S762" s="67"/>
      <c r="T762" s="67"/>
      <c r="U762" s="67"/>
      <c r="V762" s="67"/>
      <c r="W762" s="67"/>
      <c r="X762" s="67"/>
      <c r="Y762" s="67"/>
      <c r="Z762" s="67"/>
      <c r="AA762" s="67"/>
      <c r="AB762" s="67"/>
      <c r="AC762" s="67"/>
      <c r="AD762" s="67"/>
      <c r="AE762" s="67"/>
      <c r="AF762" s="67"/>
      <c r="AG762" s="67"/>
      <c r="AH762" s="67"/>
    </row>
    <row r="763">
      <c r="A763" s="174"/>
      <c r="B763" s="175"/>
      <c r="C763" s="175"/>
      <c r="D763" s="175"/>
      <c r="E763" s="175"/>
      <c r="F763" s="175"/>
      <c r="G763" s="175"/>
      <c r="H763" s="175"/>
      <c r="I763" s="175"/>
      <c r="J763" s="175"/>
      <c r="K763" s="175"/>
      <c r="L763" s="175"/>
      <c r="M763" s="175"/>
      <c r="N763" s="175"/>
      <c r="O763" s="175"/>
      <c r="P763" s="175"/>
      <c r="Q763" s="175"/>
      <c r="R763" s="176"/>
      <c r="S763" s="67"/>
      <c r="T763" s="67"/>
      <c r="U763" s="67"/>
      <c r="V763" s="67"/>
      <c r="W763" s="67"/>
      <c r="X763" s="67"/>
      <c r="Y763" s="67"/>
      <c r="Z763" s="67"/>
      <c r="AA763" s="67"/>
      <c r="AB763" s="67"/>
      <c r="AC763" s="67"/>
      <c r="AD763" s="67"/>
      <c r="AE763" s="67"/>
      <c r="AF763" s="67"/>
      <c r="AG763" s="67"/>
      <c r="AH763" s="67"/>
    </row>
    <row r="764">
      <c r="A764" s="171"/>
      <c r="B764" s="172"/>
      <c r="C764" s="172"/>
      <c r="D764" s="172"/>
      <c r="E764" s="172"/>
      <c r="F764" s="172"/>
      <c r="G764" s="172"/>
      <c r="H764" s="172"/>
      <c r="I764" s="172"/>
      <c r="J764" s="172"/>
      <c r="K764" s="172"/>
      <c r="L764" s="172"/>
      <c r="M764" s="172"/>
      <c r="N764" s="172"/>
      <c r="O764" s="172"/>
      <c r="P764" s="172"/>
      <c r="Q764" s="172"/>
      <c r="R764" s="173"/>
      <c r="S764" s="67"/>
      <c r="T764" s="67"/>
      <c r="U764" s="67"/>
      <c r="V764" s="67"/>
      <c r="W764" s="67"/>
      <c r="X764" s="67"/>
      <c r="Y764" s="67"/>
      <c r="Z764" s="67"/>
      <c r="AA764" s="67"/>
      <c r="AB764" s="67"/>
      <c r="AC764" s="67"/>
      <c r="AD764" s="67"/>
      <c r="AE764" s="67"/>
      <c r="AF764" s="67"/>
      <c r="AG764" s="67"/>
      <c r="AH764" s="67"/>
    </row>
    <row r="765">
      <c r="A765" s="174"/>
      <c r="B765" s="175"/>
      <c r="C765" s="175"/>
      <c r="D765" s="175"/>
      <c r="E765" s="175"/>
      <c r="F765" s="175"/>
      <c r="G765" s="175"/>
      <c r="H765" s="175"/>
      <c r="I765" s="175"/>
      <c r="J765" s="175"/>
      <c r="K765" s="175"/>
      <c r="L765" s="175"/>
      <c r="M765" s="175"/>
      <c r="N765" s="175"/>
      <c r="O765" s="175"/>
      <c r="P765" s="175"/>
      <c r="Q765" s="175"/>
      <c r="R765" s="176"/>
      <c r="S765" s="67"/>
      <c r="T765" s="67"/>
      <c r="U765" s="67"/>
      <c r="V765" s="67"/>
      <c r="W765" s="67"/>
      <c r="X765" s="67"/>
      <c r="Y765" s="67"/>
      <c r="Z765" s="67"/>
      <c r="AA765" s="67"/>
      <c r="AB765" s="67"/>
      <c r="AC765" s="67"/>
      <c r="AD765" s="67"/>
      <c r="AE765" s="67"/>
      <c r="AF765" s="67"/>
      <c r="AG765" s="67"/>
      <c r="AH765" s="67"/>
    </row>
    <row r="766">
      <c r="A766" s="171"/>
      <c r="B766" s="172"/>
      <c r="C766" s="172"/>
      <c r="D766" s="172"/>
      <c r="E766" s="172"/>
      <c r="F766" s="172"/>
      <c r="G766" s="172"/>
      <c r="H766" s="172"/>
      <c r="I766" s="172"/>
      <c r="J766" s="172"/>
      <c r="K766" s="172"/>
      <c r="L766" s="172"/>
      <c r="M766" s="172"/>
      <c r="N766" s="172"/>
      <c r="O766" s="172"/>
      <c r="P766" s="172"/>
      <c r="Q766" s="172"/>
      <c r="R766" s="173"/>
      <c r="S766" s="67"/>
      <c r="T766" s="67"/>
      <c r="U766" s="67"/>
      <c r="V766" s="67"/>
      <c r="W766" s="67"/>
      <c r="X766" s="67"/>
      <c r="Y766" s="67"/>
      <c r="Z766" s="67"/>
      <c r="AA766" s="67"/>
      <c r="AB766" s="67"/>
      <c r="AC766" s="67"/>
      <c r="AD766" s="67"/>
      <c r="AE766" s="67"/>
      <c r="AF766" s="67"/>
      <c r="AG766" s="67"/>
      <c r="AH766" s="67"/>
    </row>
    <row r="767">
      <c r="A767" s="174"/>
      <c r="B767" s="175"/>
      <c r="C767" s="175"/>
      <c r="D767" s="175"/>
      <c r="E767" s="175"/>
      <c r="F767" s="175"/>
      <c r="G767" s="175"/>
      <c r="H767" s="175"/>
      <c r="I767" s="175"/>
      <c r="J767" s="175"/>
      <c r="K767" s="175"/>
      <c r="L767" s="175"/>
      <c r="M767" s="175"/>
      <c r="N767" s="175"/>
      <c r="O767" s="175"/>
      <c r="P767" s="175"/>
      <c r="Q767" s="175"/>
      <c r="R767" s="176"/>
      <c r="S767" s="67"/>
      <c r="T767" s="67"/>
      <c r="U767" s="67"/>
      <c r="V767" s="67"/>
      <c r="W767" s="67"/>
      <c r="X767" s="67"/>
      <c r="Y767" s="67"/>
      <c r="Z767" s="67"/>
      <c r="AA767" s="67"/>
      <c r="AB767" s="67"/>
      <c r="AC767" s="67"/>
      <c r="AD767" s="67"/>
      <c r="AE767" s="67"/>
      <c r="AF767" s="67"/>
      <c r="AG767" s="67"/>
      <c r="AH767" s="67"/>
    </row>
    <row r="768">
      <c r="A768" s="171"/>
      <c r="B768" s="172"/>
      <c r="C768" s="172"/>
      <c r="D768" s="172"/>
      <c r="E768" s="172"/>
      <c r="F768" s="172"/>
      <c r="G768" s="172"/>
      <c r="H768" s="172"/>
      <c r="I768" s="172"/>
      <c r="J768" s="172"/>
      <c r="K768" s="172"/>
      <c r="L768" s="172"/>
      <c r="M768" s="172"/>
      <c r="N768" s="172"/>
      <c r="O768" s="172"/>
      <c r="P768" s="172"/>
      <c r="Q768" s="172"/>
      <c r="R768" s="173"/>
      <c r="S768" s="67"/>
      <c r="T768" s="67"/>
      <c r="U768" s="67"/>
      <c r="V768" s="67"/>
      <c r="W768" s="67"/>
      <c r="X768" s="67"/>
      <c r="Y768" s="67"/>
      <c r="Z768" s="67"/>
      <c r="AA768" s="67"/>
      <c r="AB768" s="67"/>
      <c r="AC768" s="67"/>
      <c r="AD768" s="67"/>
      <c r="AE768" s="67"/>
      <c r="AF768" s="67"/>
      <c r="AG768" s="67"/>
      <c r="AH768" s="67"/>
    </row>
    <row r="769">
      <c r="A769" s="174"/>
      <c r="B769" s="175"/>
      <c r="C769" s="175"/>
      <c r="D769" s="175"/>
      <c r="E769" s="175"/>
      <c r="F769" s="175"/>
      <c r="G769" s="175"/>
      <c r="H769" s="175"/>
      <c r="I769" s="175"/>
      <c r="J769" s="175"/>
      <c r="K769" s="175"/>
      <c r="L769" s="175"/>
      <c r="M769" s="175"/>
      <c r="N769" s="175"/>
      <c r="O769" s="175"/>
      <c r="P769" s="175"/>
      <c r="Q769" s="175"/>
      <c r="R769" s="176"/>
      <c r="S769" s="67"/>
      <c r="T769" s="67"/>
      <c r="U769" s="67"/>
      <c r="V769" s="67"/>
      <c r="W769" s="67"/>
      <c r="X769" s="67"/>
      <c r="Y769" s="67"/>
      <c r="Z769" s="67"/>
      <c r="AA769" s="67"/>
      <c r="AB769" s="67"/>
      <c r="AC769" s="67"/>
      <c r="AD769" s="67"/>
      <c r="AE769" s="67"/>
      <c r="AF769" s="67"/>
      <c r="AG769" s="67"/>
      <c r="AH769" s="67"/>
    </row>
    <row r="770">
      <c r="A770" s="171"/>
      <c r="B770" s="172"/>
      <c r="C770" s="172"/>
      <c r="D770" s="172"/>
      <c r="E770" s="172"/>
      <c r="F770" s="172"/>
      <c r="G770" s="172"/>
      <c r="H770" s="172"/>
      <c r="I770" s="172"/>
      <c r="J770" s="172"/>
      <c r="K770" s="172"/>
      <c r="L770" s="172"/>
      <c r="M770" s="172"/>
      <c r="N770" s="172"/>
      <c r="O770" s="172"/>
      <c r="P770" s="172"/>
      <c r="Q770" s="172"/>
      <c r="R770" s="173"/>
      <c r="S770" s="67"/>
      <c r="T770" s="67"/>
      <c r="U770" s="67"/>
      <c r="V770" s="67"/>
      <c r="W770" s="67"/>
      <c r="X770" s="67"/>
      <c r="Y770" s="67"/>
      <c r="Z770" s="67"/>
      <c r="AA770" s="67"/>
      <c r="AB770" s="67"/>
      <c r="AC770" s="67"/>
      <c r="AD770" s="67"/>
      <c r="AE770" s="67"/>
      <c r="AF770" s="67"/>
      <c r="AG770" s="67"/>
      <c r="AH770" s="67"/>
    </row>
    <row r="771">
      <c r="A771" s="174"/>
      <c r="B771" s="175"/>
      <c r="C771" s="175"/>
      <c r="D771" s="175"/>
      <c r="E771" s="175"/>
      <c r="F771" s="175"/>
      <c r="G771" s="175"/>
      <c r="H771" s="175"/>
      <c r="I771" s="175"/>
      <c r="J771" s="175"/>
      <c r="K771" s="175"/>
      <c r="L771" s="175"/>
      <c r="M771" s="175"/>
      <c r="N771" s="175"/>
      <c r="O771" s="175"/>
      <c r="P771" s="175"/>
      <c r="Q771" s="175"/>
      <c r="R771" s="176"/>
      <c r="S771" s="67"/>
      <c r="T771" s="67"/>
      <c r="U771" s="67"/>
      <c r="V771" s="67"/>
      <c r="W771" s="67"/>
      <c r="X771" s="67"/>
      <c r="Y771" s="67"/>
      <c r="Z771" s="67"/>
      <c r="AA771" s="67"/>
      <c r="AB771" s="67"/>
      <c r="AC771" s="67"/>
      <c r="AD771" s="67"/>
      <c r="AE771" s="67"/>
      <c r="AF771" s="67"/>
      <c r="AG771" s="67"/>
      <c r="AH771" s="67"/>
    </row>
    <row r="772">
      <c r="A772" s="171"/>
      <c r="B772" s="172"/>
      <c r="C772" s="172"/>
      <c r="D772" s="172"/>
      <c r="E772" s="172"/>
      <c r="F772" s="172"/>
      <c r="G772" s="172"/>
      <c r="H772" s="172"/>
      <c r="I772" s="172"/>
      <c r="J772" s="172"/>
      <c r="K772" s="172"/>
      <c r="L772" s="172"/>
      <c r="M772" s="172"/>
      <c r="N772" s="172"/>
      <c r="O772" s="172"/>
      <c r="P772" s="172"/>
      <c r="Q772" s="172"/>
      <c r="R772" s="173"/>
      <c r="S772" s="67"/>
      <c r="T772" s="67"/>
      <c r="U772" s="67"/>
      <c r="V772" s="67"/>
      <c r="W772" s="67"/>
      <c r="X772" s="67"/>
      <c r="Y772" s="67"/>
      <c r="Z772" s="67"/>
      <c r="AA772" s="67"/>
      <c r="AB772" s="67"/>
      <c r="AC772" s="67"/>
      <c r="AD772" s="67"/>
      <c r="AE772" s="67"/>
      <c r="AF772" s="67"/>
      <c r="AG772" s="67"/>
      <c r="AH772" s="67"/>
    </row>
    <row r="773">
      <c r="A773" s="174"/>
      <c r="B773" s="175"/>
      <c r="C773" s="175"/>
      <c r="D773" s="175"/>
      <c r="E773" s="175"/>
      <c r="F773" s="175"/>
      <c r="G773" s="175"/>
      <c r="H773" s="175"/>
      <c r="I773" s="175"/>
      <c r="J773" s="175"/>
      <c r="K773" s="175"/>
      <c r="L773" s="175"/>
      <c r="M773" s="175"/>
      <c r="N773" s="175"/>
      <c r="O773" s="175"/>
      <c r="P773" s="175"/>
      <c r="Q773" s="175"/>
      <c r="R773" s="176"/>
      <c r="S773" s="67"/>
      <c r="T773" s="67"/>
      <c r="U773" s="67"/>
      <c r="V773" s="67"/>
      <c r="W773" s="67"/>
      <c r="X773" s="67"/>
      <c r="Y773" s="67"/>
      <c r="Z773" s="67"/>
      <c r="AA773" s="67"/>
      <c r="AB773" s="67"/>
      <c r="AC773" s="67"/>
      <c r="AD773" s="67"/>
      <c r="AE773" s="67"/>
      <c r="AF773" s="67"/>
      <c r="AG773" s="67"/>
      <c r="AH773" s="67"/>
    </row>
    <row r="774">
      <c r="A774" s="171"/>
      <c r="B774" s="172"/>
      <c r="C774" s="172"/>
      <c r="D774" s="172"/>
      <c r="E774" s="172"/>
      <c r="F774" s="172"/>
      <c r="G774" s="172"/>
      <c r="H774" s="172"/>
      <c r="I774" s="172"/>
      <c r="J774" s="172"/>
      <c r="K774" s="172"/>
      <c r="L774" s="172"/>
      <c r="M774" s="172"/>
      <c r="N774" s="172"/>
      <c r="O774" s="172"/>
      <c r="P774" s="172"/>
      <c r="Q774" s="172"/>
      <c r="R774" s="173"/>
      <c r="S774" s="67"/>
      <c r="T774" s="67"/>
      <c r="U774" s="67"/>
      <c r="V774" s="67"/>
      <c r="W774" s="67"/>
      <c r="X774" s="67"/>
      <c r="Y774" s="67"/>
      <c r="Z774" s="67"/>
      <c r="AA774" s="67"/>
      <c r="AB774" s="67"/>
      <c r="AC774" s="67"/>
      <c r="AD774" s="67"/>
      <c r="AE774" s="67"/>
      <c r="AF774" s="67"/>
      <c r="AG774" s="67"/>
      <c r="AH774" s="67"/>
    </row>
    <row r="775">
      <c r="A775" s="174"/>
      <c r="B775" s="175"/>
      <c r="C775" s="175"/>
      <c r="D775" s="175"/>
      <c r="E775" s="175"/>
      <c r="F775" s="175"/>
      <c r="G775" s="175"/>
      <c r="H775" s="175"/>
      <c r="I775" s="175"/>
      <c r="J775" s="175"/>
      <c r="K775" s="175"/>
      <c r="L775" s="175"/>
      <c r="M775" s="175"/>
      <c r="N775" s="175"/>
      <c r="O775" s="175"/>
      <c r="P775" s="175"/>
      <c r="Q775" s="175"/>
      <c r="R775" s="176"/>
      <c r="S775" s="67"/>
      <c r="T775" s="67"/>
      <c r="U775" s="67"/>
      <c r="V775" s="67"/>
      <c r="W775" s="67"/>
      <c r="X775" s="67"/>
      <c r="Y775" s="67"/>
      <c r="Z775" s="67"/>
      <c r="AA775" s="67"/>
      <c r="AB775" s="67"/>
      <c r="AC775" s="67"/>
      <c r="AD775" s="67"/>
      <c r="AE775" s="67"/>
      <c r="AF775" s="67"/>
      <c r="AG775" s="67"/>
      <c r="AH775" s="67"/>
    </row>
    <row r="776">
      <c r="A776" s="171"/>
      <c r="B776" s="172"/>
      <c r="C776" s="172"/>
      <c r="D776" s="172"/>
      <c r="E776" s="172"/>
      <c r="F776" s="172"/>
      <c r="G776" s="172"/>
      <c r="H776" s="172"/>
      <c r="I776" s="172"/>
      <c r="J776" s="172"/>
      <c r="K776" s="172"/>
      <c r="L776" s="172"/>
      <c r="M776" s="172"/>
      <c r="N776" s="172"/>
      <c r="O776" s="172"/>
      <c r="P776" s="172"/>
      <c r="Q776" s="172"/>
      <c r="R776" s="173"/>
      <c r="S776" s="67"/>
      <c r="T776" s="67"/>
      <c r="U776" s="67"/>
      <c r="V776" s="67"/>
      <c r="W776" s="67"/>
      <c r="X776" s="67"/>
      <c r="Y776" s="67"/>
      <c r="Z776" s="67"/>
      <c r="AA776" s="67"/>
      <c r="AB776" s="67"/>
      <c r="AC776" s="67"/>
      <c r="AD776" s="67"/>
      <c r="AE776" s="67"/>
      <c r="AF776" s="67"/>
      <c r="AG776" s="67"/>
      <c r="AH776" s="67"/>
    </row>
    <row r="777">
      <c r="A777" s="174"/>
      <c r="B777" s="175"/>
      <c r="C777" s="175"/>
      <c r="D777" s="175"/>
      <c r="E777" s="175"/>
      <c r="F777" s="175"/>
      <c r="G777" s="175"/>
      <c r="H777" s="175"/>
      <c r="I777" s="175"/>
      <c r="J777" s="175"/>
      <c r="K777" s="175"/>
      <c r="L777" s="175"/>
      <c r="M777" s="175"/>
      <c r="N777" s="175"/>
      <c r="O777" s="175"/>
      <c r="P777" s="175"/>
      <c r="Q777" s="175"/>
      <c r="R777" s="176"/>
      <c r="S777" s="67"/>
      <c r="T777" s="67"/>
      <c r="U777" s="67"/>
      <c r="V777" s="67"/>
      <c r="W777" s="67"/>
      <c r="X777" s="67"/>
      <c r="Y777" s="67"/>
      <c r="Z777" s="67"/>
      <c r="AA777" s="67"/>
      <c r="AB777" s="67"/>
      <c r="AC777" s="67"/>
      <c r="AD777" s="67"/>
      <c r="AE777" s="67"/>
      <c r="AF777" s="67"/>
      <c r="AG777" s="67"/>
      <c r="AH777" s="67"/>
    </row>
    <row r="778">
      <c r="A778" s="171"/>
      <c r="B778" s="172"/>
      <c r="C778" s="172"/>
      <c r="D778" s="172"/>
      <c r="E778" s="172"/>
      <c r="F778" s="172"/>
      <c r="G778" s="172"/>
      <c r="H778" s="172"/>
      <c r="I778" s="172"/>
      <c r="J778" s="172"/>
      <c r="K778" s="172"/>
      <c r="L778" s="172"/>
      <c r="M778" s="172"/>
      <c r="N778" s="172"/>
      <c r="O778" s="172"/>
      <c r="P778" s="172"/>
      <c r="Q778" s="172"/>
      <c r="R778" s="173"/>
      <c r="S778" s="67"/>
      <c r="T778" s="67"/>
      <c r="U778" s="67"/>
      <c r="V778" s="67"/>
      <c r="W778" s="67"/>
      <c r="X778" s="67"/>
      <c r="Y778" s="67"/>
      <c r="Z778" s="67"/>
      <c r="AA778" s="67"/>
      <c r="AB778" s="67"/>
      <c r="AC778" s="67"/>
      <c r="AD778" s="67"/>
      <c r="AE778" s="67"/>
      <c r="AF778" s="67"/>
      <c r="AG778" s="67"/>
      <c r="AH778" s="67"/>
    </row>
    <row r="779">
      <c r="A779" s="174"/>
      <c r="B779" s="175"/>
      <c r="C779" s="175"/>
      <c r="D779" s="175"/>
      <c r="E779" s="175"/>
      <c r="F779" s="175"/>
      <c r="G779" s="175"/>
      <c r="H779" s="175"/>
      <c r="I779" s="175"/>
      <c r="J779" s="175"/>
      <c r="K779" s="175"/>
      <c r="L779" s="175"/>
      <c r="M779" s="175"/>
      <c r="N779" s="175"/>
      <c r="O779" s="175"/>
      <c r="P779" s="175"/>
      <c r="Q779" s="175"/>
      <c r="R779" s="176"/>
      <c r="S779" s="67"/>
      <c r="T779" s="67"/>
      <c r="U779" s="67"/>
      <c r="V779" s="67"/>
      <c r="W779" s="67"/>
      <c r="X779" s="67"/>
      <c r="Y779" s="67"/>
      <c r="Z779" s="67"/>
      <c r="AA779" s="67"/>
      <c r="AB779" s="67"/>
      <c r="AC779" s="67"/>
      <c r="AD779" s="67"/>
      <c r="AE779" s="67"/>
      <c r="AF779" s="67"/>
      <c r="AG779" s="67"/>
      <c r="AH779" s="67"/>
    </row>
    <row r="780">
      <c r="A780" s="171"/>
      <c r="B780" s="172"/>
      <c r="C780" s="172"/>
      <c r="D780" s="172"/>
      <c r="E780" s="172"/>
      <c r="F780" s="172"/>
      <c r="G780" s="172"/>
      <c r="H780" s="172"/>
      <c r="I780" s="172"/>
      <c r="J780" s="172"/>
      <c r="K780" s="172"/>
      <c r="L780" s="172"/>
      <c r="M780" s="172"/>
      <c r="N780" s="172"/>
      <c r="O780" s="172"/>
      <c r="P780" s="172"/>
      <c r="Q780" s="172"/>
      <c r="R780" s="173"/>
      <c r="S780" s="67"/>
      <c r="T780" s="67"/>
      <c r="U780" s="67"/>
      <c r="V780" s="67"/>
      <c r="W780" s="67"/>
      <c r="X780" s="67"/>
      <c r="Y780" s="67"/>
      <c r="Z780" s="67"/>
      <c r="AA780" s="67"/>
      <c r="AB780" s="67"/>
      <c r="AC780" s="67"/>
      <c r="AD780" s="67"/>
      <c r="AE780" s="67"/>
      <c r="AF780" s="67"/>
      <c r="AG780" s="67"/>
      <c r="AH780" s="67"/>
    </row>
    <row r="781">
      <c r="A781" s="174"/>
      <c r="B781" s="175"/>
      <c r="C781" s="175"/>
      <c r="D781" s="175"/>
      <c r="E781" s="175"/>
      <c r="F781" s="175"/>
      <c r="G781" s="175"/>
      <c r="H781" s="175"/>
      <c r="I781" s="175"/>
      <c r="J781" s="175"/>
      <c r="K781" s="175"/>
      <c r="L781" s="175"/>
      <c r="M781" s="175"/>
      <c r="N781" s="175"/>
      <c r="O781" s="175"/>
      <c r="P781" s="175"/>
      <c r="Q781" s="175"/>
      <c r="R781" s="176"/>
      <c r="S781" s="67"/>
      <c r="T781" s="67"/>
      <c r="U781" s="67"/>
      <c r="V781" s="67"/>
      <c r="W781" s="67"/>
      <c r="X781" s="67"/>
      <c r="Y781" s="67"/>
      <c r="Z781" s="67"/>
      <c r="AA781" s="67"/>
      <c r="AB781" s="67"/>
      <c r="AC781" s="67"/>
      <c r="AD781" s="67"/>
      <c r="AE781" s="67"/>
      <c r="AF781" s="67"/>
      <c r="AG781" s="67"/>
      <c r="AH781" s="67"/>
    </row>
    <row r="782">
      <c r="A782" s="171"/>
      <c r="B782" s="172"/>
      <c r="C782" s="172"/>
      <c r="D782" s="172"/>
      <c r="E782" s="172"/>
      <c r="F782" s="172"/>
      <c r="G782" s="172"/>
      <c r="H782" s="172"/>
      <c r="I782" s="172"/>
      <c r="J782" s="172"/>
      <c r="K782" s="172"/>
      <c r="L782" s="172"/>
      <c r="M782" s="172"/>
      <c r="N782" s="172"/>
      <c r="O782" s="172"/>
      <c r="P782" s="172"/>
      <c r="Q782" s="172"/>
      <c r="R782" s="173"/>
      <c r="S782" s="67"/>
      <c r="T782" s="67"/>
      <c r="U782" s="67"/>
      <c r="V782" s="67"/>
      <c r="W782" s="67"/>
      <c r="X782" s="67"/>
      <c r="Y782" s="67"/>
      <c r="Z782" s="67"/>
      <c r="AA782" s="67"/>
      <c r="AB782" s="67"/>
      <c r="AC782" s="67"/>
      <c r="AD782" s="67"/>
      <c r="AE782" s="67"/>
      <c r="AF782" s="67"/>
      <c r="AG782" s="67"/>
      <c r="AH782" s="67"/>
    </row>
    <row r="783">
      <c r="A783" s="174"/>
      <c r="B783" s="175"/>
      <c r="C783" s="175"/>
      <c r="D783" s="175"/>
      <c r="E783" s="175"/>
      <c r="F783" s="175"/>
      <c r="G783" s="175"/>
      <c r="H783" s="175"/>
      <c r="I783" s="175"/>
      <c r="J783" s="175"/>
      <c r="K783" s="175"/>
      <c r="L783" s="175"/>
      <c r="M783" s="175"/>
      <c r="N783" s="175"/>
      <c r="O783" s="175"/>
      <c r="P783" s="175"/>
      <c r="Q783" s="175"/>
      <c r="R783" s="176"/>
      <c r="S783" s="67"/>
      <c r="T783" s="67"/>
      <c r="U783" s="67"/>
      <c r="V783" s="67"/>
      <c r="W783" s="67"/>
      <c r="X783" s="67"/>
      <c r="Y783" s="67"/>
      <c r="Z783" s="67"/>
      <c r="AA783" s="67"/>
      <c r="AB783" s="67"/>
      <c r="AC783" s="67"/>
      <c r="AD783" s="67"/>
      <c r="AE783" s="67"/>
      <c r="AF783" s="67"/>
      <c r="AG783" s="67"/>
      <c r="AH783" s="67"/>
    </row>
    <row r="784">
      <c r="A784" s="171"/>
      <c r="B784" s="172"/>
      <c r="C784" s="172"/>
      <c r="D784" s="172"/>
      <c r="E784" s="172"/>
      <c r="F784" s="172"/>
      <c r="G784" s="172"/>
      <c r="H784" s="172"/>
      <c r="I784" s="172"/>
      <c r="J784" s="172"/>
      <c r="K784" s="172"/>
      <c r="L784" s="172"/>
      <c r="M784" s="172"/>
      <c r="N784" s="172"/>
      <c r="O784" s="172"/>
      <c r="P784" s="172"/>
      <c r="Q784" s="172"/>
      <c r="R784" s="173"/>
      <c r="S784" s="67"/>
      <c r="T784" s="67"/>
      <c r="U784" s="67"/>
      <c r="V784" s="67"/>
      <c r="W784" s="67"/>
      <c r="X784" s="67"/>
      <c r="Y784" s="67"/>
      <c r="Z784" s="67"/>
      <c r="AA784" s="67"/>
      <c r="AB784" s="67"/>
      <c r="AC784" s="67"/>
      <c r="AD784" s="67"/>
      <c r="AE784" s="67"/>
      <c r="AF784" s="67"/>
      <c r="AG784" s="67"/>
      <c r="AH784" s="67"/>
    </row>
    <row r="785">
      <c r="A785" s="174"/>
      <c r="B785" s="175"/>
      <c r="C785" s="175"/>
      <c r="D785" s="175"/>
      <c r="E785" s="175"/>
      <c r="F785" s="175"/>
      <c r="G785" s="175"/>
      <c r="H785" s="175"/>
      <c r="I785" s="175"/>
      <c r="J785" s="175"/>
      <c r="K785" s="175"/>
      <c r="L785" s="175"/>
      <c r="M785" s="175"/>
      <c r="N785" s="175"/>
      <c r="O785" s="175"/>
      <c r="P785" s="175"/>
      <c r="Q785" s="175"/>
      <c r="R785" s="176"/>
      <c r="S785" s="67"/>
      <c r="T785" s="67"/>
      <c r="U785" s="67"/>
      <c r="V785" s="67"/>
      <c r="W785" s="67"/>
      <c r="X785" s="67"/>
      <c r="Y785" s="67"/>
      <c r="Z785" s="67"/>
      <c r="AA785" s="67"/>
      <c r="AB785" s="67"/>
      <c r="AC785" s="67"/>
      <c r="AD785" s="67"/>
      <c r="AE785" s="67"/>
      <c r="AF785" s="67"/>
      <c r="AG785" s="67"/>
      <c r="AH785" s="67"/>
    </row>
    <row r="786">
      <c r="A786" s="171"/>
      <c r="B786" s="172"/>
      <c r="C786" s="172"/>
      <c r="D786" s="172"/>
      <c r="E786" s="172"/>
      <c r="F786" s="172"/>
      <c r="G786" s="172"/>
      <c r="H786" s="172"/>
      <c r="I786" s="172"/>
      <c r="J786" s="172"/>
      <c r="K786" s="172"/>
      <c r="L786" s="172"/>
      <c r="M786" s="172"/>
      <c r="N786" s="172"/>
      <c r="O786" s="172"/>
      <c r="P786" s="172"/>
      <c r="Q786" s="172"/>
      <c r="R786" s="173"/>
      <c r="S786" s="67"/>
      <c r="T786" s="67"/>
      <c r="U786" s="67"/>
      <c r="V786" s="67"/>
      <c r="W786" s="67"/>
      <c r="X786" s="67"/>
      <c r="Y786" s="67"/>
      <c r="Z786" s="67"/>
      <c r="AA786" s="67"/>
      <c r="AB786" s="67"/>
      <c r="AC786" s="67"/>
      <c r="AD786" s="67"/>
      <c r="AE786" s="67"/>
      <c r="AF786" s="67"/>
      <c r="AG786" s="67"/>
      <c r="AH786" s="67"/>
    </row>
    <row r="787">
      <c r="A787" s="174"/>
      <c r="B787" s="175"/>
      <c r="C787" s="175"/>
      <c r="D787" s="175"/>
      <c r="E787" s="175"/>
      <c r="F787" s="175"/>
      <c r="G787" s="175"/>
      <c r="H787" s="175"/>
      <c r="I787" s="175"/>
      <c r="J787" s="175"/>
      <c r="K787" s="175"/>
      <c r="L787" s="175"/>
      <c r="M787" s="175"/>
      <c r="N787" s="175"/>
      <c r="O787" s="175"/>
      <c r="P787" s="175"/>
      <c r="Q787" s="175"/>
      <c r="R787" s="176"/>
      <c r="S787" s="67"/>
      <c r="T787" s="67"/>
      <c r="U787" s="67"/>
      <c r="V787" s="67"/>
      <c r="W787" s="67"/>
      <c r="X787" s="67"/>
      <c r="Y787" s="67"/>
      <c r="Z787" s="67"/>
      <c r="AA787" s="67"/>
      <c r="AB787" s="67"/>
      <c r="AC787" s="67"/>
      <c r="AD787" s="67"/>
      <c r="AE787" s="67"/>
      <c r="AF787" s="67"/>
      <c r="AG787" s="67"/>
      <c r="AH787" s="67"/>
    </row>
    <row r="788">
      <c r="A788" s="171"/>
      <c r="B788" s="172"/>
      <c r="C788" s="172"/>
      <c r="D788" s="172"/>
      <c r="E788" s="172"/>
      <c r="F788" s="172"/>
      <c r="G788" s="172"/>
      <c r="H788" s="172"/>
      <c r="I788" s="172"/>
      <c r="J788" s="172"/>
      <c r="K788" s="172"/>
      <c r="L788" s="172"/>
      <c r="M788" s="172"/>
      <c r="N788" s="172"/>
      <c r="O788" s="172"/>
      <c r="P788" s="172"/>
      <c r="Q788" s="172"/>
      <c r="R788" s="173"/>
      <c r="S788" s="67"/>
      <c r="T788" s="67"/>
      <c r="U788" s="67"/>
      <c r="V788" s="67"/>
      <c r="W788" s="67"/>
      <c r="X788" s="67"/>
      <c r="Y788" s="67"/>
      <c r="Z788" s="67"/>
      <c r="AA788" s="67"/>
      <c r="AB788" s="67"/>
      <c r="AC788" s="67"/>
      <c r="AD788" s="67"/>
      <c r="AE788" s="67"/>
      <c r="AF788" s="67"/>
      <c r="AG788" s="67"/>
      <c r="AH788" s="67"/>
    </row>
    <row r="789">
      <c r="A789" s="174"/>
      <c r="B789" s="175"/>
      <c r="C789" s="175"/>
      <c r="D789" s="175"/>
      <c r="E789" s="175"/>
      <c r="F789" s="175"/>
      <c r="G789" s="175"/>
      <c r="H789" s="175"/>
      <c r="I789" s="175"/>
      <c r="J789" s="175"/>
      <c r="K789" s="175"/>
      <c r="L789" s="175"/>
      <c r="M789" s="175"/>
      <c r="N789" s="175"/>
      <c r="O789" s="175"/>
      <c r="P789" s="175"/>
      <c r="Q789" s="175"/>
      <c r="R789" s="176"/>
      <c r="S789" s="67"/>
      <c r="T789" s="67"/>
      <c r="U789" s="67"/>
      <c r="V789" s="67"/>
      <c r="W789" s="67"/>
      <c r="X789" s="67"/>
      <c r="Y789" s="67"/>
      <c r="Z789" s="67"/>
      <c r="AA789" s="67"/>
      <c r="AB789" s="67"/>
      <c r="AC789" s="67"/>
      <c r="AD789" s="67"/>
      <c r="AE789" s="67"/>
      <c r="AF789" s="67"/>
      <c r="AG789" s="67"/>
      <c r="AH789" s="67"/>
    </row>
    <row r="790">
      <c r="A790" s="171"/>
      <c r="B790" s="172"/>
      <c r="C790" s="172"/>
      <c r="D790" s="172"/>
      <c r="E790" s="172"/>
      <c r="F790" s="172"/>
      <c r="G790" s="172"/>
      <c r="H790" s="172"/>
      <c r="I790" s="172"/>
      <c r="J790" s="172"/>
      <c r="K790" s="172"/>
      <c r="L790" s="172"/>
      <c r="M790" s="172"/>
      <c r="N790" s="172"/>
      <c r="O790" s="172"/>
      <c r="P790" s="172"/>
      <c r="Q790" s="172"/>
      <c r="R790" s="173"/>
      <c r="S790" s="67"/>
      <c r="T790" s="67"/>
      <c r="U790" s="67"/>
      <c r="V790" s="67"/>
      <c r="W790" s="67"/>
      <c r="X790" s="67"/>
      <c r="Y790" s="67"/>
      <c r="Z790" s="67"/>
      <c r="AA790" s="67"/>
      <c r="AB790" s="67"/>
      <c r="AC790" s="67"/>
      <c r="AD790" s="67"/>
      <c r="AE790" s="67"/>
      <c r="AF790" s="67"/>
      <c r="AG790" s="67"/>
      <c r="AH790" s="67"/>
    </row>
    <row r="791">
      <c r="A791" s="174"/>
      <c r="B791" s="175"/>
      <c r="C791" s="175"/>
      <c r="D791" s="175"/>
      <c r="E791" s="175"/>
      <c r="F791" s="175"/>
      <c r="G791" s="175"/>
      <c r="H791" s="175"/>
      <c r="I791" s="175"/>
      <c r="J791" s="175"/>
      <c r="K791" s="175"/>
      <c r="L791" s="175"/>
      <c r="M791" s="175"/>
      <c r="N791" s="175"/>
      <c r="O791" s="175"/>
      <c r="P791" s="175"/>
      <c r="Q791" s="175"/>
      <c r="R791" s="176"/>
      <c r="S791" s="67"/>
      <c r="T791" s="67"/>
      <c r="U791" s="67"/>
      <c r="V791" s="67"/>
      <c r="W791" s="67"/>
      <c r="X791" s="67"/>
      <c r="Y791" s="67"/>
      <c r="Z791" s="67"/>
      <c r="AA791" s="67"/>
      <c r="AB791" s="67"/>
      <c r="AC791" s="67"/>
      <c r="AD791" s="67"/>
      <c r="AE791" s="67"/>
      <c r="AF791" s="67"/>
      <c r="AG791" s="67"/>
      <c r="AH791" s="67"/>
    </row>
    <row r="792">
      <c r="A792" s="171"/>
      <c r="B792" s="172"/>
      <c r="C792" s="172"/>
      <c r="D792" s="172"/>
      <c r="E792" s="172"/>
      <c r="F792" s="172"/>
      <c r="G792" s="172"/>
      <c r="H792" s="172"/>
      <c r="I792" s="172"/>
      <c r="J792" s="172"/>
      <c r="K792" s="172"/>
      <c r="L792" s="172"/>
      <c r="M792" s="172"/>
      <c r="N792" s="172"/>
      <c r="O792" s="172"/>
      <c r="P792" s="172"/>
      <c r="Q792" s="172"/>
      <c r="R792" s="173"/>
      <c r="S792" s="67"/>
      <c r="T792" s="67"/>
      <c r="U792" s="67"/>
      <c r="V792" s="67"/>
      <c r="W792" s="67"/>
      <c r="X792" s="67"/>
      <c r="Y792" s="67"/>
      <c r="Z792" s="67"/>
      <c r="AA792" s="67"/>
      <c r="AB792" s="67"/>
      <c r="AC792" s="67"/>
      <c r="AD792" s="67"/>
      <c r="AE792" s="67"/>
      <c r="AF792" s="67"/>
      <c r="AG792" s="67"/>
      <c r="AH792" s="67"/>
    </row>
    <row r="793">
      <c r="A793" s="174"/>
      <c r="B793" s="175"/>
      <c r="C793" s="175"/>
      <c r="D793" s="175"/>
      <c r="E793" s="175"/>
      <c r="F793" s="175"/>
      <c r="G793" s="175"/>
      <c r="H793" s="175"/>
      <c r="I793" s="175"/>
      <c r="J793" s="175"/>
      <c r="K793" s="175"/>
      <c r="L793" s="175"/>
      <c r="M793" s="175"/>
      <c r="N793" s="175"/>
      <c r="O793" s="175"/>
      <c r="P793" s="175"/>
      <c r="Q793" s="175"/>
      <c r="R793" s="176"/>
      <c r="S793" s="67"/>
      <c r="T793" s="67"/>
      <c r="U793" s="67"/>
      <c r="V793" s="67"/>
      <c r="W793" s="67"/>
      <c r="X793" s="67"/>
      <c r="Y793" s="67"/>
      <c r="Z793" s="67"/>
      <c r="AA793" s="67"/>
      <c r="AB793" s="67"/>
      <c r="AC793" s="67"/>
      <c r="AD793" s="67"/>
      <c r="AE793" s="67"/>
      <c r="AF793" s="67"/>
      <c r="AG793" s="67"/>
      <c r="AH793" s="67"/>
    </row>
    <row r="794">
      <c r="A794" s="171"/>
      <c r="B794" s="172"/>
      <c r="C794" s="172"/>
      <c r="D794" s="172"/>
      <c r="E794" s="172"/>
      <c r="F794" s="172"/>
      <c r="G794" s="172"/>
      <c r="H794" s="172"/>
      <c r="I794" s="172"/>
      <c r="J794" s="172"/>
      <c r="K794" s="172"/>
      <c r="L794" s="172"/>
      <c r="M794" s="172"/>
      <c r="N794" s="172"/>
      <c r="O794" s="172"/>
      <c r="P794" s="172"/>
      <c r="Q794" s="172"/>
      <c r="R794" s="173"/>
      <c r="S794" s="67"/>
      <c r="T794" s="67"/>
      <c r="U794" s="67"/>
      <c r="V794" s="67"/>
      <c r="W794" s="67"/>
      <c r="X794" s="67"/>
      <c r="Y794" s="67"/>
      <c r="Z794" s="67"/>
      <c r="AA794" s="67"/>
      <c r="AB794" s="67"/>
      <c r="AC794" s="67"/>
      <c r="AD794" s="67"/>
      <c r="AE794" s="67"/>
      <c r="AF794" s="67"/>
      <c r="AG794" s="67"/>
      <c r="AH794" s="67"/>
    </row>
    <row r="795">
      <c r="A795" s="174"/>
      <c r="B795" s="175"/>
      <c r="C795" s="175"/>
      <c r="D795" s="175"/>
      <c r="E795" s="175"/>
      <c r="F795" s="175"/>
      <c r="G795" s="175"/>
      <c r="H795" s="175"/>
      <c r="I795" s="175"/>
      <c r="J795" s="175"/>
      <c r="K795" s="175"/>
      <c r="L795" s="175"/>
      <c r="M795" s="175"/>
      <c r="N795" s="175"/>
      <c r="O795" s="175"/>
      <c r="P795" s="175"/>
      <c r="Q795" s="175"/>
      <c r="R795" s="176"/>
      <c r="S795" s="67"/>
      <c r="T795" s="67"/>
      <c r="U795" s="67"/>
      <c r="V795" s="67"/>
      <c r="W795" s="67"/>
      <c r="X795" s="67"/>
      <c r="Y795" s="67"/>
      <c r="Z795" s="67"/>
      <c r="AA795" s="67"/>
      <c r="AB795" s="67"/>
      <c r="AC795" s="67"/>
      <c r="AD795" s="67"/>
      <c r="AE795" s="67"/>
      <c r="AF795" s="67"/>
      <c r="AG795" s="67"/>
      <c r="AH795" s="67"/>
    </row>
    <row r="796">
      <c r="A796" s="171"/>
      <c r="B796" s="172"/>
      <c r="C796" s="172"/>
      <c r="D796" s="172"/>
      <c r="E796" s="172"/>
      <c r="F796" s="172"/>
      <c r="G796" s="172"/>
      <c r="H796" s="172"/>
      <c r="I796" s="172"/>
      <c r="J796" s="172"/>
      <c r="K796" s="172"/>
      <c r="L796" s="172"/>
      <c r="M796" s="172"/>
      <c r="N796" s="172"/>
      <c r="O796" s="172"/>
      <c r="P796" s="172"/>
      <c r="Q796" s="172"/>
      <c r="R796" s="173"/>
      <c r="S796" s="67"/>
      <c r="T796" s="67"/>
      <c r="U796" s="67"/>
      <c r="V796" s="67"/>
      <c r="W796" s="67"/>
      <c r="X796" s="67"/>
      <c r="Y796" s="67"/>
      <c r="Z796" s="67"/>
      <c r="AA796" s="67"/>
      <c r="AB796" s="67"/>
      <c r="AC796" s="67"/>
      <c r="AD796" s="67"/>
      <c r="AE796" s="67"/>
      <c r="AF796" s="67"/>
      <c r="AG796" s="67"/>
      <c r="AH796" s="67"/>
    </row>
    <row r="797">
      <c r="A797" s="174"/>
      <c r="B797" s="175"/>
      <c r="C797" s="175"/>
      <c r="D797" s="175"/>
      <c r="E797" s="175"/>
      <c r="F797" s="175"/>
      <c r="G797" s="175"/>
      <c r="H797" s="175"/>
      <c r="I797" s="175"/>
      <c r="J797" s="175"/>
      <c r="K797" s="175"/>
      <c r="L797" s="175"/>
      <c r="M797" s="175"/>
      <c r="N797" s="175"/>
      <c r="O797" s="175"/>
      <c r="P797" s="175"/>
      <c r="Q797" s="175"/>
      <c r="R797" s="176"/>
      <c r="S797" s="67"/>
      <c r="T797" s="67"/>
      <c r="U797" s="67"/>
      <c r="V797" s="67"/>
      <c r="W797" s="67"/>
      <c r="X797" s="67"/>
      <c r="Y797" s="67"/>
      <c r="Z797" s="67"/>
      <c r="AA797" s="67"/>
      <c r="AB797" s="67"/>
      <c r="AC797" s="67"/>
      <c r="AD797" s="67"/>
      <c r="AE797" s="67"/>
      <c r="AF797" s="67"/>
      <c r="AG797" s="67"/>
      <c r="AH797" s="67"/>
    </row>
    <row r="798">
      <c r="A798" s="171"/>
      <c r="B798" s="172"/>
      <c r="C798" s="172"/>
      <c r="D798" s="172"/>
      <c r="E798" s="172"/>
      <c r="F798" s="172"/>
      <c r="G798" s="172"/>
      <c r="H798" s="172"/>
      <c r="I798" s="172"/>
      <c r="J798" s="172"/>
      <c r="K798" s="172"/>
      <c r="L798" s="172"/>
      <c r="M798" s="172"/>
      <c r="N798" s="172"/>
      <c r="O798" s="172"/>
      <c r="P798" s="172"/>
      <c r="Q798" s="172"/>
      <c r="R798" s="173"/>
      <c r="S798" s="67"/>
      <c r="T798" s="67"/>
      <c r="U798" s="67"/>
      <c r="V798" s="67"/>
      <c r="W798" s="67"/>
      <c r="X798" s="67"/>
      <c r="Y798" s="67"/>
      <c r="Z798" s="67"/>
      <c r="AA798" s="67"/>
      <c r="AB798" s="67"/>
      <c r="AC798" s="67"/>
      <c r="AD798" s="67"/>
      <c r="AE798" s="67"/>
      <c r="AF798" s="67"/>
      <c r="AG798" s="67"/>
      <c r="AH798" s="67"/>
    </row>
    <row r="799">
      <c r="A799" s="174"/>
      <c r="B799" s="175"/>
      <c r="C799" s="175"/>
      <c r="D799" s="175"/>
      <c r="E799" s="175"/>
      <c r="F799" s="175"/>
      <c r="G799" s="175"/>
      <c r="H799" s="175"/>
      <c r="I799" s="175"/>
      <c r="J799" s="175"/>
      <c r="K799" s="175"/>
      <c r="L799" s="175"/>
      <c r="M799" s="175"/>
      <c r="N799" s="175"/>
      <c r="O799" s="175"/>
      <c r="P799" s="175"/>
      <c r="Q799" s="175"/>
      <c r="R799" s="176"/>
      <c r="S799" s="67"/>
      <c r="T799" s="67"/>
      <c r="U799" s="67"/>
      <c r="V799" s="67"/>
      <c r="W799" s="67"/>
      <c r="X799" s="67"/>
      <c r="Y799" s="67"/>
      <c r="Z799" s="67"/>
      <c r="AA799" s="67"/>
      <c r="AB799" s="67"/>
      <c r="AC799" s="67"/>
      <c r="AD799" s="67"/>
      <c r="AE799" s="67"/>
      <c r="AF799" s="67"/>
      <c r="AG799" s="67"/>
      <c r="AH799" s="67"/>
    </row>
    <row r="800">
      <c r="A800" s="171"/>
      <c r="B800" s="172"/>
      <c r="C800" s="172"/>
      <c r="D800" s="172"/>
      <c r="E800" s="172"/>
      <c r="F800" s="172"/>
      <c r="G800" s="172"/>
      <c r="H800" s="172"/>
      <c r="I800" s="172"/>
      <c r="J800" s="172"/>
      <c r="K800" s="172"/>
      <c r="L800" s="172"/>
      <c r="M800" s="172"/>
      <c r="N800" s="172"/>
      <c r="O800" s="172"/>
      <c r="P800" s="172"/>
      <c r="Q800" s="172"/>
      <c r="R800" s="173"/>
      <c r="S800" s="67"/>
      <c r="T800" s="67"/>
      <c r="U800" s="67"/>
      <c r="V800" s="67"/>
      <c r="W800" s="67"/>
      <c r="X800" s="67"/>
      <c r="Y800" s="67"/>
      <c r="Z800" s="67"/>
      <c r="AA800" s="67"/>
      <c r="AB800" s="67"/>
      <c r="AC800" s="67"/>
      <c r="AD800" s="67"/>
      <c r="AE800" s="67"/>
      <c r="AF800" s="67"/>
      <c r="AG800" s="67"/>
      <c r="AH800" s="67"/>
    </row>
    <row r="801">
      <c r="A801" s="174"/>
      <c r="B801" s="175"/>
      <c r="C801" s="175"/>
      <c r="D801" s="175"/>
      <c r="E801" s="175"/>
      <c r="F801" s="175"/>
      <c r="G801" s="175"/>
      <c r="H801" s="175"/>
      <c r="I801" s="175"/>
      <c r="J801" s="175"/>
      <c r="K801" s="175"/>
      <c r="L801" s="175"/>
      <c r="M801" s="175"/>
      <c r="N801" s="175"/>
      <c r="O801" s="175"/>
      <c r="P801" s="175"/>
      <c r="Q801" s="175"/>
      <c r="R801" s="176"/>
      <c r="S801" s="67"/>
      <c r="T801" s="67"/>
      <c r="U801" s="67"/>
      <c r="V801" s="67"/>
      <c r="W801" s="67"/>
      <c r="X801" s="67"/>
      <c r="Y801" s="67"/>
      <c r="Z801" s="67"/>
      <c r="AA801" s="67"/>
      <c r="AB801" s="67"/>
      <c r="AC801" s="67"/>
      <c r="AD801" s="67"/>
      <c r="AE801" s="67"/>
      <c r="AF801" s="67"/>
      <c r="AG801" s="67"/>
      <c r="AH801" s="67"/>
    </row>
    <row r="802">
      <c r="A802" s="171"/>
      <c r="B802" s="172"/>
      <c r="C802" s="172"/>
      <c r="D802" s="172"/>
      <c r="E802" s="172"/>
      <c r="F802" s="172"/>
      <c r="G802" s="172"/>
      <c r="H802" s="172"/>
      <c r="I802" s="172"/>
      <c r="J802" s="172"/>
      <c r="K802" s="172"/>
      <c r="L802" s="172"/>
      <c r="M802" s="172"/>
      <c r="N802" s="172"/>
      <c r="O802" s="172"/>
      <c r="P802" s="172"/>
      <c r="Q802" s="172"/>
      <c r="R802" s="173"/>
      <c r="S802" s="67"/>
      <c r="T802" s="67"/>
      <c r="U802" s="67"/>
      <c r="V802" s="67"/>
      <c r="W802" s="67"/>
      <c r="X802" s="67"/>
      <c r="Y802" s="67"/>
      <c r="Z802" s="67"/>
      <c r="AA802" s="67"/>
      <c r="AB802" s="67"/>
      <c r="AC802" s="67"/>
      <c r="AD802" s="67"/>
      <c r="AE802" s="67"/>
      <c r="AF802" s="67"/>
      <c r="AG802" s="67"/>
      <c r="AH802" s="67"/>
    </row>
    <row r="803">
      <c r="A803" s="174"/>
      <c r="B803" s="175"/>
      <c r="C803" s="175"/>
      <c r="D803" s="175"/>
      <c r="E803" s="175"/>
      <c r="F803" s="175"/>
      <c r="G803" s="175"/>
      <c r="H803" s="175"/>
      <c r="I803" s="175"/>
      <c r="J803" s="175"/>
      <c r="K803" s="175"/>
      <c r="L803" s="175"/>
      <c r="M803" s="175"/>
      <c r="N803" s="175"/>
      <c r="O803" s="175"/>
      <c r="P803" s="175"/>
      <c r="Q803" s="175"/>
      <c r="R803" s="176"/>
      <c r="S803" s="67"/>
      <c r="T803" s="67"/>
      <c r="U803" s="67"/>
      <c r="V803" s="67"/>
      <c r="W803" s="67"/>
      <c r="X803" s="67"/>
      <c r="Y803" s="67"/>
      <c r="Z803" s="67"/>
      <c r="AA803" s="67"/>
      <c r="AB803" s="67"/>
      <c r="AC803" s="67"/>
      <c r="AD803" s="67"/>
      <c r="AE803" s="67"/>
      <c r="AF803" s="67"/>
      <c r="AG803" s="67"/>
      <c r="AH803" s="67"/>
    </row>
    <row r="804">
      <c r="A804" s="171"/>
      <c r="B804" s="172"/>
      <c r="C804" s="172"/>
      <c r="D804" s="172"/>
      <c r="E804" s="172"/>
      <c r="F804" s="172"/>
      <c r="G804" s="172"/>
      <c r="H804" s="172"/>
      <c r="I804" s="172"/>
      <c r="J804" s="172"/>
      <c r="K804" s="172"/>
      <c r="L804" s="172"/>
      <c r="M804" s="172"/>
      <c r="N804" s="172"/>
      <c r="O804" s="172"/>
      <c r="P804" s="172"/>
      <c r="Q804" s="172"/>
      <c r="R804" s="173"/>
      <c r="S804" s="67"/>
      <c r="T804" s="67"/>
      <c r="U804" s="67"/>
      <c r="V804" s="67"/>
      <c r="W804" s="67"/>
      <c r="X804" s="67"/>
      <c r="Y804" s="67"/>
      <c r="Z804" s="67"/>
      <c r="AA804" s="67"/>
      <c r="AB804" s="67"/>
      <c r="AC804" s="67"/>
      <c r="AD804" s="67"/>
      <c r="AE804" s="67"/>
      <c r="AF804" s="67"/>
      <c r="AG804" s="67"/>
      <c r="AH804" s="67"/>
    </row>
    <row r="805">
      <c r="A805" s="174"/>
      <c r="B805" s="175"/>
      <c r="C805" s="175"/>
      <c r="D805" s="175"/>
      <c r="E805" s="175"/>
      <c r="F805" s="175"/>
      <c r="G805" s="175"/>
      <c r="H805" s="175"/>
      <c r="I805" s="175"/>
      <c r="J805" s="175"/>
      <c r="K805" s="175"/>
      <c r="L805" s="175"/>
      <c r="M805" s="175"/>
      <c r="N805" s="175"/>
      <c r="O805" s="175"/>
      <c r="P805" s="175"/>
      <c r="Q805" s="175"/>
      <c r="R805" s="176"/>
      <c r="S805" s="67"/>
      <c r="T805" s="67"/>
      <c r="U805" s="67"/>
      <c r="V805" s="67"/>
      <c r="W805" s="67"/>
      <c r="X805" s="67"/>
      <c r="Y805" s="67"/>
      <c r="Z805" s="67"/>
      <c r="AA805" s="67"/>
      <c r="AB805" s="67"/>
      <c r="AC805" s="67"/>
      <c r="AD805" s="67"/>
      <c r="AE805" s="67"/>
      <c r="AF805" s="67"/>
      <c r="AG805" s="67"/>
      <c r="AH805" s="67"/>
    </row>
    <row r="806">
      <c r="A806" s="171"/>
      <c r="B806" s="172"/>
      <c r="C806" s="172"/>
      <c r="D806" s="172"/>
      <c r="E806" s="172"/>
      <c r="F806" s="172"/>
      <c r="G806" s="172"/>
      <c r="H806" s="172"/>
      <c r="I806" s="172"/>
      <c r="J806" s="172"/>
      <c r="K806" s="172"/>
      <c r="L806" s="172"/>
      <c r="M806" s="172"/>
      <c r="N806" s="172"/>
      <c r="O806" s="172"/>
      <c r="P806" s="172"/>
      <c r="Q806" s="172"/>
      <c r="R806" s="173"/>
      <c r="S806" s="67"/>
      <c r="T806" s="67"/>
      <c r="U806" s="67"/>
      <c r="V806" s="67"/>
      <c r="W806" s="67"/>
      <c r="X806" s="67"/>
      <c r="Y806" s="67"/>
      <c r="Z806" s="67"/>
      <c r="AA806" s="67"/>
      <c r="AB806" s="67"/>
      <c r="AC806" s="67"/>
      <c r="AD806" s="67"/>
      <c r="AE806" s="67"/>
      <c r="AF806" s="67"/>
      <c r="AG806" s="67"/>
      <c r="AH806" s="67"/>
    </row>
    <row r="807">
      <c r="A807" s="174"/>
      <c r="B807" s="175"/>
      <c r="C807" s="175"/>
      <c r="D807" s="175"/>
      <c r="E807" s="175"/>
      <c r="F807" s="175"/>
      <c r="G807" s="175"/>
      <c r="H807" s="175"/>
      <c r="I807" s="175"/>
      <c r="J807" s="175"/>
      <c r="K807" s="175"/>
      <c r="L807" s="175"/>
      <c r="M807" s="175"/>
      <c r="N807" s="175"/>
      <c r="O807" s="175"/>
      <c r="P807" s="175"/>
      <c r="Q807" s="175"/>
      <c r="R807" s="176"/>
      <c r="S807" s="67"/>
      <c r="T807" s="67"/>
      <c r="U807" s="67"/>
      <c r="V807" s="67"/>
      <c r="W807" s="67"/>
      <c r="X807" s="67"/>
      <c r="Y807" s="67"/>
      <c r="Z807" s="67"/>
      <c r="AA807" s="67"/>
      <c r="AB807" s="67"/>
      <c r="AC807" s="67"/>
      <c r="AD807" s="67"/>
      <c r="AE807" s="67"/>
      <c r="AF807" s="67"/>
      <c r="AG807" s="67"/>
      <c r="AH807" s="67"/>
    </row>
    <row r="808">
      <c r="A808" s="171"/>
      <c r="B808" s="172"/>
      <c r="C808" s="172"/>
      <c r="D808" s="172"/>
      <c r="E808" s="172"/>
      <c r="F808" s="172"/>
      <c r="G808" s="172"/>
      <c r="H808" s="172"/>
      <c r="I808" s="172"/>
      <c r="J808" s="172"/>
      <c r="K808" s="172"/>
      <c r="L808" s="172"/>
      <c r="M808" s="172"/>
      <c r="N808" s="172"/>
      <c r="O808" s="172"/>
      <c r="P808" s="172"/>
      <c r="Q808" s="172"/>
      <c r="R808" s="173"/>
      <c r="S808" s="67"/>
      <c r="T808" s="67"/>
      <c r="U808" s="67"/>
      <c r="V808" s="67"/>
      <c r="W808" s="67"/>
      <c r="X808" s="67"/>
      <c r="Y808" s="67"/>
      <c r="Z808" s="67"/>
      <c r="AA808" s="67"/>
      <c r="AB808" s="67"/>
      <c r="AC808" s="67"/>
      <c r="AD808" s="67"/>
      <c r="AE808" s="67"/>
      <c r="AF808" s="67"/>
      <c r="AG808" s="67"/>
      <c r="AH808" s="67"/>
    </row>
    <row r="809">
      <c r="A809" s="174"/>
      <c r="B809" s="175"/>
      <c r="C809" s="175"/>
      <c r="D809" s="175"/>
      <c r="E809" s="175"/>
      <c r="F809" s="175"/>
      <c r="G809" s="175"/>
      <c r="H809" s="175"/>
      <c r="I809" s="175"/>
      <c r="J809" s="175"/>
      <c r="K809" s="175"/>
      <c r="L809" s="175"/>
      <c r="M809" s="175"/>
      <c r="N809" s="175"/>
      <c r="O809" s="175"/>
      <c r="P809" s="175"/>
      <c r="Q809" s="175"/>
      <c r="R809" s="176"/>
      <c r="S809" s="67"/>
      <c r="T809" s="67"/>
      <c r="U809" s="67"/>
      <c r="V809" s="67"/>
      <c r="W809" s="67"/>
      <c r="X809" s="67"/>
      <c r="Y809" s="67"/>
      <c r="Z809" s="67"/>
      <c r="AA809" s="67"/>
      <c r="AB809" s="67"/>
      <c r="AC809" s="67"/>
      <c r="AD809" s="67"/>
      <c r="AE809" s="67"/>
      <c r="AF809" s="67"/>
      <c r="AG809" s="67"/>
      <c r="AH809" s="67"/>
    </row>
    <row r="810">
      <c r="A810" s="171"/>
      <c r="B810" s="172"/>
      <c r="C810" s="172"/>
      <c r="D810" s="172"/>
      <c r="E810" s="172"/>
      <c r="F810" s="172"/>
      <c r="G810" s="172"/>
      <c r="H810" s="172"/>
      <c r="I810" s="172"/>
      <c r="J810" s="172"/>
      <c r="K810" s="172"/>
      <c r="L810" s="172"/>
      <c r="M810" s="172"/>
      <c r="N810" s="172"/>
      <c r="O810" s="172"/>
      <c r="P810" s="172"/>
      <c r="Q810" s="172"/>
      <c r="R810" s="173"/>
      <c r="S810" s="67"/>
      <c r="T810" s="67"/>
      <c r="U810" s="67"/>
      <c r="V810" s="67"/>
      <c r="W810" s="67"/>
      <c r="X810" s="67"/>
      <c r="Y810" s="67"/>
      <c r="Z810" s="67"/>
      <c r="AA810" s="67"/>
      <c r="AB810" s="67"/>
      <c r="AC810" s="67"/>
      <c r="AD810" s="67"/>
      <c r="AE810" s="67"/>
      <c r="AF810" s="67"/>
      <c r="AG810" s="67"/>
      <c r="AH810" s="67"/>
    </row>
    <row r="811">
      <c r="A811" s="174"/>
      <c r="B811" s="175"/>
      <c r="C811" s="175"/>
      <c r="D811" s="175"/>
      <c r="E811" s="175"/>
      <c r="F811" s="175"/>
      <c r="G811" s="175"/>
      <c r="H811" s="175"/>
      <c r="I811" s="175"/>
      <c r="J811" s="175"/>
      <c r="K811" s="175"/>
      <c r="L811" s="175"/>
      <c r="M811" s="175"/>
      <c r="N811" s="175"/>
      <c r="O811" s="175"/>
      <c r="P811" s="175"/>
      <c r="Q811" s="175"/>
      <c r="R811" s="176"/>
      <c r="S811" s="67"/>
      <c r="T811" s="67"/>
      <c r="U811" s="67"/>
      <c r="V811" s="67"/>
      <c r="W811" s="67"/>
      <c r="X811" s="67"/>
      <c r="Y811" s="67"/>
      <c r="Z811" s="67"/>
      <c r="AA811" s="67"/>
      <c r="AB811" s="67"/>
      <c r="AC811" s="67"/>
      <c r="AD811" s="67"/>
      <c r="AE811" s="67"/>
      <c r="AF811" s="67"/>
      <c r="AG811" s="67"/>
      <c r="AH811" s="67"/>
    </row>
    <row r="812">
      <c r="A812" s="171"/>
      <c r="B812" s="172"/>
      <c r="C812" s="172"/>
      <c r="D812" s="172"/>
      <c r="E812" s="172"/>
      <c r="F812" s="172"/>
      <c r="G812" s="172"/>
      <c r="H812" s="172"/>
      <c r="I812" s="172"/>
      <c r="J812" s="172"/>
      <c r="K812" s="172"/>
      <c r="L812" s="172"/>
      <c r="M812" s="172"/>
      <c r="N812" s="172"/>
      <c r="O812" s="172"/>
      <c r="P812" s="172"/>
      <c r="Q812" s="172"/>
      <c r="R812" s="173"/>
      <c r="S812" s="67"/>
      <c r="T812" s="67"/>
      <c r="U812" s="67"/>
      <c r="V812" s="67"/>
      <c r="W812" s="67"/>
      <c r="X812" s="67"/>
      <c r="Y812" s="67"/>
      <c r="Z812" s="67"/>
      <c r="AA812" s="67"/>
      <c r="AB812" s="67"/>
      <c r="AC812" s="67"/>
      <c r="AD812" s="67"/>
      <c r="AE812" s="67"/>
      <c r="AF812" s="67"/>
      <c r="AG812" s="67"/>
      <c r="AH812" s="67"/>
    </row>
    <row r="813">
      <c r="A813" s="174"/>
      <c r="B813" s="175"/>
      <c r="C813" s="175"/>
      <c r="D813" s="175"/>
      <c r="E813" s="175"/>
      <c r="F813" s="175"/>
      <c r="G813" s="175"/>
      <c r="H813" s="175"/>
      <c r="I813" s="175"/>
      <c r="J813" s="175"/>
      <c r="K813" s="175"/>
      <c r="L813" s="175"/>
      <c r="M813" s="175"/>
      <c r="N813" s="175"/>
      <c r="O813" s="175"/>
      <c r="P813" s="175"/>
      <c r="Q813" s="175"/>
      <c r="R813" s="176"/>
      <c r="S813" s="67"/>
      <c r="T813" s="67"/>
      <c r="U813" s="67"/>
      <c r="V813" s="67"/>
      <c r="W813" s="67"/>
      <c r="X813" s="67"/>
      <c r="Y813" s="67"/>
      <c r="Z813" s="67"/>
      <c r="AA813" s="67"/>
      <c r="AB813" s="67"/>
      <c r="AC813" s="67"/>
      <c r="AD813" s="67"/>
      <c r="AE813" s="67"/>
      <c r="AF813" s="67"/>
      <c r="AG813" s="67"/>
      <c r="AH813" s="67"/>
    </row>
    <row r="814">
      <c r="A814" s="171"/>
      <c r="B814" s="172"/>
      <c r="C814" s="172"/>
      <c r="D814" s="172"/>
      <c r="E814" s="172"/>
      <c r="F814" s="172"/>
      <c r="G814" s="172"/>
      <c r="H814" s="172"/>
      <c r="I814" s="172"/>
      <c r="J814" s="172"/>
      <c r="K814" s="172"/>
      <c r="L814" s="172"/>
      <c r="M814" s="172"/>
      <c r="N814" s="172"/>
      <c r="O814" s="172"/>
      <c r="P814" s="172"/>
      <c r="Q814" s="172"/>
      <c r="R814" s="173"/>
      <c r="S814" s="67"/>
      <c r="T814" s="67"/>
      <c r="U814" s="67"/>
      <c r="V814" s="67"/>
      <c r="W814" s="67"/>
      <c r="X814" s="67"/>
      <c r="Y814" s="67"/>
      <c r="Z814" s="67"/>
      <c r="AA814" s="67"/>
      <c r="AB814" s="67"/>
      <c r="AC814" s="67"/>
      <c r="AD814" s="67"/>
      <c r="AE814" s="67"/>
      <c r="AF814" s="67"/>
      <c r="AG814" s="67"/>
      <c r="AH814" s="67"/>
    </row>
    <row r="815">
      <c r="A815" s="174"/>
      <c r="B815" s="175"/>
      <c r="C815" s="175"/>
      <c r="D815" s="175"/>
      <c r="E815" s="175"/>
      <c r="F815" s="175"/>
      <c r="G815" s="175"/>
      <c r="H815" s="175"/>
      <c r="I815" s="175"/>
      <c r="J815" s="175"/>
      <c r="K815" s="175"/>
      <c r="L815" s="175"/>
      <c r="M815" s="175"/>
      <c r="N815" s="175"/>
      <c r="O815" s="175"/>
      <c r="P815" s="175"/>
      <c r="Q815" s="175"/>
      <c r="R815" s="176"/>
      <c r="S815" s="67"/>
      <c r="T815" s="67"/>
      <c r="U815" s="67"/>
      <c r="V815" s="67"/>
      <c r="W815" s="67"/>
      <c r="X815" s="67"/>
      <c r="Y815" s="67"/>
      <c r="Z815" s="67"/>
      <c r="AA815" s="67"/>
      <c r="AB815" s="67"/>
      <c r="AC815" s="67"/>
      <c r="AD815" s="67"/>
      <c r="AE815" s="67"/>
      <c r="AF815" s="67"/>
      <c r="AG815" s="67"/>
      <c r="AH815" s="67"/>
    </row>
    <row r="816">
      <c r="A816" s="171"/>
      <c r="B816" s="172"/>
      <c r="C816" s="172"/>
      <c r="D816" s="172"/>
      <c r="E816" s="172"/>
      <c r="F816" s="172"/>
      <c r="G816" s="172"/>
      <c r="H816" s="172"/>
      <c r="I816" s="172"/>
      <c r="J816" s="172"/>
      <c r="K816" s="172"/>
      <c r="L816" s="172"/>
      <c r="M816" s="172"/>
      <c r="N816" s="172"/>
      <c r="O816" s="172"/>
      <c r="P816" s="172"/>
      <c r="Q816" s="172"/>
      <c r="R816" s="173"/>
      <c r="S816" s="67"/>
      <c r="T816" s="67"/>
      <c r="U816" s="67"/>
      <c r="V816" s="67"/>
      <c r="W816" s="67"/>
      <c r="X816" s="67"/>
      <c r="Y816" s="67"/>
      <c r="Z816" s="67"/>
      <c r="AA816" s="67"/>
      <c r="AB816" s="67"/>
      <c r="AC816" s="67"/>
      <c r="AD816" s="67"/>
      <c r="AE816" s="67"/>
      <c r="AF816" s="67"/>
      <c r="AG816" s="67"/>
      <c r="AH816" s="67"/>
    </row>
    <row r="817">
      <c r="A817" s="174"/>
      <c r="B817" s="175"/>
      <c r="C817" s="175"/>
      <c r="D817" s="175"/>
      <c r="E817" s="175"/>
      <c r="F817" s="175"/>
      <c r="G817" s="175"/>
      <c r="H817" s="175"/>
      <c r="I817" s="175"/>
      <c r="J817" s="175"/>
      <c r="K817" s="175"/>
      <c r="L817" s="175"/>
      <c r="M817" s="175"/>
      <c r="N817" s="175"/>
      <c r="O817" s="175"/>
      <c r="P817" s="175"/>
      <c r="Q817" s="175"/>
      <c r="R817" s="176"/>
      <c r="S817" s="67"/>
      <c r="T817" s="67"/>
      <c r="U817" s="67"/>
      <c r="V817" s="67"/>
      <c r="W817" s="67"/>
      <c r="X817" s="67"/>
      <c r="Y817" s="67"/>
      <c r="Z817" s="67"/>
      <c r="AA817" s="67"/>
      <c r="AB817" s="67"/>
      <c r="AC817" s="67"/>
      <c r="AD817" s="67"/>
      <c r="AE817" s="67"/>
      <c r="AF817" s="67"/>
      <c r="AG817" s="67"/>
      <c r="AH817" s="67"/>
    </row>
    <row r="818">
      <c r="A818" s="171"/>
      <c r="B818" s="172"/>
      <c r="C818" s="172"/>
      <c r="D818" s="172"/>
      <c r="E818" s="172"/>
      <c r="F818" s="172"/>
      <c r="G818" s="172"/>
      <c r="H818" s="172"/>
      <c r="I818" s="172"/>
      <c r="J818" s="172"/>
      <c r="K818" s="172"/>
      <c r="L818" s="172"/>
      <c r="M818" s="172"/>
      <c r="N818" s="172"/>
      <c r="O818" s="172"/>
      <c r="P818" s="172"/>
      <c r="Q818" s="172"/>
      <c r="R818" s="173"/>
      <c r="S818" s="67"/>
      <c r="T818" s="67"/>
      <c r="U818" s="67"/>
      <c r="V818" s="67"/>
      <c r="W818" s="67"/>
      <c r="X818" s="67"/>
      <c r="Y818" s="67"/>
      <c r="Z818" s="67"/>
      <c r="AA818" s="67"/>
      <c r="AB818" s="67"/>
      <c r="AC818" s="67"/>
      <c r="AD818" s="67"/>
      <c r="AE818" s="67"/>
      <c r="AF818" s="67"/>
      <c r="AG818" s="67"/>
      <c r="AH818" s="67"/>
    </row>
    <row r="819">
      <c r="A819" s="174"/>
      <c r="B819" s="175"/>
      <c r="C819" s="175"/>
      <c r="D819" s="175"/>
      <c r="E819" s="175"/>
      <c r="F819" s="175"/>
      <c r="G819" s="175"/>
      <c r="H819" s="175"/>
      <c r="I819" s="175"/>
      <c r="J819" s="175"/>
      <c r="K819" s="175"/>
      <c r="L819" s="175"/>
      <c r="M819" s="175"/>
      <c r="N819" s="175"/>
      <c r="O819" s="175"/>
      <c r="P819" s="175"/>
      <c r="Q819" s="175"/>
      <c r="R819" s="176"/>
      <c r="S819" s="67"/>
      <c r="T819" s="67"/>
      <c r="U819" s="67"/>
      <c r="V819" s="67"/>
      <c r="W819" s="67"/>
      <c r="X819" s="67"/>
      <c r="Y819" s="67"/>
      <c r="Z819" s="67"/>
      <c r="AA819" s="67"/>
      <c r="AB819" s="67"/>
      <c r="AC819" s="67"/>
      <c r="AD819" s="67"/>
      <c r="AE819" s="67"/>
      <c r="AF819" s="67"/>
      <c r="AG819" s="67"/>
      <c r="AH819" s="67"/>
    </row>
    <row r="820">
      <c r="A820" s="171"/>
      <c r="B820" s="172"/>
      <c r="C820" s="172"/>
      <c r="D820" s="172"/>
      <c r="E820" s="172"/>
      <c r="F820" s="172"/>
      <c r="G820" s="172"/>
      <c r="H820" s="172"/>
      <c r="I820" s="172"/>
      <c r="J820" s="172"/>
      <c r="K820" s="172"/>
      <c r="L820" s="172"/>
      <c r="M820" s="172"/>
      <c r="N820" s="172"/>
      <c r="O820" s="172"/>
      <c r="P820" s="172"/>
      <c r="Q820" s="172"/>
      <c r="R820" s="173"/>
      <c r="S820" s="67"/>
      <c r="T820" s="67"/>
      <c r="U820" s="67"/>
      <c r="V820" s="67"/>
      <c r="W820" s="67"/>
      <c r="X820" s="67"/>
      <c r="Y820" s="67"/>
      <c r="Z820" s="67"/>
      <c r="AA820" s="67"/>
      <c r="AB820" s="67"/>
      <c r="AC820" s="67"/>
      <c r="AD820" s="67"/>
      <c r="AE820" s="67"/>
      <c r="AF820" s="67"/>
      <c r="AG820" s="67"/>
      <c r="AH820" s="67"/>
    </row>
    <row r="821">
      <c r="A821" s="174"/>
      <c r="B821" s="175"/>
      <c r="C821" s="175"/>
      <c r="D821" s="175"/>
      <c r="E821" s="175"/>
      <c r="F821" s="175"/>
      <c r="G821" s="175"/>
      <c r="H821" s="175"/>
      <c r="I821" s="175"/>
      <c r="J821" s="175"/>
      <c r="K821" s="175"/>
      <c r="L821" s="175"/>
      <c r="M821" s="175"/>
      <c r="N821" s="175"/>
      <c r="O821" s="175"/>
      <c r="P821" s="175"/>
      <c r="Q821" s="175"/>
      <c r="R821" s="176"/>
      <c r="S821" s="67"/>
      <c r="T821" s="67"/>
      <c r="U821" s="67"/>
      <c r="V821" s="67"/>
      <c r="W821" s="67"/>
      <c r="X821" s="67"/>
      <c r="Y821" s="67"/>
      <c r="Z821" s="67"/>
      <c r="AA821" s="67"/>
      <c r="AB821" s="67"/>
      <c r="AC821" s="67"/>
      <c r="AD821" s="67"/>
      <c r="AE821" s="67"/>
      <c r="AF821" s="67"/>
      <c r="AG821" s="67"/>
      <c r="AH821" s="67"/>
    </row>
    <row r="822">
      <c r="A822" s="171"/>
      <c r="B822" s="172"/>
      <c r="C822" s="172"/>
      <c r="D822" s="172"/>
      <c r="E822" s="172"/>
      <c r="F822" s="172"/>
      <c r="G822" s="172"/>
      <c r="H822" s="172"/>
      <c r="I822" s="172"/>
      <c r="J822" s="172"/>
      <c r="K822" s="172"/>
      <c r="L822" s="172"/>
      <c r="M822" s="172"/>
      <c r="N822" s="172"/>
      <c r="O822" s="172"/>
      <c r="P822" s="172"/>
      <c r="Q822" s="172"/>
      <c r="R822" s="173"/>
      <c r="S822" s="67"/>
      <c r="T822" s="67"/>
      <c r="U822" s="67"/>
      <c r="V822" s="67"/>
      <c r="W822" s="67"/>
      <c r="X822" s="67"/>
      <c r="Y822" s="67"/>
      <c r="Z822" s="67"/>
      <c r="AA822" s="67"/>
      <c r="AB822" s="67"/>
      <c r="AC822" s="67"/>
      <c r="AD822" s="67"/>
      <c r="AE822" s="67"/>
      <c r="AF822" s="67"/>
      <c r="AG822" s="67"/>
      <c r="AH822" s="67"/>
    </row>
    <row r="823">
      <c r="A823" s="174"/>
      <c r="B823" s="175"/>
      <c r="C823" s="175"/>
      <c r="D823" s="175"/>
      <c r="E823" s="175"/>
      <c r="F823" s="175"/>
      <c r="G823" s="175"/>
      <c r="H823" s="175"/>
      <c r="I823" s="175"/>
      <c r="J823" s="175"/>
      <c r="K823" s="175"/>
      <c r="L823" s="175"/>
      <c r="M823" s="175"/>
      <c r="N823" s="175"/>
      <c r="O823" s="175"/>
      <c r="P823" s="175"/>
      <c r="Q823" s="175"/>
      <c r="R823" s="176"/>
      <c r="S823" s="67"/>
      <c r="T823" s="67"/>
      <c r="U823" s="67"/>
      <c r="V823" s="67"/>
      <c r="W823" s="67"/>
      <c r="X823" s="67"/>
      <c r="Y823" s="67"/>
      <c r="Z823" s="67"/>
      <c r="AA823" s="67"/>
      <c r="AB823" s="67"/>
      <c r="AC823" s="67"/>
      <c r="AD823" s="67"/>
      <c r="AE823" s="67"/>
      <c r="AF823" s="67"/>
      <c r="AG823" s="67"/>
      <c r="AH823" s="67"/>
    </row>
    <row r="824">
      <c r="A824" s="171"/>
      <c r="B824" s="172"/>
      <c r="C824" s="172"/>
      <c r="D824" s="172"/>
      <c r="E824" s="172"/>
      <c r="F824" s="172"/>
      <c r="G824" s="172"/>
      <c r="H824" s="172"/>
      <c r="I824" s="172"/>
      <c r="J824" s="172"/>
      <c r="K824" s="172"/>
      <c r="L824" s="172"/>
      <c r="M824" s="172"/>
      <c r="N824" s="172"/>
      <c r="O824" s="172"/>
      <c r="P824" s="172"/>
      <c r="Q824" s="172"/>
      <c r="R824" s="173"/>
      <c r="S824" s="67"/>
      <c r="T824" s="67"/>
      <c r="U824" s="67"/>
      <c r="V824" s="67"/>
      <c r="W824" s="67"/>
      <c r="X824" s="67"/>
      <c r="Y824" s="67"/>
      <c r="Z824" s="67"/>
      <c r="AA824" s="67"/>
      <c r="AB824" s="67"/>
      <c r="AC824" s="67"/>
      <c r="AD824" s="67"/>
      <c r="AE824" s="67"/>
      <c r="AF824" s="67"/>
      <c r="AG824" s="67"/>
      <c r="AH824" s="67"/>
    </row>
    <row r="825">
      <c r="A825" s="174"/>
      <c r="B825" s="175"/>
      <c r="C825" s="175"/>
      <c r="D825" s="175"/>
      <c r="E825" s="175"/>
      <c r="F825" s="175"/>
      <c r="G825" s="175"/>
      <c r="H825" s="175"/>
      <c r="I825" s="175"/>
      <c r="J825" s="175"/>
      <c r="K825" s="175"/>
      <c r="L825" s="175"/>
      <c r="M825" s="175"/>
      <c r="N825" s="175"/>
      <c r="O825" s="175"/>
      <c r="P825" s="175"/>
      <c r="Q825" s="175"/>
      <c r="R825" s="176"/>
      <c r="S825" s="67"/>
      <c r="T825" s="67"/>
      <c r="U825" s="67"/>
      <c r="V825" s="67"/>
      <c r="W825" s="67"/>
      <c r="X825" s="67"/>
      <c r="Y825" s="67"/>
      <c r="Z825" s="67"/>
      <c r="AA825" s="67"/>
      <c r="AB825" s="67"/>
      <c r="AC825" s="67"/>
      <c r="AD825" s="67"/>
      <c r="AE825" s="67"/>
      <c r="AF825" s="67"/>
      <c r="AG825" s="67"/>
      <c r="AH825" s="67"/>
    </row>
    <row r="826">
      <c r="A826" s="171"/>
      <c r="B826" s="172"/>
      <c r="C826" s="172"/>
      <c r="D826" s="172"/>
      <c r="E826" s="172"/>
      <c r="F826" s="172"/>
      <c r="G826" s="172"/>
      <c r="H826" s="172"/>
      <c r="I826" s="172"/>
      <c r="J826" s="172"/>
      <c r="K826" s="172"/>
      <c r="L826" s="172"/>
      <c r="M826" s="172"/>
      <c r="N826" s="172"/>
      <c r="O826" s="172"/>
      <c r="P826" s="172"/>
      <c r="Q826" s="172"/>
      <c r="R826" s="173"/>
      <c r="S826" s="67"/>
      <c r="T826" s="67"/>
      <c r="U826" s="67"/>
      <c r="V826" s="67"/>
      <c r="W826" s="67"/>
      <c r="X826" s="67"/>
      <c r="Y826" s="67"/>
      <c r="Z826" s="67"/>
      <c r="AA826" s="67"/>
      <c r="AB826" s="67"/>
      <c r="AC826" s="67"/>
      <c r="AD826" s="67"/>
      <c r="AE826" s="67"/>
      <c r="AF826" s="67"/>
      <c r="AG826" s="67"/>
      <c r="AH826" s="67"/>
    </row>
    <row r="827">
      <c r="A827" s="174"/>
      <c r="B827" s="175"/>
      <c r="C827" s="175"/>
      <c r="D827" s="175"/>
      <c r="E827" s="175"/>
      <c r="F827" s="175"/>
      <c r="G827" s="175"/>
      <c r="H827" s="175"/>
      <c r="I827" s="175"/>
      <c r="J827" s="175"/>
      <c r="K827" s="175"/>
      <c r="L827" s="175"/>
      <c r="M827" s="175"/>
      <c r="N827" s="175"/>
      <c r="O827" s="175"/>
      <c r="P827" s="175"/>
      <c r="Q827" s="175"/>
      <c r="R827" s="176"/>
      <c r="S827" s="67"/>
      <c r="T827" s="67"/>
      <c r="U827" s="67"/>
      <c r="V827" s="67"/>
      <c r="W827" s="67"/>
      <c r="X827" s="67"/>
      <c r="Y827" s="67"/>
      <c r="Z827" s="67"/>
      <c r="AA827" s="67"/>
      <c r="AB827" s="67"/>
      <c r="AC827" s="67"/>
      <c r="AD827" s="67"/>
      <c r="AE827" s="67"/>
      <c r="AF827" s="67"/>
      <c r="AG827" s="67"/>
      <c r="AH827" s="67"/>
    </row>
    <row r="828">
      <c r="A828" s="171"/>
      <c r="B828" s="172"/>
      <c r="C828" s="172"/>
      <c r="D828" s="172"/>
      <c r="E828" s="172"/>
      <c r="F828" s="172"/>
      <c r="G828" s="172"/>
      <c r="H828" s="172"/>
      <c r="I828" s="172"/>
      <c r="J828" s="172"/>
      <c r="K828" s="172"/>
      <c r="L828" s="172"/>
      <c r="M828" s="172"/>
      <c r="N828" s="172"/>
      <c r="O828" s="172"/>
      <c r="P828" s="172"/>
      <c r="Q828" s="172"/>
      <c r="R828" s="173"/>
      <c r="S828" s="67"/>
      <c r="T828" s="67"/>
      <c r="U828" s="67"/>
      <c r="V828" s="67"/>
      <c r="W828" s="67"/>
      <c r="X828" s="67"/>
      <c r="Y828" s="67"/>
      <c r="Z828" s="67"/>
      <c r="AA828" s="67"/>
      <c r="AB828" s="67"/>
      <c r="AC828" s="67"/>
      <c r="AD828" s="67"/>
      <c r="AE828" s="67"/>
      <c r="AF828" s="67"/>
      <c r="AG828" s="67"/>
      <c r="AH828" s="67"/>
    </row>
    <row r="829">
      <c r="A829" s="174"/>
      <c r="B829" s="175"/>
      <c r="C829" s="175"/>
      <c r="D829" s="175"/>
      <c r="E829" s="175"/>
      <c r="F829" s="175"/>
      <c r="G829" s="175"/>
      <c r="H829" s="175"/>
      <c r="I829" s="175"/>
      <c r="J829" s="175"/>
      <c r="K829" s="175"/>
      <c r="L829" s="175"/>
      <c r="M829" s="175"/>
      <c r="N829" s="175"/>
      <c r="O829" s="175"/>
      <c r="P829" s="175"/>
      <c r="Q829" s="175"/>
      <c r="R829" s="176"/>
      <c r="S829" s="67"/>
      <c r="T829" s="67"/>
      <c r="U829" s="67"/>
      <c r="V829" s="67"/>
      <c r="W829" s="67"/>
      <c r="X829" s="67"/>
      <c r="Y829" s="67"/>
      <c r="Z829" s="67"/>
      <c r="AA829" s="67"/>
      <c r="AB829" s="67"/>
      <c r="AC829" s="67"/>
      <c r="AD829" s="67"/>
      <c r="AE829" s="67"/>
      <c r="AF829" s="67"/>
      <c r="AG829" s="67"/>
      <c r="AH829" s="67"/>
    </row>
    <row r="830">
      <c r="A830" s="171"/>
      <c r="B830" s="172"/>
      <c r="C830" s="172"/>
      <c r="D830" s="172"/>
      <c r="E830" s="172"/>
      <c r="F830" s="172"/>
      <c r="G830" s="172"/>
      <c r="H830" s="172"/>
      <c r="I830" s="172"/>
      <c r="J830" s="172"/>
      <c r="K830" s="172"/>
      <c r="L830" s="172"/>
      <c r="M830" s="172"/>
      <c r="N830" s="172"/>
      <c r="O830" s="172"/>
      <c r="P830" s="172"/>
      <c r="Q830" s="172"/>
      <c r="R830" s="173"/>
      <c r="S830" s="67"/>
      <c r="T830" s="67"/>
      <c r="U830" s="67"/>
      <c r="V830" s="67"/>
      <c r="W830" s="67"/>
      <c r="X830" s="67"/>
      <c r="Y830" s="67"/>
      <c r="Z830" s="67"/>
      <c r="AA830" s="67"/>
      <c r="AB830" s="67"/>
      <c r="AC830" s="67"/>
      <c r="AD830" s="67"/>
      <c r="AE830" s="67"/>
      <c r="AF830" s="67"/>
      <c r="AG830" s="67"/>
      <c r="AH830" s="67"/>
    </row>
    <row r="831">
      <c r="A831" s="174"/>
      <c r="B831" s="175"/>
      <c r="C831" s="175"/>
      <c r="D831" s="175"/>
      <c r="E831" s="175"/>
      <c r="F831" s="175"/>
      <c r="G831" s="175"/>
      <c r="H831" s="175"/>
      <c r="I831" s="175"/>
      <c r="J831" s="175"/>
      <c r="K831" s="175"/>
      <c r="L831" s="175"/>
      <c r="M831" s="175"/>
      <c r="N831" s="175"/>
      <c r="O831" s="175"/>
      <c r="P831" s="175"/>
      <c r="Q831" s="175"/>
      <c r="R831" s="176"/>
      <c r="S831" s="67"/>
      <c r="T831" s="67"/>
      <c r="U831" s="67"/>
      <c r="V831" s="67"/>
      <c r="W831" s="67"/>
      <c r="X831" s="67"/>
      <c r="Y831" s="67"/>
      <c r="Z831" s="67"/>
      <c r="AA831" s="67"/>
      <c r="AB831" s="67"/>
      <c r="AC831" s="67"/>
      <c r="AD831" s="67"/>
      <c r="AE831" s="67"/>
      <c r="AF831" s="67"/>
      <c r="AG831" s="67"/>
      <c r="AH831" s="67"/>
    </row>
    <row r="832">
      <c r="A832" s="171"/>
      <c r="B832" s="172"/>
      <c r="C832" s="172"/>
      <c r="D832" s="172"/>
      <c r="E832" s="172"/>
      <c r="F832" s="172"/>
      <c r="G832" s="172"/>
      <c r="H832" s="172"/>
      <c r="I832" s="172"/>
      <c r="J832" s="172"/>
      <c r="K832" s="172"/>
      <c r="L832" s="172"/>
      <c r="M832" s="172"/>
      <c r="N832" s="172"/>
      <c r="O832" s="172"/>
      <c r="P832" s="172"/>
      <c r="Q832" s="172"/>
      <c r="R832" s="173"/>
      <c r="S832" s="67"/>
      <c r="T832" s="67"/>
      <c r="U832" s="67"/>
      <c r="V832" s="67"/>
      <c r="W832" s="67"/>
      <c r="X832" s="67"/>
      <c r="Y832" s="67"/>
      <c r="Z832" s="67"/>
      <c r="AA832" s="67"/>
      <c r="AB832" s="67"/>
      <c r="AC832" s="67"/>
      <c r="AD832" s="67"/>
      <c r="AE832" s="67"/>
      <c r="AF832" s="67"/>
      <c r="AG832" s="67"/>
      <c r="AH832" s="67"/>
    </row>
    <row r="833">
      <c r="A833" s="174"/>
      <c r="B833" s="175"/>
      <c r="C833" s="175"/>
      <c r="D833" s="175"/>
      <c r="E833" s="175"/>
      <c r="F833" s="175"/>
      <c r="G833" s="175"/>
      <c r="H833" s="175"/>
      <c r="I833" s="175"/>
      <c r="J833" s="175"/>
      <c r="K833" s="175"/>
      <c r="L833" s="175"/>
      <c r="M833" s="175"/>
      <c r="N833" s="175"/>
      <c r="O833" s="175"/>
      <c r="P833" s="175"/>
      <c r="Q833" s="175"/>
      <c r="R833" s="176"/>
      <c r="S833" s="67"/>
      <c r="T833" s="67"/>
      <c r="U833" s="67"/>
      <c r="V833" s="67"/>
      <c r="W833" s="67"/>
      <c r="X833" s="67"/>
      <c r="Y833" s="67"/>
      <c r="Z833" s="67"/>
      <c r="AA833" s="67"/>
      <c r="AB833" s="67"/>
      <c r="AC833" s="67"/>
      <c r="AD833" s="67"/>
      <c r="AE833" s="67"/>
      <c r="AF833" s="67"/>
      <c r="AG833" s="67"/>
      <c r="AH833" s="67"/>
    </row>
    <row r="834">
      <c r="A834" s="171"/>
      <c r="B834" s="172"/>
      <c r="C834" s="172"/>
      <c r="D834" s="172"/>
      <c r="E834" s="172"/>
      <c r="F834" s="172"/>
      <c r="G834" s="172"/>
      <c r="H834" s="172"/>
      <c r="I834" s="172"/>
      <c r="J834" s="172"/>
      <c r="K834" s="172"/>
      <c r="L834" s="172"/>
      <c r="M834" s="172"/>
      <c r="N834" s="172"/>
      <c r="O834" s="172"/>
      <c r="P834" s="172"/>
      <c r="Q834" s="172"/>
      <c r="R834" s="173"/>
      <c r="S834" s="67"/>
      <c r="T834" s="67"/>
      <c r="U834" s="67"/>
      <c r="V834" s="67"/>
      <c r="W834" s="67"/>
      <c r="X834" s="67"/>
      <c r="Y834" s="67"/>
      <c r="Z834" s="67"/>
      <c r="AA834" s="67"/>
      <c r="AB834" s="67"/>
      <c r="AC834" s="67"/>
      <c r="AD834" s="67"/>
      <c r="AE834" s="67"/>
      <c r="AF834" s="67"/>
      <c r="AG834" s="67"/>
      <c r="AH834" s="67"/>
    </row>
    <row r="835">
      <c r="A835" s="174"/>
      <c r="B835" s="175"/>
      <c r="C835" s="175"/>
      <c r="D835" s="175"/>
      <c r="E835" s="175"/>
      <c r="F835" s="175"/>
      <c r="G835" s="175"/>
      <c r="H835" s="175"/>
      <c r="I835" s="175"/>
      <c r="J835" s="175"/>
      <c r="K835" s="175"/>
      <c r="L835" s="175"/>
      <c r="M835" s="175"/>
      <c r="N835" s="175"/>
      <c r="O835" s="175"/>
      <c r="P835" s="175"/>
      <c r="Q835" s="175"/>
      <c r="R835" s="176"/>
      <c r="S835" s="67"/>
      <c r="T835" s="67"/>
      <c r="U835" s="67"/>
      <c r="V835" s="67"/>
      <c r="W835" s="67"/>
      <c r="X835" s="67"/>
      <c r="Y835" s="67"/>
      <c r="Z835" s="67"/>
      <c r="AA835" s="67"/>
      <c r="AB835" s="67"/>
      <c r="AC835" s="67"/>
      <c r="AD835" s="67"/>
      <c r="AE835" s="67"/>
      <c r="AF835" s="67"/>
      <c r="AG835" s="67"/>
      <c r="AH835" s="67"/>
    </row>
    <row r="836">
      <c r="A836" s="171"/>
      <c r="B836" s="172"/>
      <c r="C836" s="172"/>
      <c r="D836" s="172"/>
      <c r="E836" s="172"/>
      <c r="F836" s="172"/>
      <c r="G836" s="172"/>
      <c r="H836" s="172"/>
      <c r="I836" s="172"/>
      <c r="J836" s="172"/>
      <c r="K836" s="172"/>
      <c r="L836" s="172"/>
      <c r="M836" s="172"/>
      <c r="N836" s="172"/>
      <c r="O836" s="172"/>
      <c r="P836" s="172"/>
      <c r="Q836" s="172"/>
      <c r="R836" s="173"/>
      <c r="S836" s="67"/>
      <c r="T836" s="67"/>
      <c r="U836" s="67"/>
      <c r="V836" s="67"/>
      <c r="W836" s="67"/>
      <c r="X836" s="67"/>
      <c r="Y836" s="67"/>
      <c r="Z836" s="67"/>
      <c r="AA836" s="67"/>
      <c r="AB836" s="67"/>
      <c r="AC836" s="67"/>
      <c r="AD836" s="67"/>
      <c r="AE836" s="67"/>
      <c r="AF836" s="67"/>
      <c r="AG836" s="67"/>
      <c r="AH836" s="67"/>
    </row>
    <row r="837">
      <c r="A837" s="174"/>
      <c r="B837" s="175"/>
      <c r="C837" s="175"/>
      <c r="D837" s="175"/>
      <c r="E837" s="175"/>
      <c r="F837" s="175"/>
      <c r="G837" s="175"/>
      <c r="H837" s="175"/>
      <c r="I837" s="175"/>
      <c r="J837" s="175"/>
      <c r="K837" s="175"/>
      <c r="L837" s="175"/>
      <c r="M837" s="175"/>
      <c r="N837" s="175"/>
      <c r="O837" s="175"/>
      <c r="P837" s="175"/>
      <c r="Q837" s="175"/>
      <c r="R837" s="176"/>
      <c r="S837" s="67"/>
      <c r="T837" s="67"/>
      <c r="U837" s="67"/>
      <c r="V837" s="67"/>
      <c r="W837" s="67"/>
      <c r="X837" s="67"/>
      <c r="Y837" s="67"/>
      <c r="Z837" s="67"/>
      <c r="AA837" s="67"/>
      <c r="AB837" s="67"/>
      <c r="AC837" s="67"/>
      <c r="AD837" s="67"/>
      <c r="AE837" s="67"/>
      <c r="AF837" s="67"/>
      <c r="AG837" s="67"/>
      <c r="AH837" s="67"/>
    </row>
    <row r="838">
      <c r="A838" s="171"/>
      <c r="B838" s="172"/>
      <c r="C838" s="172"/>
      <c r="D838" s="172"/>
      <c r="E838" s="172"/>
      <c r="F838" s="172"/>
      <c r="G838" s="172"/>
      <c r="H838" s="172"/>
      <c r="I838" s="172"/>
      <c r="J838" s="172"/>
      <c r="K838" s="172"/>
      <c r="L838" s="172"/>
      <c r="M838" s="172"/>
      <c r="N838" s="172"/>
      <c r="O838" s="172"/>
      <c r="P838" s="172"/>
      <c r="Q838" s="172"/>
      <c r="R838" s="173"/>
      <c r="S838" s="67"/>
      <c r="T838" s="67"/>
      <c r="U838" s="67"/>
      <c r="V838" s="67"/>
      <c r="W838" s="67"/>
      <c r="X838" s="67"/>
      <c r="Y838" s="67"/>
      <c r="Z838" s="67"/>
      <c r="AA838" s="67"/>
      <c r="AB838" s="67"/>
      <c r="AC838" s="67"/>
      <c r="AD838" s="67"/>
      <c r="AE838" s="67"/>
      <c r="AF838" s="67"/>
      <c r="AG838" s="67"/>
      <c r="AH838" s="67"/>
    </row>
    <row r="839">
      <c r="A839" s="174"/>
      <c r="B839" s="175"/>
      <c r="C839" s="175"/>
      <c r="D839" s="175"/>
      <c r="E839" s="175"/>
      <c r="F839" s="175"/>
      <c r="G839" s="175"/>
      <c r="H839" s="175"/>
      <c r="I839" s="175"/>
      <c r="J839" s="175"/>
      <c r="K839" s="175"/>
      <c r="L839" s="175"/>
      <c r="M839" s="175"/>
      <c r="N839" s="175"/>
      <c r="O839" s="175"/>
      <c r="P839" s="175"/>
      <c r="Q839" s="175"/>
      <c r="R839" s="176"/>
      <c r="S839" s="67"/>
      <c r="T839" s="67"/>
      <c r="U839" s="67"/>
      <c r="V839" s="67"/>
      <c r="W839" s="67"/>
      <c r="X839" s="67"/>
      <c r="Y839" s="67"/>
      <c r="Z839" s="67"/>
      <c r="AA839" s="67"/>
      <c r="AB839" s="67"/>
      <c r="AC839" s="67"/>
      <c r="AD839" s="67"/>
      <c r="AE839" s="67"/>
      <c r="AF839" s="67"/>
      <c r="AG839" s="67"/>
      <c r="AH839" s="67"/>
    </row>
    <row r="840">
      <c r="A840" s="171"/>
      <c r="B840" s="172"/>
      <c r="C840" s="172"/>
      <c r="D840" s="172"/>
      <c r="E840" s="172"/>
      <c r="F840" s="172"/>
      <c r="G840" s="172"/>
      <c r="H840" s="172"/>
      <c r="I840" s="172"/>
      <c r="J840" s="172"/>
      <c r="K840" s="172"/>
      <c r="L840" s="172"/>
      <c r="M840" s="172"/>
      <c r="N840" s="172"/>
      <c r="O840" s="172"/>
      <c r="P840" s="172"/>
      <c r="Q840" s="172"/>
      <c r="R840" s="173"/>
      <c r="S840" s="67"/>
      <c r="T840" s="67"/>
      <c r="U840" s="67"/>
      <c r="V840" s="67"/>
      <c r="W840" s="67"/>
      <c r="X840" s="67"/>
      <c r="Y840" s="67"/>
      <c r="Z840" s="67"/>
      <c r="AA840" s="67"/>
      <c r="AB840" s="67"/>
      <c r="AC840" s="67"/>
      <c r="AD840" s="67"/>
      <c r="AE840" s="67"/>
      <c r="AF840" s="67"/>
      <c r="AG840" s="67"/>
      <c r="AH840" s="67"/>
    </row>
    <row r="841">
      <c r="A841" s="174"/>
      <c r="B841" s="175"/>
      <c r="C841" s="175"/>
      <c r="D841" s="175"/>
      <c r="E841" s="175"/>
      <c r="F841" s="175"/>
      <c r="G841" s="175"/>
      <c r="H841" s="175"/>
      <c r="I841" s="175"/>
      <c r="J841" s="175"/>
      <c r="K841" s="175"/>
      <c r="L841" s="175"/>
      <c r="M841" s="175"/>
      <c r="N841" s="175"/>
      <c r="O841" s="175"/>
      <c r="P841" s="175"/>
      <c r="Q841" s="175"/>
      <c r="R841" s="176"/>
      <c r="S841" s="67"/>
      <c r="T841" s="67"/>
      <c r="U841" s="67"/>
      <c r="V841" s="67"/>
      <c r="W841" s="67"/>
      <c r="X841" s="67"/>
      <c r="Y841" s="67"/>
      <c r="Z841" s="67"/>
      <c r="AA841" s="67"/>
      <c r="AB841" s="67"/>
      <c r="AC841" s="67"/>
      <c r="AD841" s="67"/>
      <c r="AE841" s="67"/>
      <c r="AF841" s="67"/>
      <c r="AG841" s="67"/>
      <c r="AH841" s="67"/>
    </row>
    <row r="842">
      <c r="A842" s="171"/>
      <c r="B842" s="172"/>
      <c r="C842" s="172"/>
      <c r="D842" s="172"/>
      <c r="E842" s="172"/>
      <c r="F842" s="172"/>
      <c r="G842" s="172"/>
      <c r="H842" s="172"/>
      <c r="I842" s="172"/>
      <c r="J842" s="172"/>
      <c r="K842" s="172"/>
      <c r="L842" s="172"/>
      <c r="M842" s="172"/>
      <c r="N842" s="172"/>
      <c r="O842" s="172"/>
      <c r="P842" s="172"/>
      <c r="Q842" s="172"/>
      <c r="R842" s="173"/>
      <c r="S842" s="67"/>
      <c r="T842" s="67"/>
      <c r="U842" s="67"/>
      <c r="V842" s="67"/>
      <c r="W842" s="67"/>
      <c r="X842" s="67"/>
      <c r="Y842" s="67"/>
      <c r="Z842" s="67"/>
      <c r="AA842" s="67"/>
      <c r="AB842" s="67"/>
      <c r="AC842" s="67"/>
      <c r="AD842" s="67"/>
      <c r="AE842" s="67"/>
      <c r="AF842" s="67"/>
      <c r="AG842" s="67"/>
      <c r="AH842" s="67"/>
    </row>
    <row r="843">
      <c r="A843" s="174"/>
      <c r="B843" s="175"/>
      <c r="C843" s="175"/>
      <c r="D843" s="175"/>
      <c r="E843" s="175"/>
      <c r="F843" s="175"/>
      <c r="G843" s="175"/>
      <c r="H843" s="175"/>
      <c r="I843" s="175"/>
      <c r="J843" s="175"/>
      <c r="K843" s="175"/>
      <c r="L843" s="175"/>
      <c r="M843" s="175"/>
      <c r="N843" s="175"/>
      <c r="O843" s="175"/>
      <c r="P843" s="175"/>
      <c r="Q843" s="175"/>
      <c r="R843" s="176"/>
      <c r="S843" s="67"/>
      <c r="T843" s="67"/>
      <c r="U843" s="67"/>
      <c r="V843" s="67"/>
      <c r="W843" s="67"/>
      <c r="X843" s="67"/>
      <c r="Y843" s="67"/>
      <c r="Z843" s="67"/>
      <c r="AA843" s="67"/>
      <c r="AB843" s="67"/>
      <c r="AC843" s="67"/>
      <c r="AD843" s="67"/>
      <c r="AE843" s="67"/>
      <c r="AF843" s="67"/>
      <c r="AG843" s="67"/>
      <c r="AH843" s="67"/>
    </row>
    <row r="844">
      <c r="A844" s="171"/>
      <c r="B844" s="172"/>
      <c r="C844" s="172"/>
      <c r="D844" s="172"/>
      <c r="E844" s="172"/>
      <c r="F844" s="172"/>
      <c r="G844" s="172"/>
      <c r="H844" s="172"/>
      <c r="I844" s="172"/>
      <c r="J844" s="172"/>
      <c r="K844" s="172"/>
      <c r="L844" s="172"/>
      <c r="M844" s="172"/>
      <c r="N844" s="172"/>
      <c r="O844" s="172"/>
      <c r="P844" s="172"/>
      <c r="Q844" s="172"/>
      <c r="R844" s="173"/>
      <c r="S844" s="67"/>
      <c r="T844" s="67"/>
      <c r="U844" s="67"/>
      <c r="V844" s="67"/>
      <c r="W844" s="67"/>
      <c r="X844" s="67"/>
      <c r="Y844" s="67"/>
      <c r="Z844" s="67"/>
      <c r="AA844" s="67"/>
      <c r="AB844" s="67"/>
      <c r="AC844" s="67"/>
      <c r="AD844" s="67"/>
      <c r="AE844" s="67"/>
      <c r="AF844" s="67"/>
      <c r="AG844" s="67"/>
      <c r="AH844" s="67"/>
    </row>
    <row r="845">
      <c r="A845" s="174"/>
      <c r="B845" s="175"/>
      <c r="C845" s="175"/>
      <c r="D845" s="175"/>
      <c r="E845" s="175"/>
      <c r="F845" s="175"/>
      <c r="G845" s="175"/>
      <c r="H845" s="175"/>
      <c r="I845" s="175"/>
      <c r="J845" s="175"/>
      <c r="K845" s="175"/>
      <c r="L845" s="175"/>
      <c r="M845" s="175"/>
      <c r="N845" s="175"/>
      <c r="O845" s="175"/>
      <c r="P845" s="175"/>
      <c r="Q845" s="175"/>
      <c r="R845" s="176"/>
      <c r="S845" s="67"/>
      <c r="T845" s="67"/>
      <c r="U845" s="67"/>
      <c r="V845" s="67"/>
      <c r="W845" s="67"/>
      <c r="X845" s="67"/>
      <c r="Y845" s="67"/>
      <c r="Z845" s="67"/>
      <c r="AA845" s="67"/>
      <c r="AB845" s="67"/>
      <c r="AC845" s="67"/>
      <c r="AD845" s="67"/>
      <c r="AE845" s="67"/>
      <c r="AF845" s="67"/>
      <c r="AG845" s="67"/>
      <c r="AH845" s="67"/>
    </row>
    <row r="846">
      <c r="A846" s="171"/>
      <c r="B846" s="172"/>
      <c r="C846" s="172"/>
      <c r="D846" s="172"/>
      <c r="E846" s="172"/>
      <c r="F846" s="172"/>
      <c r="G846" s="172"/>
      <c r="H846" s="172"/>
      <c r="I846" s="172"/>
      <c r="J846" s="172"/>
      <c r="K846" s="172"/>
      <c r="L846" s="172"/>
      <c r="M846" s="172"/>
      <c r="N846" s="172"/>
      <c r="O846" s="172"/>
      <c r="P846" s="172"/>
      <c r="Q846" s="172"/>
      <c r="R846" s="173"/>
      <c r="S846" s="67"/>
      <c r="T846" s="67"/>
      <c r="U846" s="67"/>
      <c r="V846" s="67"/>
      <c r="W846" s="67"/>
      <c r="X846" s="67"/>
      <c r="Y846" s="67"/>
      <c r="Z846" s="67"/>
      <c r="AA846" s="67"/>
      <c r="AB846" s="67"/>
      <c r="AC846" s="67"/>
      <c r="AD846" s="67"/>
      <c r="AE846" s="67"/>
      <c r="AF846" s="67"/>
      <c r="AG846" s="67"/>
      <c r="AH846" s="67"/>
    </row>
    <row r="847">
      <c r="A847" s="174"/>
      <c r="B847" s="175"/>
      <c r="C847" s="175"/>
      <c r="D847" s="175"/>
      <c r="E847" s="175"/>
      <c r="F847" s="175"/>
      <c r="G847" s="175"/>
      <c r="H847" s="175"/>
      <c r="I847" s="175"/>
      <c r="J847" s="175"/>
      <c r="K847" s="175"/>
      <c r="L847" s="175"/>
      <c r="M847" s="175"/>
      <c r="N847" s="175"/>
      <c r="O847" s="175"/>
      <c r="P847" s="175"/>
      <c r="Q847" s="175"/>
      <c r="R847" s="176"/>
      <c r="S847" s="67"/>
      <c r="T847" s="67"/>
      <c r="U847" s="67"/>
      <c r="V847" s="67"/>
      <c r="W847" s="67"/>
      <c r="X847" s="67"/>
      <c r="Y847" s="67"/>
      <c r="Z847" s="67"/>
      <c r="AA847" s="67"/>
      <c r="AB847" s="67"/>
      <c r="AC847" s="67"/>
      <c r="AD847" s="67"/>
      <c r="AE847" s="67"/>
      <c r="AF847" s="67"/>
      <c r="AG847" s="67"/>
      <c r="AH847" s="67"/>
    </row>
    <row r="848">
      <c r="A848" s="171"/>
      <c r="B848" s="172"/>
      <c r="C848" s="172"/>
      <c r="D848" s="172"/>
      <c r="E848" s="172"/>
      <c r="F848" s="172"/>
      <c r="G848" s="172"/>
      <c r="H848" s="172"/>
      <c r="I848" s="172"/>
      <c r="J848" s="172"/>
      <c r="K848" s="172"/>
      <c r="L848" s="172"/>
      <c r="M848" s="172"/>
      <c r="N848" s="172"/>
      <c r="O848" s="172"/>
      <c r="P848" s="172"/>
      <c r="Q848" s="172"/>
      <c r="R848" s="173"/>
      <c r="S848" s="67"/>
      <c r="T848" s="67"/>
      <c r="U848" s="67"/>
      <c r="V848" s="67"/>
      <c r="W848" s="67"/>
      <c r="X848" s="67"/>
      <c r="Y848" s="67"/>
      <c r="Z848" s="67"/>
      <c r="AA848" s="67"/>
      <c r="AB848" s="67"/>
      <c r="AC848" s="67"/>
      <c r="AD848" s="67"/>
      <c r="AE848" s="67"/>
      <c r="AF848" s="67"/>
      <c r="AG848" s="67"/>
      <c r="AH848" s="67"/>
    </row>
    <row r="849">
      <c r="A849" s="174"/>
      <c r="B849" s="175"/>
      <c r="C849" s="175"/>
      <c r="D849" s="175"/>
      <c r="E849" s="175"/>
      <c r="F849" s="175"/>
      <c r="G849" s="175"/>
      <c r="H849" s="175"/>
      <c r="I849" s="175"/>
      <c r="J849" s="175"/>
      <c r="K849" s="175"/>
      <c r="L849" s="175"/>
      <c r="M849" s="175"/>
      <c r="N849" s="175"/>
      <c r="O849" s="175"/>
      <c r="P849" s="175"/>
      <c r="Q849" s="175"/>
      <c r="R849" s="176"/>
      <c r="S849" s="67"/>
      <c r="T849" s="67"/>
      <c r="U849" s="67"/>
      <c r="V849" s="67"/>
      <c r="W849" s="67"/>
      <c r="X849" s="67"/>
      <c r="Y849" s="67"/>
      <c r="Z849" s="67"/>
      <c r="AA849" s="67"/>
      <c r="AB849" s="67"/>
      <c r="AC849" s="67"/>
      <c r="AD849" s="67"/>
      <c r="AE849" s="67"/>
      <c r="AF849" s="67"/>
      <c r="AG849" s="67"/>
      <c r="AH849" s="67"/>
    </row>
    <row r="850">
      <c r="A850" s="171"/>
      <c r="B850" s="172"/>
      <c r="C850" s="172"/>
      <c r="D850" s="172"/>
      <c r="E850" s="172"/>
      <c r="F850" s="172"/>
      <c r="G850" s="172"/>
      <c r="H850" s="172"/>
      <c r="I850" s="172"/>
      <c r="J850" s="172"/>
      <c r="K850" s="172"/>
      <c r="L850" s="172"/>
      <c r="M850" s="172"/>
      <c r="N850" s="172"/>
      <c r="O850" s="172"/>
      <c r="P850" s="172"/>
      <c r="Q850" s="172"/>
      <c r="R850" s="173"/>
      <c r="S850" s="67"/>
      <c r="T850" s="67"/>
      <c r="U850" s="67"/>
      <c r="V850" s="67"/>
      <c r="W850" s="67"/>
      <c r="X850" s="67"/>
      <c r="Y850" s="67"/>
      <c r="Z850" s="67"/>
      <c r="AA850" s="67"/>
      <c r="AB850" s="67"/>
      <c r="AC850" s="67"/>
      <c r="AD850" s="67"/>
      <c r="AE850" s="67"/>
      <c r="AF850" s="67"/>
      <c r="AG850" s="67"/>
      <c r="AH850" s="67"/>
    </row>
    <row r="851">
      <c r="A851" s="174"/>
      <c r="B851" s="175"/>
      <c r="C851" s="175"/>
      <c r="D851" s="175"/>
      <c r="E851" s="175"/>
      <c r="F851" s="175"/>
      <c r="G851" s="175"/>
      <c r="H851" s="175"/>
      <c r="I851" s="175"/>
      <c r="J851" s="175"/>
      <c r="K851" s="175"/>
      <c r="L851" s="175"/>
      <c r="M851" s="175"/>
      <c r="N851" s="175"/>
      <c r="O851" s="175"/>
      <c r="P851" s="175"/>
      <c r="Q851" s="175"/>
      <c r="R851" s="176"/>
      <c r="S851" s="67"/>
      <c r="T851" s="67"/>
      <c r="U851" s="67"/>
      <c r="V851" s="67"/>
      <c r="W851" s="67"/>
      <c r="X851" s="67"/>
      <c r="Y851" s="67"/>
      <c r="Z851" s="67"/>
      <c r="AA851" s="67"/>
      <c r="AB851" s="67"/>
      <c r="AC851" s="67"/>
      <c r="AD851" s="67"/>
      <c r="AE851" s="67"/>
      <c r="AF851" s="67"/>
      <c r="AG851" s="67"/>
      <c r="AH851" s="67"/>
    </row>
    <row r="852">
      <c r="A852" s="171"/>
      <c r="B852" s="172"/>
      <c r="C852" s="172"/>
      <c r="D852" s="172"/>
      <c r="E852" s="172"/>
      <c r="F852" s="172"/>
      <c r="G852" s="172"/>
      <c r="H852" s="172"/>
      <c r="I852" s="172"/>
      <c r="J852" s="172"/>
      <c r="K852" s="172"/>
      <c r="L852" s="172"/>
      <c r="M852" s="172"/>
      <c r="N852" s="172"/>
      <c r="O852" s="172"/>
      <c r="P852" s="172"/>
      <c r="Q852" s="172"/>
      <c r="R852" s="173"/>
      <c r="S852" s="67"/>
      <c r="T852" s="67"/>
      <c r="U852" s="67"/>
      <c r="V852" s="67"/>
      <c r="W852" s="67"/>
      <c r="X852" s="67"/>
      <c r="Y852" s="67"/>
      <c r="Z852" s="67"/>
      <c r="AA852" s="67"/>
      <c r="AB852" s="67"/>
      <c r="AC852" s="67"/>
      <c r="AD852" s="67"/>
      <c r="AE852" s="67"/>
      <c r="AF852" s="67"/>
      <c r="AG852" s="67"/>
      <c r="AH852" s="67"/>
    </row>
    <row r="853">
      <c r="A853" s="174"/>
      <c r="B853" s="175"/>
      <c r="C853" s="175"/>
      <c r="D853" s="175"/>
      <c r="E853" s="175"/>
      <c r="F853" s="175"/>
      <c r="G853" s="175"/>
      <c r="H853" s="175"/>
      <c r="I853" s="175"/>
      <c r="J853" s="175"/>
      <c r="K853" s="175"/>
      <c r="L853" s="175"/>
      <c r="M853" s="175"/>
      <c r="N853" s="175"/>
      <c r="O853" s="175"/>
      <c r="P853" s="175"/>
      <c r="Q853" s="175"/>
      <c r="R853" s="176"/>
      <c r="S853" s="67"/>
      <c r="T853" s="67"/>
      <c r="U853" s="67"/>
      <c r="V853" s="67"/>
      <c r="W853" s="67"/>
      <c r="X853" s="67"/>
      <c r="Y853" s="67"/>
      <c r="Z853" s="67"/>
      <c r="AA853" s="67"/>
      <c r="AB853" s="67"/>
      <c r="AC853" s="67"/>
      <c r="AD853" s="67"/>
      <c r="AE853" s="67"/>
      <c r="AF853" s="67"/>
      <c r="AG853" s="67"/>
      <c r="AH853" s="67"/>
    </row>
    <row r="854">
      <c r="A854" s="171"/>
      <c r="B854" s="172"/>
      <c r="C854" s="172"/>
      <c r="D854" s="172"/>
      <c r="E854" s="172"/>
      <c r="F854" s="172"/>
      <c r="G854" s="172"/>
      <c r="H854" s="172"/>
      <c r="I854" s="172"/>
      <c r="J854" s="172"/>
      <c r="K854" s="172"/>
      <c r="L854" s="172"/>
      <c r="M854" s="172"/>
      <c r="N854" s="172"/>
      <c r="O854" s="172"/>
      <c r="P854" s="172"/>
      <c r="Q854" s="172"/>
      <c r="R854" s="173"/>
      <c r="S854" s="67"/>
      <c r="T854" s="67"/>
      <c r="U854" s="67"/>
      <c r="V854" s="67"/>
      <c r="W854" s="67"/>
      <c r="X854" s="67"/>
      <c r="Y854" s="67"/>
      <c r="Z854" s="67"/>
      <c r="AA854" s="67"/>
      <c r="AB854" s="67"/>
      <c r="AC854" s="67"/>
      <c r="AD854" s="67"/>
      <c r="AE854" s="67"/>
      <c r="AF854" s="67"/>
      <c r="AG854" s="67"/>
      <c r="AH854" s="67"/>
    </row>
    <row r="855">
      <c r="A855" s="174"/>
      <c r="B855" s="175"/>
      <c r="C855" s="175"/>
      <c r="D855" s="175"/>
      <c r="E855" s="175"/>
      <c r="F855" s="175"/>
      <c r="G855" s="175"/>
      <c r="H855" s="175"/>
      <c r="I855" s="175"/>
      <c r="J855" s="175"/>
      <c r="K855" s="175"/>
      <c r="L855" s="175"/>
      <c r="M855" s="175"/>
      <c r="N855" s="175"/>
      <c r="O855" s="175"/>
      <c r="P855" s="175"/>
      <c r="Q855" s="175"/>
      <c r="R855" s="176"/>
      <c r="S855" s="67"/>
      <c r="T855" s="67"/>
      <c r="U855" s="67"/>
      <c r="V855" s="67"/>
      <c r="W855" s="67"/>
      <c r="X855" s="67"/>
      <c r="Y855" s="67"/>
      <c r="Z855" s="67"/>
      <c r="AA855" s="67"/>
      <c r="AB855" s="67"/>
      <c r="AC855" s="67"/>
      <c r="AD855" s="67"/>
      <c r="AE855" s="67"/>
      <c r="AF855" s="67"/>
      <c r="AG855" s="67"/>
      <c r="AH855" s="67"/>
    </row>
    <row r="856">
      <c r="A856" s="171"/>
      <c r="B856" s="172"/>
      <c r="C856" s="172"/>
      <c r="D856" s="172"/>
      <c r="E856" s="172"/>
      <c r="F856" s="172"/>
      <c r="G856" s="172"/>
      <c r="H856" s="172"/>
      <c r="I856" s="172"/>
      <c r="J856" s="172"/>
      <c r="K856" s="172"/>
      <c r="L856" s="172"/>
      <c r="M856" s="172"/>
      <c r="N856" s="172"/>
      <c r="O856" s="172"/>
      <c r="P856" s="172"/>
      <c r="Q856" s="172"/>
      <c r="R856" s="173"/>
      <c r="S856" s="67"/>
      <c r="T856" s="67"/>
      <c r="U856" s="67"/>
      <c r="V856" s="67"/>
      <c r="W856" s="67"/>
      <c r="X856" s="67"/>
      <c r="Y856" s="67"/>
      <c r="Z856" s="67"/>
      <c r="AA856" s="67"/>
      <c r="AB856" s="67"/>
      <c r="AC856" s="67"/>
      <c r="AD856" s="67"/>
      <c r="AE856" s="67"/>
      <c r="AF856" s="67"/>
      <c r="AG856" s="67"/>
      <c r="AH856" s="67"/>
    </row>
    <row r="857">
      <c r="A857" s="174"/>
      <c r="B857" s="175"/>
      <c r="C857" s="175"/>
      <c r="D857" s="175"/>
      <c r="E857" s="175"/>
      <c r="F857" s="175"/>
      <c r="G857" s="175"/>
      <c r="H857" s="175"/>
      <c r="I857" s="175"/>
      <c r="J857" s="175"/>
      <c r="K857" s="175"/>
      <c r="L857" s="175"/>
      <c r="M857" s="175"/>
      <c r="N857" s="175"/>
      <c r="O857" s="175"/>
      <c r="P857" s="175"/>
      <c r="Q857" s="175"/>
      <c r="R857" s="176"/>
      <c r="S857" s="67"/>
      <c r="T857" s="67"/>
      <c r="U857" s="67"/>
      <c r="V857" s="67"/>
      <c r="W857" s="67"/>
      <c r="X857" s="67"/>
      <c r="Y857" s="67"/>
      <c r="Z857" s="67"/>
      <c r="AA857" s="67"/>
      <c r="AB857" s="67"/>
      <c r="AC857" s="67"/>
      <c r="AD857" s="67"/>
      <c r="AE857" s="67"/>
      <c r="AF857" s="67"/>
      <c r="AG857" s="67"/>
      <c r="AH857" s="67"/>
    </row>
    <row r="858">
      <c r="A858" s="171"/>
      <c r="B858" s="172"/>
      <c r="C858" s="172"/>
      <c r="D858" s="172"/>
      <c r="E858" s="172"/>
      <c r="F858" s="172"/>
      <c r="G858" s="172"/>
      <c r="H858" s="172"/>
      <c r="I858" s="172"/>
      <c r="J858" s="172"/>
      <c r="K858" s="172"/>
      <c r="L858" s="172"/>
      <c r="M858" s="172"/>
      <c r="N858" s="172"/>
      <c r="O858" s="172"/>
      <c r="P858" s="172"/>
      <c r="Q858" s="172"/>
      <c r="R858" s="173"/>
      <c r="S858" s="67"/>
      <c r="T858" s="67"/>
      <c r="U858" s="67"/>
      <c r="V858" s="67"/>
      <c r="W858" s="67"/>
      <c r="X858" s="67"/>
      <c r="Y858" s="67"/>
      <c r="Z858" s="67"/>
      <c r="AA858" s="67"/>
      <c r="AB858" s="67"/>
      <c r="AC858" s="67"/>
      <c r="AD858" s="67"/>
      <c r="AE858" s="67"/>
      <c r="AF858" s="67"/>
      <c r="AG858" s="67"/>
      <c r="AH858" s="67"/>
    </row>
    <row r="859">
      <c r="A859" s="174"/>
      <c r="B859" s="175"/>
      <c r="C859" s="175"/>
      <c r="D859" s="175"/>
      <c r="E859" s="175"/>
      <c r="F859" s="175"/>
      <c r="G859" s="175"/>
      <c r="H859" s="175"/>
      <c r="I859" s="175"/>
      <c r="J859" s="175"/>
      <c r="K859" s="175"/>
      <c r="L859" s="175"/>
      <c r="M859" s="175"/>
      <c r="N859" s="175"/>
      <c r="O859" s="175"/>
      <c r="P859" s="175"/>
      <c r="Q859" s="175"/>
      <c r="R859" s="176"/>
      <c r="S859" s="67"/>
      <c r="T859" s="67"/>
      <c r="U859" s="67"/>
      <c r="V859" s="67"/>
      <c r="W859" s="67"/>
      <c r="X859" s="67"/>
      <c r="Y859" s="67"/>
      <c r="Z859" s="67"/>
      <c r="AA859" s="67"/>
      <c r="AB859" s="67"/>
      <c r="AC859" s="67"/>
      <c r="AD859" s="67"/>
      <c r="AE859" s="67"/>
      <c r="AF859" s="67"/>
      <c r="AG859" s="67"/>
      <c r="AH859" s="67"/>
    </row>
    <row r="860">
      <c r="A860" s="171"/>
      <c r="B860" s="172"/>
      <c r="C860" s="172"/>
      <c r="D860" s="172"/>
      <c r="E860" s="172"/>
      <c r="F860" s="172"/>
      <c r="G860" s="172"/>
      <c r="H860" s="172"/>
      <c r="I860" s="172"/>
      <c r="J860" s="172"/>
      <c r="K860" s="172"/>
      <c r="L860" s="172"/>
      <c r="M860" s="172"/>
      <c r="N860" s="172"/>
      <c r="O860" s="172"/>
      <c r="P860" s="172"/>
      <c r="Q860" s="172"/>
      <c r="R860" s="173"/>
      <c r="S860" s="67"/>
      <c r="T860" s="67"/>
      <c r="U860" s="67"/>
      <c r="V860" s="67"/>
      <c r="W860" s="67"/>
      <c r="X860" s="67"/>
      <c r="Y860" s="67"/>
      <c r="Z860" s="67"/>
      <c r="AA860" s="67"/>
      <c r="AB860" s="67"/>
      <c r="AC860" s="67"/>
      <c r="AD860" s="67"/>
      <c r="AE860" s="67"/>
      <c r="AF860" s="67"/>
      <c r="AG860" s="67"/>
      <c r="AH860" s="67"/>
    </row>
    <row r="861">
      <c r="A861" s="174"/>
      <c r="B861" s="175"/>
      <c r="C861" s="175"/>
      <c r="D861" s="175"/>
      <c r="E861" s="175"/>
      <c r="F861" s="175"/>
      <c r="G861" s="175"/>
      <c r="H861" s="175"/>
      <c r="I861" s="175"/>
      <c r="J861" s="175"/>
      <c r="K861" s="175"/>
      <c r="L861" s="175"/>
      <c r="M861" s="175"/>
      <c r="N861" s="175"/>
      <c r="O861" s="175"/>
      <c r="P861" s="175"/>
      <c r="Q861" s="175"/>
      <c r="R861" s="176"/>
      <c r="S861" s="67"/>
      <c r="T861" s="67"/>
      <c r="U861" s="67"/>
      <c r="V861" s="67"/>
      <c r="W861" s="67"/>
      <c r="X861" s="67"/>
      <c r="Y861" s="67"/>
      <c r="Z861" s="67"/>
      <c r="AA861" s="67"/>
      <c r="AB861" s="67"/>
      <c r="AC861" s="67"/>
      <c r="AD861" s="67"/>
      <c r="AE861" s="67"/>
      <c r="AF861" s="67"/>
      <c r="AG861" s="67"/>
      <c r="AH861" s="67"/>
    </row>
    <row r="862">
      <c r="A862" s="171"/>
      <c r="B862" s="172"/>
      <c r="C862" s="172"/>
      <c r="D862" s="172"/>
      <c r="E862" s="172"/>
      <c r="F862" s="172"/>
      <c r="G862" s="172"/>
      <c r="H862" s="172"/>
      <c r="I862" s="172"/>
      <c r="J862" s="172"/>
      <c r="K862" s="172"/>
      <c r="L862" s="172"/>
      <c r="M862" s="172"/>
      <c r="N862" s="172"/>
      <c r="O862" s="172"/>
      <c r="P862" s="172"/>
      <c r="Q862" s="172"/>
      <c r="R862" s="173"/>
      <c r="S862" s="67"/>
      <c r="T862" s="67"/>
      <c r="U862" s="67"/>
      <c r="V862" s="67"/>
      <c r="W862" s="67"/>
      <c r="X862" s="67"/>
      <c r="Y862" s="67"/>
      <c r="Z862" s="67"/>
      <c r="AA862" s="67"/>
      <c r="AB862" s="67"/>
      <c r="AC862" s="67"/>
      <c r="AD862" s="67"/>
      <c r="AE862" s="67"/>
      <c r="AF862" s="67"/>
      <c r="AG862" s="67"/>
      <c r="AH862" s="67"/>
    </row>
    <row r="863">
      <c r="A863" s="174"/>
      <c r="B863" s="175"/>
      <c r="C863" s="175"/>
      <c r="D863" s="175"/>
      <c r="E863" s="175"/>
      <c r="F863" s="175"/>
      <c r="G863" s="175"/>
      <c r="H863" s="175"/>
      <c r="I863" s="175"/>
      <c r="J863" s="175"/>
      <c r="K863" s="175"/>
      <c r="L863" s="175"/>
      <c r="M863" s="175"/>
      <c r="N863" s="175"/>
      <c r="O863" s="175"/>
      <c r="P863" s="175"/>
      <c r="Q863" s="175"/>
      <c r="R863" s="176"/>
      <c r="S863" s="67"/>
      <c r="T863" s="67"/>
      <c r="U863" s="67"/>
      <c r="V863" s="67"/>
      <c r="W863" s="67"/>
      <c r="X863" s="67"/>
      <c r="Y863" s="67"/>
      <c r="Z863" s="67"/>
      <c r="AA863" s="67"/>
      <c r="AB863" s="67"/>
      <c r="AC863" s="67"/>
      <c r="AD863" s="67"/>
      <c r="AE863" s="67"/>
      <c r="AF863" s="67"/>
      <c r="AG863" s="67"/>
      <c r="AH863" s="67"/>
    </row>
    <row r="864">
      <c r="A864" s="171"/>
      <c r="B864" s="172"/>
      <c r="C864" s="172"/>
      <c r="D864" s="172"/>
      <c r="E864" s="172"/>
      <c r="F864" s="172"/>
      <c r="G864" s="172"/>
      <c r="H864" s="172"/>
      <c r="I864" s="172"/>
      <c r="J864" s="172"/>
      <c r="K864" s="172"/>
      <c r="L864" s="172"/>
      <c r="M864" s="172"/>
      <c r="N864" s="172"/>
      <c r="O864" s="172"/>
      <c r="P864" s="172"/>
      <c r="Q864" s="172"/>
      <c r="R864" s="173"/>
      <c r="S864" s="67"/>
      <c r="T864" s="67"/>
      <c r="U864" s="67"/>
      <c r="V864" s="67"/>
      <c r="W864" s="67"/>
      <c r="X864" s="67"/>
      <c r="Y864" s="67"/>
      <c r="Z864" s="67"/>
      <c r="AA864" s="67"/>
      <c r="AB864" s="67"/>
      <c r="AC864" s="67"/>
      <c r="AD864" s="67"/>
      <c r="AE864" s="67"/>
      <c r="AF864" s="67"/>
      <c r="AG864" s="67"/>
      <c r="AH864" s="67"/>
    </row>
    <row r="865">
      <c r="A865" s="174"/>
      <c r="B865" s="175"/>
      <c r="C865" s="175"/>
      <c r="D865" s="175"/>
      <c r="E865" s="175"/>
      <c r="F865" s="175"/>
      <c r="G865" s="175"/>
      <c r="H865" s="175"/>
      <c r="I865" s="175"/>
      <c r="J865" s="175"/>
      <c r="K865" s="175"/>
      <c r="L865" s="175"/>
      <c r="M865" s="175"/>
      <c r="N865" s="175"/>
      <c r="O865" s="175"/>
      <c r="P865" s="175"/>
      <c r="Q865" s="175"/>
      <c r="R865" s="176"/>
      <c r="S865" s="67"/>
      <c r="T865" s="67"/>
      <c r="U865" s="67"/>
      <c r="V865" s="67"/>
      <c r="W865" s="67"/>
      <c r="X865" s="67"/>
      <c r="Y865" s="67"/>
      <c r="Z865" s="67"/>
      <c r="AA865" s="67"/>
      <c r="AB865" s="67"/>
      <c r="AC865" s="67"/>
      <c r="AD865" s="67"/>
      <c r="AE865" s="67"/>
      <c r="AF865" s="67"/>
      <c r="AG865" s="67"/>
      <c r="AH865" s="67"/>
    </row>
    <row r="866">
      <c r="A866" s="171"/>
      <c r="B866" s="172"/>
      <c r="C866" s="172"/>
      <c r="D866" s="172"/>
      <c r="E866" s="172"/>
      <c r="F866" s="172"/>
      <c r="G866" s="172"/>
      <c r="H866" s="172"/>
      <c r="I866" s="172"/>
      <c r="J866" s="172"/>
      <c r="K866" s="172"/>
      <c r="L866" s="172"/>
      <c r="M866" s="172"/>
      <c r="N866" s="172"/>
      <c r="O866" s="172"/>
      <c r="P866" s="172"/>
      <c r="Q866" s="172"/>
      <c r="R866" s="173"/>
      <c r="S866" s="67"/>
      <c r="T866" s="67"/>
      <c r="U866" s="67"/>
      <c r="V866" s="67"/>
      <c r="W866" s="67"/>
      <c r="X866" s="67"/>
      <c r="Y866" s="67"/>
      <c r="Z866" s="67"/>
      <c r="AA866" s="67"/>
      <c r="AB866" s="67"/>
      <c r="AC866" s="67"/>
      <c r="AD866" s="67"/>
      <c r="AE866" s="67"/>
      <c r="AF866" s="67"/>
      <c r="AG866" s="67"/>
      <c r="AH866" s="67"/>
    </row>
    <row r="867">
      <c r="A867" s="174"/>
      <c r="B867" s="175"/>
      <c r="C867" s="175"/>
      <c r="D867" s="175"/>
      <c r="E867" s="175"/>
      <c r="F867" s="175"/>
      <c r="G867" s="175"/>
      <c r="H867" s="175"/>
      <c r="I867" s="175"/>
      <c r="J867" s="175"/>
      <c r="K867" s="175"/>
      <c r="L867" s="175"/>
      <c r="M867" s="175"/>
      <c r="N867" s="175"/>
      <c r="O867" s="175"/>
      <c r="P867" s="175"/>
      <c r="Q867" s="175"/>
      <c r="R867" s="176"/>
      <c r="S867" s="67"/>
      <c r="T867" s="67"/>
      <c r="U867" s="67"/>
      <c r="V867" s="67"/>
      <c r="W867" s="67"/>
      <c r="X867" s="67"/>
      <c r="Y867" s="67"/>
      <c r="Z867" s="67"/>
      <c r="AA867" s="67"/>
      <c r="AB867" s="67"/>
      <c r="AC867" s="67"/>
      <c r="AD867" s="67"/>
      <c r="AE867" s="67"/>
      <c r="AF867" s="67"/>
      <c r="AG867" s="67"/>
      <c r="AH867" s="67"/>
    </row>
    <row r="868">
      <c r="A868" s="171"/>
      <c r="B868" s="172"/>
      <c r="C868" s="172"/>
      <c r="D868" s="172"/>
      <c r="E868" s="172"/>
      <c r="F868" s="172"/>
      <c r="G868" s="172"/>
      <c r="H868" s="172"/>
      <c r="I868" s="172"/>
      <c r="J868" s="172"/>
      <c r="K868" s="172"/>
      <c r="L868" s="172"/>
      <c r="M868" s="172"/>
      <c r="N868" s="172"/>
      <c r="O868" s="172"/>
      <c r="P868" s="172"/>
      <c r="Q868" s="172"/>
      <c r="R868" s="173"/>
      <c r="S868" s="67"/>
      <c r="T868" s="67"/>
      <c r="U868" s="67"/>
      <c r="V868" s="67"/>
      <c r="W868" s="67"/>
      <c r="X868" s="67"/>
      <c r="Y868" s="67"/>
      <c r="Z868" s="67"/>
      <c r="AA868" s="67"/>
      <c r="AB868" s="67"/>
      <c r="AC868" s="67"/>
      <c r="AD868" s="67"/>
      <c r="AE868" s="67"/>
      <c r="AF868" s="67"/>
      <c r="AG868" s="67"/>
      <c r="AH868" s="67"/>
    </row>
    <row r="869">
      <c r="A869" s="174"/>
      <c r="B869" s="175"/>
      <c r="C869" s="175"/>
      <c r="D869" s="175"/>
      <c r="E869" s="175"/>
      <c r="F869" s="175"/>
      <c r="G869" s="175"/>
      <c r="H869" s="175"/>
      <c r="I869" s="175"/>
      <c r="J869" s="175"/>
      <c r="K869" s="175"/>
      <c r="L869" s="175"/>
      <c r="M869" s="175"/>
      <c r="N869" s="175"/>
      <c r="O869" s="175"/>
      <c r="P869" s="175"/>
      <c r="Q869" s="175"/>
      <c r="R869" s="176"/>
      <c r="S869" s="67"/>
      <c r="T869" s="67"/>
      <c r="U869" s="67"/>
      <c r="V869" s="67"/>
      <c r="W869" s="67"/>
      <c r="X869" s="67"/>
      <c r="Y869" s="67"/>
      <c r="Z869" s="67"/>
      <c r="AA869" s="67"/>
      <c r="AB869" s="67"/>
      <c r="AC869" s="67"/>
      <c r="AD869" s="67"/>
      <c r="AE869" s="67"/>
      <c r="AF869" s="67"/>
      <c r="AG869" s="67"/>
      <c r="AH869" s="67"/>
    </row>
    <row r="870">
      <c r="A870" s="171"/>
      <c r="B870" s="172"/>
      <c r="C870" s="172"/>
      <c r="D870" s="172"/>
      <c r="E870" s="172"/>
      <c r="F870" s="172"/>
      <c r="G870" s="172"/>
      <c r="H870" s="172"/>
      <c r="I870" s="172"/>
      <c r="J870" s="172"/>
      <c r="K870" s="172"/>
      <c r="L870" s="172"/>
      <c r="M870" s="172"/>
      <c r="N870" s="172"/>
      <c r="O870" s="172"/>
      <c r="P870" s="172"/>
      <c r="Q870" s="172"/>
      <c r="R870" s="173"/>
      <c r="S870" s="67"/>
      <c r="T870" s="67"/>
      <c r="U870" s="67"/>
      <c r="V870" s="67"/>
      <c r="W870" s="67"/>
      <c r="X870" s="67"/>
      <c r="Y870" s="67"/>
      <c r="Z870" s="67"/>
      <c r="AA870" s="67"/>
      <c r="AB870" s="67"/>
      <c r="AC870" s="67"/>
      <c r="AD870" s="67"/>
      <c r="AE870" s="67"/>
      <c r="AF870" s="67"/>
      <c r="AG870" s="67"/>
      <c r="AH870" s="67"/>
    </row>
    <row r="871">
      <c r="A871" s="174"/>
      <c r="B871" s="175"/>
      <c r="C871" s="175"/>
      <c r="D871" s="175"/>
      <c r="E871" s="175"/>
      <c r="F871" s="175"/>
      <c r="G871" s="175"/>
      <c r="H871" s="175"/>
      <c r="I871" s="175"/>
      <c r="J871" s="175"/>
      <c r="K871" s="175"/>
      <c r="L871" s="175"/>
      <c r="M871" s="175"/>
      <c r="N871" s="175"/>
      <c r="O871" s="175"/>
      <c r="P871" s="175"/>
      <c r="Q871" s="175"/>
      <c r="R871" s="176"/>
      <c r="S871" s="67"/>
      <c r="T871" s="67"/>
      <c r="U871" s="67"/>
      <c r="V871" s="67"/>
      <c r="W871" s="67"/>
      <c r="X871" s="67"/>
      <c r="Y871" s="67"/>
      <c r="Z871" s="67"/>
      <c r="AA871" s="67"/>
      <c r="AB871" s="67"/>
      <c r="AC871" s="67"/>
      <c r="AD871" s="67"/>
      <c r="AE871" s="67"/>
      <c r="AF871" s="67"/>
      <c r="AG871" s="67"/>
      <c r="AH871" s="67"/>
    </row>
    <row r="872">
      <c r="A872" s="171"/>
      <c r="B872" s="172"/>
      <c r="C872" s="172"/>
      <c r="D872" s="172"/>
      <c r="E872" s="172"/>
      <c r="F872" s="172"/>
      <c r="G872" s="172"/>
      <c r="H872" s="172"/>
      <c r="I872" s="172"/>
      <c r="J872" s="172"/>
      <c r="K872" s="172"/>
      <c r="L872" s="172"/>
      <c r="M872" s="172"/>
      <c r="N872" s="172"/>
      <c r="O872" s="172"/>
      <c r="P872" s="172"/>
      <c r="Q872" s="172"/>
      <c r="R872" s="173"/>
      <c r="S872" s="67"/>
      <c r="T872" s="67"/>
      <c r="U872" s="67"/>
      <c r="V872" s="67"/>
      <c r="W872" s="67"/>
      <c r="X872" s="67"/>
      <c r="Y872" s="67"/>
      <c r="Z872" s="67"/>
      <c r="AA872" s="67"/>
      <c r="AB872" s="67"/>
      <c r="AC872" s="67"/>
      <c r="AD872" s="67"/>
      <c r="AE872" s="67"/>
      <c r="AF872" s="67"/>
      <c r="AG872" s="67"/>
      <c r="AH872" s="67"/>
    </row>
    <row r="873">
      <c r="A873" s="174"/>
      <c r="B873" s="175"/>
      <c r="C873" s="175"/>
      <c r="D873" s="175"/>
      <c r="E873" s="175"/>
      <c r="F873" s="175"/>
      <c r="G873" s="175"/>
      <c r="H873" s="175"/>
      <c r="I873" s="175"/>
      <c r="J873" s="175"/>
      <c r="K873" s="175"/>
      <c r="L873" s="175"/>
      <c r="M873" s="175"/>
      <c r="N873" s="175"/>
      <c r="O873" s="175"/>
      <c r="P873" s="175"/>
      <c r="Q873" s="175"/>
      <c r="R873" s="176"/>
      <c r="S873" s="67"/>
      <c r="T873" s="67"/>
      <c r="U873" s="67"/>
      <c r="V873" s="67"/>
      <c r="W873" s="67"/>
      <c r="X873" s="67"/>
      <c r="Y873" s="67"/>
      <c r="Z873" s="67"/>
      <c r="AA873" s="67"/>
      <c r="AB873" s="67"/>
      <c r="AC873" s="67"/>
      <c r="AD873" s="67"/>
      <c r="AE873" s="67"/>
      <c r="AF873" s="67"/>
      <c r="AG873" s="67"/>
      <c r="AH873" s="67"/>
    </row>
    <row r="874">
      <c r="A874" s="171"/>
      <c r="B874" s="172"/>
      <c r="C874" s="172"/>
      <c r="D874" s="172"/>
      <c r="E874" s="172"/>
      <c r="F874" s="172"/>
      <c r="G874" s="172"/>
      <c r="H874" s="172"/>
      <c r="I874" s="172"/>
      <c r="J874" s="172"/>
      <c r="K874" s="172"/>
      <c r="L874" s="172"/>
      <c r="M874" s="172"/>
      <c r="N874" s="172"/>
      <c r="O874" s="172"/>
      <c r="P874" s="172"/>
      <c r="Q874" s="172"/>
      <c r="R874" s="173"/>
      <c r="S874" s="67"/>
      <c r="T874" s="67"/>
      <c r="U874" s="67"/>
      <c r="V874" s="67"/>
      <c r="W874" s="67"/>
      <c r="X874" s="67"/>
      <c r="Y874" s="67"/>
      <c r="Z874" s="67"/>
      <c r="AA874" s="67"/>
      <c r="AB874" s="67"/>
      <c r="AC874" s="67"/>
      <c r="AD874" s="67"/>
      <c r="AE874" s="67"/>
      <c r="AF874" s="67"/>
      <c r="AG874" s="67"/>
      <c r="AH874" s="67"/>
    </row>
    <row r="875">
      <c r="A875" s="174"/>
      <c r="B875" s="175"/>
      <c r="C875" s="175"/>
      <c r="D875" s="175"/>
      <c r="E875" s="175"/>
      <c r="F875" s="175"/>
      <c r="G875" s="175"/>
      <c r="H875" s="175"/>
      <c r="I875" s="175"/>
      <c r="J875" s="175"/>
      <c r="K875" s="175"/>
      <c r="L875" s="175"/>
      <c r="M875" s="175"/>
      <c r="N875" s="175"/>
      <c r="O875" s="175"/>
      <c r="P875" s="175"/>
      <c r="Q875" s="175"/>
      <c r="R875" s="176"/>
      <c r="S875" s="67"/>
      <c r="T875" s="67"/>
      <c r="U875" s="67"/>
      <c r="V875" s="67"/>
      <c r="W875" s="67"/>
      <c r="X875" s="67"/>
      <c r="Y875" s="67"/>
      <c r="Z875" s="67"/>
      <c r="AA875" s="67"/>
      <c r="AB875" s="67"/>
      <c r="AC875" s="67"/>
      <c r="AD875" s="67"/>
      <c r="AE875" s="67"/>
      <c r="AF875" s="67"/>
      <c r="AG875" s="67"/>
      <c r="AH875" s="67"/>
    </row>
    <row r="876">
      <c r="A876" s="171"/>
      <c r="B876" s="172"/>
      <c r="C876" s="172"/>
      <c r="D876" s="172"/>
      <c r="E876" s="172"/>
      <c r="F876" s="172"/>
      <c r="G876" s="172"/>
      <c r="H876" s="172"/>
      <c r="I876" s="172"/>
      <c r="J876" s="172"/>
      <c r="K876" s="172"/>
      <c r="L876" s="172"/>
      <c r="M876" s="172"/>
      <c r="N876" s="172"/>
      <c r="O876" s="172"/>
      <c r="P876" s="172"/>
      <c r="Q876" s="172"/>
      <c r="R876" s="173"/>
      <c r="S876" s="67"/>
      <c r="T876" s="67"/>
      <c r="U876" s="67"/>
      <c r="V876" s="67"/>
      <c r="W876" s="67"/>
      <c r="X876" s="67"/>
      <c r="Y876" s="67"/>
      <c r="Z876" s="67"/>
      <c r="AA876" s="67"/>
      <c r="AB876" s="67"/>
      <c r="AC876" s="67"/>
      <c r="AD876" s="67"/>
      <c r="AE876" s="67"/>
      <c r="AF876" s="67"/>
      <c r="AG876" s="67"/>
      <c r="AH876" s="67"/>
    </row>
    <row r="877">
      <c r="A877" s="174"/>
      <c r="B877" s="175"/>
      <c r="C877" s="175"/>
      <c r="D877" s="175"/>
      <c r="E877" s="175"/>
      <c r="F877" s="175"/>
      <c r="G877" s="175"/>
      <c r="H877" s="175"/>
      <c r="I877" s="175"/>
      <c r="J877" s="175"/>
      <c r="K877" s="175"/>
      <c r="L877" s="175"/>
      <c r="M877" s="175"/>
      <c r="N877" s="175"/>
      <c r="O877" s="175"/>
      <c r="P877" s="175"/>
      <c r="Q877" s="175"/>
      <c r="R877" s="176"/>
      <c r="S877" s="67"/>
      <c r="T877" s="67"/>
      <c r="U877" s="67"/>
      <c r="V877" s="67"/>
      <c r="W877" s="67"/>
      <c r="X877" s="67"/>
      <c r="Y877" s="67"/>
      <c r="Z877" s="67"/>
      <c r="AA877" s="67"/>
      <c r="AB877" s="67"/>
      <c r="AC877" s="67"/>
      <c r="AD877" s="67"/>
      <c r="AE877" s="67"/>
      <c r="AF877" s="67"/>
      <c r="AG877" s="67"/>
      <c r="AH877" s="67"/>
    </row>
    <row r="878">
      <c r="A878" s="171"/>
      <c r="B878" s="172"/>
      <c r="C878" s="172"/>
      <c r="D878" s="172"/>
      <c r="E878" s="172"/>
      <c r="F878" s="172"/>
      <c r="G878" s="172"/>
      <c r="H878" s="172"/>
      <c r="I878" s="172"/>
      <c r="J878" s="172"/>
      <c r="K878" s="172"/>
      <c r="L878" s="172"/>
      <c r="M878" s="172"/>
      <c r="N878" s="172"/>
      <c r="O878" s="172"/>
      <c r="P878" s="172"/>
      <c r="Q878" s="172"/>
      <c r="R878" s="173"/>
      <c r="S878" s="67"/>
      <c r="T878" s="67"/>
      <c r="U878" s="67"/>
      <c r="V878" s="67"/>
      <c r="W878" s="67"/>
      <c r="X878" s="67"/>
      <c r="Y878" s="67"/>
      <c r="Z878" s="67"/>
      <c r="AA878" s="67"/>
      <c r="AB878" s="67"/>
      <c r="AC878" s="67"/>
      <c r="AD878" s="67"/>
      <c r="AE878" s="67"/>
      <c r="AF878" s="67"/>
      <c r="AG878" s="67"/>
      <c r="AH878" s="67"/>
    </row>
    <row r="879">
      <c r="A879" s="174"/>
      <c r="B879" s="175"/>
      <c r="C879" s="175"/>
      <c r="D879" s="175"/>
      <c r="E879" s="175"/>
      <c r="F879" s="175"/>
      <c r="G879" s="175"/>
      <c r="H879" s="175"/>
      <c r="I879" s="175"/>
      <c r="J879" s="175"/>
      <c r="K879" s="175"/>
      <c r="L879" s="175"/>
      <c r="M879" s="175"/>
      <c r="N879" s="175"/>
      <c r="O879" s="175"/>
      <c r="P879" s="175"/>
      <c r="Q879" s="175"/>
      <c r="R879" s="176"/>
      <c r="S879" s="67"/>
      <c r="T879" s="67"/>
      <c r="U879" s="67"/>
      <c r="V879" s="67"/>
      <c r="W879" s="67"/>
      <c r="X879" s="67"/>
      <c r="Y879" s="67"/>
      <c r="Z879" s="67"/>
      <c r="AA879" s="67"/>
      <c r="AB879" s="67"/>
      <c r="AC879" s="67"/>
      <c r="AD879" s="67"/>
      <c r="AE879" s="67"/>
      <c r="AF879" s="67"/>
      <c r="AG879" s="67"/>
      <c r="AH879" s="67"/>
    </row>
    <row r="880">
      <c r="A880" s="171"/>
      <c r="B880" s="172"/>
      <c r="C880" s="172"/>
      <c r="D880" s="172"/>
      <c r="E880" s="172"/>
      <c r="F880" s="172"/>
      <c r="G880" s="172"/>
      <c r="H880" s="172"/>
      <c r="I880" s="172"/>
      <c r="J880" s="172"/>
      <c r="K880" s="172"/>
      <c r="L880" s="172"/>
      <c r="M880" s="172"/>
      <c r="N880" s="172"/>
      <c r="O880" s="172"/>
      <c r="P880" s="172"/>
      <c r="Q880" s="172"/>
      <c r="R880" s="173"/>
      <c r="S880" s="67"/>
      <c r="T880" s="67"/>
      <c r="U880" s="67"/>
      <c r="V880" s="67"/>
      <c r="W880" s="67"/>
      <c r="X880" s="67"/>
      <c r="Y880" s="67"/>
      <c r="Z880" s="67"/>
      <c r="AA880" s="67"/>
      <c r="AB880" s="67"/>
      <c r="AC880" s="67"/>
      <c r="AD880" s="67"/>
      <c r="AE880" s="67"/>
      <c r="AF880" s="67"/>
      <c r="AG880" s="67"/>
      <c r="AH880" s="67"/>
    </row>
    <row r="881">
      <c r="A881" s="174"/>
      <c r="B881" s="175"/>
      <c r="C881" s="175"/>
      <c r="D881" s="175"/>
      <c r="E881" s="175"/>
      <c r="F881" s="175"/>
      <c r="G881" s="175"/>
      <c r="H881" s="175"/>
      <c r="I881" s="175"/>
      <c r="J881" s="175"/>
      <c r="K881" s="175"/>
      <c r="L881" s="175"/>
      <c r="M881" s="175"/>
      <c r="N881" s="175"/>
      <c r="O881" s="175"/>
      <c r="P881" s="175"/>
      <c r="Q881" s="175"/>
      <c r="R881" s="176"/>
      <c r="S881" s="67"/>
      <c r="T881" s="67"/>
      <c r="U881" s="67"/>
      <c r="V881" s="67"/>
      <c r="W881" s="67"/>
      <c r="X881" s="67"/>
      <c r="Y881" s="67"/>
      <c r="Z881" s="67"/>
      <c r="AA881" s="67"/>
      <c r="AB881" s="67"/>
      <c r="AC881" s="67"/>
      <c r="AD881" s="67"/>
      <c r="AE881" s="67"/>
      <c r="AF881" s="67"/>
      <c r="AG881" s="67"/>
      <c r="AH881" s="67"/>
    </row>
    <row r="882">
      <c r="A882" s="171"/>
      <c r="B882" s="172"/>
      <c r="C882" s="172"/>
      <c r="D882" s="172"/>
      <c r="E882" s="172"/>
      <c r="F882" s="172"/>
      <c r="G882" s="172"/>
      <c r="H882" s="172"/>
      <c r="I882" s="172"/>
      <c r="J882" s="172"/>
      <c r="K882" s="172"/>
      <c r="L882" s="172"/>
      <c r="M882" s="172"/>
      <c r="N882" s="172"/>
      <c r="O882" s="172"/>
      <c r="P882" s="172"/>
      <c r="Q882" s="172"/>
      <c r="R882" s="173"/>
      <c r="S882" s="67"/>
      <c r="T882" s="67"/>
      <c r="U882" s="67"/>
      <c r="V882" s="67"/>
      <c r="W882" s="67"/>
      <c r="X882" s="67"/>
      <c r="Y882" s="67"/>
      <c r="Z882" s="67"/>
      <c r="AA882" s="67"/>
      <c r="AB882" s="67"/>
      <c r="AC882" s="67"/>
      <c r="AD882" s="67"/>
      <c r="AE882" s="67"/>
      <c r="AF882" s="67"/>
      <c r="AG882" s="67"/>
      <c r="AH882" s="67"/>
    </row>
    <row r="883">
      <c r="A883" s="174"/>
      <c r="B883" s="175"/>
      <c r="C883" s="175"/>
      <c r="D883" s="175"/>
      <c r="E883" s="175"/>
      <c r="F883" s="175"/>
      <c r="G883" s="175"/>
      <c r="H883" s="175"/>
      <c r="I883" s="175"/>
      <c r="J883" s="175"/>
      <c r="K883" s="175"/>
      <c r="L883" s="175"/>
      <c r="M883" s="175"/>
      <c r="N883" s="175"/>
      <c r="O883" s="175"/>
      <c r="P883" s="175"/>
      <c r="Q883" s="175"/>
      <c r="R883" s="176"/>
      <c r="S883" s="67"/>
      <c r="T883" s="67"/>
      <c r="U883" s="67"/>
      <c r="V883" s="67"/>
      <c r="W883" s="67"/>
      <c r="X883" s="67"/>
      <c r="Y883" s="67"/>
      <c r="Z883" s="67"/>
      <c r="AA883" s="67"/>
      <c r="AB883" s="67"/>
      <c r="AC883" s="67"/>
      <c r="AD883" s="67"/>
      <c r="AE883" s="67"/>
      <c r="AF883" s="67"/>
      <c r="AG883" s="67"/>
      <c r="AH883" s="67"/>
    </row>
    <row r="884">
      <c r="A884" s="171"/>
      <c r="B884" s="172"/>
      <c r="C884" s="172"/>
      <c r="D884" s="172"/>
      <c r="E884" s="172"/>
      <c r="F884" s="172"/>
      <c r="G884" s="172"/>
      <c r="H884" s="172"/>
      <c r="I884" s="172"/>
      <c r="J884" s="172"/>
      <c r="K884" s="172"/>
      <c r="L884" s="172"/>
      <c r="M884" s="172"/>
      <c r="N884" s="172"/>
      <c r="O884" s="172"/>
      <c r="P884" s="172"/>
      <c r="Q884" s="172"/>
      <c r="R884" s="173"/>
      <c r="S884" s="67"/>
      <c r="T884" s="67"/>
      <c r="U884" s="67"/>
      <c r="V884" s="67"/>
      <c r="W884" s="67"/>
      <c r="X884" s="67"/>
      <c r="Y884" s="67"/>
      <c r="Z884" s="67"/>
      <c r="AA884" s="67"/>
      <c r="AB884" s="67"/>
      <c r="AC884" s="67"/>
      <c r="AD884" s="67"/>
      <c r="AE884" s="67"/>
      <c r="AF884" s="67"/>
      <c r="AG884" s="67"/>
      <c r="AH884" s="67"/>
    </row>
    <row r="885">
      <c r="A885" s="174"/>
      <c r="B885" s="175"/>
      <c r="C885" s="175"/>
      <c r="D885" s="175"/>
      <c r="E885" s="175"/>
      <c r="F885" s="175"/>
      <c r="G885" s="175"/>
      <c r="H885" s="175"/>
      <c r="I885" s="175"/>
      <c r="J885" s="175"/>
      <c r="K885" s="175"/>
      <c r="L885" s="175"/>
      <c r="M885" s="175"/>
      <c r="N885" s="175"/>
      <c r="O885" s="175"/>
      <c r="P885" s="175"/>
      <c r="Q885" s="175"/>
      <c r="R885" s="176"/>
      <c r="S885" s="67"/>
      <c r="T885" s="67"/>
      <c r="U885" s="67"/>
      <c r="V885" s="67"/>
      <c r="W885" s="67"/>
      <c r="X885" s="67"/>
      <c r="Y885" s="67"/>
      <c r="Z885" s="67"/>
      <c r="AA885" s="67"/>
      <c r="AB885" s="67"/>
      <c r="AC885" s="67"/>
      <c r="AD885" s="67"/>
      <c r="AE885" s="67"/>
      <c r="AF885" s="67"/>
      <c r="AG885" s="67"/>
      <c r="AH885" s="67"/>
    </row>
    <row r="886">
      <c r="A886" s="171"/>
      <c r="B886" s="172"/>
      <c r="C886" s="172"/>
      <c r="D886" s="172"/>
      <c r="E886" s="172"/>
      <c r="F886" s="172"/>
      <c r="G886" s="172"/>
      <c r="H886" s="172"/>
      <c r="I886" s="172"/>
      <c r="J886" s="172"/>
      <c r="K886" s="172"/>
      <c r="L886" s="172"/>
      <c r="M886" s="172"/>
      <c r="N886" s="172"/>
      <c r="O886" s="172"/>
      <c r="P886" s="172"/>
      <c r="Q886" s="172"/>
      <c r="R886" s="173"/>
      <c r="S886" s="67"/>
      <c r="T886" s="67"/>
      <c r="U886" s="67"/>
      <c r="V886" s="67"/>
      <c r="W886" s="67"/>
      <c r="X886" s="67"/>
      <c r="Y886" s="67"/>
      <c r="Z886" s="67"/>
      <c r="AA886" s="67"/>
      <c r="AB886" s="67"/>
      <c r="AC886" s="67"/>
      <c r="AD886" s="67"/>
      <c r="AE886" s="67"/>
      <c r="AF886" s="67"/>
      <c r="AG886" s="67"/>
      <c r="AH886" s="67"/>
    </row>
    <row r="887">
      <c r="A887" s="174"/>
      <c r="B887" s="175"/>
      <c r="C887" s="175"/>
      <c r="D887" s="175"/>
      <c r="E887" s="175"/>
      <c r="F887" s="175"/>
      <c r="G887" s="175"/>
      <c r="H887" s="175"/>
      <c r="I887" s="175"/>
      <c r="J887" s="175"/>
      <c r="K887" s="175"/>
      <c r="L887" s="175"/>
      <c r="M887" s="175"/>
      <c r="N887" s="175"/>
      <c r="O887" s="175"/>
      <c r="P887" s="175"/>
      <c r="Q887" s="175"/>
      <c r="R887" s="176"/>
      <c r="S887" s="67"/>
      <c r="T887" s="67"/>
      <c r="U887" s="67"/>
      <c r="V887" s="67"/>
      <c r="W887" s="67"/>
      <c r="X887" s="67"/>
      <c r="Y887" s="67"/>
      <c r="Z887" s="67"/>
      <c r="AA887" s="67"/>
      <c r="AB887" s="67"/>
      <c r="AC887" s="67"/>
      <c r="AD887" s="67"/>
      <c r="AE887" s="67"/>
      <c r="AF887" s="67"/>
      <c r="AG887" s="67"/>
      <c r="AH887" s="67"/>
    </row>
    <row r="888">
      <c r="A888" s="171"/>
      <c r="B888" s="172"/>
      <c r="C888" s="172"/>
      <c r="D888" s="172"/>
      <c r="E888" s="172"/>
      <c r="F888" s="172"/>
      <c r="G888" s="172"/>
      <c r="H888" s="172"/>
      <c r="I888" s="172"/>
      <c r="J888" s="172"/>
      <c r="K888" s="172"/>
      <c r="L888" s="172"/>
      <c r="M888" s="172"/>
      <c r="N888" s="172"/>
      <c r="O888" s="172"/>
      <c r="P888" s="172"/>
      <c r="Q888" s="172"/>
      <c r="R888" s="173"/>
      <c r="S888" s="67"/>
      <c r="T888" s="67"/>
      <c r="U888" s="67"/>
      <c r="V888" s="67"/>
      <c r="W888" s="67"/>
      <c r="X888" s="67"/>
      <c r="Y888" s="67"/>
      <c r="Z888" s="67"/>
      <c r="AA888" s="67"/>
      <c r="AB888" s="67"/>
      <c r="AC888" s="67"/>
      <c r="AD888" s="67"/>
      <c r="AE888" s="67"/>
      <c r="AF888" s="67"/>
      <c r="AG888" s="67"/>
      <c r="AH888" s="67"/>
    </row>
    <row r="889">
      <c r="A889" s="174"/>
      <c r="B889" s="175"/>
      <c r="C889" s="175"/>
      <c r="D889" s="175"/>
      <c r="E889" s="175"/>
      <c r="F889" s="175"/>
      <c r="G889" s="175"/>
      <c r="H889" s="175"/>
      <c r="I889" s="175"/>
      <c r="J889" s="175"/>
      <c r="K889" s="175"/>
      <c r="L889" s="175"/>
      <c r="M889" s="175"/>
      <c r="N889" s="175"/>
      <c r="O889" s="175"/>
      <c r="P889" s="175"/>
      <c r="Q889" s="175"/>
      <c r="R889" s="176"/>
      <c r="S889" s="67"/>
      <c r="T889" s="67"/>
      <c r="U889" s="67"/>
      <c r="V889" s="67"/>
      <c r="W889" s="67"/>
      <c r="X889" s="67"/>
      <c r="Y889" s="67"/>
      <c r="Z889" s="67"/>
      <c r="AA889" s="67"/>
      <c r="AB889" s="67"/>
      <c r="AC889" s="67"/>
      <c r="AD889" s="67"/>
      <c r="AE889" s="67"/>
      <c r="AF889" s="67"/>
      <c r="AG889" s="67"/>
      <c r="AH889" s="67"/>
    </row>
    <row r="890">
      <c r="A890" s="171"/>
      <c r="B890" s="172"/>
      <c r="C890" s="172"/>
      <c r="D890" s="172"/>
      <c r="E890" s="172"/>
      <c r="F890" s="172"/>
      <c r="G890" s="172"/>
      <c r="H890" s="172"/>
      <c r="I890" s="172"/>
      <c r="J890" s="172"/>
      <c r="K890" s="172"/>
      <c r="L890" s="172"/>
      <c r="M890" s="172"/>
      <c r="N890" s="172"/>
      <c r="O890" s="172"/>
      <c r="P890" s="172"/>
      <c r="Q890" s="172"/>
      <c r="R890" s="173"/>
      <c r="S890" s="67"/>
      <c r="T890" s="67"/>
      <c r="U890" s="67"/>
      <c r="V890" s="67"/>
      <c r="W890" s="67"/>
      <c r="X890" s="67"/>
      <c r="Y890" s="67"/>
      <c r="Z890" s="67"/>
      <c r="AA890" s="67"/>
      <c r="AB890" s="67"/>
      <c r="AC890" s="67"/>
      <c r="AD890" s="67"/>
      <c r="AE890" s="67"/>
      <c r="AF890" s="67"/>
      <c r="AG890" s="67"/>
      <c r="AH890" s="67"/>
    </row>
    <row r="891">
      <c r="A891" s="174"/>
      <c r="B891" s="175"/>
      <c r="C891" s="175"/>
      <c r="D891" s="175"/>
      <c r="E891" s="175"/>
      <c r="F891" s="175"/>
      <c r="G891" s="175"/>
      <c r="H891" s="175"/>
      <c r="I891" s="175"/>
      <c r="J891" s="175"/>
      <c r="K891" s="175"/>
      <c r="L891" s="175"/>
      <c r="M891" s="175"/>
      <c r="N891" s="175"/>
      <c r="O891" s="175"/>
      <c r="P891" s="175"/>
      <c r="Q891" s="175"/>
      <c r="R891" s="176"/>
      <c r="S891" s="67"/>
      <c r="T891" s="67"/>
      <c r="U891" s="67"/>
      <c r="V891" s="67"/>
      <c r="W891" s="67"/>
      <c r="X891" s="67"/>
      <c r="Y891" s="67"/>
      <c r="Z891" s="67"/>
      <c r="AA891" s="67"/>
      <c r="AB891" s="67"/>
      <c r="AC891" s="67"/>
      <c r="AD891" s="67"/>
      <c r="AE891" s="67"/>
      <c r="AF891" s="67"/>
      <c r="AG891" s="67"/>
      <c r="AH891" s="67"/>
    </row>
    <row r="892">
      <c r="A892" s="171"/>
      <c r="B892" s="172"/>
      <c r="C892" s="172"/>
      <c r="D892" s="172"/>
      <c r="E892" s="172"/>
      <c r="F892" s="172"/>
      <c r="G892" s="172"/>
      <c r="H892" s="172"/>
      <c r="I892" s="172"/>
      <c r="J892" s="172"/>
      <c r="K892" s="172"/>
      <c r="L892" s="172"/>
      <c r="M892" s="172"/>
      <c r="N892" s="172"/>
      <c r="O892" s="172"/>
      <c r="P892" s="172"/>
      <c r="Q892" s="172"/>
      <c r="R892" s="173"/>
      <c r="S892" s="67"/>
      <c r="T892" s="67"/>
      <c r="U892" s="67"/>
      <c r="V892" s="67"/>
      <c r="W892" s="67"/>
      <c r="X892" s="67"/>
      <c r="Y892" s="67"/>
      <c r="Z892" s="67"/>
      <c r="AA892" s="67"/>
      <c r="AB892" s="67"/>
      <c r="AC892" s="67"/>
      <c r="AD892" s="67"/>
      <c r="AE892" s="67"/>
      <c r="AF892" s="67"/>
      <c r="AG892" s="67"/>
      <c r="AH892" s="67"/>
    </row>
    <row r="893">
      <c r="A893" s="174"/>
      <c r="B893" s="175"/>
      <c r="C893" s="175"/>
      <c r="D893" s="175"/>
      <c r="E893" s="175"/>
      <c r="F893" s="175"/>
      <c r="G893" s="175"/>
      <c r="H893" s="175"/>
      <c r="I893" s="175"/>
      <c r="J893" s="175"/>
      <c r="K893" s="175"/>
      <c r="L893" s="175"/>
      <c r="M893" s="175"/>
      <c r="N893" s="175"/>
      <c r="O893" s="175"/>
      <c r="P893" s="175"/>
      <c r="Q893" s="175"/>
      <c r="R893" s="176"/>
      <c r="S893" s="67"/>
      <c r="T893" s="67"/>
      <c r="U893" s="67"/>
      <c r="V893" s="67"/>
      <c r="W893" s="67"/>
      <c r="X893" s="67"/>
      <c r="Y893" s="67"/>
      <c r="Z893" s="67"/>
      <c r="AA893" s="67"/>
      <c r="AB893" s="67"/>
      <c r="AC893" s="67"/>
      <c r="AD893" s="67"/>
      <c r="AE893" s="67"/>
      <c r="AF893" s="67"/>
      <c r="AG893" s="67"/>
      <c r="AH893" s="67"/>
    </row>
    <row r="894">
      <c r="A894" s="171"/>
      <c r="B894" s="172"/>
      <c r="C894" s="172"/>
      <c r="D894" s="172"/>
      <c r="E894" s="172"/>
      <c r="F894" s="172"/>
      <c r="G894" s="172"/>
      <c r="H894" s="172"/>
      <c r="I894" s="172"/>
      <c r="J894" s="172"/>
      <c r="K894" s="172"/>
      <c r="L894" s="172"/>
      <c r="M894" s="172"/>
      <c r="N894" s="172"/>
      <c r="O894" s="172"/>
      <c r="P894" s="172"/>
      <c r="Q894" s="172"/>
      <c r="R894" s="173"/>
      <c r="S894" s="67"/>
      <c r="T894" s="67"/>
      <c r="U894" s="67"/>
      <c r="V894" s="67"/>
      <c r="W894" s="67"/>
      <c r="X894" s="67"/>
      <c r="Y894" s="67"/>
      <c r="Z894" s="67"/>
      <c r="AA894" s="67"/>
      <c r="AB894" s="67"/>
      <c r="AC894" s="67"/>
      <c r="AD894" s="67"/>
      <c r="AE894" s="67"/>
      <c r="AF894" s="67"/>
      <c r="AG894" s="67"/>
      <c r="AH894" s="67"/>
    </row>
    <row r="895">
      <c r="A895" s="174"/>
      <c r="B895" s="175"/>
      <c r="C895" s="175"/>
      <c r="D895" s="175"/>
      <c r="E895" s="175"/>
      <c r="F895" s="175"/>
      <c r="G895" s="175"/>
      <c r="H895" s="175"/>
      <c r="I895" s="175"/>
      <c r="J895" s="175"/>
      <c r="K895" s="175"/>
      <c r="L895" s="175"/>
      <c r="M895" s="175"/>
      <c r="N895" s="175"/>
      <c r="O895" s="175"/>
      <c r="P895" s="175"/>
      <c r="Q895" s="175"/>
      <c r="R895" s="176"/>
      <c r="S895" s="67"/>
      <c r="T895" s="67"/>
      <c r="U895" s="67"/>
      <c r="V895" s="67"/>
      <c r="W895" s="67"/>
      <c r="X895" s="67"/>
      <c r="Y895" s="67"/>
      <c r="Z895" s="67"/>
      <c r="AA895" s="67"/>
      <c r="AB895" s="67"/>
      <c r="AC895" s="67"/>
      <c r="AD895" s="67"/>
      <c r="AE895" s="67"/>
      <c r="AF895" s="67"/>
      <c r="AG895" s="67"/>
      <c r="AH895" s="67"/>
    </row>
    <row r="896">
      <c r="A896" s="171"/>
      <c r="B896" s="172"/>
      <c r="C896" s="172"/>
      <c r="D896" s="172"/>
      <c r="E896" s="172"/>
      <c r="F896" s="172"/>
      <c r="G896" s="172"/>
      <c r="H896" s="172"/>
      <c r="I896" s="172"/>
      <c r="J896" s="172"/>
      <c r="K896" s="172"/>
      <c r="L896" s="172"/>
      <c r="M896" s="172"/>
      <c r="N896" s="172"/>
      <c r="O896" s="172"/>
      <c r="P896" s="172"/>
      <c r="Q896" s="172"/>
      <c r="R896" s="173"/>
      <c r="S896" s="67"/>
      <c r="T896" s="67"/>
      <c r="U896" s="67"/>
      <c r="V896" s="67"/>
      <c r="W896" s="67"/>
      <c r="X896" s="67"/>
      <c r="Y896" s="67"/>
      <c r="Z896" s="67"/>
      <c r="AA896" s="67"/>
      <c r="AB896" s="67"/>
      <c r="AC896" s="67"/>
      <c r="AD896" s="67"/>
      <c r="AE896" s="67"/>
      <c r="AF896" s="67"/>
      <c r="AG896" s="67"/>
      <c r="AH896" s="67"/>
    </row>
    <row r="897">
      <c r="A897" s="174"/>
      <c r="B897" s="175"/>
      <c r="C897" s="175"/>
      <c r="D897" s="175"/>
      <c r="E897" s="175"/>
      <c r="F897" s="175"/>
      <c r="G897" s="175"/>
      <c r="H897" s="175"/>
      <c r="I897" s="175"/>
      <c r="J897" s="175"/>
      <c r="K897" s="175"/>
      <c r="L897" s="175"/>
      <c r="M897" s="175"/>
      <c r="N897" s="175"/>
      <c r="O897" s="175"/>
      <c r="P897" s="175"/>
      <c r="Q897" s="175"/>
      <c r="R897" s="176"/>
      <c r="S897" s="67"/>
      <c r="T897" s="67"/>
      <c r="U897" s="67"/>
      <c r="V897" s="67"/>
      <c r="W897" s="67"/>
      <c r="X897" s="67"/>
      <c r="Y897" s="67"/>
      <c r="Z897" s="67"/>
      <c r="AA897" s="67"/>
      <c r="AB897" s="67"/>
      <c r="AC897" s="67"/>
      <c r="AD897" s="67"/>
      <c r="AE897" s="67"/>
      <c r="AF897" s="67"/>
      <c r="AG897" s="67"/>
      <c r="AH897" s="67"/>
    </row>
    <row r="898">
      <c r="A898" s="171"/>
      <c r="B898" s="172"/>
      <c r="C898" s="172"/>
      <c r="D898" s="172"/>
      <c r="E898" s="172"/>
      <c r="F898" s="172"/>
      <c r="G898" s="172"/>
      <c r="H898" s="172"/>
      <c r="I898" s="172"/>
      <c r="J898" s="172"/>
      <c r="K898" s="172"/>
      <c r="L898" s="172"/>
      <c r="M898" s="172"/>
      <c r="N898" s="172"/>
      <c r="O898" s="172"/>
      <c r="P898" s="172"/>
      <c r="Q898" s="172"/>
      <c r="R898" s="173"/>
      <c r="S898" s="67"/>
      <c r="T898" s="67"/>
      <c r="U898" s="67"/>
      <c r="V898" s="67"/>
      <c r="W898" s="67"/>
      <c r="X898" s="67"/>
      <c r="Y898" s="67"/>
      <c r="Z898" s="67"/>
      <c r="AA898" s="67"/>
      <c r="AB898" s="67"/>
      <c r="AC898" s="67"/>
      <c r="AD898" s="67"/>
      <c r="AE898" s="67"/>
      <c r="AF898" s="67"/>
      <c r="AG898" s="67"/>
      <c r="AH898" s="67"/>
    </row>
    <row r="899">
      <c r="A899" s="174"/>
      <c r="B899" s="175"/>
      <c r="C899" s="175"/>
      <c r="D899" s="175"/>
      <c r="E899" s="175"/>
      <c r="F899" s="175"/>
      <c r="G899" s="175"/>
      <c r="H899" s="175"/>
      <c r="I899" s="175"/>
      <c r="J899" s="175"/>
      <c r="K899" s="175"/>
      <c r="L899" s="175"/>
      <c r="M899" s="175"/>
      <c r="N899" s="175"/>
      <c r="O899" s="175"/>
      <c r="P899" s="175"/>
      <c r="Q899" s="175"/>
      <c r="R899" s="176"/>
      <c r="S899" s="67"/>
      <c r="T899" s="67"/>
      <c r="U899" s="67"/>
      <c r="V899" s="67"/>
      <c r="W899" s="67"/>
      <c r="X899" s="67"/>
      <c r="Y899" s="67"/>
      <c r="Z899" s="67"/>
      <c r="AA899" s="67"/>
      <c r="AB899" s="67"/>
      <c r="AC899" s="67"/>
      <c r="AD899" s="67"/>
      <c r="AE899" s="67"/>
      <c r="AF899" s="67"/>
      <c r="AG899" s="67"/>
      <c r="AH899" s="67"/>
    </row>
    <row r="900">
      <c r="A900" s="171"/>
      <c r="B900" s="172"/>
      <c r="C900" s="172"/>
      <c r="D900" s="172"/>
      <c r="E900" s="172"/>
      <c r="F900" s="172"/>
      <c r="G900" s="172"/>
      <c r="H900" s="172"/>
      <c r="I900" s="172"/>
      <c r="J900" s="172"/>
      <c r="K900" s="172"/>
      <c r="L900" s="172"/>
      <c r="M900" s="172"/>
      <c r="N900" s="172"/>
      <c r="O900" s="172"/>
      <c r="P900" s="172"/>
      <c r="Q900" s="172"/>
      <c r="R900" s="173"/>
      <c r="S900" s="67"/>
      <c r="T900" s="67"/>
      <c r="U900" s="67"/>
      <c r="V900" s="67"/>
      <c r="W900" s="67"/>
      <c r="X900" s="67"/>
      <c r="Y900" s="67"/>
      <c r="Z900" s="67"/>
      <c r="AA900" s="67"/>
      <c r="AB900" s="67"/>
      <c r="AC900" s="67"/>
      <c r="AD900" s="67"/>
      <c r="AE900" s="67"/>
      <c r="AF900" s="67"/>
      <c r="AG900" s="67"/>
      <c r="AH900" s="67"/>
    </row>
    <row r="901">
      <c r="A901" s="174"/>
      <c r="B901" s="175"/>
      <c r="C901" s="175"/>
      <c r="D901" s="175"/>
      <c r="E901" s="175"/>
      <c r="F901" s="175"/>
      <c r="G901" s="175"/>
      <c r="H901" s="175"/>
      <c r="I901" s="175"/>
      <c r="J901" s="175"/>
      <c r="K901" s="175"/>
      <c r="L901" s="175"/>
      <c r="M901" s="175"/>
      <c r="N901" s="175"/>
      <c r="O901" s="175"/>
      <c r="P901" s="175"/>
      <c r="Q901" s="175"/>
      <c r="R901" s="176"/>
      <c r="S901" s="67"/>
      <c r="T901" s="67"/>
      <c r="U901" s="67"/>
      <c r="V901" s="67"/>
      <c r="W901" s="67"/>
      <c r="X901" s="67"/>
      <c r="Y901" s="67"/>
      <c r="Z901" s="67"/>
      <c r="AA901" s="67"/>
      <c r="AB901" s="67"/>
      <c r="AC901" s="67"/>
      <c r="AD901" s="67"/>
      <c r="AE901" s="67"/>
      <c r="AF901" s="67"/>
      <c r="AG901" s="67"/>
      <c r="AH901" s="67"/>
    </row>
    <row r="902">
      <c r="A902" s="171"/>
      <c r="B902" s="172"/>
      <c r="C902" s="172"/>
      <c r="D902" s="172"/>
      <c r="E902" s="172"/>
      <c r="F902" s="172"/>
      <c r="G902" s="172"/>
      <c r="H902" s="172"/>
      <c r="I902" s="172"/>
      <c r="J902" s="172"/>
      <c r="K902" s="172"/>
      <c r="L902" s="172"/>
      <c r="M902" s="172"/>
      <c r="N902" s="172"/>
      <c r="O902" s="172"/>
      <c r="P902" s="172"/>
      <c r="Q902" s="172"/>
      <c r="R902" s="173"/>
      <c r="S902" s="67"/>
      <c r="T902" s="67"/>
      <c r="U902" s="67"/>
      <c r="V902" s="67"/>
      <c r="W902" s="67"/>
      <c r="X902" s="67"/>
      <c r="Y902" s="67"/>
      <c r="Z902" s="67"/>
      <c r="AA902" s="67"/>
      <c r="AB902" s="67"/>
      <c r="AC902" s="67"/>
      <c r="AD902" s="67"/>
      <c r="AE902" s="67"/>
      <c r="AF902" s="67"/>
      <c r="AG902" s="67"/>
      <c r="AH902" s="67"/>
    </row>
    <row r="903">
      <c r="A903" s="174"/>
      <c r="B903" s="175"/>
      <c r="C903" s="175"/>
      <c r="D903" s="175"/>
      <c r="E903" s="175"/>
      <c r="F903" s="175"/>
      <c r="G903" s="175"/>
      <c r="H903" s="175"/>
      <c r="I903" s="175"/>
      <c r="J903" s="175"/>
      <c r="K903" s="175"/>
      <c r="L903" s="175"/>
      <c r="M903" s="175"/>
      <c r="N903" s="175"/>
      <c r="O903" s="175"/>
      <c r="P903" s="175"/>
      <c r="Q903" s="175"/>
      <c r="R903" s="176"/>
      <c r="S903" s="67"/>
      <c r="T903" s="67"/>
      <c r="U903" s="67"/>
      <c r="V903" s="67"/>
      <c r="W903" s="67"/>
      <c r="X903" s="67"/>
      <c r="Y903" s="67"/>
      <c r="Z903" s="67"/>
      <c r="AA903" s="67"/>
      <c r="AB903" s="67"/>
      <c r="AC903" s="67"/>
      <c r="AD903" s="67"/>
      <c r="AE903" s="67"/>
      <c r="AF903" s="67"/>
      <c r="AG903" s="67"/>
      <c r="AH903" s="67"/>
    </row>
    <row r="904">
      <c r="A904" s="171"/>
      <c r="B904" s="172"/>
      <c r="C904" s="172"/>
      <c r="D904" s="172"/>
      <c r="E904" s="172"/>
      <c r="F904" s="172"/>
      <c r="G904" s="172"/>
      <c r="H904" s="172"/>
      <c r="I904" s="172"/>
      <c r="J904" s="172"/>
      <c r="K904" s="172"/>
      <c r="L904" s="172"/>
      <c r="M904" s="172"/>
      <c r="N904" s="172"/>
      <c r="O904" s="172"/>
      <c r="P904" s="172"/>
      <c r="Q904" s="172"/>
      <c r="R904" s="173"/>
      <c r="S904" s="67"/>
      <c r="T904" s="67"/>
      <c r="U904" s="67"/>
      <c r="V904" s="67"/>
      <c r="W904" s="67"/>
      <c r="X904" s="67"/>
      <c r="Y904" s="67"/>
      <c r="Z904" s="67"/>
      <c r="AA904" s="67"/>
      <c r="AB904" s="67"/>
      <c r="AC904" s="67"/>
      <c r="AD904" s="67"/>
      <c r="AE904" s="67"/>
      <c r="AF904" s="67"/>
      <c r="AG904" s="67"/>
      <c r="AH904" s="67"/>
    </row>
    <row r="905">
      <c r="A905" s="174"/>
      <c r="B905" s="175"/>
      <c r="C905" s="175"/>
      <c r="D905" s="175"/>
      <c r="E905" s="175"/>
      <c r="F905" s="175"/>
      <c r="G905" s="175"/>
      <c r="H905" s="175"/>
      <c r="I905" s="175"/>
      <c r="J905" s="175"/>
      <c r="K905" s="175"/>
      <c r="L905" s="175"/>
      <c r="M905" s="175"/>
      <c r="N905" s="175"/>
      <c r="O905" s="175"/>
      <c r="P905" s="175"/>
      <c r="Q905" s="175"/>
      <c r="R905" s="176"/>
      <c r="S905" s="67"/>
      <c r="T905" s="67"/>
      <c r="U905" s="67"/>
      <c r="V905" s="67"/>
      <c r="W905" s="67"/>
      <c r="X905" s="67"/>
      <c r="Y905" s="67"/>
      <c r="Z905" s="67"/>
      <c r="AA905" s="67"/>
      <c r="AB905" s="67"/>
      <c r="AC905" s="67"/>
      <c r="AD905" s="67"/>
      <c r="AE905" s="67"/>
      <c r="AF905" s="67"/>
      <c r="AG905" s="67"/>
      <c r="AH905" s="67"/>
    </row>
    <row r="906">
      <c r="A906" s="171"/>
      <c r="B906" s="172"/>
      <c r="C906" s="172"/>
      <c r="D906" s="172"/>
      <c r="E906" s="172"/>
      <c r="F906" s="172"/>
      <c r="G906" s="172"/>
      <c r="H906" s="172"/>
      <c r="I906" s="172"/>
      <c r="J906" s="172"/>
      <c r="K906" s="172"/>
      <c r="L906" s="172"/>
      <c r="M906" s="172"/>
      <c r="N906" s="172"/>
      <c r="O906" s="172"/>
      <c r="P906" s="172"/>
      <c r="Q906" s="172"/>
      <c r="R906" s="173"/>
      <c r="S906" s="67"/>
      <c r="T906" s="67"/>
      <c r="U906" s="67"/>
      <c r="V906" s="67"/>
      <c r="W906" s="67"/>
      <c r="X906" s="67"/>
      <c r="Y906" s="67"/>
      <c r="Z906" s="67"/>
      <c r="AA906" s="67"/>
      <c r="AB906" s="67"/>
      <c r="AC906" s="67"/>
      <c r="AD906" s="67"/>
      <c r="AE906" s="67"/>
      <c r="AF906" s="67"/>
      <c r="AG906" s="67"/>
      <c r="AH906" s="67"/>
    </row>
    <row r="907">
      <c r="A907" s="174"/>
      <c r="B907" s="175"/>
      <c r="C907" s="175"/>
      <c r="D907" s="175"/>
      <c r="E907" s="175"/>
      <c r="F907" s="175"/>
      <c r="G907" s="175"/>
      <c r="H907" s="175"/>
      <c r="I907" s="175"/>
      <c r="J907" s="175"/>
      <c r="K907" s="175"/>
      <c r="L907" s="175"/>
      <c r="M907" s="175"/>
      <c r="N907" s="175"/>
      <c r="O907" s="175"/>
      <c r="P907" s="175"/>
      <c r="Q907" s="175"/>
      <c r="R907" s="176"/>
      <c r="S907" s="67"/>
      <c r="T907" s="67"/>
      <c r="U907" s="67"/>
      <c r="V907" s="67"/>
      <c r="W907" s="67"/>
      <c r="X907" s="67"/>
      <c r="Y907" s="67"/>
      <c r="Z907" s="67"/>
      <c r="AA907" s="67"/>
      <c r="AB907" s="67"/>
      <c r="AC907" s="67"/>
      <c r="AD907" s="67"/>
      <c r="AE907" s="67"/>
      <c r="AF907" s="67"/>
      <c r="AG907" s="67"/>
      <c r="AH907" s="67"/>
    </row>
    <row r="908">
      <c r="A908" s="171"/>
      <c r="B908" s="172"/>
      <c r="C908" s="172"/>
      <c r="D908" s="172"/>
      <c r="E908" s="172"/>
      <c r="F908" s="172"/>
      <c r="G908" s="172"/>
      <c r="H908" s="172"/>
      <c r="I908" s="172"/>
      <c r="J908" s="172"/>
      <c r="K908" s="172"/>
      <c r="L908" s="172"/>
      <c r="M908" s="172"/>
      <c r="N908" s="172"/>
      <c r="O908" s="172"/>
      <c r="P908" s="172"/>
      <c r="Q908" s="172"/>
      <c r="R908" s="173"/>
      <c r="S908" s="67"/>
      <c r="T908" s="67"/>
      <c r="U908" s="67"/>
      <c r="V908" s="67"/>
      <c r="W908" s="67"/>
      <c r="X908" s="67"/>
      <c r="Y908" s="67"/>
      <c r="Z908" s="67"/>
      <c r="AA908" s="67"/>
      <c r="AB908" s="67"/>
      <c r="AC908" s="67"/>
      <c r="AD908" s="67"/>
      <c r="AE908" s="67"/>
      <c r="AF908" s="67"/>
      <c r="AG908" s="67"/>
      <c r="AH908" s="67"/>
    </row>
    <row r="909">
      <c r="A909" s="174"/>
      <c r="B909" s="175"/>
      <c r="C909" s="175"/>
      <c r="D909" s="175"/>
      <c r="E909" s="175"/>
      <c r="F909" s="175"/>
      <c r="G909" s="175"/>
      <c r="H909" s="175"/>
      <c r="I909" s="175"/>
      <c r="J909" s="175"/>
      <c r="K909" s="175"/>
      <c r="L909" s="175"/>
      <c r="M909" s="175"/>
      <c r="N909" s="175"/>
      <c r="O909" s="175"/>
      <c r="P909" s="175"/>
      <c r="Q909" s="175"/>
      <c r="R909" s="176"/>
      <c r="S909" s="67"/>
      <c r="T909" s="67"/>
      <c r="U909" s="67"/>
      <c r="V909" s="67"/>
      <c r="W909" s="67"/>
      <c r="X909" s="67"/>
      <c r="Y909" s="67"/>
      <c r="Z909" s="67"/>
      <c r="AA909" s="67"/>
      <c r="AB909" s="67"/>
      <c r="AC909" s="67"/>
      <c r="AD909" s="67"/>
      <c r="AE909" s="67"/>
      <c r="AF909" s="67"/>
      <c r="AG909" s="67"/>
      <c r="AH909" s="67"/>
    </row>
    <row r="910">
      <c r="A910" s="171"/>
      <c r="B910" s="172"/>
      <c r="C910" s="172"/>
      <c r="D910" s="172"/>
      <c r="E910" s="172"/>
      <c r="F910" s="172"/>
      <c r="G910" s="172"/>
      <c r="H910" s="172"/>
      <c r="I910" s="172"/>
      <c r="J910" s="172"/>
      <c r="K910" s="172"/>
      <c r="L910" s="172"/>
      <c r="M910" s="172"/>
      <c r="N910" s="172"/>
      <c r="O910" s="172"/>
      <c r="P910" s="172"/>
      <c r="Q910" s="172"/>
      <c r="R910" s="173"/>
      <c r="S910" s="67"/>
      <c r="T910" s="67"/>
      <c r="U910" s="67"/>
      <c r="V910" s="67"/>
      <c r="W910" s="67"/>
      <c r="X910" s="67"/>
      <c r="Y910" s="67"/>
      <c r="Z910" s="67"/>
      <c r="AA910" s="67"/>
      <c r="AB910" s="67"/>
      <c r="AC910" s="67"/>
      <c r="AD910" s="67"/>
      <c r="AE910" s="67"/>
      <c r="AF910" s="67"/>
      <c r="AG910" s="67"/>
      <c r="AH910" s="67"/>
    </row>
    <row r="911">
      <c r="A911" s="174"/>
      <c r="B911" s="175"/>
      <c r="C911" s="175"/>
      <c r="D911" s="175"/>
      <c r="E911" s="175"/>
      <c r="F911" s="175"/>
      <c r="G911" s="175"/>
      <c r="H911" s="175"/>
      <c r="I911" s="175"/>
      <c r="J911" s="175"/>
      <c r="K911" s="175"/>
      <c r="L911" s="175"/>
      <c r="M911" s="175"/>
      <c r="N911" s="175"/>
      <c r="O911" s="175"/>
      <c r="P911" s="175"/>
      <c r="Q911" s="175"/>
      <c r="R911" s="176"/>
      <c r="S911" s="67"/>
      <c r="T911" s="67"/>
      <c r="U911" s="67"/>
      <c r="V911" s="67"/>
      <c r="W911" s="67"/>
      <c r="X911" s="67"/>
      <c r="Y911" s="67"/>
      <c r="Z911" s="67"/>
      <c r="AA911" s="67"/>
      <c r="AB911" s="67"/>
      <c r="AC911" s="67"/>
      <c r="AD911" s="67"/>
      <c r="AE911" s="67"/>
      <c r="AF911" s="67"/>
      <c r="AG911" s="67"/>
      <c r="AH911" s="67"/>
    </row>
    <row r="912">
      <c r="A912" s="171"/>
      <c r="B912" s="172"/>
      <c r="C912" s="172"/>
      <c r="D912" s="172"/>
      <c r="E912" s="172"/>
      <c r="F912" s="172"/>
      <c r="G912" s="172"/>
      <c r="H912" s="172"/>
      <c r="I912" s="172"/>
      <c r="J912" s="172"/>
      <c r="K912" s="172"/>
      <c r="L912" s="172"/>
      <c r="M912" s="172"/>
      <c r="N912" s="172"/>
      <c r="O912" s="172"/>
      <c r="P912" s="172"/>
      <c r="Q912" s="172"/>
      <c r="R912" s="173"/>
      <c r="S912" s="67"/>
      <c r="T912" s="67"/>
      <c r="U912" s="67"/>
      <c r="V912" s="67"/>
      <c r="W912" s="67"/>
      <c r="X912" s="67"/>
      <c r="Y912" s="67"/>
      <c r="Z912" s="67"/>
      <c r="AA912" s="67"/>
      <c r="AB912" s="67"/>
      <c r="AC912" s="67"/>
      <c r="AD912" s="67"/>
      <c r="AE912" s="67"/>
      <c r="AF912" s="67"/>
      <c r="AG912" s="67"/>
      <c r="AH912" s="67"/>
    </row>
    <row r="913">
      <c r="A913" s="174"/>
      <c r="B913" s="175"/>
      <c r="C913" s="175"/>
      <c r="D913" s="175"/>
      <c r="E913" s="175"/>
      <c r="F913" s="175"/>
      <c r="G913" s="175"/>
      <c r="H913" s="175"/>
      <c r="I913" s="175"/>
      <c r="J913" s="175"/>
      <c r="K913" s="175"/>
      <c r="L913" s="175"/>
      <c r="M913" s="175"/>
      <c r="N913" s="175"/>
      <c r="O913" s="175"/>
      <c r="P913" s="175"/>
      <c r="Q913" s="175"/>
      <c r="R913" s="176"/>
      <c r="S913" s="67"/>
      <c r="T913" s="67"/>
      <c r="U913" s="67"/>
      <c r="V913" s="67"/>
      <c r="W913" s="67"/>
      <c r="X913" s="67"/>
      <c r="Y913" s="67"/>
      <c r="Z913" s="67"/>
      <c r="AA913" s="67"/>
      <c r="AB913" s="67"/>
      <c r="AC913" s="67"/>
      <c r="AD913" s="67"/>
      <c r="AE913" s="67"/>
      <c r="AF913" s="67"/>
      <c r="AG913" s="67"/>
      <c r="AH913" s="67"/>
    </row>
    <row r="914">
      <c r="A914" s="171"/>
      <c r="B914" s="172"/>
      <c r="C914" s="172"/>
      <c r="D914" s="172"/>
      <c r="E914" s="172"/>
      <c r="F914" s="172"/>
      <c r="G914" s="172"/>
      <c r="H914" s="172"/>
      <c r="I914" s="172"/>
      <c r="J914" s="172"/>
      <c r="K914" s="172"/>
      <c r="L914" s="172"/>
      <c r="M914" s="172"/>
      <c r="N914" s="172"/>
      <c r="O914" s="172"/>
      <c r="P914" s="172"/>
      <c r="Q914" s="172"/>
      <c r="R914" s="173"/>
      <c r="S914" s="67"/>
      <c r="T914" s="67"/>
      <c r="U914" s="67"/>
      <c r="V914" s="67"/>
      <c r="W914" s="67"/>
      <c r="X914" s="67"/>
      <c r="Y914" s="67"/>
      <c r="Z914" s="67"/>
      <c r="AA914" s="67"/>
      <c r="AB914" s="67"/>
      <c r="AC914" s="67"/>
      <c r="AD914" s="67"/>
      <c r="AE914" s="67"/>
      <c r="AF914" s="67"/>
      <c r="AG914" s="67"/>
      <c r="AH914" s="67"/>
    </row>
    <row r="915">
      <c r="A915" s="174"/>
      <c r="B915" s="175"/>
      <c r="C915" s="175"/>
      <c r="D915" s="175"/>
      <c r="E915" s="175"/>
      <c r="F915" s="175"/>
      <c r="G915" s="175"/>
      <c r="H915" s="175"/>
      <c r="I915" s="175"/>
      <c r="J915" s="175"/>
      <c r="K915" s="175"/>
      <c r="L915" s="175"/>
      <c r="M915" s="175"/>
      <c r="N915" s="175"/>
      <c r="O915" s="175"/>
      <c r="P915" s="175"/>
      <c r="Q915" s="175"/>
      <c r="R915" s="176"/>
      <c r="S915" s="67"/>
      <c r="T915" s="67"/>
      <c r="U915" s="67"/>
      <c r="V915" s="67"/>
      <c r="W915" s="67"/>
      <c r="X915" s="67"/>
      <c r="Y915" s="67"/>
      <c r="Z915" s="67"/>
      <c r="AA915" s="67"/>
      <c r="AB915" s="67"/>
      <c r="AC915" s="67"/>
      <c r="AD915" s="67"/>
      <c r="AE915" s="67"/>
      <c r="AF915" s="67"/>
      <c r="AG915" s="67"/>
      <c r="AH915" s="67"/>
    </row>
    <row r="916">
      <c r="A916" s="171"/>
      <c r="B916" s="172"/>
      <c r="C916" s="172"/>
      <c r="D916" s="172"/>
      <c r="E916" s="172"/>
      <c r="F916" s="172"/>
      <c r="G916" s="172"/>
      <c r="H916" s="172"/>
      <c r="I916" s="172"/>
      <c r="J916" s="172"/>
      <c r="K916" s="172"/>
      <c r="L916" s="172"/>
      <c r="M916" s="172"/>
      <c r="N916" s="172"/>
      <c r="O916" s="172"/>
      <c r="P916" s="172"/>
      <c r="Q916" s="172"/>
      <c r="R916" s="173"/>
      <c r="S916" s="67"/>
      <c r="T916" s="67"/>
      <c r="U916" s="67"/>
      <c r="V916" s="67"/>
      <c r="W916" s="67"/>
      <c r="X916" s="67"/>
      <c r="Y916" s="67"/>
      <c r="Z916" s="67"/>
      <c r="AA916" s="67"/>
      <c r="AB916" s="67"/>
      <c r="AC916" s="67"/>
      <c r="AD916" s="67"/>
      <c r="AE916" s="67"/>
      <c r="AF916" s="67"/>
      <c r="AG916" s="67"/>
      <c r="AH916" s="67"/>
    </row>
    <row r="917">
      <c r="A917" s="174"/>
      <c r="B917" s="175"/>
      <c r="C917" s="175"/>
      <c r="D917" s="175"/>
      <c r="E917" s="175"/>
      <c r="F917" s="175"/>
      <c r="G917" s="175"/>
      <c r="H917" s="175"/>
      <c r="I917" s="175"/>
      <c r="J917" s="175"/>
      <c r="K917" s="175"/>
      <c r="L917" s="175"/>
      <c r="M917" s="175"/>
      <c r="N917" s="175"/>
      <c r="O917" s="175"/>
      <c r="P917" s="175"/>
      <c r="Q917" s="175"/>
      <c r="R917" s="176"/>
      <c r="S917" s="67"/>
      <c r="T917" s="67"/>
      <c r="U917" s="67"/>
      <c r="V917" s="67"/>
      <c r="W917" s="67"/>
      <c r="X917" s="67"/>
      <c r="Y917" s="67"/>
      <c r="Z917" s="67"/>
      <c r="AA917" s="67"/>
      <c r="AB917" s="67"/>
      <c r="AC917" s="67"/>
      <c r="AD917" s="67"/>
      <c r="AE917" s="67"/>
      <c r="AF917" s="67"/>
      <c r="AG917" s="67"/>
      <c r="AH917" s="67"/>
    </row>
    <row r="918">
      <c r="A918" s="171"/>
      <c r="B918" s="172"/>
      <c r="C918" s="172"/>
      <c r="D918" s="172"/>
      <c r="E918" s="172"/>
      <c r="F918" s="172"/>
      <c r="G918" s="172"/>
      <c r="H918" s="172"/>
      <c r="I918" s="172"/>
      <c r="J918" s="172"/>
      <c r="K918" s="172"/>
      <c r="L918" s="172"/>
      <c r="M918" s="172"/>
      <c r="N918" s="172"/>
      <c r="O918" s="172"/>
      <c r="P918" s="172"/>
      <c r="Q918" s="172"/>
      <c r="R918" s="173"/>
      <c r="S918" s="67"/>
      <c r="T918" s="67"/>
      <c r="U918" s="67"/>
      <c r="V918" s="67"/>
      <c r="W918" s="67"/>
      <c r="X918" s="67"/>
      <c r="Y918" s="67"/>
      <c r="Z918" s="67"/>
      <c r="AA918" s="67"/>
      <c r="AB918" s="67"/>
      <c r="AC918" s="67"/>
      <c r="AD918" s="67"/>
      <c r="AE918" s="67"/>
      <c r="AF918" s="67"/>
      <c r="AG918" s="67"/>
      <c r="AH918" s="67"/>
    </row>
    <row r="919">
      <c r="A919" s="174"/>
      <c r="B919" s="175"/>
      <c r="C919" s="175"/>
      <c r="D919" s="175"/>
      <c r="E919" s="175"/>
      <c r="F919" s="175"/>
      <c r="G919" s="175"/>
      <c r="H919" s="175"/>
      <c r="I919" s="175"/>
      <c r="J919" s="175"/>
      <c r="K919" s="175"/>
      <c r="L919" s="175"/>
      <c r="M919" s="175"/>
      <c r="N919" s="175"/>
      <c r="O919" s="175"/>
      <c r="P919" s="175"/>
      <c r="Q919" s="175"/>
      <c r="R919" s="176"/>
      <c r="S919" s="67"/>
      <c r="T919" s="67"/>
      <c r="U919" s="67"/>
      <c r="V919" s="67"/>
      <c r="W919" s="67"/>
      <c r="X919" s="67"/>
      <c r="Y919" s="67"/>
      <c r="Z919" s="67"/>
      <c r="AA919" s="67"/>
      <c r="AB919" s="67"/>
      <c r="AC919" s="67"/>
      <c r="AD919" s="67"/>
      <c r="AE919" s="67"/>
      <c r="AF919" s="67"/>
      <c r="AG919" s="67"/>
      <c r="AH919" s="67"/>
    </row>
    <row r="920">
      <c r="A920" s="171"/>
      <c r="B920" s="172"/>
      <c r="C920" s="172"/>
      <c r="D920" s="172"/>
      <c r="E920" s="172"/>
      <c r="F920" s="172"/>
      <c r="G920" s="172"/>
      <c r="H920" s="172"/>
      <c r="I920" s="172"/>
      <c r="J920" s="172"/>
      <c r="K920" s="172"/>
      <c r="L920" s="172"/>
      <c r="M920" s="172"/>
      <c r="N920" s="172"/>
      <c r="O920" s="172"/>
      <c r="P920" s="172"/>
      <c r="Q920" s="172"/>
      <c r="R920" s="173"/>
      <c r="S920" s="67"/>
      <c r="T920" s="67"/>
      <c r="U920" s="67"/>
      <c r="V920" s="67"/>
      <c r="W920" s="67"/>
      <c r="X920" s="67"/>
      <c r="Y920" s="67"/>
      <c r="Z920" s="67"/>
      <c r="AA920" s="67"/>
      <c r="AB920" s="67"/>
      <c r="AC920" s="67"/>
      <c r="AD920" s="67"/>
      <c r="AE920" s="67"/>
      <c r="AF920" s="67"/>
      <c r="AG920" s="67"/>
      <c r="AH920" s="67"/>
    </row>
    <row r="921">
      <c r="A921" s="174"/>
      <c r="B921" s="175"/>
      <c r="C921" s="175"/>
      <c r="D921" s="175"/>
      <c r="E921" s="175"/>
      <c r="F921" s="175"/>
      <c r="G921" s="175"/>
      <c r="H921" s="175"/>
      <c r="I921" s="175"/>
      <c r="J921" s="175"/>
      <c r="K921" s="175"/>
      <c r="L921" s="175"/>
      <c r="M921" s="175"/>
      <c r="N921" s="175"/>
      <c r="O921" s="175"/>
      <c r="P921" s="175"/>
      <c r="Q921" s="175"/>
      <c r="R921" s="176"/>
      <c r="S921" s="67"/>
      <c r="T921" s="67"/>
      <c r="U921" s="67"/>
      <c r="V921" s="67"/>
      <c r="W921" s="67"/>
      <c r="X921" s="67"/>
      <c r="Y921" s="67"/>
      <c r="Z921" s="67"/>
      <c r="AA921" s="67"/>
      <c r="AB921" s="67"/>
      <c r="AC921" s="67"/>
      <c r="AD921" s="67"/>
      <c r="AE921" s="67"/>
      <c r="AF921" s="67"/>
      <c r="AG921" s="67"/>
      <c r="AH921" s="67"/>
    </row>
    <row r="922">
      <c r="A922" s="171"/>
      <c r="B922" s="172"/>
      <c r="C922" s="172"/>
      <c r="D922" s="172"/>
      <c r="E922" s="172"/>
      <c r="F922" s="172"/>
      <c r="G922" s="172"/>
      <c r="H922" s="172"/>
      <c r="I922" s="172"/>
      <c r="J922" s="172"/>
      <c r="K922" s="172"/>
      <c r="L922" s="172"/>
      <c r="M922" s="172"/>
      <c r="N922" s="172"/>
      <c r="O922" s="172"/>
      <c r="P922" s="172"/>
      <c r="Q922" s="172"/>
      <c r="R922" s="173"/>
      <c r="S922" s="67"/>
      <c r="T922" s="67"/>
      <c r="U922" s="67"/>
      <c r="V922" s="67"/>
      <c r="W922" s="67"/>
      <c r="X922" s="67"/>
      <c r="Y922" s="67"/>
      <c r="Z922" s="67"/>
      <c r="AA922" s="67"/>
      <c r="AB922" s="67"/>
      <c r="AC922" s="67"/>
      <c r="AD922" s="67"/>
      <c r="AE922" s="67"/>
      <c r="AF922" s="67"/>
      <c r="AG922" s="67"/>
      <c r="AH922" s="67"/>
    </row>
    <row r="923">
      <c r="A923" s="174"/>
      <c r="B923" s="175"/>
      <c r="C923" s="175"/>
      <c r="D923" s="175"/>
      <c r="E923" s="175"/>
      <c r="F923" s="175"/>
      <c r="G923" s="175"/>
      <c r="H923" s="175"/>
      <c r="I923" s="175"/>
      <c r="J923" s="175"/>
      <c r="K923" s="175"/>
      <c r="L923" s="175"/>
      <c r="M923" s="175"/>
      <c r="N923" s="175"/>
      <c r="O923" s="175"/>
      <c r="P923" s="175"/>
      <c r="Q923" s="175"/>
      <c r="R923" s="176"/>
      <c r="S923" s="67"/>
      <c r="T923" s="67"/>
      <c r="U923" s="67"/>
      <c r="V923" s="67"/>
      <c r="W923" s="67"/>
      <c r="X923" s="67"/>
      <c r="Y923" s="67"/>
      <c r="Z923" s="67"/>
      <c r="AA923" s="67"/>
      <c r="AB923" s="67"/>
      <c r="AC923" s="67"/>
      <c r="AD923" s="67"/>
      <c r="AE923" s="67"/>
      <c r="AF923" s="67"/>
      <c r="AG923" s="67"/>
      <c r="AH923" s="67"/>
    </row>
    <row r="924">
      <c r="A924" s="171"/>
      <c r="B924" s="172"/>
      <c r="C924" s="172"/>
      <c r="D924" s="172"/>
      <c r="E924" s="172"/>
      <c r="F924" s="172"/>
      <c r="G924" s="172"/>
      <c r="H924" s="172"/>
      <c r="I924" s="172"/>
      <c r="J924" s="172"/>
      <c r="K924" s="172"/>
      <c r="L924" s="172"/>
      <c r="M924" s="172"/>
      <c r="N924" s="172"/>
      <c r="O924" s="172"/>
      <c r="P924" s="172"/>
      <c r="Q924" s="172"/>
      <c r="R924" s="173"/>
      <c r="S924" s="67"/>
      <c r="T924" s="67"/>
      <c r="U924" s="67"/>
      <c r="V924" s="67"/>
      <c r="W924" s="67"/>
      <c r="X924" s="67"/>
      <c r="Y924" s="67"/>
      <c r="Z924" s="67"/>
      <c r="AA924" s="67"/>
      <c r="AB924" s="67"/>
      <c r="AC924" s="67"/>
      <c r="AD924" s="67"/>
      <c r="AE924" s="67"/>
      <c r="AF924" s="67"/>
      <c r="AG924" s="67"/>
      <c r="AH924" s="67"/>
    </row>
    <row r="925">
      <c r="A925" s="174"/>
      <c r="B925" s="175"/>
      <c r="C925" s="175"/>
      <c r="D925" s="175"/>
      <c r="E925" s="175"/>
      <c r="F925" s="175"/>
      <c r="G925" s="175"/>
      <c r="H925" s="175"/>
      <c r="I925" s="175"/>
      <c r="J925" s="175"/>
      <c r="K925" s="175"/>
      <c r="L925" s="175"/>
      <c r="M925" s="175"/>
      <c r="N925" s="175"/>
      <c r="O925" s="175"/>
      <c r="P925" s="175"/>
      <c r="Q925" s="175"/>
      <c r="R925" s="176"/>
      <c r="S925" s="67"/>
      <c r="T925" s="67"/>
      <c r="U925" s="67"/>
      <c r="V925" s="67"/>
      <c r="W925" s="67"/>
      <c r="X925" s="67"/>
      <c r="Y925" s="67"/>
      <c r="Z925" s="67"/>
      <c r="AA925" s="67"/>
      <c r="AB925" s="67"/>
      <c r="AC925" s="67"/>
      <c r="AD925" s="67"/>
      <c r="AE925" s="67"/>
      <c r="AF925" s="67"/>
      <c r="AG925" s="67"/>
      <c r="AH925" s="67"/>
    </row>
    <row r="926">
      <c r="A926" s="171"/>
      <c r="B926" s="172"/>
      <c r="C926" s="172"/>
      <c r="D926" s="172"/>
      <c r="E926" s="172"/>
      <c r="F926" s="172"/>
      <c r="G926" s="172"/>
      <c r="H926" s="172"/>
      <c r="I926" s="172"/>
      <c r="J926" s="172"/>
      <c r="K926" s="172"/>
      <c r="L926" s="172"/>
      <c r="M926" s="172"/>
      <c r="N926" s="172"/>
      <c r="O926" s="172"/>
      <c r="P926" s="172"/>
      <c r="Q926" s="172"/>
      <c r="R926" s="173"/>
      <c r="S926" s="67"/>
      <c r="T926" s="67"/>
      <c r="U926" s="67"/>
      <c r="V926" s="67"/>
      <c r="W926" s="67"/>
      <c r="X926" s="67"/>
      <c r="Y926" s="67"/>
      <c r="Z926" s="67"/>
      <c r="AA926" s="67"/>
      <c r="AB926" s="67"/>
      <c r="AC926" s="67"/>
      <c r="AD926" s="67"/>
      <c r="AE926" s="67"/>
      <c r="AF926" s="67"/>
      <c r="AG926" s="67"/>
      <c r="AH926" s="67"/>
    </row>
    <row r="927">
      <c r="A927" s="174"/>
      <c r="B927" s="175"/>
      <c r="C927" s="175"/>
      <c r="D927" s="175"/>
      <c r="E927" s="175"/>
      <c r="F927" s="175"/>
      <c r="G927" s="175"/>
      <c r="H927" s="175"/>
      <c r="I927" s="175"/>
      <c r="J927" s="175"/>
      <c r="K927" s="175"/>
      <c r="L927" s="175"/>
      <c r="M927" s="175"/>
      <c r="N927" s="175"/>
      <c r="O927" s="175"/>
      <c r="P927" s="175"/>
      <c r="Q927" s="175"/>
      <c r="R927" s="176"/>
      <c r="S927" s="67"/>
      <c r="T927" s="67"/>
      <c r="U927" s="67"/>
      <c r="V927" s="67"/>
      <c r="W927" s="67"/>
      <c r="X927" s="67"/>
      <c r="Y927" s="67"/>
      <c r="Z927" s="67"/>
      <c r="AA927" s="67"/>
      <c r="AB927" s="67"/>
      <c r="AC927" s="67"/>
      <c r="AD927" s="67"/>
      <c r="AE927" s="67"/>
      <c r="AF927" s="67"/>
      <c r="AG927" s="67"/>
      <c r="AH927" s="67"/>
    </row>
    <row r="928">
      <c r="A928" s="171"/>
      <c r="B928" s="172"/>
      <c r="C928" s="172"/>
      <c r="D928" s="172"/>
      <c r="E928" s="172"/>
      <c r="F928" s="172"/>
      <c r="G928" s="172"/>
      <c r="H928" s="172"/>
      <c r="I928" s="172"/>
      <c r="J928" s="172"/>
      <c r="K928" s="172"/>
      <c r="L928" s="172"/>
      <c r="M928" s="172"/>
      <c r="N928" s="172"/>
      <c r="O928" s="172"/>
      <c r="P928" s="172"/>
      <c r="Q928" s="172"/>
      <c r="R928" s="173"/>
      <c r="S928" s="67"/>
      <c r="T928" s="67"/>
      <c r="U928" s="67"/>
      <c r="V928" s="67"/>
      <c r="W928" s="67"/>
      <c r="X928" s="67"/>
      <c r="Y928" s="67"/>
      <c r="Z928" s="67"/>
      <c r="AA928" s="67"/>
      <c r="AB928" s="67"/>
      <c r="AC928" s="67"/>
      <c r="AD928" s="67"/>
      <c r="AE928" s="67"/>
      <c r="AF928" s="67"/>
      <c r="AG928" s="67"/>
      <c r="AH928" s="67"/>
    </row>
    <row r="929">
      <c r="A929" s="174"/>
      <c r="B929" s="175"/>
      <c r="C929" s="175"/>
      <c r="D929" s="175"/>
      <c r="E929" s="175"/>
      <c r="F929" s="175"/>
      <c r="G929" s="175"/>
      <c r="H929" s="175"/>
      <c r="I929" s="175"/>
      <c r="J929" s="175"/>
      <c r="K929" s="175"/>
      <c r="L929" s="175"/>
      <c r="M929" s="175"/>
      <c r="N929" s="175"/>
      <c r="O929" s="175"/>
      <c r="P929" s="175"/>
      <c r="Q929" s="175"/>
      <c r="R929" s="176"/>
      <c r="S929" s="67"/>
      <c r="T929" s="67"/>
      <c r="U929" s="67"/>
      <c r="V929" s="67"/>
      <c r="W929" s="67"/>
      <c r="X929" s="67"/>
      <c r="Y929" s="67"/>
      <c r="Z929" s="67"/>
      <c r="AA929" s="67"/>
      <c r="AB929" s="67"/>
      <c r="AC929" s="67"/>
      <c r="AD929" s="67"/>
      <c r="AE929" s="67"/>
      <c r="AF929" s="67"/>
      <c r="AG929" s="67"/>
      <c r="AH929" s="67"/>
    </row>
    <row r="930">
      <c r="A930" s="171"/>
      <c r="B930" s="172"/>
      <c r="C930" s="172"/>
      <c r="D930" s="172"/>
      <c r="E930" s="172"/>
      <c r="F930" s="172"/>
      <c r="G930" s="172"/>
      <c r="H930" s="172"/>
      <c r="I930" s="172"/>
      <c r="J930" s="172"/>
      <c r="K930" s="172"/>
      <c r="L930" s="172"/>
      <c r="M930" s="172"/>
      <c r="N930" s="172"/>
      <c r="O930" s="172"/>
      <c r="P930" s="172"/>
      <c r="Q930" s="172"/>
      <c r="R930" s="173"/>
      <c r="S930" s="67"/>
      <c r="T930" s="67"/>
      <c r="U930" s="67"/>
      <c r="V930" s="67"/>
      <c r="W930" s="67"/>
      <c r="X930" s="67"/>
      <c r="Y930" s="67"/>
      <c r="Z930" s="67"/>
      <c r="AA930" s="67"/>
      <c r="AB930" s="67"/>
      <c r="AC930" s="67"/>
      <c r="AD930" s="67"/>
      <c r="AE930" s="67"/>
      <c r="AF930" s="67"/>
      <c r="AG930" s="67"/>
      <c r="AH930" s="67"/>
    </row>
    <row r="931">
      <c r="A931" s="174"/>
      <c r="B931" s="175"/>
      <c r="C931" s="175"/>
      <c r="D931" s="175"/>
      <c r="E931" s="175"/>
      <c r="F931" s="175"/>
      <c r="G931" s="175"/>
      <c r="H931" s="175"/>
      <c r="I931" s="175"/>
      <c r="J931" s="175"/>
      <c r="K931" s="175"/>
      <c r="L931" s="175"/>
      <c r="M931" s="175"/>
      <c r="N931" s="175"/>
      <c r="O931" s="175"/>
      <c r="P931" s="175"/>
      <c r="Q931" s="175"/>
      <c r="R931" s="176"/>
      <c r="S931" s="67"/>
      <c r="T931" s="67"/>
      <c r="U931" s="67"/>
      <c r="V931" s="67"/>
      <c r="W931" s="67"/>
      <c r="X931" s="67"/>
      <c r="Y931" s="67"/>
      <c r="Z931" s="67"/>
      <c r="AA931" s="67"/>
      <c r="AB931" s="67"/>
      <c r="AC931" s="67"/>
      <c r="AD931" s="67"/>
      <c r="AE931" s="67"/>
      <c r="AF931" s="67"/>
      <c r="AG931" s="67"/>
      <c r="AH931" s="67"/>
    </row>
    <row r="932">
      <c r="A932" s="171"/>
      <c r="B932" s="172"/>
      <c r="C932" s="172"/>
      <c r="D932" s="172"/>
      <c r="E932" s="172"/>
      <c r="F932" s="172"/>
      <c r="G932" s="172"/>
      <c r="H932" s="172"/>
      <c r="I932" s="172"/>
      <c r="J932" s="172"/>
      <c r="K932" s="172"/>
      <c r="L932" s="172"/>
      <c r="M932" s="172"/>
      <c r="N932" s="172"/>
      <c r="O932" s="172"/>
      <c r="P932" s="172"/>
      <c r="Q932" s="172"/>
      <c r="R932" s="173"/>
      <c r="S932" s="67"/>
      <c r="T932" s="67"/>
      <c r="U932" s="67"/>
      <c r="V932" s="67"/>
      <c r="W932" s="67"/>
      <c r="X932" s="67"/>
      <c r="Y932" s="67"/>
      <c r="Z932" s="67"/>
      <c r="AA932" s="67"/>
      <c r="AB932" s="67"/>
      <c r="AC932" s="67"/>
      <c r="AD932" s="67"/>
      <c r="AE932" s="67"/>
      <c r="AF932" s="67"/>
      <c r="AG932" s="67"/>
      <c r="AH932" s="67"/>
    </row>
    <row r="933">
      <c r="A933" s="174"/>
      <c r="B933" s="175"/>
      <c r="C933" s="175"/>
      <c r="D933" s="175"/>
      <c r="E933" s="175"/>
      <c r="F933" s="175"/>
      <c r="G933" s="175"/>
      <c r="H933" s="175"/>
      <c r="I933" s="175"/>
      <c r="J933" s="175"/>
      <c r="K933" s="175"/>
      <c r="L933" s="175"/>
      <c r="M933" s="175"/>
      <c r="N933" s="175"/>
      <c r="O933" s="175"/>
      <c r="P933" s="175"/>
      <c r="Q933" s="175"/>
      <c r="R933" s="176"/>
      <c r="S933" s="67"/>
      <c r="T933" s="67"/>
      <c r="U933" s="67"/>
      <c r="V933" s="67"/>
      <c r="W933" s="67"/>
      <c r="X933" s="67"/>
      <c r="Y933" s="67"/>
      <c r="Z933" s="67"/>
      <c r="AA933" s="67"/>
      <c r="AB933" s="67"/>
      <c r="AC933" s="67"/>
      <c r="AD933" s="67"/>
      <c r="AE933" s="67"/>
      <c r="AF933" s="67"/>
      <c r="AG933" s="67"/>
      <c r="AH933" s="67"/>
    </row>
    <row r="934">
      <c r="A934" s="171"/>
      <c r="B934" s="172"/>
      <c r="C934" s="172"/>
      <c r="D934" s="172"/>
      <c r="E934" s="172"/>
      <c r="F934" s="172"/>
      <c r="G934" s="172"/>
      <c r="H934" s="172"/>
      <c r="I934" s="172"/>
      <c r="J934" s="172"/>
      <c r="K934" s="172"/>
      <c r="L934" s="172"/>
      <c r="M934" s="172"/>
      <c r="N934" s="172"/>
      <c r="O934" s="172"/>
      <c r="P934" s="172"/>
      <c r="Q934" s="172"/>
      <c r="R934" s="173"/>
      <c r="S934" s="67"/>
      <c r="T934" s="67"/>
      <c r="U934" s="67"/>
      <c r="V934" s="67"/>
      <c r="W934" s="67"/>
      <c r="X934" s="67"/>
      <c r="Y934" s="67"/>
      <c r="Z934" s="67"/>
      <c r="AA934" s="67"/>
      <c r="AB934" s="67"/>
      <c r="AC934" s="67"/>
      <c r="AD934" s="67"/>
      <c r="AE934" s="67"/>
      <c r="AF934" s="67"/>
      <c r="AG934" s="67"/>
      <c r="AH934" s="67"/>
    </row>
    <row r="935">
      <c r="A935" s="174"/>
      <c r="B935" s="175"/>
      <c r="C935" s="175"/>
      <c r="D935" s="175"/>
      <c r="E935" s="175"/>
      <c r="F935" s="175"/>
      <c r="G935" s="175"/>
      <c r="H935" s="175"/>
      <c r="I935" s="175"/>
      <c r="J935" s="175"/>
      <c r="K935" s="175"/>
      <c r="L935" s="175"/>
      <c r="M935" s="175"/>
      <c r="N935" s="175"/>
      <c r="O935" s="175"/>
      <c r="P935" s="175"/>
      <c r="Q935" s="175"/>
      <c r="R935" s="176"/>
      <c r="S935" s="67"/>
      <c r="T935" s="67"/>
      <c r="U935" s="67"/>
      <c r="V935" s="67"/>
      <c r="W935" s="67"/>
      <c r="X935" s="67"/>
      <c r="Y935" s="67"/>
      <c r="Z935" s="67"/>
      <c r="AA935" s="67"/>
      <c r="AB935" s="67"/>
      <c r="AC935" s="67"/>
      <c r="AD935" s="67"/>
      <c r="AE935" s="67"/>
      <c r="AF935" s="67"/>
      <c r="AG935" s="67"/>
      <c r="AH935" s="67"/>
    </row>
    <row r="936">
      <c r="A936" s="171"/>
      <c r="B936" s="172"/>
      <c r="C936" s="172"/>
      <c r="D936" s="172"/>
      <c r="E936" s="172"/>
      <c r="F936" s="172"/>
      <c r="G936" s="172"/>
      <c r="H936" s="172"/>
      <c r="I936" s="172"/>
      <c r="J936" s="172"/>
      <c r="K936" s="172"/>
      <c r="L936" s="172"/>
      <c r="M936" s="172"/>
      <c r="N936" s="172"/>
      <c r="O936" s="172"/>
      <c r="P936" s="172"/>
      <c r="Q936" s="172"/>
      <c r="R936" s="173"/>
      <c r="S936" s="67"/>
      <c r="T936" s="67"/>
      <c r="U936" s="67"/>
      <c r="V936" s="67"/>
      <c r="W936" s="67"/>
      <c r="X936" s="67"/>
      <c r="Y936" s="67"/>
      <c r="Z936" s="67"/>
      <c r="AA936" s="67"/>
      <c r="AB936" s="67"/>
      <c r="AC936" s="67"/>
      <c r="AD936" s="67"/>
      <c r="AE936" s="67"/>
      <c r="AF936" s="67"/>
      <c r="AG936" s="67"/>
      <c r="AH936" s="67"/>
    </row>
    <row r="937">
      <c r="A937" s="174"/>
      <c r="B937" s="175"/>
      <c r="C937" s="175"/>
      <c r="D937" s="175"/>
      <c r="E937" s="175"/>
      <c r="F937" s="175"/>
      <c r="G937" s="175"/>
      <c r="H937" s="175"/>
      <c r="I937" s="175"/>
      <c r="J937" s="175"/>
      <c r="K937" s="175"/>
      <c r="L937" s="175"/>
      <c r="M937" s="175"/>
      <c r="N937" s="175"/>
      <c r="O937" s="175"/>
      <c r="P937" s="175"/>
      <c r="Q937" s="175"/>
      <c r="R937" s="176"/>
      <c r="S937" s="67"/>
      <c r="T937" s="67"/>
      <c r="U937" s="67"/>
      <c r="V937" s="67"/>
      <c r="W937" s="67"/>
      <c r="X937" s="67"/>
      <c r="Y937" s="67"/>
      <c r="Z937" s="67"/>
      <c r="AA937" s="67"/>
      <c r="AB937" s="67"/>
      <c r="AC937" s="67"/>
      <c r="AD937" s="67"/>
      <c r="AE937" s="67"/>
      <c r="AF937" s="67"/>
      <c r="AG937" s="67"/>
      <c r="AH937" s="67"/>
    </row>
    <row r="938">
      <c r="A938" s="171"/>
      <c r="B938" s="172"/>
      <c r="C938" s="172"/>
      <c r="D938" s="172"/>
      <c r="E938" s="172"/>
      <c r="F938" s="172"/>
      <c r="G938" s="172"/>
      <c r="H938" s="172"/>
      <c r="I938" s="172"/>
      <c r="J938" s="172"/>
      <c r="K938" s="172"/>
      <c r="L938" s="172"/>
      <c r="M938" s="172"/>
      <c r="N938" s="172"/>
      <c r="O938" s="172"/>
      <c r="P938" s="172"/>
      <c r="Q938" s="172"/>
      <c r="R938" s="173"/>
      <c r="S938" s="67"/>
      <c r="T938" s="67"/>
      <c r="U938" s="67"/>
      <c r="V938" s="67"/>
      <c r="W938" s="67"/>
      <c r="X938" s="67"/>
      <c r="Y938" s="67"/>
      <c r="Z938" s="67"/>
      <c r="AA938" s="67"/>
      <c r="AB938" s="67"/>
      <c r="AC938" s="67"/>
      <c r="AD938" s="67"/>
      <c r="AE938" s="67"/>
      <c r="AF938" s="67"/>
      <c r="AG938" s="67"/>
      <c r="AH938" s="67"/>
    </row>
    <row r="939">
      <c r="A939" s="174"/>
      <c r="B939" s="175"/>
      <c r="C939" s="175"/>
      <c r="D939" s="175"/>
      <c r="E939" s="175"/>
      <c r="F939" s="175"/>
      <c r="G939" s="175"/>
      <c r="H939" s="175"/>
      <c r="I939" s="175"/>
      <c r="J939" s="175"/>
      <c r="K939" s="175"/>
      <c r="L939" s="175"/>
      <c r="M939" s="175"/>
      <c r="N939" s="175"/>
      <c r="O939" s="175"/>
      <c r="P939" s="175"/>
      <c r="Q939" s="175"/>
      <c r="R939" s="176"/>
      <c r="S939" s="67"/>
      <c r="T939" s="67"/>
      <c r="U939" s="67"/>
      <c r="V939" s="67"/>
      <c r="W939" s="67"/>
      <c r="X939" s="67"/>
      <c r="Y939" s="67"/>
      <c r="Z939" s="67"/>
      <c r="AA939" s="67"/>
      <c r="AB939" s="67"/>
      <c r="AC939" s="67"/>
      <c r="AD939" s="67"/>
      <c r="AE939" s="67"/>
      <c r="AF939" s="67"/>
      <c r="AG939" s="67"/>
      <c r="AH939" s="67"/>
    </row>
    <row r="940">
      <c r="A940" s="171"/>
      <c r="B940" s="172"/>
      <c r="C940" s="172"/>
      <c r="D940" s="172"/>
      <c r="E940" s="172"/>
      <c r="F940" s="172"/>
      <c r="G940" s="172"/>
      <c r="H940" s="172"/>
      <c r="I940" s="172"/>
      <c r="J940" s="172"/>
      <c r="K940" s="172"/>
      <c r="L940" s="172"/>
      <c r="M940" s="172"/>
      <c r="N940" s="172"/>
      <c r="O940" s="172"/>
      <c r="P940" s="172"/>
      <c r="Q940" s="172"/>
      <c r="R940" s="173"/>
      <c r="S940" s="67"/>
      <c r="T940" s="67"/>
      <c r="U940" s="67"/>
      <c r="V940" s="67"/>
      <c r="W940" s="67"/>
      <c r="X940" s="67"/>
      <c r="Y940" s="67"/>
      <c r="Z940" s="67"/>
      <c r="AA940" s="67"/>
      <c r="AB940" s="67"/>
      <c r="AC940" s="67"/>
      <c r="AD940" s="67"/>
      <c r="AE940" s="67"/>
      <c r="AF940" s="67"/>
      <c r="AG940" s="67"/>
      <c r="AH940" s="67"/>
    </row>
    <row r="941">
      <c r="A941" s="174"/>
      <c r="B941" s="175"/>
      <c r="C941" s="175"/>
      <c r="D941" s="175"/>
      <c r="E941" s="175"/>
      <c r="F941" s="175"/>
      <c r="G941" s="175"/>
      <c r="H941" s="175"/>
      <c r="I941" s="175"/>
      <c r="J941" s="175"/>
      <c r="K941" s="175"/>
      <c r="L941" s="175"/>
      <c r="M941" s="175"/>
      <c r="N941" s="175"/>
      <c r="O941" s="175"/>
      <c r="P941" s="175"/>
      <c r="Q941" s="175"/>
      <c r="R941" s="176"/>
      <c r="S941" s="67"/>
      <c r="T941" s="67"/>
      <c r="U941" s="67"/>
      <c r="V941" s="67"/>
      <c r="W941" s="67"/>
      <c r="X941" s="67"/>
      <c r="Y941" s="67"/>
      <c r="Z941" s="67"/>
      <c r="AA941" s="67"/>
      <c r="AB941" s="67"/>
      <c r="AC941" s="67"/>
      <c r="AD941" s="67"/>
      <c r="AE941" s="67"/>
      <c r="AF941" s="67"/>
      <c r="AG941" s="67"/>
      <c r="AH941" s="67"/>
    </row>
    <row r="942">
      <c r="A942" s="171"/>
      <c r="B942" s="172"/>
      <c r="C942" s="172"/>
      <c r="D942" s="172"/>
      <c r="E942" s="172"/>
      <c r="F942" s="172"/>
      <c r="G942" s="172"/>
      <c r="H942" s="172"/>
      <c r="I942" s="172"/>
      <c r="J942" s="172"/>
      <c r="K942" s="172"/>
      <c r="L942" s="172"/>
      <c r="M942" s="172"/>
      <c r="N942" s="172"/>
      <c r="O942" s="172"/>
      <c r="P942" s="172"/>
      <c r="Q942" s="172"/>
      <c r="R942" s="173"/>
      <c r="S942" s="67"/>
      <c r="T942" s="67"/>
      <c r="U942" s="67"/>
      <c r="V942" s="67"/>
      <c r="W942" s="67"/>
      <c r="X942" s="67"/>
      <c r="Y942" s="67"/>
      <c r="Z942" s="67"/>
      <c r="AA942" s="67"/>
      <c r="AB942" s="67"/>
      <c r="AC942" s="67"/>
      <c r="AD942" s="67"/>
      <c r="AE942" s="67"/>
      <c r="AF942" s="67"/>
      <c r="AG942" s="67"/>
      <c r="AH942" s="67"/>
    </row>
    <row r="943">
      <c r="A943" s="174"/>
      <c r="B943" s="175"/>
      <c r="C943" s="175"/>
      <c r="D943" s="175"/>
      <c r="E943" s="175"/>
      <c r="F943" s="175"/>
      <c r="G943" s="175"/>
      <c r="H943" s="175"/>
      <c r="I943" s="175"/>
      <c r="J943" s="175"/>
      <c r="K943" s="175"/>
      <c r="L943" s="175"/>
      <c r="M943" s="175"/>
      <c r="N943" s="175"/>
      <c r="O943" s="175"/>
      <c r="P943" s="175"/>
      <c r="Q943" s="175"/>
      <c r="R943" s="176"/>
      <c r="S943" s="67"/>
      <c r="T943" s="67"/>
      <c r="U943" s="67"/>
      <c r="V943" s="67"/>
      <c r="W943" s="67"/>
      <c r="X943" s="67"/>
      <c r="Y943" s="67"/>
      <c r="Z943" s="67"/>
      <c r="AA943" s="67"/>
      <c r="AB943" s="67"/>
      <c r="AC943" s="67"/>
      <c r="AD943" s="67"/>
      <c r="AE943" s="67"/>
      <c r="AF943" s="67"/>
      <c r="AG943" s="67"/>
      <c r="AH943" s="67"/>
    </row>
    <row r="944">
      <c r="A944" s="171"/>
      <c r="B944" s="172"/>
      <c r="C944" s="172"/>
      <c r="D944" s="172"/>
      <c r="E944" s="172"/>
      <c r="F944" s="172"/>
      <c r="G944" s="172"/>
      <c r="H944" s="172"/>
      <c r="I944" s="172"/>
      <c r="J944" s="172"/>
      <c r="K944" s="172"/>
      <c r="L944" s="172"/>
      <c r="M944" s="172"/>
      <c r="N944" s="172"/>
      <c r="O944" s="172"/>
      <c r="P944" s="172"/>
      <c r="Q944" s="172"/>
      <c r="R944" s="173"/>
      <c r="S944" s="67"/>
      <c r="T944" s="67"/>
      <c r="U944" s="67"/>
      <c r="V944" s="67"/>
      <c r="W944" s="67"/>
      <c r="X944" s="67"/>
      <c r="Y944" s="67"/>
      <c r="Z944" s="67"/>
      <c r="AA944" s="67"/>
      <c r="AB944" s="67"/>
      <c r="AC944" s="67"/>
      <c r="AD944" s="67"/>
      <c r="AE944" s="67"/>
      <c r="AF944" s="67"/>
      <c r="AG944" s="67"/>
      <c r="AH944" s="67"/>
    </row>
    <row r="945">
      <c r="A945" s="174"/>
      <c r="B945" s="175"/>
      <c r="C945" s="175"/>
      <c r="D945" s="175"/>
      <c r="E945" s="175"/>
      <c r="F945" s="175"/>
      <c r="G945" s="175"/>
      <c r="H945" s="175"/>
      <c r="I945" s="175"/>
      <c r="J945" s="175"/>
      <c r="K945" s="175"/>
      <c r="L945" s="175"/>
      <c r="M945" s="175"/>
      <c r="N945" s="175"/>
      <c r="O945" s="175"/>
      <c r="P945" s="175"/>
      <c r="Q945" s="175"/>
      <c r="R945" s="176"/>
      <c r="S945" s="67"/>
      <c r="T945" s="67"/>
      <c r="U945" s="67"/>
      <c r="V945" s="67"/>
      <c r="W945" s="67"/>
      <c r="X945" s="67"/>
      <c r="Y945" s="67"/>
      <c r="Z945" s="67"/>
      <c r="AA945" s="67"/>
      <c r="AB945" s="67"/>
      <c r="AC945" s="67"/>
      <c r="AD945" s="67"/>
      <c r="AE945" s="67"/>
      <c r="AF945" s="67"/>
      <c r="AG945" s="67"/>
      <c r="AH945" s="67"/>
    </row>
    <row r="946">
      <c r="A946" s="171"/>
      <c r="B946" s="172"/>
      <c r="C946" s="172"/>
      <c r="D946" s="172"/>
      <c r="E946" s="172"/>
      <c r="F946" s="172"/>
      <c r="G946" s="172"/>
      <c r="H946" s="172"/>
      <c r="I946" s="172"/>
      <c r="J946" s="172"/>
      <c r="K946" s="172"/>
      <c r="L946" s="172"/>
      <c r="M946" s="172"/>
      <c r="N946" s="172"/>
      <c r="O946" s="172"/>
      <c r="P946" s="172"/>
      <c r="Q946" s="172"/>
      <c r="R946" s="173"/>
      <c r="S946" s="67"/>
      <c r="T946" s="67"/>
      <c r="U946" s="67"/>
      <c r="V946" s="67"/>
      <c r="W946" s="67"/>
      <c r="X946" s="67"/>
      <c r="Y946" s="67"/>
      <c r="Z946" s="67"/>
      <c r="AA946" s="67"/>
      <c r="AB946" s="67"/>
      <c r="AC946" s="67"/>
      <c r="AD946" s="67"/>
      <c r="AE946" s="67"/>
      <c r="AF946" s="67"/>
      <c r="AG946" s="67"/>
      <c r="AH946" s="67"/>
    </row>
    <row r="947">
      <c r="A947" s="174"/>
      <c r="B947" s="175"/>
      <c r="C947" s="175"/>
      <c r="D947" s="175"/>
      <c r="E947" s="175"/>
      <c r="F947" s="175"/>
      <c r="G947" s="175"/>
      <c r="H947" s="175"/>
      <c r="I947" s="175"/>
      <c r="J947" s="175"/>
      <c r="K947" s="175"/>
      <c r="L947" s="175"/>
      <c r="M947" s="175"/>
      <c r="N947" s="175"/>
      <c r="O947" s="175"/>
      <c r="P947" s="175"/>
      <c r="Q947" s="175"/>
      <c r="R947" s="176"/>
      <c r="S947" s="67"/>
      <c r="T947" s="67"/>
      <c r="U947" s="67"/>
      <c r="V947" s="67"/>
      <c r="W947" s="67"/>
      <c r="X947" s="67"/>
      <c r="Y947" s="67"/>
      <c r="Z947" s="67"/>
      <c r="AA947" s="67"/>
      <c r="AB947" s="67"/>
      <c r="AC947" s="67"/>
      <c r="AD947" s="67"/>
      <c r="AE947" s="67"/>
      <c r="AF947" s="67"/>
      <c r="AG947" s="67"/>
      <c r="AH947" s="67"/>
    </row>
    <row r="948">
      <c r="A948" s="171"/>
      <c r="B948" s="172"/>
      <c r="C948" s="172"/>
      <c r="D948" s="172"/>
      <c r="E948" s="172"/>
      <c r="F948" s="172"/>
      <c r="G948" s="172"/>
      <c r="H948" s="172"/>
      <c r="I948" s="172"/>
      <c r="J948" s="172"/>
      <c r="K948" s="172"/>
      <c r="L948" s="172"/>
      <c r="M948" s="172"/>
      <c r="N948" s="172"/>
      <c r="O948" s="172"/>
      <c r="P948" s="172"/>
      <c r="Q948" s="172"/>
      <c r="R948" s="173"/>
      <c r="S948" s="67"/>
      <c r="T948" s="67"/>
      <c r="U948" s="67"/>
      <c r="V948" s="67"/>
      <c r="W948" s="67"/>
      <c r="X948" s="67"/>
      <c r="Y948" s="67"/>
      <c r="Z948" s="67"/>
      <c r="AA948" s="67"/>
      <c r="AB948" s="67"/>
      <c r="AC948" s="67"/>
      <c r="AD948" s="67"/>
      <c r="AE948" s="67"/>
      <c r="AF948" s="67"/>
      <c r="AG948" s="67"/>
      <c r="AH948" s="67"/>
    </row>
    <row r="949">
      <c r="A949" s="174"/>
      <c r="B949" s="175"/>
      <c r="C949" s="175"/>
      <c r="D949" s="175"/>
      <c r="E949" s="175"/>
      <c r="F949" s="175"/>
      <c r="G949" s="175"/>
      <c r="H949" s="175"/>
      <c r="I949" s="175"/>
      <c r="J949" s="175"/>
      <c r="K949" s="175"/>
      <c r="L949" s="175"/>
      <c r="M949" s="175"/>
      <c r="N949" s="175"/>
      <c r="O949" s="175"/>
      <c r="P949" s="175"/>
      <c r="Q949" s="175"/>
      <c r="R949" s="176"/>
      <c r="S949" s="67"/>
      <c r="T949" s="67"/>
      <c r="U949" s="67"/>
      <c r="V949" s="67"/>
      <c r="W949" s="67"/>
      <c r="X949" s="67"/>
      <c r="Y949" s="67"/>
      <c r="Z949" s="67"/>
      <c r="AA949" s="67"/>
      <c r="AB949" s="67"/>
      <c r="AC949" s="67"/>
      <c r="AD949" s="67"/>
      <c r="AE949" s="67"/>
      <c r="AF949" s="67"/>
      <c r="AG949" s="67"/>
      <c r="AH949" s="67"/>
    </row>
    <row r="950">
      <c r="A950" s="171"/>
      <c r="B950" s="172"/>
      <c r="C950" s="172"/>
      <c r="D950" s="172"/>
      <c r="E950" s="172"/>
      <c r="F950" s="172"/>
      <c r="G950" s="172"/>
      <c r="H950" s="172"/>
      <c r="I950" s="172"/>
      <c r="J950" s="172"/>
      <c r="K950" s="172"/>
      <c r="L950" s="172"/>
      <c r="M950" s="172"/>
      <c r="N950" s="172"/>
      <c r="O950" s="172"/>
      <c r="P950" s="172"/>
      <c r="Q950" s="172"/>
      <c r="R950" s="173"/>
      <c r="S950" s="67"/>
      <c r="T950" s="67"/>
      <c r="U950" s="67"/>
      <c r="V950" s="67"/>
      <c r="W950" s="67"/>
      <c r="X950" s="67"/>
      <c r="Y950" s="67"/>
      <c r="Z950" s="67"/>
      <c r="AA950" s="67"/>
      <c r="AB950" s="67"/>
      <c r="AC950" s="67"/>
      <c r="AD950" s="67"/>
      <c r="AE950" s="67"/>
      <c r="AF950" s="67"/>
      <c r="AG950" s="67"/>
      <c r="AH950" s="67"/>
    </row>
    <row r="951">
      <c r="A951" s="174"/>
      <c r="B951" s="175"/>
      <c r="C951" s="175"/>
      <c r="D951" s="175"/>
      <c r="E951" s="175"/>
      <c r="F951" s="175"/>
      <c r="G951" s="175"/>
      <c r="H951" s="175"/>
      <c r="I951" s="175"/>
      <c r="J951" s="175"/>
      <c r="K951" s="175"/>
      <c r="L951" s="175"/>
      <c r="M951" s="175"/>
      <c r="N951" s="175"/>
      <c r="O951" s="175"/>
      <c r="P951" s="175"/>
      <c r="Q951" s="175"/>
      <c r="R951" s="176"/>
      <c r="S951" s="67"/>
      <c r="T951" s="67"/>
      <c r="U951" s="67"/>
      <c r="V951" s="67"/>
      <c r="W951" s="67"/>
      <c r="X951" s="67"/>
      <c r="Y951" s="67"/>
      <c r="Z951" s="67"/>
      <c r="AA951" s="67"/>
      <c r="AB951" s="67"/>
      <c r="AC951" s="67"/>
      <c r="AD951" s="67"/>
      <c r="AE951" s="67"/>
      <c r="AF951" s="67"/>
      <c r="AG951" s="67"/>
      <c r="AH951" s="67"/>
    </row>
    <row r="952">
      <c r="A952" s="171"/>
      <c r="B952" s="172"/>
      <c r="C952" s="172"/>
      <c r="D952" s="172"/>
      <c r="E952" s="172"/>
      <c r="F952" s="172"/>
      <c r="G952" s="172"/>
      <c r="H952" s="172"/>
      <c r="I952" s="172"/>
      <c r="J952" s="172"/>
      <c r="K952" s="172"/>
      <c r="L952" s="172"/>
      <c r="M952" s="172"/>
      <c r="N952" s="172"/>
      <c r="O952" s="172"/>
      <c r="P952" s="172"/>
      <c r="Q952" s="172"/>
      <c r="R952" s="173"/>
      <c r="S952" s="67"/>
      <c r="T952" s="67"/>
      <c r="U952" s="67"/>
      <c r="V952" s="67"/>
      <c r="W952" s="67"/>
      <c r="X952" s="67"/>
      <c r="Y952" s="67"/>
      <c r="Z952" s="67"/>
      <c r="AA952" s="67"/>
      <c r="AB952" s="67"/>
      <c r="AC952" s="67"/>
      <c r="AD952" s="67"/>
      <c r="AE952" s="67"/>
      <c r="AF952" s="67"/>
      <c r="AG952" s="67"/>
      <c r="AH952" s="67"/>
    </row>
    <row r="953">
      <c r="A953" s="174"/>
      <c r="B953" s="175"/>
      <c r="C953" s="175"/>
      <c r="D953" s="175"/>
      <c r="E953" s="175"/>
      <c r="F953" s="175"/>
      <c r="G953" s="175"/>
      <c r="H953" s="175"/>
      <c r="I953" s="175"/>
      <c r="J953" s="175"/>
      <c r="K953" s="175"/>
      <c r="L953" s="175"/>
      <c r="M953" s="175"/>
      <c r="N953" s="175"/>
      <c r="O953" s="175"/>
      <c r="P953" s="175"/>
      <c r="Q953" s="175"/>
      <c r="R953" s="176"/>
      <c r="S953" s="67"/>
      <c r="T953" s="67"/>
      <c r="U953" s="67"/>
      <c r="V953" s="67"/>
      <c r="W953" s="67"/>
      <c r="X953" s="67"/>
      <c r="Y953" s="67"/>
      <c r="Z953" s="67"/>
      <c r="AA953" s="67"/>
      <c r="AB953" s="67"/>
      <c r="AC953" s="67"/>
      <c r="AD953" s="67"/>
      <c r="AE953" s="67"/>
      <c r="AF953" s="67"/>
      <c r="AG953" s="67"/>
      <c r="AH953" s="67"/>
    </row>
    <row r="954">
      <c r="A954" s="171"/>
      <c r="B954" s="172"/>
      <c r="C954" s="172"/>
      <c r="D954" s="172"/>
      <c r="E954" s="172"/>
      <c r="F954" s="172"/>
      <c r="G954" s="172"/>
      <c r="H954" s="172"/>
      <c r="I954" s="172"/>
      <c r="J954" s="172"/>
      <c r="K954" s="172"/>
      <c r="L954" s="172"/>
      <c r="M954" s="172"/>
      <c r="N954" s="172"/>
      <c r="O954" s="172"/>
      <c r="P954" s="172"/>
      <c r="Q954" s="172"/>
      <c r="R954" s="173"/>
      <c r="S954" s="67"/>
      <c r="T954" s="67"/>
      <c r="U954" s="67"/>
      <c r="V954" s="67"/>
      <c r="W954" s="67"/>
      <c r="X954" s="67"/>
      <c r="Y954" s="67"/>
      <c r="Z954" s="67"/>
      <c r="AA954" s="67"/>
      <c r="AB954" s="67"/>
      <c r="AC954" s="67"/>
      <c r="AD954" s="67"/>
      <c r="AE954" s="67"/>
      <c r="AF954" s="67"/>
      <c r="AG954" s="67"/>
      <c r="AH954" s="67"/>
    </row>
    <row r="955">
      <c r="A955" s="174"/>
      <c r="B955" s="175"/>
      <c r="C955" s="175"/>
      <c r="D955" s="175"/>
      <c r="E955" s="175"/>
      <c r="F955" s="175"/>
      <c r="G955" s="175"/>
      <c r="H955" s="175"/>
      <c r="I955" s="175"/>
      <c r="J955" s="175"/>
      <c r="K955" s="175"/>
      <c r="L955" s="175"/>
      <c r="M955" s="175"/>
      <c r="N955" s="175"/>
      <c r="O955" s="175"/>
      <c r="P955" s="175"/>
      <c r="Q955" s="175"/>
      <c r="R955" s="176"/>
      <c r="S955" s="67"/>
      <c r="T955" s="67"/>
      <c r="U955" s="67"/>
      <c r="V955" s="67"/>
      <c r="W955" s="67"/>
      <c r="X955" s="67"/>
      <c r="Y955" s="67"/>
      <c r="Z955" s="67"/>
      <c r="AA955" s="67"/>
      <c r="AB955" s="67"/>
      <c r="AC955" s="67"/>
      <c r="AD955" s="67"/>
      <c r="AE955" s="67"/>
      <c r="AF955" s="67"/>
      <c r="AG955" s="67"/>
      <c r="AH955" s="67"/>
    </row>
    <row r="956">
      <c r="A956" s="171"/>
      <c r="B956" s="172"/>
      <c r="C956" s="172"/>
      <c r="D956" s="172"/>
      <c r="E956" s="172"/>
      <c r="F956" s="172"/>
      <c r="G956" s="172"/>
      <c r="H956" s="172"/>
      <c r="I956" s="172"/>
      <c r="J956" s="172"/>
      <c r="K956" s="172"/>
      <c r="L956" s="172"/>
      <c r="M956" s="172"/>
      <c r="N956" s="172"/>
      <c r="O956" s="172"/>
      <c r="P956" s="172"/>
      <c r="Q956" s="172"/>
      <c r="R956" s="173"/>
      <c r="S956" s="67"/>
      <c r="T956" s="67"/>
      <c r="U956" s="67"/>
      <c r="V956" s="67"/>
      <c r="W956" s="67"/>
      <c r="X956" s="67"/>
      <c r="Y956" s="67"/>
      <c r="Z956" s="67"/>
      <c r="AA956" s="67"/>
      <c r="AB956" s="67"/>
      <c r="AC956" s="67"/>
      <c r="AD956" s="67"/>
      <c r="AE956" s="67"/>
      <c r="AF956" s="67"/>
      <c r="AG956" s="67"/>
      <c r="AH956" s="67"/>
    </row>
    <row r="957">
      <c r="A957" s="174"/>
      <c r="B957" s="175"/>
      <c r="C957" s="175"/>
      <c r="D957" s="175"/>
      <c r="E957" s="175"/>
      <c r="F957" s="175"/>
      <c r="G957" s="175"/>
      <c r="H957" s="175"/>
      <c r="I957" s="175"/>
      <c r="J957" s="175"/>
      <c r="K957" s="175"/>
      <c r="L957" s="175"/>
      <c r="M957" s="175"/>
      <c r="N957" s="175"/>
      <c r="O957" s="175"/>
      <c r="P957" s="175"/>
      <c r="Q957" s="175"/>
      <c r="R957" s="176"/>
      <c r="S957" s="67"/>
      <c r="T957" s="67"/>
      <c r="U957" s="67"/>
      <c r="V957" s="67"/>
      <c r="W957" s="67"/>
      <c r="X957" s="67"/>
      <c r="Y957" s="67"/>
      <c r="Z957" s="67"/>
      <c r="AA957" s="67"/>
      <c r="AB957" s="67"/>
      <c r="AC957" s="67"/>
      <c r="AD957" s="67"/>
      <c r="AE957" s="67"/>
      <c r="AF957" s="67"/>
      <c r="AG957" s="67"/>
      <c r="AH957" s="67"/>
    </row>
    <row r="958">
      <c r="A958" s="171"/>
      <c r="B958" s="172"/>
      <c r="C958" s="172"/>
      <c r="D958" s="172"/>
      <c r="E958" s="172"/>
      <c r="F958" s="172"/>
      <c r="G958" s="172"/>
      <c r="H958" s="172"/>
      <c r="I958" s="172"/>
      <c r="J958" s="172"/>
      <c r="K958" s="172"/>
      <c r="L958" s="172"/>
      <c r="M958" s="172"/>
      <c r="N958" s="172"/>
      <c r="O958" s="172"/>
      <c r="P958" s="172"/>
      <c r="Q958" s="172"/>
      <c r="R958" s="173"/>
      <c r="S958" s="67"/>
      <c r="T958" s="67"/>
      <c r="U958" s="67"/>
      <c r="V958" s="67"/>
      <c r="W958" s="67"/>
      <c r="X958" s="67"/>
      <c r="Y958" s="67"/>
      <c r="Z958" s="67"/>
      <c r="AA958" s="67"/>
      <c r="AB958" s="67"/>
      <c r="AC958" s="67"/>
      <c r="AD958" s="67"/>
      <c r="AE958" s="67"/>
      <c r="AF958" s="67"/>
      <c r="AG958" s="67"/>
      <c r="AH958" s="67"/>
    </row>
    <row r="959">
      <c r="A959" s="174"/>
      <c r="B959" s="175"/>
      <c r="C959" s="175"/>
      <c r="D959" s="175"/>
      <c r="E959" s="175"/>
      <c r="F959" s="175"/>
      <c r="G959" s="175"/>
      <c r="H959" s="175"/>
      <c r="I959" s="175"/>
      <c r="J959" s="175"/>
      <c r="K959" s="175"/>
      <c r="L959" s="175"/>
      <c r="M959" s="175"/>
      <c r="N959" s="175"/>
      <c r="O959" s="175"/>
      <c r="P959" s="175"/>
      <c r="Q959" s="175"/>
      <c r="R959" s="176"/>
      <c r="S959" s="67"/>
      <c r="T959" s="67"/>
      <c r="U959" s="67"/>
      <c r="V959" s="67"/>
      <c r="W959" s="67"/>
      <c r="X959" s="67"/>
      <c r="Y959" s="67"/>
      <c r="Z959" s="67"/>
      <c r="AA959" s="67"/>
      <c r="AB959" s="67"/>
      <c r="AC959" s="67"/>
      <c r="AD959" s="67"/>
      <c r="AE959" s="67"/>
      <c r="AF959" s="67"/>
      <c r="AG959" s="67"/>
      <c r="AH959" s="67"/>
    </row>
    <row r="960">
      <c r="A960" s="171"/>
      <c r="B960" s="172"/>
      <c r="C960" s="172"/>
      <c r="D960" s="172"/>
      <c r="E960" s="172"/>
      <c r="F960" s="172"/>
      <c r="G960" s="172"/>
      <c r="H960" s="172"/>
      <c r="I960" s="172"/>
      <c r="J960" s="172"/>
      <c r="K960" s="172"/>
      <c r="L960" s="172"/>
      <c r="M960" s="172"/>
      <c r="N960" s="172"/>
      <c r="O960" s="172"/>
      <c r="P960" s="172"/>
      <c r="Q960" s="172"/>
      <c r="R960" s="173"/>
      <c r="S960" s="67"/>
      <c r="T960" s="67"/>
      <c r="U960" s="67"/>
      <c r="V960" s="67"/>
      <c r="W960" s="67"/>
      <c r="X960" s="67"/>
      <c r="Y960" s="67"/>
      <c r="Z960" s="67"/>
      <c r="AA960" s="67"/>
      <c r="AB960" s="67"/>
      <c r="AC960" s="67"/>
      <c r="AD960" s="67"/>
      <c r="AE960" s="67"/>
      <c r="AF960" s="67"/>
      <c r="AG960" s="67"/>
      <c r="AH960" s="67"/>
    </row>
    <row r="961">
      <c r="A961" s="174"/>
      <c r="B961" s="175"/>
      <c r="C961" s="175"/>
      <c r="D961" s="175"/>
      <c r="E961" s="175"/>
      <c r="F961" s="175"/>
      <c r="G961" s="175"/>
      <c r="H961" s="175"/>
      <c r="I961" s="175"/>
      <c r="J961" s="175"/>
      <c r="K961" s="175"/>
      <c r="L961" s="175"/>
      <c r="M961" s="175"/>
      <c r="N961" s="175"/>
      <c r="O961" s="175"/>
      <c r="P961" s="175"/>
      <c r="Q961" s="175"/>
      <c r="R961" s="176"/>
      <c r="S961" s="67"/>
      <c r="T961" s="67"/>
      <c r="U961" s="67"/>
      <c r="V961" s="67"/>
      <c r="W961" s="67"/>
      <c r="X961" s="67"/>
      <c r="Y961" s="67"/>
      <c r="Z961" s="67"/>
      <c r="AA961" s="67"/>
      <c r="AB961" s="67"/>
      <c r="AC961" s="67"/>
      <c r="AD961" s="67"/>
      <c r="AE961" s="67"/>
      <c r="AF961" s="67"/>
      <c r="AG961" s="67"/>
      <c r="AH961" s="67"/>
    </row>
    <row r="962">
      <c r="A962" s="171"/>
      <c r="B962" s="172"/>
      <c r="C962" s="172"/>
      <c r="D962" s="172"/>
      <c r="E962" s="172"/>
      <c r="F962" s="172"/>
      <c r="G962" s="172"/>
      <c r="H962" s="172"/>
      <c r="I962" s="172"/>
      <c r="J962" s="172"/>
      <c r="K962" s="172"/>
      <c r="L962" s="172"/>
      <c r="M962" s="172"/>
      <c r="N962" s="172"/>
      <c r="O962" s="172"/>
      <c r="P962" s="172"/>
      <c r="Q962" s="172"/>
      <c r="R962" s="173"/>
      <c r="S962" s="67"/>
      <c r="T962" s="67"/>
      <c r="U962" s="67"/>
      <c r="V962" s="67"/>
      <c r="W962" s="67"/>
      <c r="X962" s="67"/>
      <c r="Y962" s="67"/>
      <c r="Z962" s="67"/>
      <c r="AA962" s="67"/>
      <c r="AB962" s="67"/>
      <c r="AC962" s="67"/>
      <c r="AD962" s="67"/>
      <c r="AE962" s="67"/>
      <c r="AF962" s="67"/>
      <c r="AG962" s="67"/>
      <c r="AH962" s="67"/>
    </row>
    <row r="963">
      <c r="A963" s="174"/>
      <c r="B963" s="175"/>
      <c r="C963" s="175"/>
      <c r="D963" s="175"/>
      <c r="E963" s="175"/>
      <c r="F963" s="175"/>
      <c r="G963" s="175"/>
      <c r="H963" s="175"/>
      <c r="I963" s="175"/>
      <c r="J963" s="175"/>
      <c r="K963" s="175"/>
      <c r="L963" s="175"/>
      <c r="M963" s="175"/>
      <c r="N963" s="175"/>
      <c r="O963" s="175"/>
      <c r="P963" s="175"/>
      <c r="Q963" s="175"/>
      <c r="R963" s="176"/>
      <c r="S963" s="67"/>
      <c r="T963" s="67"/>
      <c r="U963" s="67"/>
      <c r="V963" s="67"/>
      <c r="W963" s="67"/>
      <c r="X963" s="67"/>
      <c r="Y963" s="67"/>
      <c r="Z963" s="67"/>
      <c r="AA963" s="67"/>
      <c r="AB963" s="67"/>
      <c r="AC963" s="67"/>
      <c r="AD963" s="67"/>
      <c r="AE963" s="67"/>
      <c r="AF963" s="67"/>
      <c r="AG963" s="67"/>
      <c r="AH963" s="67"/>
    </row>
    <row r="964">
      <c r="A964" s="171"/>
      <c r="B964" s="172"/>
      <c r="C964" s="172"/>
      <c r="D964" s="172"/>
      <c r="E964" s="172"/>
      <c r="F964" s="172"/>
      <c r="G964" s="172"/>
      <c r="H964" s="172"/>
      <c r="I964" s="172"/>
      <c r="J964" s="172"/>
      <c r="K964" s="172"/>
      <c r="L964" s="172"/>
      <c r="M964" s="172"/>
      <c r="N964" s="172"/>
      <c r="O964" s="172"/>
      <c r="P964" s="172"/>
      <c r="Q964" s="172"/>
      <c r="R964" s="173"/>
      <c r="S964" s="67"/>
      <c r="T964" s="67"/>
      <c r="U964" s="67"/>
      <c r="V964" s="67"/>
      <c r="W964" s="67"/>
      <c r="X964" s="67"/>
      <c r="Y964" s="67"/>
      <c r="Z964" s="67"/>
      <c r="AA964" s="67"/>
      <c r="AB964" s="67"/>
      <c r="AC964" s="67"/>
      <c r="AD964" s="67"/>
      <c r="AE964" s="67"/>
      <c r="AF964" s="67"/>
      <c r="AG964" s="67"/>
      <c r="AH964" s="67"/>
    </row>
    <row r="965">
      <c r="A965" s="174"/>
      <c r="B965" s="175"/>
      <c r="C965" s="175"/>
      <c r="D965" s="175"/>
      <c r="E965" s="175"/>
      <c r="F965" s="175"/>
      <c r="G965" s="175"/>
      <c r="H965" s="175"/>
      <c r="I965" s="175"/>
      <c r="J965" s="175"/>
      <c r="K965" s="175"/>
      <c r="L965" s="175"/>
      <c r="M965" s="175"/>
      <c r="N965" s="175"/>
      <c r="O965" s="175"/>
      <c r="P965" s="175"/>
      <c r="Q965" s="175"/>
      <c r="R965" s="176"/>
      <c r="S965" s="67"/>
      <c r="T965" s="67"/>
      <c r="U965" s="67"/>
      <c r="V965" s="67"/>
      <c r="W965" s="67"/>
      <c r="X965" s="67"/>
      <c r="Y965" s="67"/>
      <c r="Z965" s="67"/>
      <c r="AA965" s="67"/>
      <c r="AB965" s="67"/>
      <c r="AC965" s="67"/>
      <c r="AD965" s="67"/>
      <c r="AE965" s="67"/>
      <c r="AF965" s="67"/>
      <c r="AG965" s="67"/>
      <c r="AH965" s="67"/>
    </row>
    <row r="966">
      <c r="A966" s="171"/>
      <c r="B966" s="172"/>
      <c r="C966" s="172"/>
      <c r="D966" s="172"/>
      <c r="E966" s="172"/>
      <c r="F966" s="172"/>
      <c r="G966" s="172"/>
      <c r="H966" s="172"/>
      <c r="I966" s="172"/>
      <c r="J966" s="172"/>
      <c r="K966" s="172"/>
      <c r="L966" s="172"/>
      <c r="M966" s="172"/>
      <c r="N966" s="172"/>
      <c r="O966" s="172"/>
      <c r="P966" s="172"/>
      <c r="Q966" s="172"/>
      <c r="R966" s="173"/>
      <c r="S966" s="67"/>
      <c r="T966" s="67"/>
      <c r="U966" s="67"/>
      <c r="V966" s="67"/>
      <c r="W966" s="67"/>
      <c r="X966" s="67"/>
      <c r="Y966" s="67"/>
      <c r="Z966" s="67"/>
      <c r="AA966" s="67"/>
      <c r="AB966" s="67"/>
      <c r="AC966" s="67"/>
      <c r="AD966" s="67"/>
      <c r="AE966" s="67"/>
      <c r="AF966" s="67"/>
      <c r="AG966" s="67"/>
      <c r="AH966" s="67"/>
    </row>
    <row r="967">
      <c r="A967" s="174"/>
      <c r="B967" s="175"/>
      <c r="C967" s="175"/>
      <c r="D967" s="175"/>
      <c r="E967" s="175"/>
      <c r="F967" s="175"/>
      <c r="G967" s="175"/>
      <c r="H967" s="175"/>
      <c r="I967" s="175"/>
      <c r="J967" s="175"/>
      <c r="K967" s="175"/>
      <c r="L967" s="175"/>
      <c r="M967" s="175"/>
      <c r="N967" s="175"/>
      <c r="O967" s="175"/>
      <c r="P967" s="175"/>
      <c r="Q967" s="175"/>
      <c r="R967" s="176"/>
      <c r="S967" s="67"/>
      <c r="T967" s="67"/>
      <c r="U967" s="67"/>
      <c r="V967" s="67"/>
      <c r="W967" s="67"/>
      <c r="X967" s="67"/>
      <c r="Y967" s="67"/>
      <c r="Z967" s="67"/>
      <c r="AA967" s="67"/>
      <c r="AB967" s="67"/>
      <c r="AC967" s="67"/>
      <c r="AD967" s="67"/>
      <c r="AE967" s="67"/>
      <c r="AF967" s="67"/>
      <c r="AG967" s="67"/>
      <c r="AH967" s="67"/>
    </row>
    <row r="968">
      <c r="A968" s="171"/>
      <c r="B968" s="172"/>
      <c r="C968" s="172"/>
      <c r="D968" s="172"/>
      <c r="E968" s="172"/>
      <c r="F968" s="172"/>
      <c r="G968" s="172"/>
      <c r="H968" s="172"/>
      <c r="I968" s="172"/>
      <c r="J968" s="172"/>
      <c r="K968" s="172"/>
      <c r="L968" s="172"/>
      <c r="M968" s="172"/>
      <c r="N968" s="172"/>
      <c r="O968" s="172"/>
      <c r="P968" s="172"/>
      <c r="Q968" s="172"/>
      <c r="R968" s="173"/>
      <c r="S968" s="67"/>
      <c r="T968" s="67"/>
      <c r="U968" s="67"/>
      <c r="V968" s="67"/>
      <c r="W968" s="67"/>
      <c r="X968" s="67"/>
      <c r="Y968" s="67"/>
      <c r="Z968" s="67"/>
      <c r="AA968" s="67"/>
      <c r="AB968" s="67"/>
      <c r="AC968" s="67"/>
      <c r="AD968" s="67"/>
      <c r="AE968" s="67"/>
      <c r="AF968" s="67"/>
      <c r="AG968" s="67"/>
      <c r="AH968" s="67"/>
    </row>
    <row r="969">
      <c r="A969" s="174"/>
      <c r="B969" s="175"/>
      <c r="C969" s="175"/>
      <c r="D969" s="175"/>
      <c r="E969" s="175"/>
      <c r="F969" s="175"/>
      <c r="G969" s="175"/>
      <c r="H969" s="175"/>
      <c r="I969" s="175"/>
      <c r="J969" s="175"/>
      <c r="K969" s="175"/>
      <c r="L969" s="175"/>
      <c r="M969" s="175"/>
      <c r="N969" s="175"/>
      <c r="O969" s="175"/>
      <c r="P969" s="175"/>
      <c r="Q969" s="175"/>
      <c r="R969" s="176"/>
      <c r="S969" s="67"/>
      <c r="T969" s="67"/>
      <c r="U969" s="67"/>
      <c r="V969" s="67"/>
      <c r="W969" s="67"/>
      <c r="X969" s="67"/>
      <c r="Y969" s="67"/>
      <c r="Z969" s="67"/>
      <c r="AA969" s="67"/>
      <c r="AB969" s="67"/>
      <c r="AC969" s="67"/>
      <c r="AD969" s="67"/>
      <c r="AE969" s="67"/>
      <c r="AF969" s="67"/>
      <c r="AG969" s="67"/>
      <c r="AH969" s="67"/>
    </row>
    <row r="970">
      <c r="A970" s="171"/>
      <c r="B970" s="172"/>
      <c r="C970" s="172"/>
      <c r="D970" s="172"/>
      <c r="E970" s="172"/>
      <c r="F970" s="172"/>
      <c r="G970" s="172"/>
      <c r="H970" s="172"/>
      <c r="I970" s="172"/>
      <c r="J970" s="172"/>
      <c r="K970" s="172"/>
      <c r="L970" s="172"/>
      <c r="M970" s="172"/>
      <c r="N970" s="172"/>
      <c r="O970" s="172"/>
      <c r="P970" s="172"/>
      <c r="Q970" s="172"/>
      <c r="R970" s="173"/>
      <c r="S970" s="67"/>
      <c r="T970" s="67"/>
      <c r="U970" s="67"/>
      <c r="V970" s="67"/>
      <c r="W970" s="67"/>
      <c r="X970" s="67"/>
      <c r="Y970" s="67"/>
      <c r="Z970" s="67"/>
      <c r="AA970" s="67"/>
      <c r="AB970" s="67"/>
      <c r="AC970" s="67"/>
      <c r="AD970" s="67"/>
      <c r="AE970" s="67"/>
      <c r="AF970" s="67"/>
      <c r="AG970" s="67"/>
      <c r="AH970" s="67"/>
    </row>
    <row r="971">
      <c r="A971" s="174"/>
      <c r="B971" s="175"/>
      <c r="C971" s="175"/>
      <c r="D971" s="175"/>
      <c r="E971" s="175"/>
      <c r="F971" s="175"/>
      <c r="G971" s="175"/>
      <c r="H971" s="175"/>
      <c r="I971" s="175"/>
      <c r="J971" s="175"/>
      <c r="K971" s="175"/>
      <c r="L971" s="175"/>
      <c r="M971" s="175"/>
      <c r="N971" s="175"/>
      <c r="O971" s="175"/>
      <c r="P971" s="175"/>
      <c r="Q971" s="175"/>
      <c r="R971" s="176"/>
      <c r="S971" s="67"/>
      <c r="T971" s="67"/>
      <c r="U971" s="67"/>
      <c r="V971" s="67"/>
      <c r="W971" s="67"/>
      <c r="X971" s="67"/>
      <c r="Y971" s="67"/>
      <c r="Z971" s="67"/>
      <c r="AA971" s="67"/>
      <c r="AB971" s="67"/>
      <c r="AC971" s="67"/>
      <c r="AD971" s="67"/>
      <c r="AE971" s="67"/>
      <c r="AF971" s="67"/>
      <c r="AG971" s="67"/>
      <c r="AH971" s="67"/>
    </row>
    <row r="972">
      <c r="A972" s="171"/>
      <c r="B972" s="172"/>
      <c r="C972" s="172"/>
      <c r="D972" s="172"/>
      <c r="E972" s="172"/>
      <c r="F972" s="172"/>
      <c r="G972" s="172"/>
      <c r="H972" s="172"/>
      <c r="I972" s="172"/>
      <c r="J972" s="172"/>
      <c r="K972" s="172"/>
      <c r="L972" s="172"/>
      <c r="M972" s="172"/>
      <c r="N972" s="172"/>
      <c r="O972" s="172"/>
      <c r="P972" s="172"/>
      <c r="Q972" s="172"/>
      <c r="R972" s="173"/>
      <c r="S972" s="67"/>
      <c r="T972" s="67"/>
      <c r="U972" s="67"/>
      <c r="V972" s="67"/>
      <c r="W972" s="67"/>
      <c r="X972" s="67"/>
      <c r="Y972" s="67"/>
      <c r="Z972" s="67"/>
      <c r="AA972" s="67"/>
      <c r="AB972" s="67"/>
      <c r="AC972" s="67"/>
      <c r="AD972" s="67"/>
      <c r="AE972" s="67"/>
      <c r="AF972" s="67"/>
      <c r="AG972" s="67"/>
      <c r="AH972" s="67"/>
    </row>
    <row r="973">
      <c r="A973" s="174"/>
      <c r="B973" s="175"/>
      <c r="C973" s="175"/>
      <c r="D973" s="175"/>
      <c r="E973" s="175"/>
      <c r="F973" s="175"/>
      <c r="G973" s="175"/>
      <c r="H973" s="175"/>
      <c r="I973" s="175"/>
      <c r="J973" s="175"/>
      <c r="K973" s="175"/>
      <c r="L973" s="175"/>
      <c r="M973" s="175"/>
      <c r="N973" s="175"/>
      <c r="O973" s="175"/>
      <c r="P973" s="175"/>
      <c r="Q973" s="175"/>
      <c r="R973" s="176"/>
      <c r="S973" s="67"/>
      <c r="T973" s="67"/>
      <c r="U973" s="67"/>
      <c r="V973" s="67"/>
      <c r="W973" s="67"/>
      <c r="X973" s="67"/>
      <c r="Y973" s="67"/>
      <c r="Z973" s="67"/>
      <c r="AA973" s="67"/>
      <c r="AB973" s="67"/>
      <c r="AC973" s="67"/>
      <c r="AD973" s="67"/>
      <c r="AE973" s="67"/>
      <c r="AF973" s="67"/>
      <c r="AG973" s="67"/>
      <c r="AH973" s="67"/>
    </row>
    <row r="974">
      <c r="A974" s="171"/>
      <c r="B974" s="172"/>
      <c r="C974" s="172"/>
      <c r="D974" s="172"/>
      <c r="E974" s="172"/>
      <c r="F974" s="172"/>
      <c r="G974" s="172"/>
      <c r="H974" s="172"/>
      <c r="I974" s="172"/>
      <c r="J974" s="172"/>
      <c r="K974" s="172"/>
      <c r="L974" s="172"/>
      <c r="M974" s="172"/>
      <c r="N974" s="172"/>
      <c r="O974" s="172"/>
      <c r="P974" s="172"/>
      <c r="Q974" s="172"/>
      <c r="R974" s="173"/>
      <c r="S974" s="67"/>
      <c r="T974" s="67"/>
      <c r="U974" s="67"/>
      <c r="V974" s="67"/>
      <c r="W974" s="67"/>
      <c r="X974" s="67"/>
      <c r="Y974" s="67"/>
      <c r="Z974" s="67"/>
      <c r="AA974" s="67"/>
      <c r="AB974" s="67"/>
      <c r="AC974" s="67"/>
      <c r="AD974" s="67"/>
      <c r="AE974" s="67"/>
      <c r="AF974" s="67"/>
      <c r="AG974" s="67"/>
      <c r="AH974" s="67"/>
    </row>
    <row r="975">
      <c r="A975" s="174"/>
      <c r="B975" s="175"/>
      <c r="C975" s="175"/>
      <c r="D975" s="175"/>
      <c r="E975" s="175"/>
      <c r="F975" s="175"/>
      <c r="G975" s="175"/>
      <c r="H975" s="175"/>
      <c r="I975" s="175"/>
      <c r="J975" s="175"/>
      <c r="K975" s="175"/>
      <c r="L975" s="175"/>
      <c r="M975" s="175"/>
      <c r="N975" s="175"/>
      <c r="O975" s="175"/>
      <c r="P975" s="175"/>
      <c r="Q975" s="175"/>
      <c r="R975" s="176"/>
      <c r="S975" s="67"/>
      <c r="T975" s="67"/>
      <c r="U975" s="67"/>
      <c r="V975" s="67"/>
      <c r="W975" s="67"/>
      <c r="X975" s="67"/>
      <c r="Y975" s="67"/>
      <c r="Z975" s="67"/>
      <c r="AA975" s="67"/>
      <c r="AB975" s="67"/>
      <c r="AC975" s="67"/>
      <c r="AD975" s="67"/>
      <c r="AE975" s="67"/>
      <c r="AF975" s="67"/>
      <c r="AG975" s="67"/>
      <c r="AH975" s="67"/>
    </row>
    <row r="976">
      <c r="A976" s="171"/>
      <c r="B976" s="172"/>
      <c r="C976" s="172"/>
      <c r="D976" s="172"/>
      <c r="E976" s="172"/>
      <c r="F976" s="172"/>
      <c r="G976" s="172"/>
      <c r="H976" s="172"/>
      <c r="I976" s="172"/>
      <c r="J976" s="172"/>
      <c r="K976" s="172"/>
      <c r="L976" s="172"/>
      <c r="M976" s="172"/>
      <c r="N976" s="172"/>
      <c r="O976" s="172"/>
      <c r="P976" s="172"/>
      <c r="Q976" s="172"/>
      <c r="R976" s="173"/>
      <c r="S976" s="67"/>
      <c r="T976" s="67"/>
      <c r="U976" s="67"/>
      <c r="V976" s="67"/>
      <c r="W976" s="67"/>
      <c r="X976" s="67"/>
      <c r="Y976" s="67"/>
      <c r="Z976" s="67"/>
      <c r="AA976" s="67"/>
      <c r="AB976" s="67"/>
      <c r="AC976" s="67"/>
      <c r="AD976" s="67"/>
      <c r="AE976" s="67"/>
      <c r="AF976" s="67"/>
      <c r="AG976" s="67"/>
      <c r="AH976" s="67"/>
    </row>
    <row r="977">
      <c r="A977" s="174"/>
      <c r="B977" s="175"/>
      <c r="C977" s="175"/>
      <c r="D977" s="175"/>
      <c r="E977" s="175"/>
      <c r="F977" s="175"/>
      <c r="G977" s="175"/>
      <c r="H977" s="175"/>
      <c r="I977" s="175"/>
      <c r="J977" s="175"/>
      <c r="K977" s="175"/>
      <c r="L977" s="175"/>
      <c r="M977" s="175"/>
      <c r="N977" s="175"/>
      <c r="O977" s="175"/>
      <c r="P977" s="175"/>
      <c r="Q977" s="175"/>
      <c r="R977" s="176"/>
      <c r="S977" s="67"/>
      <c r="T977" s="67"/>
      <c r="U977" s="67"/>
      <c r="V977" s="67"/>
      <c r="W977" s="67"/>
      <c r="X977" s="67"/>
      <c r="Y977" s="67"/>
      <c r="Z977" s="67"/>
      <c r="AA977" s="67"/>
      <c r="AB977" s="67"/>
      <c r="AC977" s="67"/>
      <c r="AD977" s="67"/>
      <c r="AE977" s="67"/>
      <c r="AF977" s="67"/>
      <c r="AG977" s="67"/>
      <c r="AH977" s="67"/>
    </row>
    <row r="978">
      <c r="A978" s="171"/>
      <c r="B978" s="172"/>
      <c r="C978" s="172"/>
      <c r="D978" s="172"/>
      <c r="E978" s="172"/>
      <c r="F978" s="172"/>
      <c r="G978" s="172"/>
      <c r="H978" s="172"/>
      <c r="I978" s="172"/>
      <c r="J978" s="172"/>
      <c r="K978" s="172"/>
      <c r="L978" s="172"/>
      <c r="M978" s="172"/>
      <c r="N978" s="172"/>
      <c r="O978" s="172"/>
      <c r="P978" s="172"/>
      <c r="Q978" s="172"/>
      <c r="R978" s="173"/>
      <c r="S978" s="67"/>
      <c r="T978" s="67"/>
      <c r="U978" s="67"/>
      <c r="V978" s="67"/>
      <c r="W978" s="67"/>
      <c r="X978" s="67"/>
      <c r="Y978" s="67"/>
      <c r="Z978" s="67"/>
      <c r="AA978" s="67"/>
      <c r="AB978" s="67"/>
      <c r="AC978" s="67"/>
      <c r="AD978" s="67"/>
      <c r="AE978" s="67"/>
      <c r="AF978" s="67"/>
      <c r="AG978" s="67"/>
      <c r="AH978" s="67"/>
    </row>
    <row r="979">
      <c r="A979" s="174"/>
      <c r="B979" s="175"/>
      <c r="C979" s="175"/>
      <c r="D979" s="175"/>
      <c r="E979" s="175"/>
      <c r="F979" s="175"/>
      <c r="G979" s="175"/>
      <c r="H979" s="175"/>
      <c r="I979" s="175"/>
      <c r="J979" s="175"/>
      <c r="K979" s="175"/>
      <c r="L979" s="175"/>
      <c r="M979" s="175"/>
      <c r="N979" s="175"/>
      <c r="O979" s="175"/>
      <c r="P979" s="175"/>
      <c r="Q979" s="175"/>
      <c r="R979" s="176"/>
      <c r="S979" s="67"/>
      <c r="T979" s="67"/>
      <c r="U979" s="67"/>
      <c r="V979" s="67"/>
      <c r="W979" s="67"/>
      <c r="X979" s="67"/>
      <c r="Y979" s="67"/>
      <c r="Z979" s="67"/>
      <c r="AA979" s="67"/>
      <c r="AB979" s="67"/>
      <c r="AC979" s="67"/>
      <c r="AD979" s="67"/>
      <c r="AE979" s="67"/>
      <c r="AF979" s="67"/>
      <c r="AG979" s="67"/>
      <c r="AH979" s="67"/>
    </row>
    <row r="980">
      <c r="A980" s="171"/>
      <c r="B980" s="172"/>
      <c r="C980" s="172"/>
      <c r="D980" s="172"/>
      <c r="E980" s="172"/>
      <c r="F980" s="172"/>
      <c r="G980" s="172"/>
      <c r="H980" s="172"/>
      <c r="I980" s="172"/>
      <c r="J980" s="172"/>
      <c r="K980" s="172"/>
      <c r="L980" s="172"/>
      <c r="M980" s="172"/>
      <c r="N980" s="172"/>
      <c r="O980" s="172"/>
      <c r="P980" s="172"/>
      <c r="Q980" s="172"/>
      <c r="R980" s="173"/>
      <c r="S980" s="67"/>
      <c r="T980" s="67"/>
      <c r="U980" s="67"/>
      <c r="V980" s="67"/>
      <c r="W980" s="67"/>
      <c r="X980" s="67"/>
      <c r="Y980" s="67"/>
      <c r="Z980" s="67"/>
      <c r="AA980" s="67"/>
      <c r="AB980" s="67"/>
      <c r="AC980" s="67"/>
      <c r="AD980" s="67"/>
      <c r="AE980" s="67"/>
      <c r="AF980" s="67"/>
      <c r="AG980" s="67"/>
      <c r="AH980" s="67"/>
    </row>
    <row r="981">
      <c r="A981" s="174"/>
      <c r="B981" s="175"/>
      <c r="C981" s="175"/>
      <c r="D981" s="175"/>
      <c r="E981" s="175"/>
      <c r="F981" s="175"/>
      <c r="G981" s="175"/>
      <c r="H981" s="175"/>
      <c r="I981" s="175"/>
      <c r="J981" s="175"/>
      <c r="K981" s="175"/>
      <c r="L981" s="175"/>
      <c r="M981" s="175"/>
      <c r="N981" s="175"/>
      <c r="O981" s="175"/>
      <c r="P981" s="175"/>
      <c r="Q981" s="175"/>
      <c r="R981" s="176"/>
      <c r="S981" s="67"/>
      <c r="T981" s="67"/>
      <c r="U981" s="67"/>
      <c r="V981" s="67"/>
      <c r="W981" s="67"/>
      <c r="X981" s="67"/>
      <c r="Y981" s="67"/>
      <c r="Z981" s="67"/>
      <c r="AA981" s="67"/>
      <c r="AB981" s="67"/>
      <c r="AC981" s="67"/>
      <c r="AD981" s="67"/>
      <c r="AE981" s="67"/>
      <c r="AF981" s="67"/>
      <c r="AG981" s="67"/>
      <c r="AH981" s="67"/>
    </row>
    <row r="982">
      <c r="A982" s="171"/>
      <c r="B982" s="172"/>
      <c r="C982" s="172"/>
      <c r="D982" s="172"/>
      <c r="E982" s="172"/>
      <c r="F982" s="172"/>
      <c r="G982" s="172"/>
      <c r="H982" s="172"/>
      <c r="I982" s="172"/>
      <c r="J982" s="172"/>
      <c r="K982" s="172"/>
      <c r="L982" s="172"/>
      <c r="M982" s="172"/>
      <c r="N982" s="172"/>
      <c r="O982" s="172"/>
      <c r="P982" s="172"/>
      <c r="Q982" s="172"/>
      <c r="R982" s="173"/>
      <c r="S982" s="67"/>
      <c r="T982" s="67"/>
      <c r="U982" s="67"/>
      <c r="V982" s="67"/>
      <c r="W982" s="67"/>
      <c r="X982" s="67"/>
      <c r="Y982" s="67"/>
      <c r="Z982" s="67"/>
      <c r="AA982" s="67"/>
      <c r="AB982" s="67"/>
      <c r="AC982" s="67"/>
      <c r="AD982" s="67"/>
      <c r="AE982" s="67"/>
      <c r="AF982" s="67"/>
      <c r="AG982" s="67"/>
      <c r="AH982" s="67"/>
    </row>
    <row r="983">
      <c r="A983" s="174"/>
      <c r="B983" s="175"/>
      <c r="C983" s="175"/>
      <c r="D983" s="175"/>
      <c r="E983" s="175"/>
      <c r="F983" s="175"/>
      <c r="G983" s="175"/>
      <c r="H983" s="175"/>
      <c r="I983" s="175"/>
      <c r="J983" s="175"/>
      <c r="K983" s="175"/>
      <c r="L983" s="175"/>
      <c r="M983" s="175"/>
      <c r="N983" s="175"/>
      <c r="O983" s="175"/>
      <c r="P983" s="175"/>
      <c r="Q983" s="175"/>
      <c r="R983" s="176"/>
      <c r="S983" s="67"/>
      <c r="T983" s="67"/>
      <c r="U983" s="67"/>
      <c r="V983" s="67"/>
      <c r="W983" s="67"/>
      <c r="X983" s="67"/>
      <c r="Y983" s="67"/>
      <c r="Z983" s="67"/>
      <c r="AA983" s="67"/>
      <c r="AB983" s="67"/>
      <c r="AC983" s="67"/>
      <c r="AD983" s="67"/>
      <c r="AE983" s="67"/>
      <c r="AF983" s="67"/>
      <c r="AG983" s="67"/>
      <c r="AH983" s="67"/>
    </row>
    <row r="984">
      <c r="A984" s="171"/>
      <c r="B984" s="172"/>
      <c r="C984" s="172"/>
      <c r="D984" s="172"/>
      <c r="E984" s="172"/>
      <c r="F984" s="172"/>
      <c r="G984" s="172"/>
      <c r="H984" s="172"/>
      <c r="I984" s="172"/>
      <c r="J984" s="172"/>
      <c r="K984" s="172"/>
      <c r="L984" s="172"/>
      <c r="M984" s="172"/>
      <c r="N984" s="172"/>
      <c r="O984" s="172"/>
      <c r="P984" s="172"/>
      <c r="Q984" s="172"/>
      <c r="R984" s="173"/>
      <c r="S984" s="67"/>
      <c r="T984" s="67"/>
      <c r="U984" s="67"/>
      <c r="V984" s="67"/>
      <c r="W984" s="67"/>
      <c r="X984" s="67"/>
      <c r="Y984" s="67"/>
      <c r="Z984" s="67"/>
      <c r="AA984" s="67"/>
      <c r="AB984" s="67"/>
      <c r="AC984" s="67"/>
      <c r="AD984" s="67"/>
      <c r="AE984" s="67"/>
      <c r="AF984" s="67"/>
      <c r="AG984" s="67"/>
      <c r="AH984" s="67"/>
    </row>
    <row r="985">
      <c r="A985" s="174"/>
      <c r="B985" s="175"/>
      <c r="C985" s="175"/>
      <c r="D985" s="175"/>
      <c r="E985" s="175"/>
      <c r="F985" s="175"/>
      <c r="G985" s="175"/>
      <c r="H985" s="175"/>
      <c r="I985" s="175"/>
      <c r="J985" s="175"/>
      <c r="K985" s="175"/>
      <c r="L985" s="175"/>
      <c r="M985" s="175"/>
      <c r="N985" s="175"/>
      <c r="O985" s="175"/>
      <c r="P985" s="175"/>
      <c r="Q985" s="175"/>
      <c r="R985" s="176"/>
      <c r="S985" s="67"/>
      <c r="T985" s="67"/>
      <c r="U985" s="67"/>
      <c r="V985" s="67"/>
      <c r="W985" s="67"/>
      <c r="X985" s="67"/>
      <c r="Y985" s="67"/>
      <c r="Z985" s="67"/>
      <c r="AA985" s="67"/>
      <c r="AB985" s="67"/>
      <c r="AC985" s="67"/>
      <c r="AD985" s="67"/>
      <c r="AE985" s="67"/>
      <c r="AF985" s="67"/>
      <c r="AG985" s="67"/>
      <c r="AH985" s="67"/>
    </row>
    <row r="986">
      <c r="A986" s="171"/>
      <c r="B986" s="172"/>
      <c r="C986" s="172"/>
      <c r="D986" s="172"/>
      <c r="E986" s="172"/>
      <c r="F986" s="172"/>
      <c r="G986" s="172"/>
      <c r="H986" s="172"/>
      <c r="I986" s="172"/>
      <c r="J986" s="172"/>
      <c r="K986" s="172"/>
      <c r="L986" s="172"/>
      <c r="M986" s="172"/>
      <c r="N986" s="172"/>
      <c r="O986" s="172"/>
      <c r="P986" s="172"/>
      <c r="Q986" s="172"/>
      <c r="R986" s="173"/>
      <c r="S986" s="67"/>
      <c r="T986" s="67"/>
      <c r="U986" s="67"/>
      <c r="V986" s="67"/>
      <c r="W986" s="67"/>
      <c r="X986" s="67"/>
      <c r="Y986" s="67"/>
      <c r="Z986" s="67"/>
      <c r="AA986" s="67"/>
      <c r="AB986" s="67"/>
      <c r="AC986" s="67"/>
      <c r="AD986" s="67"/>
      <c r="AE986" s="67"/>
      <c r="AF986" s="67"/>
      <c r="AG986" s="67"/>
      <c r="AH986" s="67"/>
    </row>
    <row r="987">
      <c r="A987" s="174"/>
      <c r="B987" s="175"/>
      <c r="C987" s="175"/>
      <c r="D987" s="175"/>
      <c r="E987" s="175"/>
      <c r="F987" s="175"/>
      <c r="G987" s="175"/>
      <c r="H987" s="175"/>
      <c r="I987" s="175"/>
      <c r="J987" s="175"/>
      <c r="K987" s="175"/>
      <c r="L987" s="175"/>
      <c r="M987" s="175"/>
      <c r="N987" s="175"/>
      <c r="O987" s="175"/>
      <c r="P987" s="175"/>
      <c r="Q987" s="175"/>
      <c r="R987" s="176"/>
      <c r="S987" s="67"/>
      <c r="T987" s="67"/>
      <c r="U987" s="67"/>
      <c r="V987" s="67"/>
      <c r="W987" s="67"/>
      <c r="X987" s="67"/>
      <c r="Y987" s="67"/>
      <c r="Z987" s="67"/>
      <c r="AA987" s="67"/>
      <c r="AB987" s="67"/>
      <c r="AC987" s="67"/>
      <c r="AD987" s="67"/>
      <c r="AE987" s="67"/>
      <c r="AF987" s="67"/>
      <c r="AG987" s="67"/>
      <c r="AH987" s="67"/>
    </row>
    <row r="988">
      <c r="A988" s="171"/>
      <c r="B988" s="172"/>
      <c r="C988" s="172"/>
      <c r="D988" s="172"/>
      <c r="E988" s="172"/>
      <c r="F988" s="172"/>
      <c r="G988" s="172"/>
      <c r="H988" s="172"/>
      <c r="I988" s="172"/>
      <c r="J988" s="172"/>
      <c r="K988" s="172"/>
      <c r="L988" s="172"/>
      <c r="M988" s="172"/>
      <c r="N988" s="172"/>
      <c r="O988" s="172"/>
      <c r="P988" s="172"/>
      <c r="Q988" s="172"/>
      <c r="R988" s="173"/>
      <c r="S988" s="67"/>
      <c r="T988" s="67"/>
      <c r="U988" s="67"/>
      <c r="V988" s="67"/>
      <c r="W988" s="67"/>
      <c r="X988" s="67"/>
      <c r="Y988" s="67"/>
      <c r="Z988" s="67"/>
      <c r="AA988" s="67"/>
      <c r="AB988" s="67"/>
      <c r="AC988" s="67"/>
      <c r="AD988" s="67"/>
      <c r="AE988" s="67"/>
      <c r="AF988" s="67"/>
      <c r="AG988" s="67"/>
      <c r="AH988" s="67"/>
    </row>
    <row r="989">
      <c r="A989" s="174"/>
      <c r="B989" s="175"/>
      <c r="C989" s="175"/>
      <c r="D989" s="175"/>
      <c r="E989" s="175"/>
      <c r="F989" s="175"/>
      <c r="G989" s="175"/>
      <c r="H989" s="175"/>
      <c r="I989" s="175"/>
      <c r="J989" s="175"/>
      <c r="K989" s="175"/>
      <c r="L989" s="175"/>
      <c r="M989" s="175"/>
      <c r="N989" s="175"/>
      <c r="O989" s="175"/>
      <c r="P989" s="175"/>
      <c r="Q989" s="175"/>
      <c r="R989" s="176"/>
      <c r="S989" s="67"/>
      <c r="T989" s="67"/>
      <c r="U989" s="67"/>
      <c r="V989" s="67"/>
      <c r="W989" s="67"/>
      <c r="X989" s="67"/>
      <c r="Y989" s="67"/>
      <c r="Z989" s="67"/>
      <c r="AA989" s="67"/>
      <c r="AB989" s="67"/>
      <c r="AC989" s="67"/>
      <c r="AD989" s="67"/>
      <c r="AE989" s="67"/>
      <c r="AF989" s="67"/>
      <c r="AG989" s="67"/>
      <c r="AH989" s="67"/>
    </row>
    <row r="990">
      <c r="A990" s="171"/>
      <c r="B990" s="172"/>
      <c r="C990" s="172"/>
      <c r="D990" s="172"/>
      <c r="E990" s="172"/>
      <c r="F990" s="172"/>
      <c r="G990" s="172"/>
      <c r="H990" s="172"/>
      <c r="I990" s="172"/>
      <c r="J990" s="172"/>
      <c r="K990" s="172"/>
      <c r="L990" s="172"/>
      <c r="M990" s="172"/>
      <c r="N990" s="172"/>
      <c r="O990" s="172"/>
      <c r="P990" s="172"/>
      <c r="Q990" s="172"/>
      <c r="R990" s="173"/>
      <c r="S990" s="67"/>
      <c r="T990" s="67"/>
      <c r="U990" s="67"/>
      <c r="V990" s="67"/>
      <c r="W990" s="67"/>
      <c r="X990" s="67"/>
      <c r="Y990" s="67"/>
      <c r="Z990" s="67"/>
      <c r="AA990" s="67"/>
      <c r="AB990" s="67"/>
      <c r="AC990" s="67"/>
      <c r="AD990" s="67"/>
      <c r="AE990" s="67"/>
      <c r="AF990" s="67"/>
      <c r="AG990" s="67"/>
      <c r="AH990" s="67"/>
    </row>
    <row r="991">
      <c r="A991" s="174"/>
      <c r="B991" s="175"/>
      <c r="C991" s="175"/>
      <c r="D991" s="175"/>
      <c r="E991" s="175"/>
      <c r="F991" s="175"/>
      <c r="G991" s="175"/>
      <c r="H991" s="175"/>
      <c r="I991" s="175"/>
      <c r="J991" s="175"/>
      <c r="K991" s="175"/>
      <c r="L991" s="175"/>
      <c r="M991" s="175"/>
      <c r="N991" s="175"/>
      <c r="O991" s="175"/>
      <c r="P991" s="175"/>
      <c r="Q991" s="175"/>
      <c r="R991" s="176"/>
      <c r="S991" s="67"/>
      <c r="T991" s="67"/>
      <c r="U991" s="67"/>
      <c r="V991" s="67"/>
      <c r="W991" s="67"/>
      <c r="X991" s="67"/>
      <c r="Y991" s="67"/>
      <c r="Z991" s="67"/>
      <c r="AA991" s="67"/>
      <c r="AB991" s="67"/>
      <c r="AC991" s="67"/>
      <c r="AD991" s="67"/>
      <c r="AE991" s="67"/>
      <c r="AF991" s="67"/>
      <c r="AG991" s="67"/>
      <c r="AH991" s="67"/>
    </row>
    <row r="992">
      <c r="A992" s="171"/>
      <c r="B992" s="172"/>
      <c r="C992" s="172"/>
      <c r="D992" s="172"/>
      <c r="E992" s="172"/>
      <c r="F992" s="172"/>
      <c r="G992" s="172"/>
      <c r="H992" s="172"/>
      <c r="I992" s="172"/>
      <c r="J992" s="172"/>
      <c r="K992" s="172"/>
      <c r="L992" s="172"/>
      <c r="M992" s="172"/>
      <c r="N992" s="172"/>
      <c r="O992" s="172"/>
      <c r="P992" s="172"/>
      <c r="Q992" s="172"/>
      <c r="R992" s="173"/>
      <c r="S992" s="67"/>
      <c r="T992" s="67"/>
      <c r="U992" s="67"/>
      <c r="V992" s="67"/>
      <c r="W992" s="67"/>
      <c r="X992" s="67"/>
      <c r="Y992" s="67"/>
      <c r="Z992" s="67"/>
      <c r="AA992" s="67"/>
      <c r="AB992" s="67"/>
      <c r="AC992" s="67"/>
      <c r="AD992" s="67"/>
      <c r="AE992" s="67"/>
      <c r="AF992" s="67"/>
      <c r="AG992" s="67"/>
      <c r="AH992" s="67"/>
    </row>
    <row r="993">
      <c r="A993" s="174"/>
      <c r="B993" s="175"/>
      <c r="C993" s="175"/>
      <c r="D993" s="175"/>
      <c r="E993" s="175"/>
      <c r="F993" s="175"/>
      <c r="G993" s="175"/>
      <c r="H993" s="175"/>
      <c r="I993" s="175"/>
      <c r="J993" s="175"/>
      <c r="K993" s="175"/>
      <c r="L993" s="175"/>
      <c r="M993" s="175"/>
      <c r="N993" s="175"/>
      <c r="O993" s="175"/>
      <c r="P993" s="175"/>
      <c r="Q993" s="175"/>
      <c r="R993" s="176"/>
      <c r="S993" s="67"/>
      <c r="T993" s="67"/>
      <c r="U993" s="67"/>
      <c r="V993" s="67"/>
      <c r="W993" s="67"/>
      <c r="X993" s="67"/>
      <c r="Y993" s="67"/>
      <c r="Z993" s="67"/>
      <c r="AA993" s="67"/>
      <c r="AB993" s="67"/>
      <c r="AC993" s="67"/>
      <c r="AD993" s="67"/>
      <c r="AE993" s="67"/>
      <c r="AF993" s="67"/>
      <c r="AG993" s="67"/>
      <c r="AH993" s="67"/>
    </row>
    <row r="994">
      <c r="A994" s="171"/>
      <c r="B994" s="172"/>
      <c r="C994" s="172"/>
      <c r="D994" s="172"/>
      <c r="E994" s="172"/>
      <c r="F994" s="172"/>
      <c r="G994" s="172"/>
      <c r="H994" s="172"/>
      <c r="I994" s="172"/>
      <c r="J994" s="172"/>
      <c r="K994" s="172"/>
      <c r="L994" s="172"/>
      <c r="M994" s="172"/>
      <c r="N994" s="172"/>
      <c r="O994" s="172"/>
      <c r="P994" s="172"/>
      <c r="Q994" s="172"/>
      <c r="R994" s="173"/>
      <c r="S994" s="67"/>
      <c r="T994" s="67"/>
      <c r="U994" s="67"/>
      <c r="V994" s="67"/>
      <c r="W994" s="67"/>
      <c r="X994" s="67"/>
      <c r="Y994" s="67"/>
      <c r="Z994" s="67"/>
      <c r="AA994" s="67"/>
      <c r="AB994" s="67"/>
      <c r="AC994" s="67"/>
      <c r="AD994" s="67"/>
      <c r="AE994" s="67"/>
      <c r="AF994" s="67"/>
      <c r="AG994" s="67"/>
      <c r="AH994" s="67"/>
    </row>
    <row r="995">
      <c r="A995" s="174"/>
      <c r="B995" s="175"/>
      <c r="C995" s="175"/>
      <c r="D995" s="175"/>
      <c r="E995" s="175"/>
      <c r="F995" s="175"/>
      <c r="G995" s="175"/>
      <c r="H995" s="175"/>
      <c r="I995" s="175"/>
      <c r="J995" s="175"/>
      <c r="K995" s="175"/>
      <c r="L995" s="175"/>
      <c r="M995" s="175"/>
      <c r="N995" s="175"/>
      <c r="O995" s="175"/>
      <c r="P995" s="175"/>
      <c r="Q995" s="175"/>
      <c r="R995" s="176"/>
      <c r="S995" s="67"/>
      <c r="T995" s="67"/>
      <c r="U995" s="67"/>
      <c r="V995" s="67"/>
      <c r="W995" s="67"/>
      <c r="X995" s="67"/>
      <c r="Y995" s="67"/>
      <c r="Z995" s="67"/>
      <c r="AA995" s="67"/>
      <c r="AB995" s="67"/>
      <c r="AC995" s="67"/>
      <c r="AD995" s="67"/>
      <c r="AE995" s="67"/>
      <c r="AF995" s="67"/>
      <c r="AG995" s="67"/>
      <c r="AH995" s="67"/>
    </row>
    <row r="996">
      <c r="A996" s="171"/>
      <c r="B996" s="172"/>
      <c r="C996" s="172"/>
      <c r="D996" s="172"/>
      <c r="E996" s="172"/>
      <c r="F996" s="172"/>
      <c r="G996" s="172"/>
      <c r="H996" s="172"/>
      <c r="I996" s="172"/>
      <c r="J996" s="172"/>
      <c r="K996" s="172"/>
      <c r="L996" s="172"/>
      <c r="M996" s="172"/>
      <c r="N996" s="172"/>
      <c r="O996" s="172"/>
      <c r="P996" s="172"/>
      <c r="Q996" s="172"/>
      <c r="R996" s="173"/>
      <c r="S996" s="67"/>
      <c r="T996" s="67"/>
      <c r="U996" s="67"/>
      <c r="V996" s="67"/>
      <c r="W996" s="67"/>
      <c r="X996" s="67"/>
      <c r="Y996" s="67"/>
      <c r="Z996" s="67"/>
      <c r="AA996" s="67"/>
      <c r="AB996" s="67"/>
      <c r="AC996" s="67"/>
      <c r="AD996" s="67"/>
      <c r="AE996" s="67"/>
      <c r="AF996" s="67"/>
      <c r="AG996" s="67"/>
      <c r="AH996" s="67"/>
    </row>
    <row r="997">
      <c r="A997" s="174"/>
      <c r="B997" s="175"/>
      <c r="C997" s="175"/>
      <c r="D997" s="175"/>
      <c r="E997" s="175"/>
      <c r="F997" s="175"/>
      <c r="G997" s="175"/>
      <c r="H997" s="175"/>
      <c r="I997" s="175"/>
      <c r="J997" s="175"/>
      <c r="K997" s="175"/>
      <c r="L997" s="175"/>
      <c r="M997" s="175"/>
      <c r="N997" s="175"/>
      <c r="O997" s="175"/>
      <c r="P997" s="175"/>
      <c r="Q997" s="175"/>
      <c r="R997" s="176"/>
      <c r="S997" s="67"/>
      <c r="T997" s="67"/>
      <c r="U997" s="67"/>
      <c r="V997" s="67"/>
      <c r="W997" s="67"/>
      <c r="X997" s="67"/>
      <c r="Y997" s="67"/>
      <c r="Z997" s="67"/>
      <c r="AA997" s="67"/>
      <c r="AB997" s="67"/>
      <c r="AC997" s="67"/>
      <c r="AD997" s="67"/>
      <c r="AE997" s="67"/>
      <c r="AF997" s="67"/>
      <c r="AG997" s="67"/>
      <c r="AH997" s="67"/>
    </row>
    <row r="998">
      <c r="A998" s="171"/>
      <c r="B998" s="172"/>
      <c r="C998" s="172"/>
      <c r="D998" s="172"/>
      <c r="E998" s="172"/>
      <c r="F998" s="172"/>
      <c r="G998" s="172"/>
      <c r="H998" s="172"/>
      <c r="I998" s="172"/>
      <c r="J998" s="172"/>
      <c r="K998" s="172"/>
      <c r="L998" s="172"/>
      <c r="M998" s="172"/>
      <c r="N998" s="172"/>
      <c r="O998" s="172"/>
      <c r="P998" s="172"/>
      <c r="Q998" s="172"/>
      <c r="R998" s="173"/>
      <c r="S998" s="67"/>
      <c r="T998" s="67"/>
      <c r="U998" s="67"/>
      <c r="V998" s="67"/>
      <c r="W998" s="67"/>
      <c r="X998" s="67"/>
      <c r="Y998" s="67"/>
      <c r="Z998" s="67"/>
      <c r="AA998" s="67"/>
      <c r="AB998" s="67"/>
      <c r="AC998" s="67"/>
      <c r="AD998" s="67"/>
      <c r="AE998" s="67"/>
      <c r="AF998" s="67"/>
      <c r="AG998" s="67"/>
      <c r="AH998" s="67"/>
    </row>
    <row r="999">
      <c r="A999" s="174"/>
      <c r="B999" s="175"/>
      <c r="C999" s="175"/>
      <c r="D999" s="175"/>
      <c r="E999" s="175"/>
      <c r="F999" s="175"/>
      <c r="G999" s="175"/>
      <c r="H999" s="175"/>
      <c r="I999" s="175"/>
      <c r="J999" s="175"/>
      <c r="K999" s="175"/>
      <c r="L999" s="175"/>
      <c r="M999" s="175"/>
      <c r="N999" s="175"/>
      <c r="O999" s="175"/>
      <c r="P999" s="175"/>
      <c r="Q999" s="175"/>
      <c r="R999" s="176"/>
      <c r="S999" s="67"/>
      <c r="T999" s="67"/>
      <c r="U999" s="67"/>
      <c r="V999" s="67"/>
      <c r="W999" s="67"/>
      <c r="X999" s="67"/>
      <c r="Y999" s="67"/>
      <c r="Z999" s="67"/>
      <c r="AA999" s="67"/>
      <c r="AB999" s="67"/>
      <c r="AC999" s="67"/>
      <c r="AD999" s="67"/>
      <c r="AE999" s="67"/>
      <c r="AF999" s="67"/>
      <c r="AG999" s="67"/>
      <c r="AH999" s="67"/>
    </row>
    <row r="1000">
      <c r="A1000" s="171"/>
      <c r="B1000" s="172"/>
      <c r="C1000" s="172"/>
      <c r="D1000" s="172"/>
      <c r="E1000" s="172"/>
      <c r="F1000" s="172"/>
      <c r="G1000" s="172"/>
      <c r="H1000" s="172"/>
      <c r="I1000" s="172"/>
      <c r="J1000" s="172"/>
      <c r="K1000" s="172"/>
      <c r="L1000" s="172"/>
      <c r="M1000" s="172"/>
      <c r="N1000" s="172"/>
      <c r="O1000" s="172"/>
      <c r="P1000" s="172"/>
      <c r="Q1000" s="172"/>
      <c r="R1000" s="173"/>
      <c r="S1000" s="67"/>
      <c r="T1000" s="67"/>
      <c r="U1000" s="67"/>
      <c r="V1000" s="67"/>
      <c r="W1000" s="67"/>
      <c r="X1000" s="67"/>
      <c r="Y1000" s="67"/>
      <c r="Z1000" s="67"/>
      <c r="AA1000" s="67"/>
      <c r="AB1000" s="67"/>
      <c r="AC1000" s="67"/>
      <c r="AD1000" s="67"/>
      <c r="AE1000" s="67"/>
      <c r="AF1000" s="67"/>
      <c r="AG1000" s="67"/>
      <c r="AH1000" s="67"/>
    </row>
    <row r="1001">
      <c r="A1001" s="174"/>
      <c r="B1001" s="175"/>
      <c r="C1001" s="175"/>
      <c r="D1001" s="175"/>
      <c r="E1001" s="175"/>
      <c r="F1001" s="175"/>
      <c r="G1001" s="175"/>
      <c r="H1001" s="175"/>
      <c r="I1001" s="175"/>
      <c r="J1001" s="175"/>
      <c r="K1001" s="175"/>
      <c r="L1001" s="175"/>
      <c r="M1001" s="175"/>
      <c r="N1001" s="175"/>
      <c r="O1001" s="175"/>
      <c r="P1001" s="175"/>
      <c r="Q1001" s="175"/>
      <c r="R1001" s="176"/>
      <c r="S1001" s="67"/>
      <c r="T1001" s="67"/>
      <c r="U1001" s="67"/>
      <c r="V1001" s="67"/>
      <c r="W1001" s="67"/>
      <c r="X1001" s="67"/>
      <c r="Y1001" s="67"/>
      <c r="Z1001" s="67"/>
      <c r="AA1001" s="67"/>
      <c r="AB1001" s="67"/>
      <c r="AC1001" s="67"/>
      <c r="AD1001" s="67"/>
      <c r="AE1001" s="67"/>
      <c r="AF1001" s="67"/>
      <c r="AG1001" s="67"/>
      <c r="AH1001" s="67"/>
    </row>
    <row r="1002">
      <c r="A1002" s="171"/>
      <c r="B1002" s="172"/>
      <c r="C1002" s="172"/>
      <c r="D1002" s="172"/>
      <c r="E1002" s="172"/>
      <c r="F1002" s="172"/>
      <c r="G1002" s="172"/>
      <c r="H1002" s="172"/>
      <c r="I1002" s="172"/>
      <c r="J1002" s="172"/>
      <c r="K1002" s="172"/>
      <c r="L1002" s="172"/>
      <c r="M1002" s="172"/>
      <c r="N1002" s="172"/>
      <c r="O1002" s="172"/>
      <c r="P1002" s="172"/>
      <c r="Q1002" s="172"/>
      <c r="R1002" s="173"/>
      <c r="S1002" s="67"/>
      <c r="T1002" s="67"/>
      <c r="U1002" s="67"/>
      <c r="V1002" s="67"/>
      <c r="W1002" s="67"/>
      <c r="X1002" s="67"/>
      <c r="Y1002" s="67"/>
      <c r="Z1002" s="67"/>
      <c r="AA1002" s="67"/>
      <c r="AB1002" s="67"/>
      <c r="AC1002" s="67"/>
      <c r="AD1002" s="67"/>
      <c r="AE1002" s="67"/>
      <c r="AF1002" s="67"/>
      <c r="AG1002" s="67"/>
      <c r="AH1002" s="67"/>
    </row>
    <row r="1003">
      <c r="A1003" s="174"/>
      <c r="B1003" s="175"/>
      <c r="C1003" s="175"/>
      <c r="D1003" s="175"/>
      <c r="E1003" s="175"/>
      <c r="F1003" s="175"/>
      <c r="G1003" s="175"/>
      <c r="H1003" s="175"/>
      <c r="I1003" s="175"/>
      <c r="J1003" s="175"/>
      <c r="K1003" s="175"/>
      <c r="L1003" s="175"/>
      <c r="M1003" s="175"/>
      <c r="N1003" s="175"/>
      <c r="O1003" s="175"/>
      <c r="P1003" s="175"/>
      <c r="Q1003" s="175"/>
      <c r="R1003" s="176"/>
      <c r="S1003" s="67"/>
      <c r="T1003" s="67"/>
      <c r="U1003" s="67"/>
      <c r="V1003" s="67"/>
      <c r="W1003" s="67"/>
      <c r="X1003" s="67"/>
      <c r="Y1003" s="67"/>
      <c r="Z1003" s="67"/>
      <c r="AA1003" s="67"/>
      <c r="AB1003" s="67"/>
      <c r="AC1003" s="67"/>
      <c r="AD1003" s="67"/>
      <c r="AE1003" s="67"/>
      <c r="AF1003" s="67"/>
      <c r="AG1003" s="67"/>
      <c r="AH1003" s="67"/>
    </row>
    <row r="1004">
      <c r="A1004" s="171"/>
      <c r="B1004" s="172"/>
      <c r="C1004" s="172"/>
      <c r="D1004" s="172"/>
      <c r="E1004" s="172"/>
      <c r="F1004" s="172"/>
      <c r="G1004" s="172"/>
      <c r="H1004" s="172"/>
      <c r="I1004" s="172"/>
      <c r="J1004" s="172"/>
      <c r="K1004" s="172"/>
      <c r="L1004" s="172"/>
      <c r="M1004" s="172"/>
      <c r="N1004" s="172"/>
      <c r="O1004" s="172"/>
      <c r="P1004" s="172"/>
      <c r="Q1004" s="172"/>
      <c r="R1004" s="173"/>
      <c r="S1004" s="67"/>
      <c r="T1004" s="67"/>
      <c r="U1004" s="67"/>
      <c r="V1004" s="67"/>
      <c r="W1004" s="67"/>
      <c r="X1004" s="67"/>
      <c r="Y1004" s="67"/>
      <c r="Z1004" s="67"/>
      <c r="AA1004" s="67"/>
      <c r="AB1004" s="67"/>
      <c r="AC1004" s="67"/>
      <c r="AD1004" s="67"/>
      <c r="AE1004" s="67"/>
      <c r="AF1004" s="67"/>
      <c r="AG1004" s="67"/>
      <c r="AH1004" s="67"/>
    </row>
    <row r="1005">
      <c r="A1005" s="174"/>
      <c r="B1005" s="175"/>
      <c r="C1005" s="175"/>
      <c r="D1005" s="175"/>
      <c r="E1005" s="175"/>
      <c r="F1005" s="175"/>
      <c r="G1005" s="175"/>
      <c r="H1005" s="175"/>
      <c r="I1005" s="175"/>
      <c r="J1005" s="175"/>
      <c r="K1005" s="175"/>
      <c r="L1005" s="175"/>
      <c r="M1005" s="175"/>
      <c r="N1005" s="175"/>
      <c r="O1005" s="175"/>
      <c r="P1005" s="175"/>
      <c r="Q1005" s="175"/>
      <c r="R1005" s="176"/>
      <c r="S1005" s="67"/>
      <c r="T1005" s="67"/>
      <c r="U1005" s="67"/>
      <c r="V1005" s="67"/>
      <c r="W1005" s="67"/>
      <c r="X1005" s="67"/>
      <c r="Y1005" s="67"/>
      <c r="Z1005" s="67"/>
      <c r="AA1005" s="67"/>
      <c r="AB1005" s="67"/>
      <c r="AC1005" s="67"/>
      <c r="AD1005" s="67"/>
      <c r="AE1005" s="67"/>
      <c r="AF1005" s="67"/>
      <c r="AG1005" s="67"/>
      <c r="AH1005" s="67"/>
    </row>
    <row r="1006">
      <c r="A1006" s="171"/>
      <c r="B1006" s="172"/>
      <c r="C1006" s="172"/>
      <c r="D1006" s="172"/>
      <c r="E1006" s="172"/>
      <c r="F1006" s="172"/>
      <c r="G1006" s="172"/>
      <c r="H1006" s="172"/>
      <c r="I1006" s="172"/>
      <c r="J1006" s="172"/>
      <c r="K1006" s="172"/>
      <c r="L1006" s="172"/>
      <c r="M1006" s="172"/>
      <c r="N1006" s="172"/>
      <c r="O1006" s="172"/>
      <c r="P1006" s="172"/>
      <c r="Q1006" s="172"/>
      <c r="R1006" s="173"/>
      <c r="S1006" s="67"/>
      <c r="T1006" s="67"/>
      <c r="U1006" s="67"/>
      <c r="V1006" s="67"/>
      <c r="W1006" s="67"/>
      <c r="X1006" s="67"/>
      <c r="Y1006" s="67"/>
      <c r="Z1006" s="67"/>
      <c r="AA1006" s="67"/>
      <c r="AB1006" s="67"/>
      <c r="AC1006" s="67"/>
      <c r="AD1006" s="67"/>
      <c r="AE1006" s="67"/>
      <c r="AF1006" s="67"/>
      <c r="AG1006" s="67"/>
      <c r="AH1006" s="67"/>
    </row>
    <row r="1007">
      <c r="A1007" s="174"/>
      <c r="B1007" s="175"/>
      <c r="C1007" s="175"/>
      <c r="D1007" s="175"/>
      <c r="E1007" s="175"/>
      <c r="F1007" s="175"/>
      <c r="G1007" s="175"/>
      <c r="H1007" s="175"/>
      <c r="I1007" s="175"/>
      <c r="J1007" s="175"/>
      <c r="K1007" s="175"/>
      <c r="L1007" s="175"/>
      <c r="M1007" s="175"/>
      <c r="N1007" s="175"/>
      <c r="O1007" s="175"/>
      <c r="P1007" s="175"/>
      <c r="Q1007" s="175"/>
      <c r="R1007" s="176"/>
      <c r="S1007" s="67"/>
      <c r="T1007" s="67"/>
      <c r="U1007" s="67"/>
      <c r="V1007" s="67"/>
      <c r="W1007" s="67"/>
      <c r="X1007" s="67"/>
      <c r="Y1007" s="67"/>
      <c r="Z1007" s="67"/>
      <c r="AA1007" s="67"/>
      <c r="AB1007" s="67"/>
      <c r="AC1007" s="67"/>
      <c r="AD1007" s="67"/>
      <c r="AE1007" s="67"/>
      <c r="AF1007" s="67"/>
      <c r="AG1007" s="67"/>
      <c r="AH1007" s="67"/>
    </row>
    <row r="1008">
      <c r="A1008" s="171"/>
      <c r="B1008" s="172"/>
      <c r="C1008" s="172"/>
      <c r="D1008" s="172"/>
      <c r="E1008" s="172"/>
      <c r="F1008" s="172"/>
      <c r="G1008" s="172"/>
      <c r="H1008" s="172"/>
      <c r="I1008" s="172"/>
      <c r="J1008" s="172"/>
      <c r="K1008" s="172"/>
      <c r="L1008" s="172"/>
      <c r="M1008" s="172"/>
      <c r="N1008" s="172"/>
      <c r="O1008" s="172"/>
      <c r="P1008" s="172"/>
      <c r="Q1008" s="172"/>
      <c r="R1008" s="173"/>
      <c r="S1008" s="67"/>
      <c r="T1008" s="67"/>
      <c r="U1008" s="67"/>
      <c r="V1008" s="67"/>
      <c r="W1008" s="67"/>
      <c r="X1008" s="67"/>
      <c r="Y1008" s="67"/>
      <c r="Z1008" s="67"/>
      <c r="AA1008" s="67"/>
      <c r="AB1008" s="67"/>
      <c r="AC1008" s="67"/>
      <c r="AD1008" s="67"/>
      <c r="AE1008" s="67"/>
      <c r="AF1008" s="67"/>
      <c r="AG1008" s="67"/>
      <c r="AH1008" s="67"/>
    </row>
    <row r="1009">
      <c r="A1009" s="174"/>
      <c r="B1009" s="175"/>
      <c r="C1009" s="175"/>
      <c r="D1009" s="175"/>
      <c r="E1009" s="175"/>
      <c r="F1009" s="175"/>
      <c r="G1009" s="175"/>
      <c r="H1009" s="175"/>
      <c r="I1009" s="175"/>
      <c r="J1009" s="175"/>
      <c r="K1009" s="175"/>
      <c r="L1009" s="175"/>
      <c r="M1009" s="175"/>
      <c r="N1009" s="175"/>
      <c r="O1009" s="175"/>
      <c r="P1009" s="175"/>
      <c r="Q1009" s="175"/>
      <c r="R1009" s="176"/>
      <c r="S1009" s="67"/>
      <c r="T1009" s="67"/>
      <c r="U1009" s="67"/>
      <c r="V1009" s="67"/>
      <c r="W1009" s="67"/>
      <c r="X1009" s="67"/>
      <c r="Y1009" s="67"/>
      <c r="Z1009" s="67"/>
      <c r="AA1009" s="67"/>
      <c r="AB1009" s="67"/>
      <c r="AC1009" s="67"/>
      <c r="AD1009" s="67"/>
      <c r="AE1009" s="67"/>
      <c r="AF1009" s="67"/>
      <c r="AG1009" s="67"/>
      <c r="AH1009" s="67"/>
    </row>
    <row r="1010">
      <c r="A1010" s="171"/>
      <c r="B1010" s="172"/>
      <c r="C1010" s="172"/>
      <c r="D1010" s="172"/>
      <c r="E1010" s="172"/>
      <c r="F1010" s="172"/>
      <c r="G1010" s="172"/>
      <c r="H1010" s="172"/>
      <c r="I1010" s="172"/>
      <c r="J1010" s="172"/>
      <c r="K1010" s="172"/>
      <c r="L1010" s="172"/>
      <c r="M1010" s="172"/>
      <c r="N1010" s="172"/>
      <c r="O1010" s="172"/>
      <c r="P1010" s="172"/>
      <c r="Q1010" s="172"/>
      <c r="R1010" s="173"/>
      <c r="S1010" s="67"/>
      <c r="T1010" s="67"/>
      <c r="U1010" s="67"/>
      <c r="V1010" s="67"/>
      <c r="W1010" s="67"/>
      <c r="X1010" s="67"/>
      <c r="Y1010" s="67"/>
      <c r="Z1010" s="67"/>
      <c r="AA1010" s="67"/>
      <c r="AB1010" s="67"/>
      <c r="AC1010" s="67"/>
      <c r="AD1010" s="67"/>
      <c r="AE1010" s="67"/>
      <c r="AF1010" s="67"/>
      <c r="AG1010" s="67"/>
      <c r="AH1010" s="67"/>
    </row>
    <row r="1011">
      <c r="A1011" s="174"/>
      <c r="B1011" s="175"/>
      <c r="C1011" s="175"/>
      <c r="D1011" s="175"/>
      <c r="E1011" s="175"/>
      <c r="F1011" s="175"/>
      <c r="G1011" s="175"/>
      <c r="H1011" s="175"/>
      <c r="I1011" s="175"/>
      <c r="J1011" s="175"/>
      <c r="K1011" s="175"/>
      <c r="L1011" s="175"/>
      <c r="M1011" s="175"/>
      <c r="N1011" s="175"/>
      <c r="O1011" s="175"/>
      <c r="P1011" s="175"/>
      <c r="Q1011" s="175"/>
      <c r="R1011" s="176"/>
      <c r="S1011" s="67"/>
      <c r="T1011" s="67"/>
      <c r="U1011" s="67"/>
      <c r="V1011" s="67"/>
      <c r="W1011" s="67"/>
      <c r="X1011" s="67"/>
      <c r="Y1011" s="67"/>
      <c r="Z1011" s="67"/>
      <c r="AA1011" s="67"/>
      <c r="AB1011" s="67"/>
      <c r="AC1011" s="67"/>
      <c r="AD1011" s="67"/>
      <c r="AE1011" s="67"/>
      <c r="AF1011" s="67"/>
      <c r="AG1011" s="67"/>
      <c r="AH1011" s="67"/>
    </row>
    <row r="1012">
      <c r="A1012" s="171"/>
      <c r="B1012" s="172"/>
      <c r="C1012" s="172"/>
      <c r="D1012" s="172"/>
      <c r="E1012" s="172"/>
      <c r="F1012" s="172"/>
      <c r="G1012" s="172"/>
      <c r="H1012" s="172"/>
      <c r="I1012" s="172"/>
      <c r="J1012" s="172"/>
      <c r="K1012" s="172"/>
      <c r="L1012" s="172"/>
      <c r="M1012" s="172"/>
      <c r="N1012" s="172"/>
      <c r="O1012" s="172"/>
      <c r="P1012" s="172"/>
      <c r="Q1012" s="172"/>
      <c r="R1012" s="173"/>
      <c r="S1012" s="67"/>
      <c r="T1012" s="67"/>
      <c r="U1012" s="67"/>
      <c r="V1012" s="67"/>
      <c r="W1012" s="67"/>
      <c r="X1012" s="67"/>
      <c r="Y1012" s="67"/>
      <c r="Z1012" s="67"/>
      <c r="AA1012" s="67"/>
      <c r="AB1012" s="67"/>
      <c r="AC1012" s="67"/>
      <c r="AD1012" s="67"/>
      <c r="AE1012" s="67"/>
      <c r="AF1012" s="67"/>
      <c r="AG1012" s="67"/>
      <c r="AH1012" s="67"/>
    </row>
    <row r="1013">
      <c r="A1013" s="174"/>
      <c r="B1013" s="175"/>
      <c r="C1013" s="175"/>
      <c r="D1013" s="175"/>
      <c r="E1013" s="175"/>
      <c r="F1013" s="175"/>
      <c r="G1013" s="175"/>
      <c r="H1013" s="175"/>
      <c r="I1013" s="175"/>
      <c r="J1013" s="175"/>
      <c r="K1013" s="175"/>
      <c r="L1013" s="175"/>
      <c r="M1013" s="175"/>
      <c r="N1013" s="175"/>
      <c r="O1013" s="175"/>
      <c r="P1013" s="175"/>
      <c r="Q1013" s="175"/>
      <c r="R1013" s="176"/>
      <c r="S1013" s="67"/>
      <c r="T1013" s="67"/>
      <c r="U1013" s="67"/>
      <c r="V1013" s="67"/>
      <c r="W1013" s="67"/>
      <c r="X1013" s="67"/>
      <c r="Y1013" s="67"/>
      <c r="Z1013" s="67"/>
      <c r="AA1013" s="67"/>
      <c r="AB1013" s="67"/>
      <c r="AC1013" s="67"/>
      <c r="AD1013" s="67"/>
      <c r="AE1013" s="67"/>
      <c r="AF1013" s="67"/>
      <c r="AG1013" s="67"/>
      <c r="AH1013" s="67"/>
    </row>
    <row r="1014">
      <c r="A1014" s="171"/>
      <c r="B1014" s="172"/>
      <c r="C1014" s="172"/>
      <c r="D1014" s="172"/>
      <c r="E1014" s="172"/>
      <c r="F1014" s="172"/>
      <c r="G1014" s="172"/>
      <c r="H1014" s="172"/>
      <c r="I1014" s="172"/>
      <c r="J1014" s="172"/>
      <c r="K1014" s="172"/>
      <c r="L1014" s="172"/>
      <c r="M1014" s="172"/>
      <c r="N1014" s="172"/>
      <c r="O1014" s="172"/>
      <c r="P1014" s="172"/>
      <c r="Q1014" s="172"/>
      <c r="R1014" s="173"/>
      <c r="S1014" s="67"/>
      <c r="T1014" s="67"/>
      <c r="U1014" s="67"/>
      <c r="V1014" s="67"/>
      <c r="W1014" s="67"/>
      <c r="X1014" s="67"/>
      <c r="Y1014" s="67"/>
      <c r="Z1014" s="67"/>
      <c r="AA1014" s="67"/>
      <c r="AB1014" s="67"/>
      <c r="AC1014" s="67"/>
      <c r="AD1014" s="67"/>
      <c r="AE1014" s="67"/>
      <c r="AF1014" s="67"/>
      <c r="AG1014" s="67"/>
      <c r="AH1014" s="67"/>
    </row>
    <row r="1015">
      <c r="A1015" s="174"/>
      <c r="B1015" s="175"/>
      <c r="C1015" s="175"/>
      <c r="D1015" s="175"/>
      <c r="E1015" s="175"/>
      <c r="F1015" s="175"/>
      <c r="G1015" s="175"/>
      <c r="H1015" s="175"/>
      <c r="I1015" s="175"/>
      <c r="J1015" s="175"/>
      <c r="K1015" s="175"/>
      <c r="L1015" s="175"/>
      <c r="M1015" s="175"/>
      <c r="N1015" s="175"/>
      <c r="O1015" s="175"/>
      <c r="P1015" s="175"/>
      <c r="Q1015" s="175"/>
      <c r="R1015" s="176"/>
      <c r="S1015" s="67"/>
      <c r="T1015" s="67"/>
      <c r="U1015" s="67"/>
      <c r="V1015" s="67"/>
      <c r="W1015" s="67"/>
      <c r="X1015" s="67"/>
      <c r="Y1015" s="67"/>
      <c r="Z1015" s="67"/>
      <c r="AA1015" s="67"/>
      <c r="AB1015" s="67"/>
      <c r="AC1015" s="67"/>
      <c r="AD1015" s="67"/>
      <c r="AE1015" s="67"/>
      <c r="AF1015" s="67"/>
      <c r="AG1015" s="67"/>
      <c r="AH1015" s="67"/>
    </row>
    <row r="1016">
      <c r="A1016" s="171"/>
      <c r="B1016" s="172"/>
      <c r="C1016" s="172"/>
      <c r="D1016" s="172"/>
      <c r="E1016" s="172"/>
      <c r="F1016" s="172"/>
      <c r="G1016" s="172"/>
      <c r="H1016" s="172"/>
      <c r="I1016" s="172"/>
      <c r="J1016" s="172"/>
      <c r="K1016" s="172"/>
      <c r="L1016" s="172"/>
      <c r="M1016" s="172"/>
      <c r="N1016" s="172"/>
      <c r="O1016" s="172"/>
      <c r="P1016" s="172"/>
      <c r="Q1016" s="172"/>
      <c r="R1016" s="173"/>
      <c r="S1016" s="67"/>
      <c r="T1016" s="67"/>
      <c r="U1016" s="67"/>
      <c r="V1016" s="67"/>
      <c r="W1016" s="67"/>
      <c r="X1016" s="67"/>
      <c r="Y1016" s="67"/>
      <c r="Z1016" s="67"/>
      <c r="AA1016" s="67"/>
      <c r="AB1016" s="67"/>
      <c r="AC1016" s="67"/>
      <c r="AD1016" s="67"/>
      <c r="AE1016" s="67"/>
      <c r="AF1016" s="67"/>
      <c r="AG1016" s="67"/>
      <c r="AH1016" s="67"/>
    </row>
    <row r="1017">
      <c r="A1017" s="177"/>
      <c r="B1017" s="178"/>
      <c r="C1017" s="178"/>
      <c r="D1017" s="178"/>
      <c r="E1017" s="178"/>
      <c r="F1017" s="178"/>
      <c r="G1017" s="178"/>
      <c r="H1017" s="178"/>
      <c r="I1017" s="178"/>
      <c r="J1017" s="178"/>
      <c r="K1017" s="178"/>
      <c r="L1017" s="178"/>
      <c r="M1017" s="178"/>
      <c r="N1017" s="178"/>
      <c r="O1017" s="178"/>
      <c r="P1017" s="178"/>
      <c r="Q1017" s="178"/>
      <c r="R1017" s="179"/>
      <c r="S1017" s="67"/>
      <c r="T1017" s="67"/>
      <c r="U1017" s="67"/>
      <c r="V1017" s="67"/>
      <c r="W1017" s="67"/>
      <c r="X1017" s="67"/>
      <c r="Y1017" s="67"/>
      <c r="Z1017" s="67"/>
      <c r="AA1017" s="67"/>
      <c r="AB1017" s="67"/>
      <c r="AC1017" s="67"/>
      <c r="AD1017" s="67"/>
      <c r="AE1017" s="67"/>
      <c r="AF1017" s="67"/>
      <c r="AG1017" s="67"/>
      <c r="AH1017" s="67"/>
    </row>
  </sheetData>
  <hyperlinks>
    <hyperlink r:id="rId1" ref="A32"/>
    <hyperlink r:id="rId2" ref="A33"/>
    <hyperlink r:id="rId3" ref="A34"/>
    <hyperlink r:id="rId4" ref="A35"/>
    <hyperlink r:id="rId5" ref="A36"/>
    <hyperlink r:id="rId6" ref="A37"/>
    <hyperlink r:id="rId7" ref="R38"/>
    <hyperlink r:id="rId8" ref="R39"/>
    <hyperlink r:id="rId9" ref="R40"/>
    <hyperlink r:id="rId10" ref="R43"/>
    <hyperlink r:id="rId11" ref="R44"/>
    <hyperlink r:id="rId12" ref="R45"/>
    <hyperlink r:id="rId13" ref="R47"/>
    <hyperlink r:id="rId14" ref="R53"/>
  </hyperlinks>
  <drawing r:id="rId15"/>
  <tableParts count="1">
    <tablePart r:id="rId1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68.88"/>
    <col customWidth="1" min="7" max="7" width="60.88"/>
  </cols>
  <sheetData>
    <row r="1">
      <c r="A1" s="180" t="s">
        <v>164</v>
      </c>
      <c r="B1" s="180" t="s">
        <v>701</v>
      </c>
      <c r="C1" s="180" t="s">
        <v>414</v>
      </c>
      <c r="D1" s="180" t="s">
        <v>702</v>
      </c>
      <c r="E1" s="180" t="s">
        <v>703</v>
      </c>
      <c r="F1" s="180" t="s">
        <v>417</v>
      </c>
      <c r="G1" s="180" t="s">
        <v>704</v>
      </c>
      <c r="H1" s="181"/>
      <c r="I1" s="181"/>
      <c r="J1" s="181"/>
      <c r="K1" s="181"/>
      <c r="L1" s="181"/>
      <c r="M1" s="181"/>
      <c r="N1" s="181"/>
      <c r="O1" s="181"/>
      <c r="P1" s="181"/>
      <c r="Q1" s="181"/>
      <c r="R1" s="181"/>
      <c r="S1" s="181"/>
      <c r="T1" s="181"/>
      <c r="U1" s="181"/>
      <c r="V1" s="181"/>
      <c r="W1" s="181"/>
      <c r="X1" s="181"/>
      <c r="Y1" s="181"/>
      <c r="Z1" s="181"/>
    </row>
    <row r="2">
      <c r="A2" s="182"/>
      <c r="B2" s="182"/>
      <c r="C2" s="183" t="s">
        <v>705</v>
      </c>
      <c r="D2" s="183" t="s">
        <v>706</v>
      </c>
      <c r="E2" s="180" t="s">
        <v>707</v>
      </c>
      <c r="F2" s="181"/>
      <c r="G2" s="181"/>
      <c r="H2" s="181"/>
      <c r="I2" s="181"/>
      <c r="J2" s="181"/>
      <c r="K2" s="181"/>
      <c r="L2" s="181"/>
      <c r="M2" s="181"/>
      <c r="N2" s="181"/>
      <c r="O2" s="181"/>
      <c r="P2" s="181"/>
      <c r="Q2" s="181"/>
      <c r="R2" s="181"/>
      <c r="S2" s="181"/>
      <c r="T2" s="181"/>
      <c r="U2" s="181"/>
      <c r="V2" s="181"/>
      <c r="W2" s="181"/>
      <c r="X2" s="181"/>
      <c r="Y2" s="181"/>
      <c r="Z2" s="181"/>
    </row>
    <row r="3">
      <c r="A3" s="180" t="s">
        <v>708</v>
      </c>
      <c r="B3" s="183" t="s">
        <v>709</v>
      </c>
      <c r="C3" s="180" t="s">
        <v>710</v>
      </c>
      <c r="D3" s="181"/>
      <c r="E3" s="180" t="s">
        <v>711</v>
      </c>
      <c r="F3" s="180" t="s">
        <v>712</v>
      </c>
      <c r="G3" s="184">
        <v>20.0</v>
      </c>
      <c r="H3" s="181"/>
      <c r="I3" s="181"/>
      <c r="J3" s="181"/>
      <c r="K3" s="181"/>
      <c r="L3" s="181"/>
      <c r="M3" s="181"/>
      <c r="N3" s="181"/>
      <c r="O3" s="181"/>
      <c r="P3" s="181"/>
      <c r="Q3" s="181"/>
      <c r="R3" s="181"/>
      <c r="S3" s="181"/>
      <c r="T3" s="181"/>
      <c r="U3" s="181"/>
      <c r="V3" s="181"/>
      <c r="W3" s="181"/>
      <c r="X3" s="181"/>
      <c r="Y3" s="181"/>
      <c r="Z3" s="181"/>
    </row>
    <row r="4">
      <c r="A4" s="180" t="s">
        <v>713</v>
      </c>
      <c r="B4" s="183" t="s">
        <v>714</v>
      </c>
      <c r="C4" s="181"/>
      <c r="D4" s="181"/>
      <c r="E4" s="180" t="s">
        <v>715</v>
      </c>
      <c r="F4" s="180" t="s">
        <v>716</v>
      </c>
      <c r="G4" s="181"/>
      <c r="H4" s="181"/>
      <c r="I4" s="181"/>
      <c r="J4" s="181"/>
      <c r="K4" s="181"/>
      <c r="L4" s="181"/>
      <c r="M4" s="181"/>
      <c r="N4" s="181"/>
      <c r="O4" s="181"/>
      <c r="P4" s="181"/>
      <c r="Q4" s="181"/>
      <c r="R4" s="181"/>
      <c r="S4" s="181"/>
      <c r="T4" s="181"/>
      <c r="U4" s="181"/>
      <c r="V4" s="181"/>
      <c r="W4" s="181"/>
      <c r="X4" s="181"/>
      <c r="Y4" s="181"/>
      <c r="Z4" s="181"/>
    </row>
    <row r="5">
      <c r="A5" s="181"/>
      <c r="B5" s="181"/>
      <c r="C5" s="181"/>
      <c r="D5" s="181"/>
      <c r="E5" s="181"/>
      <c r="F5" s="181"/>
      <c r="G5" s="181"/>
      <c r="H5" s="181"/>
      <c r="I5" s="181"/>
      <c r="J5" s="181"/>
      <c r="K5" s="181"/>
      <c r="L5" s="181"/>
      <c r="M5" s="181"/>
      <c r="N5" s="181"/>
      <c r="O5" s="181"/>
      <c r="P5" s="181"/>
      <c r="Q5" s="181"/>
      <c r="R5" s="181"/>
      <c r="S5" s="181"/>
      <c r="T5" s="181"/>
      <c r="U5" s="181"/>
      <c r="V5" s="181"/>
      <c r="W5" s="181"/>
      <c r="X5" s="181"/>
      <c r="Y5" s="181"/>
      <c r="Z5" s="181"/>
    </row>
    <row r="6">
      <c r="A6" s="181"/>
      <c r="B6" s="181"/>
      <c r="C6" s="181"/>
      <c r="D6" s="181"/>
      <c r="E6" s="181"/>
      <c r="F6" s="181"/>
      <c r="G6" s="181"/>
      <c r="H6" s="181"/>
      <c r="I6" s="181"/>
      <c r="J6" s="181"/>
      <c r="K6" s="181"/>
      <c r="L6" s="181"/>
      <c r="M6" s="181"/>
      <c r="N6" s="181"/>
      <c r="O6" s="181"/>
      <c r="P6" s="181"/>
      <c r="Q6" s="181"/>
      <c r="R6" s="181"/>
      <c r="S6" s="181"/>
      <c r="T6" s="181"/>
      <c r="U6" s="181"/>
      <c r="V6" s="181"/>
      <c r="W6" s="181"/>
      <c r="X6" s="181"/>
      <c r="Y6" s="181"/>
      <c r="Z6" s="181"/>
    </row>
    <row r="7">
      <c r="A7" s="181"/>
      <c r="B7" s="181"/>
      <c r="C7" s="181"/>
      <c r="D7" s="181"/>
      <c r="E7" s="181"/>
      <c r="F7" s="181"/>
      <c r="G7" s="181"/>
      <c r="H7" s="181"/>
      <c r="I7" s="181"/>
      <c r="J7" s="181"/>
      <c r="K7" s="181"/>
      <c r="L7" s="181"/>
      <c r="M7" s="181"/>
      <c r="N7" s="181"/>
      <c r="O7" s="181"/>
      <c r="P7" s="181"/>
      <c r="Q7" s="181"/>
      <c r="R7" s="181"/>
      <c r="S7" s="181"/>
      <c r="T7" s="181"/>
      <c r="U7" s="181"/>
      <c r="V7" s="181"/>
      <c r="W7" s="181"/>
      <c r="X7" s="181"/>
      <c r="Y7" s="181"/>
      <c r="Z7" s="181"/>
    </row>
    <row r="8">
      <c r="A8" s="181"/>
      <c r="B8" s="181"/>
      <c r="C8" s="181"/>
      <c r="D8" s="181"/>
      <c r="E8" s="181"/>
      <c r="F8" s="181"/>
      <c r="G8" s="181"/>
      <c r="H8" s="181"/>
      <c r="I8" s="181"/>
      <c r="J8" s="181"/>
      <c r="K8" s="181"/>
      <c r="L8" s="181"/>
      <c r="M8" s="181"/>
      <c r="N8" s="181"/>
      <c r="O8" s="181"/>
      <c r="P8" s="181"/>
      <c r="Q8" s="181"/>
      <c r="R8" s="181"/>
      <c r="S8" s="181"/>
      <c r="T8" s="181"/>
      <c r="U8" s="181"/>
      <c r="V8" s="181"/>
      <c r="W8" s="181"/>
      <c r="X8" s="181"/>
      <c r="Y8" s="181"/>
      <c r="Z8" s="181"/>
    </row>
    <row r="9">
      <c r="A9" s="181"/>
      <c r="B9" s="181"/>
      <c r="C9" s="181"/>
      <c r="D9" s="181"/>
      <c r="E9" s="181"/>
      <c r="F9" s="181"/>
      <c r="G9" s="181"/>
      <c r="H9" s="181"/>
      <c r="I9" s="181"/>
      <c r="J9" s="181"/>
      <c r="K9" s="181"/>
      <c r="L9" s="181"/>
      <c r="M9" s="181"/>
      <c r="N9" s="181"/>
      <c r="O9" s="181"/>
      <c r="P9" s="181"/>
      <c r="Q9" s="181"/>
      <c r="R9" s="181"/>
      <c r="S9" s="181"/>
      <c r="T9" s="181"/>
      <c r="U9" s="181"/>
      <c r="V9" s="181"/>
      <c r="W9" s="181"/>
      <c r="X9" s="181"/>
      <c r="Y9" s="181"/>
      <c r="Z9" s="181"/>
    </row>
    <row r="10">
      <c r="A10" s="181"/>
      <c r="B10" s="181"/>
      <c r="C10" s="181"/>
      <c r="D10" s="181"/>
      <c r="E10" s="181"/>
      <c r="F10" s="181"/>
      <c r="G10" s="181"/>
      <c r="H10" s="181"/>
      <c r="I10" s="181"/>
      <c r="J10" s="181"/>
      <c r="K10" s="181"/>
      <c r="L10" s="181"/>
      <c r="M10" s="181"/>
      <c r="N10" s="181"/>
      <c r="O10" s="181"/>
      <c r="P10" s="181"/>
      <c r="Q10" s="181"/>
      <c r="R10" s="181"/>
      <c r="S10" s="181"/>
      <c r="T10" s="181"/>
      <c r="U10" s="181"/>
      <c r="V10" s="181"/>
      <c r="W10" s="181"/>
      <c r="X10" s="181"/>
      <c r="Y10" s="181"/>
      <c r="Z10" s="181"/>
    </row>
    <row r="11">
      <c r="A11" s="181"/>
      <c r="B11" s="181"/>
      <c r="C11" s="181"/>
      <c r="D11" s="181"/>
      <c r="E11" s="181"/>
      <c r="F11" s="181"/>
      <c r="G11" s="181"/>
      <c r="H11" s="181"/>
      <c r="I11" s="181"/>
      <c r="J11" s="181"/>
      <c r="K11" s="181"/>
      <c r="L11" s="181"/>
      <c r="M11" s="181"/>
      <c r="N11" s="181"/>
      <c r="O11" s="181"/>
      <c r="P11" s="181"/>
      <c r="Q11" s="181"/>
      <c r="R11" s="181"/>
      <c r="S11" s="181"/>
      <c r="T11" s="181"/>
      <c r="U11" s="181"/>
      <c r="V11" s="181"/>
      <c r="W11" s="181"/>
      <c r="X11" s="181"/>
      <c r="Y11" s="181"/>
      <c r="Z11" s="181"/>
    </row>
    <row r="12">
      <c r="A12" s="181"/>
      <c r="B12" s="181"/>
      <c r="C12" s="181"/>
      <c r="D12" s="181"/>
      <c r="E12" s="181"/>
      <c r="F12" s="181"/>
      <c r="G12" s="181"/>
      <c r="H12" s="181"/>
      <c r="I12" s="181"/>
      <c r="J12" s="181"/>
      <c r="K12" s="181"/>
      <c r="L12" s="181"/>
      <c r="M12" s="181"/>
      <c r="N12" s="181"/>
      <c r="O12" s="181"/>
      <c r="P12" s="181"/>
      <c r="Q12" s="181"/>
      <c r="R12" s="181"/>
      <c r="S12" s="181"/>
      <c r="T12" s="181"/>
      <c r="U12" s="181"/>
      <c r="V12" s="181"/>
      <c r="W12" s="181"/>
      <c r="X12" s="181"/>
      <c r="Y12" s="181"/>
      <c r="Z12" s="181"/>
    </row>
    <row r="13">
      <c r="A13" s="181"/>
      <c r="B13" s="181"/>
      <c r="C13" s="181"/>
      <c r="D13" s="181"/>
      <c r="E13" s="181"/>
      <c r="F13" s="181"/>
      <c r="G13" s="181"/>
      <c r="H13" s="181"/>
      <c r="I13" s="181"/>
      <c r="J13" s="181"/>
      <c r="K13" s="181"/>
      <c r="L13" s="181"/>
      <c r="M13" s="181"/>
      <c r="N13" s="181"/>
      <c r="O13" s="181"/>
      <c r="P13" s="181"/>
      <c r="Q13" s="181"/>
      <c r="R13" s="181"/>
      <c r="S13" s="181"/>
      <c r="T13" s="181"/>
      <c r="U13" s="181"/>
      <c r="V13" s="181"/>
      <c r="W13" s="181"/>
      <c r="X13" s="181"/>
      <c r="Y13" s="181"/>
      <c r="Z13" s="181"/>
    </row>
    <row r="14">
      <c r="A14" s="181"/>
      <c r="B14" s="181"/>
      <c r="C14" s="181"/>
      <c r="D14" s="181"/>
      <c r="E14" s="181"/>
      <c r="F14" s="181"/>
      <c r="G14" s="181"/>
      <c r="H14" s="181"/>
      <c r="I14" s="181"/>
      <c r="J14" s="181"/>
      <c r="K14" s="181"/>
      <c r="L14" s="181"/>
      <c r="M14" s="181"/>
      <c r="N14" s="181"/>
      <c r="O14" s="181"/>
      <c r="P14" s="181"/>
      <c r="Q14" s="181"/>
      <c r="R14" s="181"/>
      <c r="S14" s="181"/>
      <c r="T14" s="181"/>
      <c r="U14" s="181"/>
      <c r="V14" s="181"/>
      <c r="W14" s="181"/>
      <c r="X14" s="181"/>
      <c r="Y14" s="181"/>
      <c r="Z14" s="181"/>
    </row>
    <row r="15">
      <c r="A15" s="181"/>
      <c r="B15" s="181"/>
      <c r="C15" s="181"/>
      <c r="D15" s="181"/>
      <c r="E15" s="181"/>
      <c r="F15" s="181"/>
      <c r="G15" s="181"/>
      <c r="H15" s="181"/>
      <c r="I15" s="181"/>
      <c r="J15" s="181"/>
      <c r="K15" s="181"/>
      <c r="L15" s="181"/>
      <c r="M15" s="181"/>
      <c r="N15" s="181"/>
      <c r="O15" s="181"/>
      <c r="P15" s="181"/>
      <c r="Q15" s="181"/>
      <c r="R15" s="181"/>
      <c r="S15" s="181"/>
      <c r="T15" s="181"/>
      <c r="U15" s="181"/>
      <c r="V15" s="181"/>
      <c r="W15" s="181"/>
      <c r="X15" s="181"/>
      <c r="Y15" s="181"/>
      <c r="Z15" s="181"/>
    </row>
    <row r="16">
      <c r="A16" s="181"/>
      <c r="B16" s="181"/>
      <c r="C16" s="181"/>
      <c r="D16" s="181"/>
      <c r="E16" s="181"/>
      <c r="F16" s="181"/>
      <c r="G16" s="181"/>
      <c r="H16" s="181"/>
      <c r="I16" s="181"/>
      <c r="J16" s="181"/>
      <c r="K16" s="181"/>
      <c r="L16" s="181"/>
      <c r="M16" s="181"/>
      <c r="N16" s="181"/>
      <c r="O16" s="181"/>
      <c r="P16" s="181"/>
      <c r="Q16" s="181"/>
      <c r="R16" s="181"/>
      <c r="S16" s="181"/>
      <c r="T16" s="181"/>
      <c r="U16" s="181"/>
      <c r="V16" s="181"/>
      <c r="W16" s="181"/>
      <c r="X16" s="181"/>
      <c r="Y16" s="181"/>
      <c r="Z16" s="181"/>
    </row>
    <row r="17">
      <c r="A17" s="181"/>
      <c r="B17" s="181"/>
      <c r="C17" s="181"/>
      <c r="D17" s="181"/>
      <c r="E17" s="181"/>
      <c r="F17" s="181"/>
      <c r="G17" s="181"/>
      <c r="H17" s="181"/>
      <c r="I17" s="181"/>
      <c r="J17" s="181"/>
      <c r="K17" s="181"/>
      <c r="L17" s="181"/>
      <c r="M17" s="181"/>
      <c r="N17" s="181"/>
      <c r="O17" s="181"/>
      <c r="P17" s="181"/>
      <c r="Q17" s="181"/>
      <c r="R17" s="181"/>
      <c r="S17" s="181"/>
      <c r="T17" s="181"/>
      <c r="U17" s="181"/>
      <c r="V17" s="181"/>
      <c r="W17" s="181"/>
      <c r="X17" s="181"/>
      <c r="Y17" s="181"/>
      <c r="Z17" s="181"/>
    </row>
    <row r="18">
      <c r="A18" s="181"/>
      <c r="B18" s="181"/>
      <c r="C18" s="181"/>
      <c r="D18" s="181"/>
      <c r="E18" s="181"/>
      <c r="F18" s="181"/>
      <c r="G18" s="181"/>
      <c r="H18" s="181"/>
      <c r="I18" s="181"/>
      <c r="J18" s="181"/>
      <c r="K18" s="181"/>
      <c r="L18" s="181"/>
      <c r="M18" s="181"/>
      <c r="N18" s="181"/>
      <c r="O18" s="181"/>
      <c r="P18" s="181"/>
      <c r="Q18" s="181"/>
      <c r="R18" s="181"/>
      <c r="S18" s="181"/>
      <c r="T18" s="181"/>
      <c r="U18" s="181"/>
      <c r="V18" s="181"/>
      <c r="W18" s="181"/>
      <c r="X18" s="181"/>
      <c r="Y18" s="181"/>
      <c r="Z18" s="181"/>
    </row>
    <row r="19">
      <c r="A19" s="181"/>
      <c r="B19" s="181"/>
      <c r="C19" s="181"/>
      <c r="D19" s="181"/>
      <c r="E19" s="181"/>
      <c r="F19" s="181"/>
      <c r="G19" s="181"/>
      <c r="H19" s="181"/>
      <c r="I19" s="181"/>
      <c r="J19" s="181"/>
      <c r="K19" s="181"/>
      <c r="L19" s="181"/>
      <c r="M19" s="181"/>
      <c r="N19" s="181"/>
      <c r="O19" s="181"/>
      <c r="P19" s="181"/>
      <c r="Q19" s="181"/>
      <c r="R19" s="181"/>
      <c r="S19" s="181"/>
      <c r="T19" s="181"/>
      <c r="U19" s="181"/>
      <c r="V19" s="181"/>
      <c r="W19" s="181"/>
      <c r="X19" s="181"/>
      <c r="Y19" s="181"/>
      <c r="Z19" s="181"/>
    </row>
    <row r="20">
      <c r="A20" s="181"/>
      <c r="B20" s="181"/>
      <c r="C20" s="181"/>
      <c r="D20" s="181"/>
      <c r="E20" s="181"/>
      <c r="F20" s="181"/>
      <c r="G20" s="181"/>
      <c r="H20" s="181"/>
      <c r="I20" s="181"/>
      <c r="J20" s="181"/>
      <c r="K20" s="181"/>
      <c r="L20" s="181"/>
      <c r="M20" s="181"/>
      <c r="N20" s="181"/>
      <c r="O20" s="181"/>
      <c r="P20" s="181"/>
      <c r="Q20" s="181"/>
      <c r="R20" s="181"/>
      <c r="S20" s="181"/>
      <c r="T20" s="181"/>
      <c r="U20" s="181"/>
      <c r="V20" s="181"/>
      <c r="W20" s="181"/>
      <c r="X20" s="181"/>
      <c r="Y20" s="181"/>
      <c r="Z20" s="181"/>
    </row>
    <row r="21">
      <c r="A21" s="181"/>
      <c r="B21" s="181"/>
      <c r="C21" s="181"/>
      <c r="D21" s="181"/>
      <c r="E21" s="181"/>
      <c r="F21" s="181"/>
      <c r="G21" s="181"/>
      <c r="H21" s="181"/>
      <c r="I21" s="181"/>
      <c r="J21" s="181"/>
      <c r="K21" s="181"/>
      <c r="L21" s="181"/>
      <c r="M21" s="181"/>
      <c r="N21" s="181"/>
      <c r="O21" s="181"/>
      <c r="P21" s="181"/>
      <c r="Q21" s="181"/>
      <c r="R21" s="181"/>
      <c r="S21" s="181"/>
      <c r="T21" s="181"/>
      <c r="U21" s="181"/>
      <c r="V21" s="181"/>
      <c r="W21" s="181"/>
      <c r="X21" s="181"/>
      <c r="Y21" s="181"/>
      <c r="Z21" s="181"/>
    </row>
    <row r="22">
      <c r="A22" s="181"/>
      <c r="B22" s="181"/>
      <c r="C22" s="181"/>
      <c r="D22" s="181"/>
      <c r="E22" s="181"/>
      <c r="F22" s="181"/>
      <c r="G22" s="181"/>
      <c r="H22" s="181"/>
      <c r="I22" s="181"/>
      <c r="J22" s="181"/>
      <c r="K22" s="181"/>
      <c r="L22" s="181"/>
      <c r="M22" s="181"/>
      <c r="N22" s="181"/>
      <c r="O22" s="181"/>
      <c r="P22" s="181"/>
      <c r="Q22" s="181"/>
      <c r="R22" s="181"/>
      <c r="S22" s="181"/>
      <c r="T22" s="181"/>
      <c r="U22" s="181"/>
      <c r="V22" s="181"/>
      <c r="W22" s="181"/>
      <c r="X22" s="181"/>
      <c r="Y22" s="181"/>
      <c r="Z22" s="181"/>
    </row>
    <row r="23">
      <c r="A23" s="181"/>
      <c r="B23" s="181"/>
      <c r="C23" s="181"/>
      <c r="D23" s="181"/>
      <c r="E23" s="181"/>
      <c r="F23" s="181"/>
      <c r="G23" s="181"/>
      <c r="H23" s="181"/>
      <c r="I23" s="181"/>
      <c r="J23" s="181"/>
      <c r="K23" s="181"/>
      <c r="L23" s="181"/>
      <c r="M23" s="181"/>
      <c r="N23" s="181"/>
      <c r="O23" s="181"/>
      <c r="P23" s="181"/>
      <c r="Q23" s="181"/>
      <c r="R23" s="181"/>
      <c r="S23" s="181"/>
      <c r="T23" s="181"/>
      <c r="U23" s="181"/>
      <c r="V23" s="181"/>
      <c r="W23" s="181"/>
      <c r="X23" s="181"/>
      <c r="Y23" s="181"/>
      <c r="Z23" s="181"/>
    </row>
    <row r="24">
      <c r="A24" s="181"/>
      <c r="B24" s="181"/>
      <c r="C24" s="181"/>
      <c r="D24" s="181"/>
      <c r="E24" s="181"/>
      <c r="F24" s="181"/>
      <c r="G24" s="181"/>
      <c r="H24" s="181"/>
      <c r="I24" s="181"/>
      <c r="J24" s="181"/>
      <c r="K24" s="181"/>
      <c r="L24" s="181"/>
      <c r="M24" s="181"/>
      <c r="N24" s="181"/>
      <c r="O24" s="181"/>
      <c r="P24" s="181"/>
      <c r="Q24" s="181"/>
      <c r="R24" s="181"/>
      <c r="S24" s="181"/>
      <c r="T24" s="181"/>
      <c r="U24" s="181"/>
      <c r="V24" s="181"/>
      <c r="W24" s="181"/>
      <c r="X24" s="181"/>
      <c r="Y24" s="181"/>
      <c r="Z24" s="181"/>
    </row>
    <row r="25">
      <c r="A25" s="181"/>
      <c r="B25" s="181"/>
      <c r="C25" s="181"/>
      <c r="D25" s="181"/>
      <c r="E25" s="181"/>
      <c r="F25" s="181"/>
      <c r="G25" s="181"/>
      <c r="H25" s="181"/>
      <c r="I25" s="181"/>
      <c r="J25" s="181"/>
      <c r="K25" s="181"/>
      <c r="L25" s="181"/>
      <c r="M25" s="181"/>
      <c r="N25" s="181"/>
      <c r="O25" s="181"/>
      <c r="P25" s="181"/>
      <c r="Q25" s="181"/>
      <c r="R25" s="181"/>
      <c r="S25" s="181"/>
      <c r="T25" s="181"/>
      <c r="U25" s="181"/>
      <c r="V25" s="181"/>
      <c r="W25" s="181"/>
      <c r="X25" s="181"/>
      <c r="Y25" s="181"/>
      <c r="Z25" s="181"/>
    </row>
    <row r="26">
      <c r="A26" s="181"/>
      <c r="B26" s="181"/>
      <c r="C26" s="181"/>
      <c r="D26" s="181"/>
      <c r="E26" s="181"/>
      <c r="F26" s="181"/>
      <c r="G26" s="181"/>
      <c r="H26" s="181"/>
      <c r="I26" s="181"/>
      <c r="J26" s="181"/>
      <c r="K26" s="181"/>
      <c r="L26" s="181"/>
      <c r="M26" s="181"/>
      <c r="N26" s="181"/>
      <c r="O26" s="181"/>
      <c r="P26" s="181"/>
      <c r="Q26" s="181"/>
      <c r="R26" s="181"/>
      <c r="S26" s="181"/>
      <c r="T26" s="181"/>
      <c r="U26" s="181"/>
      <c r="V26" s="181"/>
      <c r="W26" s="181"/>
      <c r="X26" s="181"/>
      <c r="Y26" s="181"/>
      <c r="Z26" s="181"/>
    </row>
    <row r="27">
      <c r="A27" s="181"/>
      <c r="B27" s="181"/>
      <c r="C27" s="181"/>
      <c r="D27" s="181"/>
      <c r="E27" s="181"/>
      <c r="F27" s="181"/>
      <c r="G27" s="181"/>
      <c r="H27" s="181"/>
      <c r="I27" s="181"/>
      <c r="J27" s="181"/>
      <c r="K27" s="181"/>
      <c r="L27" s="181"/>
      <c r="M27" s="181"/>
      <c r="N27" s="181"/>
      <c r="O27" s="181"/>
      <c r="P27" s="181"/>
      <c r="Q27" s="181"/>
      <c r="R27" s="181"/>
      <c r="S27" s="181"/>
      <c r="T27" s="181"/>
      <c r="U27" s="181"/>
      <c r="V27" s="181"/>
      <c r="W27" s="181"/>
      <c r="X27" s="181"/>
      <c r="Y27" s="181"/>
      <c r="Z27" s="181"/>
    </row>
    <row r="28">
      <c r="A28" s="181"/>
      <c r="B28" s="181"/>
      <c r="C28" s="181"/>
      <c r="D28" s="181"/>
      <c r="E28" s="181"/>
      <c r="F28" s="181"/>
      <c r="G28" s="181"/>
      <c r="H28" s="181"/>
      <c r="I28" s="181"/>
      <c r="J28" s="181"/>
      <c r="K28" s="181"/>
      <c r="L28" s="181"/>
      <c r="M28" s="181"/>
      <c r="N28" s="181"/>
      <c r="O28" s="181"/>
      <c r="P28" s="181"/>
      <c r="Q28" s="181"/>
      <c r="R28" s="181"/>
      <c r="S28" s="181"/>
      <c r="T28" s="181"/>
      <c r="U28" s="181"/>
      <c r="V28" s="181"/>
      <c r="W28" s="181"/>
      <c r="X28" s="181"/>
      <c r="Y28" s="181"/>
      <c r="Z28" s="181"/>
    </row>
    <row r="29">
      <c r="A29" s="181"/>
      <c r="B29" s="181"/>
      <c r="C29" s="181"/>
      <c r="D29" s="181"/>
      <c r="E29" s="181"/>
      <c r="F29" s="181"/>
      <c r="G29" s="181"/>
      <c r="H29" s="181"/>
      <c r="I29" s="181"/>
      <c r="J29" s="181"/>
      <c r="K29" s="181"/>
      <c r="L29" s="181"/>
      <c r="M29" s="181"/>
      <c r="N29" s="181"/>
      <c r="O29" s="181"/>
      <c r="P29" s="181"/>
      <c r="Q29" s="181"/>
      <c r="R29" s="181"/>
      <c r="S29" s="181"/>
      <c r="T29" s="181"/>
      <c r="U29" s="181"/>
      <c r="V29" s="181"/>
      <c r="W29" s="181"/>
      <c r="X29" s="181"/>
      <c r="Y29" s="181"/>
      <c r="Z29" s="181"/>
    </row>
    <row r="30">
      <c r="A30" s="181"/>
      <c r="B30" s="181"/>
      <c r="C30" s="181"/>
      <c r="D30" s="181"/>
      <c r="E30" s="181"/>
      <c r="F30" s="181"/>
      <c r="G30" s="181"/>
      <c r="H30" s="181"/>
      <c r="I30" s="181"/>
      <c r="J30" s="181"/>
      <c r="K30" s="181"/>
      <c r="L30" s="181"/>
      <c r="M30" s="181"/>
      <c r="N30" s="181"/>
      <c r="O30" s="181"/>
      <c r="P30" s="181"/>
      <c r="Q30" s="181"/>
      <c r="R30" s="181"/>
      <c r="S30" s="181"/>
      <c r="T30" s="181"/>
      <c r="U30" s="181"/>
      <c r="V30" s="181"/>
      <c r="W30" s="181"/>
      <c r="X30" s="181"/>
      <c r="Y30" s="181"/>
      <c r="Z30" s="181"/>
    </row>
    <row r="31">
      <c r="A31" s="181"/>
      <c r="B31" s="181"/>
      <c r="C31" s="181"/>
      <c r="D31" s="181"/>
      <c r="E31" s="181"/>
      <c r="F31" s="181"/>
      <c r="G31" s="181"/>
      <c r="H31" s="181"/>
      <c r="I31" s="181"/>
      <c r="J31" s="181"/>
      <c r="K31" s="181"/>
      <c r="L31" s="181"/>
      <c r="M31" s="181"/>
      <c r="N31" s="181"/>
      <c r="O31" s="181"/>
      <c r="P31" s="181"/>
      <c r="Q31" s="181"/>
      <c r="R31" s="181"/>
      <c r="S31" s="181"/>
      <c r="T31" s="181"/>
      <c r="U31" s="181"/>
      <c r="V31" s="181"/>
      <c r="W31" s="181"/>
      <c r="X31" s="181"/>
      <c r="Y31" s="181"/>
      <c r="Z31" s="181"/>
    </row>
    <row r="32">
      <c r="A32" s="181"/>
      <c r="B32" s="181"/>
      <c r="C32" s="181"/>
      <c r="D32" s="181"/>
      <c r="E32" s="181"/>
      <c r="F32" s="181"/>
      <c r="G32" s="181"/>
      <c r="H32" s="181"/>
      <c r="I32" s="181"/>
      <c r="J32" s="181"/>
      <c r="K32" s="181"/>
      <c r="L32" s="181"/>
      <c r="M32" s="181"/>
      <c r="N32" s="181"/>
      <c r="O32" s="181"/>
      <c r="P32" s="181"/>
      <c r="Q32" s="181"/>
      <c r="R32" s="181"/>
      <c r="S32" s="181"/>
      <c r="T32" s="181"/>
      <c r="U32" s="181"/>
      <c r="V32" s="181"/>
      <c r="W32" s="181"/>
      <c r="X32" s="181"/>
      <c r="Y32" s="181"/>
      <c r="Z32" s="181"/>
    </row>
    <row r="33">
      <c r="A33" s="181"/>
      <c r="B33" s="181"/>
      <c r="C33" s="181"/>
      <c r="D33" s="181"/>
      <c r="E33" s="181"/>
      <c r="F33" s="181"/>
      <c r="G33" s="181"/>
      <c r="H33" s="181"/>
      <c r="I33" s="181"/>
      <c r="J33" s="181"/>
      <c r="K33" s="181"/>
      <c r="L33" s="181"/>
      <c r="M33" s="181"/>
      <c r="N33" s="181"/>
      <c r="O33" s="181"/>
      <c r="P33" s="181"/>
      <c r="Q33" s="181"/>
      <c r="R33" s="181"/>
      <c r="S33" s="181"/>
      <c r="T33" s="181"/>
      <c r="U33" s="181"/>
      <c r="V33" s="181"/>
      <c r="W33" s="181"/>
      <c r="X33" s="181"/>
      <c r="Y33" s="181"/>
      <c r="Z33" s="181"/>
    </row>
    <row r="34">
      <c r="A34" s="181"/>
      <c r="B34" s="181"/>
      <c r="C34" s="181"/>
      <c r="D34" s="181"/>
      <c r="E34" s="181"/>
      <c r="F34" s="181"/>
      <c r="G34" s="181"/>
      <c r="H34" s="181"/>
      <c r="I34" s="181"/>
      <c r="J34" s="181"/>
      <c r="K34" s="181"/>
      <c r="L34" s="181"/>
      <c r="M34" s="181"/>
      <c r="N34" s="181"/>
      <c r="O34" s="181"/>
      <c r="P34" s="181"/>
      <c r="Q34" s="181"/>
      <c r="R34" s="181"/>
      <c r="S34" s="181"/>
      <c r="T34" s="181"/>
      <c r="U34" s="181"/>
      <c r="V34" s="181"/>
      <c r="W34" s="181"/>
      <c r="X34" s="181"/>
      <c r="Y34" s="181"/>
      <c r="Z34" s="181"/>
    </row>
    <row r="35">
      <c r="A35" s="181"/>
      <c r="B35" s="181"/>
      <c r="C35" s="181"/>
      <c r="D35" s="181"/>
      <c r="E35" s="181"/>
      <c r="F35" s="181"/>
      <c r="G35" s="181"/>
      <c r="H35" s="181"/>
      <c r="I35" s="181"/>
      <c r="J35" s="181"/>
      <c r="K35" s="181"/>
      <c r="L35" s="181"/>
      <c r="M35" s="181"/>
      <c r="N35" s="181"/>
      <c r="O35" s="181"/>
      <c r="P35" s="181"/>
      <c r="Q35" s="181"/>
      <c r="R35" s="181"/>
      <c r="S35" s="181"/>
      <c r="T35" s="181"/>
      <c r="U35" s="181"/>
      <c r="V35" s="181"/>
      <c r="W35" s="181"/>
      <c r="X35" s="181"/>
      <c r="Y35" s="181"/>
      <c r="Z35" s="181"/>
    </row>
    <row r="36">
      <c r="A36" s="181"/>
      <c r="B36" s="181"/>
      <c r="C36" s="181"/>
      <c r="D36" s="181"/>
      <c r="E36" s="181"/>
      <c r="F36" s="181"/>
      <c r="G36" s="181"/>
      <c r="H36" s="181"/>
      <c r="I36" s="181"/>
      <c r="J36" s="181"/>
      <c r="K36" s="181"/>
      <c r="L36" s="181"/>
      <c r="M36" s="181"/>
      <c r="N36" s="181"/>
      <c r="O36" s="181"/>
      <c r="P36" s="181"/>
      <c r="Q36" s="181"/>
      <c r="R36" s="181"/>
      <c r="S36" s="181"/>
      <c r="T36" s="181"/>
      <c r="U36" s="181"/>
      <c r="V36" s="181"/>
      <c r="W36" s="181"/>
      <c r="X36" s="181"/>
      <c r="Y36" s="181"/>
      <c r="Z36" s="181"/>
    </row>
    <row r="37">
      <c r="A37" s="181"/>
      <c r="B37" s="181"/>
      <c r="C37" s="181"/>
      <c r="D37" s="181"/>
      <c r="E37" s="181"/>
      <c r="F37" s="181"/>
      <c r="G37" s="181"/>
      <c r="H37" s="181"/>
      <c r="I37" s="181"/>
      <c r="J37" s="181"/>
      <c r="K37" s="181"/>
      <c r="L37" s="181"/>
      <c r="M37" s="181"/>
      <c r="N37" s="181"/>
      <c r="O37" s="181"/>
      <c r="P37" s="181"/>
      <c r="Q37" s="181"/>
      <c r="R37" s="181"/>
      <c r="S37" s="181"/>
      <c r="T37" s="181"/>
      <c r="U37" s="181"/>
      <c r="V37" s="181"/>
      <c r="W37" s="181"/>
      <c r="X37" s="181"/>
      <c r="Y37" s="181"/>
      <c r="Z37" s="181"/>
    </row>
    <row r="38">
      <c r="A38" s="181"/>
      <c r="B38" s="181"/>
      <c r="C38" s="181"/>
      <c r="D38" s="181"/>
      <c r="E38" s="181"/>
      <c r="F38" s="181"/>
      <c r="G38" s="181"/>
      <c r="H38" s="181"/>
      <c r="I38" s="181"/>
      <c r="J38" s="181"/>
      <c r="K38" s="181"/>
      <c r="L38" s="181"/>
      <c r="M38" s="181"/>
      <c r="N38" s="181"/>
      <c r="O38" s="181"/>
      <c r="P38" s="181"/>
      <c r="Q38" s="181"/>
      <c r="R38" s="181"/>
      <c r="S38" s="181"/>
      <c r="T38" s="181"/>
      <c r="U38" s="181"/>
      <c r="V38" s="181"/>
      <c r="W38" s="181"/>
      <c r="X38" s="181"/>
      <c r="Y38" s="181"/>
      <c r="Z38" s="181"/>
    </row>
    <row r="39">
      <c r="A39" s="181"/>
      <c r="B39" s="181"/>
      <c r="C39" s="181"/>
      <c r="D39" s="181"/>
      <c r="E39" s="181"/>
      <c r="F39" s="181"/>
      <c r="G39" s="181"/>
      <c r="H39" s="181"/>
      <c r="I39" s="181"/>
      <c r="J39" s="181"/>
      <c r="K39" s="181"/>
      <c r="L39" s="181"/>
      <c r="M39" s="181"/>
      <c r="N39" s="181"/>
      <c r="O39" s="181"/>
      <c r="P39" s="181"/>
      <c r="Q39" s="181"/>
      <c r="R39" s="181"/>
      <c r="S39" s="181"/>
      <c r="T39" s="181"/>
      <c r="U39" s="181"/>
      <c r="V39" s="181"/>
      <c r="W39" s="181"/>
      <c r="X39" s="181"/>
      <c r="Y39" s="181"/>
      <c r="Z39" s="181"/>
    </row>
    <row r="40">
      <c r="A40" s="181"/>
      <c r="B40" s="181"/>
      <c r="C40" s="181"/>
      <c r="D40" s="181"/>
      <c r="E40" s="181"/>
      <c r="F40" s="181"/>
      <c r="G40" s="181"/>
      <c r="H40" s="181"/>
      <c r="I40" s="181"/>
      <c r="J40" s="181"/>
      <c r="K40" s="181"/>
      <c r="L40" s="181"/>
      <c r="M40" s="181"/>
      <c r="N40" s="181"/>
      <c r="O40" s="181"/>
      <c r="P40" s="181"/>
      <c r="Q40" s="181"/>
      <c r="R40" s="181"/>
      <c r="S40" s="181"/>
      <c r="T40" s="181"/>
      <c r="U40" s="181"/>
      <c r="V40" s="181"/>
      <c r="W40" s="181"/>
      <c r="X40" s="181"/>
      <c r="Y40" s="181"/>
      <c r="Z40" s="181"/>
    </row>
    <row r="41">
      <c r="A41" s="181"/>
      <c r="B41" s="181"/>
      <c r="C41" s="181"/>
      <c r="D41" s="181"/>
      <c r="E41" s="181"/>
      <c r="F41" s="181"/>
      <c r="G41" s="181"/>
      <c r="H41" s="181"/>
      <c r="I41" s="181"/>
      <c r="J41" s="181"/>
      <c r="K41" s="181"/>
      <c r="L41" s="181"/>
      <c r="M41" s="181"/>
      <c r="N41" s="181"/>
      <c r="O41" s="181"/>
      <c r="P41" s="181"/>
      <c r="Q41" s="181"/>
      <c r="R41" s="181"/>
      <c r="S41" s="181"/>
      <c r="T41" s="181"/>
      <c r="U41" s="181"/>
      <c r="V41" s="181"/>
      <c r="W41" s="181"/>
      <c r="X41" s="181"/>
      <c r="Y41" s="181"/>
      <c r="Z41" s="181"/>
    </row>
    <row r="42">
      <c r="A42" s="181"/>
      <c r="B42" s="181"/>
      <c r="C42" s="181"/>
      <c r="D42" s="181"/>
      <c r="E42" s="181"/>
      <c r="F42" s="181"/>
      <c r="G42" s="181"/>
      <c r="H42" s="181"/>
      <c r="I42" s="181"/>
      <c r="J42" s="181"/>
      <c r="K42" s="181"/>
      <c r="L42" s="181"/>
      <c r="M42" s="181"/>
      <c r="N42" s="181"/>
      <c r="O42" s="181"/>
      <c r="P42" s="181"/>
      <c r="Q42" s="181"/>
      <c r="R42" s="181"/>
      <c r="S42" s="181"/>
      <c r="T42" s="181"/>
      <c r="U42" s="181"/>
      <c r="V42" s="181"/>
      <c r="W42" s="181"/>
      <c r="X42" s="181"/>
      <c r="Y42" s="181"/>
      <c r="Z42" s="181"/>
    </row>
    <row r="43">
      <c r="A43" s="181"/>
      <c r="B43" s="181"/>
      <c r="C43" s="181"/>
      <c r="D43" s="181"/>
      <c r="E43" s="181"/>
      <c r="F43" s="181"/>
      <c r="G43" s="181"/>
      <c r="H43" s="181"/>
      <c r="I43" s="181"/>
      <c r="J43" s="181"/>
      <c r="K43" s="181"/>
      <c r="L43" s="181"/>
      <c r="M43" s="181"/>
      <c r="N43" s="181"/>
      <c r="O43" s="181"/>
      <c r="P43" s="181"/>
      <c r="Q43" s="181"/>
      <c r="R43" s="181"/>
      <c r="S43" s="181"/>
      <c r="T43" s="181"/>
      <c r="U43" s="181"/>
      <c r="V43" s="181"/>
      <c r="W43" s="181"/>
      <c r="X43" s="181"/>
      <c r="Y43" s="181"/>
      <c r="Z43" s="181"/>
    </row>
    <row r="44">
      <c r="A44" s="181"/>
      <c r="B44" s="181"/>
      <c r="C44" s="181"/>
      <c r="D44" s="181"/>
      <c r="E44" s="181"/>
      <c r="F44" s="181"/>
      <c r="G44" s="181"/>
      <c r="H44" s="181"/>
      <c r="I44" s="181"/>
      <c r="J44" s="181"/>
      <c r="K44" s="181"/>
      <c r="L44" s="181"/>
      <c r="M44" s="181"/>
      <c r="N44" s="181"/>
      <c r="O44" s="181"/>
      <c r="P44" s="181"/>
      <c r="Q44" s="181"/>
      <c r="R44" s="181"/>
      <c r="S44" s="181"/>
      <c r="T44" s="181"/>
      <c r="U44" s="181"/>
      <c r="V44" s="181"/>
      <c r="W44" s="181"/>
      <c r="X44" s="181"/>
      <c r="Y44" s="181"/>
      <c r="Z44" s="181"/>
    </row>
    <row r="45">
      <c r="A45" s="181"/>
      <c r="B45" s="181"/>
      <c r="C45" s="181"/>
      <c r="D45" s="181"/>
      <c r="E45" s="181"/>
      <c r="F45" s="181"/>
      <c r="G45" s="181"/>
      <c r="H45" s="181"/>
      <c r="I45" s="181"/>
      <c r="J45" s="181"/>
      <c r="K45" s="181"/>
      <c r="L45" s="181"/>
      <c r="M45" s="181"/>
      <c r="N45" s="181"/>
      <c r="O45" s="181"/>
      <c r="P45" s="181"/>
      <c r="Q45" s="181"/>
      <c r="R45" s="181"/>
      <c r="S45" s="181"/>
      <c r="T45" s="181"/>
      <c r="U45" s="181"/>
      <c r="V45" s="181"/>
      <c r="W45" s="181"/>
      <c r="X45" s="181"/>
      <c r="Y45" s="181"/>
      <c r="Z45" s="181"/>
    </row>
    <row r="46">
      <c r="A46" s="181"/>
      <c r="B46" s="181"/>
      <c r="C46" s="181"/>
      <c r="D46" s="181"/>
      <c r="E46" s="181"/>
      <c r="F46" s="181"/>
      <c r="G46" s="181"/>
      <c r="H46" s="181"/>
      <c r="I46" s="181"/>
      <c r="J46" s="181"/>
      <c r="K46" s="181"/>
      <c r="L46" s="181"/>
      <c r="M46" s="181"/>
      <c r="N46" s="181"/>
      <c r="O46" s="181"/>
      <c r="P46" s="181"/>
      <c r="Q46" s="181"/>
      <c r="R46" s="181"/>
      <c r="S46" s="181"/>
      <c r="T46" s="181"/>
      <c r="U46" s="181"/>
      <c r="V46" s="181"/>
      <c r="W46" s="181"/>
      <c r="X46" s="181"/>
      <c r="Y46" s="181"/>
      <c r="Z46" s="181"/>
    </row>
    <row r="47">
      <c r="A47" s="181"/>
      <c r="B47" s="181"/>
      <c r="C47" s="181"/>
      <c r="D47" s="181"/>
      <c r="E47" s="181"/>
      <c r="F47" s="181"/>
      <c r="G47" s="181"/>
      <c r="H47" s="181"/>
      <c r="I47" s="181"/>
      <c r="J47" s="181"/>
      <c r="K47" s="181"/>
      <c r="L47" s="181"/>
      <c r="M47" s="181"/>
      <c r="N47" s="181"/>
      <c r="O47" s="181"/>
      <c r="P47" s="181"/>
      <c r="Q47" s="181"/>
      <c r="R47" s="181"/>
      <c r="S47" s="181"/>
      <c r="T47" s="181"/>
      <c r="U47" s="181"/>
      <c r="V47" s="181"/>
      <c r="W47" s="181"/>
      <c r="X47" s="181"/>
      <c r="Y47" s="181"/>
      <c r="Z47" s="181"/>
    </row>
    <row r="48">
      <c r="A48" s="181"/>
      <c r="B48" s="181"/>
      <c r="C48" s="181"/>
      <c r="D48" s="181"/>
      <c r="E48" s="181"/>
      <c r="F48" s="181"/>
      <c r="G48" s="181"/>
      <c r="H48" s="181"/>
      <c r="I48" s="181"/>
      <c r="J48" s="181"/>
      <c r="K48" s="181"/>
      <c r="L48" s="181"/>
      <c r="M48" s="181"/>
      <c r="N48" s="181"/>
      <c r="O48" s="181"/>
      <c r="P48" s="181"/>
      <c r="Q48" s="181"/>
      <c r="R48" s="181"/>
      <c r="S48" s="181"/>
      <c r="T48" s="181"/>
      <c r="U48" s="181"/>
      <c r="V48" s="181"/>
      <c r="W48" s="181"/>
      <c r="X48" s="181"/>
      <c r="Y48" s="181"/>
      <c r="Z48" s="181"/>
    </row>
    <row r="49">
      <c r="A49" s="181"/>
      <c r="B49" s="181"/>
      <c r="C49" s="181"/>
      <c r="D49" s="181"/>
      <c r="E49" s="181"/>
      <c r="F49" s="181"/>
      <c r="G49" s="181"/>
      <c r="H49" s="181"/>
      <c r="I49" s="181"/>
      <c r="J49" s="181"/>
      <c r="K49" s="181"/>
      <c r="L49" s="181"/>
      <c r="M49" s="181"/>
      <c r="N49" s="181"/>
      <c r="O49" s="181"/>
      <c r="P49" s="181"/>
      <c r="Q49" s="181"/>
      <c r="R49" s="181"/>
      <c r="S49" s="181"/>
      <c r="T49" s="181"/>
      <c r="U49" s="181"/>
      <c r="V49" s="181"/>
      <c r="W49" s="181"/>
      <c r="X49" s="181"/>
      <c r="Y49" s="181"/>
      <c r="Z49" s="181"/>
    </row>
    <row r="50">
      <c r="A50" s="181"/>
      <c r="B50" s="181"/>
      <c r="C50" s="181"/>
      <c r="D50" s="181"/>
      <c r="E50" s="181"/>
      <c r="F50" s="181"/>
      <c r="G50" s="181"/>
      <c r="H50" s="181"/>
      <c r="I50" s="181"/>
      <c r="J50" s="181"/>
      <c r="K50" s="181"/>
      <c r="L50" s="181"/>
      <c r="M50" s="181"/>
      <c r="N50" s="181"/>
      <c r="O50" s="181"/>
      <c r="P50" s="181"/>
      <c r="Q50" s="181"/>
      <c r="R50" s="181"/>
      <c r="S50" s="181"/>
      <c r="T50" s="181"/>
      <c r="U50" s="181"/>
      <c r="V50" s="181"/>
      <c r="W50" s="181"/>
      <c r="X50" s="181"/>
      <c r="Y50" s="181"/>
      <c r="Z50" s="181"/>
    </row>
    <row r="51">
      <c r="A51" s="181"/>
      <c r="B51" s="181"/>
      <c r="C51" s="181"/>
      <c r="D51" s="181"/>
      <c r="E51" s="181"/>
      <c r="F51" s="181"/>
      <c r="G51" s="181"/>
      <c r="H51" s="181"/>
      <c r="I51" s="181"/>
      <c r="J51" s="181"/>
      <c r="K51" s="181"/>
      <c r="L51" s="181"/>
      <c r="M51" s="181"/>
      <c r="N51" s="181"/>
      <c r="O51" s="181"/>
      <c r="P51" s="181"/>
      <c r="Q51" s="181"/>
      <c r="R51" s="181"/>
      <c r="S51" s="181"/>
      <c r="T51" s="181"/>
      <c r="U51" s="181"/>
      <c r="V51" s="181"/>
      <c r="W51" s="181"/>
      <c r="X51" s="181"/>
      <c r="Y51" s="181"/>
      <c r="Z51" s="181"/>
    </row>
    <row r="52">
      <c r="A52" s="181"/>
      <c r="B52" s="181"/>
      <c r="C52" s="181"/>
      <c r="D52" s="181"/>
      <c r="E52" s="181"/>
      <c r="F52" s="181"/>
      <c r="G52" s="181"/>
      <c r="H52" s="181"/>
      <c r="I52" s="181"/>
      <c r="J52" s="181"/>
      <c r="K52" s="181"/>
      <c r="L52" s="181"/>
      <c r="M52" s="181"/>
      <c r="N52" s="181"/>
      <c r="O52" s="181"/>
      <c r="P52" s="181"/>
      <c r="Q52" s="181"/>
      <c r="R52" s="181"/>
      <c r="S52" s="181"/>
      <c r="T52" s="181"/>
      <c r="U52" s="181"/>
      <c r="V52" s="181"/>
      <c r="W52" s="181"/>
      <c r="X52" s="181"/>
      <c r="Y52" s="181"/>
      <c r="Z52" s="181"/>
    </row>
    <row r="53">
      <c r="A53" s="181"/>
      <c r="B53" s="181"/>
      <c r="C53" s="181"/>
      <c r="D53" s="181"/>
      <c r="E53" s="181"/>
      <c r="F53" s="181"/>
      <c r="G53" s="181"/>
      <c r="H53" s="181"/>
      <c r="I53" s="181"/>
      <c r="J53" s="181"/>
      <c r="K53" s="181"/>
      <c r="L53" s="181"/>
      <c r="M53" s="181"/>
      <c r="N53" s="181"/>
      <c r="O53" s="181"/>
      <c r="P53" s="181"/>
      <c r="Q53" s="181"/>
      <c r="R53" s="181"/>
      <c r="S53" s="181"/>
      <c r="T53" s="181"/>
      <c r="U53" s="181"/>
      <c r="V53" s="181"/>
      <c r="W53" s="181"/>
      <c r="X53" s="181"/>
      <c r="Y53" s="181"/>
      <c r="Z53" s="181"/>
    </row>
    <row r="54">
      <c r="A54" s="181"/>
      <c r="B54" s="181"/>
      <c r="C54" s="181"/>
      <c r="D54" s="181"/>
      <c r="E54" s="181"/>
      <c r="F54" s="181"/>
      <c r="G54" s="181"/>
      <c r="H54" s="181"/>
      <c r="I54" s="181"/>
      <c r="J54" s="181"/>
      <c r="K54" s="181"/>
      <c r="L54" s="181"/>
      <c r="M54" s="181"/>
      <c r="N54" s="181"/>
      <c r="O54" s="181"/>
      <c r="P54" s="181"/>
      <c r="Q54" s="181"/>
      <c r="R54" s="181"/>
      <c r="S54" s="181"/>
      <c r="T54" s="181"/>
      <c r="U54" s="181"/>
      <c r="V54" s="181"/>
      <c r="W54" s="181"/>
      <c r="X54" s="181"/>
      <c r="Y54" s="181"/>
      <c r="Z54" s="181"/>
    </row>
    <row r="55">
      <c r="A55" s="181"/>
      <c r="B55" s="181"/>
      <c r="C55" s="181"/>
      <c r="D55" s="181"/>
      <c r="E55" s="181"/>
      <c r="F55" s="181"/>
      <c r="G55" s="181"/>
      <c r="H55" s="181"/>
      <c r="I55" s="181"/>
      <c r="J55" s="181"/>
      <c r="K55" s="181"/>
      <c r="L55" s="181"/>
      <c r="M55" s="181"/>
      <c r="N55" s="181"/>
      <c r="O55" s="181"/>
      <c r="P55" s="181"/>
      <c r="Q55" s="181"/>
      <c r="R55" s="181"/>
      <c r="S55" s="181"/>
      <c r="T55" s="181"/>
      <c r="U55" s="181"/>
      <c r="V55" s="181"/>
      <c r="W55" s="181"/>
      <c r="X55" s="181"/>
      <c r="Y55" s="181"/>
      <c r="Z55" s="181"/>
    </row>
    <row r="56">
      <c r="A56" s="181"/>
      <c r="B56" s="181"/>
      <c r="C56" s="181"/>
      <c r="D56" s="181"/>
      <c r="E56" s="181"/>
      <c r="F56" s="181"/>
      <c r="G56" s="181"/>
      <c r="H56" s="181"/>
      <c r="I56" s="181"/>
      <c r="J56" s="181"/>
      <c r="K56" s="181"/>
      <c r="L56" s="181"/>
      <c r="M56" s="181"/>
      <c r="N56" s="181"/>
      <c r="O56" s="181"/>
      <c r="P56" s="181"/>
      <c r="Q56" s="181"/>
      <c r="R56" s="181"/>
      <c r="S56" s="181"/>
      <c r="T56" s="181"/>
      <c r="U56" s="181"/>
      <c r="V56" s="181"/>
      <c r="W56" s="181"/>
      <c r="X56" s="181"/>
      <c r="Y56" s="181"/>
      <c r="Z56" s="181"/>
    </row>
    <row r="57">
      <c r="A57" s="181"/>
      <c r="B57" s="181"/>
      <c r="C57" s="181"/>
      <c r="D57" s="181"/>
      <c r="E57" s="181"/>
      <c r="F57" s="181"/>
      <c r="G57" s="181"/>
      <c r="H57" s="181"/>
      <c r="I57" s="181"/>
      <c r="J57" s="181"/>
      <c r="K57" s="181"/>
      <c r="L57" s="181"/>
      <c r="M57" s="181"/>
      <c r="N57" s="181"/>
      <c r="O57" s="181"/>
      <c r="P57" s="181"/>
      <c r="Q57" s="181"/>
      <c r="R57" s="181"/>
      <c r="S57" s="181"/>
      <c r="T57" s="181"/>
      <c r="U57" s="181"/>
      <c r="V57" s="181"/>
      <c r="W57" s="181"/>
      <c r="X57" s="181"/>
      <c r="Y57" s="181"/>
      <c r="Z57" s="181"/>
    </row>
    <row r="58">
      <c r="A58" s="181"/>
      <c r="B58" s="181"/>
      <c r="C58" s="181"/>
      <c r="D58" s="181"/>
      <c r="E58" s="181"/>
      <c r="F58" s="181"/>
      <c r="G58" s="181"/>
      <c r="H58" s="181"/>
      <c r="I58" s="181"/>
      <c r="J58" s="181"/>
      <c r="K58" s="181"/>
      <c r="L58" s="181"/>
      <c r="M58" s="181"/>
      <c r="N58" s="181"/>
      <c r="O58" s="181"/>
      <c r="P58" s="181"/>
      <c r="Q58" s="181"/>
      <c r="R58" s="181"/>
      <c r="S58" s="181"/>
      <c r="T58" s="181"/>
      <c r="U58" s="181"/>
      <c r="V58" s="181"/>
      <c r="W58" s="181"/>
      <c r="X58" s="181"/>
      <c r="Y58" s="181"/>
      <c r="Z58" s="181"/>
    </row>
    <row r="59">
      <c r="A59" s="181"/>
      <c r="B59" s="181"/>
      <c r="C59" s="181"/>
      <c r="D59" s="181"/>
      <c r="E59" s="181"/>
      <c r="F59" s="181"/>
      <c r="G59" s="181"/>
      <c r="H59" s="181"/>
      <c r="I59" s="181"/>
      <c r="J59" s="181"/>
      <c r="K59" s="181"/>
      <c r="L59" s="181"/>
      <c r="M59" s="181"/>
      <c r="N59" s="181"/>
      <c r="O59" s="181"/>
      <c r="P59" s="181"/>
      <c r="Q59" s="181"/>
      <c r="R59" s="181"/>
      <c r="S59" s="181"/>
      <c r="T59" s="181"/>
      <c r="U59" s="181"/>
      <c r="V59" s="181"/>
      <c r="W59" s="181"/>
      <c r="X59" s="181"/>
      <c r="Y59" s="181"/>
      <c r="Z59" s="181"/>
    </row>
    <row r="60">
      <c r="A60" s="181"/>
      <c r="B60" s="181"/>
      <c r="C60" s="181"/>
      <c r="D60" s="181"/>
      <c r="E60" s="181"/>
      <c r="F60" s="181"/>
      <c r="G60" s="181"/>
      <c r="H60" s="181"/>
      <c r="I60" s="181"/>
      <c r="J60" s="181"/>
      <c r="K60" s="181"/>
      <c r="L60" s="181"/>
      <c r="M60" s="181"/>
      <c r="N60" s="181"/>
      <c r="O60" s="181"/>
      <c r="P60" s="181"/>
      <c r="Q60" s="181"/>
      <c r="R60" s="181"/>
      <c r="S60" s="181"/>
      <c r="T60" s="181"/>
      <c r="U60" s="181"/>
      <c r="V60" s="181"/>
      <c r="W60" s="181"/>
      <c r="X60" s="181"/>
      <c r="Y60" s="181"/>
      <c r="Z60" s="181"/>
    </row>
    <row r="61">
      <c r="A61" s="181"/>
      <c r="B61" s="181"/>
      <c r="C61" s="181"/>
      <c r="D61" s="181"/>
      <c r="E61" s="181"/>
      <c r="F61" s="181"/>
      <c r="G61" s="181"/>
      <c r="H61" s="181"/>
      <c r="I61" s="181"/>
      <c r="J61" s="181"/>
      <c r="K61" s="181"/>
      <c r="L61" s="181"/>
      <c r="M61" s="181"/>
      <c r="N61" s="181"/>
      <c r="O61" s="181"/>
      <c r="P61" s="181"/>
      <c r="Q61" s="181"/>
      <c r="R61" s="181"/>
      <c r="S61" s="181"/>
      <c r="T61" s="181"/>
      <c r="U61" s="181"/>
      <c r="V61" s="181"/>
      <c r="W61" s="181"/>
      <c r="X61" s="181"/>
      <c r="Y61" s="181"/>
      <c r="Z61" s="181"/>
    </row>
    <row r="62">
      <c r="A62" s="181"/>
      <c r="B62" s="181"/>
      <c r="C62" s="181"/>
      <c r="D62" s="181"/>
      <c r="E62" s="181"/>
      <c r="F62" s="181"/>
      <c r="G62" s="181"/>
      <c r="H62" s="181"/>
      <c r="I62" s="181"/>
      <c r="J62" s="181"/>
      <c r="K62" s="181"/>
      <c r="L62" s="181"/>
      <c r="M62" s="181"/>
      <c r="N62" s="181"/>
      <c r="O62" s="181"/>
      <c r="P62" s="181"/>
      <c r="Q62" s="181"/>
      <c r="R62" s="181"/>
      <c r="S62" s="181"/>
      <c r="T62" s="181"/>
      <c r="U62" s="181"/>
      <c r="V62" s="181"/>
      <c r="W62" s="181"/>
      <c r="X62" s="181"/>
      <c r="Y62" s="181"/>
      <c r="Z62" s="181"/>
    </row>
    <row r="63">
      <c r="A63" s="181"/>
      <c r="B63" s="181"/>
      <c r="C63" s="181"/>
      <c r="D63" s="181"/>
      <c r="E63" s="181"/>
      <c r="F63" s="181"/>
      <c r="G63" s="181"/>
      <c r="H63" s="181"/>
      <c r="I63" s="181"/>
      <c r="J63" s="181"/>
      <c r="K63" s="181"/>
      <c r="L63" s="181"/>
      <c r="M63" s="181"/>
      <c r="N63" s="181"/>
      <c r="O63" s="181"/>
      <c r="P63" s="181"/>
      <c r="Q63" s="181"/>
      <c r="R63" s="181"/>
      <c r="S63" s="181"/>
      <c r="T63" s="181"/>
      <c r="U63" s="181"/>
      <c r="V63" s="181"/>
      <c r="W63" s="181"/>
      <c r="X63" s="181"/>
      <c r="Y63" s="181"/>
      <c r="Z63" s="181"/>
    </row>
    <row r="64">
      <c r="A64" s="181"/>
      <c r="B64" s="181"/>
      <c r="C64" s="181"/>
      <c r="D64" s="181"/>
      <c r="E64" s="181"/>
      <c r="F64" s="181"/>
      <c r="G64" s="181"/>
      <c r="H64" s="181"/>
      <c r="I64" s="181"/>
      <c r="J64" s="181"/>
      <c r="K64" s="181"/>
      <c r="L64" s="181"/>
      <c r="M64" s="181"/>
      <c r="N64" s="181"/>
      <c r="O64" s="181"/>
      <c r="P64" s="181"/>
      <c r="Q64" s="181"/>
      <c r="R64" s="181"/>
      <c r="S64" s="181"/>
      <c r="T64" s="181"/>
      <c r="U64" s="181"/>
      <c r="V64" s="181"/>
      <c r="W64" s="181"/>
      <c r="X64" s="181"/>
      <c r="Y64" s="181"/>
      <c r="Z64" s="181"/>
    </row>
    <row r="65">
      <c r="A65" s="181"/>
      <c r="B65" s="181"/>
      <c r="C65" s="181"/>
      <c r="D65" s="181"/>
      <c r="E65" s="181"/>
      <c r="F65" s="181"/>
      <c r="G65" s="181"/>
      <c r="H65" s="181"/>
      <c r="I65" s="181"/>
      <c r="J65" s="181"/>
      <c r="K65" s="181"/>
      <c r="L65" s="181"/>
      <c r="M65" s="181"/>
      <c r="N65" s="181"/>
      <c r="O65" s="181"/>
      <c r="P65" s="181"/>
      <c r="Q65" s="181"/>
      <c r="R65" s="181"/>
      <c r="S65" s="181"/>
      <c r="T65" s="181"/>
      <c r="U65" s="181"/>
      <c r="V65" s="181"/>
      <c r="W65" s="181"/>
      <c r="X65" s="181"/>
      <c r="Y65" s="181"/>
      <c r="Z65" s="181"/>
    </row>
    <row r="66">
      <c r="A66" s="181"/>
      <c r="B66" s="181"/>
      <c r="C66" s="181"/>
      <c r="D66" s="181"/>
      <c r="E66" s="181"/>
      <c r="F66" s="181"/>
      <c r="G66" s="181"/>
      <c r="H66" s="181"/>
      <c r="I66" s="181"/>
      <c r="J66" s="181"/>
      <c r="K66" s="181"/>
      <c r="L66" s="181"/>
      <c r="M66" s="181"/>
      <c r="N66" s="181"/>
      <c r="O66" s="181"/>
      <c r="P66" s="181"/>
      <c r="Q66" s="181"/>
      <c r="R66" s="181"/>
      <c r="S66" s="181"/>
      <c r="T66" s="181"/>
      <c r="U66" s="181"/>
      <c r="V66" s="181"/>
      <c r="W66" s="181"/>
      <c r="X66" s="181"/>
      <c r="Y66" s="181"/>
      <c r="Z66" s="181"/>
    </row>
    <row r="67">
      <c r="A67" s="181"/>
      <c r="B67" s="181"/>
      <c r="C67" s="181"/>
      <c r="D67" s="181"/>
      <c r="E67" s="181"/>
      <c r="F67" s="181"/>
      <c r="G67" s="181"/>
      <c r="H67" s="181"/>
      <c r="I67" s="181"/>
      <c r="J67" s="181"/>
      <c r="K67" s="181"/>
      <c r="L67" s="181"/>
      <c r="M67" s="181"/>
      <c r="N67" s="181"/>
      <c r="O67" s="181"/>
      <c r="P67" s="181"/>
      <c r="Q67" s="181"/>
      <c r="R67" s="181"/>
      <c r="S67" s="181"/>
      <c r="T67" s="181"/>
      <c r="U67" s="181"/>
      <c r="V67" s="181"/>
      <c r="W67" s="181"/>
      <c r="X67" s="181"/>
      <c r="Y67" s="181"/>
      <c r="Z67" s="181"/>
    </row>
    <row r="68">
      <c r="A68" s="181"/>
      <c r="B68" s="181"/>
      <c r="C68" s="181"/>
      <c r="D68" s="181"/>
      <c r="E68" s="181"/>
      <c r="F68" s="181"/>
      <c r="G68" s="181"/>
      <c r="H68" s="181"/>
      <c r="I68" s="181"/>
      <c r="J68" s="181"/>
      <c r="K68" s="181"/>
      <c r="L68" s="181"/>
      <c r="M68" s="181"/>
      <c r="N68" s="181"/>
      <c r="O68" s="181"/>
      <c r="P68" s="181"/>
      <c r="Q68" s="181"/>
      <c r="R68" s="181"/>
      <c r="S68" s="181"/>
      <c r="T68" s="181"/>
      <c r="U68" s="181"/>
      <c r="V68" s="181"/>
      <c r="W68" s="181"/>
      <c r="X68" s="181"/>
      <c r="Y68" s="181"/>
      <c r="Z68" s="181"/>
    </row>
    <row r="69">
      <c r="A69" s="181"/>
      <c r="B69" s="181"/>
      <c r="C69" s="181"/>
      <c r="D69" s="181"/>
      <c r="E69" s="181"/>
      <c r="F69" s="181"/>
      <c r="G69" s="181"/>
      <c r="H69" s="181"/>
      <c r="I69" s="181"/>
      <c r="J69" s="181"/>
      <c r="K69" s="181"/>
      <c r="L69" s="181"/>
      <c r="M69" s="181"/>
      <c r="N69" s="181"/>
      <c r="O69" s="181"/>
      <c r="P69" s="181"/>
      <c r="Q69" s="181"/>
      <c r="R69" s="181"/>
      <c r="S69" s="181"/>
      <c r="T69" s="181"/>
      <c r="U69" s="181"/>
      <c r="V69" s="181"/>
      <c r="W69" s="181"/>
      <c r="X69" s="181"/>
      <c r="Y69" s="181"/>
      <c r="Z69" s="181"/>
    </row>
    <row r="70">
      <c r="A70" s="181"/>
      <c r="B70" s="181"/>
      <c r="C70" s="181"/>
      <c r="D70" s="181"/>
      <c r="E70" s="181"/>
      <c r="F70" s="181"/>
      <c r="G70" s="181"/>
      <c r="H70" s="181"/>
      <c r="I70" s="181"/>
      <c r="J70" s="181"/>
      <c r="K70" s="181"/>
      <c r="L70" s="181"/>
      <c r="M70" s="181"/>
      <c r="N70" s="181"/>
      <c r="O70" s="181"/>
      <c r="P70" s="181"/>
      <c r="Q70" s="181"/>
      <c r="R70" s="181"/>
      <c r="S70" s="181"/>
      <c r="T70" s="181"/>
      <c r="U70" s="181"/>
      <c r="V70" s="181"/>
      <c r="W70" s="181"/>
      <c r="X70" s="181"/>
      <c r="Y70" s="181"/>
      <c r="Z70" s="181"/>
    </row>
    <row r="71">
      <c r="A71" s="181"/>
      <c r="B71" s="181"/>
      <c r="C71" s="181"/>
      <c r="D71" s="181"/>
      <c r="E71" s="181"/>
      <c r="F71" s="181"/>
      <c r="G71" s="181"/>
      <c r="H71" s="181"/>
      <c r="I71" s="181"/>
      <c r="J71" s="181"/>
      <c r="K71" s="181"/>
      <c r="L71" s="181"/>
      <c r="M71" s="181"/>
      <c r="N71" s="181"/>
      <c r="O71" s="181"/>
      <c r="P71" s="181"/>
      <c r="Q71" s="181"/>
      <c r="R71" s="181"/>
      <c r="S71" s="181"/>
      <c r="T71" s="181"/>
      <c r="U71" s="181"/>
      <c r="V71" s="181"/>
      <c r="W71" s="181"/>
      <c r="X71" s="181"/>
      <c r="Y71" s="181"/>
      <c r="Z71" s="181"/>
    </row>
    <row r="72">
      <c r="A72" s="181"/>
      <c r="B72" s="181"/>
      <c r="C72" s="181"/>
      <c r="D72" s="181"/>
      <c r="E72" s="181"/>
      <c r="F72" s="181"/>
      <c r="G72" s="181"/>
      <c r="H72" s="181"/>
      <c r="I72" s="181"/>
      <c r="J72" s="181"/>
      <c r="K72" s="181"/>
      <c r="L72" s="181"/>
      <c r="M72" s="181"/>
      <c r="N72" s="181"/>
      <c r="O72" s="181"/>
      <c r="P72" s="181"/>
      <c r="Q72" s="181"/>
      <c r="R72" s="181"/>
      <c r="S72" s="181"/>
      <c r="T72" s="181"/>
      <c r="U72" s="181"/>
      <c r="V72" s="181"/>
      <c r="W72" s="181"/>
      <c r="X72" s="181"/>
      <c r="Y72" s="181"/>
      <c r="Z72" s="181"/>
    </row>
    <row r="73">
      <c r="A73" s="181"/>
      <c r="B73" s="181"/>
      <c r="C73" s="181"/>
      <c r="D73" s="181"/>
      <c r="E73" s="181"/>
      <c r="F73" s="181"/>
      <c r="G73" s="181"/>
      <c r="H73" s="181"/>
      <c r="I73" s="181"/>
      <c r="J73" s="181"/>
      <c r="K73" s="181"/>
      <c r="L73" s="181"/>
      <c r="M73" s="181"/>
      <c r="N73" s="181"/>
      <c r="O73" s="181"/>
      <c r="P73" s="181"/>
      <c r="Q73" s="181"/>
      <c r="R73" s="181"/>
      <c r="S73" s="181"/>
      <c r="T73" s="181"/>
      <c r="U73" s="181"/>
      <c r="V73" s="181"/>
      <c r="W73" s="181"/>
      <c r="X73" s="181"/>
      <c r="Y73" s="181"/>
      <c r="Z73" s="181"/>
    </row>
    <row r="74">
      <c r="A74" s="181"/>
      <c r="B74" s="181"/>
      <c r="C74" s="181"/>
      <c r="D74" s="181"/>
      <c r="E74" s="181"/>
      <c r="F74" s="181"/>
      <c r="G74" s="181"/>
      <c r="H74" s="181"/>
      <c r="I74" s="181"/>
      <c r="J74" s="181"/>
      <c r="K74" s="181"/>
      <c r="L74" s="181"/>
      <c r="M74" s="181"/>
      <c r="N74" s="181"/>
      <c r="O74" s="181"/>
      <c r="P74" s="181"/>
      <c r="Q74" s="181"/>
      <c r="R74" s="181"/>
      <c r="S74" s="181"/>
      <c r="T74" s="181"/>
      <c r="U74" s="181"/>
      <c r="V74" s="181"/>
      <c r="W74" s="181"/>
      <c r="X74" s="181"/>
      <c r="Y74" s="181"/>
      <c r="Z74" s="181"/>
    </row>
    <row r="75">
      <c r="A75" s="181"/>
      <c r="B75" s="181"/>
      <c r="C75" s="181"/>
      <c r="D75" s="181"/>
      <c r="E75" s="181"/>
      <c r="F75" s="181"/>
      <c r="G75" s="181"/>
      <c r="H75" s="181"/>
      <c r="I75" s="181"/>
      <c r="J75" s="181"/>
      <c r="K75" s="181"/>
      <c r="L75" s="181"/>
      <c r="M75" s="181"/>
      <c r="N75" s="181"/>
      <c r="O75" s="181"/>
      <c r="P75" s="181"/>
      <c r="Q75" s="181"/>
      <c r="R75" s="181"/>
      <c r="S75" s="181"/>
      <c r="T75" s="181"/>
      <c r="U75" s="181"/>
      <c r="V75" s="181"/>
      <c r="W75" s="181"/>
      <c r="X75" s="181"/>
      <c r="Y75" s="181"/>
      <c r="Z75" s="181"/>
    </row>
    <row r="76">
      <c r="A76" s="181"/>
      <c r="B76" s="181"/>
      <c r="C76" s="181"/>
      <c r="D76" s="181"/>
      <c r="E76" s="181"/>
      <c r="F76" s="181"/>
      <c r="G76" s="181"/>
      <c r="H76" s="181"/>
      <c r="I76" s="181"/>
      <c r="J76" s="181"/>
      <c r="K76" s="181"/>
      <c r="L76" s="181"/>
      <c r="M76" s="181"/>
      <c r="N76" s="181"/>
      <c r="O76" s="181"/>
      <c r="P76" s="181"/>
      <c r="Q76" s="181"/>
      <c r="R76" s="181"/>
      <c r="S76" s="181"/>
      <c r="T76" s="181"/>
      <c r="U76" s="181"/>
      <c r="V76" s="181"/>
      <c r="W76" s="181"/>
      <c r="X76" s="181"/>
      <c r="Y76" s="181"/>
      <c r="Z76" s="181"/>
    </row>
    <row r="77">
      <c r="A77" s="181"/>
      <c r="B77" s="181"/>
      <c r="C77" s="181"/>
      <c r="D77" s="181"/>
      <c r="E77" s="181"/>
      <c r="F77" s="181"/>
      <c r="G77" s="181"/>
      <c r="H77" s="181"/>
      <c r="I77" s="181"/>
      <c r="J77" s="181"/>
      <c r="K77" s="181"/>
      <c r="L77" s="181"/>
      <c r="M77" s="181"/>
      <c r="N77" s="181"/>
      <c r="O77" s="181"/>
      <c r="P77" s="181"/>
      <c r="Q77" s="181"/>
      <c r="R77" s="181"/>
      <c r="S77" s="181"/>
      <c r="T77" s="181"/>
      <c r="U77" s="181"/>
      <c r="V77" s="181"/>
      <c r="W77" s="181"/>
      <c r="X77" s="181"/>
      <c r="Y77" s="181"/>
      <c r="Z77" s="181"/>
    </row>
    <row r="78">
      <c r="A78" s="181"/>
      <c r="B78" s="181"/>
      <c r="C78" s="181"/>
      <c r="D78" s="181"/>
      <c r="E78" s="181"/>
      <c r="F78" s="181"/>
      <c r="G78" s="181"/>
      <c r="H78" s="181"/>
      <c r="I78" s="181"/>
      <c r="J78" s="181"/>
      <c r="K78" s="181"/>
      <c r="L78" s="181"/>
      <c r="M78" s="181"/>
      <c r="N78" s="181"/>
      <c r="O78" s="181"/>
      <c r="P78" s="181"/>
      <c r="Q78" s="181"/>
      <c r="R78" s="181"/>
      <c r="S78" s="181"/>
      <c r="T78" s="181"/>
      <c r="U78" s="181"/>
      <c r="V78" s="181"/>
      <c r="W78" s="181"/>
      <c r="X78" s="181"/>
      <c r="Y78" s="181"/>
      <c r="Z78" s="181"/>
    </row>
    <row r="79">
      <c r="A79" s="181"/>
      <c r="B79" s="181"/>
      <c r="C79" s="181"/>
      <c r="D79" s="181"/>
      <c r="E79" s="181"/>
      <c r="F79" s="181"/>
      <c r="G79" s="181"/>
      <c r="H79" s="181"/>
      <c r="I79" s="181"/>
      <c r="J79" s="181"/>
      <c r="K79" s="181"/>
      <c r="L79" s="181"/>
      <c r="M79" s="181"/>
      <c r="N79" s="181"/>
      <c r="O79" s="181"/>
      <c r="P79" s="181"/>
      <c r="Q79" s="181"/>
      <c r="R79" s="181"/>
      <c r="S79" s="181"/>
      <c r="T79" s="181"/>
      <c r="U79" s="181"/>
      <c r="V79" s="181"/>
      <c r="W79" s="181"/>
      <c r="X79" s="181"/>
      <c r="Y79" s="181"/>
      <c r="Z79" s="181"/>
    </row>
    <row r="80">
      <c r="A80" s="181"/>
      <c r="B80" s="181"/>
      <c r="C80" s="181"/>
      <c r="D80" s="181"/>
      <c r="E80" s="181"/>
      <c r="F80" s="181"/>
      <c r="G80" s="181"/>
      <c r="H80" s="181"/>
      <c r="I80" s="181"/>
      <c r="J80" s="181"/>
      <c r="K80" s="181"/>
      <c r="L80" s="181"/>
      <c r="M80" s="181"/>
      <c r="N80" s="181"/>
      <c r="O80" s="181"/>
      <c r="P80" s="181"/>
      <c r="Q80" s="181"/>
      <c r="R80" s="181"/>
      <c r="S80" s="181"/>
      <c r="T80" s="181"/>
      <c r="U80" s="181"/>
      <c r="V80" s="181"/>
      <c r="W80" s="181"/>
      <c r="X80" s="181"/>
      <c r="Y80" s="181"/>
      <c r="Z80" s="181"/>
    </row>
    <row r="81">
      <c r="A81" s="181"/>
      <c r="B81" s="181"/>
      <c r="C81" s="181"/>
      <c r="D81" s="181"/>
      <c r="E81" s="181"/>
      <c r="F81" s="181"/>
      <c r="G81" s="181"/>
      <c r="H81" s="181"/>
      <c r="I81" s="181"/>
      <c r="J81" s="181"/>
      <c r="K81" s="181"/>
      <c r="L81" s="181"/>
      <c r="M81" s="181"/>
      <c r="N81" s="181"/>
      <c r="O81" s="181"/>
      <c r="P81" s="181"/>
      <c r="Q81" s="181"/>
      <c r="R81" s="181"/>
      <c r="S81" s="181"/>
      <c r="T81" s="181"/>
      <c r="U81" s="181"/>
      <c r="V81" s="181"/>
      <c r="W81" s="181"/>
      <c r="X81" s="181"/>
      <c r="Y81" s="181"/>
      <c r="Z81" s="181"/>
    </row>
    <row r="82">
      <c r="A82" s="181"/>
      <c r="B82" s="181"/>
      <c r="C82" s="181"/>
      <c r="D82" s="181"/>
      <c r="E82" s="181"/>
      <c r="F82" s="181"/>
      <c r="G82" s="181"/>
      <c r="H82" s="181"/>
      <c r="I82" s="181"/>
      <c r="J82" s="181"/>
      <c r="K82" s="181"/>
      <c r="L82" s="181"/>
      <c r="M82" s="181"/>
      <c r="N82" s="181"/>
      <c r="O82" s="181"/>
      <c r="P82" s="181"/>
      <c r="Q82" s="181"/>
      <c r="R82" s="181"/>
      <c r="S82" s="181"/>
      <c r="T82" s="181"/>
      <c r="U82" s="181"/>
      <c r="V82" s="181"/>
      <c r="W82" s="181"/>
      <c r="X82" s="181"/>
      <c r="Y82" s="181"/>
      <c r="Z82" s="181"/>
    </row>
    <row r="83">
      <c r="A83" s="181"/>
      <c r="B83" s="181"/>
      <c r="C83" s="181"/>
      <c r="D83" s="181"/>
      <c r="E83" s="181"/>
      <c r="F83" s="181"/>
      <c r="G83" s="181"/>
      <c r="H83" s="181"/>
      <c r="I83" s="181"/>
      <c r="J83" s="181"/>
      <c r="K83" s="181"/>
      <c r="L83" s="181"/>
      <c r="M83" s="181"/>
      <c r="N83" s="181"/>
      <c r="O83" s="181"/>
      <c r="P83" s="181"/>
      <c r="Q83" s="181"/>
      <c r="R83" s="181"/>
      <c r="S83" s="181"/>
      <c r="T83" s="181"/>
      <c r="U83" s="181"/>
      <c r="V83" s="181"/>
      <c r="W83" s="181"/>
      <c r="X83" s="181"/>
      <c r="Y83" s="181"/>
      <c r="Z83" s="181"/>
    </row>
    <row r="84">
      <c r="A84" s="181"/>
      <c r="B84" s="181"/>
      <c r="C84" s="181"/>
      <c r="D84" s="181"/>
      <c r="E84" s="181"/>
      <c r="F84" s="181"/>
      <c r="G84" s="181"/>
      <c r="H84" s="181"/>
      <c r="I84" s="181"/>
      <c r="J84" s="181"/>
      <c r="K84" s="181"/>
      <c r="L84" s="181"/>
      <c r="M84" s="181"/>
      <c r="N84" s="181"/>
      <c r="O84" s="181"/>
      <c r="P84" s="181"/>
      <c r="Q84" s="181"/>
      <c r="R84" s="181"/>
      <c r="S84" s="181"/>
      <c r="T84" s="181"/>
      <c r="U84" s="181"/>
      <c r="V84" s="181"/>
      <c r="W84" s="181"/>
      <c r="X84" s="181"/>
      <c r="Y84" s="181"/>
      <c r="Z84" s="181"/>
    </row>
    <row r="85">
      <c r="A85" s="181"/>
      <c r="B85" s="181"/>
      <c r="C85" s="181"/>
      <c r="D85" s="181"/>
      <c r="E85" s="181"/>
      <c r="F85" s="181"/>
      <c r="G85" s="181"/>
      <c r="H85" s="181"/>
      <c r="I85" s="181"/>
      <c r="J85" s="181"/>
      <c r="K85" s="181"/>
      <c r="L85" s="181"/>
      <c r="M85" s="181"/>
      <c r="N85" s="181"/>
      <c r="O85" s="181"/>
      <c r="P85" s="181"/>
      <c r="Q85" s="181"/>
      <c r="R85" s="181"/>
      <c r="S85" s="181"/>
      <c r="T85" s="181"/>
      <c r="U85" s="181"/>
      <c r="V85" s="181"/>
      <c r="W85" s="181"/>
      <c r="X85" s="181"/>
      <c r="Y85" s="181"/>
      <c r="Z85" s="181"/>
    </row>
    <row r="86">
      <c r="A86" s="181"/>
      <c r="B86" s="181"/>
      <c r="C86" s="181"/>
      <c r="D86" s="181"/>
      <c r="E86" s="181"/>
      <c r="F86" s="181"/>
      <c r="G86" s="181"/>
      <c r="H86" s="181"/>
      <c r="I86" s="181"/>
      <c r="J86" s="181"/>
      <c r="K86" s="181"/>
      <c r="L86" s="181"/>
      <c r="M86" s="181"/>
      <c r="N86" s="181"/>
      <c r="O86" s="181"/>
      <c r="P86" s="181"/>
      <c r="Q86" s="181"/>
      <c r="R86" s="181"/>
      <c r="S86" s="181"/>
      <c r="T86" s="181"/>
      <c r="U86" s="181"/>
      <c r="V86" s="181"/>
      <c r="W86" s="181"/>
      <c r="X86" s="181"/>
      <c r="Y86" s="181"/>
      <c r="Z86" s="181"/>
    </row>
    <row r="87">
      <c r="A87" s="181"/>
      <c r="B87" s="181"/>
      <c r="C87" s="181"/>
      <c r="D87" s="181"/>
      <c r="E87" s="181"/>
      <c r="F87" s="181"/>
      <c r="G87" s="181"/>
      <c r="H87" s="181"/>
      <c r="I87" s="181"/>
      <c r="J87" s="181"/>
      <c r="K87" s="181"/>
      <c r="L87" s="181"/>
      <c r="M87" s="181"/>
      <c r="N87" s="181"/>
      <c r="O87" s="181"/>
      <c r="P87" s="181"/>
      <c r="Q87" s="181"/>
      <c r="R87" s="181"/>
      <c r="S87" s="181"/>
      <c r="T87" s="181"/>
      <c r="U87" s="181"/>
      <c r="V87" s="181"/>
      <c r="W87" s="181"/>
      <c r="X87" s="181"/>
      <c r="Y87" s="181"/>
      <c r="Z87" s="181"/>
    </row>
    <row r="88">
      <c r="A88" s="181"/>
      <c r="B88" s="181"/>
      <c r="C88" s="181"/>
      <c r="D88" s="181"/>
      <c r="E88" s="181"/>
      <c r="F88" s="181"/>
      <c r="G88" s="181"/>
      <c r="H88" s="181"/>
      <c r="I88" s="181"/>
      <c r="J88" s="181"/>
      <c r="K88" s="181"/>
      <c r="L88" s="181"/>
      <c r="M88" s="181"/>
      <c r="N88" s="181"/>
      <c r="O88" s="181"/>
      <c r="P88" s="181"/>
      <c r="Q88" s="181"/>
      <c r="R88" s="181"/>
      <c r="S88" s="181"/>
      <c r="T88" s="181"/>
      <c r="U88" s="181"/>
      <c r="V88" s="181"/>
      <c r="W88" s="181"/>
      <c r="X88" s="181"/>
      <c r="Y88" s="181"/>
      <c r="Z88" s="181"/>
    </row>
    <row r="89">
      <c r="A89" s="181"/>
      <c r="B89" s="181"/>
      <c r="C89" s="181"/>
      <c r="D89" s="181"/>
      <c r="E89" s="181"/>
      <c r="F89" s="181"/>
      <c r="G89" s="181"/>
      <c r="H89" s="181"/>
      <c r="I89" s="181"/>
      <c r="J89" s="181"/>
      <c r="K89" s="181"/>
      <c r="L89" s="181"/>
      <c r="M89" s="181"/>
      <c r="N89" s="181"/>
      <c r="O89" s="181"/>
      <c r="P89" s="181"/>
      <c r="Q89" s="181"/>
      <c r="R89" s="181"/>
      <c r="S89" s="181"/>
      <c r="T89" s="181"/>
      <c r="U89" s="181"/>
      <c r="V89" s="181"/>
      <c r="W89" s="181"/>
      <c r="X89" s="181"/>
      <c r="Y89" s="181"/>
      <c r="Z89" s="181"/>
    </row>
    <row r="90">
      <c r="A90" s="181"/>
      <c r="B90" s="181"/>
      <c r="C90" s="181"/>
      <c r="D90" s="181"/>
      <c r="E90" s="181"/>
      <c r="F90" s="181"/>
      <c r="G90" s="181"/>
      <c r="H90" s="181"/>
      <c r="I90" s="181"/>
      <c r="J90" s="181"/>
      <c r="K90" s="181"/>
      <c r="L90" s="181"/>
      <c r="M90" s="181"/>
      <c r="N90" s="181"/>
      <c r="O90" s="181"/>
      <c r="P90" s="181"/>
      <c r="Q90" s="181"/>
      <c r="R90" s="181"/>
      <c r="S90" s="181"/>
      <c r="T90" s="181"/>
      <c r="U90" s="181"/>
      <c r="V90" s="181"/>
      <c r="W90" s="181"/>
      <c r="X90" s="181"/>
      <c r="Y90" s="181"/>
      <c r="Z90" s="181"/>
    </row>
    <row r="91">
      <c r="A91" s="181"/>
      <c r="B91" s="181"/>
      <c r="C91" s="181"/>
      <c r="D91" s="181"/>
      <c r="E91" s="181"/>
      <c r="F91" s="181"/>
      <c r="G91" s="181"/>
      <c r="H91" s="181"/>
      <c r="I91" s="181"/>
      <c r="J91" s="181"/>
      <c r="K91" s="181"/>
      <c r="L91" s="181"/>
      <c r="M91" s="181"/>
      <c r="N91" s="181"/>
      <c r="O91" s="181"/>
      <c r="P91" s="181"/>
      <c r="Q91" s="181"/>
      <c r="R91" s="181"/>
      <c r="S91" s="181"/>
      <c r="T91" s="181"/>
      <c r="U91" s="181"/>
      <c r="V91" s="181"/>
      <c r="W91" s="181"/>
      <c r="X91" s="181"/>
      <c r="Y91" s="181"/>
      <c r="Z91" s="181"/>
    </row>
    <row r="92">
      <c r="A92" s="181"/>
      <c r="B92" s="181"/>
      <c r="C92" s="181"/>
      <c r="D92" s="181"/>
      <c r="E92" s="181"/>
      <c r="F92" s="181"/>
      <c r="G92" s="181"/>
      <c r="H92" s="181"/>
      <c r="I92" s="181"/>
      <c r="J92" s="181"/>
      <c r="K92" s="181"/>
      <c r="L92" s="181"/>
      <c r="M92" s="181"/>
      <c r="N92" s="181"/>
      <c r="O92" s="181"/>
      <c r="P92" s="181"/>
      <c r="Q92" s="181"/>
      <c r="R92" s="181"/>
      <c r="S92" s="181"/>
      <c r="T92" s="181"/>
      <c r="U92" s="181"/>
      <c r="V92" s="181"/>
      <c r="W92" s="181"/>
      <c r="X92" s="181"/>
      <c r="Y92" s="181"/>
      <c r="Z92" s="181"/>
    </row>
    <row r="93">
      <c r="A93" s="181"/>
      <c r="B93" s="181"/>
      <c r="C93" s="181"/>
      <c r="D93" s="181"/>
      <c r="E93" s="181"/>
      <c r="F93" s="181"/>
      <c r="G93" s="181"/>
      <c r="H93" s="181"/>
      <c r="I93" s="181"/>
      <c r="J93" s="181"/>
      <c r="K93" s="181"/>
      <c r="L93" s="181"/>
      <c r="M93" s="181"/>
      <c r="N93" s="181"/>
      <c r="O93" s="181"/>
      <c r="P93" s="181"/>
      <c r="Q93" s="181"/>
      <c r="R93" s="181"/>
      <c r="S93" s="181"/>
      <c r="T93" s="181"/>
      <c r="U93" s="181"/>
      <c r="V93" s="181"/>
      <c r="W93" s="181"/>
      <c r="X93" s="181"/>
      <c r="Y93" s="181"/>
      <c r="Z93" s="181"/>
    </row>
    <row r="94">
      <c r="A94" s="181"/>
      <c r="B94" s="181"/>
      <c r="C94" s="181"/>
      <c r="D94" s="181"/>
      <c r="E94" s="181"/>
      <c r="F94" s="181"/>
      <c r="G94" s="181"/>
      <c r="H94" s="181"/>
      <c r="I94" s="181"/>
      <c r="J94" s="181"/>
      <c r="K94" s="181"/>
      <c r="L94" s="181"/>
      <c r="M94" s="181"/>
      <c r="N94" s="181"/>
      <c r="O94" s="181"/>
      <c r="P94" s="181"/>
      <c r="Q94" s="181"/>
      <c r="R94" s="181"/>
      <c r="S94" s="181"/>
      <c r="T94" s="181"/>
      <c r="U94" s="181"/>
      <c r="V94" s="181"/>
      <c r="W94" s="181"/>
      <c r="X94" s="181"/>
      <c r="Y94" s="181"/>
      <c r="Z94" s="181"/>
    </row>
    <row r="95">
      <c r="A95" s="181"/>
      <c r="B95" s="181"/>
      <c r="C95" s="181"/>
      <c r="D95" s="181"/>
      <c r="E95" s="181"/>
      <c r="F95" s="181"/>
      <c r="G95" s="181"/>
      <c r="H95" s="181"/>
      <c r="I95" s="181"/>
      <c r="J95" s="181"/>
      <c r="K95" s="181"/>
      <c r="L95" s="181"/>
      <c r="M95" s="181"/>
      <c r="N95" s="181"/>
      <c r="O95" s="181"/>
      <c r="P95" s="181"/>
      <c r="Q95" s="181"/>
      <c r="R95" s="181"/>
      <c r="S95" s="181"/>
      <c r="T95" s="181"/>
      <c r="U95" s="181"/>
      <c r="V95" s="181"/>
      <c r="W95" s="181"/>
      <c r="X95" s="181"/>
      <c r="Y95" s="181"/>
      <c r="Z95" s="181"/>
    </row>
    <row r="96">
      <c r="A96" s="181"/>
      <c r="B96" s="181"/>
      <c r="C96" s="181"/>
      <c r="D96" s="181"/>
      <c r="E96" s="181"/>
      <c r="F96" s="181"/>
      <c r="G96" s="181"/>
      <c r="H96" s="181"/>
      <c r="I96" s="181"/>
      <c r="J96" s="181"/>
      <c r="K96" s="181"/>
      <c r="L96" s="181"/>
      <c r="M96" s="181"/>
      <c r="N96" s="181"/>
      <c r="O96" s="181"/>
      <c r="P96" s="181"/>
      <c r="Q96" s="181"/>
      <c r="R96" s="181"/>
      <c r="S96" s="181"/>
      <c r="T96" s="181"/>
      <c r="U96" s="181"/>
      <c r="V96" s="181"/>
      <c r="W96" s="181"/>
      <c r="X96" s="181"/>
      <c r="Y96" s="181"/>
      <c r="Z96" s="181"/>
    </row>
    <row r="97">
      <c r="A97" s="181"/>
      <c r="B97" s="181"/>
      <c r="C97" s="181"/>
      <c r="D97" s="181"/>
      <c r="E97" s="181"/>
      <c r="F97" s="181"/>
      <c r="G97" s="181"/>
      <c r="H97" s="181"/>
      <c r="I97" s="181"/>
      <c r="J97" s="181"/>
      <c r="K97" s="181"/>
      <c r="L97" s="181"/>
      <c r="M97" s="181"/>
      <c r="N97" s="181"/>
      <c r="O97" s="181"/>
      <c r="P97" s="181"/>
      <c r="Q97" s="181"/>
      <c r="R97" s="181"/>
      <c r="S97" s="181"/>
      <c r="T97" s="181"/>
      <c r="U97" s="181"/>
      <c r="V97" s="181"/>
      <c r="W97" s="181"/>
      <c r="X97" s="181"/>
      <c r="Y97" s="181"/>
      <c r="Z97" s="181"/>
    </row>
    <row r="98">
      <c r="A98" s="181"/>
      <c r="B98" s="181"/>
      <c r="C98" s="181"/>
      <c r="D98" s="181"/>
      <c r="E98" s="181"/>
      <c r="F98" s="181"/>
      <c r="G98" s="181"/>
      <c r="H98" s="181"/>
      <c r="I98" s="181"/>
      <c r="J98" s="181"/>
      <c r="K98" s="181"/>
      <c r="L98" s="181"/>
      <c r="M98" s="181"/>
      <c r="N98" s="181"/>
      <c r="O98" s="181"/>
      <c r="P98" s="181"/>
      <c r="Q98" s="181"/>
      <c r="R98" s="181"/>
      <c r="S98" s="181"/>
      <c r="T98" s="181"/>
      <c r="U98" s="181"/>
      <c r="V98" s="181"/>
      <c r="W98" s="181"/>
      <c r="X98" s="181"/>
      <c r="Y98" s="181"/>
      <c r="Z98" s="181"/>
    </row>
    <row r="99">
      <c r="A99" s="181"/>
      <c r="B99" s="181"/>
      <c r="C99" s="181"/>
      <c r="D99" s="181"/>
      <c r="E99" s="181"/>
      <c r="F99" s="181"/>
      <c r="G99" s="181"/>
      <c r="H99" s="181"/>
      <c r="I99" s="181"/>
      <c r="J99" s="181"/>
      <c r="K99" s="181"/>
      <c r="L99" s="181"/>
      <c r="M99" s="181"/>
      <c r="N99" s="181"/>
      <c r="O99" s="181"/>
      <c r="P99" s="181"/>
      <c r="Q99" s="181"/>
      <c r="R99" s="181"/>
      <c r="S99" s="181"/>
      <c r="T99" s="181"/>
      <c r="U99" s="181"/>
      <c r="V99" s="181"/>
      <c r="W99" s="181"/>
      <c r="X99" s="181"/>
      <c r="Y99" s="181"/>
      <c r="Z99" s="181"/>
    </row>
    <row r="100">
      <c r="A100" s="181"/>
      <c r="B100" s="181"/>
      <c r="C100" s="181"/>
      <c r="D100" s="181"/>
      <c r="E100" s="181"/>
      <c r="F100" s="181"/>
      <c r="G100" s="181"/>
      <c r="H100" s="181"/>
      <c r="I100" s="181"/>
      <c r="J100" s="181"/>
      <c r="K100" s="181"/>
      <c r="L100" s="181"/>
      <c r="M100" s="181"/>
      <c r="N100" s="181"/>
      <c r="O100" s="181"/>
      <c r="P100" s="181"/>
      <c r="Q100" s="181"/>
      <c r="R100" s="181"/>
      <c r="S100" s="181"/>
      <c r="T100" s="181"/>
      <c r="U100" s="181"/>
      <c r="V100" s="181"/>
      <c r="W100" s="181"/>
      <c r="X100" s="181"/>
      <c r="Y100" s="181"/>
      <c r="Z100" s="181"/>
    </row>
    <row r="101">
      <c r="A101" s="181"/>
      <c r="B101" s="181"/>
      <c r="C101" s="181"/>
      <c r="D101" s="181"/>
      <c r="E101" s="181"/>
      <c r="F101" s="181"/>
      <c r="G101" s="181"/>
      <c r="H101" s="181"/>
      <c r="I101" s="181"/>
      <c r="J101" s="181"/>
      <c r="K101" s="181"/>
      <c r="L101" s="181"/>
      <c r="M101" s="181"/>
      <c r="N101" s="181"/>
      <c r="O101" s="181"/>
      <c r="P101" s="181"/>
      <c r="Q101" s="181"/>
      <c r="R101" s="181"/>
      <c r="S101" s="181"/>
      <c r="T101" s="181"/>
      <c r="U101" s="181"/>
      <c r="V101" s="181"/>
      <c r="W101" s="181"/>
      <c r="X101" s="181"/>
      <c r="Y101" s="181"/>
      <c r="Z101" s="181"/>
    </row>
    <row r="102">
      <c r="A102" s="181"/>
      <c r="B102" s="181"/>
      <c r="C102" s="181"/>
      <c r="D102" s="181"/>
      <c r="E102" s="181"/>
      <c r="F102" s="181"/>
      <c r="G102" s="181"/>
      <c r="H102" s="181"/>
      <c r="I102" s="181"/>
      <c r="J102" s="181"/>
      <c r="K102" s="181"/>
      <c r="L102" s="181"/>
      <c r="M102" s="181"/>
      <c r="N102" s="181"/>
      <c r="O102" s="181"/>
      <c r="P102" s="181"/>
      <c r="Q102" s="181"/>
      <c r="R102" s="181"/>
      <c r="S102" s="181"/>
      <c r="T102" s="181"/>
      <c r="U102" s="181"/>
      <c r="V102" s="181"/>
      <c r="W102" s="181"/>
      <c r="X102" s="181"/>
      <c r="Y102" s="181"/>
      <c r="Z102" s="181"/>
    </row>
    <row r="103">
      <c r="A103" s="181"/>
      <c r="B103" s="181"/>
      <c r="C103" s="181"/>
      <c r="D103" s="181"/>
      <c r="E103" s="181"/>
      <c r="F103" s="181"/>
      <c r="G103" s="181"/>
      <c r="H103" s="181"/>
      <c r="I103" s="181"/>
      <c r="J103" s="181"/>
      <c r="K103" s="181"/>
      <c r="L103" s="181"/>
      <c r="M103" s="181"/>
      <c r="N103" s="181"/>
      <c r="O103" s="181"/>
      <c r="P103" s="181"/>
      <c r="Q103" s="181"/>
      <c r="R103" s="181"/>
      <c r="S103" s="181"/>
      <c r="T103" s="181"/>
      <c r="U103" s="181"/>
      <c r="V103" s="181"/>
      <c r="W103" s="181"/>
      <c r="X103" s="181"/>
      <c r="Y103" s="181"/>
      <c r="Z103" s="181"/>
    </row>
    <row r="104">
      <c r="A104" s="181"/>
      <c r="B104" s="181"/>
      <c r="C104" s="181"/>
      <c r="D104" s="181"/>
      <c r="E104" s="181"/>
      <c r="F104" s="181"/>
      <c r="G104" s="181"/>
      <c r="H104" s="181"/>
      <c r="I104" s="181"/>
      <c r="J104" s="181"/>
      <c r="K104" s="181"/>
      <c r="L104" s="181"/>
      <c r="M104" s="181"/>
      <c r="N104" s="181"/>
      <c r="O104" s="181"/>
      <c r="P104" s="181"/>
      <c r="Q104" s="181"/>
      <c r="R104" s="181"/>
      <c r="S104" s="181"/>
      <c r="T104" s="181"/>
      <c r="U104" s="181"/>
      <c r="V104" s="181"/>
      <c r="W104" s="181"/>
      <c r="X104" s="181"/>
      <c r="Y104" s="181"/>
      <c r="Z104" s="181"/>
    </row>
    <row r="105">
      <c r="A105" s="181"/>
      <c r="B105" s="181"/>
      <c r="C105" s="181"/>
      <c r="D105" s="181"/>
      <c r="E105" s="181"/>
      <c r="F105" s="181"/>
      <c r="G105" s="181"/>
      <c r="H105" s="181"/>
      <c r="I105" s="181"/>
      <c r="J105" s="181"/>
      <c r="K105" s="181"/>
      <c r="L105" s="181"/>
      <c r="M105" s="181"/>
      <c r="N105" s="181"/>
      <c r="O105" s="181"/>
      <c r="P105" s="181"/>
      <c r="Q105" s="181"/>
      <c r="R105" s="181"/>
      <c r="S105" s="181"/>
      <c r="T105" s="181"/>
      <c r="U105" s="181"/>
      <c r="V105" s="181"/>
      <c r="W105" s="181"/>
      <c r="X105" s="181"/>
      <c r="Y105" s="181"/>
      <c r="Z105" s="181"/>
    </row>
    <row r="106">
      <c r="A106" s="181"/>
      <c r="B106" s="181"/>
      <c r="C106" s="181"/>
      <c r="D106" s="181"/>
      <c r="E106" s="181"/>
      <c r="F106" s="181"/>
      <c r="G106" s="181"/>
      <c r="H106" s="181"/>
      <c r="I106" s="181"/>
      <c r="J106" s="181"/>
      <c r="K106" s="181"/>
      <c r="L106" s="181"/>
      <c r="M106" s="181"/>
      <c r="N106" s="181"/>
      <c r="O106" s="181"/>
      <c r="P106" s="181"/>
      <c r="Q106" s="181"/>
      <c r="R106" s="181"/>
      <c r="S106" s="181"/>
      <c r="T106" s="181"/>
      <c r="U106" s="181"/>
      <c r="V106" s="181"/>
      <c r="W106" s="181"/>
      <c r="X106" s="181"/>
      <c r="Y106" s="181"/>
      <c r="Z106" s="181"/>
    </row>
    <row r="107">
      <c r="A107" s="181"/>
      <c r="B107" s="181"/>
      <c r="C107" s="181"/>
      <c r="D107" s="181"/>
      <c r="E107" s="181"/>
      <c r="F107" s="181"/>
      <c r="G107" s="181"/>
      <c r="H107" s="181"/>
      <c r="I107" s="181"/>
      <c r="J107" s="181"/>
      <c r="K107" s="181"/>
      <c r="L107" s="181"/>
      <c r="M107" s="181"/>
      <c r="N107" s="181"/>
      <c r="O107" s="181"/>
      <c r="P107" s="181"/>
      <c r="Q107" s="181"/>
      <c r="R107" s="181"/>
      <c r="S107" s="181"/>
      <c r="T107" s="181"/>
      <c r="U107" s="181"/>
      <c r="V107" s="181"/>
      <c r="W107" s="181"/>
      <c r="X107" s="181"/>
      <c r="Y107" s="181"/>
      <c r="Z107" s="181"/>
    </row>
    <row r="108">
      <c r="A108" s="181"/>
      <c r="B108" s="181"/>
      <c r="C108" s="181"/>
      <c r="D108" s="181"/>
      <c r="E108" s="181"/>
      <c r="F108" s="181"/>
      <c r="G108" s="181"/>
      <c r="H108" s="181"/>
      <c r="I108" s="181"/>
      <c r="J108" s="181"/>
      <c r="K108" s="181"/>
      <c r="L108" s="181"/>
      <c r="M108" s="181"/>
      <c r="N108" s="181"/>
      <c r="O108" s="181"/>
      <c r="P108" s="181"/>
      <c r="Q108" s="181"/>
      <c r="R108" s="181"/>
      <c r="S108" s="181"/>
      <c r="T108" s="181"/>
      <c r="U108" s="181"/>
      <c r="V108" s="181"/>
      <c r="W108" s="181"/>
      <c r="X108" s="181"/>
      <c r="Y108" s="181"/>
      <c r="Z108" s="181"/>
    </row>
    <row r="109">
      <c r="A109" s="181"/>
      <c r="B109" s="181"/>
      <c r="C109" s="181"/>
      <c r="D109" s="181"/>
      <c r="E109" s="181"/>
      <c r="F109" s="181"/>
      <c r="G109" s="181"/>
      <c r="H109" s="181"/>
      <c r="I109" s="181"/>
      <c r="J109" s="181"/>
      <c r="K109" s="181"/>
      <c r="L109" s="181"/>
      <c r="M109" s="181"/>
      <c r="N109" s="181"/>
      <c r="O109" s="181"/>
      <c r="P109" s="181"/>
      <c r="Q109" s="181"/>
      <c r="R109" s="181"/>
      <c r="S109" s="181"/>
      <c r="T109" s="181"/>
      <c r="U109" s="181"/>
      <c r="V109" s="181"/>
      <c r="W109" s="181"/>
      <c r="X109" s="181"/>
      <c r="Y109" s="181"/>
      <c r="Z109" s="181"/>
    </row>
    <row r="110">
      <c r="A110" s="181"/>
      <c r="B110" s="181"/>
      <c r="C110" s="181"/>
      <c r="D110" s="181"/>
      <c r="E110" s="181"/>
      <c r="F110" s="181"/>
      <c r="G110" s="181"/>
      <c r="H110" s="181"/>
      <c r="I110" s="181"/>
      <c r="J110" s="181"/>
      <c r="K110" s="181"/>
      <c r="L110" s="181"/>
      <c r="M110" s="181"/>
      <c r="N110" s="181"/>
      <c r="O110" s="181"/>
      <c r="P110" s="181"/>
      <c r="Q110" s="181"/>
      <c r="R110" s="181"/>
      <c r="S110" s="181"/>
      <c r="T110" s="181"/>
      <c r="U110" s="181"/>
      <c r="V110" s="181"/>
      <c r="W110" s="181"/>
      <c r="X110" s="181"/>
      <c r="Y110" s="181"/>
      <c r="Z110" s="181"/>
    </row>
    <row r="111">
      <c r="A111" s="181"/>
      <c r="B111" s="181"/>
      <c r="C111" s="181"/>
      <c r="D111" s="181"/>
      <c r="E111" s="181"/>
      <c r="F111" s="181"/>
      <c r="G111" s="181"/>
      <c r="H111" s="181"/>
      <c r="I111" s="181"/>
      <c r="J111" s="181"/>
      <c r="K111" s="181"/>
      <c r="L111" s="181"/>
      <c r="M111" s="181"/>
      <c r="N111" s="181"/>
      <c r="O111" s="181"/>
      <c r="P111" s="181"/>
      <c r="Q111" s="181"/>
      <c r="R111" s="181"/>
      <c r="S111" s="181"/>
      <c r="T111" s="181"/>
      <c r="U111" s="181"/>
      <c r="V111" s="181"/>
      <c r="W111" s="181"/>
      <c r="X111" s="181"/>
      <c r="Y111" s="181"/>
      <c r="Z111" s="181"/>
    </row>
    <row r="112">
      <c r="A112" s="181"/>
      <c r="B112" s="181"/>
      <c r="C112" s="181"/>
      <c r="D112" s="181"/>
      <c r="E112" s="181"/>
      <c r="F112" s="181"/>
      <c r="G112" s="181"/>
      <c r="H112" s="181"/>
      <c r="I112" s="181"/>
      <c r="J112" s="181"/>
      <c r="K112" s="181"/>
      <c r="L112" s="181"/>
      <c r="M112" s="181"/>
      <c r="N112" s="181"/>
      <c r="O112" s="181"/>
      <c r="P112" s="181"/>
      <c r="Q112" s="181"/>
      <c r="R112" s="181"/>
      <c r="S112" s="181"/>
      <c r="T112" s="181"/>
      <c r="U112" s="181"/>
      <c r="V112" s="181"/>
      <c r="W112" s="181"/>
      <c r="X112" s="181"/>
      <c r="Y112" s="181"/>
      <c r="Z112" s="181"/>
    </row>
    <row r="113">
      <c r="A113" s="181"/>
      <c r="B113" s="181"/>
      <c r="C113" s="181"/>
      <c r="D113" s="181"/>
      <c r="E113" s="181"/>
      <c r="F113" s="181"/>
      <c r="G113" s="181"/>
      <c r="H113" s="181"/>
      <c r="I113" s="181"/>
      <c r="J113" s="181"/>
      <c r="K113" s="181"/>
      <c r="L113" s="181"/>
      <c r="M113" s="181"/>
      <c r="N113" s="181"/>
      <c r="O113" s="181"/>
      <c r="P113" s="181"/>
      <c r="Q113" s="181"/>
      <c r="R113" s="181"/>
      <c r="S113" s="181"/>
      <c r="T113" s="181"/>
      <c r="U113" s="181"/>
      <c r="V113" s="181"/>
      <c r="W113" s="181"/>
      <c r="X113" s="181"/>
      <c r="Y113" s="181"/>
      <c r="Z113" s="181"/>
    </row>
    <row r="114">
      <c r="A114" s="181"/>
      <c r="B114" s="181"/>
      <c r="C114" s="181"/>
      <c r="D114" s="181"/>
      <c r="E114" s="181"/>
      <c r="F114" s="181"/>
      <c r="G114" s="181"/>
      <c r="H114" s="181"/>
      <c r="I114" s="181"/>
      <c r="J114" s="181"/>
      <c r="K114" s="181"/>
      <c r="L114" s="181"/>
      <c r="M114" s="181"/>
      <c r="N114" s="181"/>
      <c r="O114" s="181"/>
      <c r="P114" s="181"/>
      <c r="Q114" s="181"/>
      <c r="R114" s="181"/>
      <c r="S114" s="181"/>
      <c r="T114" s="181"/>
      <c r="U114" s="181"/>
      <c r="V114" s="181"/>
      <c r="W114" s="181"/>
      <c r="X114" s="181"/>
      <c r="Y114" s="181"/>
      <c r="Z114" s="181"/>
    </row>
    <row r="115">
      <c r="A115" s="181"/>
      <c r="B115" s="181"/>
      <c r="C115" s="181"/>
      <c r="D115" s="181"/>
      <c r="E115" s="181"/>
      <c r="F115" s="181"/>
      <c r="G115" s="181"/>
      <c r="H115" s="181"/>
      <c r="I115" s="181"/>
      <c r="J115" s="181"/>
      <c r="K115" s="181"/>
      <c r="L115" s="181"/>
      <c r="M115" s="181"/>
      <c r="N115" s="181"/>
      <c r="O115" s="181"/>
      <c r="P115" s="181"/>
      <c r="Q115" s="181"/>
      <c r="R115" s="181"/>
      <c r="S115" s="181"/>
      <c r="T115" s="181"/>
      <c r="U115" s="181"/>
      <c r="V115" s="181"/>
      <c r="W115" s="181"/>
      <c r="X115" s="181"/>
      <c r="Y115" s="181"/>
      <c r="Z115" s="181"/>
    </row>
    <row r="116">
      <c r="A116" s="181"/>
      <c r="B116" s="181"/>
      <c r="C116" s="181"/>
      <c r="D116" s="181"/>
      <c r="E116" s="181"/>
      <c r="F116" s="181"/>
      <c r="G116" s="181"/>
      <c r="H116" s="181"/>
      <c r="I116" s="181"/>
      <c r="J116" s="181"/>
      <c r="K116" s="181"/>
      <c r="L116" s="181"/>
      <c r="M116" s="181"/>
      <c r="N116" s="181"/>
      <c r="O116" s="181"/>
      <c r="P116" s="181"/>
      <c r="Q116" s="181"/>
      <c r="R116" s="181"/>
      <c r="S116" s="181"/>
      <c r="T116" s="181"/>
      <c r="U116" s="181"/>
      <c r="V116" s="181"/>
      <c r="W116" s="181"/>
      <c r="X116" s="181"/>
      <c r="Y116" s="181"/>
      <c r="Z116" s="181"/>
    </row>
    <row r="117">
      <c r="A117" s="181"/>
      <c r="B117" s="181"/>
      <c r="C117" s="181"/>
      <c r="D117" s="181"/>
      <c r="E117" s="181"/>
      <c r="F117" s="181"/>
      <c r="G117" s="181"/>
      <c r="H117" s="181"/>
      <c r="I117" s="181"/>
      <c r="J117" s="181"/>
      <c r="K117" s="181"/>
      <c r="L117" s="181"/>
      <c r="M117" s="181"/>
      <c r="N117" s="181"/>
      <c r="O117" s="181"/>
      <c r="P117" s="181"/>
      <c r="Q117" s="181"/>
      <c r="R117" s="181"/>
      <c r="S117" s="181"/>
      <c r="T117" s="181"/>
      <c r="U117" s="181"/>
      <c r="V117" s="181"/>
      <c r="W117" s="181"/>
      <c r="X117" s="181"/>
      <c r="Y117" s="181"/>
      <c r="Z117" s="181"/>
    </row>
    <row r="118">
      <c r="A118" s="181"/>
      <c r="B118" s="181"/>
      <c r="C118" s="181"/>
      <c r="D118" s="181"/>
      <c r="E118" s="181"/>
      <c r="F118" s="181"/>
      <c r="G118" s="181"/>
      <c r="H118" s="181"/>
      <c r="I118" s="181"/>
      <c r="J118" s="181"/>
      <c r="K118" s="181"/>
      <c r="L118" s="181"/>
      <c r="M118" s="181"/>
      <c r="N118" s="181"/>
      <c r="O118" s="181"/>
      <c r="P118" s="181"/>
      <c r="Q118" s="181"/>
      <c r="R118" s="181"/>
      <c r="S118" s="181"/>
      <c r="T118" s="181"/>
      <c r="U118" s="181"/>
      <c r="V118" s="181"/>
      <c r="W118" s="181"/>
      <c r="X118" s="181"/>
      <c r="Y118" s="181"/>
      <c r="Z118" s="181"/>
    </row>
    <row r="119">
      <c r="A119" s="181"/>
      <c r="B119" s="181"/>
      <c r="C119" s="181"/>
      <c r="D119" s="181"/>
      <c r="E119" s="181"/>
      <c r="F119" s="181"/>
      <c r="G119" s="181"/>
      <c r="H119" s="181"/>
      <c r="I119" s="181"/>
      <c r="J119" s="181"/>
      <c r="K119" s="181"/>
      <c r="L119" s="181"/>
      <c r="M119" s="181"/>
      <c r="N119" s="181"/>
      <c r="O119" s="181"/>
      <c r="P119" s="181"/>
      <c r="Q119" s="181"/>
      <c r="R119" s="181"/>
      <c r="S119" s="181"/>
      <c r="T119" s="181"/>
      <c r="U119" s="181"/>
      <c r="V119" s="181"/>
      <c r="W119" s="181"/>
      <c r="X119" s="181"/>
      <c r="Y119" s="181"/>
      <c r="Z119" s="181"/>
    </row>
    <row r="120">
      <c r="A120" s="181"/>
      <c r="B120" s="181"/>
      <c r="C120" s="181"/>
      <c r="D120" s="181"/>
      <c r="E120" s="181"/>
      <c r="F120" s="181"/>
      <c r="G120" s="181"/>
      <c r="H120" s="181"/>
      <c r="I120" s="181"/>
      <c r="J120" s="181"/>
      <c r="K120" s="181"/>
      <c r="L120" s="181"/>
      <c r="M120" s="181"/>
      <c r="N120" s="181"/>
      <c r="O120" s="181"/>
      <c r="P120" s="181"/>
      <c r="Q120" s="181"/>
      <c r="R120" s="181"/>
      <c r="S120" s="181"/>
      <c r="T120" s="181"/>
      <c r="U120" s="181"/>
      <c r="V120" s="181"/>
      <c r="W120" s="181"/>
      <c r="X120" s="181"/>
      <c r="Y120" s="181"/>
      <c r="Z120" s="181"/>
    </row>
    <row r="121">
      <c r="A121" s="181"/>
      <c r="B121" s="181"/>
      <c r="C121" s="181"/>
      <c r="D121" s="181"/>
      <c r="E121" s="181"/>
      <c r="F121" s="181"/>
      <c r="G121" s="181"/>
      <c r="H121" s="181"/>
      <c r="I121" s="181"/>
      <c r="J121" s="181"/>
      <c r="K121" s="181"/>
      <c r="L121" s="181"/>
      <c r="M121" s="181"/>
      <c r="N121" s="181"/>
      <c r="O121" s="181"/>
      <c r="P121" s="181"/>
      <c r="Q121" s="181"/>
      <c r="R121" s="181"/>
      <c r="S121" s="181"/>
      <c r="T121" s="181"/>
      <c r="U121" s="181"/>
      <c r="V121" s="181"/>
      <c r="W121" s="181"/>
      <c r="X121" s="181"/>
      <c r="Y121" s="181"/>
      <c r="Z121" s="181"/>
    </row>
    <row r="122">
      <c r="A122" s="181"/>
      <c r="B122" s="181"/>
      <c r="C122" s="181"/>
      <c r="D122" s="181"/>
      <c r="E122" s="181"/>
      <c r="F122" s="181"/>
      <c r="G122" s="181"/>
      <c r="H122" s="181"/>
      <c r="I122" s="181"/>
      <c r="J122" s="181"/>
      <c r="K122" s="181"/>
      <c r="L122" s="181"/>
      <c r="M122" s="181"/>
      <c r="N122" s="181"/>
      <c r="O122" s="181"/>
      <c r="P122" s="181"/>
      <c r="Q122" s="181"/>
      <c r="R122" s="181"/>
      <c r="S122" s="181"/>
      <c r="T122" s="181"/>
      <c r="U122" s="181"/>
      <c r="V122" s="181"/>
      <c r="W122" s="181"/>
      <c r="X122" s="181"/>
      <c r="Y122" s="181"/>
      <c r="Z122" s="181"/>
    </row>
    <row r="123">
      <c r="A123" s="181"/>
      <c r="B123" s="181"/>
      <c r="C123" s="181"/>
      <c r="D123" s="181"/>
      <c r="E123" s="181"/>
      <c r="F123" s="181"/>
      <c r="G123" s="181"/>
      <c r="H123" s="181"/>
      <c r="I123" s="181"/>
      <c r="J123" s="181"/>
      <c r="K123" s="181"/>
      <c r="L123" s="181"/>
      <c r="M123" s="181"/>
      <c r="N123" s="181"/>
      <c r="O123" s="181"/>
      <c r="P123" s="181"/>
      <c r="Q123" s="181"/>
      <c r="R123" s="181"/>
      <c r="S123" s="181"/>
      <c r="T123" s="181"/>
      <c r="U123" s="181"/>
      <c r="V123" s="181"/>
      <c r="W123" s="181"/>
      <c r="X123" s="181"/>
      <c r="Y123" s="181"/>
      <c r="Z123" s="181"/>
    </row>
    <row r="124">
      <c r="A124" s="181"/>
      <c r="B124" s="181"/>
      <c r="C124" s="181"/>
      <c r="D124" s="181"/>
      <c r="E124" s="181"/>
      <c r="F124" s="181"/>
      <c r="G124" s="181"/>
      <c r="H124" s="181"/>
      <c r="I124" s="181"/>
      <c r="J124" s="181"/>
      <c r="K124" s="181"/>
      <c r="L124" s="181"/>
      <c r="M124" s="181"/>
      <c r="N124" s="181"/>
      <c r="O124" s="181"/>
      <c r="P124" s="181"/>
      <c r="Q124" s="181"/>
      <c r="R124" s="181"/>
      <c r="S124" s="181"/>
      <c r="T124" s="181"/>
      <c r="U124" s="181"/>
      <c r="V124" s="181"/>
      <c r="W124" s="181"/>
      <c r="X124" s="181"/>
      <c r="Y124" s="181"/>
      <c r="Z124" s="181"/>
    </row>
    <row r="125">
      <c r="A125" s="181"/>
      <c r="B125" s="181"/>
      <c r="C125" s="181"/>
      <c r="D125" s="181"/>
      <c r="E125" s="181"/>
      <c r="F125" s="181"/>
      <c r="G125" s="181"/>
      <c r="H125" s="181"/>
      <c r="I125" s="181"/>
      <c r="J125" s="181"/>
      <c r="K125" s="181"/>
      <c r="L125" s="181"/>
      <c r="M125" s="181"/>
      <c r="N125" s="181"/>
      <c r="O125" s="181"/>
      <c r="P125" s="181"/>
      <c r="Q125" s="181"/>
      <c r="R125" s="181"/>
      <c r="S125" s="181"/>
      <c r="T125" s="181"/>
      <c r="U125" s="181"/>
      <c r="V125" s="181"/>
      <c r="W125" s="181"/>
      <c r="X125" s="181"/>
      <c r="Y125" s="181"/>
      <c r="Z125" s="181"/>
    </row>
    <row r="126">
      <c r="A126" s="181"/>
      <c r="B126" s="181"/>
      <c r="C126" s="181"/>
      <c r="D126" s="181"/>
      <c r="E126" s="181"/>
      <c r="F126" s="181"/>
      <c r="G126" s="181"/>
      <c r="H126" s="181"/>
      <c r="I126" s="181"/>
      <c r="J126" s="181"/>
      <c r="K126" s="181"/>
      <c r="L126" s="181"/>
      <c r="M126" s="181"/>
      <c r="N126" s="181"/>
      <c r="O126" s="181"/>
      <c r="P126" s="181"/>
      <c r="Q126" s="181"/>
      <c r="R126" s="181"/>
      <c r="S126" s="181"/>
      <c r="T126" s="181"/>
      <c r="U126" s="181"/>
      <c r="V126" s="181"/>
      <c r="W126" s="181"/>
      <c r="X126" s="181"/>
      <c r="Y126" s="181"/>
      <c r="Z126" s="181"/>
    </row>
    <row r="127">
      <c r="A127" s="181"/>
      <c r="B127" s="181"/>
      <c r="C127" s="181"/>
      <c r="D127" s="181"/>
      <c r="E127" s="181"/>
      <c r="F127" s="181"/>
      <c r="G127" s="181"/>
      <c r="H127" s="181"/>
      <c r="I127" s="181"/>
      <c r="J127" s="181"/>
      <c r="K127" s="181"/>
      <c r="L127" s="181"/>
      <c r="M127" s="181"/>
      <c r="N127" s="181"/>
      <c r="O127" s="181"/>
      <c r="P127" s="181"/>
      <c r="Q127" s="181"/>
      <c r="R127" s="181"/>
      <c r="S127" s="181"/>
      <c r="T127" s="181"/>
      <c r="U127" s="181"/>
      <c r="V127" s="181"/>
      <c r="W127" s="181"/>
      <c r="X127" s="181"/>
      <c r="Y127" s="181"/>
      <c r="Z127" s="181"/>
    </row>
    <row r="128">
      <c r="A128" s="181"/>
      <c r="B128" s="181"/>
      <c r="C128" s="181"/>
      <c r="D128" s="181"/>
      <c r="E128" s="181"/>
      <c r="F128" s="181"/>
      <c r="G128" s="181"/>
      <c r="H128" s="181"/>
      <c r="I128" s="181"/>
      <c r="J128" s="181"/>
      <c r="K128" s="181"/>
      <c r="L128" s="181"/>
      <c r="M128" s="181"/>
      <c r="N128" s="181"/>
      <c r="O128" s="181"/>
      <c r="P128" s="181"/>
      <c r="Q128" s="181"/>
      <c r="R128" s="181"/>
      <c r="S128" s="181"/>
      <c r="T128" s="181"/>
      <c r="U128" s="181"/>
      <c r="V128" s="181"/>
      <c r="W128" s="181"/>
      <c r="X128" s="181"/>
      <c r="Y128" s="181"/>
      <c r="Z128" s="181"/>
    </row>
    <row r="129">
      <c r="A129" s="181"/>
      <c r="B129" s="181"/>
      <c r="C129" s="181"/>
      <c r="D129" s="181"/>
      <c r="E129" s="181"/>
      <c r="F129" s="181"/>
      <c r="G129" s="181"/>
      <c r="H129" s="181"/>
      <c r="I129" s="181"/>
      <c r="J129" s="181"/>
      <c r="K129" s="181"/>
      <c r="L129" s="181"/>
      <c r="M129" s="181"/>
      <c r="N129" s="181"/>
      <c r="O129" s="181"/>
      <c r="P129" s="181"/>
      <c r="Q129" s="181"/>
      <c r="R129" s="181"/>
      <c r="S129" s="181"/>
      <c r="T129" s="181"/>
      <c r="U129" s="181"/>
      <c r="V129" s="181"/>
      <c r="W129" s="181"/>
      <c r="X129" s="181"/>
      <c r="Y129" s="181"/>
      <c r="Z129" s="181"/>
    </row>
    <row r="130">
      <c r="A130" s="181"/>
      <c r="B130" s="181"/>
      <c r="C130" s="181"/>
      <c r="D130" s="181"/>
      <c r="E130" s="181"/>
      <c r="F130" s="181"/>
      <c r="G130" s="181"/>
      <c r="H130" s="181"/>
      <c r="I130" s="181"/>
      <c r="J130" s="181"/>
      <c r="K130" s="181"/>
      <c r="L130" s="181"/>
      <c r="M130" s="181"/>
      <c r="N130" s="181"/>
      <c r="O130" s="181"/>
      <c r="P130" s="181"/>
      <c r="Q130" s="181"/>
      <c r="R130" s="181"/>
      <c r="S130" s="181"/>
      <c r="T130" s="181"/>
      <c r="U130" s="181"/>
      <c r="V130" s="181"/>
      <c r="W130" s="181"/>
      <c r="X130" s="181"/>
      <c r="Y130" s="181"/>
      <c r="Z130" s="181"/>
    </row>
    <row r="131">
      <c r="A131" s="181"/>
      <c r="B131" s="181"/>
      <c r="C131" s="181"/>
      <c r="D131" s="181"/>
      <c r="E131" s="181"/>
      <c r="F131" s="181"/>
      <c r="G131" s="181"/>
      <c r="H131" s="181"/>
      <c r="I131" s="181"/>
      <c r="J131" s="181"/>
      <c r="K131" s="181"/>
      <c r="L131" s="181"/>
      <c r="M131" s="181"/>
      <c r="N131" s="181"/>
      <c r="O131" s="181"/>
      <c r="P131" s="181"/>
      <c r="Q131" s="181"/>
      <c r="R131" s="181"/>
      <c r="S131" s="181"/>
      <c r="T131" s="181"/>
      <c r="U131" s="181"/>
      <c r="V131" s="181"/>
      <c r="W131" s="181"/>
      <c r="X131" s="181"/>
      <c r="Y131" s="181"/>
      <c r="Z131" s="181"/>
    </row>
    <row r="132">
      <c r="A132" s="181"/>
      <c r="B132" s="181"/>
      <c r="C132" s="181"/>
      <c r="D132" s="181"/>
      <c r="E132" s="181"/>
      <c r="F132" s="181"/>
      <c r="G132" s="181"/>
      <c r="H132" s="181"/>
      <c r="I132" s="181"/>
      <c r="J132" s="181"/>
      <c r="K132" s="181"/>
      <c r="L132" s="181"/>
      <c r="M132" s="181"/>
      <c r="N132" s="181"/>
      <c r="O132" s="181"/>
      <c r="P132" s="181"/>
      <c r="Q132" s="181"/>
      <c r="R132" s="181"/>
      <c r="S132" s="181"/>
      <c r="T132" s="181"/>
      <c r="U132" s="181"/>
      <c r="V132" s="181"/>
      <c r="W132" s="181"/>
      <c r="X132" s="181"/>
      <c r="Y132" s="181"/>
      <c r="Z132" s="181"/>
    </row>
    <row r="133">
      <c r="A133" s="181"/>
      <c r="B133" s="181"/>
      <c r="C133" s="181"/>
      <c r="D133" s="181"/>
      <c r="E133" s="181"/>
      <c r="F133" s="181"/>
      <c r="G133" s="181"/>
      <c r="H133" s="181"/>
      <c r="I133" s="181"/>
      <c r="J133" s="181"/>
      <c r="K133" s="181"/>
      <c r="L133" s="181"/>
      <c r="M133" s="181"/>
      <c r="N133" s="181"/>
      <c r="O133" s="181"/>
      <c r="P133" s="181"/>
      <c r="Q133" s="181"/>
      <c r="R133" s="181"/>
      <c r="S133" s="181"/>
      <c r="T133" s="181"/>
      <c r="U133" s="181"/>
      <c r="V133" s="181"/>
      <c r="W133" s="181"/>
      <c r="X133" s="181"/>
      <c r="Y133" s="181"/>
      <c r="Z133" s="181"/>
    </row>
    <row r="134">
      <c r="A134" s="181"/>
      <c r="B134" s="181"/>
      <c r="C134" s="181"/>
      <c r="D134" s="181"/>
      <c r="E134" s="181"/>
      <c r="F134" s="181"/>
      <c r="G134" s="181"/>
      <c r="H134" s="181"/>
      <c r="I134" s="181"/>
      <c r="J134" s="181"/>
      <c r="K134" s="181"/>
      <c r="L134" s="181"/>
      <c r="M134" s="181"/>
      <c r="N134" s="181"/>
      <c r="O134" s="181"/>
      <c r="P134" s="181"/>
      <c r="Q134" s="181"/>
      <c r="R134" s="181"/>
      <c r="S134" s="181"/>
      <c r="T134" s="181"/>
      <c r="U134" s="181"/>
      <c r="V134" s="181"/>
      <c r="W134" s="181"/>
      <c r="X134" s="181"/>
      <c r="Y134" s="181"/>
      <c r="Z134" s="181"/>
    </row>
    <row r="135">
      <c r="A135" s="181"/>
      <c r="B135" s="181"/>
      <c r="C135" s="181"/>
      <c r="D135" s="181"/>
      <c r="E135" s="181"/>
      <c r="F135" s="181"/>
      <c r="G135" s="181"/>
      <c r="H135" s="181"/>
      <c r="I135" s="181"/>
      <c r="J135" s="181"/>
      <c r="K135" s="181"/>
      <c r="L135" s="181"/>
      <c r="M135" s="181"/>
      <c r="N135" s="181"/>
      <c r="O135" s="181"/>
      <c r="P135" s="181"/>
      <c r="Q135" s="181"/>
      <c r="R135" s="181"/>
      <c r="S135" s="181"/>
      <c r="T135" s="181"/>
      <c r="U135" s="181"/>
      <c r="V135" s="181"/>
      <c r="W135" s="181"/>
      <c r="X135" s="181"/>
      <c r="Y135" s="181"/>
      <c r="Z135" s="181"/>
    </row>
    <row r="136">
      <c r="A136" s="181"/>
      <c r="B136" s="181"/>
      <c r="C136" s="181"/>
      <c r="D136" s="181"/>
      <c r="E136" s="181"/>
      <c r="F136" s="181"/>
      <c r="G136" s="181"/>
      <c r="H136" s="181"/>
      <c r="I136" s="181"/>
      <c r="J136" s="181"/>
      <c r="K136" s="181"/>
      <c r="L136" s="181"/>
      <c r="M136" s="181"/>
      <c r="N136" s="181"/>
      <c r="O136" s="181"/>
      <c r="P136" s="181"/>
      <c r="Q136" s="181"/>
      <c r="R136" s="181"/>
      <c r="S136" s="181"/>
      <c r="T136" s="181"/>
      <c r="U136" s="181"/>
      <c r="V136" s="181"/>
      <c r="W136" s="181"/>
      <c r="X136" s="181"/>
      <c r="Y136" s="181"/>
      <c r="Z136" s="181"/>
    </row>
    <row r="137">
      <c r="A137" s="181"/>
      <c r="B137" s="181"/>
      <c r="C137" s="181"/>
      <c r="D137" s="181"/>
      <c r="E137" s="181"/>
      <c r="F137" s="181"/>
      <c r="G137" s="181"/>
      <c r="H137" s="181"/>
      <c r="I137" s="181"/>
      <c r="J137" s="181"/>
      <c r="K137" s="181"/>
      <c r="L137" s="181"/>
      <c r="M137" s="181"/>
      <c r="N137" s="181"/>
      <c r="O137" s="181"/>
      <c r="P137" s="181"/>
      <c r="Q137" s="181"/>
      <c r="R137" s="181"/>
      <c r="S137" s="181"/>
      <c r="T137" s="181"/>
      <c r="U137" s="181"/>
      <c r="V137" s="181"/>
      <c r="W137" s="181"/>
      <c r="X137" s="181"/>
      <c r="Y137" s="181"/>
      <c r="Z137" s="181"/>
    </row>
    <row r="138">
      <c r="A138" s="181"/>
      <c r="B138" s="181"/>
      <c r="C138" s="181"/>
      <c r="D138" s="181"/>
      <c r="E138" s="181"/>
      <c r="F138" s="181"/>
      <c r="G138" s="181"/>
      <c r="H138" s="181"/>
      <c r="I138" s="181"/>
      <c r="J138" s="181"/>
      <c r="K138" s="181"/>
      <c r="L138" s="181"/>
      <c r="M138" s="181"/>
      <c r="N138" s="181"/>
      <c r="O138" s="181"/>
      <c r="P138" s="181"/>
      <c r="Q138" s="181"/>
      <c r="R138" s="181"/>
      <c r="S138" s="181"/>
      <c r="T138" s="181"/>
      <c r="U138" s="181"/>
      <c r="V138" s="181"/>
      <c r="W138" s="181"/>
      <c r="X138" s="181"/>
      <c r="Y138" s="181"/>
      <c r="Z138" s="181"/>
    </row>
    <row r="139">
      <c r="A139" s="181"/>
      <c r="B139" s="181"/>
      <c r="C139" s="181"/>
      <c r="D139" s="181"/>
      <c r="E139" s="181"/>
      <c r="F139" s="181"/>
      <c r="G139" s="181"/>
      <c r="H139" s="181"/>
      <c r="I139" s="181"/>
      <c r="J139" s="181"/>
      <c r="K139" s="181"/>
      <c r="L139" s="181"/>
      <c r="M139" s="181"/>
      <c r="N139" s="181"/>
      <c r="O139" s="181"/>
      <c r="P139" s="181"/>
      <c r="Q139" s="181"/>
      <c r="R139" s="181"/>
      <c r="S139" s="181"/>
      <c r="T139" s="181"/>
      <c r="U139" s="181"/>
      <c r="V139" s="181"/>
      <c r="W139" s="181"/>
      <c r="X139" s="181"/>
      <c r="Y139" s="181"/>
      <c r="Z139" s="181"/>
    </row>
    <row r="140">
      <c r="A140" s="181"/>
      <c r="B140" s="181"/>
      <c r="C140" s="181"/>
      <c r="D140" s="181"/>
      <c r="E140" s="181"/>
      <c r="F140" s="181"/>
      <c r="G140" s="181"/>
      <c r="H140" s="181"/>
      <c r="I140" s="181"/>
      <c r="J140" s="181"/>
      <c r="K140" s="181"/>
      <c r="L140" s="181"/>
      <c r="M140" s="181"/>
      <c r="N140" s="181"/>
      <c r="O140" s="181"/>
      <c r="P140" s="181"/>
      <c r="Q140" s="181"/>
      <c r="R140" s="181"/>
      <c r="S140" s="181"/>
      <c r="T140" s="181"/>
      <c r="U140" s="181"/>
      <c r="V140" s="181"/>
      <c r="W140" s="181"/>
      <c r="X140" s="181"/>
      <c r="Y140" s="181"/>
      <c r="Z140" s="181"/>
    </row>
    <row r="141">
      <c r="A141" s="181"/>
      <c r="B141" s="181"/>
      <c r="C141" s="181"/>
      <c r="D141" s="181"/>
      <c r="E141" s="181"/>
      <c r="F141" s="181"/>
      <c r="G141" s="181"/>
      <c r="H141" s="181"/>
      <c r="I141" s="181"/>
      <c r="J141" s="181"/>
      <c r="K141" s="181"/>
      <c r="L141" s="181"/>
      <c r="M141" s="181"/>
      <c r="N141" s="181"/>
      <c r="O141" s="181"/>
      <c r="P141" s="181"/>
      <c r="Q141" s="181"/>
      <c r="R141" s="181"/>
      <c r="S141" s="181"/>
      <c r="T141" s="181"/>
      <c r="U141" s="181"/>
      <c r="V141" s="181"/>
      <c r="W141" s="181"/>
      <c r="X141" s="181"/>
      <c r="Y141" s="181"/>
      <c r="Z141" s="181"/>
    </row>
    <row r="142">
      <c r="A142" s="181"/>
      <c r="B142" s="181"/>
      <c r="C142" s="181"/>
      <c r="D142" s="181"/>
      <c r="E142" s="181"/>
      <c r="F142" s="181"/>
      <c r="G142" s="181"/>
      <c r="H142" s="181"/>
      <c r="I142" s="181"/>
      <c r="J142" s="181"/>
      <c r="K142" s="181"/>
      <c r="L142" s="181"/>
      <c r="M142" s="181"/>
      <c r="N142" s="181"/>
      <c r="O142" s="181"/>
      <c r="P142" s="181"/>
      <c r="Q142" s="181"/>
      <c r="R142" s="181"/>
      <c r="S142" s="181"/>
      <c r="T142" s="181"/>
      <c r="U142" s="181"/>
      <c r="V142" s="181"/>
      <c r="W142" s="181"/>
      <c r="X142" s="181"/>
      <c r="Y142" s="181"/>
      <c r="Z142" s="181"/>
    </row>
    <row r="143">
      <c r="A143" s="181"/>
      <c r="B143" s="181"/>
      <c r="C143" s="181"/>
      <c r="D143" s="181"/>
      <c r="E143" s="181"/>
      <c r="F143" s="181"/>
      <c r="G143" s="181"/>
      <c r="H143" s="181"/>
      <c r="I143" s="181"/>
      <c r="J143" s="181"/>
      <c r="K143" s="181"/>
      <c r="L143" s="181"/>
      <c r="M143" s="181"/>
      <c r="N143" s="181"/>
      <c r="O143" s="181"/>
      <c r="P143" s="181"/>
      <c r="Q143" s="181"/>
      <c r="R143" s="181"/>
      <c r="S143" s="181"/>
      <c r="T143" s="181"/>
      <c r="U143" s="181"/>
      <c r="V143" s="181"/>
      <c r="W143" s="181"/>
      <c r="X143" s="181"/>
      <c r="Y143" s="181"/>
      <c r="Z143" s="181"/>
    </row>
    <row r="144">
      <c r="A144" s="181"/>
      <c r="B144" s="181"/>
      <c r="C144" s="181"/>
      <c r="D144" s="181"/>
      <c r="E144" s="181"/>
      <c r="F144" s="181"/>
      <c r="G144" s="181"/>
      <c r="H144" s="181"/>
      <c r="I144" s="181"/>
      <c r="J144" s="181"/>
      <c r="K144" s="181"/>
      <c r="L144" s="181"/>
      <c r="M144" s="181"/>
      <c r="N144" s="181"/>
      <c r="O144" s="181"/>
      <c r="P144" s="181"/>
      <c r="Q144" s="181"/>
      <c r="R144" s="181"/>
      <c r="S144" s="181"/>
      <c r="T144" s="181"/>
      <c r="U144" s="181"/>
      <c r="V144" s="181"/>
      <c r="W144" s="181"/>
      <c r="X144" s="181"/>
      <c r="Y144" s="181"/>
      <c r="Z144" s="181"/>
    </row>
    <row r="145">
      <c r="A145" s="181"/>
      <c r="B145" s="181"/>
      <c r="C145" s="181"/>
      <c r="D145" s="181"/>
      <c r="E145" s="181"/>
      <c r="F145" s="181"/>
      <c r="G145" s="181"/>
      <c r="H145" s="181"/>
      <c r="I145" s="181"/>
      <c r="J145" s="181"/>
      <c r="K145" s="181"/>
      <c r="L145" s="181"/>
      <c r="M145" s="181"/>
      <c r="N145" s="181"/>
      <c r="O145" s="181"/>
      <c r="P145" s="181"/>
      <c r="Q145" s="181"/>
      <c r="R145" s="181"/>
      <c r="S145" s="181"/>
      <c r="T145" s="181"/>
      <c r="U145" s="181"/>
      <c r="V145" s="181"/>
      <c r="W145" s="181"/>
      <c r="X145" s="181"/>
      <c r="Y145" s="181"/>
      <c r="Z145" s="181"/>
    </row>
    <row r="146">
      <c r="A146" s="181"/>
      <c r="B146" s="181"/>
      <c r="C146" s="181"/>
      <c r="D146" s="181"/>
      <c r="E146" s="181"/>
      <c r="F146" s="181"/>
      <c r="G146" s="181"/>
      <c r="H146" s="181"/>
      <c r="I146" s="181"/>
      <c r="J146" s="181"/>
      <c r="K146" s="181"/>
      <c r="L146" s="181"/>
      <c r="M146" s="181"/>
      <c r="N146" s="181"/>
      <c r="O146" s="181"/>
      <c r="P146" s="181"/>
      <c r="Q146" s="181"/>
      <c r="R146" s="181"/>
      <c r="S146" s="181"/>
      <c r="T146" s="181"/>
      <c r="U146" s="181"/>
      <c r="V146" s="181"/>
      <c r="W146" s="181"/>
      <c r="X146" s="181"/>
      <c r="Y146" s="181"/>
      <c r="Z146" s="181"/>
    </row>
    <row r="147">
      <c r="A147" s="181"/>
      <c r="B147" s="181"/>
      <c r="C147" s="181"/>
      <c r="D147" s="181"/>
      <c r="E147" s="181"/>
      <c r="F147" s="181"/>
      <c r="G147" s="181"/>
      <c r="H147" s="181"/>
      <c r="I147" s="181"/>
      <c r="J147" s="181"/>
      <c r="K147" s="181"/>
      <c r="L147" s="181"/>
      <c r="M147" s="181"/>
      <c r="N147" s="181"/>
      <c r="O147" s="181"/>
      <c r="P147" s="181"/>
      <c r="Q147" s="181"/>
      <c r="R147" s="181"/>
      <c r="S147" s="181"/>
      <c r="T147" s="181"/>
      <c r="U147" s="181"/>
      <c r="V147" s="181"/>
      <c r="W147" s="181"/>
      <c r="X147" s="181"/>
      <c r="Y147" s="181"/>
      <c r="Z147" s="181"/>
    </row>
    <row r="148">
      <c r="A148" s="181"/>
      <c r="B148" s="181"/>
      <c r="C148" s="181"/>
      <c r="D148" s="181"/>
      <c r="E148" s="181"/>
      <c r="F148" s="181"/>
      <c r="G148" s="181"/>
      <c r="H148" s="181"/>
      <c r="I148" s="181"/>
      <c r="J148" s="181"/>
      <c r="K148" s="181"/>
      <c r="L148" s="181"/>
      <c r="M148" s="181"/>
      <c r="N148" s="181"/>
      <c r="O148" s="181"/>
      <c r="P148" s="181"/>
      <c r="Q148" s="181"/>
      <c r="R148" s="181"/>
      <c r="S148" s="181"/>
      <c r="T148" s="181"/>
      <c r="U148" s="181"/>
      <c r="V148" s="181"/>
      <c r="W148" s="181"/>
      <c r="X148" s="181"/>
      <c r="Y148" s="181"/>
      <c r="Z148" s="181"/>
    </row>
    <row r="149">
      <c r="A149" s="181"/>
      <c r="B149" s="181"/>
      <c r="C149" s="181"/>
      <c r="D149" s="181"/>
      <c r="E149" s="181"/>
      <c r="F149" s="181"/>
      <c r="G149" s="181"/>
      <c r="H149" s="181"/>
      <c r="I149" s="181"/>
      <c r="J149" s="181"/>
      <c r="K149" s="181"/>
      <c r="L149" s="181"/>
      <c r="M149" s="181"/>
      <c r="N149" s="181"/>
      <c r="O149" s="181"/>
      <c r="P149" s="181"/>
      <c r="Q149" s="181"/>
      <c r="R149" s="181"/>
      <c r="S149" s="181"/>
      <c r="T149" s="181"/>
      <c r="U149" s="181"/>
      <c r="V149" s="181"/>
      <c r="W149" s="181"/>
      <c r="X149" s="181"/>
      <c r="Y149" s="181"/>
      <c r="Z149" s="181"/>
    </row>
    <row r="150">
      <c r="A150" s="181"/>
      <c r="B150" s="181"/>
      <c r="C150" s="181"/>
      <c r="D150" s="181"/>
      <c r="E150" s="181"/>
      <c r="F150" s="181"/>
      <c r="G150" s="181"/>
      <c r="H150" s="181"/>
      <c r="I150" s="181"/>
      <c r="J150" s="181"/>
      <c r="K150" s="181"/>
      <c r="L150" s="181"/>
      <c r="M150" s="181"/>
      <c r="N150" s="181"/>
      <c r="O150" s="181"/>
      <c r="P150" s="181"/>
      <c r="Q150" s="181"/>
      <c r="R150" s="181"/>
      <c r="S150" s="181"/>
      <c r="T150" s="181"/>
      <c r="U150" s="181"/>
      <c r="V150" s="181"/>
      <c r="W150" s="181"/>
      <c r="X150" s="181"/>
      <c r="Y150" s="181"/>
      <c r="Z150" s="181"/>
    </row>
    <row r="151">
      <c r="A151" s="181"/>
      <c r="B151" s="181"/>
      <c r="C151" s="181"/>
      <c r="D151" s="181"/>
      <c r="E151" s="181"/>
      <c r="F151" s="181"/>
      <c r="G151" s="181"/>
      <c r="H151" s="181"/>
      <c r="I151" s="181"/>
      <c r="J151" s="181"/>
      <c r="K151" s="181"/>
      <c r="L151" s="181"/>
      <c r="M151" s="181"/>
      <c r="N151" s="181"/>
      <c r="O151" s="181"/>
      <c r="P151" s="181"/>
      <c r="Q151" s="181"/>
      <c r="R151" s="181"/>
      <c r="S151" s="181"/>
      <c r="T151" s="181"/>
      <c r="U151" s="181"/>
      <c r="V151" s="181"/>
      <c r="W151" s="181"/>
      <c r="X151" s="181"/>
      <c r="Y151" s="181"/>
      <c r="Z151" s="181"/>
    </row>
    <row r="152">
      <c r="A152" s="181"/>
      <c r="B152" s="181"/>
      <c r="C152" s="181"/>
      <c r="D152" s="181"/>
      <c r="E152" s="181"/>
      <c r="F152" s="181"/>
      <c r="G152" s="181"/>
      <c r="H152" s="181"/>
      <c r="I152" s="181"/>
      <c r="J152" s="181"/>
      <c r="K152" s="181"/>
      <c r="L152" s="181"/>
      <c r="M152" s="181"/>
      <c r="N152" s="181"/>
      <c r="O152" s="181"/>
      <c r="P152" s="181"/>
      <c r="Q152" s="181"/>
      <c r="R152" s="181"/>
      <c r="S152" s="181"/>
      <c r="T152" s="181"/>
      <c r="U152" s="181"/>
      <c r="V152" s="181"/>
      <c r="W152" s="181"/>
      <c r="X152" s="181"/>
      <c r="Y152" s="181"/>
      <c r="Z152" s="181"/>
    </row>
    <row r="153">
      <c r="A153" s="181"/>
      <c r="B153" s="181"/>
      <c r="C153" s="181"/>
      <c r="D153" s="181"/>
      <c r="E153" s="181"/>
      <c r="F153" s="181"/>
      <c r="G153" s="181"/>
      <c r="H153" s="181"/>
      <c r="I153" s="181"/>
      <c r="J153" s="181"/>
      <c r="K153" s="181"/>
      <c r="L153" s="181"/>
      <c r="M153" s="181"/>
      <c r="N153" s="181"/>
      <c r="O153" s="181"/>
      <c r="P153" s="181"/>
      <c r="Q153" s="181"/>
      <c r="R153" s="181"/>
      <c r="S153" s="181"/>
      <c r="T153" s="181"/>
      <c r="U153" s="181"/>
      <c r="V153" s="181"/>
      <c r="W153" s="181"/>
      <c r="X153" s="181"/>
      <c r="Y153" s="181"/>
      <c r="Z153" s="181"/>
    </row>
    <row r="154">
      <c r="A154" s="181"/>
      <c r="B154" s="181"/>
      <c r="C154" s="181"/>
      <c r="D154" s="181"/>
      <c r="E154" s="181"/>
      <c r="F154" s="181"/>
      <c r="G154" s="181"/>
      <c r="H154" s="181"/>
      <c r="I154" s="181"/>
      <c r="J154" s="181"/>
      <c r="K154" s="181"/>
      <c r="L154" s="181"/>
      <c r="M154" s="181"/>
      <c r="N154" s="181"/>
      <c r="O154" s="181"/>
      <c r="P154" s="181"/>
      <c r="Q154" s="181"/>
      <c r="R154" s="181"/>
      <c r="S154" s="181"/>
      <c r="T154" s="181"/>
      <c r="U154" s="181"/>
      <c r="V154" s="181"/>
      <c r="W154" s="181"/>
      <c r="X154" s="181"/>
      <c r="Y154" s="181"/>
      <c r="Z154" s="181"/>
    </row>
    <row r="155">
      <c r="A155" s="181"/>
      <c r="B155" s="181"/>
      <c r="C155" s="181"/>
      <c r="D155" s="181"/>
      <c r="E155" s="181"/>
      <c r="F155" s="181"/>
      <c r="G155" s="181"/>
      <c r="H155" s="181"/>
      <c r="I155" s="181"/>
      <c r="J155" s="181"/>
      <c r="K155" s="181"/>
      <c r="L155" s="181"/>
      <c r="M155" s="181"/>
      <c r="N155" s="181"/>
      <c r="O155" s="181"/>
      <c r="P155" s="181"/>
      <c r="Q155" s="181"/>
      <c r="R155" s="181"/>
      <c r="S155" s="181"/>
      <c r="T155" s="181"/>
      <c r="U155" s="181"/>
      <c r="V155" s="181"/>
      <c r="W155" s="181"/>
      <c r="X155" s="181"/>
      <c r="Y155" s="181"/>
      <c r="Z155" s="181"/>
    </row>
    <row r="156">
      <c r="A156" s="181"/>
      <c r="B156" s="181"/>
      <c r="C156" s="181"/>
      <c r="D156" s="181"/>
      <c r="E156" s="181"/>
      <c r="F156" s="181"/>
      <c r="G156" s="181"/>
      <c r="H156" s="181"/>
      <c r="I156" s="181"/>
      <c r="J156" s="181"/>
      <c r="K156" s="181"/>
      <c r="L156" s="181"/>
      <c r="M156" s="181"/>
      <c r="N156" s="181"/>
      <c r="O156" s="181"/>
      <c r="P156" s="181"/>
      <c r="Q156" s="181"/>
      <c r="R156" s="181"/>
      <c r="S156" s="181"/>
      <c r="T156" s="181"/>
      <c r="U156" s="181"/>
      <c r="V156" s="181"/>
      <c r="W156" s="181"/>
      <c r="X156" s="181"/>
      <c r="Y156" s="181"/>
      <c r="Z156" s="181"/>
    </row>
    <row r="157">
      <c r="A157" s="181"/>
      <c r="B157" s="181"/>
      <c r="C157" s="181"/>
      <c r="D157" s="181"/>
      <c r="E157" s="181"/>
      <c r="F157" s="181"/>
      <c r="G157" s="181"/>
      <c r="H157" s="181"/>
      <c r="I157" s="181"/>
      <c r="J157" s="181"/>
      <c r="K157" s="181"/>
      <c r="L157" s="181"/>
      <c r="M157" s="181"/>
      <c r="N157" s="181"/>
      <c r="O157" s="181"/>
      <c r="P157" s="181"/>
      <c r="Q157" s="181"/>
      <c r="R157" s="181"/>
      <c r="S157" s="181"/>
      <c r="T157" s="181"/>
      <c r="U157" s="181"/>
      <c r="V157" s="181"/>
      <c r="W157" s="181"/>
      <c r="X157" s="181"/>
      <c r="Y157" s="181"/>
      <c r="Z157" s="181"/>
    </row>
    <row r="158">
      <c r="A158" s="181"/>
      <c r="B158" s="181"/>
      <c r="C158" s="181"/>
      <c r="D158" s="181"/>
      <c r="E158" s="181"/>
      <c r="F158" s="181"/>
      <c r="G158" s="181"/>
      <c r="H158" s="181"/>
      <c r="I158" s="181"/>
      <c r="J158" s="181"/>
      <c r="K158" s="181"/>
      <c r="L158" s="181"/>
      <c r="M158" s="181"/>
      <c r="N158" s="181"/>
      <c r="O158" s="181"/>
      <c r="P158" s="181"/>
      <c r="Q158" s="181"/>
      <c r="R158" s="181"/>
      <c r="S158" s="181"/>
      <c r="T158" s="181"/>
      <c r="U158" s="181"/>
      <c r="V158" s="181"/>
      <c r="W158" s="181"/>
      <c r="X158" s="181"/>
      <c r="Y158" s="181"/>
      <c r="Z158" s="181"/>
    </row>
    <row r="159">
      <c r="A159" s="181"/>
      <c r="B159" s="181"/>
      <c r="C159" s="181"/>
      <c r="D159" s="181"/>
      <c r="E159" s="181"/>
      <c r="F159" s="181"/>
      <c r="G159" s="181"/>
      <c r="H159" s="181"/>
      <c r="I159" s="181"/>
      <c r="J159" s="181"/>
      <c r="K159" s="181"/>
      <c r="L159" s="181"/>
      <c r="M159" s="181"/>
      <c r="N159" s="181"/>
      <c r="O159" s="181"/>
      <c r="P159" s="181"/>
      <c r="Q159" s="181"/>
      <c r="R159" s="181"/>
      <c r="S159" s="181"/>
      <c r="T159" s="181"/>
      <c r="U159" s="181"/>
      <c r="V159" s="181"/>
      <c r="W159" s="181"/>
      <c r="X159" s="181"/>
      <c r="Y159" s="181"/>
      <c r="Z159" s="181"/>
    </row>
    <row r="160">
      <c r="A160" s="181"/>
      <c r="B160" s="181"/>
      <c r="C160" s="181"/>
      <c r="D160" s="181"/>
      <c r="E160" s="181"/>
      <c r="F160" s="181"/>
      <c r="G160" s="181"/>
      <c r="H160" s="181"/>
      <c r="I160" s="181"/>
      <c r="J160" s="181"/>
      <c r="K160" s="181"/>
      <c r="L160" s="181"/>
      <c r="M160" s="181"/>
      <c r="N160" s="181"/>
      <c r="O160" s="181"/>
      <c r="P160" s="181"/>
      <c r="Q160" s="181"/>
      <c r="R160" s="181"/>
      <c r="S160" s="181"/>
      <c r="T160" s="181"/>
      <c r="U160" s="181"/>
      <c r="V160" s="181"/>
      <c r="W160" s="181"/>
      <c r="X160" s="181"/>
      <c r="Y160" s="181"/>
      <c r="Z160" s="181"/>
    </row>
    <row r="161">
      <c r="A161" s="181"/>
      <c r="B161" s="181"/>
      <c r="C161" s="181"/>
      <c r="D161" s="181"/>
      <c r="E161" s="181"/>
      <c r="F161" s="181"/>
      <c r="G161" s="181"/>
      <c r="H161" s="181"/>
      <c r="I161" s="181"/>
      <c r="J161" s="181"/>
      <c r="K161" s="181"/>
      <c r="L161" s="181"/>
      <c r="M161" s="181"/>
      <c r="N161" s="181"/>
      <c r="O161" s="181"/>
      <c r="P161" s="181"/>
      <c r="Q161" s="181"/>
      <c r="R161" s="181"/>
      <c r="S161" s="181"/>
      <c r="T161" s="181"/>
      <c r="U161" s="181"/>
      <c r="V161" s="181"/>
      <c r="W161" s="181"/>
      <c r="X161" s="181"/>
      <c r="Y161" s="181"/>
      <c r="Z161" s="181"/>
    </row>
    <row r="162">
      <c r="A162" s="181"/>
      <c r="B162" s="181"/>
      <c r="C162" s="181"/>
      <c r="D162" s="181"/>
      <c r="E162" s="181"/>
      <c r="F162" s="181"/>
      <c r="G162" s="181"/>
      <c r="H162" s="181"/>
      <c r="I162" s="181"/>
      <c r="J162" s="181"/>
      <c r="K162" s="181"/>
      <c r="L162" s="181"/>
      <c r="M162" s="181"/>
      <c r="N162" s="181"/>
      <c r="O162" s="181"/>
      <c r="P162" s="181"/>
      <c r="Q162" s="181"/>
      <c r="R162" s="181"/>
      <c r="S162" s="181"/>
      <c r="T162" s="181"/>
      <c r="U162" s="181"/>
      <c r="V162" s="181"/>
      <c r="W162" s="181"/>
      <c r="X162" s="181"/>
      <c r="Y162" s="181"/>
      <c r="Z162" s="181"/>
    </row>
    <row r="163">
      <c r="A163" s="181"/>
      <c r="B163" s="181"/>
      <c r="C163" s="181"/>
      <c r="D163" s="181"/>
      <c r="E163" s="181"/>
      <c r="F163" s="181"/>
      <c r="G163" s="181"/>
      <c r="H163" s="181"/>
      <c r="I163" s="181"/>
      <c r="J163" s="181"/>
      <c r="K163" s="181"/>
      <c r="L163" s="181"/>
      <c r="M163" s="181"/>
      <c r="N163" s="181"/>
      <c r="O163" s="181"/>
      <c r="P163" s="181"/>
      <c r="Q163" s="181"/>
      <c r="R163" s="181"/>
      <c r="S163" s="181"/>
      <c r="T163" s="181"/>
      <c r="U163" s="181"/>
      <c r="V163" s="181"/>
      <c r="W163" s="181"/>
      <c r="X163" s="181"/>
      <c r="Y163" s="181"/>
      <c r="Z163" s="181"/>
    </row>
    <row r="164">
      <c r="A164" s="181"/>
      <c r="B164" s="181"/>
      <c r="C164" s="181"/>
      <c r="D164" s="181"/>
      <c r="E164" s="181"/>
      <c r="F164" s="181"/>
      <c r="G164" s="181"/>
      <c r="H164" s="181"/>
      <c r="I164" s="181"/>
      <c r="J164" s="181"/>
      <c r="K164" s="181"/>
      <c r="L164" s="181"/>
      <c r="M164" s="181"/>
      <c r="N164" s="181"/>
      <c r="O164" s="181"/>
      <c r="P164" s="181"/>
      <c r="Q164" s="181"/>
      <c r="R164" s="181"/>
      <c r="S164" s="181"/>
      <c r="T164" s="181"/>
      <c r="U164" s="181"/>
      <c r="V164" s="181"/>
      <c r="W164" s="181"/>
      <c r="X164" s="181"/>
      <c r="Y164" s="181"/>
      <c r="Z164" s="181"/>
    </row>
    <row r="165">
      <c r="A165" s="181"/>
      <c r="B165" s="181"/>
      <c r="C165" s="181"/>
      <c r="D165" s="181"/>
      <c r="E165" s="181"/>
      <c r="F165" s="181"/>
      <c r="G165" s="181"/>
      <c r="H165" s="181"/>
      <c r="I165" s="181"/>
      <c r="J165" s="181"/>
      <c r="K165" s="181"/>
      <c r="L165" s="181"/>
      <c r="M165" s="181"/>
      <c r="N165" s="181"/>
      <c r="O165" s="181"/>
      <c r="P165" s="181"/>
      <c r="Q165" s="181"/>
      <c r="R165" s="181"/>
      <c r="S165" s="181"/>
      <c r="T165" s="181"/>
      <c r="U165" s="181"/>
      <c r="V165" s="181"/>
      <c r="W165" s="181"/>
      <c r="X165" s="181"/>
      <c r="Y165" s="181"/>
      <c r="Z165" s="181"/>
    </row>
    <row r="166">
      <c r="A166" s="181"/>
      <c r="B166" s="181"/>
      <c r="C166" s="181"/>
      <c r="D166" s="181"/>
      <c r="E166" s="181"/>
      <c r="F166" s="181"/>
      <c r="G166" s="181"/>
      <c r="H166" s="181"/>
      <c r="I166" s="181"/>
      <c r="J166" s="181"/>
      <c r="K166" s="181"/>
      <c r="L166" s="181"/>
      <c r="M166" s="181"/>
      <c r="N166" s="181"/>
      <c r="O166" s="181"/>
      <c r="P166" s="181"/>
      <c r="Q166" s="181"/>
      <c r="R166" s="181"/>
      <c r="S166" s="181"/>
      <c r="T166" s="181"/>
      <c r="U166" s="181"/>
      <c r="V166" s="181"/>
      <c r="W166" s="181"/>
      <c r="X166" s="181"/>
      <c r="Y166" s="181"/>
      <c r="Z166" s="181"/>
    </row>
    <row r="167">
      <c r="A167" s="181"/>
      <c r="B167" s="181"/>
      <c r="C167" s="181"/>
      <c r="D167" s="181"/>
      <c r="E167" s="181"/>
      <c r="F167" s="181"/>
      <c r="G167" s="181"/>
      <c r="H167" s="181"/>
      <c r="I167" s="181"/>
      <c r="J167" s="181"/>
      <c r="K167" s="181"/>
      <c r="L167" s="181"/>
      <c r="M167" s="181"/>
      <c r="N167" s="181"/>
      <c r="O167" s="181"/>
      <c r="P167" s="181"/>
      <c r="Q167" s="181"/>
      <c r="R167" s="181"/>
      <c r="S167" s="181"/>
      <c r="T167" s="181"/>
      <c r="U167" s="181"/>
      <c r="V167" s="181"/>
      <c r="W167" s="181"/>
      <c r="X167" s="181"/>
      <c r="Y167" s="181"/>
      <c r="Z167" s="181"/>
    </row>
    <row r="168">
      <c r="A168" s="181"/>
      <c r="B168" s="181"/>
      <c r="C168" s="181"/>
      <c r="D168" s="181"/>
      <c r="E168" s="181"/>
      <c r="F168" s="181"/>
      <c r="G168" s="181"/>
      <c r="H168" s="181"/>
      <c r="I168" s="181"/>
      <c r="J168" s="181"/>
      <c r="K168" s="181"/>
      <c r="L168" s="181"/>
      <c r="M168" s="181"/>
      <c r="N168" s="181"/>
      <c r="O168" s="181"/>
      <c r="P168" s="181"/>
      <c r="Q168" s="181"/>
      <c r="R168" s="181"/>
      <c r="S168" s="181"/>
      <c r="T168" s="181"/>
      <c r="U168" s="181"/>
      <c r="V168" s="181"/>
      <c r="W168" s="181"/>
      <c r="X168" s="181"/>
      <c r="Y168" s="181"/>
      <c r="Z168" s="181"/>
    </row>
    <row r="169">
      <c r="A169" s="181"/>
      <c r="B169" s="181"/>
      <c r="C169" s="181"/>
      <c r="D169" s="181"/>
      <c r="E169" s="181"/>
      <c r="F169" s="181"/>
      <c r="G169" s="181"/>
      <c r="H169" s="181"/>
      <c r="I169" s="181"/>
      <c r="J169" s="181"/>
      <c r="K169" s="181"/>
      <c r="L169" s="181"/>
      <c r="M169" s="181"/>
      <c r="N169" s="181"/>
      <c r="O169" s="181"/>
      <c r="P169" s="181"/>
      <c r="Q169" s="181"/>
      <c r="R169" s="181"/>
      <c r="S169" s="181"/>
      <c r="T169" s="181"/>
      <c r="U169" s="181"/>
      <c r="V169" s="181"/>
      <c r="W169" s="181"/>
      <c r="X169" s="181"/>
      <c r="Y169" s="181"/>
      <c r="Z169" s="181"/>
    </row>
    <row r="170">
      <c r="A170" s="181"/>
      <c r="B170" s="181"/>
      <c r="C170" s="181"/>
      <c r="D170" s="181"/>
      <c r="E170" s="181"/>
      <c r="F170" s="181"/>
      <c r="G170" s="181"/>
      <c r="H170" s="181"/>
      <c r="I170" s="181"/>
      <c r="J170" s="181"/>
      <c r="K170" s="181"/>
      <c r="L170" s="181"/>
      <c r="M170" s="181"/>
      <c r="N170" s="181"/>
      <c r="O170" s="181"/>
      <c r="P170" s="181"/>
      <c r="Q170" s="181"/>
      <c r="R170" s="181"/>
      <c r="S170" s="181"/>
      <c r="T170" s="181"/>
      <c r="U170" s="181"/>
      <c r="V170" s="181"/>
      <c r="W170" s="181"/>
      <c r="X170" s="181"/>
      <c r="Y170" s="181"/>
      <c r="Z170" s="181"/>
    </row>
    <row r="171">
      <c r="A171" s="181"/>
      <c r="B171" s="181"/>
      <c r="C171" s="181"/>
      <c r="D171" s="181"/>
      <c r="E171" s="181"/>
      <c r="F171" s="181"/>
      <c r="G171" s="181"/>
      <c r="H171" s="181"/>
      <c r="I171" s="181"/>
      <c r="J171" s="181"/>
      <c r="K171" s="181"/>
      <c r="L171" s="181"/>
      <c r="M171" s="181"/>
      <c r="N171" s="181"/>
      <c r="O171" s="181"/>
      <c r="P171" s="181"/>
      <c r="Q171" s="181"/>
      <c r="R171" s="181"/>
      <c r="S171" s="181"/>
      <c r="T171" s="181"/>
      <c r="U171" s="181"/>
      <c r="V171" s="181"/>
      <c r="W171" s="181"/>
      <c r="X171" s="181"/>
      <c r="Y171" s="181"/>
      <c r="Z171" s="181"/>
    </row>
    <row r="172">
      <c r="A172" s="181"/>
      <c r="B172" s="181"/>
      <c r="C172" s="181"/>
      <c r="D172" s="181"/>
      <c r="E172" s="181"/>
      <c r="F172" s="181"/>
      <c r="G172" s="181"/>
      <c r="H172" s="181"/>
      <c r="I172" s="181"/>
      <c r="J172" s="181"/>
      <c r="K172" s="181"/>
      <c r="L172" s="181"/>
      <c r="M172" s="181"/>
      <c r="N172" s="181"/>
      <c r="O172" s="181"/>
      <c r="P172" s="181"/>
      <c r="Q172" s="181"/>
      <c r="R172" s="181"/>
      <c r="S172" s="181"/>
      <c r="T172" s="181"/>
      <c r="U172" s="181"/>
      <c r="V172" s="181"/>
      <c r="W172" s="181"/>
      <c r="X172" s="181"/>
      <c r="Y172" s="181"/>
      <c r="Z172" s="181"/>
    </row>
    <row r="173">
      <c r="A173" s="181"/>
      <c r="B173" s="181"/>
      <c r="C173" s="181"/>
      <c r="D173" s="181"/>
      <c r="E173" s="181"/>
      <c r="F173" s="181"/>
      <c r="G173" s="181"/>
      <c r="H173" s="181"/>
      <c r="I173" s="181"/>
      <c r="J173" s="181"/>
      <c r="K173" s="181"/>
      <c r="L173" s="181"/>
      <c r="M173" s="181"/>
      <c r="N173" s="181"/>
      <c r="O173" s="181"/>
      <c r="P173" s="181"/>
      <c r="Q173" s="181"/>
      <c r="R173" s="181"/>
      <c r="S173" s="181"/>
      <c r="T173" s="181"/>
      <c r="U173" s="181"/>
      <c r="V173" s="181"/>
      <c r="W173" s="181"/>
      <c r="X173" s="181"/>
      <c r="Y173" s="181"/>
      <c r="Z173" s="181"/>
    </row>
    <row r="174">
      <c r="A174" s="181"/>
      <c r="B174" s="181"/>
      <c r="C174" s="181"/>
      <c r="D174" s="181"/>
      <c r="E174" s="181"/>
      <c r="F174" s="181"/>
      <c r="G174" s="181"/>
      <c r="H174" s="181"/>
      <c r="I174" s="181"/>
      <c r="J174" s="181"/>
      <c r="K174" s="181"/>
      <c r="L174" s="181"/>
      <c r="M174" s="181"/>
      <c r="N174" s="181"/>
      <c r="O174" s="181"/>
      <c r="P174" s="181"/>
      <c r="Q174" s="181"/>
      <c r="R174" s="181"/>
      <c r="S174" s="181"/>
      <c r="T174" s="181"/>
      <c r="U174" s="181"/>
      <c r="V174" s="181"/>
      <c r="W174" s="181"/>
      <c r="X174" s="181"/>
      <c r="Y174" s="181"/>
      <c r="Z174" s="181"/>
    </row>
    <row r="175">
      <c r="A175" s="181"/>
      <c r="B175" s="181"/>
      <c r="C175" s="181"/>
      <c r="D175" s="181"/>
      <c r="E175" s="181"/>
      <c r="F175" s="181"/>
      <c r="G175" s="181"/>
      <c r="H175" s="181"/>
      <c r="I175" s="181"/>
      <c r="J175" s="181"/>
      <c r="K175" s="181"/>
      <c r="L175" s="181"/>
      <c r="M175" s="181"/>
      <c r="N175" s="181"/>
      <c r="O175" s="181"/>
      <c r="P175" s="181"/>
      <c r="Q175" s="181"/>
      <c r="R175" s="181"/>
      <c r="S175" s="181"/>
      <c r="T175" s="181"/>
      <c r="U175" s="181"/>
      <c r="V175" s="181"/>
      <c r="W175" s="181"/>
      <c r="X175" s="181"/>
      <c r="Y175" s="181"/>
      <c r="Z175" s="181"/>
    </row>
    <row r="176">
      <c r="A176" s="181"/>
      <c r="B176" s="181"/>
      <c r="C176" s="181"/>
      <c r="D176" s="181"/>
      <c r="E176" s="181"/>
      <c r="F176" s="181"/>
      <c r="G176" s="181"/>
      <c r="H176" s="181"/>
      <c r="I176" s="181"/>
      <c r="J176" s="181"/>
      <c r="K176" s="181"/>
      <c r="L176" s="181"/>
      <c r="M176" s="181"/>
      <c r="N176" s="181"/>
      <c r="O176" s="181"/>
      <c r="P176" s="181"/>
      <c r="Q176" s="181"/>
      <c r="R176" s="181"/>
      <c r="S176" s="181"/>
      <c r="T176" s="181"/>
      <c r="U176" s="181"/>
      <c r="V176" s="181"/>
      <c r="W176" s="181"/>
      <c r="X176" s="181"/>
      <c r="Y176" s="181"/>
      <c r="Z176" s="181"/>
    </row>
    <row r="177">
      <c r="A177" s="181"/>
      <c r="B177" s="181"/>
      <c r="C177" s="181"/>
      <c r="D177" s="181"/>
      <c r="E177" s="181"/>
      <c r="F177" s="181"/>
      <c r="G177" s="181"/>
      <c r="H177" s="181"/>
      <c r="I177" s="181"/>
      <c r="J177" s="181"/>
      <c r="K177" s="181"/>
      <c r="L177" s="181"/>
      <c r="M177" s="181"/>
      <c r="N177" s="181"/>
      <c r="O177" s="181"/>
      <c r="P177" s="181"/>
      <c r="Q177" s="181"/>
      <c r="R177" s="181"/>
      <c r="S177" s="181"/>
      <c r="T177" s="181"/>
      <c r="U177" s="181"/>
      <c r="V177" s="181"/>
      <c r="W177" s="181"/>
      <c r="X177" s="181"/>
      <c r="Y177" s="181"/>
      <c r="Z177" s="181"/>
    </row>
    <row r="178">
      <c r="A178" s="181"/>
      <c r="B178" s="181"/>
      <c r="C178" s="181"/>
      <c r="D178" s="181"/>
      <c r="E178" s="181"/>
      <c r="F178" s="181"/>
      <c r="G178" s="181"/>
      <c r="H178" s="181"/>
      <c r="I178" s="181"/>
      <c r="J178" s="181"/>
      <c r="K178" s="181"/>
      <c r="L178" s="181"/>
      <c r="M178" s="181"/>
      <c r="N178" s="181"/>
      <c r="O178" s="181"/>
      <c r="P178" s="181"/>
      <c r="Q178" s="181"/>
      <c r="R178" s="181"/>
      <c r="S178" s="181"/>
      <c r="T178" s="181"/>
      <c r="U178" s="181"/>
      <c r="V178" s="181"/>
      <c r="W178" s="181"/>
      <c r="X178" s="181"/>
      <c r="Y178" s="181"/>
      <c r="Z178" s="181"/>
    </row>
    <row r="179">
      <c r="A179" s="181"/>
      <c r="B179" s="181"/>
      <c r="C179" s="181"/>
      <c r="D179" s="181"/>
      <c r="E179" s="181"/>
      <c r="F179" s="181"/>
      <c r="G179" s="181"/>
      <c r="H179" s="181"/>
      <c r="I179" s="181"/>
      <c r="J179" s="181"/>
      <c r="K179" s="181"/>
      <c r="L179" s="181"/>
      <c r="M179" s="181"/>
      <c r="N179" s="181"/>
      <c r="O179" s="181"/>
      <c r="P179" s="181"/>
      <c r="Q179" s="181"/>
      <c r="R179" s="181"/>
      <c r="S179" s="181"/>
      <c r="T179" s="181"/>
      <c r="U179" s="181"/>
      <c r="V179" s="181"/>
      <c r="W179" s="181"/>
      <c r="X179" s="181"/>
      <c r="Y179" s="181"/>
      <c r="Z179" s="181"/>
    </row>
    <row r="180">
      <c r="A180" s="181"/>
      <c r="B180" s="181"/>
      <c r="C180" s="181"/>
      <c r="D180" s="181"/>
      <c r="E180" s="181"/>
      <c r="F180" s="181"/>
      <c r="G180" s="181"/>
      <c r="H180" s="181"/>
      <c r="I180" s="181"/>
      <c r="J180" s="181"/>
      <c r="K180" s="181"/>
      <c r="L180" s="181"/>
      <c r="M180" s="181"/>
      <c r="N180" s="181"/>
      <c r="O180" s="181"/>
      <c r="P180" s="181"/>
      <c r="Q180" s="181"/>
      <c r="R180" s="181"/>
      <c r="S180" s="181"/>
      <c r="T180" s="181"/>
      <c r="U180" s="181"/>
      <c r="V180" s="181"/>
      <c r="W180" s="181"/>
      <c r="X180" s="181"/>
      <c r="Y180" s="181"/>
      <c r="Z180" s="181"/>
    </row>
    <row r="181">
      <c r="A181" s="181"/>
      <c r="B181" s="181"/>
      <c r="C181" s="181"/>
      <c r="D181" s="181"/>
      <c r="E181" s="181"/>
      <c r="F181" s="181"/>
      <c r="G181" s="181"/>
      <c r="H181" s="181"/>
      <c r="I181" s="181"/>
      <c r="J181" s="181"/>
      <c r="K181" s="181"/>
      <c r="L181" s="181"/>
      <c r="M181" s="181"/>
      <c r="N181" s="181"/>
      <c r="O181" s="181"/>
      <c r="P181" s="181"/>
      <c r="Q181" s="181"/>
      <c r="R181" s="181"/>
      <c r="S181" s="181"/>
      <c r="T181" s="181"/>
      <c r="U181" s="181"/>
      <c r="V181" s="181"/>
      <c r="W181" s="181"/>
      <c r="X181" s="181"/>
      <c r="Y181" s="181"/>
      <c r="Z181" s="181"/>
    </row>
    <row r="182">
      <c r="A182" s="181"/>
      <c r="B182" s="181"/>
      <c r="C182" s="181"/>
      <c r="D182" s="181"/>
      <c r="E182" s="181"/>
      <c r="F182" s="181"/>
      <c r="G182" s="181"/>
      <c r="H182" s="181"/>
      <c r="I182" s="181"/>
      <c r="J182" s="181"/>
      <c r="K182" s="181"/>
      <c r="L182" s="181"/>
      <c r="M182" s="181"/>
      <c r="N182" s="181"/>
      <c r="O182" s="181"/>
      <c r="P182" s="181"/>
      <c r="Q182" s="181"/>
      <c r="R182" s="181"/>
      <c r="S182" s="181"/>
      <c r="T182" s="181"/>
      <c r="U182" s="181"/>
      <c r="V182" s="181"/>
      <c r="W182" s="181"/>
      <c r="X182" s="181"/>
      <c r="Y182" s="181"/>
      <c r="Z182" s="181"/>
    </row>
    <row r="183">
      <c r="A183" s="181"/>
      <c r="B183" s="181"/>
      <c r="C183" s="181"/>
      <c r="D183" s="181"/>
      <c r="E183" s="181"/>
      <c r="F183" s="181"/>
      <c r="G183" s="181"/>
      <c r="H183" s="181"/>
      <c r="I183" s="181"/>
      <c r="J183" s="181"/>
      <c r="K183" s="181"/>
      <c r="L183" s="181"/>
      <c r="M183" s="181"/>
      <c r="N183" s="181"/>
      <c r="O183" s="181"/>
      <c r="P183" s="181"/>
      <c r="Q183" s="181"/>
      <c r="R183" s="181"/>
      <c r="S183" s="181"/>
      <c r="T183" s="181"/>
      <c r="U183" s="181"/>
      <c r="V183" s="181"/>
      <c r="W183" s="181"/>
      <c r="X183" s="181"/>
      <c r="Y183" s="181"/>
      <c r="Z183" s="181"/>
    </row>
    <row r="184">
      <c r="A184" s="181"/>
      <c r="B184" s="181"/>
      <c r="C184" s="181"/>
      <c r="D184" s="181"/>
      <c r="E184" s="181"/>
      <c r="F184" s="181"/>
      <c r="G184" s="181"/>
      <c r="H184" s="181"/>
      <c r="I184" s="181"/>
      <c r="J184" s="181"/>
      <c r="K184" s="181"/>
      <c r="L184" s="181"/>
      <c r="M184" s="181"/>
      <c r="N184" s="181"/>
      <c r="O184" s="181"/>
      <c r="P184" s="181"/>
      <c r="Q184" s="181"/>
      <c r="R184" s="181"/>
      <c r="S184" s="181"/>
      <c r="T184" s="181"/>
      <c r="U184" s="181"/>
      <c r="V184" s="181"/>
      <c r="W184" s="181"/>
      <c r="X184" s="181"/>
      <c r="Y184" s="181"/>
      <c r="Z184" s="181"/>
    </row>
    <row r="185">
      <c r="A185" s="181"/>
      <c r="B185" s="181"/>
      <c r="C185" s="181"/>
      <c r="D185" s="181"/>
      <c r="E185" s="181"/>
      <c r="F185" s="181"/>
      <c r="G185" s="181"/>
      <c r="H185" s="181"/>
      <c r="I185" s="181"/>
      <c r="J185" s="181"/>
      <c r="K185" s="181"/>
      <c r="L185" s="181"/>
      <c r="M185" s="181"/>
      <c r="N185" s="181"/>
      <c r="O185" s="181"/>
      <c r="P185" s="181"/>
      <c r="Q185" s="181"/>
      <c r="R185" s="181"/>
      <c r="S185" s="181"/>
      <c r="T185" s="181"/>
      <c r="U185" s="181"/>
      <c r="V185" s="181"/>
      <c r="W185" s="181"/>
      <c r="X185" s="181"/>
      <c r="Y185" s="181"/>
      <c r="Z185" s="181"/>
    </row>
    <row r="186">
      <c r="A186" s="181"/>
      <c r="B186" s="181"/>
      <c r="C186" s="181"/>
      <c r="D186" s="181"/>
      <c r="E186" s="181"/>
      <c r="F186" s="181"/>
      <c r="G186" s="181"/>
      <c r="H186" s="181"/>
      <c r="I186" s="181"/>
      <c r="J186" s="181"/>
      <c r="K186" s="181"/>
      <c r="L186" s="181"/>
      <c r="M186" s="181"/>
      <c r="N186" s="181"/>
      <c r="O186" s="181"/>
      <c r="P186" s="181"/>
      <c r="Q186" s="181"/>
      <c r="R186" s="181"/>
      <c r="S186" s="181"/>
      <c r="T186" s="181"/>
      <c r="U186" s="181"/>
      <c r="V186" s="181"/>
      <c r="W186" s="181"/>
      <c r="X186" s="181"/>
      <c r="Y186" s="181"/>
      <c r="Z186" s="181"/>
    </row>
    <row r="187">
      <c r="A187" s="181"/>
      <c r="B187" s="181"/>
      <c r="C187" s="181"/>
      <c r="D187" s="181"/>
      <c r="E187" s="181"/>
      <c r="F187" s="181"/>
      <c r="G187" s="181"/>
      <c r="H187" s="181"/>
      <c r="I187" s="181"/>
      <c r="J187" s="181"/>
      <c r="K187" s="181"/>
      <c r="L187" s="181"/>
      <c r="M187" s="181"/>
      <c r="N187" s="181"/>
      <c r="O187" s="181"/>
      <c r="P187" s="181"/>
      <c r="Q187" s="181"/>
      <c r="R187" s="181"/>
      <c r="S187" s="181"/>
      <c r="T187" s="181"/>
      <c r="U187" s="181"/>
      <c r="V187" s="181"/>
      <c r="W187" s="181"/>
      <c r="X187" s="181"/>
      <c r="Y187" s="181"/>
      <c r="Z187" s="181"/>
    </row>
    <row r="188">
      <c r="A188" s="181"/>
      <c r="B188" s="181"/>
      <c r="C188" s="181"/>
      <c r="D188" s="181"/>
      <c r="E188" s="181"/>
      <c r="F188" s="181"/>
      <c r="G188" s="181"/>
      <c r="H188" s="181"/>
      <c r="I188" s="181"/>
      <c r="J188" s="181"/>
      <c r="K188" s="181"/>
      <c r="L188" s="181"/>
      <c r="M188" s="181"/>
      <c r="N188" s="181"/>
      <c r="O188" s="181"/>
      <c r="P188" s="181"/>
      <c r="Q188" s="181"/>
      <c r="R188" s="181"/>
      <c r="S188" s="181"/>
      <c r="T188" s="181"/>
      <c r="U188" s="181"/>
      <c r="V188" s="181"/>
      <c r="W188" s="181"/>
      <c r="X188" s="181"/>
      <c r="Y188" s="181"/>
      <c r="Z188" s="181"/>
    </row>
    <row r="189">
      <c r="A189" s="181"/>
      <c r="B189" s="181"/>
      <c r="C189" s="181"/>
      <c r="D189" s="181"/>
      <c r="E189" s="181"/>
      <c r="F189" s="181"/>
      <c r="G189" s="181"/>
      <c r="H189" s="181"/>
      <c r="I189" s="181"/>
      <c r="J189" s="181"/>
      <c r="K189" s="181"/>
      <c r="L189" s="181"/>
      <c r="M189" s="181"/>
      <c r="N189" s="181"/>
      <c r="O189" s="181"/>
      <c r="P189" s="181"/>
      <c r="Q189" s="181"/>
      <c r="R189" s="181"/>
      <c r="S189" s="181"/>
      <c r="T189" s="181"/>
      <c r="U189" s="181"/>
      <c r="V189" s="181"/>
      <c r="W189" s="181"/>
      <c r="X189" s="181"/>
      <c r="Y189" s="181"/>
      <c r="Z189" s="181"/>
    </row>
    <row r="190">
      <c r="A190" s="181"/>
      <c r="B190" s="181"/>
      <c r="C190" s="181"/>
      <c r="D190" s="181"/>
      <c r="E190" s="181"/>
      <c r="F190" s="181"/>
      <c r="G190" s="181"/>
      <c r="H190" s="181"/>
      <c r="I190" s="181"/>
      <c r="J190" s="181"/>
      <c r="K190" s="181"/>
      <c r="L190" s="181"/>
      <c r="M190" s="181"/>
      <c r="N190" s="181"/>
      <c r="O190" s="181"/>
      <c r="P190" s="181"/>
      <c r="Q190" s="181"/>
      <c r="R190" s="181"/>
      <c r="S190" s="181"/>
      <c r="T190" s="181"/>
      <c r="U190" s="181"/>
      <c r="V190" s="181"/>
      <c r="W190" s="181"/>
      <c r="X190" s="181"/>
      <c r="Y190" s="181"/>
      <c r="Z190" s="181"/>
    </row>
    <row r="191">
      <c r="A191" s="181"/>
      <c r="B191" s="181"/>
      <c r="C191" s="181"/>
      <c r="D191" s="181"/>
      <c r="E191" s="181"/>
      <c r="F191" s="181"/>
      <c r="G191" s="181"/>
      <c r="H191" s="181"/>
      <c r="I191" s="181"/>
      <c r="J191" s="181"/>
      <c r="K191" s="181"/>
      <c r="L191" s="181"/>
      <c r="M191" s="181"/>
      <c r="N191" s="181"/>
      <c r="O191" s="181"/>
      <c r="P191" s="181"/>
      <c r="Q191" s="181"/>
      <c r="R191" s="181"/>
      <c r="S191" s="181"/>
      <c r="T191" s="181"/>
      <c r="U191" s="181"/>
      <c r="V191" s="181"/>
      <c r="W191" s="181"/>
      <c r="X191" s="181"/>
      <c r="Y191" s="181"/>
      <c r="Z191" s="181"/>
    </row>
    <row r="192">
      <c r="A192" s="181"/>
      <c r="B192" s="181"/>
      <c r="C192" s="181"/>
      <c r="D192" s="181"/>
      <c r="E192" s="181"/>
      <c r="F192" s="181"/>
      <c r="G192" s="181"/>
      <c r="H192" s="181"/>
      <c r="I192" s="181"/>
      <c r="J192" s="181"/>
      <c r="K192" s="181"/>
      <c r="L192" s="181"/>
      <c r="M192" s="181"/>
      <c r="N192" s="181"/>
      <c r="O192" s="181"/>
      <c r="P192" s="181"/>
      <c r="Q192" s="181"/>
      <c r="R192" s="181"/>
      <c r="S192" s="181"/>
      <c r="T192" s="181"/>
      <c r="U192" s="181"/>
      <c r="V192" s="181"/>
      <c r="W192" s="181"/>
      <c r="X192" s="181"/>
      <c r="Y192" s="181"/>
      <c r="Z192" s="181"/>
    </row>
    <row r="193">
      <c r="A193" s="181"/>
      <c r="B193" s="181"/>
      <c r="C193" s="181"/>
      <c r="D193" s="181"/>
      <c r="E193" s="181"/>
      <c r="F193" s="181"/>
      <c r="G193" s="181"/>
      <c r="H193" s="181"/>
      <c r="I193" s="181"/>
      <c r="J193" s="181"/>
      <c r="K193" s="181"/>
      <c r="L193" s="181"/>
      <c r="M193" s="181"/>
      <c r="N193" s="181"/>
      <c r="O193" s="181"/>
      <c r="P193" s="181"/>
      <c r="Q193" s="181"/>
      <c r="R193" s="181"/>
      <c r="S193" s="181"/>
      <c r="T193" s="181"/>
      <c r="U193" s="181"/>
      <c r="V193" s="181"/>
      <c r="W193" s="181"/>
      <c r="X193" s="181"/>
      <c r="Y193" s="181"/>
      <c r="Z193" s="181"/>
    </row>
    <row r="194">
      <c r="A194" s="181"/>
      <c r="B194" s="181"/>
      <c r="C194" s="181"/>
      <c r="D194" s="181"/>
      <c r="E194" s="181"/>
      <c r="F194" s="181"/>
      <c r="G194" s="181"/>
      <c r="H194" s="181"/>
      <c r="I194" s="181"/>
      <c r="J194" s="181"/>
      <c r="K194" s="181"/>
      <c r="L194" s="181"/>
      <c r="M194" s="181"/>
      <c r="N194" s="181"/>
      <c r="O194" s="181"/>
      <c r="P194" s="181"/>
      <c r="Q194" s="181"/>
      <c r="R194" s="181"/>
      <c r="S194" s="181"/>
      <c r="T194" s="181"/>
      <c r="U194" s="181"/>
      <c r="V194" s="181"/>
      <c r="W194" s="181"/>
      <c r="X194" s="181"/>
      <c r="Y194" s="181"/>
      <c r="Z194" s="181"/>
    </row>
    <row r="195">
      <c r="A195" s="181"/>
      <c r="B195" s="181"/>
      <c r="C195" s="181"/>
      <c r="D195" s="181"/>
      <c r="E195" s="181"/>
      <c r="F195" s="181"/>
      <c r="G195" s="181"/>
      <c r="H195" s="181"/>
      <c r="I195" s="181"/>
      <c r="J195" s="181"/>
      <c r="K195" s="181"/>
      <c r="L195" s="181"/>
      <c r="M195" s="181"/>
      <c r="N195" s="181"/>
      <c r="O195" s="181"/>
      <c r="P195" s="181"/>
      <c r="Q195" s="181"/>
      <c r="R195" s="181"/>
      <c r="S195" s="181"/>
      <c r="T195" s="181"/>
      <c r="U195" s="181"/>
      <c r="V195" s="181"/>
      <c r="W195" s="181"/>
      <c r="X195" s="181"/>
      <c r="Y195" s="181"/>
      <c r="Z195" s="181"/>
    </row>
    <row r="196">
      <c r="A196" s="181"/>
      <c r="B196" s="181"/>
      <c r="C196" s="181"/>
      <c r="D196" s="181"/>
      <c r="E196" s="181"/>
      <c r="F196" s="181"/>
      <c r="G196" s="181"/>
      <c r="H196" s="181"/>
      <c r="I196" s="181"/>
      <c r="J196" s="181"/>
      <c r="K196" s="181"/>
      <c r="L196" s="181"/>
      <c r="M196" s="181"/>
      <c r="N196" s="181"/>
      <c r="O196" s="181"/>
      <c r="P196" s="181"/>
      <c r="Q196" s="181"/>
      <c r="R196" s="181"/>
      <c r="S196" s="181"/>
      <c r="T196" s="181"/>
      <c r="U196" s="181"/>
      <c r="V196" s="181"/>
      <c r="W196" s="181"/>
      <c r="X196" s="181"/>
      <c r="Y196" s="181"/>
      <c r="Z196" s="181"/>
    </row>
    <row r="197">
      <c r="A197" s="181"/>
      <c r="B197" s="181"/>
      <c r="C197" s="181"/>
      <c r="D197" s="181"/>
      <c r="E197" s="181"/>
      <c r="F197" s="181"/>
      <c r="G197" s="181"/>
      <c r="H197" s="181"/>
      <c r="I197" s="181"/>
      <c r="J197" s="181"/>
      <c r="K197" s="181"/>
      <c r="L197" s="181"/>
      <c r="M197" s="181"/>
      <c r="N197" s="181"/>
      <c r="O197" s="181"/>
      <c r="P197" s="181"/>
      <c r="Q197" s="181"/>
      <c r="R197" s="181"/>
      <c r="S197" s="181"/>
      <c r="T197" s="181"/>
      <c r="U197" s="181"/>
      <c r="V197" s="181"/>
      <c r="W197" s="181"/>
      <c r="X197" s="181"/>
      <c r="Y197" s="181"/>
      <c r="Z197" s="181"/>
    </row>
    <row r="198">
      <c r="A198" s="181"/>
      <c r="B198" s="181"/>
      <c r="C198" s="181"/>
      <c r="D198" s="181"/>
      <c r="E198" s="181"/>
      <c r="F198" s="181"/>
      <c r="G198" s="181"/>
      <c r="H198" s="181"/>
      <c r="I198" s="181"/>
      <c r="J198" s="181"/>
      <c r="K198" s="181"/>
      <c r="L198" s="181"/>
      <c r="M198" s="181"/>
      <c r="N198" s="181"/>
      <c r="O198" s="181"/>
      <c r="P198" s="181"/>
      <c r="Q198" s="181"/>
      <c r="R198" s="181"/>
      <c r="S198" s="181"/>
      <c r="T198" s="181"/>
      <c r="U198" s="181"/>
      <c r="V198" s="181"/>
      <c r="W198" s="181"/>
      <c r="X198" s="181"/>
      <c r="Y198" s="181"/>
      <c r="Z198" s="181"/>
    </row>
    <row r="199">
      <c r="A199" s="181"/>
      <c r="B199" s="181"/>
      <c r="C199" s="181"/>
      <c r="D199" s="181"/>
      <c r="E199" s="181"/>
      <c r="F199" s="181"/>
      <c r="G199" s="181"/>
      <c r="H199" s="181"/>
      <c r="I199" s="181"/>
      <c r="J199" s="181"/>
      <c r="K199" s="181"/>
      <c r="L199" s="181"/>
      <c r="M199" s="181"/>
      <c r="N199" s="181"/>
      <c r="O199" s="181"/>
      <c r="P199" s="181"/>
      <c r="Q199" s="181"/>
      <c r="R199" s="181"/>
      <c r="S199" s="181"/>
      <c r="T199" s="181"/>
      <c r="U199" s="181"/>
      <c r="V199" s="181"/>
      <c r="W199" s="181"/>
      <c r="X199" s="181"/>
      <c r="Y199" s="181"/>
      <c r="Z199" s="181"/>
    </row>
    <row r="200">
      <c r="A200" s="181"/>
      <c r="B200" s="181"/>
      <c r="C200" s="181"/>
      <c r="D200" s="181"/>
      <c r="E200" s="181"/>
      <c r="F200" s="181"/>
      <c r="G200" s="181"/>
      <c r="H200" s="181"/>
      <c r="I200" s="181"/>
      <c r="J200" s="181"/>
      <c r="K200" s="181"/>
      <c r="L200" s="181"/>
      <c r="M200" s="181"/>
      <c r="N200" s="181"/>
      <c r="O200" s="181"/>
      <c r="P200" s="181"/>
      <c r="Q200" s="181"/>
      <c r="R200" s="181"/>
      <c r="S200" s="181"/>
      <c r="T200" s="181"/>
      <c r="U200" s="181"/>
      <c r="V200" s="181"/>
      <c r="W200" s="181"/>
      <c r="X200" s="181"/>
      <c r="Y200" s="181"/>
      <c r="Z200" s="181"/>
    </row>
    <row r="201">
      <c r="A201" s="181"/>
      <c r="B201" s="181"/>
      <c r="C201" s="181"/>
      <c r="D201" s="181"/>
      <c r="E201" s="181"/>
      <c r="F201" s="181"/>
      <c r="G201" s="181"/>
      <c r="H201" s="181"/>
      <c r="I201" s="181"/>
      <c r="J201" s="181"/>
      <c r="K201" s="181"/>
      <c r="L201" s="181"/>
      <c r="M201" s="181"/>
      <c r="N201" s="181"/>
      <c r="O201" s="181"/>
      <c r="P201" s="181"/>
      <c r="Q201" s="181"/>
      <c r="R201" s="181"/>
      <c r="S201" s="181"/>
      <c r="T201" s="181"/>
      <c r="U201" s="181"/>
      <c r="V201" s="181"/>
      <c r="W201" s="181"/>
      <c r="X201" s="181"/>
      <c r="Y201" s="181"/>
      <c r="Z201" s="181"/>
    </row>
    <row r="202">
      <c r="A202" s="181"/>
      <c r="B202" s="181"/>
      <c r="C202" s="181"/>
      <c r="D202" s="181"/>
      <c r="E202" s="181"/>
      <c r="F202" s="181"/>
      <c r="G202" s="181"/>
      <c r="H202" s="181"/>
      <c r="I202" s="181"/>
      <c r="J202" s="181"/>
      <c r="K202" s="181"/>
      <c r="L202" s="181"/>
      <c r="M202" s="181"/>
      <c r="N202" s="181"/>
      <c r="O202" s="181"/>
      <c r="P202" s="181"/>
      <c r="Q202" s="181"/>
      <c r="R202" s="181"/>
      <c r="S202" s="181"/>
      <c r="T202" s="181"/>
      <c r="U202" s="181"/>
      <c r="V202" s="181"/>
      <c r="W202" s="181"/>
      <c r="X202" s="181"/>
      <c r="Y202" s="181"/>
      <c r="Z202" s="181"/>
    </row>
    <row r="203">
      <c r="A203" s="181"/>
      <c r="B203" s="181"/>
      <c r="C203" s="181"/>
      <c r="D203" s="181"/>
      <c r="E203" s="181"/>
      <c r="F203" s="181"/>
      <c r="G203" s="181"/>
      <c r="H203" s="181"/>
      <c r="I203" s="181"/>
      <c r="J203" s="181"/>
      <c r="K203" s="181"/>
      <c r="L203" s="181"/>
      <c r="M203" s="181"/>
      <c r="N203" s="181"/>
      <c r="O203" s="181"/>
      <c r="P203" s="181"/>
      <c r="Q203" s="181"/>
      <c r="R203" s="181"/>
      <c r="S203" s="181"/>
      <c r="T203" s="181"/>
      <c r="U203" s="181"/>
      <c r="V203" s="181"/>
      <c r="W203" s="181"/>
      <c r="X203" s="181"/>
      <c r="Y203" s="181"/>
      <c r="Z203" s="181"/>
    </row>
    <row r="204">
      <c r="A204" s="181"/>
      <c r="B204" s="181"/>
      <c r="C204" s="181"/>
      <c r="D204" s="181"/>
      <c r="E204" s="181"/>
      <c r="F204" s="181"/>
      <c r="G204" s="181"/>
      <c r="H204" s="181"/>
      <c r="I204" s="181"/>
      <c r="J204" s="181"/>
      <c r="K204" s="181"/>
      <c r="L204" s="181"/>
      <c r="M204" s="181"/>
      <c r="N204" s="181"/>
      <c r="O204" s="181"/>
      <c r="P204" s="181"/>
      <c r="Q204" s="181"/>
      <c r="R204" s="181"/>
      <c r="S204" s="181"/>
      <c r="T204" s="181"/>
      <c r="U204" s="181"/>
      <c r="V204" s="181"/>
      <c r="W204" s="181"/>
      <c r="X204" s="181"/>
      <c r="Y204" s="181"/>
      <c r="Z204" s="181"/>
    </row>
    <row r="205">
      <c r="A205" s="181"/>
      <c r="B205" s="181"/>
      <c r="C205" s="181"/>
      <c r="D205" s="181"/>
      <c r="E205" s="181"/>
      <c r="F205" s="181"/>
      <c r="G205" s="181"/>
      <c r="H205" s="181"/>
      <c r="I205" s="181"/>
      <c r="J205" s="181"/>
      <c r="K205" s="181"/>
      <c r="L205" s="181"/>
      <c r="M205" s="181"/>
      <c r="N205" s="181"/>
      <c r="O205" s="181"/>
      <c r="P205" s="181"/>
      <c r="Q205" s="181"/>
      <c r="R205" s="181"/>
      <c r="S205" s="181"/>
      <c r="T205" s="181"/>
      <c r="U205" s="181"/>
      <c r="V205" s="181"/>
      <c r="W205" s="181"/>
      <c r="X205" s="181"/>
      <c r="Y205" s="181"/>
      <c r="Z205" s="181"/>
    </row>
    <row r="206">
      <c r="A206" s="181"/>
      <c r="B206" s="181"/>
      <c r="C206" s="181"/>
      <c r="D206" s="181"/>
      <c r="E206" s="181"/>
      <c r="F206" s="181"/>
      <c r="G206" s="181"/>
      <c r="H206" s="181"/>
      <c r="I206" s="181"/>
      <c r="J206" s="181"/>
      <c r="K206" s="181"/>
      <c r="L206" s="181"/>
      <c r="M206" s="181"/>
      <c r="N206" s="181"/>
      <c r="O206" s="181"/>
      <c r="P206" s="181"/>
      <c r="Q206" s="181"/>
      <c r="R206" s="181"/>
      <c r="S206" s="181"/>
      <c r="T206" s="181"/>
      <c r="U206" s="181"/>
      <c r="V206" s="181"/>
      <c r="W206" s="181"/>
      <c r="X206" s="181"/>
      <c r="Y206" s="181"/>
      <c r="Z206" s="181"/>
    </row>
    <row r="207">
      <c r="A207" s="181"/>
      <c r="B207" s="181"/>
      <c r="C207" s="181"/>
      <c r="D207" s="181"/>
      <c r="E207" s="181"/>
      <c r="F207" s="181"/>
      <c r="G207" s="181"/>
      <c r="H207" s="181"/>
      <c r="I207" s="181"/>
      <c r="J207" s="181"/>
      <c r="K207" s="181"/>
      <c r="L207" s="181"/>
      <c r="M207" s="181"/>
      <c r="N207" s="181"/>
      <c r="O207" s="181"/>
      <c r="P207" s="181"/>
      <c r="Q207" s="181"/>
      <c r="R207" s="181"/>
      <c r="S207" s="181"/>
      <c r="T207" s="181"/>
      <c r="U207" s="181"/>
      <c r="V207" s="181"/>
      <c r="W207" s="181"/>
      <c r="X207" s="181"/>
      <c r="Y207" s="181"/>
      <c r="Z207" s="181"/>
    </row>
    <row r="208">
      <c r="A208" s="181"/>
      <c r="B208" s="181"/>
      <c r="C208" s="181"/>
      <c r="D208" s="181"/>
      <c r="E208" s="181"/>
      <c r="F208" s="181"/>
      <c r="G208" s="181"/>
      <c r="H208" s="181"/>
      <c r="I208" s="181"/>
      <c r="J208" s="181"/>
      <c r="K208" s="181"/>
      <c r="L208" s="181"/>
      <c r="M208" s="181"/>
      <c r="N208" s="181"/>
      <c r="O208" s="181"/>
      <c r="P208" s="181"/>
      <c r="Q208" s="181"/>
      <c r="R208" s="181"/>
      <c r="S208" s="181"/>
      <c r="T208" s="181"/>
      <c r="U208" s="181"/>
      <c r="V208" s="181"/>
      <c r="W208" s="181"/>
      <c r="X208" s="181"/>
      <c r="Y208" s="181"/>
      <c r="Z208" s="181"/>
    </row>
    <row r="209">
      <c r="A209" s="181"/>
      <c r="B209" s="181"/>
      <c r="C209" s="181"/>
      <c r="D209" s="181"/>
      <c r="E209" s="181"/>
      <c r="F209" s="181"/>
      <c r="G209" s="181"/>
      <c r="H209" s="181"/>
      <c r="I209" s="181"/>
      <c r="J209" s="181"/>
      <c r="K209" s="181"/>
      <c r="L209" s="181"/>
      <c r="M209" s="181"/>
      <c r="N209" s="181"/>
      <c r="O209" s="181"/>
      <c r="P209" s="181"/>
      <c r="Q209" s="181"/>
      <c r="R209" s="181"/>
      <c r="S209" s="181"/>
      <c r="T209" s="181"/>
      <c r="U209" s="181"/>
      <c r="V209" s="181"/>
      <c r="W209" s="181"/>
      <c r="X209" s="181"/>
      <c r="Y209" s="181"/>
      <c r="Z209" s="181"/>
    </row>
    <row r="210">
      <c r="A210" s="181"/>
      <c r="B210" s="181"/>
      <c r="C210" s="181"/>
      <c r="D210" s="181"/>
      <c r="E210" s="181"/>
      <c r="F210" s="181"/>
      <c r="G210" s="181"/>
      <c r="H210" s="181"/>
      <c r="I210" s="181"/>
      <c r="J210" s="181"/>
      <c r="K210" s="181"/>
      <c r="L210" s="181"/>
      <c r="M210" s="181"/>
      <c r="N210" s="181"/>
      <c r="O210" s="181"/>
      <c r="P210" s="181"/>
      <c r="Q210" s="181"/>
      <c r="R210" s="181"/>
      <c r="S210" s="181"/>
      <c r="T210" s="181"/>
      <c r="U210" s="181"/>
      <c r="V210" s="181"/>
      <c r="W210" s="181"/>
      <c r="X210" s="181"/>
      <c r="Y210" s="181"/>
      <c r="Z210" s="181"/>
    </row>
    <row r="211">
      <c r="A211" s="181"/>
      <c r="B211" s="181"/>
      <c r="C211" s="181"/>
      <c r="D211" s="181"/>
      <c r="E211" s="181"/>
      <c r="F211" s="181"/>
      <c r="G211" s="181"/>
      <c r="H211" s="181"/>
      <c r="I211" s="181"/>
      <c r="J211" s="181"/>
      <c r="K211" s="181"/>
      <c r="L211" s="181"/>
      <c r="M211" s="181"/>
      <c r="N211" s="181"/>
      <c r="O211" s="181"/>
      <c r="P211" s="181"/>
      <c r="Q211" s="181"/>
      <c r="R211" s="181"/>
      <c r="S211" s="181"/>
      <c r="T211" s="181"/>
      <c r="U211" s="181"/>
      <c r="V211" s="181"/>
      <c r="W211" s="181"/>
      <c r="X211" s="181"/>
      <c r="Y211" s="181"/>
      <c r="Z211" s="181"/>
    </row>
    <row r="212">
      <c r="A212" s="181"/>
      <c r="B212" s="181"/>
      <c r="C212" s="181"/>
      <c r="D212" s="181"/>
      <c r="E212" s="181"/>
      <c r="F212" s="181"/>
      <c r="G212" s="181"/>
      <c r="H212" s="181"/>
      <c r="I212" s="181"/>
      <c r="J212" s="181"/>
      <c r="K212" s="181"/>
      <c r="L212" s="181"/>
      <c r="M212" s="181"/>
      <c r="N212" s="181"/>
      <c r="O212" s="181"/>
      <c r="P212" s="181"/>
      <c r="Q212" s="181"/>
      <c r="R212" s="181"/>
      <c r="S212" s="181"/>
      <c r="T212" s="181"/>
      <c r="U212" s="181"/>
      <c r="V212" s="181"/>
      <c r="W212" s="181"/>
      <c r="X212" s="181"/>
      <c r="Y212" s="181"/>
      <c r="Z212" s="181"/>
    </row>
    <row r="213">
      <c r="A213" s="181"/>
      <c r="B213" s="181"/>
      <c r="C213" s="181"/>
      <c r="D213" s="181"/>
      <c r="E213" s="181"/>
      <c r="F213" s="181"/>
      <c r="G213" s="181"/>
      <c r="H213" s="181"/>
      <c r="I213" s="181"/>
      <c r="J213" s="181"/>
      <c r="K213" s="181"/>
      <c r="L213" s="181"/>
      <c r="M213" s="181"/>
      <c r="N213" s="181"/>
      <c r="O213" s="181"/>
      <c r="P213" s="181"/>
      <c r="Q213" s="181"/>
      <c r="R213" s="181"/>
      <c r="S213" s="181"/>
      <c r="T213" s="181"/>
      <c r="U213" s="181"/>
      <c r="V213" s="181"/>
      <c r="W213" s="181"/>
      <c r="X213" s="181"/>
      <c r="Y213" s="181"/>
      <c r="Z213" s="181"/>
    </row>
    <row r="214">
      <c r="A214" s="181"/>
      <c r="B214" s="181"/>
      <c r="C214" s="181"/>
      <c r="D214" s="181"/>
      <c r="E214" s="181"/>
      <c r="F214" s="181"/>
      <c r="G214" s="181"/>
      <c r="H214" s="181"/>
      <c r="I214" s="181"/>
      <c r="J214" s="181"/>
      <c r="K214" s="181"/>
      <c r="L214" s="181"/>
      <c r="M214" s="181"/>
      <c r="N214" s="181"/>
      <c r="O214" s="181"/>
      <c r="P214" s="181"/>
      <c r="Q214" s="181"/>
      <c r="R214" s="181"/>
      <c r="S214" s="181"/>
      <c r="T214" s="181"/>
      <c r="U214" s="181"/>
      <c r="V214" s="181"/>
      <c r="W214" s="181"/>
      <c r="X214" s="181"/>
      <c r="Y214" s="181"/>
      <c r="Z214" s="181"/>
    </row>
    <row r="215">
      <c r="A215" s="181"/>
      <c r="B215" s="181"/>
      <c r="C215" s="181"/>
      <c r="D215" s="181"/>
      <c r="E215" s="181"/>
      <c r="F215" s="181"/>
      <c r="G215" s="181"/>
      <c r="H215" s="181"/>
      <c r="I215" s="181"/>
      <c r="J215" s="181"/>
      <c r="K215" s="181"/>
      <c r="L215" s="181"/>
      <c r="M215" s="181"/>
      <c r="N215" s="181"/>
      <c r="O215" s="181"/>
      <c r="P215" s="181"/>
      <c r="Q215" s="181"/>
      <c r="R215" s="181"/>
      <c r="S215" s="181"/>
      <c r="T215" s="181"/>
      <c r="U215" s="181"/>
      <c r="V215" s="181"/>
      <c r="W215" s="181"/>
      <c r="X215" s="181"/>
      <c r="Y215" s="181"/>
      <c r="Z215" s="181"/>
    </row>
    <row r="216">
      <c r="A216" s="181"/>
      <c r="B216" s="181"/>
      <c r="C216" s="181"/>
      <c r="D216" s="181"/>
      <c r="E216" s="181"/>
      <c r="F216" s="181"/>
      <c r="G216" s="181"/>
      <c r="H216" s="181"/>
      <c r="I216" s="181"/>
      <c r="J216" s="181"/>
      <c r="K216" s="181"/>
      <c r="L216" s="181"/>
      <c r="M216" s="181"/>
      <c r="N216" s="181"/>
      <c r="O216" s="181"/>
      <c r="P216" s="181"/>
      <c r="Q216" s="181"/>
      <c r="R216" s="181"/>
      <c r="S216" s="181"/>
      <c r="T216" s="181"/>
      <c r="U216" s="181"/>
      <c r="V216" s="181"/>
      <c r="W216" s="181"/>
      <c r="X216" s="181"/>
      <c r="Y216" s="181"/>
      <c r="Z216" s="181"/>
    </row>
    <row r="217">
      <c r="A217" s="181"/>
      <c r="B217" s="181"/>
      <c r="C217" s="181"/>
      <c r="D217" s="181"/>
      <c r="E217" s="181"/>
      <c r="F217" s="181"/>
      <c r="G217" s="181"/>
      <c r="H217" s="181"/>
      <c r="I217" s="181"/>
      <c r="J217" s="181"/>
      <c r="K217" s="181"/>
      <c r="L217" s="181"/>
      <c r="M217" s="181"/>
      <c r="N217" s="181"/>
      <c r="O217" s="181"/>
      <c r="P217" s="181"/>
      <c r="Q217" s="181"/>
      <c r="R217" s="181"/>
      <c r="S217" s="181"/>
      <c r="T217" s="181"/>
      <c r="U217" s="181"/>
      <c r="V217" s="181"/>
      <c r="W217" s="181"/>
      <c r="X217" s="181"/>
      <c r="Y217" s="181"/>
      <c r="Z217" s="181"/>
    </row>
    <row r="218">
      <c r="A218" s="181"/>
      <c r="B218" s="181"/>
      <c r="C218" s="181"/>
      <c r="D218" s="181"/>
      <c r="E218" s="181"/>
      <c r="F218" s="181"/>
      <c r="G218" s="181"/>
      <c r="H218" s="181"/>
      <c r="I218" s="181"/>
      <c r="J218" s="181"/>
      <c r="K218" s="181"/>
      <c r="L218" s="181"/>
      <c r="M218" s="181"/>
      <c r="N218" s="181"/>
      <c r="O218" s="181"/>
      <c r="P218" s="181"/>
      <c r="Q218" s="181"/>
      <c r="R218" s="181"/>
      <c r="S218" s="181"/>
      <c r="T218" s="181"/>
      <c r="U218" s="181"/>
      <c r="V218" s="181"/>
      <c r="W218" s="181"/>
      <c r="X218" s="181"/>
      <c r="Y218" s="181"/>
      <c r="Z218" s="181"/>
    </row>
    <row r="219">
      <c r="A219" s="181"/>
      <c r="B219" s="181"/>
      <c r="C219" s="181"/>
      <c r="D219" s="181"/>
      <c r="E219" s="181"/>
      <c r="F219" s="181"/>
      <c r="G219" s="181"/>
      <c r="H219" s="181"/>
      <c r="I219" s="181"/>
      <c r="J219" s="181"/>
      <c r="K219" s="181"/>
      <c r="L219" s="181"/>
      <c r="M219" s="181"/>
      <c r="N219" s="181"/>
      <c r="O219" s="181"/>
      <c r="P219" s="181"/>
      <c r="Q219" s="181"/>
      <c r="R219" s="181"/>
      <c r="S219" s="181"/>
      <c r="T219" s="181"/>
      <c r="U219" s="181"/>
      <c r="V219" s="181"/>
      <c r="W219" s="181"/>
      <c r="X219" s="181"/>
      <c r="Y219" s="181"/>
      <c r="Z219" s="181"/>
    </row>
    <row r="220">
      <c r="A220" s="181"/>
      <c r="B220" s="181"/>
      <c r="C220" s="181"/>
      <c r="D220" s="181"/>
      <c r="E220" s="181"/>
      <c r="F220" s="181"/>
      <c r="G220" s="181"/>
      <c r="H220" s="181"/>
      <c r="I220" s="181"/>
      <c r="J220" s="181"/>
      <c r="K220" s="181"/>
      <c r="L220" s="181"/>
      <c r="M220" s="181"/>
      <c r="N220" s="181"/>
      <c r="O220" s="181"/>
      <c r="P220" s="181"/>
      <c r="Q220" s="181"/>
      <c r="R220" s="181"/>
      <c r="S220" s="181"/>
      <c r="T220" s="181"/>
      <c r="U220" s="181"/>
      <c r="V220" s="181"/>
      <c r="W220" s="181"/>
      <c r="X220" s="181"/>
      <c r="Y220" s="181"/>
      <c r="Z220" s="181"/>
    </row>
    <row r="221">
      <c r="A221" s="181"/>
      <c r="B221" s="181"/>
      <c r="C221" s="181"/>
      <c r="D221" s="181"/>
      <c r="E221" s="181"/>
      <c r="F221" s="181"/>
      <c r="G221" s="181"/>
      <c r="H221" s="181"/>
      <c r="I221" s="181"/>
      <c r="J221" s="181"/>
      <c r="K221" s="181"/>
      <c r="L221" s="181"/>
      <c r="M221" s="181"/>
      <c r="N221" s="181"/>
      <c r="O221" s="181"/>
      <c r="P221" s="181"/>
      <c r="Q221" s="181"/>
      <c r="R221" s="181"/>
      <c r="S221" s="181"/>
      <c r="T221" s="181"/>
      <c r="U221" s="181"/>
      <c r="V221" s="181"/>
      <c r="W221" s="181"/>
      <c r="X221" s="181"/>
      <c r="Y221" s="181"/>
      <c r="Z221" s="181"/>
    </row>
    <row r="222">
      <c r="A222" s="181"/>
      <c r="B222" s="181"/>
      <c r="C222" s="181"/>
      <c r="D222" s="181"/>
      <c r="E222" s="181"/>
      <c r="F222" s="181"/>
      <c r="G222" s="181"/>
      <c r="H222" s="181"/>
      <c r="I222" s="181"/>
      <c r="J222" s="181"/>
      <c r="K222" s="181"/>
      <c r="L222" s="181"/>
      <c r="M222" s="181"/>
      <c r="N222" s="181"/>
      <c r="O222" s="181"/>
      <c r="P222" s="181"/>
      <c r="Q222" s="181"/>
      <c r="R222" s="181"/>
      <c r="S222" s="181"/>
      <c r="T222" s="181"/>
      <c r="U222" s="181"/>
      <c r="V222" s="181"/>
      <c r="W222" s="181"/>
      <c r="X222" s="181"/>
      <c r="Y222" s="181"/>
      <c r="Z222" s="181"/>
    </row>
    <row r="223">
      <c r="A223" s="181"/>
      <c r="B223" s="181"/>
      <c r="C223" s="181"/>
      <c r="D223" s="181"/>
      <c r="E223" s="181"/>
      <c r="F223" s="181"/>
      <c r="G223" s="181"/>
      <c r="H223" s="181"/>
      <c r="I223" s="181"/>
      <c r="J223" s="181"/>
      <c r="K223" s="181"/>
      <c r="L223" s="181"/>
      <c r="M223" s="181"/>
      <c r="N223" s="181"/>
      <c r="O223" s="181"/>
      <c r="P223" s="181"/>
      <c r="Q223" s="181"/>
      <c r="R223" s="181"/>
      <c r="S223" s="181"/>
      <c r="T223" s="181"/>
      <c r="U223" s="181"/>
      <c r="V223" s="181"/>
      <c r="W223" s="181"/>
      <c r="X223" s="181"/>
      <c r="Y223" s="181"/>
      <c r="Z223" s="181"/>
    </row>
    <row r="224">
      <c r="A224" s="181"/>
      <c r="B224" s="181"/>
      <c r="C224" s="181"/>
      <c r="D224" s="181"/>
      <c r="E224" s="181"/>
      <c r="F224" s="181"/>
      <c r="G224" s="181"/>
      <c r="H224" s="181"/>
      <c r="I224" s="181"/>
      <c r="J224" s="181"/>
      <c r="K224" s="181"/>
      <c r="L224" s="181"/>
      <c r="M224" s="181"/>
      <c r="N224" s="181"/>
      <c r="O224" s="181"/>
      <c r="P224" s="181"/>
      <c r="Q224" s="181"/>
      <c r="R224" s="181"/>
      <c r="S224" s="181"/>
      <c r="T224" s="181"/>
      <c r="U224" s="181"/>
      <c r="V224" s="181"/>
      <c r="W224" s="181"/>
      <c r="X224" s="181"/>
      <c r="Y224" s="181"/>
      <c r="Z224" s="181"/>
    </row>
    <row r="225">
      <c r="A225" s="181"/>
      <c r="B225" s="181"/>
      <c r="C225" s="181"/>
      <c r="D225" s="181"/>
      <c r="E225" s="181"/>
      <c r="F225" s="181"/>
      <c r="G225" s="181"/>
      <c r="H225" s="181"/>
      <c r="I225" s="181"/>
      <c r="J225" s="181"/>
      <c r="K225" s="181"/>
      <c r="L225" s="181"/>
      <c r="M225" s="181"/>
      <c r="N225" s="181"/>
      <c r="O225" s="181"/>
      <c r="P225" s="181"/>
      <c r="Q225" s="181"/>
      <c r="R225" s="181"/>
      <c r="S225" s="181"/>
      <c r="T225" s="181"/>
      <c r="U225" s="181"/>
      <c r="V225" s="181"/>
      <c r="W225" s="181"/>
      <c r="X225" s="181"/>
      <c r="Y225" s="181"/>
      <c r="Z225" s="181"/>
    </row>
    <row r="226">
      <c r="A226" s="181"/>
      <c r="B226" s="181"/>
      <c r="C226" s="181"/>
      <c r="D226" s="181"/>
      <c r="E226" s="181"/>
      <c r="F226" s="181"/>
      <c r="G226" s="181"/>
      <c r="H226" s="181"/>
      <c r="I226" s="181"/>
      <c r="J226" s="181"/>
      <c r="K226" s="181"/>
      <c r="L226" s="181"/>
      <c r="M226" s="181"/>
      <c r="N226" s="181"/>
      <c r="O226" s="181"/>
      <c r="P226" s="181"/>
      <c r="Q226" s="181"/>
      <c r="R226" s="181"/>
      <c r="S226" s="181"/>
      <c r="T226" s="181"/>
      <c r="U226" s="181"/>
      <c r="V226" s="181"/>
      <c r="W226" s="181"/>
      <c r="X226" s="181"/>
      <c r="Y226" s="181"/>
      <c r="Z226" s="181"/>
    </row>
    <row r="227">
      <c r="A227" s="181"/>
      <c r="B227" s="181"/>
      <c r="C227" s="181"/>
      <c r="D227" s="181"/>
      <c r="E227" s="181"/>
      <c r="F227" s="181"/>
      <c r="G227" s="181"/>
      <c r="H227" s="181"/>
      <c r="I227" s="181"/>
      <c r="J227" s="181"/>
      <c r="K227" s="181"/>
      <c r="L227" s="181"/>
      <c r="M227" s="181"/>
      <c r="N227" s="181"/>
      <c r="O227" s="181"/>
      <c r="P227" s="181"/>
      <c r="Q227" s="181"/>
      <c r="R227" s="181"/>
      <c r="S227" s="181"/>
      <c r="T227" s="181"/>
      <c r="U227" s="181"/>
      <c r="V227" s="181"/>
      <c r="W227" s="181"/>
      <c r="X227" s="181"/>
      <c r="Y227" s="181"/>
      <c r="Z227" s="181"/>
    </row>
    <row r="228">
      <c r="A228" s="181"/>
      <c r="B228" s="181"/>
      <c r="C228" s="181"/>
      <c r="D228" s="181"/>
      <c r="E228" s="181"/>
      <c r="F228" s="181"/>
      <c r="G228" s="181"/>
      <c r="H228" s="181"/>
      <c r="I228" s="181"/>
      <c r="J228" s="181"/>
      <c r="K228" s="181"/>
      <c r="L228" s="181"/>
      <c r="M228" s="181"/>
      <c r="N228" s="181"/>
      <c r="O228" s="181"/>
      <c r="P228" s="181"/>
      <c r="Q228" s="181"/>
      <c r="R228" s="181"/>
      <c r="S228" s="181"/>
      <c r="T228" s="181"/>
      <c r="U228" s="181"/>
      <c r="V228" s="181"/>
      <c r="W228" s="181"/>
      <c r="X228" s="181"/>
      <c r="Y228" s="181"/>
      <c r="Z228" s="181"/>
    </row>
    <row r="229">
      <c r="A229" s="181"/>
      <c r="B229" s="181"/>
      <c r="C229" s="181"/>
      <c r="D229" s="181"/>
      <c r="E229" s="181"/>
      <c r="F229" s="181"/>
      <c r="G229" s="181"/>
      <c r="H229" s="181"/>
      <c r="I229" s="181"/>
      <c r="J229" s="181"/>
      <c r="K229" s="181"/>
      <c r="L229" s="181"/>
      <c r="M229" s="181"/>
      <c r="N229" s="181"/>
      <c r="O229" s="181"/>
      <c r="P229" s="181"/>
      <c r="Q229" s="181"/>
      <c r="R229" s="181"/>
      <c r="S229" s="181"/>
      <c r="T229" s="181"/>
      <c r="U229" s="181"/>
      <c r="V229" s="181"/>
      <c r="W229" s="181"/>
      <c r="X229" s="181"/>
      <c r="Y229" s="181"/>
      <c r="Z229" s="181"/>
    </row>
    <row r="230">
      <c r="A230" s="181"/>
      <c r="B230" s="181"/>
      <c r="C230" s="181"/>
      <c r="D230" s="181"/>
      <c r="E230" s="181"/>
      <c r="F230" s="181"/>
      <c r="G230" s="181"/>
      <c r="H230" s="181"/>
      <c r="I230" s="181"/>
      <c r="J230" s="181"/>
      <c r="K230" s="181"/>
      <c r="L230" s="181"/>
      <c r="M230" s="181"/>
      <c r="N230" s="181"/>
      <c r="O230" s="181"/>
      <c r="P230" s="181"/>
      <c r="Q230" s="181"/>
      <c r="R230" s="181"/>
      <c r="S230" s="181"/>
      <c r="T230" s="181"/>
      <c r="U230" s="181"/>
      <c r="V230" s="181"/>
      <c r="W230" s="181"/>
      <c r="X230" s="181"/>
      <c r="Y230" s="181"/>
      <c r="Z230" s="181"/>
    </row>
    <row r="231">
      <c r="A231" s="181"/>
      <c r="B231" s="181"/>
      <c r="C231" s="181"/>
      <c r="D231" s="181"/>
      <c r="E231" s="181"/>
      <c r="F231" s="181"/>
      <c r="G231" s="181"/>
      <c r="H231" s="181"/>
      <c r="I231" s="181"/>
      <c r="J231" s="181"/>
      <c r="K231" s="181"/>
      <c r="L231" s="181"/>
      <c r="M231" s="181"/>
      <c r="N231" s="181"/>
      <c r="O231" s="181"/>
      <c r="P231" s="181"/>
      <c r="Q231" s="181"/>
      <c r="R231" s="181"/>
      <c r="S231" s="181"/>
      <c r="T231" s="181"/>
      <c r="U231" s="181"/>
      <c r="V231" s="181"/>
      <c r="W231" s="181"/>
      <c r="X231" s="181"/>
      <c r="Y231" s="181"/>
      <c r="Z231" s="181"/>
    </row>
    <row r="232">
      <c r="A232" s="181"/>
      <c r="B232" s="181"/>
      <c r="C232" s="181"/>
      <c r="D232" s="181"/>
      <c r="E232" s="181"/>
      <c r="F232" s="181"/>
      <c r="G232" s="181"/>
      <c r="H232" s="181"/>
      <c r="I232" s="181"/>
      <c r="J232" s="181"/>
      <c r="K232" s="181"/>
      <c r="L232" s="181"/>
      <c r="M232" s="181"/>
      <c r="N232" s="181"/>
      <c r="O232" s="181"/>
      <c r="P232" s="181"/>
      <c r="Q232" s="181"/>
      <c r="R232" s="181"/>
      <c r="S232" s="181"/>
      <c r="T232" s="181"/>
      <c r="U232" s="181"/>
      <c r="V232" s="181"/>
      <c r="W232" s="181"/>
      <c r="X232" s="181"/>
      <c r="Y232" s="181"/>
      <c r="Z232" s="181"/>
    </row>
    <row r="233">
      <c r="A233" s="181"/>
      <c r="B233" s="181"/>
      <c r="C233" s="181"/>
      <c r="D233" s="181"/>
      <c r="E233" s="181"/>
      <c r="F233" s="181"/>
      <c r="G233" s="181"/>
      <c r="H233" s="181"/>
      <c r="I233" s="181"/>
      <c r="J233" s="181"/>
      <c r="K233" s="181"/>
      <c r="L233" s="181"/>
      <c r="M233" s="181"/>
      <c r="N233" s="181"/>
      <c r="O233" s="181"/>
      <c r="P233" s="181"/>
      <c r="Q233" s="181"/>
      <c r="R233" s="181"/>
      <c r="S233" s="181"/>
      <c r="T233" s="181"/>
      <c r="U233" s="181"/>
      <c r="V233" s="181"/>
      <c r="W233" s="181"/>
      <c r="X233" s="181"/>
      <c r="Y233" s="181"/>
      <c r="Z233" s="181"/>
    </row>
    <row r="234">
      <c r="A234" s="181"/>
      <c r="B234" s="181"/>
      <c r="C234" s="181"/>
      <c r="D234" s="181"/>
      <c r="E234" s="181"/>
      <c r="F234" s="181"/>
      <c r="G234" s="181"/>
      <c r="H234" s="181"/>
      <c r="I234" s="181"/>
      <c r="J234" s="181"/>
      <c r="K234" s="181"/>
      <c r="L234" s="181"/>
      <c r="M234" s="181"/>
      <c r="N234" s="181"/>
      <c r="O234" s="181"/>
      <c r="P234" s="181"/>
      <c r="Q234" s="181"/>
      <c r="R234" s="181"/>
      <c r="S234" s="181"/>
      <c r="T234" s="181"/>
      <c r="U234" s="181"/>
      <c r="V234" s="181"/>
      <c r="W234" s="181"/>
      <c r="X234" s="181"/>
      <c r="Y234" s="181"/>
      <c r="Z234" s="181"/>
    </row>
    <row r="235">
      <c r="A235" s="181"/>
      <c r="B235" s="181"/>
      <c r="C235" s="181"/>
      <c r="D235" s="181"/>
      <c r="E235" s="181"/>
      <c r="F235" s="181"/>
      <c r="G235" s="181"/>
      <c r="H235" s="181"/>
      <c r="I235" s="181"/>
      <c r="J235" s="181"/>
      <c r="K235" s="181"/>
      <c r="L235" s="181"/>
      <c r="M235" s="181"/>
      <c r="N235" s="181"/>
      <c r="O235" s="181"/>
      <c r="P235" s="181"/>
      <c r="Q235" s="181"/>
      <c r="R235" s="181"/>
      <c r="S235" s="181"/>
      <c r="T235" s="181"/>
      <c r="U235" s="181"/>
      <c r="V235" s="181"/>
      <c r="W235" s="181"/>
      <c r="X235" s="181"/>
      <c r="Y235" s="181"/>
      <c r="Z235" s="181"/>
    </row>
    <row r="236">
      <c r="A236" s="181"/>
      <c r="B236" s="181"/>
      <c r="C236" s="181"/>
      <c r="D236" s="181"/>
      <c r="E236" s="181"/>
      <c r="F236" s="181"/>
      <c r="G236" s="181"/>
      <c r="H236" s="181"/>
      <c r="I236" s="181"/>
      <c r="J236" s="181"/>
      <c r="K236" s="181"/>
      <c r="L236" s="181"/>
      <c r="M236" s="181"/>
      <c r="N236" s="181"/>
      <c r="O236" s="181"/>
      <c r="P236" s="181"/>
      <c r="Q236" s="181"/>
      <c r="R236" s="181"/>
      <c r="S236" s="181"/>
      <c r="T236" s="181"/>
      <c r="U236" s="181"/>
      <c r="V236" s="181"/>
      <c r="W236" s="181"/>
      <c r="X236" s="181"/>
      <c r="Y236" s="181"/>
      <c r="Z236" s="181"/>
    </row>
    <row r="237">
      <c r="A237" s="181"/>
      <c r="B237" s="181"/>
      <c r="C237" s="181"/>
      <c r="D237" s="181"/>
      <c r="E237" s="181"/>
      <c r="F237" s="181"/>
      <c r="G237" s="181"/>
      <c r="H237" s="181"/>
      <c r="I237" s="181"/>
      <c r="J237" s="181"/>
      <c r="K237" s="181"/>
      <c r="L237" s="181"/>
      <c r="M237" s="181"/>
      <c r="N237" s="181"/>
      <c r="O237" s="181"/>
      <c r="P237" s="181"/>
      <c r="Q237" s="181"/>
      <c r="R237" s="181"/>
      <c r="S237" s="181"/>
      <c r="T237" s="181"/>
      <c r="U237" s="181"/>
      <c r="V237" s="181"/>
      <c r="W237" s="181"/>
      <c r="X237" s="181"/>
      <c r="Y237" s="181"/>
      <c r="Z237" s="181"/>
    </row>
    <row r="238">
      <c r="A238" s="181"/>
      <c r="B238" s="181"/>
      <c r="C238" s="181"/>
      <c r="D238" s="181"/>
      <c r="E238" s="181"/>
      <c r="F238" s="181"/>
      <c r="G238" s="181"/>
      <c r="H238" s="181"/>
      <c r="I238" s="181"/>
      <c r="J238" s="181"/>
      <c r="K238" s="181"/>
      <c r="L238" s="181"/>
      <c r="M238" s="181"/>
      <c r="N238" s="181"/>
      <c r="O238" s="181"/>
      <c r="P238" s="181"/>
      <c r="Q238" s="181"/>
      <c r="R238" s="181"/>
      <c r="S238" s="181"/>
      <c r="T238" s="181"/>
      <c r="U238" s="181"/>
      <c r="V238" s="181"/>
      <c r="W238" s="181"/>
      <c r="X238" s="181"/>
      <c r="Y238" s="181"/>
      <c r="Z238" s="181"/>
    </row>
    <row r="239">
      <c r="A239" s="181"/>
      <c r="B239" s="181"/>
      <c r="C239" s="181"/>
      <c r="D239" s="181"/>
      <c r="E239" s="181"/>
      <c r="F239" s="181"/>
      <c r="G239" s="181"/>
      <c r="H239" s="181"/>
      <c r="I239" s="181"/>
      <c r="J239" s="181"/>
      <c r="K239" s="181"/>
      <c r="L239" s="181"/>
      <c r="M239" s="181"/>
      <c r="N239" s="181"/>
      <c r="O239" s="181"/>
      <c r="P239" s="181"/>
      <c r="Q239" s="181"/>
      <c r="R239" s="181"/>
      <c r="S239" s="181"/>
      <c r="T239" s="181"/>
      <c r="U239" s="181"/>
      <c r="V239" s="181"/>
      <c r="W239" s="181"/>
      <c r="X239" s="181"/>
      <c r="Y239" s="181"/>
      <c r="Z239" s="181"/>
    </row>
    <row r="240">
      <c r="A240" s="181"/>
      <c r="B240" s="181"/>
      <c r="C240" s="181"/>
      <c r="D240" s="181"/>
      <c r="E240" s="181"/>
      <c r="F240" s="181"/>
      <c r="G240" s="181"/>
      <c r="H240" s="181"/>
      <c r="I240" s="181"/>
      <c r="J240" s="181"/>
      <c r="K240" s="181"/>
      <c r="L240" s="181"/>
      <c r="M240" s="181"/>
      <c r="N240" s="181"/>
      <c r="O240" s="181"/>
      <c r="P240" s="181"/>
      <c r="Q240" s="181"/>
      <c r="R240" s="181"/>
      <c r="S240" s="181"/>
      <c r="T240" s="181"/>
      <c r="U240" s="181"/>
      <c r="V240" s="181"/>
      <c r="W240" s="181"/>
      <c r="X240" s="181"/>
      <c r="Y240" s="181"/>
      <c r="Z240" s="181"/>
    </row>
    <row r="241">
      <c r="A241" s="181"/>
      <c r="B241" s="181"/>
      <c r="C241" s="181"/>
      <c r="D241" s="181"/>
      <c r="E241" s="181"/>
      <c r="F241" s="181"/>
      <c r="G241" s="181"/>
      <c r="H241" s="181"/>
      <c r="I241" s="181"/>
      <c r="J241" s="181"/>
      <c r="K241" s="181"/>
      <c r="L241" s="181"/>
      <c r="M241" s="181"/>
      <c r="N241" s="181"/>
      <c r="O241" s="181"/>
      <c r="P241" s="181"/>
      <c r="Q241" s="181"/>
      <c r="R241" s="181"/>
      <c r="S241" s="181"/>
      <c r="T241" s="181"/>
      <c r="U241" s="181"/>
      <c r="V241" s="181"/>
      <c r="W241" s="181"/>
      <c r="X241" s="181"/>
      <c r="Y241" s="181"/>
      <c r="Z241" s="181"/>
    </row>
    <row r="242">
      <c r="A242" s="181"/>
      <c r="B242" s="181"/>
      <c r="C242" s="181"/>
      <c r="D242" s="181"/>
      <c r="E242" s="181"/>
      <c r="F242" s="181"/>
      <c r="G242" s="181"/>
      <c r="H242" s="181"/>
      <c r="I242" s="181"/>
      <c r="J242" s="181"/>
      <c r="K242" s="181"/>
      <c r="L242" s="181"/>
      <c r="M242" s="181"/>
      <c r="N242" s="181"/>
      <c r="O242" s="181"/>
      <c r="P242" s="181"/>
      <c r="Q242" s="181"/>
      <c r="R242" s="181"/>
      <c r="S242" s="181"/>
      <c r="T242" s="181"/>
      <c r="U242" s="181"/>
      <c r="V242" s="181"/>
      <c r="W242" s="181"/>
      <c r="X242" s="181"/>
      <c r="Y242" s="181"/>
      <c r="Z242" s="181"/>
    </row>
    <row r="243">
      <c r="A243" s="181"/>
      <c r="B243" s="181"/>
      <c r="C243" s="181"/>
      <c r="D243" s="181"/>
      <c r="E243" s="181"/>
      <c r="F243" s="181"/>
      <c r="G243" s="181"/>
      <c r="H243" s="181"/>
      <c r="I243" s="181"/>
      <c r="J243" s="181"/>
      <c r="K243" s="181"/>
      <c r="L243" s="181"/>
      <c r="M243" s="181"/>
      <c r="N243" s="181"/>
      <c r="O243" s="181"/>
      <c r="P243" s="181"/>
      <c r="Q243" s="181"/>
      <c r="R243" s="181"/>
      <c r="S243" s="181"/>
      <c r="T243" s="181"/>
      <c r="U243" s="181"/>
      <c r="V243" s="181"/>
      <c r="W243" s="181"/>
      <c r="X243" s="181"/>
      <c r="Y243" s="181"/>
      <c r="Z243" s="181"/>
    </row>
    <row r="244">
      <c r="A244" s="181"/>
      <c r="B244" s="181"/>
      <c r="C244" s="181"/>
      <c r="D244" s="181"/>
      <c r="E244" s="181"/>
      <c r="F244" s="181"/>
      <c r="G244" s="181"/>
      <c r="H244" s="181"/>
      <c r="I244" s="181"/>
      <c r="J244" s="181"/>
      <c r="K244" s="181"/>
      <c r="L244" s="181"/>
      <c r="M244" s="181"/>
      <c r="N244" s="181"/>
      <c r="O244" s="181"/>
      <c r="P244" s="181"/>
      <c r="Q244" s="181"/>
      <c r="R244" s="181"/>
      <c r="S244" s="181"/>
      <c r="T244" s="181"/>
      <c r="U244" s="181"/>
      <c r="V244" s="181"/>
      <c r="W244" s="181"/>
      <c r="X244" s="181"/>
      <c r="Y244" s="181"/>
      <c r="Z244" s="181"/>
    </row>
    <row r="245">
      <c r="A245" s="181"/>
      <c r="B245" s="181"/>
      <c r="C245" s="181"/>
      <c r="D245" s="181"/>
      <c r="E245" s="181"/>
      <c r="F245" s="181"/>
      <c r="G245" s="181"/>
      <c r="H245" s="181"/>
      <c r="I245" s="181"/>
      <c r="J245" s="181"/>
      <c r="K245" s="181"/>
      <c r="L245" s="181"/>
      <c r="M245" s="181"/>
      <c r="N245" s="181"/>
      <c r="O245" s="181"/>
      <c r="P245" s="181"/>
      <c r="Q245" s="181"/>
      <c r="R245" s="181"/>
      <c r="S245" s="181"/>
      <c r="T245" s="181"/>
      <c r="U245" s="181"/>
      <c r="V245" s="181"/>
      <c r="W245" s="181"/>
      <c r="X245" s="181"/>
      <c r="Y245" s="181"/>
      <c r="Z245" s="181"/>
    </row>
    <row r="246">
      <c r="A246" s="181"/>
      <c r="B246" s="181"/>
      <c r="C246" s="181"/>
      <c r="D246" s="181"/>
      <c r="E246" s="181"/>
      <c r="F246" s="181"/>
      <c r="G246" s="181"/>
      <c r="H246" s="181"/>
      <c r="I246" s="181"/>
      <c r="J246" s="181"/>
      <c r="K246" s="181"/>
      <c r="L246" s="181"/>
      <c r="M246" s="181"/>
      <c r="N246" s="181"/>
      <c r="O246" s="181"/>
      <c r="P246" s="181"/>
      <c r="Q246" s="181"/>
      <c r="R246" s="181"/>
      <c r="S246" s="181"/>
      <c r="T246" s="181"/>
      <c r="U246" s="181"/>
      <c r="V246" s="181"/>
      <c r="W246" s="181"/>
      <c r="X246" s="181"/>
      <c r="Y246" s="181"/>
      <c r="Z246" s="181"/>
    </row>
    <row r="247">
      <c r="A247" s="181"/>
      <c r="B247" s="181"/>
      <c r="C247" s="181"/>
      <c r="D247" s="181"/>
      <c r="E247" s="181"/>
      <c r="F247" s="181"/>
      <c r="G247" s="181"/>
      <c r="H247" s="181"/>
      <c r="I247" s="181"/>
      <c r="J247" s="181"/>
      <c r="K247" s="181"/>
      <c r="L247" s="181"/>
      <c r="M247" s="181"/>
      <c r="N247" s="181"/>
      <c r="O247" s="181"/>
      <c r="P247" s="181"/>
      <c r="Q247" s="181"/>
      <c r="R247" s="181"/>
      <c r="S247" s="181"/>
      <c r="T247" s="181"/>
      <c r="U247" s="181"/>
      <c r="V247" s="181"/>
      <c r="W247" s="181"/>
      <c r="X247" s="181"/>
      <c r="Y247" s="181"/>
      <c r="Z247" s="181"/>
    </row>
    <row r="248">
      <c r="A248" s="181"/>
      <c r="B248" s="181"/>
      <c r="C248" s="181"/>
      <c r="D248" s="181"/>
      <c r="E248" s="181"/>
      <c r="F248" s="181"/>
      <c r="G248" s="181"/>
      <c r="H248" s="181"/>
      <c r="I248" s="181"/>
      <c r="J248" s="181"/>
      <c r="K248" s="181"/>
      <c r="L248" s="181"/>
      <c r="M248" s="181"/>
      <c r="N248" s="181"/>
      <c r="O248" s="181"/>
      <c r="P248" s="181"/>
      <c r="Q248" s="181"/>
      <c r="R248" s="181"/>
      <c r="S248" s="181"/>
      <c r="T248" s="181"/>
      <c r="U248" s="181"/>
      <c r="V248" s="181"/>
      <c r="W248" s="181"/>
      <c r="X248" s="181"/>
      <c r="Y248" s="181"/>
      <c r="Z248" s="181"/>
    </row>
    <row r="249">
      <c r="A249" s="181"/>
      <c r="B249" s="181"/>
      <c r="C249" s="181"/>
      <c r="D249" s="181"/>
      <c r="E249" s="181"/>
      <c r="F249" s="181"/>
      <c r="G249" s="181"/>
      <c r="H249" s="181"/>
      <c r="I249" s="181"/>
      <c r="J249" s="181"/>
      <c r="K249" s="181"/>
      <c r="L249" s="181"/>
      <c r="M249" s="181"/>
      <c r="N249" s="181"/>
      <c r="O249" s="181"/>
      <c r="P249" s="181"/>
      <c r="Q249" s="181"/>
      <c r="R249" s="181"/>
      <c r="S249" s="181"/>
      <c r="T249" s="181"/>
      <c r="U249" s="181"/>
      <c r="V249" s="181"/>
      <c r="W249" s="181"/>
      <c r="X249" s="181"/>
      <c r="Y249" s="181"/>
      <c r="Z249" s="181"/>
    </row>
    <row r="250">
      <c r="A250" s="181"/>
      <c r="B250" s="181"/>
      <c r="C250" s="181"/>
      <c r="D250" s="181"/>
      <c r="E250" s="181"/>
      <c r="F250" s="181"/>
      <c r="G250" s="181"/>
      <c r="H250" s="181"/>
      <c r="I250" s="181"/>
      <c r="J250" s="181"/>
      <c r="K250" s="181"/>
      <c r="L250" s="181"/>
      <c r="M250" s="181"/>
      <c r="N250" s="181"/>
      <c r="O250" s="181"/>
      <c r="P250" s="181"/>
      <c r="Q250" s="181"/>
      <c r="R250" s="181"/>
      <c r="S250" s="181"/>
      <c r="T250" s="181"/>
      <c r="U250" s="181"/>
      <c r="V250" s="181"/>
      <c r="W250" s="181"/>
      <c r="X250" s="181"/>
      <c r="Y250" s="181"/>
      <c r="Z250" s="181"/>
    </row>
    <row r="251">
      <c r="A251" s="181"/>
      <c r="B251" s="181"/>
      <c r="C251" s="181"/>
      <c r="D251" s="181"/>
      <c r="E251" s="181"/>
      <c r="F251" s="181"/>
      <c r="G251" s="181"/>
      <c r="H251" s="181"/>
      <c r="I251" s="181"/>
      <c r="J251" s="181"/>
      <c r="K251" s="181"/>
      <c r="L251" s="181"/>
      <c r="M251" s="181"/>
      <c r="N251" s="181"/>
      <c r="O251" s="181"/>
      <c r="P251" s="181"/>
      <c r="Q251" s="181"/>
      <c r="R251" s="181"/>
      <c r="S251" s="181"/>
      <c r="T251" s="181"/>
      <c r="U251" s="181"/>
      <c r="V251" s="181"/>
      <c r="W251" s="181"/>
      <c r="X251" s="181"/>
      <c r="Y251" s="181"/>
      <c r="Z251" s="181"/>
    </row>
    <row r="252">
      <c r="A252" s="181"/>
      <c r="B252" s="181"/>
      <c r="C252" s="181"/>
      <c r="D252" s="181"/>
      <c r="E252" s="181"/>
      <c r="F252" s="181"/>
      <c r="G252" s="181"/>
      <c r="H252" s="181"/>
      <c r="I252" s="181"/>
      <c r="J252" s="181"/>
      <c r="K252" s="181"/>
      <c r="L252" s="181"/>
      <c r="M252" s="181"/>
      <c r="N252" s="181"/>
      <c r="O252" s="181"/>
      <c r="P252" s="181"/>
      <c r="Q252" s="181"/>
      <c r="R252" s="181"/>
      <c r="S252" s="181"/>
      <c r="T252" s="181"/>
      <c r="U252" s="181"/>
      <c r="V252" s="181"/>
      <c r="W252" s="181"/>
      <c r="X252" s="181"/>
      <c r="Y252" s="181"/>
      <c r="Z252" s="181"/>
    </row>
    <row r="253">
      <c r="A253" s="181"/>
      <c r="B253" s="181"/>
      <c r="C253" s="181"/>
      <c r="D253" s="181"/>
      <c r="E253" s="181"/>
      <c r="F253" s="181"/>
      <c r="G253" s="181"/>
      <c r="H253" s="181"/>
      <c r="I253" s="181"/>
      <c r="J253" s="181"/>
      <c r="K253" s="181"/>
      <c r="L253" s="181"/>
      <c r="M253" s="181"/>
      <c r="N253" s="181"/>
      <c r="O253" s="181"/>
      <c r="P253" s="181"/>
      <c r="Q253" s="181"/>
      <c r="R253" s="181"/>
      <c r="S253" s="181"/>
      <c r="T253" s="181"/>
      <c r="U253" s="181"/>
      <c r="V253" s="181"/>
      <c r="W253" s="181"/>
      <c r="X253" s="181"/>
      <c r="Y253" s="181"/>
      <c r="Z253" s="181"/>
    </row>
    <row r="254">
      <c r="A254" s="181"/>
      <c r="B254" s="181"/>
      <c r="C254" s="181"/>
      <c r="D254" s="181"/>
      <c r="E254" s="181"/>
      <c r="F254" s="181"/>
      <c r="G254" s="181"/>
      <c r="H254" s="181"/>
      <c r="I254" s="181"/>
      <c r="J254" s="181"/>
      <c r="K254" s="181"/>
      <c r="L254" s="181"/>
      <c r="M254" s="181"/>
      <c r="N254" s="181"/>
      <c r="O254" s="181"/>
      <c r="P254" s="181"/>
      <c r="Q254" s="181"/>
      <c r="R254" s="181"/>
      <c r="S254" s="181"/>
      <c r="T254" s="181"/>
      <c r="U254" s="181"/>
      <c r="V254" s="181"/>
      <c r="W254" s="181"/>
      <c r="X254" s="181"/>
      <c r="Y254" s="181"/>
      <c r="Z254" s="181"/>
    </row>
    <row r="255">
      <c r="A255" s="181"/>
      <c r="B255" s="181"/>
      <c r="C255" s="181"/>
      <c r="D255" s="181"/>
      <c r="E255" s="181"/>
      <c r="F255" s="181"/>
      <c r="G255" s="181"/>
      <c r="H255" s="181"/>
      <c r="I255" s="181"/>
      <c r="J255" s="181"/>
      <c r="K255" s="181"/>
      <c r="L255" s="181"/>
      <c r="M255" s="181"/>
      <c r="N255" s="181"/>
      <c r="O255" s="181"/>
      <c r="P255" s="181"/>
      <c r="Q255" s="181"/>
      <c r="R255" s="181"/>
      <c r="S255" s="181"/>
      <c r="T255" s="181"/>
      <c r="U255" s="181"/>
      <c r="V255" s="181"/>
      <c r="W255" s="181"/>
      <c r="X255" s="181"/>
      <c r="Y255" s="181"/>
      <c r="Z255" s="181"/>
    </row>
    <row r="256">
      <c r="A256" s="181"/>
      <c r="B256" s="181"/>
      <c r="C256" s="181"/>
      <c r="D256" s="181"/>
      <c r="E256" s="181"/>
      <c r="F256" s="181"/>
      <c r="G256" s="181"/>
      <c r="H256" s="181"/>
      <c r="I256" s="181"/>
      <c r="J256" s="181"/>
      <c r="K256" s="181"/>
      <c r="L256" s="181"/>
      <c r="M256" s="181"/>
      <c r="N256" s="181"/>
      <c r="O256" s="181"/>
      <c r="P256" s="181"/>
      <c r="Q256" s="181"/>
      <c r="R256" s="181"/>
      <c r="S256" s="181"/>
      <c r="T256" s="181"/>
      <c r="U256" s="181"/>
      <c r="V256" s="181"/>
      <c r="W256" s="181"/>
      <c r="X256" s="181"/>
      <c r="Y256" s="181"/>
      <c r="Z256" s="181"/>
    </row>
    <row r="257">
      <c r="A257" s="181"/>
      <c r="B257" s="181"/>
      <c r="C257" s="181"/>
      <c r="D257" s="181"/>
      <c r="E257" s="181"/>
      <c r="F257" s="181"/>
      <c r="G257" s="181"/>
      <c r="H257" s="181"/>
      <c r="I257" s="181"/>
      <c r="J257" s="181"/>
      <c r="K257" s="181"/>
      <c r="L257" s="181"/>
      <c r="M257" s="181"/>
      <c r="N257" s="181"/>
      <c r="O257" s="181"/>
      <c r="P257" s="181"/>
      <c r="Q257" s="181"/>
      <c r="R257" s="181"/>
      <c r="S257" s="181"/>
      <c r="T257" s="181"/>
      <c r="U257" s="181"/>
      <c r="V257" s="181"/>
      <c r="W257" s="181"/>
      <c r="X257" s="181"/>
      <c r="Y257" s="181"/>
      <c r="Z257" s="181"/>
    </row>
    <row r="258">
      <c r="A258" s="181"/>
      <c r="B258" s="181"/>
      <c r="C258" s="181"/>
      <c r="D258" s="181"/>
      <c r="E258" s="181"/>
      <c r="F258" s="181"/>
      <c r="G258" s="181"/>
      <c r="H258" s="181"/>
      <c r="I258" s="181"/>
      <c r="J258" s="181"/>
      <c r="K258" s="181"/>
      <c r="L258" s="181"/>
      <c r="M258" s="181"/>
      <c r="N258" s="181"/>
      <c r="O258" s="181"/>
      <c r="P258" s="181"/>
      <c r="Q258" s="181"/>
      <c r="R258" s="181"/>
      <c r="S258" s="181"/>
      <c r="T258" s="181"/>
      <c r="U258" s="181"/>
      <c r="V258" s="181"/>
      <c r="W258" s="181"/>
      <c r="X258" s="181"/>
      <c r="Y258" s="181"/>
      <c r="Z258" s="181"/>
    </row>
    <row r="259">
      <c r="A259" s="181"/>
      <c r="B259" s="181"/>
      <c r="C259" s="181"/>
      <c r="D259" s="181"/>
      <c r="E259" s="181"/>
      <c r="F259" s="181"/>
      <c r="G259" s="181"/>
      <c r="H259" s="181"/>
      <c r="I259" s="181"/>
      <c r="J259" s="181"/>
      <c r="K259" s="181"/>
      <c r="L259" s="181"/>
      <c r="M259" s="181"/>
      <c r="N259" s="181"/>
      <c r="O259" s="181"/>
      <c r="P259" s="181"/>
      <c r="Q259" s="181"/>
      <c r="R259" s="181"/>
      <c r="S259" s="181"/>
      <c r="T259" s="181"/>
      <c r="U259" s="181"/>
      <c r="V259" s="181"/>
      <c r="W259" s="181"/>
      <c r="X259" s="181"/>
      <c r="Y259" s="181"/>
      <c r="Z259" s="181"/>
    </row>
    <row r="260">
      <c r="A260" s="181"/>
      <c r="B260" s="181"/>
      <c r="C260" s="181"/>
      <c r="D260" s="181"/>
      <c r="E260" s="181"/>
      <c r="F260" s="181"/>
      <c r="G260" s="181"/>
      <c r="H260" s="181"/>
      <c r="I260" s="181"/>
      <c r="J260" s="181"/>
      <c r="K260" s="181"/>
      <c r="L260" s="181"/>
      <c r="M260" s="181"/>
      <c r="N260" s="181"/>
      <c r="O260" s="181"/>
      <c r="P260" s="181"/>
      <c r="Q260" s="181"/>
      <c r="R260" s="181"/>
      <c r="S260" s="181"/>
      <c r="T260" s="181"/>
      <c r="U260" s="181"/>
      <c r="V260" s="181"/>
      <c r="W260" s="181"/>
      <c r="X260" s="181"/>
      <c r="Y260" s="181"/>
      <c r="Z260" s="181"/>
    </row>
    <row r="261">
      <c r="A261" s="181"/>
      <c r="B261" s="181"/>
      <c r="C261" s="181"/>
      <c r="D261" s="181"/>
      <c r="E261" s="181"/>
      <c r="F261" s="181"/>
      <c r="G261" s="181"/>
      <c r="H261" s="181"/>
      <c r="I261" s="181"/>
      <c r="J261" s="181"/>
      <c r="K261" s="181"/>
      <c r="L261" s="181"/>
      <c r="M261" s="181"/>
      <c r="N261" s="181"/>
      <c r="O261" s="181"/>
      <c r="P261" s="181"/>
      <c r="Q261" s="181"/>
      <c r="R261" s="181"/>
      <c r="S261" s="181"/>
      <c r="T261" s="181"/>
      <c r="U261" s="181"/>
      <c r="V261" s="181"/>
      <c r="W261" s="181"/>
      <c r="X261" s="181"/>
      <c r="Y261" s="181"/>
      <c r="Z261" s="181"/>
    </row>
    <row r="262">
      <c r="A262" s="181"/>
      <c r="B262" s="181"/>
      <c r="C262" s="181"/>
      <c r="D262" s="181"/>
      <c r="E262" s="181"/>
      <c r="F262" s="181"/>
      <c r="G262" s="181"/>
      <c r="H262" s="181"/>
      <c r="I262" s="181"/>
      <c r="J262" s="181"/>
      <c r="K262" s="181"/>
      <c r="L262" s="181"/>
      <c r="M262" s="181"/>
      <c r="N262" s="181"/>
      <c r="O262" s="181"/>
      <c r="P262" s="181"/>
      <c r="Q262" s="181"/>
      <c r="R262" s="181"/>
      <c r="S262" s="181"/>
      <c r="T262" s="181"/>
      <c r="U262" s="181"/>
      <c r="V262" s="181"/>
      <c r="W262" s="181"/>
      <c r="X262" s="181"/>
      <c r="Y262" s="181"/>
      <c r="Z262" s="181"/>
    </row>
    <row r="263">
      <c r="A263" s="181"/>
      <c r="B263" s="181"/>
      <c r="C263" s="181"/>
      <c r="D263" s="181"/>
      <c r="E263" s="181"/>
      <c r="F263" s="181"/>
      <c r="G263" s="181"/>
      <c r="H263" s="181"/>
      <c r="I263" s="181"/>
      <c r="J263" s="181"/>
      <c r="K263" s="181"/>
      <c r="L263" s="181"/>
      <c r="M263" s="181"/>
      <c r="N263" s="181"/>
      <c r="O263" s="181"/>
      <c r="P263" s="181"/>
      <c r="Q263" s="181"/>
      <c r="R263" s="181"/>
      <c r="S263" s="181"/>
      <c r="T263" s="181"/>
      <c r="U263" s="181"/>
      <c r="V263" s="181"/>
      <c r="W263" s="181"/>
      <c r="X263" s="181"/>
      <c r="Y263" s="181"/>
      <c r="Z263" s="181"/>
    </row>
    <row r="264">
      <c r="A264" s="181"/>
      <c r="B264" s="181"/>
      <c r="C264" s="181"/>
      <c r="D264" s="181"/>
      <c r="E264" s="181"/>
      <c r="F264" s="181"/>
      <c r="G264" s="181"/>
      <c r="H264" s="181"/>
      <c r="I264" s="181"/>
      <c r="J264" s="181"/>
      <c r="K264" s="181"/>
      <c r="L264" s="181"/>
      <c r="M264" s="181"/>
      <c r="N264" s="181"/>
      <c r="O264" s="181"/>
      <c r="P264" s="181"/>
      <c r="Q264" s="181"/>
      <c r="R264" s="181"/>
      <c r="S264" s="181"/>
      <c r="T264" s="181"/>
      <c r="U264" s="181"/>
      <c r="V264" s="181"/>
      <c r="W264" s="181"/>
      <c r="X264" s="181"/>
      <c r="Y264" s="181"/>
      <c r="Z264" s="181"/>
    </row>
    <row r="265">
      <c r="A265" s="181"/>
      <c r="B265" s="181"/>
      <c r="C265" s="181"/>
      <c r="D265" s="181"/>
      <c r="E265" s="181"/>
      <c r="F265" s="181"/>
      <c r="G265" s="181"/>
      <c r="H265" s="181"/>
      <c r="I265" s="181"/>
      <c r="J265" s="181"/>
      <c r="K265" s="181"/>
      <c r="L265" s="181"/>
      <c r="M265" s="181"/>
      <c r="N265" s="181"/>
      <c r="O265" s="181"/>
      <c r="P265" s="181"/>
      <c r="Q265" s="181"/>
      <c r="R265" s="181"/>
      <c r="S265" s="181"/>
      <c r="T265" s="181"/>
      <c r="U265" s="181"/>
      <c r="V265" s="181"/>
      <c r="W265" s="181"/>
      <c r="X265" s="181"/>
      <c r="Y265" s="181"/>
      <c r="Z265" s="181"/>
    </row>
    <row r="266">
      <c r="A266" s="181"/>
      <c r="B266" s="181"/>
      <c r="C266" s="181"/>
      <c r="D266" s="181"/>
      <c r="E266" s="181"/>
      <c r="F266" s="181"/>
      <c r="G266" s="181"/>
      <c r="H266" s="181"/>
      <c r="I266" s="181"/>
      <c r="J266" s="181"/>
      <c r="K266" s="181"/>
      <c r="L266" s="181"/>
      <c r="M266" s="181"/>
      <c r="N266" s="181"/>
      <c r="O266" s="181"/>
      <c r="P266" s="181"/>
      <c r="Q266" s="181"/>
      <c r="R266" s="181"/>
      <c r="S266" s="181"/>
      <c r="T266" s="181"/>
      <c r="U266" s="181"/>
      <c r="V266" s="181"/>
      <c r="W266" s="181"/>
      <c r="X266" s="181"/>
      <c r="Y266" s="181"/>
      <c r="Z266" s="181"/>
    </row>
    <row r="267">
      <c r="A267" s="181"/>
      <c r="B267" s="181"/>
      <c r="C267" s="181"/>
      <c r="D267" s="181"/>
      <c r="E267" s="181"/>
      <c r="F267" s="181"/>
      <c r="G267" s="181"/>
      <c r="H267" s="181"/>
      <c r="I267" s="181"/>
      <c r="J267" s="181"/>
      <c r="K267" s="181"/>
      <c r="L267" s="181"/>
      <c r="M267" s="181"/>
      <c r="N267" s="181"/>
      <c r="O267" s="181"/>
      <c r="P267" s="181"/>
      <c r="Q267" s="181"/>
      <c r="R267" s="181"/>
      <c r="S267" s="181"/>
      <c r="T267" s="181"/>
      <c r="U267" s="181"/>
      <c r="V267" s="181"/>
      <c r="W267" s="181"/>
      <c r="X267" s="181"/>
      <c r="Y267" s="181"/>
      <c r="Z267" s="181"/>
    </row>
    <row r="268">
      <c r="A268" s="181"/>
      <c r="B268" s="181"/>
      <c r="C268" s="181"/>
      <c r="D268" s="181"/>
      <c r="E268" s="181"/>
      <c r="F268" s="181"/>
      <c r="G268" s="181"/>
      <c r="H268" s="181"/>
      <c r="I268" s="181"/>
      <c r="J268" s="181"/>
      <c r="K268" s="181"/>
      <c r="L268" s="181"/>
      <c r="M268" s="181"/>
      <c r="N268" s="181"/>
      <c r="O268" s="181"/>
      <c r="P268" s="181"/>
      <c r="Q268" s="181"/>
      <c r="R268" s="181"/>
      <c r="S268" s="181"/>
      <c r="T268" s="181"/>
      <c r="U268" s="181"/>
      <c r="V268" s="181"/>
      <c r="W268" s="181"/>
      <c r="X268" s="181"/>
      <c r="Y268" s="181"/>
      <c r="Z268" s="181"/>
    </row>
    <row r="269">
      <c r="A269" s="181"/>
      <c r="B269" s="181"/>
      <c r="C269" s="181"/>
      <c r="D269" s="181"/>
      <c r="E269" s="181"/>
      <c r="F269" s="181"/>
      <c r="G269" s="181"/>
      <c r="H269" s="181"/>
      <c r="I269" s="181"/>
      <c r="J269" s="181"/>
      <c r="K269" s="181"/>
      <c r="L269" s="181"/>
      <c r="M269" s="181"/>
      <c r="N269" s="181"/>
      <c r="O269" s="181"/>
      <c r="P269" s="181"/>
      <c r="Q269" s="181"/>
      <c r="R269" s="181"/>
      <c r="S269" s="181"/>
      <c r="T269" s="181"/>
      <c r="U269" s="181"/>
      <c r="V269" s="181"/>
      <c r="W269" s="181"/>
      <c r="X269" s="181"/>
      <c r="Y269" s="181"/>
      <c r="Z269" s="181"/>
    </row>
    <row r="270">
      <c r="A270" s="181"/>
      <c r="B270" s="181"/>
      <c r="C270" s="181"/>
      <c r="D270" s="181"/>
      <c r="E270" s="181"/>
      <c r="F270" s="181"/>
      <c r="G270" s="181"/>
      <c r="H270" s="181"/>
      <c r="I270" s="181"/>
      <c r="J270" s="181"/>
      <c r="K270" s="181"/>
      <c r="L270" s="181"/>
      <c r="M270" s="181"/>
      <c r="N270" s="181"/>
      <c r="O270" s="181"/>
      <c r="P270" s="181"/>
      <c r="Q270" s="181"/>
      <c r="R270" s="181"/>
      <c r="S270" s="181"/>
      <c r="T270" s="181"/>
      <c r="U270" s="181"/>
      <c r="V270" s="181"/>
      <c r="W270" s="181"/>
      <c r="X270" s="181"/>
      <c r="Y270" s="181"/>
      <c r="Z270" s="181"/>
    </row>
    <row r="271">
      <c r="A271" s="181"/>
      <c r="B271" s="181"/>
      <c r="C271" s="181"/>
      <c r="D271" s="181"/>
      <c r="E271" s="181"/>
      <c r="F271" s="181"/>
      <c r="G271" s="181"/>
      <c r="H271" s="181"/>
      <c r="I271" s="181"/>
      <c r="J271" s="181"/>
      <c r="K271" s="181"/>
      <c r="L271" s="181"/>
      <c r="M271" s="181"/>
      <c r="N271" s="181"/>
      <c r="O271" s="181"/>
      <c r="P271" s="181"/>
      <c r="Q271" s="181"/>
      <c r="R271" s="181"/>
      <c r="S271" s="181"/>
      <c r="T271" s="181"/>
      <c r="U271" s="181"/>
      <c r="V271" s="181"/>
      <c r="W271" s="181"/>
      <c r="X271" s="181"/>
      <c r="Y271" s="181"/>
      <c r="Z271" s="181"/>
    </row>
    <row r="272">
      <c r="A272" s="181"/>
      <c r="B272" s="181"/>
      <c r="C272" s="181"/>
      <c r="D272" s="181"/>
      <c r="E272" s="181"/>
      <c r="F272" s="181"/>
      <c r="G272" s="181"/>
      <c r="H272" s="181"/>
      <c r="I272" s="181"/>
      <c r="J272" s="181"/>
      <c r="K272" s="181"/>
      <c r="L272" s="181"/>
      <c r="M272" s="181"/>
      <c r="N272" s="181"/>
      <c r="O272" s="181"/>
      <c r="P272" s="181"/>
      <c r="Q272" s="181"/>
      <c r="R272" s="181"/>
      <c r="S272" s="181"/>
      <c r="T272" s="181"/>
      <c r="U272" s="181"/>
      <c r="V272" s="181"/>
      <c r="W272" s="181"/>
      <c r="X272" s="181"/>
      <c r="Y272" s="181"/>
      <c r="Z272" s="181"/>
    </row>
    <row r="273">
      <c r="A273" s="181"/>
      <c r="B273" s="181"/>
      <c r="C273" s="181"/>
      <c r="D273" s="181"/>
      <c r="E273" s="181"/>
      <c r="F273" s="181"/>
      <c r="G273" s="181"/>
      <c r="H273" s="181"/>
      <c r="I273" s="181"/>
      <c r="J273" s="181"/>
      <c r="K273" s="181"/>
      <c r="L273" s="181"/>
      <c r="M273" s="181"/>
      <c r="N273" s="181"/>
      <c r="O273" s="181"/>
      <c r="P273" s="181"/>
      <c r="Q273" s="181"/>
      <c r="R273" s="181"/>
      <c r="S273" s="181"/>
      <c r="T273" s="181"/>
      <c r="U273" s="181"/>
      <c r="V273" s="181"/>
      <c r="W273" s="181"/>
      <c r="X273" s="181"/>
      <c r="Y273" s="181"/>
      <c r="Z273" s="181"/>
    </row>
    <row r="274">
      <c r="A274" s="181"/>
      <c r="B274" s="181"/>
      <c r="C274" s="181"/>
      <c r="D274" s="181"/>
      <c r="E274" s="181"/>
      <c r="F274" s="181"/>
      <c r="G274" s="181"/>
      <c r="H274" s="181"/>
      <c r="I274" s="181"/>
      <c r="J274" s="181"/>
      <c r="K274" s="181"/>
      <c r="L274" s="181"/>
      <c r="M274" s="181"/>
      <c r="N274" s="181"/>
      <c r="O274" s="181"/>
      <c r="P274" s="181"/>
      <c r="Q274" s="181"/>
      <c r="R274" s="181"/>
      <c r="S274" s="181"/>
      <c r="T274" s="181"/>
      <c r="U274" s="181"/>
      <c r="V274" s="181"/>
      <c r="W274" s="181"/>
      <c r="X274" s="181"/>
      <c r="Y274" s="181"/>
      <c r="Z274" s="181"/>
    </row>
    <row r="275">
      <c r="A275" s="181"/>
      <c r="B275" s="181"/>
      <c r="C275" s="181"/>
      <c r="D275" s="181"/>
      <c r="E275" s="181"/>
      <c r="F275" s="181"/>
      <c r="G275" s="181"/>
      <c r="H275" s="181"/>
      <c r="I275" s="181"/>
      <c r="J275" s="181"/>
      <c r="K275" s="181"/>
      <c r="L275" s="181"/>
      <c r="M275" s="181"/>
      <c r="N275" s="181"/>
      <c r="O275" s="181"/>
      <c r="P275" s="181"/>
      <c r="Q275" s="181"/>
      <c r="R275" s="181"/>
      <c r="S275" s="181"/>
      <c r="T275" s="181"/>
      <c r="U275" s="181"/>
      <c r="V275" s="181"/>
      <c r="W275" s="181"/>
      <c r="X275" s="181"/>
      <c r="Y275" s="181"/>
      <c r="Z275" s="181"/>
    </row>
    <row r="276">
      <c r="A276" s="181"/>
      <c r="B276" s="181"/>
      <c r="C276" s="181"/>
      <c r="D276" s="181"/>
      <c r="E276" s="181"/>
      <c r="F276" s="181"/>
      <c r="G276" s="181"/>
      <c r="H276" s="181"/>
      <c r="I276" s="181"/>
      <c r="J276" s="181"/>
      <c r="K276" s="181"/>
      <c r="L276" s="181"/>
      <c r="M276" s="181"/>
      <c r="N276" s="181"/>
      <c r="O276" s="181"/>
      <c r="P276" s="181"/>
      <c r="Q276" s="181"/>
      <c r="R276" s="181"/>
      <c r="S276" s="181"/>
      <c r="T276" s="181"/>
      <c r="U276" s="181"/>
      <c r="V276" s="181"/>
      <c r="W276" s="181"/>
      <c r="X276" s="181"/>
      <c r="Y276" s="181"/>
      <c r="Z276" s="181"/>
    </row>
    <row r="277">
      <c r="A277" s="181"/>
      <c r="B277" s="181"/>
      <c r="C277" s="181"/>
      <c r="D277" s="181"/>
      <c r="E277" s="181"/>
      <c r="F277" s="181"/>
      <c r="G277" s="181"/>
      <c r="H277" s="181"/>
      <c r="I277" s="181"/>
      <c r="J277" s="181"/>
      <c r="K277" s="181"/>
      <c r="L277" s="181"/>
      <c r="M277" s="181"/>
      <c r="N277" s="181"/>
      <c r="O277" s="181"/>
      <c r="P277" s="181"/>
      <c r="Q277" s="181"/>
      <c r="R277" s="181"/>
      <c r="S277" s="181"/>
      <c r="T277" s="181"/>
      <c r="U277" s="181"/>
      <c r="V277" s="181"/>
      <c r="W277" s="181"/>
      <c r="X277" s="181"/>
      <c r="Y277" s="181"/>
      <c r="Z277" s="181"/>
    </row>
    <row r="278">
      <c r="A278" s="181"/>
      <c r="B278" s="181"/>
      <c r="C278" s="181"/>
      <c r="D278" s="181"/>
      <c r="E278" s="181"/>
      <c r="F278" s="181"/>
      <c r="G278" s="181"/>
      <c r="H278" s="181"/>
      <c r="I278" s="181"/>
      <c r="J278" s="181"/>
      <c r="K278" s="181"/>
      <c r="L278" s="181"/>
      <c r="M278" s="181"/>
      <c r="N278" s="181"/>
      <c r="O278" s="181"/>
      <c r="P278" s="181"/>
      <c r="Q278" s="181"/>
      <c r="R278" s="181"/>
      <c r="S278" s="181"/>
      <c r="T278" s="181"/>
      <c r="U278" s="181"/>
      <c r="V278" s="181"/>
      <c r="W278" s="181"/>
      <c r="X278" s="181"/>
      <c r="Y278" s="181"/>
      <c r="Z278" s="181"/>
    </row>
    <row r="279">
      <c r="A279" s="181"/>
      <c r="B279" s="181"/>
      <c r="C279" s="181"/>
      <c r="D279" s="181"/>
      <c r="E279" s="181"/>
      <c r="F279" s="181"/>
      <c r="G279" s="181"/>
      <c r="H279" s="181"/>
      <c r="I279" s="181"/>
      <c r="J279" s="181"/>
      <c r="K279" s="181"/>
      <c r="L279" s="181"/>
      <c r="M279" s="181"/>
      <c r="N279" s="181"/>
      <c r="O279" s="181"/>
      <c r="P279" s="181"/>
      <c r="Q279" s="181"/>
      <c r="R279" s="181"/>
      <c r="S279" s="181"/>
      <c r="T279" s="181"/>
      <c r="U279" s="181"/>
      <c r="V279" s="181"/>
      <c r="W279" s="181"/>
      <c r="X279" s="181"/>
      <c r="Y279" s="181"/>
      <c r="Z279" s="181"/>
    </row>
    <row r="280">
      <c r="A280" s="181"/>
      <c r="B280" s="181"/>
      <c r="C280" s="181"/>
      <c r="D280" s="181"/>
      <c r="E280" s="181"/>
      <c r="F280" s="181"/>
      <c r="G280" s="181"/>
      <c r="H280" s="181"/>
      <c r="I280" s="181"/>
      <c r="J280" s="181"/>
      <c r="K280" s="181"/>
      <c r="L280" s="181"/>
      <c r="M280" s="181"/>
      <c r="N280" s="181"/>
      <c r="O280" s="181"/>
      <c r="P280" s="181"/>
      <c r="Q280" s="181"/>
      <c r="R280" s="181"/>
      <c r="S280" s="181"/>
      <c r="T280" s="181"/>
      <c r="U280" s="181"/>
      <c r="V280" s="181"/>
      <c r="W280" s="181"/>
      <c r="X280" s="181"/>
      <c r="Y280" s="181"/>
      <c r="Z280" s="181"/>
    </row>
    <row r="281">
      <c r="A281" s="181"/>
      <c r="B281" s="181"/>
      <c r="C281" s="181"/>
      <c r="D281" s="181"/>
      <c r="E281" s="181"/>
      <c r="F281" s="181"/>
      <c r="G281" s="181"/>
      <c r="H281" s="181"/>
      <c r="I281" s="181"/>
      <c r="J281" s="181"/>
      <c r="K281" s="181"/>
      <c r="L281" s="181"/>
      <c r="M281" s="181"/>
      <c r="N281" s="181"/>
      <c r="O281" s="181"/>
      <c r="P281" s="181"/>
      <c r="Q281" s="181"/>
      <c r="R281" s="181"/>
      <c r="S281" s="181"/>
      <c r="T281" s="181"/>
      <c r="U281" s="181"/>
      <c r="V281" s="181"/>
      <c r="W281" s="181"/>
      <c r="X281" s="181"/>
      <c r="Y281" s="181"/>
      <c r="Z281" s="181"/>
    </row>
    <row r="282">
      <c r="A282" s="181"/>
      <c r="B282" s="181"/>
      <c r="C282" s="181"/>
      <c r="D282" s="181"/>
      <c r="E282" s="181"/>
      <c r="F282" s="181"/>
      <c r="G282" s="181"/>
      <c r="H282" s="181"/>
      <c r="I282" s="181"/>
      <c r="J282" s="181"/>
      <c r="K282" s="181"/>
      <c r="L282" s="181"/>
      <c r="M282" s="181"/>
      <c r="N282" s="181"/>
      <c r="O282" s="181"/>
      <c r="P282" s="181"/>
      <c r="Q282" s="181"/>
      <c r="R282" s="181"/>
      <c r="S282" s="181"/>
      <c r="T282" s="181"/>
      <c r="U282" s="181"/>
      <c r="V282" s="181"/>
      <c r="W282" s="181"/>
      <c r="X282" s="181"/>
      <c r="Y282" s="181"/>
      <c r="Z282" s="181"/>
    </row>
    <row r="283">
      <c r="A283" s="181"/>
      <c r="B283" s="181"/>
      <c r="C283" s="181"/>
      <c r="D283" s="181"/>
      <c r="E283" s="181"/>
      <c r="F283" s="181"/>
      <c r="G283" s="181"/>
      <c r="H283" s="181"/>
      <c r="I283" s="181"/>
      <c r="J283" s="181"/>
      <c r="K283" s="181"/>
      <c r="L283" s="181"/>
      <c r="M283" s="181"/>
      <c r="N283" s="181"/>
      <c r="O283" s="181"/>
      <c r="P283" s="181"/>
      <c r="Q283" s="181"/>
      <c r="R283" s="181"/>
      <c r="S283" s="181"/>
      <c r="T283" s="181"/>
      <c r="U283" s="181"/>
      <c r="V283" s="181"/>
      <c r="W283" s="181"/>
      <c r="X283" s="181"/>
      <c r="Y283" s="181"/>
      <c r="Z283" s="181"/>
    </row>
    <row r="284">
      <c r="A284" s="181"/>
      <c r="B284" s="181"/>
      <c r="C284" s="181"/>
      <c r="D284" s="181"/>
      <c r="E284" s="181"/>
      <c r="F284" s="181"/>
      <c r="G284" s="181"/>
      <c r="H284" s="181"/>
      <c r="I284" s="181"/>
      <c r="J284" s="181"/>
      <c r="K284" s="181"/>
      <c r="L284" s="181"/>
      <c r="M284" s="181"/>
      <c r="N284" s="181"/>
      <c r="O284" s="181"/>
      <c r="P284" s="181"/>
      <c r="Q284" s="181"/>
      <c r="R284" s="181"/>
      <c r="S284" s="181"/>
      <c r="T284" s="181"/>
      <c r="U284" s="181"/>
      <c r="V284" s="181"/>
      <c r="W284" s="181"/>
      <c r="X284" s="181"/>
      <c r="Y284" s="181"/>
      <c r="Z284" s="181"/>
    </row>
    <row r="285">
      <c r="A285" s="181"/>
      <c r="B285" s="181"/>
      <c r="C285" s="181"/>
      <c r="D285" s="181"/>
      <c r="E285" s="181"/>
      <c r="F285" s="181"/>
      <c r="G285" s="181"/>
      <c r="H285" s="181"/>
      <c r="I285" s="181"/>
      <c r="J285" s="181"/>
      <c r="K285" s="181"/>
      <c r="L285" s="181"/>
      <c r="M285" s="181"/>
      <c r="N285" s="181"/>
      <c r="O285" s="181"/>
      <c r="P285" s="181"/>
      <c r="Q285" s="181"/>
      <c r="R285" s="181"/>
      <c r="S285" s="181"/>
      <c r="T285" s="181"/>
      <c r="U285" s="181"/>
      <c r="V285" s="181"/>
      <c r="W285" s="181"/>
      <c r="X285" s="181"/>
      <c r="Y285" s="181"/>
      <c r="Z285" s="181"/>
    </row>
    <row r="286">
      <c r="A286" s="181"/>
      <c r="B286" s="181"/>
      <c r="C286" s="181"/>
      <c r="D286" s="181"/>
      <c r="E286" s="181"/>
      <c r="F286" s="181"/>
      <c r="G286" s="181"/>
      <c r="H286" s="181"/>
      <c r="I286" s="181"/>
      <c r="J286" s="181"/>
      <c r="K286" s="181"/>
      <c r="L286" s="181"/>
      <c r="M286" s="181"/>
      <c r="N286" s="181"/>
      <c r="O286" s="181"/>
      <c r="P286" s="181"/>
      <c r="Q286" s="181"/>
      <c r="R286" s="181"/>
      <c r="S286" s="181"/>
      <c r="T286" s="181"/>
      <c r="U286" s="181"/>
      <c r="V286" s="181"/>
      <c r="W286" s="181"/>
      <c r="X286" s="181"/>
      <c r="Y286" s="181"/>
      <c r="Z286" s="181"/>
    </row>
    <row r="287">
      <c r="A287" s="181"/>
      <c r="B287" s="181"/>
      <c r="C287" s="181"/>
      <c r="D287" s="181"/>
      <c r="E287" s="181"/>
      <c r="F287" s="181"/>
      <c r="G287" s="181"/>
      <c r="H287" s="181"/>
      <c r="I287" s="181"/>
      <c r="J287" s="181"/>
      <c r="K287" s="181"/>
      <c r="L287" s="181"/>
      <c r="M287" s="181"/>
      <c r="N287" s="181"/>
      <c r="O287" s="181"/>
      <c r="P287" s="181"/>
      <c r="Q287" s="181"/>
      <c r="R287" s="181"/>
      <c r="S287" s="181"/>
      <c r="T287" s="181"/>
      <c r="U287" s="181"/>
      <c r="V287" s="181"/>
      <c r="W287" s="181"/>
      <c r="X287" s="181"/>
      <c r="Y287" s="181"/>
      <c r="Z287" s="181"/>
    </row>
    <row r="288">
      <c r="A288" s="181"/>
      <c r="B288" s="181"/>
      <c r="C288" s="181"/>
      <c r="D288" s="181"/>
      <c r="E288" s="181"/>
      <c r="F288" s="181"/>
      <c r="G288" s="181"/>
      <c r="H288" s="181"/>
      <c r="I288" s="181"/>
      <c r="J288" s="181"/>
      <c r="K288" s="181"/>
      <c r="L288" s="181"/>
      <c r="M288" s="181"/>
      <c r="N288" s="181"/>
      <c r="O288" s="181"/>
      <c r="P288" s="181"/>
      <c r="Q288" s="181"/>
      <c r="R288" s="181"/>
      <c r="S288" s="181"/>
      <c r="T288" s="181"/>
      <c r="U288" s="181"/>
      <c r="V288" s="181"/>
      <c r="W288" s="181"/>
      <c r="X288" s="181"/>
      <c r="Y288" s="181"/>
      <c r="Z288" s="181"/>
    </row>
    <row r="289">
      <c r="A289" s="181"/>
      <c r="B289" s="181"/>
      <c r="C289" s="181"/>
      <c r="D289" s="181"/>
      <c r="E289" s="181"/>
      <c r="F289" s="181"/>
      <c r="G289" s="181"/>
      <c r="H289" s="181"/>
      <c r="I289" s="181"/>
      <c r="J289" s="181"/>
      <c r="K289" s="181"/>
      <c r="L289" s="181"/>
      <c r="M289" s="181"/>
      <c r="N289" s="181"/>
      <c r="O289" s="181"/>
      <c r="P289" s="181"/>
      <c r="Q289" s="181"/>
      <c r="R289" s="181"/>
      <c r="S289" s="181"/>
      <c r="T289" s="181"/>
      <c r="U289" s="181"/>
      <c r="V289" s="181"/>
      <c r="W289" s="181"/>
      <c r="X289" s="181"/>
      <c r="Y289" s="181"/>
      <c r="Z289" s="181"/>
    </row>
    <row r="290">
      <c r="A290" s="181"/>
      <c r="B290" s="181"/>
      <c r="C290" s="181"/>
      <c r="D290" s="181"/>
      <c r="E290" s="181"/>
      <c r="F290" s="181"/>
      <c r="G290" s="181"/>
      <c r="H290" s="181"/>
      <c r="I290" s="181"/>
      <c r="J290" s="181"/>
      <c r="K290" s="181"/>
      <c r="L290" s="181"/>
      <c r="M290" s="181"/>
      <c r="N290" s="181"/>
      <c r="O290" s="181"/>
      <c r="P290" s="181"/>
      <c r="Q290" s="181"/>
      <c r="R290" s="181"/>
      <c r="S290" s="181"/>
      <c r="T290" s="181"/>
      <c r="U290" s="181"/>
      <c r="V290" s="181"/>
      <c r="W290" s="181"/>
      <c r="X290" s="181"/>
      <c r="Y290" s="181"/>
      <c r="Z290" s="181"/>
    </row>
    <row r="291">
      <c r="A291" s="181"/>
      <c r="B291" s="181"/>
      <c r="C291" s="181"/>
      <c r="D291" s="181"/>
      <c r="E291" s="181"/>
      <c r="F291" s="181"/>
      <c r="G291" s="181"/>
      <c r="H291" s="181"/>
      <c r="I291" s="181"/>
      <c r="J291" s="181"/>
      <c r="K291" s="181"/>
      <c r="L291" s="181"/>
      <c r="M291" s="181"/>
      <c r="N291" s="181"/>
      <c r="O291" s="181"/>
      <c r="P291" s="181"/>
      <c r="Q291" s="181"/>
      <c r="R291" s="181"/>
      <c r="S291" s="181"/>
      <c r="T291" s="181"/>
      <c r="U291" s="181"/>
      <c r="V291" s="181"/>
      <c r="W291" s="181"/>
      <c r="X291" s="181"/>
      <c r="Y291" s="181"/>
      <c r="Z291" s="181"/>
    </row>
    <row r="292">
      <c r="A292" s="181"/>
      <c r="B292" s="181"/>
      <c r="C292" s="181"/>
      <c r="D292" s="181"/>
      <c r="E292" s="181"/>
      <c r="F292" s="181"/>
      <c r="G292" s="181"/>
      <c r="H292" s="181"/>
      <c r="I292" s="181"/>
      <c r="J292" s="181"/>
      <c r="K292" s="181"/>
      <c r="L292" s="181"/>
      <c r="M292" s="181"/>
      <c r="N292" s="181"/>
      <c r="O292" s="181"/>
      <c r="P292" s="181"/>
      <c r="Q292" s="181"/>
      <c r="R292" s="181"/>
      <c r="S292" s="181"/>
      <c r="T292" s="181"/>
      <c r="U292" s="181"/>
      <c r="V292" s="181"/>
      <c r="W292" s="181"/>
      <c r="X292" s="181"/>
      <c r="Y292" s="181"/>
      <c r="Z292" s="181"/>
    </row>
    <row r="293">
      <c r="A293" s="181"/>
      <c r="B293" s="181"/>
      <c r="C293" s="181"/>
      <c r="D293" s="181"/>
      <c r="E293" s="181"/>
      <c r="F293" s="181"/>
      <c r="G293" s="181"/>
      <c r="H293" s="181"/>
      <c r="I293" s="181"/>
      <c r="J293" s="181"/>
      <c r="K293" s="181"/>
      <c r="L293" s="181"/>
      <c r="M293" s="181"/>
      <c r="N293" s="181"/>
      <c r="O293" s="181"/>
      <c r="P293" s="181"/>
      <c r="Q293" s="181"/>
      <c r="R293" s="181"/>
      <c r="S293" s="181"/>
      <c r="T293" s="181"/>
      <c r="U293" s="181"/>
      <c r="V293" s="181"/>
      <c r="W293" s="181"/>
      <c r="X293" s="181"/>
      <c r="Y293" s="181"/>
      <c r="Z293" s="181"/>
    </row>
    <row r="294">
      <c r="A294" s="181"/>
      <c r="B294" s="181"/>
      <c r="C294" s="181"/>
      <c r="D294" s="181"/>
      <c r="E294" s="181"/>
      <c r="F294" s="181"/>
      <c r="G294" s="181"/>
      <c r="H294" s="181"/>
      <c r="I294" s="181"/>
      <c r="J294" s="181"/>
      <c r="K294" s="181"/>
      <c r="L294" s="181"/>
      <c r="M294" s="181"/>
      <c r="N294" s="181"/>
      <c r="O294" s="181"/>
      <c r="P294" s="181"/>
      <c r="Q294" s="181"/>
      <c r="R294" s="181"/>
      <c r="S294" s="181"/>
      <c r="T294" s="181"/>
      <c r="U294" s="181"/>
      <c r="V294" s="181"/>
      <c r="W294" s="181"/>
      <c r="X294" s="181"/>
      <c r="Y294" s="181"/>
      <c r="Z294" s="181"/>
    </row>
    <row r="295">
      <c r="A295" s="181"/>
      <c r="B295" s="181"/>
      <c r="C295" s="181"/>
      <c r="D295" s="181"/>
      <c r="E295" s="181"/>
      <c r="F295" s="181"/>
      <c r="G295" s="181"/>
      <c r="H295" s="181"/>
      <c r="I295" s="181"/>
      <c r="J295" s="181"/>
      <c r="K295" s="181"/>
      <c r="L295" s="181"/>
      <c r="M295" s="181"/>
      <c r="N295" s="181"/>
      <c r="O295" s="181"/>
      <c r="P295" s="181"/>
      <c r="Q295" s="181"/>
      <c r="R295" s="181"/>
      <c r="S295" s="181"/>
      <c r="T295" s="181"/>
      <c r="U295" s="181"/>
      <c r="V295" s="181"/>
      <c r="W295" s="181"/>
      <c r="X295" s="181"/>
      <c r="Y295" s="181"/>
      <c r="Z295" s="181"/>
    </row>
    <row r="296">
      <c r="A296" s="181"/>
      <c r="B296" s="181"/>
      <c r="C296" s="181"/>
      <c r="D296" s="181"/>
      <c r="E296" s="181"/>
      <c r="F296" s="181"/>
      <c r="G296" s="181"/>
      <c r="H296" s="181"/>
      <c r="I296" s="181"/>
      <c r="J296" s="181"/>
      <c r="K296" s="181"/>
      <c r="L296" s="181"/>
      <c r="M296" s="181"/>
      <c r="N296" s="181"/>
      <c r="O296" s="181"/>
      <c r="P296" s="181"/>
      <c r="Q296" s="181"/>
      <c r="R296" s="181"/>
      <c r="S296" s="181"/>
      <c r="T296" s="181"/>
      <c r="U296" s="181"/>
      <c r="V296" s="181"/>
      <c r="W296" s="181"/>
      <c r="X296" s="181"/>
      <c r="Y296" s="181"/>
      <c r="Z296" s="181"/>
    </row>
    <row r="297">
      <c r="A297" s="181"/>
      <c r="B297" s="181"/>
      <c r="C297" s="181"/>
      <c r="D297" s="181"/>
      <c r="E297" s="181"/>
      <c r="F297" s="181"/>
      <c r="G297" s="181"/>
      <c r="H297" s="181"/>
      <c r="I297" s="181"/>
      <c r="J297" s="181"/>
      <c r="K297" s="181"/>
      <c r="L297" s="181"/>
      <c r="M297" s="181"/>
      <c r="N297" s="181"/>
      <c r="O297" s="181"/>
      <c r="P297" s="181"/>
      <c r="Q297" s="181"/>
      <c r="R297" s="181"/>
      <c r="S297" s="181"/>
      <c r="T297" s="181"/>
      <c r="U297" s="181"/>
      <c r="V297" s="181"/>
      <c r="W297" s="181"/>
      <c r="X297" s="181"/>
      <c r="Y297" s="181"/>
      <c r="Z297" s="181"/>
    </row>
    <row r="298">
      <c r="A298" s="181"/>
      <c r="B298" s="181"/>
      <c r="C298" s="181"/>
      <c r="D298" s="181"/>
      <c r="E298" s="181"/>
      <c r="F298" s="181"/>
      <c r="G298" s="181"/>
      <c r="H298" s="181"/>
      <c r="I298" s="181"/>
      <c r="J298" s="181"/>
      <c r="K298" s="181"/>
      <c r="L298" s="181"/>
      <c r="M298" s="181"/>
      <c r="N298" s="181"/>
      <c r="O298" s="181"/>
      <c r="P298" s="181"/>
      <c r="Q298" s="181"/>
      <c r="R298" s="181"/>
      <c r="S298" s="181"/>
      <c r="T298" s="181"/>
      <c r="U298" s="181"/>
      <c r="V298" s="181"/>
      <c r="W298" s="181"/>
      <c r="X298" s="181"/>
      <c r="Y298" s="181"/>
      <c r="Z298" s="181"/>
    </row>
    <row r="299">
      <c r="A299" s="181"/>
      <c r="B299" s="181"/>
      <c r="C299" s="181"/>
      <c r="D299" s="181"/>
      <c r="E299" s="181"/>
      <c r="F299" s="181"/>
      <c r="G299" s="181"/>
      <c r="H299" s="181"/>
      <c r="I299" s="181"/>
      <c r="J299" s="181"/>
      <c r="K299" s="181"/>
      <c r="L299" s="181"/>
      <c r="M299" s="181"/>
      <c r="N299" s="181"/>
      <c r="O299" s="181"/>
      <c r="P299" s="181"/>
      <c r="Q299" s="181"/>
      <c r="R299" s="181"/>
      <c r="S299" s="181"/>
      <c r="T299" s="181"/>
      <c r="U299" s="181"/>
      <c r="V299" s="181"/>
      <c r="W299" s="181"/>
      <c r="X299" s="181"/>
      <c r="Y299" s="181"/>
      <c r="Z299" s="181"/>
    </row>
    <row r="300">
      <c r="A300" s="181"/>
      <c r="B300" s="181"/>
      <c r="C300" s="181"/>
      <c r="D300" s="181"/>
      <c r="E300" s="181"/>
      <c r="F300" s="181"/>
      <c r="G300" s="181"/>
      <c r="H300" s="181"/>
      <c r="I300" s="181"/>
      <c r="J300" s="181"/>
      <c r="K300" s="181"/>
      <c r="L300" s="181"/>
      <c r="M300" s="181"/>
      <c r="N300" s="181"/>
      <c r="O300" s="181"/>
      <c r="P300" s="181"/>
      <c r="Q300" s="181"/>
      <c r="R300" s="181"/>
      <c r="S300" s="181"/>
      <c r="T300" s="181"/>
      <c r="U300" s="181"/>
      <c r="V300" s="181"/>
      <c r="W300" s="181"/>
      <c r="X300" s="181"/>
      <c r="Y300" s="181"/>
      <c r="Z300" s="181"/>
    </row>
    <row r="301">
      <c r="A301" s="181"/>
      <c r="B301" s="181"/>
      <c r="C301" s="181"/>
      <c r="D301" s="181"/>
      <c r="E301" s="181"/>
      <c r="F301" s="181"/>
      <c r="G301" s="181"/>
      <c r="H301" s="181"/>
      <c r="I301" s="181"/>
      <c r="J301" s="181"/>
      <c r="K301" s="181"/>
      <c r="L301" s="181"/>
      <c r="M301" s="181"/>
      <c r="N301" s="181"/>
      <c r="O301" s="181"/>
      <c r="P301" s="181"/>
      <c r="Q301" s="181"/>
      <c r="R301" s="181"/>
      <c r="S301" s="181"/>
      <c r="T301" s="181"/>
      <c r="U301" s="181"/>
      <c r="V301" s="181"/>
      <c r="W301" s="181"/>
      <c r="X301" s="181"/>
      <c r="Y301" s="181"/>
      <c r="Z301" s="181"/>
    </row>
    <row r="302">
      <c r="A302" s="181"/>
      <c r="B302" s="181"/>
      <c r="C302" s="181"/>
      <c r="D302" s="181"/>
      <c r="E302" s="181"/>
      <c r="F302" s="181"/>
      <c r="G302" s="181"/>
      <c r="H302" s="181"/>
      <c r="I302" s="181"/>
      <c r="J302" s="181"/>
      <c r="K302" s="181"/>
      <c r="L302" s="181"/>
      <c r="M302" s="181"/>
      <c r="N302" s="181"/>
      <c r="O302" s="181"/>
      <c r="P302" s="181"/>
      <c r="Q302" s="181"/>
      <c r="R302" s="181"/>
      <c r="S302" s="181"/>
      <c r="T302" s="181"/>
      <c r="U302" s="181"/>
      <c r="V302" s="181"/>
      <c r="W302" s="181"/>
      <c r="X302" s="181"/>
      <c r="Y302" s="181"/>
      <c r="Z302" s="181"/>
    </row>
    <row r="303">
      <c r="A303" s="181"/>
      <c r="B303" s="181"/>
      <c r="C303" s="181"/>
      <c r="D303" s="181"/>
      <c r="E303" s="181"/>
      <c r="F303" s="181"/>
      <c r="G303" s="181"/>
      <c r="H303" s="181"/>
      <c r="I303" s="181"/>
      <c r="J303" s="181"/>
      <c r="K303" s="181"/>
      <c r="L303" s="181"/>
      <c r="M303" s="181"/>
      <c r="N303" s="181"/>
      <c r="O303" s="181"/>
      <c r="P303" s="181"/>
      <c r="Q303" s="181"/>
      <c r="R303" s="181"/>
      <c r="S303" s="181"/>
      <c r="T303" s="181"/>
      <c r="U303" s="181"/>
      <c r="V303" s="181"/>
      <c r="W303" s="181"/>
      <c r="X303" s="181"/>
      <c r="Y303" s="181"/>
      <c r="Z303" s="181"/>
    </row>
    <row r="304">
      <c r="A304" s="181"/>
      <c r="B304" s="181"/>
      <c r="C304" s="181"/>
      <c r="D304" s="181"/>
      <c r="E304" s="181"/>
      <c r="F304" s="181"/>
      <c r="G304" s="181"/>
      <c r="H304" s="181"/>
      <c r="I304" s="181"/>
      <c r="J304" s="181"/>
      <c r="K304" s="181"/>
      <c r="L304" s="181"/>
      <c r="M304" s="181"/>
      <c r="N304" s="181"/>
      <c r="O304" s="181"/>
      <c r="P304" s="181"/>
      <c r="Q304" s="181"/>
      <c r="R304" s="181"/>
      <c r="S304" s="181"/>
      <c r="T304" s="181"/>
      <c r="U304" s="181"/>
      <c r="V304" s="181"/>
      <c r="W304" s="181"/>
      <c r="X304" s="181"/>
      <c r="Y304" s="181"/>
      <c r="Z304" s="181"/>
    </row>
    <row r="305">
      <c r="A305" s="181"/>
      <c r="B305" s="181"/>
      <c r="C305" s="181"/>
      <c r="D305" s="181"/>
      <c r="E305" s="181"/>
      <c r="F305" s="181"/>
      <c r="G305" s="181"/>
      <c r="H305" s="181"/>
      <c r="I305" s="181"/>
      <c r="J305" s="181"/>
      <c r="K305" s="181"/>
      <c r="L305" s="181"/>
      <c r="M305" s="181"/>
      <c r="N305" s="181"/>
      <c r="O305" s="181"/>
      <c r="P305" s="181"/>
      <c r="Q305" s="181"/>
      <c r="R305" s="181"/>
      <c r="S305" s="181"/>
      <c r="T305" s="181"/>
      <c r="U305" s="181"/>
      <c r="V305" s="181"/>
      <c r="W305" s="181"/>
      <c r="X305" s="181"/>
      <c r="Y305" s="181"/>
      <c r="Z305" s="181"/>
    </row>
    <row r="306">
      <c r="A306" s="181"/>
      <c r="B306" s="181"/>
      <c r="C306" s="181"/>
      <c r="D306" s="181"/>
      <c r="E306" s="181"/>
      <c r="F306" s="181"/>
      <c r="G306" s="181"/>
      <c r="H306" s="181"/>
      <c r="I306" s="181"/>
      <c r="J306" s="181"/>
      <c r="K306" s="181"/>
      <c r="L306" s="181"/>
      <c r="M306" s="181"/>
      <c r="N306" s="181"/>
      <c r="O306" s="181"/>
      <c r="P306" s="181"/>
      <c r="Q306" s="181"/>
      <c r="R306" s="181"/>
      <c r="S306" s="181"/>
      <c r="T306" s="181"/>
      <c r="U306" s="181"/>
      <c r="V306" s="181"/>
      <c r="W306" s="181"/>
      <c r="X306" s="181"/>
      <c r="Y306" s="181"/>
      <c r="Z306" s="181"/>
    </row>
    <row r="307">
      <c r="A307" s="181"/>
      <c r="B307" s="181"/>
      <c r="C307" s="181"/>
      <c r="D307" s="181"/>
      <c r="E307" s="181"/>
      <c r="F307" s="181"/>
      <c r="G307" s="181"/>
      <c r="H307" s="181"/>
      <c r="I307" s="181"/>
      <c r="J307" s="181"/>
      <c r="K307" s="181"/>
      <c r="L307" s="181"/>
      <c r="M307" s="181"/>
      <c r="N307" s="181"/>
      <c r="O307" s="181"/>
      <c r="P307" s="181"/>
      <c r="Q307" s="181"/>
      <c r="R307" s="181"/>
      <c r="S307" s="181"/>
      <c r="T307" s="181"/>
      <c r="U307" s="181"/>
      <c r="V307" s="181"/>
      <c r="W307" s="181"/>
      <c r="X307" s="181"/>
      <c r="Y307" s="181"/>
      <c r="Z307" s="181"/>
    </row>
    <row r="308">
      <c r="A308" s="181"/>
      <c r="B308" s="181"/>
      <c r="C308" s="181"/>
      <c r="D308" s="181"/>
      <c r="E308" s="181"/>
      <c r="F308" s="181"/>
      <c r="G308" s="181"/>
      <c r="H308" s="181"/>
      <c r="I308" s="181"/>
      <c r="J308" s="181"/>
      <c r="K308" s="181"/>
      <c r="L308" s="181"/>
      <c r="M308" s="181"/>
      <c r="N308" s="181"/>
      <c r="O308" s="181"/>
      <c r="P308" s="181"/>
      <c r="Q308" s="181"/>
      <c r="R308" s="181"/>
      <c r="S308" s="181"/>
      <c r="T308" s="181"/>
      <c r="U308" s="181"/>
      <c r="V308" s="181"/>
      <c r="W308" s="181"/>
      <c r="X308" s="181"/>
      <c r="Y308" s="181"/>
      <c r="Z308" s="181"/>
    </row>
    <row r="309">
      <c r="A309" s="181"/>
      <c r="B309" s="181"/>
      <c r="C309" s="181"/>
      <c r="D309" s="181"/>
      <c r="E309" s="181"/>
      <c r="F309" s="181"/>
      <c r="G309" s="181"/>
      <c r="H309" s="181"/>
      <c r="I309" s="181"/>
      <c r="J309" s="181"/>
      <c r="K309" s="181"/>
      <c r="L309" s="181"/>
      <c r="M309" s="181"/>
      <c r="N309" s="181"/>
      <c r="O309" s="181"/>
      <c r="P309" s="181"/>
      <c r="Q309" s="181"/>
      <c r="R309" s="181"/>
      <c r="S309" s="181"/>
      <c r="T309" s="181"/>
      <c r="U309" s="181"/>
      <c r="V309" s="181"/>
      <c r="W309" s="181"/>
      <c r="X309" s="181"/>
      <c r="Y309" s="181"/>
      <c r="Z309" s="181"/>
    </row>
    <row r="310">
      <c r="A310" s="181"/>
      <c r="B310" s="181"/>
      <c r="C310" s="181"/>
      <c r="D310" s="181"/>
      <c r="E310" s="181"/>
      <c r="F310" s="181"/>
      <c r="G310" s="181"/>
      <c r="H310" s="181"/>
      <c r="I310" s="181"/>
      <c r="J310" s="181"/>
      <c r="K310" s="181"/>
      <c r="L310" s="181"/>
      <c r="M310" s="181"/>
      <c r="N310" s="181"/>
      <c r="O310" s="181"/>
      <c r="P310" s="181"/>
      <c r="Q310" s="181"/>
      <c r="R310" s="181"/>
      <c r="S310" s="181"/>
      <c r="T310" s="181"/>
      <c r="U310" s="181"/>
      <c r="V310" s="181"/>
      <c r="W310" s="181"/>
      <c r="X310" s="181"/>
      <c r="Y310" s="181"/>
      <c r="Z310" s="181"/>
    </row>
    <row r="311">
      <c r="A311" s="181"/>
      <c r="B311" s="181"/>
      <c r="C311" s="181"/>
      <c r="D311" s="181"/>
      <c r="E311" s="181"/>
      <c r="F311" s="181"/>
      <c r="G311" s="181"/>
      <c r="H311" s="181"/>
      <c r="I311" s="181"/>
      <c r="J311" s="181"/>
      <c r="K311" s="181"/>
      <c r="L311" s="181"/>
      <c r="M311" s="181"/>
      <c r="N311" s="181"/>
      <c r="O311" s="181"/>
      <c r="P311" s="181"/>
      <c r="Q311" s="181"/>
      <c r="R311" s="181"/>
      <c r="S311" s="181"/>
      <c r="T311" s="181"/>
      <c r="U311" s="181"/>
      <c r="V311" s="181"/>
      <c r="W311" s="181"/>
      <c r="X311" s="181"/>
      <c r="Y311" s="181"/>
      <c r="Z311" s="181"/>
    </row>
    <row r="312">
      <c r="A312" s="181"/>
      <c r="B312" s="181"/>
      <c r="C312" s="181"/>
      <c r="D312" s="181"/>
      <c r="E312" s="181"/>
      <c r="F312" s="181"/>
      <c r="G312" s="181"/>
      <c r="H312" s="181"/>
      <c r="I312" s="181"/>
      <c r="J312" s="181"/>
      <c r="K312" s="181"/>
      <c r="L312" s="181"/>
      <c r="M312" s="181"/>
      <c r="N312" s="181"/>
      <c r="O312" s="181"/>
      <c r="P312" s="181"/>
      <c r="Q312" s="181"/>
      <c r="R312" s="181"/>
      <c r="S312" s="181"/>
      <c r="T312" s="181"/>
      <c r="U312" s="181"/>
      <c r="V312" s="181"/>
      <c r="W312" s="181"/>
      <c r="X312" s="181"/>
      <c r="Y312" s="181"/>
      <c r="Z312" s="181"/>
    </row>
    <row r="313">
      <c r="A313" s="181"/>
      <c r="B313" s="181"/>
      <c r="C313" s="181"/>
      <c r="D313" s="181"/>
      <c r="E313" s="181"/>
      <c r="F313" s="181"/>
      <c r="G313" s="181"/>
      <c r="H313" s="181"/>
      <c r="I313" s="181"/>
      <c r="J313" s="181"/>
      <c r="K313" s="181"/>
      <c r="L313" s="181"/>
      <c r="M313" s="181"/>
      <c r="N313" s="181"/>
      <c r="O313" s="181"/>
      <c r="P313" s="181"/>
      <c r="Q313" s="181"/>
      <c r="R313" s="181"/>
      <c r="S313" s="181"/>
      <c r="T313" s="181"/>
      <c r="U313" s="181"/>
      <c r="V313" s="181"/>
      <c r="W313" s="181"/>
      <c r="X313" s="181"/>
      <c r="Y313" s="181"/>
      <c r="Z313" s="181"/>
    </row>
    <row r="314">
      <c r="A314" s="181"/>
      <c r="B314" s="181"/>
      <c r="C314" s="181"/>
      <c r="D314" s="181"/>
      <c r="E314" s="181"/>
      <c r="F314" s="181"/>
      <c r="G314" s="181"/>
      <c r="H314" s="181"/>
      <c r="I314" s="181"/>
      <c r="J314" s="181"/>
      <c r="K314" s="181"/>
      <c r="L314" s="181"/>
      <c r="M314" s="181"/>
      <c r="N314" s="181"/>
      <c r="O314" s="181"/>
      <c r="P314" s="181"/>
      <c r="Q314" s="181"/>
      <c r="R314" s="181"/>
      <c r="S314" s="181"/>
      <c r="T314" s="181"/>
      <c r="U314" s="181"/>
      <c r="V314" s="181"/>
      <c r="W314" s="181"/>
      <c r="X314" s="181"/>
      <c r="Y314" s="181"/>
      <c r="Z314" s="181"/>
    </row>
    <row r="315">
      <c r="A315" s="181"/>
      <c r="B315" s="181"/>
      <c r="C315" s="181"/>
      <c r="D315" s="181"/>
      <c r="E315" s="181"/>
      <c r="F315" s="181"/>
      <c r="G315" s="181"/>
      <c r="H315" s="181"/>
      <c r="I315" s="181"/>
      <c r="J315" s="181"/>
      <c r="K315" s="181"/>
      <c r="L315" s="181"/>
      <c r="M315" s="181"/>
      <c r="N315" s="181"/>
      <c r="O315" s="181"/>
      <c r="P315" s="181"/>
      <c r="Q315" s="181"/>
      <c r="R315" s="181"/>
      <c r="S315" s="181"/>
      <c r="T315" s="181"/>
      <c r="U315" s="181"/>
      <c r="V315" s="181"/>
      <c r="W315" s="181"/>
      <c r="X315" s="181"/>
      <c r="Y315" s="181"/>
      <c r="Z315" s="181"/>
    </row>
    <row r="316">
      <c r="A316" s="181"/>
      <c r="B316" s="181"/>
      <c r="C316" s="181"/>
      <c r="D316" s="181"/>
      <c r="E316" s="181"/>
      <c r="F316" s="181"/>
      <c r="G316" s="181"/>
      <c r="H316" s="181"/>
      <c r="I316" s="181"/>
      <c r="J316" s="181"/>
      <c r="K316" s="181"/>
      <c r="L316" s="181"/>
      <c r="M316" s="181"/>
      <c r="N316" s="181"/>
      <c r="O316" s="181"/>
      <c r="P316" s="181"/>
      <c r="Q316" s="181"/>
      <c r="R316" s="181"/>
      <c r="S316" s="181"/>
      <c r="T316" s="181"/>
      <c r="U316" s="181"/>
      <c r="V316" s="181"/>
      <c r="W316" s="181"/>
      <c r="X316" s="181"/>
      <c r="Y316" s="181"/>
      <c r="Z316" s="181"/>
    </row>
    <row r="317">
      <c r="A317" s="181"/>
      <c r="B317" s="181"/>
      <c r="C317" s="181"/>
      <c r="D317" s="181"/>
      <c r="E317" s="181"/>
      <c r="F317" s="181"/>
      <c r="G317" s="181"/>
      <c r="H317" s="181"/>
      <c r="I317" s="181"/>
      <c r="J317" s="181"/>
      <c r="K317" s="181"/>
      <c r="L317" s="181"/>
      <c r="M317" s="181"/>
      <c r="N317" s="181"/>
      <c r="O317" s="181"/>
      <c r="P317" s="181"/>
      <c r="Q317" s="181"/>
      <c r="R317" s="181"/>
      <c r="S317" s="181"/>
      <c r="T317" s="181"/>
      <c r="U317" s="181"/>
      <c r="V317" s="181"/>
      <c r="W317" s="181"/>
      <c r="X317" s="181"/>
      <c r="Y317" s="181"/>
      <c r="Z317" s="181"/>
    </row>
    <row r="318">
      <c r="A318" s="181"/>
      <c r="B318" s="181"/>
      <c r="C318" s="181"/>
      <c r="D318" s="181"/>
      <c r="E318" s="181"/>
      <c r="F318" s="181"/>
      <c r="G318" s="181"/>
      <c r="H318" s="181"/>
      <c r="I318" s="181"/>
      <c r="J318" s="181"/>
      <c r="K318" s="181"/>
      <c r="L318" s="181"/>
      <c r="M318" s="181"/>
      <c r="N318" s="181"/>
      <c r="O318" s="181"/>
      <c r="P318" s="181"/>
      <c r="Q318" s="181"/>
      <c r="R318" s="181"/>
      <c r="S318" s="181"/>
      <c r="T318" s="181"/>
      <c r="U318" s="181"/>
      <c r="V318" s="181"/>
      <c r="W318" s="181"/>
      <c r="X318" s="181"/>
      <c r="Y318" s="181"/>
      <c r="Z318" s="181"/>
    </row>
    <row r="319">
      <c r="A319" s="181"/>
      <c r="B319" s="181"/>
      <c r="C319" s="181"/>
      <c r="D319" s="181"/>
      <c r="E319" s="181"/>
      <c r="F319" s="181"/>
      <c r="G319" s="181"/>
      <c r="H319" s="181"/>
      <c r="I319" s="181"/>
      <c r="J319" s="181"/>
      <c r="K319" s="181"/>
      <c r="L319" s="181"/>
      <c r="M319" s="181"/>
      <c r="N319" s="181"/>
      <c r="O319" s="181"/>
      <c r="P319" s="181"/>
      <c r="Q319" s="181"/>
      <c r="R319" s="181"/>
      <c r="S319" s="181"/>
      <c r="T319" s="181"/>
      <c r="U319" s="181"/>
      <c r="V319" s="181"/>
      <c r="W319" s="181"/>
      <c r="X319" s="181"/>
      <c r="Y319" s="181"/>
      <c r="Z319" s="181"/>
    </row>
    <row r="320">
      <c r="A320" s="181"/>
      <c r="B320" s="181"/>
      <c r="C320" s="181"/>
      <c r="D320" s="181"/>
      <c r="E320" s="181"/>
      <c r="F320" s="181"/>
      <c r="G320" s="181"/>
      <c r="H320" s="181"/>
      <c r="I320" s="181"/>
      <c r="J320" s="181"/>
      <c r="K320" s="181"/>
      <c r="L320" s="181"/>
      <c r="M320" s="181"/>
      <c r="N320" s="181"/>
      <c r="O320" s="181"/>
      <c r="P320" s="181"/>
      <c r="Q320" s="181"/>
      <c r="R320" s="181"/>
      <c r="S320" s="181"/>
      <c r="T320" s="181"/>
      <c r="U320" s="181"/>
      <c r="V320" s="181"/>
      <c r="W320" s="181"/>
      <c r="X320" s="181"/>
      <c r="Y320" s="181"/>
      <c r="Z320" s="181"/>
    </row>
    <row r="321">
      <c r="A321" s="181"/>
      <c r="B321" s="181"/>
      <c r="C321" s="181"/>
      <c r="D321" s="181"/>
      <c r="E321" s="181"/>
      <c r="F321" s="181"/>
      <c r="G321" s="181"/>
      <c r="H321" s="181"/>
      <c r="I321" s="181"/>
      <c r="J321" s="181"/>
      <c r="K321" s="181"/>
      <c r="L321" s="181"/>
      <c r="M321" s="181"/>
      <c r="N321" s="181"/>
      <c r="O321" s="181"/>
      <c r="P321" s="181"/>
      <c r="Q321" s="181"/>
      <c r="R321" s="181"/>
      <c r="S321" s="181"/>
      <c r="T321" s="181"/>
      <c r="U321" s="181"/>
      <c r="V321" s="181"/>
      <c r="W321" s="181"/>
      <c r="X321" s="181"/>
      <c r="Y321" s="181"/>
      <c r="Z321" s="181"/>
    </row>
    <row r="322">
      <c r="A322" s="181"/>
      <c r="B322" s="181"/>
      <c r="C322" s="181"/>
      <c r="D322" s="181"/>
      <c r="E322" s="181"/>
      <c r="F322" s="181"/>
      <c r="G322" s="181"/>
      <c r="H322" s="181"/>
      <c r="I322" s="181"/>
      <c r="J322" s="181"/>
      <c r="K322" s="181"/>
      <c r="L322" s="181"/>
      <c r="M322" s="181"/>
      <c r="N322" s="181"/>
      <c r="O322" s="181"/>
      <c r="P322" s="181"/>
      <c r="Q322" s="181"/>
      <c r="R322" s="181"/>
      <c r="S322" s="181"/>
      <c r="T322" s="181"/>
      <c r="U322" s="181"/>
      <c r="V322" s="181"/>
      <c r="W322" s="181"/>
      <c r="X322" s="181"/>
      <c r="Y322" s="181"/>
      <c r="Z322" s="181"/>
    </row>
    <row r="323">
      <c r="A323" s="181"/>
      <c r="B323" s="181"/>
      <c r="C323" s="181"/>
      <c r="D323" s="181"/>
      <c r="E323" s="181"/>
      <c r="F323" s="181"/>
      <c r="G323" s="181"/>
      <c r="H323" s="181"/>
      <c r="I323" s="181"/>
      <c r="J323" s="181"/>
      <c r="K323" s="181"/>
      <c r="L323" s="181"/>
      <c r="M323" s="181"/>
      <c r="N323" s="181"/>
      <c r="O323" s="181"/>
      <c r="P323" s="181"/>
      <c r="Q323" s="181"/>
      <c r="R323" s="181"/>
      <c r="S323" s="181"/>
      <c r="T323" s="181"/>
      <c r="U323" s="181"/>
      <c r="V323" s="181"/>
      <c r="W323" s="181"/>
      <c r="X323" s="181"/>
      <c r="Y323" s="181"/>
      <c r="Z323" s="181"/>
    </row>
    <row r="324">
      <c r="A324" s="181"/>
      <c r="B324" s="181"/>
      <c r="C324" s="181"/>
      <c r="D324" s="181"/>
      <c r="E324" s="181"/>
      <c r="F324" s="181"/>
      <c r="G324" s="181"/>
      <c r="H324" s="181"/>
      <c r="I324" s="181"/>
      <c r="J324" s="181"/>
      <c r="K324" s="181"/>
      <c r="L324" s="181"/>
      <c r="M324" s="181"/>
      <c r="N324" s="181"/>
      <c r="O324" s="181"/>
      <c r="P324" s="181"/>
      <c r="Q324" s="181"/>
      <c r="R324" s="181"/>
      <c r="S324" s="181"/>
      <c r="T324" s="181"/>
      <c r="U324" s="181"/>
      <c r="V324" s="181"/>
      <c r="W324" s="181"/>
      <c r="X324" s="181"/>
      <c r="Y324" s="181"/>
      <c r="Z324" s="181"/>
    </row>
    <row r="325">
      <c r="A325" s="181"/>
      <c r="B325" s="181"/>
      <c r="C325" s="181"/>
      <c r="D325" s="181"/>
      <c r="E325" s="181"/>
      <c r="F325" s="181"/>
      <c r="G325" s="181"/>
      <c r="H325" s="181"/>
      <c r="I325" s="181"/>
      <c r="J325" s="181"/>
      <c r="K325" s="181"/>
      <c r="L325" s="181"/>
      <c r="M325" s="181"/>
      <c r="N325" s="181"/>
      <c r="O325" s="181"/>
      <c r="P325" s="181"/>
      <c r="Q325" s="181"/>
      <c r="R325" s="181"/>
      <c r="S325" s="181"/>
      <c r="T325" s="181"/>
      <c r="U325" s="181"/>
      <c r="V325" s="181"/>
      <c r="W325" s="181"/>
      <c r="X325" s="181"/>
      <c r="Y325" s="181"/>
      <c r="Z325" s="181"/>
    </row>
    <row r="326">
      <c r="A326" s="181"/>
      <c r="B326" s="181"/>
      <c r="C326" s="181"/>
      <c r="D326" s="181"/>
      <c r="E326" s="181"/>
      <c r="F326" s="181"/>
      <c r="G326" s="181"/>
      <c r="H326" s="181"/>
      <c r="I326" s="181"/>
      <c r="J326" s="181"/>
      <c r="K326" s="181"/>
      <c r="L326" s="181"/>
      <c r="M326" s="181"/>
      <c r="N326" s="181"/>
      <c r="O326" s="181"/>
      <c r="P326" s="181"/>
      <c r="Q326" s="181"/>
      <c r="R326" s="181"/>
      <c r="S326" s="181"/>
      <c r="T326" s="181"/>
      <c r="U326" s="181"/>
      <c r="V326" s="181"/>
      <c r="W326" s="181"/>
      <c r="X326" s="181"/>
      <c r="Y326" s="181"/>
      <c r="Z326" s="181"/>
    </row>
    <row r="327">
      <c r="A327" s="181"/>
      <c r="B327" s="181"/>
      <c r="C327" s="181"/>
      <c r="D327" s="181"/>
      <c r="E327" s="181"/>
      <c r="F327" s="181"/>
      <c r="G327" s="181"/>
      <c r="H327" s="181"/>
      <c r="I327" s="181"/>
      <c r="J327" s="181"/>
      <c r="K327" s="181"/>
      <c r="L327" s="181"/>
      <c r="M327" s="181"/>
      <c r="N327" s="181"/>
      <c r="O327" s="181"/>
      <c r="P327" s="181"/>
      <c r="Q327" s="181"/>
      <c r="R327" s="181"/>
      <c r="S327" s="181"/>
      <c r="T327" s="181"/>
      <c r="U327" s="181"/>
      <c r="V327" s="181"/>
      <c r="W327" s="181"/>
      <c r="X327" s="181"/>
      <c r="Y327" s="181"/>
      <c r="Z327" s="181"/>
    </row>
    <row r="328">
      <c r="A328" s="181"/>
      <c r="B328" s="181"/>
      <c r="C328" s="181"/>
      <c r="D328" s="181"/>
      <c r="E328" s="181"/>
      <c r="F328" s="181"/>
      <c r="G328" s="181"/>
      <c r="H328" s="181"/>
      <c r="I328" s="181"/>
      <c r="J328" s="181"/>
      <c r="K328" s="181"/>
      <c r="L328" s="181"/>
      <c r="M328" s="181"/>
      <c r="N328" s="181"/>
      <c r="O328" s="181"/>
      <c r="P328" s="181"/>
      <c r="Q328" s="181"/>
      <c r="R328" s="181"/>
      <c r="S328" s="181"/>
      <c r="T328" s="181"/>
      <c r="U328" s="181"/>
      <c r="V328" s="181"/>
      <c r="W328" s="181"/>
      <c r="X328" s="181"/>
      <c r="Y328" s="181"/>
      <c r="Z328" s="181"/>
    </row>
    <row r="329">
      <c r="A329" s="181"/>
      <c r="B329" s="181"/>
      <c r="C329" s="181"/>
      <c r="D329" s="181"/>
      <c r="E329" s="181"/>
      <c r="F329" s="181"/>
      <c r="G329" s="181"/>
      <c r="H329" s="181"/>
      <c r="I329" s="181"/>
      <c r="J329" s="181"/>
      <c r="K329" s="181"/>
      <c r="L329" s="181"/>
      <c r="M329" s="181"/>
      <c r="N329" s="181"/>
      <c r="O329" s="181"/>
      <c r="P329" s="181"/>
      <c r="Q329" s="181"/>
      <c r="R329" s="181"/>
      <c r="S329" s="181"/>
      <c r="T329" s="181"/>
      <c r="U329" s="181"/>
      <c r="V329" s="181"/>
      <c r="W329" s="181"/>
      <c r="X329" s="181"/>
      <c r="Y329" s="181"/>
      <c r="Z329" s="181"/>
    </row>
    <row r="330">
      <c r="A330" s="181"/>
      <c r="B330" s="181"/>
      <c r="C330" s="181"/>
      <c r="D330" s="181"/>
      <c r="E330" s="181"/>
      <c r="F330" s="181"/>
      <c r="G330" s="181"/>
      <c r="H330" s="181"/>
      <c r="I330" s="181"/>
      <c r="J330" s="181"/>
      <c r="K330" s="181"/>
      <c r="L330" s="181"/>
      <c r="M330" s="181"/>
      <c r="N330" s="181"/>
      <c r="O330" s="181"/>
      <c r="P330" s="181"/>
      <c r="Q330" s="181"/>
      <c r="R330" s="181"/>
      <c r="S330" s="181"/>
      <c r="T330" s="181"/>
      <c r="U330" s="181"/>
      <c r="V330" s="181"/>
      <c r="W330" s="181"/>
      <c r="X330" s="181"/>
      <c r="Y330" s="181"/>
      <c r="Z330" s="181"/>
    </row>
    <row r="331">
      <c r="A331" s="181"/>
      <c r="B331" s="181"/>
      <c r="C331" s="181"/>
      <c r="D331" s="181"/>
      <c r="E331" s="181"/>
      <c r="F331" s="181"/>
      <c r="G331" s="181"/>
      <c r="H331" s="181"/>
      <c r="I331" s="181"/>
      <c r="J331" s="181"/>
      <c r="K331" s="181"/>
      <c r="L331" s="181"/>
      <c r="M331" s="181"/>
      <c r="N331" s="181"/>
      <c r="O331" s="181"/>
      <c r="P331" s="181"/>
      <c r="Q331" s="181"/>
      <c r="R331" s="181"/>
      <c r="S331" s="181"/>
      <c r="T331" s="181"/>
      <c r="U331" s="181"/>
      <c r="V331" s="181"/>
      <c r="W331" s="181"/>
      <c r="X331" s="181"/>
      <c r="Y331" s="181"/>
      <c r="Z331" s="181"/>
    </row>
    <row r="332">
      <c r="A332" s="181"/>
      <c r="B332" s="181"/>
      <c r="C332" s="181"/>
      <c r="D332" s="181"/>
      <c r="E332" s="181"/>
      <c r="F332" s="181"/>
      <c r="G332" s="181"/>
      <c r="H332" s="181"/>
      <c r="I332" s="181"/>
      <c r="J332" s="181"/>
      <c r="K332" s="181"/>
      <c r="L332" s="181"/>
      <c r="M332" s="181"/>
      <c r="N332" s="181"/>
      <c r="O332" s="181"/>
      <c r="P332" s="181"/>
      <c r="Q332" s="181"/>
      <c r="R332" s="181"/>
      <c r="S332" s="181"/>
      <c r="T332" s="181"/>
      <c r="U332" s="181"/>
      <c r="V332" s="181"/>
      <c r="W332" s="181"/>
      <c r="X332" s="181"/>
      <c r="Y332" s="181"/>
      <c r="Z332" s="181"/>
    </row>
    <row r="333">
      <c r="A333" s="181"/>
      <c r="B333" s="181"/>
      <c r="C333" s="181"/>
      <c r="D333" s="181"/>
      <c r="E333" s="181"/>
      <c r="F333" s="181"/>
      <c r="G333" s="181"/>
      <c r="H333" s="181"/>
      <c r="I333" s="181"/>
      <c r="J333" s="181"/>
      <c r="K333" s="181"/>
      <c r="L333" s="181"/>
      <c r="M333" s="181"/>
      <c r="N333" s="181"/>
      <c r="O333" s="181"/>
      <c r="P333" s="181"/>
      <c r="Q333" s="181"/>
      <c r="R333" s="181"/>
      <c r="S333" s="181"/>
      <c r="T333" s="181"/>
      <c r="U333" s="181"/>
      <c r="V333" s="181"/>
      <c r="W333" s="181"/>
      <c r="X333" s="181"/>
      <c r="Y333" s="181"/>
      <c r="Z333" s="181"/>
    </row>
    <row r="334">
      <c r="A334" s="181"/>
      <c r="B334" s="181"/>
      <c r="C334" s="181"/>
      <c r="D334" s="181"/>
      <c r="E334" s="181"/>
      <c r="F334" s="181"/>
      <c r="G334" s="181"/>
      <c r="H334" s="181"/>
      <c r="I334" s="181"/>
      <c r="J334" s="181"/>
      <c r="K334" s="181"/>
      <c r="L334" s="181"/>
      <c r="M334" s="181"/>
      <c r="N334" s="181"/>
      <c r="O334" s="181"/>
      <c r="P334" s="181"/>
      <c r="Q334" s="181"/>
      <c r="R334" s="181"/>
      <c r="S334" s="181"/>
      <c r="T334" s="181"/>
      <c r="U334" s="181"/>
      <c r="V334" s="181"/>
      <c r="W334" s="181"/>
      <c r="X334" s="181"/>
      <c r="Y334" s="181"/>
      <c r="Z334" s="181"/>
    </row>
    <row r="335">
      <c r="A335" s="181"/>
      <c r="B335" s="181"/>
      <c r="C335" s="181"/>
      <c r="D335" s="181"/>
      <c r="E335" s="181"/>
      <c r="F335" s="181"/>
      <c r="G335" s="181"/>
      <c r="H335" s="181"/>
      <c r="I335" s="181"/>
      <c r="J335" s="181"/>
      <c r="K335" s="181"/>
      <c r="L335" s="181"/>
      <c r="M335" s="181"/>
      <c r="N335" s="181"/>
      <c r="O335" s="181"/>
      <c r="P335" s="181"/>
      <c r="Q335" s="181"/>
      <c r="R335" s="181"/>
      <c r="S335" s="181"/>
      <c r="T335" s="181"/>
      <c r="U335" s="181"/>
      <c r="V335" s="181"/>
      <c r="W335" s="181"/>
      <c r="X335" s="181"/>
      <c r="Y335" s="181"/>
      <c r="Z335" s="181"/>
    </row>
    <row r="336">
      <c r="A336" s="181"/>
      <c r="B336" s="181"/>
      <c r="C336" s="181"/>
      <c r="D336" s="181"/>
      <c r="E336" s="181"/>
      <c r="F336" s="181"/>
      <c r="G336" s="181"/>
      <c r="H336" s="181"/>
      <c r="I336" s="181"/>
      <c r="J336" s="181"/>
      <c r="K336" s="181"/>
      <c r="L336" s="181"/>
      <c r="M336" s="181"/>
      <c r="N336" s="181"/>
      <c r="O336" s="181"/>
      <c r="P336" s="181"/>
      <c r="Q336" s="181"/>
      <c r="R336" s="181"/>
      <c r="S336" s="181"/>
      <c r="T336" s="181"/>
      <c r="U336" s="181"/>
      <c r="V336" s="181"/>
      <c r="W336" s="181"/>
      <c r="X336" s="181"/>
      <c r="Y336" s="181"/>
      <c r="Z336" s="181"/>
    </row>
    <row r="337">
      <c r="A337" s="181"/>
      <c r="B337" s="181"/>
      <c r="C337" s="181"/>
      <c r="D337" s="181"/>
      <c r="E337" s="181"/>
      <c r="F337" s="181"/>
      <c r="G337" s="181"/>
      <c r="H337" s="181"/>
      <c r="I337" s="181"/>
      <c r="J337" s="181"/>
      <c r="K337" s="181"/>
      <c r="L337" s="181"/>
      <c r="M337" s="181"/>
      <c r="N337" s="181"/>
      <c r="O337" s="181"/>
      <c r="P337" s="181"/>
      <c r="Q337" s="181"/>
      <c r="R337" s="181"/>
      <c r="S337" s="181"/>
      <c r="T337" s="181"/>
      <c r="U337" s="181"/>
      <c r="V337" s="181"/>
      <c r="W337" s="181"/>
      <c r="X337" s="181"/>
      <c r="Y337" s="181"/>
      <c r="Z337" s="181"/>
    </row>
    <row r="338">
      <c r="A338" s="181"/>
      <c r="B338" s="181"/>
      <c r="C338" s="181"/>
      <c r="D338" s="181"/>
      <c r="E338" s="181"/>
      <c r="F338" s="181"/>
      <c r="G338" s="181"/>
      <c r="H338" s="181"/>
      <c r="I338" s="181"/>
      <c r="J338" s="181"/>
      <c r="K338" s="181"/>
      <c r="L338" s="181"/>
      <c r="M338" s="181"/>
      <c r="N338" s="181"/>
      <c r="O338" s="181"/>
      <c r="P338" s="181"/>
      <c r="Q338" s="181"/>
      <c r="R338" s="181"/>
      <c r="S338" s="181"/>
      <c r="T338" s="181"/>
      <c r="U338" s="181"/>
      <c r="V338" s="181"/>
      <c r="W338" s="181"/>
      <c r="X338" s="181"/>
      <c r="Y338" s="181"/>
      <c r="Z338" s="181"/>
    </row>
    <row r="339">
      <c r="A339" s="181"/>
      <c r="B339" s="181"/>
      <c r="C339" s="181"/>
      <c r="D339" s="181"/>
      <c r="E339" s="181"/>
      <c r="F339" s="181"/>
      <c r="G339" s="181"/>
      <c r="H339" s="181"/>
      <c r="I339" s="181"/>
      <c r="J339" s="181"/>
      <c r="K339" s="181"/>
      <c r="L339" s="181"/>
      <c r="M339" s="181"/>
      <c r="N339" s="181"/>
      <c r="O339" s="181"/>
      <c r="P339" s="181"/>
      <c r="Q339" s="181"/>
      <c r="R339" s="181"/>
      <c r="S339" s="181"/>
      <c r="T339" s="181"/>
      <c r="U339" s="181"/>
      <c r="V339" s="181"/>
      <c r="W339" s="181"/>
      <c r="X339" s="181"/>
      <c r="Y339" s="181"/>
      <c r="Z339" s="181"/>
    </row>
    <row r="340">
      <c r="A340" s="181"/>
      <c r="B340" s="181"/>
      <c r="C340" s="181"/>
      <c r="D340" s="181"/>
      <c r="E340" s="181"/>
      <c r="F340" s="181"/>
      <c r="G340" s="181"/>
      <c r="H340" s="181"/>
      <c r="I340" s="181"/>
      <c r="J340" s="181"/>
      <c r="K340" s="181"/>
      <c r="L340" s="181"/>
      <c r="M340" s="181"/>
      <c r="N340" s="181"/>
      <c r="O340" s="181"/>
      <c r="P340" s="181"/>
      <c r="Q340" s="181"/>
      <c r="R340" s="181"/>
      <c r="S340" s="181"/>
      <c r="T340" s="181"/>
      <c r="U340" s="181"/>
      <c r="V340" s="181"/>
      <c r="W340" s="181"/>
      <c r="X340" s="181"/>
      <c r="Y340" s="181"/>
      <c r="Z340" s="181"/>
    </row>
    <row r="341">
      <c r="A341" s="181"/>
      <c r="B341" s="181"/>
      <c r="C341" s="181"/>
      <c r="D341" s="181"/>
      <c r="E341" s="181"/>
      <c r="F341" s="181"/>
      <c r="G341" s="181"/>
      <c r="H341" s="181"/>
      <c r="I341" s="181"/>
      <c r="J341" s="181"/>
      <c r="K341" s="181"/>
      <c r="L341" s="181"/>
      <c r="M341" s="181"/>
      <c r="N341" s="181"/>
      <c r="O341" s="181"/>
      <c r="P341" s="181"/>
      <c r="Q341" s="181"/>
      <c r="R341" s="181"/>
      <c r="S341" s="181"/>
      <c r="T341" s="181"/>
      <c r="U341" s="181"/>
      <c r="V341" s="181"/>
      <c r="W341" s="181"/>
      <c r="X341" s="181"/>
      <c r="Y341" s="181"/>
      <c r="Z341" s="181"/>
    </row>
    <row r="342">
      <c r="A342" s="181"/>
      <c r="B342" s="181"/>
      <c r="C342" s="181"/>
      <c r="D342" s="181"/>
      <c r="E342" s="181"/>
      <c r="F342" s="181"/>
      <c r="G342" s="181"/>
      <c r="H342" s="181"/>
      <c r="I342" s="181"/>
      <c r="J342" s="181"/>
      <c r="K342" s="181"/>
      <c r="L342" s="181"/>
      <c r="M342" s="181"/>
      <c r="N342" s="181"/>
      <c r="O342" s="181"/>
      <c r="P342" s="181"/>
      <c r="Q342" s="181"/>
      <c r="R342" s="181"/>
      <c r="S342" s="181"/>
      <c r="T342" s="181"/>
      <c r="U342" s="181"/>
      <c r="V342" s="181"/>
      <c r="W342" s="181"/>
      <c r="X342" s="181"/>
      <c r="Y342" s="181"/>
      <c r="Z342" s="181"/>
    </row>
    <row r="343">
      <c r="A343" s="181"/>
      <c r="B343" s="181"/>
      <c r="C343" s="181"/>
      <c r="D343" s="181"/>
      <c r="E343" s="181"/>
      <c r="F343" s="181"/>
      <c r="G343" s="181"/>
      <c r="H343" s="181"/>
      <c r="I343" s="181"/>
      <c r="J343" s="181"/>
      <c r="K343" s="181"/>
      <c r="L343" s="181"/>
      <c r="M343" s="181"/>
      <c r="N343" s="181"/>
      <c r="O343" s="181"/>
      <c r="P343" s="181"/>
      <c r="Q343" s="181"/>
      <c r="R343" s="181"/>
      <c r="S343" s="181"/>
      <c r="T343" s="181"/>
      <c r="U343" s="181"/>
      <c r="V343" s="181"/>
      <c r="W343" s="181"/>
      <c r="X343" s="181"/>
      <c r="Y343" s="181"/>
      <c r="Z343" s="181"/>
    </row>
    <row r="344">
      <c r="A344" s="181"/>
      <c r="B344" s="181"/>
      <c r="C344" s="181"/>
      <c r="D344" s="181"/>
      <c r="E344" s="181"/>
      <c r="F344" s="181"/>
      <c r="G344" s="181"/>
      <c r="H344" s="181"/>
      <c r="I344" s="181"/>
      <c r="J344" s="181"/>
      <c r="K344" s="181"/>
      <c r="L344" s="181"/>
      <c r="M344" s="181"/>
      <c r="N344" s="181"/>
      <c r="O344" s="181"/>
      <c r="P344" s="181"/>
      <c r="Q344" s="181"/>
      <c r="R344" s="181"/>
      <c r="S344" s="181"/>
      <c r="T344" s="181"/>
      <c r="U344" s="181"/>
      <c r="V344" s="181"/>
      <c r="W344" s="181"/>
      <c r="X344" s="181"/>
      <c r="Y344" s="181"/>
      <c r="Z344" s="181"/>
    </row>
    <row r="345">
      <c r="A345" s="181"/>
      <c r="B345" s="181"/>
      <c r="C345" s="181"/>
      <c r="D345" s="181"/>
      <c r="E345" s="181"/>
      <c r="F345" s="181"/>
      <c r="G345" s="181"/>
      <c r="H345" s="181"/>
      <c r="I345" s="181"/>
      <c r="J345" s="181"/>
      <c r="K345" s="181"/>
      <c r="L345" s="181"/>
      <c r="M345" s="181"/>
      <c r="N345" s="181"/>
      <c r="O345" s="181"/>
      <c r="P345" s="181"/>
      <c r="Q345" s="181"/>
      <c r="R345" s="181"/>
      <c r="S345" s="181"/>
      <c r="T345" s="181"/>
      <c r="U345" s="181"/>
      <c r="V345" s="181"/>
      <c r="W345" s="181"/>
      <c r="X345" s="181"/>
      <c r="Y345" s="181"/>
      <c r="Z345" s="181"/>
    </row>
    <row r="346">
      <c r="A346" s="181"/>
      <c r="B346" s="181"/>
      <c r="C346" s="181"/>
      <c r="D346" s="181"/>
      <c r="E346" s="181"/>
      <c r="F346" s="181"/>
      <c r="G346" s="181"/>
      <c r="H346" s="181"/>
      <c r="I346" s="181"/>
      <c r="J346" s="181"/>
      <c r="K346" s="181"/>
      <c r="L346" s="181"/>
      <c r="M346" s="181"/>
      <c r="N346" s="181"/>
      <c r="O346" s="181"/>
      <c r="P346" s="181"/>
      <c r="Q346" s="181"/>
      <c r="R346" s="181"/>
      <c r="S346" s="181"/>
      <c r="T346" s="181"/>
      <c r="U346" s="181"/>
      <c r="V346" s="181"/>
      <c r="W346" s="181"/>
      <c r="X346" s="181"/>
      <c r="Y346" s="181"/>
      <c r="Z346" s="181"/>
    </row>
    <row r="347">
      <c r="A347" s="181"/>
      <c r="B347" s="181"/>
      <c r="C347" s="181"/>
      <c r="D347" s="181"/>
      <c r="E347" s="181"/>
      <c r="F347" s="181"/>
      <c r="G347" s="181"/>
      <c r="H347" s="181"/>
      <c r="I347" s="181"/>
      <c r="J347" s="181"/>
      <c r="K347" s="181"/>
      <c r="L347" s="181"/>
      <c r="M347" s="181"/>
      <c r="N347" s="181"/>
      <c r="O347" s="181"/>
      <c r="P347" s="181"/>
      <c r="Q347" s="181"/>
      <c r="R347" s="181"/>
      <c r="S347" s="181"/>
      <c r="T347" s="181"/>
      <c r="U347" s="181"/>
      <c r="V347" s="181"/>
      <c r="W347" s="181"/>
      <c r="X347" s="181"/>
      <c r="Y347" s="181"/>
      <c r="Z347" s="181"/>
    </row>
    <row r="348">
      <c r="A348" s="181"/>
      <c r="B348" s="181"/>
      <c r="C348" s="181"/>
      <c r="D348" s="181"/>
      <c r="E348" s="181"/>
      <c r="F348" s="181"/>
      <c r="G348" s="181"/>
      <c r="H348" s="181"/>
      <c r="I348" s="181"/>
      <c r="J348" s="181"/>
      <c r="K348" s="181"/>
      <c r="L348" s="181"/>
      <c r="M348" s="181"/>
      <c r="N348" s="181"/>
      <c r="O348" s="181"/>
      <c r="P348" s="181"/>
      <c r="Q348" s="181"/>
      <c r="R348" s="181"/>
      <c r="S348" s="181"/>
      <c r="T348" s="181"/>
      <c r="U348" s="181"/>
      <c r="V348" s="181"/>
      <c r="W348" s="181"/>
      <c r="X348" s="181"/>
      <c r="Y348" s="181"/>
      <c r="Z348" s="181"/>
    </row>
    <row r="349">
      <c r="A349" s="181"/>
      <c r="B349" s="181"/>
      <c r="C349" s="181"/>
      <c r="D349" s="181"/>
      <c r="E349" s="181"/>
      <c r="F349" s="181"/>
      <c r="G349" s="181"/>
      <c r="H349" s="181"/>
      <c r="I349" s="181"/>
      <c r="J349" s="181"/>
      <c r="K349" s="181"/>
      <c r="L349" s="181"/>
      <c r="M349" s="181"/>
      <c r="N349" s="181"/>
      <c r="O349" s="181"/>
      <c r="P349" s="181"/>
      <c r="Q349" s="181"/>
      <c r="R349" s="181"/>
      <c r="S349" s="181"/>
      <c r="T349" s="181"/>
      <c r="U349" s="181"/>
      <c r="V349" s="181"/>
      <c r="W349" s="181"/>
      <c r="X349" s="181"/>
      <c r="Y349" s="181"/>
      <c r="Z349" s="181"/>
    </row>
    <row r="350">
      <c r="A350" s="181"/>
      <c r="B350" s="181"/>
      <c r="C350" s="181"/>
      <c r="D350" s="181"/>
      <c r="E350" s="181"/>
      <c r="F350" s="181"/>
      <c r="G350" s="181"/>
      <c r="H350" s="181"/>
      <c r="I350" s="181"/>
      <c r="J350" s="181"/>
      <c r="K350" s="181"/>
      <c r="L350" s="181"/>
      <c r="M350" s="181"/>
      <c r="N350" s="181"/>
      <c r="O350" s="181"/>
      <c r="P350" s="181"/>
      <c r="Q350" s="181"/>
      <c r="R350" s="181"/>
      <c r="S350" s="181"/>
      <c r="T350" s="181"/>
      <c r="U350" s="181"/>
      <c r="V350" s="181"/>
      <c r="W350" s="181"/>
      <c r="X350" s="181"/>
      <c r="Y350" s="181"/>
      <c r="Z350" s="181"/>
    </row>
    <row r="351">
      <c r="A351" s="181"/>
      <c r="B351" s="181"/>
      <c r="C351" s="181"/>
      <c r="D351" s="181"/>
      <c r="E351" s="181"/>
      <c r="F351" s="181"/>
      <c r="G351" s="181"/>
      <c r="H351" s="181"/>
      <c r="I351" s="181"/>
      <c r="J351" s="181"/>
      <c r="K351" s="181"/>
      <c r="L351" s="181"/>
      <c r="M351" s="181"/>
      <c r="N351" s="181"/>
      <c r="O351" s="181"/>
      <c r="P351" s="181"/>
      <c r="Q351" s="181"/>
      <c r="R351" s="181"/>
      <c r="S351" s="181"/>
      <c r="T351" s="181"/>
      <c r="U351" s="181"/>
      <c r="V351" s="181"/>
      <c r="W351" s="181"/>
      <c r="X351" s="181"/>
      <c r="Y351" s="181"/>
      <c r="Z351" s="181"/>
    </row>
    <row r="352">
      <c r="A352" s="181"/>
      <c r="B352" s="181"/>
      <c r="C352" s="181"/>
      <c r="D352" s="181"/>
      <c r="E352" s="181"/>
      <c r="F352" s="181"/>
      <c r="G352" s="181"/>
      <c r="H352" s="181"/>
      <c r="I352" s="181"/>
      <c r="J352" s="181"/>
      <c r="K352" s="181"/>
      <c r="L352" s="181"/>
      <c r="M352" s="181"/>
      <c r="N352" s="181"/>
      <c r="O352" s="181"/>
      <c r="P352" s="181"/>
      <c r="Q352" s="181"/>
      <c r="R352" s="181"/>
      <c r="S352" s="181"/>
      <c r="T352" s="181"/>
      <c r="U352" s="181"/>
      <c r="V352" s="181"/>
      <c r="W352" s="181"/>
      <c r="X352" s="181"/>
      <c r="Y352" s="181"/>
      <c r="Z352" s="181"/>
    </row>
    <row r="353">
      <c r="A353" s="181"/>
      <c r="B353" s="181"/>
      <c r="C353" s="181"/>
      <c r="D353" s="181"/>
      <c r="E353" s="181"/>
      <c r="F353" s="181"/>
      <c r="G353" s="181"/>
      <c r="H353" s="181"/>
      <c r="I353" s="181"/>
      <c r="J353" s="181"/>
      <c r="K353" s="181"/>
      <c r="L353" s="181"/>
      <c r="M353" s="181"/>
      <c r="N353" s="181"/>
      <c r="O353" s="181"/>
      <c r="P353" s="181"/>
      <c r="Q353" s="181"/>
      <c r="R353" s="181"/>
      <c r="S353" s="181"/>
      <c r="T353" s="181"/>
      <c r="U353" s="181"/>
      <c r="V353" s="181"/>
      <c r="W353" s="181"/>
      <c r="X353" s="181"/>
      <c r="Y353" s="181"/>
      <c r="Z353" s="181"/>
    </row>
    <row r="354">
      <c r="A354" s="181"/>
      <c r="B354" s="181"/>
      <c r="C354" s="181"/>
      <c r="D354" s="181"/>
      <c r="E354" s="181"/>
      <c r="F354" s="181"/>
      <c r="G354" s="181"/>
      <c r="H354" s="181"/>
      <c r="I354" s="181"/>
      <c r="J354" s="181"/>
      <c r="K354" s="181"/>
      <c r="L354" s="181"/>
      <c r="M354" s="181"/>
      <c r="N354" s="181"/>
      <c r="O354" s="181"/>
      <c r="P354" s="181"/>
      <c r="Q354" s="181"/>
      <c r="R354" s="181"/>
      <c r="S354" s="181"/>
      <c r="T354" s="181"/>
      <c r="U354" s="181"/>
      <c r="V354" s="181"/>
      <c r="W354" s="181"/>
      <c r="X354" s="181"/>
      <c r="Y354" s="181"/>
      <c r="Z354" s="181"/>
    </row>
    <row r="355">
      <c r="A355" s="181"/>
      <c r="B355" s="181"/>
      <c r="C355" s="181"/>
      <c r="D355" s="181"/>
      <c r="E355" s="181"/>
      <c r="F355" s="181"/>
      <c r="G355" s="181"/>
      <c r="H355" s="181"/>
      <c r="I355" s="181"/>
      <c r="J355" s="181"/>
      <c r="K355" s="181"/>
      <c r="L355" s="181"/>
      <c r="M355" s="181"/>
      <c r="N355" s="181"/>
      <c r="O355" s="181"/>
      <c r="P355" s="181"/>
      <c r="Q355" s="181"/>
      <c r="R355" s="181"/>
      <c r="S355" s="181"/>
      <c r="T355" s="181"/>
      <c r="U355" s="181"/>
      <c r="V355" s="181"/>
      <c r="W355" s="181"/>
      <c r="X355" s="181"/>
      <c r="Y355" s="181"/>
      <c r="Z355" s="181"/>
    </row>
    <row r="356">
      <c r="A356" s="181"/>
      <c r="B356" s="181"/>
      <c r="C356" s="181"/>
      <c r="D356" s="181"/>
      <c r="E356" s="181"/>
      <c r="F356" s="181"/>
      <c r="G356" s="181"/>
      <c r="H356" s="181"/>
      <c r="I356" s="181"/>
      <c r="J356" s="181"/>
      <c r="K356" s="181"/>
      <c r="L356" s="181"/>
      <c r="M356" s="181"/>
      <c r="N356" s="181"/>
      <c r="O356" s="181"/>
      <c r="P356" s="181"/>
      <c r="Q356" s="181"/>
      <c r="R356" s="181"/>
      <c r="S356" s="181"/>
      <c r="T356" s="181"/>
      <c r="U356" s="181"/>
      <c r="V356" s="181"/>
      <c r="W356" s="181"/>
      <c r="X356" s="181"/>
      <c r="Y356" s="181"/>
      <c r="Z356" s="181"/>
    </row>
    <row r="357">
      <c r="A357" s="181"/>
      <c r="B357" s="181"/>
      <c r="C357" s="181"/>
      <c r="D357" s="181"/>
      <c r="E357" s="181"/>
      <c r="F357" s="181"/>
      <c r="G357" s="181"/>
      <c r="H357" s="181"/>
      <c r="I357" s="181"/>
      <c r="J357" s="181"/>
      <c r="K357" s="181"/>
      <c r="L357" s="181"/>
      <c r="M357" s="181"/>
      <c r="N357" s="181"/>
      <c r="O357" s="181"/>
      <c r="P357" s="181"/>
      <c r="Q357" s="181"/>
      <c r="R357" s="181"/>
      <c r="S357" s="181"/>
      <c r="T357" s="181"/>
      <c r="U357" s="181"/>
      <c r="V357" s="181"/>
      <c r="W357" s="181"/>
      <c r="X357" s="181"/>
      <c r="Y357" s="181"/>
      <c r="Z357" s="181"/>
    </row>
    <row r="358">
      <c r="A358" s="181"/>
      <c r="B358" s="181"/>
      <c r="C358" s="181"/>
      <c r="D358" s="181"/>
      <c r="E358" s="181"/>
      <c r="F358" s="181"/>
      <c r="G358" s="181"/>
      <c r="H358" s="181"/>
      <c r="I358" s="181"/>
      <c r="J358" s="181"/>
      <c r="K358" s="181"/>
      <c r="L358" s="181"/>
      <c r="M358" s="181"/>
      <c r="N358" s="181"/>
      <c r="O358" s="181"/>
      <c r="P358" s="181"/>
      <c r="Q358" s="181"/>
      <c r="R358" s="181"/>
      <c r="S358" s="181"/>
      <c r="T358" s="181"/>
      <c r="U358" s="181"/>
      <c r="V358" s="181"/>
      <c r="W358" s="181"/>
      <c r="X358" s="181"/>
      <c r="Y358" s="181"/>
      <c r="Z358" s="181"/>
    </row>
    <row r="359">
      <c r="A359" s="181"/>
      <c r="B359" s="181"/>
      <c r="C359" s="181"/>
      <c r="D359" s="181"/>
      <c r="E359" s="181"/>
      <c r="F359" s="181"/>
      <c r="G359" s="181"/>
      <c r="H359" s="181"/>
      <c r="I359" s="181"/>
      <c r="J359" s="181"/>
      <c r="K359" s="181"/>
      <c r="L359" s="181"/>
      <c r="M359" s="181"/>
      <c r="N359" s="181"/>
      <c r="O359" s="181"/>
      <c r="P359" s="181"/>
      <c r="Q359" s="181"/>
      <c r="R359" s="181"/>
      <c r="S359" s="181"/>
      <c r="T359" s="181"/>
      <c r="U359" s="181"/>
      <c r="V359" s="181"/>
      <c r="W359" s="181"/>
      <c r="X359" s="181"/>
      <c r="Y359" s="181"/>
      <c r="Z359" s="181"/>
    </row>
    <row r="360">
      <c r="A360" s="181"/>
      <c r="B360" s="181"/>
      <c r="C360" s="181"/>
      <c r="D360" s="181"/>
      <c r="E360" s="181"/>
      <c r="F360" s="181"/>
      <c r="G360" s="181"/>
      <c r="H360" s="181"/>
      <c r="I360" s="181"/>
      <c r="J360" s="181"/>
      <c r="K360" s="181"/>
      <c r="L360" s="181"/>
      <c r="M360" s="181"/>
      <c r="N360" s="181"/>
      <c r="O360" s="181"/>
      <c r="P360" s="181"/>
      <c r="Q360" s="181"/>
      <c r="R360" s="181"/>
      <c r="S360" s="181"/>
      <c r="T360" s="181"/>
      <c r="U360" s="181"/>
      <c r="V360" s="181"/>
      <c r="W360" s="181"/>
      <c r="X360" s="181"/>
      <c r="Y360" s="181"/>
      <c r="Z360" s="181"/>
    </row>
    <row r="361">
      <c r="A361" s="181"/>
      <c r="B361" s="181"/>
      <c r="C361" s="181"/>
      <c r="D361" s="181"/>
      <c r="E361" s="181"/>
      <c r="F361" s="181"/>
      <c r="G361" s="181"/>
      <c r="H361" s="181"/>
      <c r="I361" s="181"/>
      <c r="J361" s="181"/>
      <c r="K361" s="181"/>
      <c r="L361" s="181"/>
      <c r="M361" s="181"/>
      <c r="N361" s="181"/>
      <c r="O361" s="181"/>
      <c r="P361" s="181"/>
      <c r="Q361" s="181"/>
      <c r="R361" s="181"/>
      <c r="S361" s="181"/>
      <c r="T361" s="181"/>
      <c r="U361" s="181"/>
      <c r="V361" s="181"/>
      <c r="W361" s="181"/>
      <c r="X361" s="181"/>
      <c r="Y361" s="181"/>
      <c r="Z361" s="181"/>
    </row>
    <row r="362">
      <c r="A362" s="181"/>
      <c r="B362" s="181"/>
      <c r="C362" s="181"/>
      <c r="D362" s="181"/>
      <c r="E362" s="181"/>
      <c r="F362" s="181"/>
      <c r="G362" s="181"/>
      <c r="H362" s="181"/>
      <c r="I362" s="181"/>
      <c r="J362" s="181"/>
      <c r="K362" s="181"/>
      <c r="L362" s="181"/>
      <c r="M362" s="181"/>
      <c r="N362" s="181"/>
      <c r="O362" s="181"/>
      <c r="P362" s="181"/>
      <c r="Q362" s="181"/>
      <c r="R362" s="181"/>
      <c r="S362" s="181"/>
      <c r="T362" s="181"/>
      <c r="U362" s="181"/>
      <c r="V362" s="181"/>
      <c r="W362" s="181"/>
      <c r="X362" s="181"/>
      <c r="Y362" s="181"/>
      <c r="Z362" s="181"/>
    </row>
    <row r="363">
      <c r="A363" s="181"/>
      <c r="B363" s="181"/>
      <c r="C363" s="181"/>
      <c r="D363" s="181"/>
      <c r="E363" s="181"/>
      <c r="F363" s="181"/>
      <c r="G363" s="181"/>
      <c r="H363" s="181"/>
      <c r="I363" s="181"/>
      <c r="J363" s="181"/>
      <c r="K363" s="181"/>
      <c r="L363" s="181"/>
      <c r="M363" s="181"/>
      <c r="N363" s="181"/>
      <c r="O363" s="181"/>
      <c r="P363" s="181"/>
      <c r="Q363" s="181"/>
      <c r="R363" s="181"/>
      <c r="S363" s="181"/>
      <c r="T363" s="181"/>
      <c r="U363" s="181"/>
      <c r="V363" s="181"/>
      <c r="W363" s="181"/>
      <c r="X363" s="181"/>
      <c r="Y363" s="181"/>
      <c r="Z363" s="181"/>
    </row>
    <row r="364">
      <c r="A364" s="181"/>
      <c r="B364" s="181"/>
      <c r="C364" s="181"/>
      <c r="D364" s="181"/>
      <c r="E364" s="181"/>
      <c r="F364" s="181"/>
      <c r="G364" s="181"/>
      <c r="H364" s="181"/>
      <c r="I364" s="181"/>
      <c r="J364" s="181"/>
      <c r="K364" s="181"/>
      <c r="L364" s="181"/>
      <c r="M364" s="181"/>
      <c r="N364" s="181"/>
      <c r="O364" s="181"/>
      <c r="P364" s="181"/>
      <c r="Q364" s="181"/>
      <c r="R364" s="181"/>
      <c r="S364" s="181"/>
      <c r="T364" s="181"/>
      <c r="U364" s="181"/>
      <c r="V364" s="181"/>
      <c r="W364" s="181"/>
      <c r="X364" s="181"/>
      <c r="Y364" s="181"/>
      <c r="Z364" s="181"/>
    </row>
    <row r="365">
      <c r="A365" s="181"/>
      <c r="B365" s="181"/>
      <c r="C365" s="181"/>
      <c r="D365" s="181"/>
      <c r="E365" s="181"/>
      <c r="F365" s="181"/>
      <c r="G365" s="181"/>
      <c r="H365" s="181"/>
      <c r="I365" s="181"/>
      <c r="J365" s="181"/>
      <c r="K365" s="181"/>
      <c r="L365" s="181"/>
      <c r="M365" s="181"/>
      <c r="N365" s="181"/>
      <c r="O365" s="181"/>
      <c r="P365" s="181"/>
      <c r="Q365" s="181"/>
      <c r="R365" s="181"/>
      <c r="S365" s="181"/>
      <c r="T365" s="181"/>
      <c r="U365" s="181"/>
      <c r="V365" s="181"/>
      <c r="W365" s="181"/>
      <c r="X365" s="181"/>
      <c r="Y365" s="181"/>
      <c r="Z365" s="181"/>
    </row>
    <row r="366">
      <c r="A366" s="181"/>
      <c r="B366" s="181"/>
      <c r="C366" s="181"/>
      <c r="D366" s="181"/>
      <c r="E366" s="181"/>
      <c r="F366" s="181"/>
      <c r="G366" s="181"/>
      <c r="H366" s="181"/>
      <c r="I366" s="181"/>
      <c r="J366" s="181"/>
      <c r="K366" s="181"/>
      <c r="L366" s="181"/>
      <c r="M366" s="181"/>
      <c r="N366" s="181"/>
      <c r="O366" s="181"/>
      <c r="P366" s="181"/>
      <c r="Q366" s="181"/>
      <c r="R366" s="181"/>
      <c r="S366" s="181"/>
      <c r="T366" s="181"/>
      <c r="U366" s="181"/>
      <c r="V366" s="181"/>
      <c r="W366" s="181"/>
      <c r="X366" s="181"/>
      <c r="Y366" s="181"/>
      <c r="Z366" s="181"/>
    </row>
    <row r="367">
      <c r="A367" s="181"/>
      <c r="B367" s="181"/>
      <c r="C367" s="181"/>
      <c r="D367" s="181"/>
      <c r="E367" s="181"/>
      <c r="F367" s="181"/>
      <c r="G367" s="181"/>
      <c r="H367" s="181"/>
      <c r="I367" s="181"/>
      <c r="J367" s="181"/>
      <c r="K367" s="181"/>
      <c r="L367" s="181"/>
      <c r="M367" s="181"/>
      <c r="N367" s="181"/>
      <c r="O367" s="181"/>
      <c r="P367" s="181"/>
      <c r="Q367" s="181"/>
      <c r="R367" s="181"/>
      <c r="S367" s="181"/>
      <c r="T367" s="181"/>
      <c r="U367" s="181"/>
      <c r="V367" s="181"/>
      <c r="W367" s="181"/>
      <c r="X367" s="181"/>
      <c r="Y367" s="181"/>
      <c r="Z367" s="181"/>
    </row>
    <row r="368">
      <c r="A368" s="181"/>
      <c r="B368" s="181"/>
      <c r="C368" s="181"/>
      <c r="D368" s="181"/>
      <c r="E368" s="181"/>
      <c r="F368" s="181"/>
      <c r="G368" s="181"/>
      <c r="H368" s="181"/>
      <c r="I368" s="181"/>
      <c r="J368" s="181"/>
      <c r="K368" s="181"/>
      <c r="L368" s="181"/>
      <c r="M368" s="181"/>
      <c r="N368" s="181"/>
      <c r="O368" s="181"/>
      <c r="P368" s="181"/>
      <c r="Q368" s="181"/>
      <c r="R368" s="181"/>
      <c r="S368" s="181"/>
      <c r="T368" s="181"/>
      <c r="U368" s="181"/>
      <c r="V368" s="181"/>
      <c r="W368" s="181"/>
      <c r="X368" s="181"/>
      <c r="Y368" s="181"/>
      <c r="Z368" s="181"/>
    </row>
    <row r="369">
      <c r="A369" s="181"/>
      <c r="B369" s="181"/>
      <c r="C369" s="181"/>
      <c r="D369" s="181"/>
      <c r="E369" s="181"/>
      <c r="F369" s="181"/>
      <c r="G369" s="181"/>
      <c r="H369" s="181"/>
      <c r="I369" s="181"/>
      <c r="J369" s="181"/>
      <c r="K369" s="181"/>
      <c r="L369" s="181"/>
      <c r="M369" s="181"/>
      <c r="N369" s="181"/>
      <c r="O369" s="181"/>
      <c r="P369" s="181"/>
      <c r="Q369" s="181"/>
      <c r="R369" s="181"/>
      <c r="S369" s="181"/>
      <c r="T369" s="181"/>
      <c r="U369" s="181"/>
      <c r="V369" s="181"/>
      <c r="W369" s="181"/>
      <c r="X369" s="181"/>
      <c r="Y369" s="181"/>
      <c r="Z369" s="181"/>
    </row>
    <row r="370">
      <c r="A370" s="181"/>
      <c r="B370" s="181"/>
      <c r="C370" s="181"/>
      <c r="D370" s="181"/>
      <c r="E370" s="181"/>
      <c r="F370" s="181"/>
      <c r="G370" s="181"/>
      <c r="H370" s="181"/>
      <c r="I370" s="181"/>
      <c r="J370" s="181"/>
      <c r="K370" s="181"/>
      <c r="L370" s="181"/>
      <c r="M370" s="181"/>
      <c r="N370" s="181"/>
      <c r="O370" s="181"/>
      <c r="P370" s="181"/>
      <c r="Q370" s="181"/>
      <c r="R370" s="181"/>
      <c r="S370" s="181"/>
      <c r="T370" s="181"/>
      <c r="U370" s="181"/>
      <c r="V370" s="181"/>
      <c r="W370" s="181"/>
      <c r="X370" s="181"/>
      <c r="Y370" s="181"/>
      <c r="Z370" s="181"/>
    </row>
    <row r="371">
      <c r="A371" s="181"/>
      <c r="B371" s="181"/>
      <c r="C371" s="181"/>
      <c r="D371" s="181"/>
      <c r="E371" s="181"/>
      <c r="F371" s="181"/>
      <c r="G371" s="181"/>
      <c r="H371" s="181"/>
      <c r="I371" s="181"/>
      <c r="J371" s="181"/>
      <c r="K371" s="181"/>
      <c r="L371" s="181"/>
      <c r="M371" s="181"/>
      <c r="N371" s="181"/>
      <c r="O371" s="181"/>
      <c r="P371" s="181"/>
      <c r="Q371" s="181"/>
      <c r="R371" s="181"/>
      <c r="S371" s="181"/>
      <c r="T371" s="181"/>
      <c r="U371" s="181"/>
      <c r="V371" s="181"/>
      <c r="W371" s="181"/>
      <c r="X371" s="181"/>
      <c r="Y371" s="181"/>
      <c r="Z371" s="181"/>
    </row>
    <row r="372">
      <c r="A372" s="181"/>
      <c r="B372" s="181"/>
      <c r="C372" s="181"/>
      <c r="D372" s="181"/>
      <c r="E372" s="181"/>
      <c r="F372" s="181"/>
      <c r="G372" s="181"/>
      <c r="H372" s="181"/>
      <c r="I372" s="181"/>
      <c r="J372" s="181"/>
      <c r="K372" s="181"/>
      <c r="L372" s="181"/>
      <c r="M372" s="181"/>
      <c r="N372" s="181"/>
      <c r="O372" s="181"/>
      <c r="P372" s="181"/>
      <c r="Q372" s="181"/>
      <c r="R372" s="181"/>
      <c r="S372" s="181"/>
      <c r="T372" s="181"/>
      <c r="U372" s="181"/>
      <c r="V372" s="181"/>
      <c r="W372" s="181"/>
      <c r="X372" s="181"/>
      <c r="Y372" s="181"/>
      <c r="Z372" s="181"/>
    </row>
    <row r="373">
      <c r="A373" s="181"/>
      <c r="B373" s="181"/>
      <c r="C373" s="181"/>
      <c r="D373" s="181"/>
      <c r="E373" s="181"/>
      <c r="F373" s="181"/>
      <c r="G373" s="181"/>
      <c r="H373" s="181"/>
      <c r="I373" s="181"/>
      <c r="J373" s="181"/>
      <c r="K373" s="181"/>
      <c r="L373" s="181"/>
      <c r="M373" s="181"/>
      <c r="N373" s="181"/>
      <c r="O373" s="181"/>
      <c r="P373" s="181"/>
      <c r="Q373" s="181"/>
      <c r="R373" s="181"/>
      <c r="S373" s="181"/>
      <c r="T373" s="181"/>
      <c r="U373" s="181"/>
      <c r="V373" s="181"/>
      <c r="W373" s="181"/>
      <c r="X373" s="181"/>
      <c r="Y373" s="181"/>
      <c r="Z373" s="181"/>
    </row>
    <row r="374">
      <c r="A374" s="181"/>
      <c r="B374" s="181"/>
      <c r="C374" s="181"/>
      <c r="D374" s="181"/>
      <c r="E374" s="181"/>
      <c r="F374" s="181"/>
      <c r="G374" s="181"/>
      <c r="H374" s="181"/>
      <c r="I374" s="181"/>
      <c r="J374" s="181"/>
      <c r="K374" s="181"/>
      <c r="L374" s="181"/>
      <c r="M374" s="181"/>
      <c r="N374" s="181"/>
      <c r="O374" s="181"/>
      <c r="P374" s="181"/>
      <c r="Q374" s="181"/>
      <c r="R374" s="181"/>
      <c r="S374" s="181"/>
      <c r="T374" s="181"/>
      <c r="U374" s="181"/>
      <c r="V374" s="181"/>
      <c r="W374" s="181"/>
      <c r="X374" s="181"/>
      <c r="Y374" s="181"/>
      <c r="Z374" s="181"/>
    </row>
    <row r="375">
      <c r="A375" s="181"/>
      <c r="B375" s="181"/>
      <c r="C375" s="181"/>
      <c r="D375" s="181"/>
      <c r="E375" s="181"/>
      <c r="F375" s="181"/>
      <c r="G375" s="181"/>
      <c r="H375" s="181"/>
      <c r="I375" s="181"/>
      <c r="J375" s="181"/>
      <c r="K375" s="181"/>
      <c r="L375" s="181"/>
      <c r="M375" s="181"/>
      <c r="N375" s="181"/>
      <c r="O375" s="181"/>
      <c r="P375" s="181"/>
      <c r="Q375" s="181"/>
      <c r="R375" s="181"/>
      <c r="S375" s="181"/>
      <c r="T375" s="181"/>
      <c r="U375" s="181"/>
      <c r="V375" s="181"/>
      <c r="W375" s="181"/>
      <c r="X375" s="181"/>
      <c r="Y375" s="181"/>
      <c r="Z375" s="181"/>
    </row>
    <row r="376">
      <c r="A376" s="181"/>
      <c r="B376" s="181"/>
      <c r="C376" s="181"/>
      <c r="D376" s="181"/>
      <c r="E376" s="181"/>
      <c r="F376" s="181"/>
      <c r="G376" s="181"/>
      <c r="H376" s="181"/>
      <c r="I376" s="181"/>
      <c r="J376" s="181"/>
      <c r="K376" s="181"/>
      <c r="L376" s="181"/>
      <c r="M376" s="181"/>
      <c r="N376" s="181"/>
      <c r="O376" s="181"/>
      <c r="P376" s="181"/>
      <c r="Q376" s="181"/>
      <c r="R376" s="181"/>
      <c r="S376" s="181"/>
      <c r="T376" s="181"/>
      <c r="U376" s="181"/>
      <c r="V376" s="181"/>
      <c r="W376" s="181"/>
      <c r="X376" s="181"/>
      <c r="Y376" s="181"/>
      <c r="Z376" s="181"/>
    </row>
    <row r="377">
      <c r="A377" s="181"/>
      <c r="B377" s="181"/>
      <c r="C377" s="181"/>
      <c r="D377" s="181"/>
      <c r="E377" s="181"/>
      <c r="F377" s="181"/>
      <c r="G377" s="181"/>
      <c r="H377" s="181"/>
      <c r="I377" s="181"/>
      <c r="J377" s="181"/>
      <c r="K377" s="181"/>
      <c r="L377" s="181"/>
      <c r="M377" s="181"/>
      <c r="N377" s="181"/>
      <c r="O377" s="181"/>
      <c r="P377" s="181"/>
      <c r="Q377" s="181"/>
      <c r="R377" s="181"/>
      <c r="S377" s="181"/>
      <c r="T377" s="181"/>
      <c r="U377" s="181"/>
      <c r="V377" s="181"/>
      <c r="W377" s="181"/>
      <c r="X377" s="181"/>
      <c r="Y377" s="181"/>
      <c r="Z377" s="181"/>
    </row>
    <row r="378">
      <c r="A378" s="181"/>
      <c r="B378" s="181"/>
      <c r="C378" s="181"/>
      <c r="D378" s="181"/>
      <c r="E378" s="181"/>
      <c r="F378" s="181"/>
      <c r="G378" s="181"/>
      <c r="H378" s="181"/>
      <c r="I378" s="181"/>
      <c r="J378" s="181"/>
      <c r="K378" s="181"/>
      <c r="L378" s="181"/>
      <c r="M378" s="181"/>
      <c r="N378" s="181"/>
      <c r="O378" s="181"/>
      <c r="P378" s="181"/>
      <c r="Q378" s="181"/>
      <c r="R378" s="181"/>
      <c r="S378" s="181"/>
      <c r="T378" s="181"/>
      <c r="U378" s="181"/>
      <c r="V378" s="181"/>
      <c r="W378" s="181"/>
      <c r="X378" s="181"/>
      <c r="Y378" s="181"/>
      <c r="Z378" s="181"/>
    </row>
    <row r="379">
      <c r="A379" s="181"/>
      <c r="B379" s="181"/>
      <c r="C379" s="181"/>
      <c r="D379" s="181"/>
      <c r="E379" s="181"/>
      <c r="F379" s="181"/>
      <c r="G379" s="181"/>
      <c r="H379" s="181"/>
      <c r="I379" s="181"/>
      <c r="J379" s="181"/>
      <c r="K379" s="181"/>
      <c r="L379" s="181"/>
      <c r="M379" s="181"/>
      <c r="N379" s="181"/>
      <c r="O379" s="181"/>
      <c r="P379" s="181"/>
      <c r="Q379" s="181"/>
      <c r="R379" s="181"/>
      <c r="S379" s="181"/>
      <c r="T379" s="181"/>
      <c r="U379" s="181"/>
      <c r="V379" s="181"/>
      <c r="W379" s="181"/>
      <c r="X379" s="181"/>
      <c r="Y379" s="181"/>
      <c r="Z379" s="181"/>
    </row>
    <row r="380">
      <c r="A380" s="181"/>
      <c r="B380" s="181"/>
      <c r="C380" s="181"/>
      <c r="D380" s="181"/>
      <c r="E380" s="181"/>
      <c r="F380" s="181"/>
      <c r="G380" s="181"/>
      <c r="H380" s="181"/>
      <c r="I380" s="181"/>
      <c r="J380" s="181"/>
      <c r="K380" s="181"/>
      <c r="L380" s="181"/>
      <c r="M380" s="181"/>
      <c r="N380" s="181"/>
      <c r="O380" s="181"/>
      <c r="P380" s="181"/>
      <c r="Q380" s="181"/>
      <c r="R380" s="181"/>
      <c r="S380" s="181"/>
      <c r="T380" s="181"/>
      <c r="U380" s="181"/>
      <c r="V380" s="181"/>
      <c r="W380" s="181"/>
      <c r="X380" s="181"/>
      <c r="Y380" s="181"/>
      <c r="Z380" s="181"/>
    </row>
    <row r="381">
      <c r="A381" s="181"/>
      <c r="B381" s="181"/>
      <c r="C381" s="181"/>
      <c r="D381" s="181"/>
      <c r="E381" s="181"/>
      <c r="F381" s="181"/>
      <c r="G381" s="181"/>
      <c r="H381" s="181"/>
      <c r="I381" s="181"/>
      <c r="J381" s="181"/>
      <c r="K381" s="181"/>
      <c r="L381" s="181"/>
      <c r="M381" s="181"/>
      <c r="N381" s="181"/>
      <c r="O381" s="181"/>
      <c r="P381" s="181"/>
      <c r="Q381" s="181"/>
      <c r="R381" s="181"/>
      <c r="S381" s="181"/>
      <c r="T381" s="181"/>
      <c r="U381" s="181"/>
      <c r="V381" s="181"/>
      <c r="W381" s="181"/>
      <c r="X381" s="181"/>
      <c r="Y381" s="181"/>
      <c r="Z381" s="181"/>
    </row>
    <row r="382">
      <c r="A382" s="181"/>
      <c r="B382" s="181"/>
      <c r="C382" s="181"/>
      <c r="D382" s="181"/>
      <c r="E382" s="181"/>
      <c r="F382" s="181"/>
      <c r="G382" s="181"/>
      <c r="H382" s="181"/>
      <c r="I382" s="181"/>
      <c r="J382" s="181"/>
      <c r="K382" s="181"/>
      <c r="L382" s="181"/>
      <c r="M382" s="181"/>
      <c r="N382" s="181"/>
      <c r="O382" s="181"/>
      <c r="P382" s="181"/>
      <c r="Q382" s="181"/>
      <c r="R382" s="181"/>
      <c r="S382" s="181"/>
      <c r="T382" s="181"/>
      <c r="U382" s="181"/>
      <c r="V382" s="181"/>
      <c r="W382" s="181"/>
      <c r="X382" s="181"/>
      <c r="Y382" s="181"/>
      <c r="Z382" s="181"/>
    </row>
    <row r="383">
      <c r="A383" s="181"/>
      <c r="B383" s="181"/>
      <c r="C383" s="181"/>
      <c r="D383" s="181"/>
      <c r="E383" s="181"/>
      <c r="F383" s="181"/>
      <c r="G383" s="181"/>
      <c r="H383" s="181"/>
      <c r="I383" s="181"/>
      <c r="J383" s="181"/>
      <c r="K383" s="181"/>
      <c r="L383" s="181"/>
      <c r="M383" s="181"/>
      <c r="N383" s="181"/>
      <c r="O383" s="181"/>
      <c r="P383" s="181"/>
      <c r="Q383" s="181"/>
      <c r="R383" s="181"/>
      <c r="S383" s="181"/>
      <c r="T383" s="181"/>
      <c r="U383" s="181"/>
      <c r="V383" s="181"/>
      <c r="W383" s="181"/>
      <c r="X383" s="181"/>
      <c r="Y383" s="181"/>
      <c r="Z383" s="181"/>
    </row>
    <row r="384">
      <c r="A384" s="181"/>
      <c r="B384" s="181"/>
      <c r="C384" s="181"/>
      <c r="D384" s="181"/>
      <c r="E384" s="181"/>
      <c r="F384" s="181"/>
      <c r="G384" s="181"/>
      <c r="H384" s="181"/>
      <c r="I384" s="181"/>
      <c r="J384" s="181"/>
      <c r="K384" s="181"/>
      <c r="L384" s="181"/>
      <c r="M384" s="181"/>
      <c r="N384" s="181"/>
      <c r="O384" s="181"/>
      <c r="P384" s="181"/>
      <c r="Q384" s="181"/>
      <c r="R384" s="181"/>
      <c r="S384" s="181"/>
      <c r="T384" s="181"/>
      <c r="U384" s="181"/>
      <c r="V384" s="181"/>
      <c r="W384" s="181"/>
      <c r="X384" s="181"/>
      <c r="Y384" s="181"/>
      <c r="Z384" s="181"/>
    </row>
    <row r="385">
      <c r="A385" s="181"/>
      <c r="B385" s="181"/>
      <c r="C385" s="181"/>
      <c r="D385" s="181"/>
      <c r="E385" s="181"/>
      <c r="F385" s="181"/>
      <c r="G385" s="181"/>
      <c r="H385" s="181"/>
      <c r="I385" s="181"/>
      <c r="J385" s="181"/>
      <c r="K385" s="181"/>
      <c r="L385" s="181"/>
      <c r="M385" s="181"/>
      <c r="N385" s="181"/>
      <c r="O385" s="181"/>
      <c r="P385" s="181"/>
      <c r="Q385" s="181"/>
      <c r="R385" s="181"/>
      <c r="S385" s="181"/>
      <c r="T385" s="181"/>
      <c r="U385" s="181"/>
      <c r="V385" s="181"/>
      <c r="W385" s="181"/>
      <c r="X385" s="181"/>
      <c r="Y385" s="181"/>
      <c r="Z385" s="181"/>
    </row>
    <row r="386">
      <c r="A386" s="181"/>
      <c r="B386" s="181"/>
      <c r="C386" s="181"/>
      <c r="D386" s="181"/>
      <c r="E386" s="181"/>
      <c r="F386" s="181"/>
      <c r="G386" s="181"/>
      <c r="H386" s="181"/>
      <c r="I386" s="181"/>
      <c r="J386" s="181"/>
      <c r="K386" s="181"/>
      <c r="L386" s="181"/>
      <c r="M386" s="181"/>
      <c r="N386" s="181"/>
      <c r="O386" s="181"/>
      <c r="P386" s="181"/>
      <c r="Q386" s="181"/>
      <c r="R386" s="181"/>
      <c r="S386" s="181"/>
      <c r="T386" s="181"/>
      <c r="U386" s="181"/>
      <c r="V386" s="181"/>
      <c r="W386" s="181"/>
      <c r="X386" s="181"/>
      <c r="Y386" s="181"/>
      <c r="Z386" s="181"/>
    </row>
    <row r="387">
      <c r="A387" s="181"/>
      <c r="B387" s="181"/>
      <c r="C387" s="181"/>
      <c r="D387" s="181"/>
      <c r="E387" s="181"/>
      <c r="F387" s="181"/>
      <c r="G387" s="181"/>
      <c r="H387" s="181"/>
      <c r="I387" s="181"/>
      <c r="J387" s="181"/>
      <c r="K387" s="181"/>
      <c r="L387" s="181"/>
      <c r="M387" s="181"/>
      <c r="N387" s="181"/>
      <c r="O387" s="181"/>
      <c r="P387" s="181"/>
      <c r="Q387" s="181"/>
      <c r="R387" s="181"/>
      <c r="S387" s="181"/>
      <c r="T387" s="181"/>
      <c r="U387" s="181"/>
      <c r="V387" s="181"/>
      <c r="W387" s="181"/>
      <c r="X387" s="181"/>
      <c r="Y387" s="181"/>
      <c r="Z387" s="181"/>
    </row>
    <row r="388">
      <c r="A388" s="181"/>
      <c r="B388" s="181"/>
      <c r="C388" s="181"/>
      <c r="D388" s="181"/>
      <c r="E388" s="181"/>
      <c r="F388" s="181"/>
      <c r="G388" s="181"/>
      <c r="H388" s="181"/>
      <c r="I388" s="181"/>
      <c r="J388" s="181"/>
      <c r="K388" s="181"/>
      <c r="L388" s="181"/>
      <c r="M388" s="181"/>
      <c r="N388" s="181"/>
      <c r="O388" s="181"/>
      <c r="P388" s="181"/>
      <c r="Q388" s="181"/>
      <c r="R388" s="181"/>
      <c r="S388" s="181"/>
      <c r="T388" s="181"/>
      <c r="U388" s="181"/>
      <c r="V388" s="181"/>
      <c r="W388" s="181"/>
      <c r="X388" s="181"/>
      <c r="Y388" s="181"/>
      <c r="Z388" s="181"/>
    </row>
    <row r="389">
      <c r="A389" s="181"/>
      <c r="B389" s="181"/>
      <c r="C389" s="181"/>
      <c r="D389" s="181"/>
      <c r="E389" s="181"/>
      <c r="F389" s="181"/>
      <c r="G389" s="181"/>
      <c r="H389" s="181"/>
      <c r="I389" s="181"/>
      <c r="J389" s="181"/>
      <c r="K389" s="181"/>
      <c r="L389" s="181"/>
      <c r="M389" s="181"/>
      <c r="N389" s="181"/>
      <c r="O389" s="181"/>
      <c r="P389" s="181"/>
      <c r="Q389" s="181"/>
      <c r="R389" s="181"/>
      <c r="S389" s="181"/>
      <c r="T389" s="181"/>
      <c r="U389" s="181"/>
      <c r="V389" s="181"/>
      <c r="W389" s="181"/>
      <c r="X389" s="181"/>
      <c r="Y389" s="181"/>
      <c r="Z389" s="181"/>
    </row>
    <row r="390">
      <c r="A390" s="181"/>
      <c r="B390" s="181"/>
      <c r="C390" s="181"/>
      <c r="D390" s="181"/>
      <c r="E390" s="181"/>
      <c r="F390" s="181"/>
      <c r="G390" s="181"/>
      <c r="H390" s="181"/>
      <c r="I390" s="181"/>
      <c r="J390" s="181"/>
      <c r="K390" s="181"/>
      <c r="L390" s="181"/>
      <c r="M390" s="181"/>
      <c r="N390" s="181"/>
      <c r="O390" s="181"/>
      <c r="P390" s="181"/>
      <c r="Q390" s="181"/>
      <c r="R390" s="181"/>
      <c r="S390" s="181"/>
      <c r="T390" s="181"/>
      <c r="U390" s="181"/>
      <c r="V390" s="181"/>
      <c r="W390" s="181"/>
      <c r="X390" s="181"/>
      <c r="Y390" s="181"/>
      <c r="Z390" s="181"/>
    </row>
    <row r="391">
      <c r="A391" s="181"/>
      <c r="B391" s="181"/>
      <c r="C391" s="181"/>
      <c r="D391" s="181"/>
      <c r="E391" s="181"/>
      <c r="F391" s="181"/>
      <c r="G391" s="181"/>
      <c r="H391" s="181"/>
      <c r="I391" s="181"/>
      <c r="J391" s="181"/>
      <c r="K391" s="181"/>
      <c r="L391" s="181"/>
      <c r="M391" s="181"/>
      <c r="N391" s="181"/>
      <c r="O391" s="181"/>
      <c r="P391" s="181"/>
      <c r="Q391" s="181"/>
      <c r="R391" s="181"/>
      <c r="S391" s="181"/>
      <c r="T391" s="181"/>
      <c r="U391" s="181"/>
      <c r="V391" s="181"/>
      <c r="W391" s="181"/>
      <c r="X391" s="181"/>
      <c r="Y391" s="181"/>
      <c r="Z391" s="181"/>
    </row>
    <row r="392">
      <c r="A392" s="181"/>
      <c r="B392" s="181"/>
      <c r="C392" s="181"/>
      <c r="D392" s="181"/>
      <c r="E392" s="181"/>
      <c r="F392" s="181"/>
      <c r="G392" s="181"/>
      <c r="H392" s="181"/>
      <c r="I392" s="181"/>
      <c r="J392" s="181"/>
      <c r="K392" s="181"/>
      <c r="L392" s="181"/>
      <c r="M392" s="181"/>
      <c r="N392" s="181"/>
      <c r="O392" s="181"/>
      <c r="P392" s="181"/>
      <c r="Q392" s="181"/>
      <c r="R392" s="181"/>
      <c r="S392" s="181"/>
      <c r="T392" s="181"/>
      <c r="U392" s="181"/>
      <c r="V392" s="181"/>
      <c r="W392" s="181"/>
      <c r="X392" s="181"/>
      <c r="Y392" s="181"/>
      <c r="Z392" s="181"/>
    </row>
    <row r="393">
      <c r="A393" s="181"/>
      <c r="B393" s="181"/>
      <c r="C393" s="181"/>
      <c r="D393" s="181"/>
      <c r="E393" s="181"/>
      <c r="F393" s="181"/>
      <c r="G393" s="181"/>
      <c r="H393" s="181"/>
      <c r="I393" s="181"/>
      <c r="J393" s="181"/>
      <c r="K393" s="181"/>
      <c r="L393" s="181"/>
      <c r="M393" s="181"/>
      <c r="N393" s="181"/>
      <c r="O393" s="181"/>
      <c r="P393" s="181"/>
      <c r="Q393" s="181"/>
      <c r="R393" s="181"/>
      <c r="S393" s="181"/>
      <c r="T393" s="181"/>
      <c r="U393" s="181"/>
      <c r="V393" s="181"/>
      <c r="W393" s="181"/>
      <c r="X393" s="181"/>
      <c r="Y393" s="181"/>
      <c r="Z393" s="181"/>
    </row>
    <row r="394">
      <c r="A394" s="181"/>
      <c r="B394" s="181"/>
      <c r="C394" s="181"/>
      <c r="D394" s="181"/>
      <c r="E394" s="181"/>
      <c r="F394" s="181"/>
      <c r="G394" s="181"/>
      <c r="H394" s="181"/>
      <c r="I394" s="181"/>
      <c r="J394" s="181"/>
      <c r="K394" s="181"/>
      <c r="L394" s="181"/>
      <c r="M394" s="181"/>
      <c r="N394" s="181"/>
      <c r="O394" s="181"/>
      <c r="P394" s="181"/>
      <c r="Q394" s="181"/>
      <c r="R394" s="181"/>
      <c r="S394" s="181"/>
      <c r="T394" s="181"/>
      <c r="U394" s="181"/>
      <c r="V394" s="181"/>
      <c r="W394" s="181"/>
      <c r="X394" s="181"/>
      <c r="Y394" s="181"/>
      <c r="Z394" s="181"/>
    </row>
    <row r="395">
      <c r="A395" s="181"/>
      <c r="B395" s="181"/>
      <c r="C395" s="181"/>
      <c r="D395" s="181"/>
      <c r="E395" s="181"/>
      <c r="F395" s="181"/>
      <c r="G395" s="181"/>
      <c r="H395" s="181"/>
      <c r="I395" s="181"/>
      <c r="J395" s="181"/>
      <c r="K395" s="181"/>
      <c r="L395" s="181"/>
      <c r="M395" s="181"/>
      <c r="N395" s="181"/>
      <c r="O395" s="181"/>
      <c r="P395" s="181"/>
      <c r="Q395" s="181"/>
      <c r="R395" s="181"/>
      <c r="S395" s="181"/>
      <c r="T395" s="181"/>
      <c r="U395" s="181"/>
      <c r="V395" s="181"/>
      <c r="W395" s="181"/>
      <c r="X395" s="181"/>
      <c r="Y395" s="181"/>
      <c r="Z395" s="181"/>
    </row>
    <row r="396">
      <c r="A396" s="181"/>
      <c r="B396" s="181"/>
      <c r="C396" s="181"/>
      <c r="D396" s="181"/>
      <c r="E396" s="181"/>
      <c r="F396" s="181"/>
      <c r="G396" s="181"/>
      <c r="H396" s="181"/>
      <c r="I396" s="181"/>
      <c r="J396" s="181"/>
      <c r="K396" s="181"/>
      <c r="L396" s="181"/>
      <c r="M396" s="181"/>
      <c r="N396" s="181"/>
      <c r="O396" s="181"/>
      <c r="P396" s="181"/>
      <c r="Q396" s="181"/>
      <c r="R396" s="181"/>
      <c r="S396" s="181"/>
      <c r="T396" s="181"/>
      <c r="U396" s="181"/>
      <c r="V396" s="181"/>
      <c r="W396" s="181"/>
      <c r="X396" s="181"/>
      <c r="Y396" s="181"/>
      <c r="Z396" s="181"/>
    </row>
    <row r="397">
      <c r="A397" s="181"/>
      <c r="B397" s="181"/>
      <c r="C397" s="181"/>
      <c r="D397" s="181"/>
      <c r="E397" s="181"/>
      <c r="F397" s="181"/>
      <c r="G397" s="181"/>
      <c r="H397" s="181"/>
      <c r="I397" s="181"/>
      <c r="J397" s="181"/>
      <c r="K397" s="181"/>
      <c r="L397" s="181"/>
      <c r="M397" s="181"/>
      <c r="N397" s="181"/>
      <c r="O397" s="181"/>
      <c r="P397" s="181"/>
      <c r="Q397" s="181"/>
      <c r="R397" s="181"/>
      <c r="S397" s="181"/>
      <c r="T397" s="181"/>
      <c r="U397" s="181"/>
      <c r="V397" s="181"/>
      <c r="W397" s="181"/>
      <c r="X397" s="181"/>
      <c r="Y397" s="181"/>
      <c r="Z397" s="181"/>
    </row>
    <row r="398">
      <c r="A398" s="181"/>
      <c r="B398" s="181"/>
      <c r="C398" s="181"/>
      <c r="D398" s="181"/>
      <c r="E398" s="181"/>
      <c r="F398" s="181"/>
      <c r="G398" s="181"/>
      <c r="H398" s="181"/>
      <c r="I398" s="181"/>
      <c r="J398" s="181"/>
      <c r="K398" s="181"/>
      <c r="L398" s="181"/>
      <c r="M398" s="181"/>
      <c r="N398" s="181"/>
      <c r="O398" s="181"/>
      <c r="P398" s="181"/>
      <c r="Q398" s="181"/>
      <c r="R398" s="181"/>
      <c r="S398" s="181"/>
      <c r="T398" s="181"/>
      <c r="U398" s="181"/>
      <c r="V398" s="181"/>
      <c r="W398" s="181"/>
      <c r="X398" s="181"/>
      <c r="Y398" s="181"/>
      <c r="Z398" s="181"/>
    </row>
    <row r="399">
      <c r="A399" s="181"/>
      <c r="B399" s="181"/>
      <c r="C399" s="181"/>
      <c r="D399" s="181"/>
      <c r="E399" s="181"/>
      <c r="F399" s="181"/>
      <c r="G399" s="181"/>
      <c r="H399" s="181"/>
      <c r="I399" s="181"/>
      <c r="J399" s="181"/>
      <c r="K399" s="181"/>
      <c r="L399" s="181"/>
      <c r="M399" s="181"/>
      <c r="N399" s="181"/>
      <c r="O399" s="181"/>
      <c r="P399" s="181"/>
      <c r="Q399" s="181"/>
      <c r="R399" s="181"/>
      <c r="S399" s="181"/>
      <c r="T399" s="181"/>
      <c r="U399" s="181"/>
      <c r="V399" s="181"/>
      <c r="W399" s="181"/>
      <c r="X399" s="181"/>
      <c r="Y399" s="181"/>
      <c r="Z399" s="181"/>
    </row>
    <row r="400">
      <c r="A400" s="181"/>
      <c r="B400" s="181"/>
      <c r="C400" s="181"/>
      <c r="D400" s="181"/>
      <c r="E400" s="181"/>
      <c r="F400" s="181"/>
      <c r="G400" s="181"/>
      <c r="H400" s="181"/>
      <c r="I400" s="181"/>
      <c r="J400" s="181"/>
      <c r="K400" s="181"/>
      <c r="L400" s="181"/>
      <c r="M400" s="181"/>
      <c r="N400" s="181"/>
      <c r="O400" s="181"/>
      <c r="P400" s="181"/>
      <c r="Q400" s="181"/>
      <c r="R400" s="181"/>
      <c r="S400" s="181"/>
      <c r="T400" s="181"/>
      <c r="U400" s="181"/>
      <c r="V400" s="181"/>
      <c r="W400" s="181"/>
      <c r="X400" s="181"/>
      <c r="Y400" s="181"/>
      <c r="Z400" s="181"/>
    </row>
    <row r="401">
      <c r="A401" s="181"/>
      <c r="B401" s="181"/>
      <c r="C401" s="181"/>
      <c r="D401" s="181"/>
      <c r="E401" s="181"/>
      <c r="F401" s="181"/>
      <c r="G401" s="181"/>
      <c r="H401" s="181"/>
      <c r="I401" s="181"/>
      <c r="J401" s="181"/>
      <c r="K401" s="181"/>
      <c r="L401" s="181"/>
      <c r="M401" s="181"/>
      <c r="N401" s="181"/>
      <c r="O401" s="181"/>
      <c r="P401" s="181"/>
      <c r="Q401" s="181"/>
      <c r="R401" s="181"/>
      <c r="S401" s="181"/>
      <c r="T401" s="181"/>
      <c r="U401" s="181"/>
      <c r="V401" s="181"/>
      <c r="W401" s="181"/>
      <c r="X401" s="181"/>
      <c r="Y401" s="181"/>
      <c r="Z401" s="181"/>
    </row>
    <row r="402">
      <c r="A402" s="181"/>
      <c r="B402" s="181"/>
      <c r="C402" s="181"/>
      <c r="D402" s="181"/>
      <c r="E402" s="181"/>
      <c r="F402" s="181"/>
      <c r="G402" s="181"/>
      <c r="H402" s="181"/>
      <c r="I402" s="181"/>
      <c r="J402" s="181"/>
      <c r="K402" s="181"/>
      <c r="L402" s="181"/>
      <c r="M402" s="181"/>
      <c r="N402" s="181"/>
      <c r="O402" s="181"/>
      <c r="P402" s="181"/>
      <c r="Q402" s="181"/>
      <c r="R402" s="181"/>
      <c r="S402" s="181"/>
      <c r="T402" s="181"/>
      <c r="U402" s="181"/>
      <c r="V402" s="181"/>
      <c r="W402" s="181"/>
      <c r="X402" s="181"/>
      <c r="Y402" s="181"/>
      <c r="Z402" s="181"/>
    </row>
    <row r="403">
      <c r="A403" s="181"/>
      <c r="B403" s="181"/>
      <c r="C403" s="181"/>
      <c r="D403" s="181"/>
      <c r="E403" s="181"/>
      <c r="F403" s="181"/>
      <c r="G403" s="181"/>
      <c r="H403" s="181"/>
      <c r="I403" s="181"/>
      <c r="J403" s="181"/>
      <c r="K403" s="181"/>
      <c r="L403" s="181"/>
      <c r="M403" s="181"/>
      <c r="N403" s="181"/>
      <c r="O403" s="181"/>
      <c r="P403" s="181"/>
      <c r="Q403" s="181"/>
      <c r="R403" s="181"/>
      <c r="S403" s="181"/>
      <c r="T403" s="181"/>
      <c r="U403" s="181"/>
      <c r="V403" s="181"/>
      <c r="W403" s="181"/>
      <c r="X403" s="181"/>
      <c r="Y403" s="181"/>
      <c r="Z403" s="181"/>
    </row>
    <row r="404">
      <c r="A404" s="181"/>
      <c r="B404" s="181"/>
      <c r="C404" s="181"/>
      <c r="D404" s="181"/>
      <c r="E404" s="181"/>
      <c r="F404" s="181"/>
      <c r="G404" s="181"/>
      <c r="H404" s="181"/>
      <c r="I404" s="181"/>
      <c r="J404" s="181"/>
      <c r="K404" s="181"/>
      <c r="L404" s="181"/>
      <c r="M404" s="181"/>
      <c r="N404" s="181"/>
      <c r="O404" s="181"/>
      <c r="P404" s="181"/>
      <c r="Q404" s="181"/>
      <c r="R404" s="181"/>
      <c r="S404" s="181"/>
      <c r="T404" s="181"/>
      <c r="U404" s="181"/>
      <c r="V404" s="181"/>
      <c r="W404" s="181"/>
      <c r="X404" s="181"/>
      <c r="Y404" s="181"/>
      <c r="Z404" s="181"/>
    </row>
    <row r="405">
      <c r="A405" s="181"/>
      <c r="B405" s="181"/>
      <c r="C405" s="181"/>
      <c r="D405" s="181"/>
      <c r="E405" s="181"/>
      <c r="F405" s="181"/>
      <c r="G405" s="181"/>
      <c r="H405" s="181"/>
      <c r="I405" s="181"/>
      <c r="J405" s="181"/>
      <c r="K405" s="181"/>
      <c r="L405" s="181"/>
      <c r="M405" s="181"/>
      <c r="N405" s="181"/>
      <c r="O405" s="181"/>
      <c r="P405" s="181"/>
      <c r="Q405" s="181"/>
      <c r="R405" s="181"/>
      <c r="S405" s="181"/>
      <c r="T405" s="181"/>
      <c r="U405" s="181"/>
      <c r="V405" s="181"/>
      <c r="W405" s="181"/>
      <c r="X405" s="181"/>
      <c r="Y405" s="181"/>
      <c r="Z405" s="181"/>
    </row>
    <row r="406">
      <c r="A406" s="181"/>
      <c r="B406" s="181"/>
      <c r="C406" s="181"/>
      <c r="D406" s="181"/>
      <c r="E406" s="181"/>
      <c r="F406" s="181"/>
      <c r="G406" s="181"/>
      <c r="H406" s="181"/>
      <c r="I406" s="181"/>
      <c r="J406" s="181"/>
      <c r="K406" s="181"/>
      <c r="L406" s="181"/>
      <c r="M406" s="181"/>
      <c r="N406" s="181"/>
      <c r="O406" s="181"/>
      <c r="P406" s="181"/>
      <c r="Q406" s="181"/>
      <c r="R406" s="181"/>
      <c r="S406" s="181"/>
      <c r="T406" s="181"/>
      <c r="U406" s="181"/>
      <c r="V406" s="181"/>
      <c r="W406" s="181"/>
      <c r="X406" s="181"/>
      <c r="Y406" s="181"/>
      <c r="Z406" s="181"/>
    </row>
    <row r="407">
      <c r="A407" s="181"/>
      <c r="B407" s="181"/>
      <c r="C407" s="181"/>
      <c r="D407" s="181"/>
      <c r="E407" s="181"/>
      <c r="F407" s="181"/>
      <c r="G407" s="181"/>
      <c r="H407" s="181"/>
      <c r="I407" s="181"/>
      <c r="J407" s="181"/>
      <c r="K407" s="181"/>
      <c r="L407" s="181"/>
      <c r="M407" s="181"/>
      <c r="N407" s="181"/>
      <c r="O407" s="181"/>
      <c r="P407" s="181"/>
      <c r="Q407" s="181"/>
      <c r="R407" s="181"/>
      <c r="S407" s="181"/>
      <c r="T407" s="181"/>
      <c r="U407" s="181"/>
      <c r="V407" s="181"/>
      <c r="W407" s="181"/>
      <c r="X407" s="181"/>
      <c r="Y407" s="181"/>
      <c r="Z407" s="181"/>
    </row>
    <row r="408">
      <c r="A408" s="181"/>
      <c r="B408" s="181"/>
      <c r="C408" s="181"/>
      <c r="D408" s="181"/>
      <c r="E408" s="181"/>
      <c r="F408" s="181"/>
      <c r="G408" s="181"/>
      <c r="H408" s="181"/>
      <c r="I408" s="181"/>
      <c r="J408" s="181"/>
      <c r="K408" s="181"/>
      <c r="L408" s="181"/>
      <c r="M408" s="181"/>
      <c r="N408" s="181"/>
      <c r="O408" s="181"/>
      <c r="P408" s="181"/>
      <c r="Q408" s="181"/>
      <c r="R408" s="181"/>
      <c r="S408" s="181"/>
      <c r="T408" s="181"/>
      <c r="U408" s="181"/>
      <c r="V408" s="181"/>
      <c r="W408" s="181"/>
      <c r="X408" s="181"/>
      <c r="Y408" s="181"/>
      <c r="Z408" s="181"/>
    </row>
    <row r="409">
      <c r="A409" s="181"/>
      <c r="B409" s="181"/>
      <c r="C409" s="181"/>
      <c r="D409" s="181"/>
      <c r="E409" s="181"/>
      <c r="F409" s="181"/>
      <c r="G409" s="181"/>
      <c r="H409" s="181"/>
      <c r="I409" s="181"/>
      <c r="J409" s="181"/>
      <c r="K409" s="181"/>
      <c r="L409" s="181"/>
      <c r="M409" s="181"/>
      <c r="N409" s="181"/>
      <c r="O409" s="181"/>
      <c r="P409" s="181"/>
      <c r="Q409" s="181"/>
      <c r="R409" s="181"/>
      <c r="S409" s="181"/>
      <c r="T409" s="181"/>
      <c r="U409" s="181"/>
      <c r="V409" s="181"/>
      <c r="W409" s="181"/>
      <c r="X409" s="181"/>
      <c r="Y409" s="181"/>
      <c r="Z409" s="181"/>
    </row>
    <row r="410">
      <c r="A410" s="181"/>
      <c r="B410" s="181"/>
      <c r="C410" s="181"/>
      <c r="D410" s="181"/>
      <c r="E410" s="181"/>
      <c r="F410" s="181"/>
      <c r="G410" s="181"/>
      <c r="H410" s="181"/>
      <c r="I410" s="181"/>
      <c r="J410" s="181"/>
      <c r="K410" s="181"/>
      <c r="L410" s="181"/>
      <c r="M410" s="181"/>
      <c r="N410" s="181"/>
      <c r="O410" s="181"/>
      <c r="P410" s="181"/>
      <c r="Q410" s="181"/>
      <c r="R410" s="181"/>
      <c r="S410" s="181"/>
      <c r="T410" s="181"/>
      <c r="U410" s="181"/>
      <c r="V410" s="181"/>
      <c r="W410" s="181"/>
      <c r="X410" s="181"/>
      <c r="Y410" s="181"/>
      <c r="Z410" s="181"/>
    </row>
    <row r="411">
      <c r="A411" s="181"/>
      <c r="B411" s="181"/>
      <c r="C411" s="181"/>
      <c r="D411" s="181"/>
      <c r="E411" s="181"/>
      <c r="F411" s="181"/>
      <c r="G411" s="181"/>
      <c r="H411" s="181"/>
      <c r="I411" s="181"/>
      <c r="J411" s="181"/>
      <c r="K411" s="181"/>
      <c r="L411" s="181"/>
      <c r="M411" s="181"/>
      <c r="N411" s="181"/>
      <c r="O411" s="181"/>
      <c r="P411" s="181"/>
      <c r="Q411" s="181"/>
      <c r="R411" s="181"/>
      <c r="S411" s="181"/>
      <c r="T411" s="181"/>
      <c r="U411" s="181"/>
      <c r="V411" s="181"/>
      <c r="W411" s="181"/>
      <c r="X411" s="181"/>
      <c r="Y411" s="181"/>
      <c r="Z411" s="181"/>
    </row>
    <row r="412">
      <c r="A412" s="181"/>
      <c r="B412" s="181"/>
      <c r="C412" s="181"/>
      <c r="D412" s="181"/>
      <c r="E412" s="181"/>
      <c r="F412" s="181"/>
      <c r="G412" s="181"/>
      <c r="H412" s="181"/>
      <c r="I412" s="181"/>
      <c r="J412" s="181"/>
      <c r="K412" s="181"/>
      <c r="L412" s="181"/>
      <c r="M412" s="181"/>
      <c r="N412" s="181"/>
      <c r="O412" s="181"/>
      <c r="P412" s="181"/>
      <c r="Q412" s="181"/>
      <c r="R412" s="181"/>
      <c r="S412" s="181"/>
      <c r="T412" s="181"/>
      <c r="U412" s="181"/>
      <c r="V412" s="181"/>
      <c r="W412" s="181"/>
      <c r="X412" s="181"/>
      <c r="Y412" s="181"/>
      <c r="Z412" s="181"/>
    </row>
    <row r="413">
      <c r="A413" s="181"/>
      <c r="B413" s="181"/>
      <c r="C413" s="181"/>
      <c r="D413" s="181"/>
      <c r="E413" s="181"/>
      <c r="F413" s="181"/>
      <c r="G413" s="181"/>
      <c r="H413" s="181"/>
      <c r="I413" s="181"/>
      <c r="J413" s="181"/>
      <c r="K413" s="181"/>
      <c r="L413" s="181"/>
      <c r="M413" s="181"/>
      <c r="N413" s="181"/>
      <c r="O413" s="181"/>
      <c r="P413" s="181"/>
      <c r="Q413" s="181"/>
      <c r="R413" s="181"/>
      <c r="S413" s="181"/>
      <c r="T413" s="181"/>
      <c r="U413" s="181"/>
      <c r="V413" s="181"/>
      <c r="W413" s="181"/>
      <c r="X413" s="181"/>
      <c r="Y413" s="181"/>
      <c r="Z413" s="181"/>
    </row>
    <row r="414">
      <c r="A414" s="181"/>
      <c r="B414" s="181"/>
      <c r="C414" s="181"/>
      <c r="D414" s="181"/>
      <c r="E414" s="181"/>
      <c r="F414" s="181"/>
      <c r="G414" s="181"/>
      <c r="H414" s="181"/>
      <c r="I414" s="181"/>
      <c r="J414" s="181"/>
      <c r="K414" s="181"/>
      <c r="L414" s="181"/>
      <c r="M414" s="181"/>
      <c r="N414" s="181"/>
      <c r="O414" s="181"/>
      <c r="P414" s="181"/>
      <c r="Q414" s="181"/>
      <c r="R414" s="181"/>
      <c r="S414" s="181"/>
      <c r="T414" s="181"/>
      <c r="U414" s="181"/>
      <c r="V414" s="181"/>
      <c r="W414" s="181"/>
      <c r="X414" s="181"/>
      <c r="Y414" s="181"/>
      <c r="Z414" s="181"/>
    </row>
    <row r="415">
      <c r="A415" s="181"/>
      <c r="B415" s="181"/>
      <c r="C415" s="181"/>
      <c r="D415" s="181"/>
      <c r="E415" s="181"/>
      <c r="F415" s="181"/>
      <c r="G415" s="181"/>
      <c r="H415" s="181"/>
      <c r="I415" s="181"/>
      <c r="J415" s="181"/>
      <c r="K415" s="181"/>
      <c r="L415" s="181"/>
      <c r="M415" s="181"/>
      <c r="N415" s="181"/>
      <c r="O415" s="181"/>
      <c r="P415" s="181"/>
      <c r="Q415" s="181"/>
      <c r="R415" s="181"/>
      <c r="S415" s="181"/>
      <c r="T415" s="181"/>
      <c r="U415" s="181"/>
      <c r="V415" s="181"/>
      <c r="W415" s="181"/>
      <c r="X415" s="181"/>
      <c r="Y415" s="181"/>
      <c r="Z415" s="181"/>
    </row>
    <row r="416">
      <c r="A416" s="181"/>
      <c r="B416" s="181"/>
      <c r="C416" s="181"/>
      <c r="D416" s="181"/>
      <c r="E416" s="181"/>
      <c r="F416" s="181"/>
      <c r="G416" s="181"/>
      <c r="H416" s="181"/>
      <c r="I416" s="181"/>
      <c r="J416" s="181"/>
      <c r="K416" s="181"/>
      <c r="L416" s="181"/>
      <c r="M416" s="181"/>
      <c r="N416" s="181"/>
      <c r="O416" s="181"/>
      <c r="P416" s="181"/>
      <c r="Q416" s="181"/>
      <c r="R416" s="181"/>
      <c r="S416" s="181"/>
      <c r="T416" s="181"/>
      <c r="U416" s="181"/>
      <c r="V416" s="181"/>
      <c r="W416" s="181"/>
      <c r="X416" s="181"/>
      <c r="Y416" s="181"/>
      <c r="Z416" s="181"/>
    </row>
    <row r="417">
      <c r="A417" s="181"/>
      <c r="B417" s="181"/>
      <c r="C417" s="181"/>
      <c r="D417" s="181"/>
      <c r="E417" s="181"/>
      <c r="F417" s="181"/>
      <c r="G417" s="181"/>
      <c r="H417" s="181"/>
      <c r="I417" s="181"/>
      <c r="J417" s="181"/>
      <c r="K417" s="181"/>
      <c r="L417" s="181"/>
      <c r="M417" s="181"/>
      <c r="N417" s="181"/>
      <c r="O417" s="181"/>
      <c r="P417" s="181"/>
      <c r="Q417" s="181"/>
      <c r="R417" s="181"/>
      <c r="S417" s="181"/>
      <c r="T417" s="181"/>
      <c r="U417" s="181"/>
      <c r="V417" s="181"/>
      <c r="W417" s="181"/>
      <c r="X417" s="181"/>
      <c r="Y417" s="181"/>
      <c r="Z417" s="181"/>
    </row>
    <row r="418">
      <c r="A418" s="181"/>
      <c r="B418" s="181"/>
      <c r="C418" s="181"/>
      <c r="D418" s="181"/>
      <c r="E418" s="181"/>
      <c r="F418" s="181"/>
      <c r="G418" s="181"/>
      <c r="H418" s="181"/>
      <c r="I418" s="181"/>
      <c r="J418" s="181"/>
      <c r="K418" s="181"/>
      <c r="L418" s="181"/>
      <c r="M418" s="181"/>
      <c r="N418" s="181"/>
      <c r="O418" s="181"/>
      <c r="P418" s="181"/>
      <c r="Q418" s="181"/>
      <c r="R418" s="181"/>
      <c r="S418" s="181"/>
      <c r="T418" s="181"/>
      <c r="U418" s="181"/>
      <c r="V418" s="181"/>
      <c r="W418" s="181"/>
      <c r="X418" s="181"/>
      <c r="Y418" s="181"/>
      <c r="Z418" s="181"/>
    </row>
    <row r="419">
      <c r="A419" s="181"/>
      <c r="B419" s="181"/>
      <c r="C419" s="181"/>
      <c r="D419" s="181"/>
      <c r="E419" s="181"/>
      <c r="F419" s="181"/>
      <c r="G419" s="181"/>
      <c r="H419" s="181"/>
      <c r="I419" s="181"/>
      <c r="J419" s="181"/>
      <c r="K419" s="181"/>
      <c r="L419" s="181"/>
      <c r="M419" s="181"/>
      <c r="N419" s="181"/>
      <c r="O419" s="181"/>
      <c r="P419" s="181"/>
      <c r="Q419" s="181"/>
      <c r="R419" s="181"/>
      <c r="S419" s="181"/>
      <c r="T419" s="181"/>
      <c r="U419" s="181"/>
      <c r="V419" s="181"/>
      <c r="W419" s="181"/>
      <c r="X419" s="181"/>
      <c r="Y419" s="181"/>
      <c r="Z419" s="181"/>
    </row>
    <row r="420">
      <c r="A420" s="181"/>
      <c r="B420" s="181"/>
      <c r="C420" s="181"/>
      <c r="D420" s="181"/>
      <c r="E420" s="181"/>
      <c r="F420" s="181"/>
      <c r="G420" s="181"/>
      <c r="H420" s="181"/>
      <c r="I420" s="181"/>
      <c r="J420" s="181"/>
      <c r="K420" s="181"/>
      <c r="L420" s="181"/>
      <c r="M420" s="181"/>
      <c r="N420" s="181"/>
      <c r="O420" s="181"/>
      <c r="P420" s="181"/>
      <c r="Q420" s="181"/>
      <c r="R420" s="181"/>
      <c r="S420" s="181"/>
      <c r="T420" s="181"/>
      <c r="U420" s="181"/>
      <c r="V420" s="181"/>
      <c r="W420" s="181"/>
      <c r="X420" s="181"/>
      <c r="Y420" s="181"/>
      <c r="Z420" s="181"/>
    </row>
    <row r="421">
      <c r="A421" s="181"/>
      <c r="B421" s="181"/>
      <c r="C421" s="181"/>
      <c r="D421" s="181"/>
      <c r="E421" s="181"/>
      <c r="F421" s="181"/>
      <c r="G421" s="181"/>
      <c r="H421" s="181"/>
      <c r="I421" s="181"/>
      <c r="J421" s="181"/>
      <c r="K421" s="181"/>
      <c r="L421" s="181"/>
      <c r="M421" s="181"/>
      <c r="N421" s="181"/>
      <c r="O421" s="181"/>
      <c r="P421" s="181"/>
      <c r="Q421" s="181"/>
      <c r="R421" s="181"/>
      <c r="S421" s="181"/>
      <c r="T421" s="181"/>
      <c r="U421" s="181"/>
      <c r="V421" s="181"/>
      <c r="W421" s="181"/>
      <c r="X421" s="181"/>
      <c r="Y421" s="181"/>
      <c r="Z421" s="181"/>
    </row>
    <row r="422">
      <c r="A422" s="181"/>
      <c r="B422" s="181"/>
      <c r="C422" s="181"/>
      <c r="D422" s="181"/>
      <c r="E422" s="181"/>
      <c r="F422" s="181"/>
      <c r="G422" s="181"/>
      <c r="H422" s="181"/>
      <c r="I422" s="181"/>
      <c r="J422" s="181"/>
      <c r="K422" s="181"/>
      <c r="L422" s="181"/>
      <c r="M422" s="181"/>
      <c r="N422" s="181"/>
      <c r="O422" s="181"/>
      <c r="P422" s="181"/>
      <c r="Q422" s="181"/>
      <c r="R422" s="181"/>
      <c r="S422" s="181"/>
      <c r="T422" s="181"/>
      <c r="U422" s="181"/>
      <c r="V422" s="181"/>
      <c r="W422" s="181"/>
      <c r="X422" s="181"/>
      <c r="Y422" s="181"/>
      <c r="Z422" s="181"/>
    </row>
    <row r="423">
      <c r="A423" s="181"/>
      <c r="B423" s="181"/>
      <c r="C423" s="181"/>
      <c r="D423" s="181"/>
      <c r="E423" s="181"/>
      <c r="F423" s="181"/>
      <c r="G423" s="181"/>
      <c r="H423" s="181"/>
      <c r="I423" s="181"/>
      <c r="J423" s="181"/>
      <c r="K423" s="181"/>
      <c r="L423" s="181"/>
      <c r="M423" s="181"/>
      <c r="N423" s="181"/>
      <c r="O423" s="181"/>
      <c r="P423" s="181"/>
      <c r="Q423" s="181"/>
      <c r="R423" s="181"/>
      <c r="S423" s="181"/>
      <c r="T423" s="181"/>
      <c r="U423" s="181"/>
      <c r="V423" s="181"/>
      <c r="W423" s="181"/>
      <c r="X423" s="181"/>
      <c r="Y423" s="181"/>
      <c r="Z423" s="181"/>
    </row>
    <row r="424">
      <c r="A424" s="181"/>
      <c r="B424" s="181"/>
      <c r="C424" s="181"/>
      <c r="D424" s="181"/>
      <c r="E424" s="181"/>
      <c r="F424" s="181"/>
      <c r="G424" s="181"/>
      <c r="H424" s="181"/>
      <c r="I424" s="181"/>
      <c r="J424" s="181"/>
      <c r="K424" s="181"/>
      <c r="L424" s="181"/>
      <c r="M424" s="181"/>
      <c r="N424" s="181"/>
      <c r="O424" s="181"/>
      <c r="P424" s="181"/>
      <c r="Q424" s="181"/>
      <c r="R424" s="181"/>
      <c r="S424" s="181"/>
      <c r="T424" s="181"/>
      <c r="U424" s="181"/>
      <c r="V424" s="181"/>
      <c r="W424" s="181"/>
      <c r="X424" s="181"/>
      <c r="Y424" s="181"/>
      <c r="Z424" s="181"/>
    </row>
    <row r="425">
      <c r="A425" s="181"/>
      <c r="B425" s="181"/>
      <c r="C425" s="181"/>
      <c r="D425" s="181"/>
      <c r="E425" s="181"/>
      <c r="F425" s="181"/>
      <c r="G425" s="181"/>
      <c r="H425" s="181"/>
      <c r="I425" s="181"/>
      <c r="J425" s="181"/>
      <c r="K425" s="181"/>
      <c r="L425" s="181"/>
      <c r="M425" s="181"/>
      <c r="N425" s="181"/>
      <c r="O425" s="181"/>
      <c r="P425" s="181"/>
      <c r="Q425" s="181"/>
      <c r="R425" s="181"/>
      <c r="S425" s="181"/>
      <c r="T425" s="181"/>
      <c r="U425" s="181"/>
      <c r="V425" s="181"/>
      <c r="W425" s="181"/>
      <c r="X425" s="181"/>
      <c r="Y425" s="181"/>
      <c r="Z425" s="181"/>
    </row>
    <row r="426">
      <c r="A426" s="181"/>
      <c r="B426" s="181"/>
      <c r="C426" s="181"/>
      <c r="D426" s="181"/>
      <c r="E426" s="181"/>
      <c r="F426" s="181"/>
      <c r="G426" s="181"/>
      <c r="H426" s="181"/>
      <c r="I426" s="181"/>
      <c r="J426" s="181"/>
      <c r="K426" s="181"/>
      <c r="L426" s="181"/>
      <c r="M426" s="181"/>
      <c r="N426" s="181"/>
      <c r="O426" s="181"/>
      <c r="P426" s="181"/>
      <c r="Q426" s="181"/>
      <c r="R426" s="181"/>
      <c r="S426" s="181"/>
      <c r="T426" s="181"/>
      <c r="U426" s="181"/>
      <c r="V426" s="181"/>
      <c r="W426" s="181"/>
      <c r="X426" s="181"/>
      <c r="Y426" s="181"/>
      <c r="Z426" s="181"/>
    </row>
    <row r="427">
      <c r="A427" s="181"/>
      <c r="B427" s="181"/>
      <c r="C427" s="181"/>
      <c r="D427" s="181"/>
      <c r="E427" s="181"/>
      <c r="F427" s="181"/>
      <c r="G427" s="181"/>
      <c r="H427" s="181"/>
      <c r="I427" s="181"/>
      <c r="J427" s="181"/>
      <c r="K427" s="181"/>
      <c r="L427" s="181"/>
      <c r="M427" s="181"/>
      <c r="N427" s="181"/>
      <c r="O427" s="181"/>
      <c r="P427" s="181"/>
      <c r="Q427" s="181"/>
      <c r="R427" s="181"/>
      <c r="S427" s="181"/>
      <c r="T427" s="181"/>
      <c r="U427" s="181"/>
      <c r="V427" s="181"/>
      <c r="W427" s="181"/>
      <c r="X427" s="181"/>
      <c r="Y427" s="181"/>
      <c r="Z427" s="181"/>
    </row>
    <row r="428">
      <c r="A428" s="181"/>
      <c r="B428" s="181"/>
      <c r="C428" s="181"/>
      <c r="D428" s="181"/>
      <c r="E428" s="181"/>
      <c r="F428" s="181"/>
      <c r="G428" s="181"/>
      <c r="H428" s="181"/>
      <c r="I428" s="181"/>
      <c r="J428" s="181"/>
      <c r="K428" s="181"/>
      <c r="L428" s="181"/>
      <c r="M428" s="181"/>
      <c r="N428" s="181"/>
      <c r="O428" s="181"/>
      <c r="P428" s="181"/>
      <c r="Q428" s="181"/>
      <c r="R428" s="181"/>
      <c r="S428" s="181"/>
      <c r="T428" s="181"/>
      <c r="U428" s="181"/>
      <c r="V428" s="181"/>
      <c r="W428" s="181"/>
      <c r="X428" s="181"/>
      <c r="Y428" s="181"/>
      <c r="Z428" s="181"/>
    </row>
    <row r="429">
      <c r="A429" s="181"/>
      <c r="B429" s="181"/>
      <c r="C429" s="181"/>
      <c r="D429" s="181"/>
      <c r="E429" s="181"/>
      <c r="F429" s="181"/>
      <c r="G429" s="181"/>
      <c r="H429" s="181"/>
      <c r="I429" s="181"/>
      <c r="J429" s="181"/>
      <c r="K429" s="181"/>
      <c r="L429" s="181"/>
      <c r="M429" s="181"/>
      <c r="N429" s="181"/>
      <c r="O429" s="181"/>
      <c r="P429" s="181"/>
      <c r="Q429" s="181"/>
      <c r="R429" s="181"/>
      <c r="S429" s="181"/>
      <c r="T429" s="181"/>
      <c r="U429" s="181"/>
      <c r="V429" s="181"/>
      <c r="W429" s="181"/>
      <c r="X429" s="181"/>
      <c r="Y429" s="181"/>
      <c r="Z429" s="181"/>
    </row>
    <row r="430">
      <c r="A430" s="181"/>
      <c r="B430" s="181"/>
      <c r="C430" s="181"/>
      <c r="D430" s="181"/>
      <c r="E430" s="181"/>
      <c r="F430" s="181"/>
      <c r="G430" s="181"/>
      <c r="H430" s="181"/>
      <c r="I430" s="181"/>
      <c r="J430" s="181"/>
      <c r="K430" s="181"/>
      <c r="L430" s="181"/>
      <c r="M430" s="181"/>
      <c r="N430" s="181"/>
      <c r="O430" s="181"/>
      <c r="P430" s="181"/>
      <c r="Q430" s="181"/>
      <c r="R430" s="181"/>
      <c r="S430" s="181"/>
      <c r="T430" s="181"/>
      <c r="U430" s="181"/>
      <c r="V430" s="181"/>
      <c r="W430" s="181"/>
      <c r="X430" s="181"/>
      <c r="Y430" s="181"/>
      <c r="Z430" s="181"/>
    </row>
    <row r="431">
      <c r="A431" s="181"/>
      <c r="B431" s="181"/>
      <c r="C431" s="181"/>
      <c r="D431" s="181"/>
      <c r="E431" s="181"/>
      <c r="F431" s="181"/>
      <c r="G431" s="181"/>
      <c r="H431" s="181"/>
      <c r="I431" s="181"/>
      <c r="J431" s="181"/>
      <c r="K431" s="181"/>
      <c r="L431" s="181"/>
      <c r="M431" s="181"/>
      <c r="N431" s="181"/>
      <c r="O431" s="181"/>
      <c r="P431" s="181"/>
      <c r="Q431" s="181"/>
      <c r="R431" s="181"/>
      <c r="S431" s="181"/>
      <c r="T431" s="181"/>
      <c r="U431" s="181"/>
      <c r="V431" s="181"/>
      <c r="W431" s="181"/>
      <c r="X431" s="181"/>
      <c r="Y431" s="181"/>
      <c r="Z431" s="181"/>
    </row>
    <row r="432">
      <c r="A432" s="181"/>
      <c r="B432" s="181"/>
      <c r="C432" s="181"/>
      <c r="D432" s="181"/>
      <c r="E432" s="181"/>
      <c r="F432" s="181"/>
      <c r="G432" s="181"/>
      <c r="H432" s="181"/>
      <c r="I432" s="181"/>
      <c r="J432" s="181"/>
      <c r="K432" s="181"/>
      <c r="L432" s="181"/>
      <c r="M432" s="181"/>
      <c r="N432" s="181"/>
      <c r="O432" s="181"/>
      <c r="P432" s="181"/>
      <c r="Q432" s="181"/>
      <c r="R432" s="181"/>
      <c r="S432" s="181"/>
      <c r="T432" s="181"/>
      <c r="U432" s="181"/>
      <c r="V432" s="181"/>
      <c r="W432" s="181"/>
      <c r="X432" s="181"/>
      <c r="Y432" s="181"/>
      <c r="Z432" s="181"/>
    </row>
    <row r="433">
      <c r="A433" s="181"/>
      <c r="B433" s="181"/>
      <c r="C433" s="181"/>
      <c r="D433" s="181"/>
      <c r="E433" s="181"/>
      <c r="F433" s="181"/>
      <c r="G433" s="181"/>
      <c r="H433" s="181"/>
      <c r="I433" s="181"/>
      <c r="J433" s="181"/>
      <c r="K433" s="181"/>
      <c r="L433" s="181"/>
      <c r="M433" s="181"/>
      <c r="N433" s="181"/>
      <c r="O433" s="181"/>
      <c r="P433" s="181"/>
      <c r="Q433" s="181"/>
      <c r="R433" s="181"/>
      <c r="S433" s="181"/>
      <c r="T433" s="181"/>
      <c r="U433" s="181"/>
      <c r="V433" s="181"/>
      <c r="W433" s="181"/>
      <c r="X433" s="181"/>
      <c r="Y433" s="181"/>
      <c r="Z433" s="181"/>
    </row>
    <row r="434">
      <c r="A434" s="181"/>
      <c r="B434" s="181"/>
      <c r="C434" s="181"/>
      <c r="D434" s="181"/>
      <c r="E434" s="181"/>
      <c r="F434" s="181"/>
      <c r="G434" s="181"/>
      <c r="H434" s="181"/>
      <c r="I434" s="181"/>
      <c r="J434" s="181"/>
      <c r="K434" s="181"/>
      <c r="L434" s="181"/>
      <c r="M434" s="181"/>
      <c r="N434" s="181"/>
      <c r="O434" s="181"/>
      <c r="P434" s="181"/>
      <c r="Q434" s="181"/>
      <c r="R434" s="181"/>
      <c r="S434" s="181"/>
      <c r="T434" s="181"/>
      <c r="U434" s="181"/>
      <c r="V434" s="181"/>
      <c r="W434" s="181"/>
      <c r="X434" s="181"/>
      <c r="Y434" s="181"/>
      <c r="Z434" s="181"/>
    </row>
    <row r="435">
      <c r="A435" s="181"/>
      <c r="B435" s="181"/>
      <c r="C435" s="181"/>
      <c r="D435" s="181"/>
      <c r="E435" s="181"/>
      <c r="F435" s="181"/>
      <c r="G435" s="181"/>
      <c r="H435" s="181"/>
      <c r="I435" s="181"/>
      <c r="J435" s="181"/>
      <c r="K435" s="181"/>
      <c r="L435" s="181"/>
      <c r="M435" s="181"/>
      <c r="N435" s="181"/>
      <c r="O435" s="181"/>
      <c r="P435" s="181"/>
      <c r="Q435" s="181"/>
      <c r="R435" s="181"/>
      <c r="S435" s="181"/>
      <c r="T435" s="181"/>
      <c r="U435" s="181"/>
      <c r="V435" s="181"/>
      <c r="W435" s="181"/>
      <c r="X435" s="181"/>
      <c r="Y435" s="181"/>
      <c r="Z435" s="181"/>
    </row>
    <row r="436">
      <c r="A436" s="181"/>
      <c r="B436" s="181"/>
      <c r="C436" s="181"/>
      <c r="D436" s="181"/>
      <c r="E436" s="181"/>
      <c r="F436" s="181"/>
      <c r="G436" s="181"/>
      <c r="H436" s="181"/>
      <c r="I436" s="181"/>
      <c r="J436" s="181"/>
      <c r="K436" s="181"/>
      <c r="L436" s="181"/>
      <c r="M436" s="181"/>
      <c r="N436" s="181"/>
      <c r="O436" s="181"/>
      <c r="P436" s="181"/>
      <c r="Q436" s="181"/>
      <c r="R436" s="181"/>
      <c r="S436" s="181"/>
      <c r="T436" s="181"/>
      <c r="U436" s="181"/>
      <c r="V436" s="181"/>
      <c r="W436" s="181"/>
      <c r="X436" s="181"/>
      <c r="Y436" s="181"/>
      <c r="Z436" s="181"/>
    </row>
    <row r="437">
      <c r="A437" s="181"/>
      <c r="B437" s="181"/>
      <c r="C437" s="181"/>
      <c r="D437" s="181"/>
      <c r="E437" s="181"/>
      <c r="F437" s="181"/>
      <c r="G437" s="181"/>
      <c r="H437" s="181"/>
      <c r="I437" s="181"/>
      <c r="J437" s="181"/>
      <c r="K437" s="181"/>
      <c r="L437" s="181"/>
      <c r="M437" s="181"/>
      <c r="N437" s="181"/>
      <c r="O437" s="181"/>
      <c r="P437" s="181"/>
      <c r="Q437" s="181"/>
      <c r="R437" s="181"/>
      <c r="S437" s="181"/>
      <c r="T437" s="181"/>
      <c r="U437" s="181"/>
      <c r="V437" s="181"/>
      <c r="W437" s="181"/>
      <c r="X437" s="181"/>
      <c r="Y437" s="181"/>
      <c r="Z437" s="181"/>
    </row>
    <row r="438">
      <c r="A438" s="181"/>
      <c r="B438" s="181"/>
      <c r="C438" s="181"/>
      <c r="D438" s="181"/>
      <c r="E438" s="181"/>
      <c r="F438" s="181"/>
      <c r="G438" s="181"/>
      <c r="H438" s="181"/>
      <c r="I438" s="181"/>
      <c r="J438" s="181"/>
      <c r="K438" s="181"/>
      <c r="L438" s="181"/>
      <c r="M438" s="181"/>
      <c r="N438" s="181"/>
      <c r="O438" s="181"/>
      <c r="P438" s="181"/>
      <c r="Q438" s="181"/>
      <c r="R438" s="181"/>
      <c r="S438" s="181"/>
      <c r="T438" s="181"/>
      <c r="U438" s="181"/>
      <c r="V438" s="181"/>
      <c r="W438" s="181"/>
      <c r="X438" s="181"/>
      <c r="Y438" s="181"/>
      <c r="Z438" s="181"/>
    </row>
    <row r="439">
      <c r="A439" s="181"/>
      <c r="B439" s="181"/>
      <c r="C439" s="181"/>
      <c r="D439" s="181"/>
      <c r="E439" s="181"/>
      <c r="F439" s="181"/>
      <c r="G439" s="181"/>
      <c r="H439" s="181"/>
      <c r="I439" s="181"/>
      <c r="J439" s="181"/>
      <c r="K439" s="181"/>
      <c r="L439" s="181"/>
      <c r="M439" s="181"/>
      <c r="N439" s="181"/>
      <c r="O439" s="181"/>
      <c r="P439" s="181"/>
      <c r="Q439" s="181"/>
      <c r="R439" s="181"/>
      <c r="S439" s="181"/>
      <c r="T439" s="181"/>
      <c r="U439" s="181"/>
      <c r="V439" s="181"/>
      <c r="W439" s="181"/>
      <c r="X439" s="181"/>
      <c r="Y439" s="181"/>
      <c r="Z439" s="181"/>
    </row>
    <row r="440">
      <c r="A440" s="181"/>
      <c r="B440" s="181"/>
      <c r="C440" s="181"/>
      <c r="D440" s="181"/>
      <c r="E440" s="181"/>
      <c r="F440" s="181"/>
      <c r="G440" s="181"/>
      <c r="H440" s="181"/>
      <c r="I440" s="181"/>
      <c r="J440" s="181"/>
      <c r="K440" s="181"/>
      <c r="L440" s="181"/>
      <c r="M440" s="181"/>
      <c r="N440" s="181"/>
      <c r="O440" s="181"/>
      <c r="P440" s="181"/>
      <c r="Q440" s="181"/>
      <c r="R440" s="181"/>
      <c r="S440" s="181"/>
      <c r="T440" s="181"/>
      <c r="U440" s="181"/>
      <c r="V440" s="181"/>
      <c r="W440" s="181"/>
      <c r="X440" s="181"/>
      <c r="Y440" s="181"/>
      <c r="Z440" s="181"/>
    </row>
    <row r="441">
      <c r="A441" s="181"/>
      <c r="B441" s="181"/>
      <c r="C441" s="181"/>
      <c r="D441" s="181"/>
      <c r="E441" s="181"/>
      <c r="F441" s="181"/>
      <c r="G441" s="181"/>
      <c r="H441" s="181"/>
      <c r="I441" s="181"/>
      <c r="J441" s="181"/>
      <c r="K441" s="181"/>
      <c r="L441" s="181"/>
      <c r="M441" s="181"/>
      <c r="N441" s="181"/>
      <c r="O441" s="181"/>
      <c r="P441" s="181"/>
      <c r="Q441" s="181"/>
      <c r="R441" s="181"/>
      <c r="S441" s="181"/>
      <c r="T441" s="181"/>
      <c r="U441" s="181"/>
      <c r="V441" s="181"/>
      <c r="W441" s="181"/>
      <c r="X441" s="181"/>
      <c r="Y441" s="181"/>
      <c r="Z441" s="181"/>
    </row>
    <row r="442">
      <c r="A442" s="181"/>
      <c r="B442" s="181"/>
      <c r="C442" s="181"/>
      <c r="D442" s="181"/>
      <c r="E442" s="181"/>
      <c r="F442" s="181"/>
      <c r="G442" s="181"/>
      <c r="H442" s="181"/>
      <c r="I442" s="181"/>
      <c r="J442" s="181"/>
      <c r="K442" s="181"/>
      <c r="L442" s="181"/>
      <c r="M442" s="181"/>
      <c r="N442" s="181"/>
      <c r="O442" s="181"/>
      <c r="P442" s="181"/>
      <c r="Q442" s="181"/>
      <c r="R442" s="181"/>
      <c r="S442" s="181"/>
      <c r="T442" s="181"/>
      <c r="U442" s="181"/>
      <c r="V442" s="181"/>
      <c r="W442" s="181"/>
      <c r="X442" s="181"/>
      <c r="Y442" s="181"/>
      <c r="Z442" s="181"/>
    </row>
    <row r="443">
      <c r="A443" s="181"/>
      <c r="B443" s="181"/>
      <c r="C443" s="181"/>
      <c r="D443" s="181"/>
      <c r="E443" s="181"/>
      <c r="F443" s="181"/>
      <c r="G443" s="181"/>
      <c r="H443" s="181"/>
      <c r="I443" s="181"/>
      <c r="J443" s="181"/>
      <c r="K443" s="181"/>
      <c r="L443" s="181"/>
      <c r="M443" s="181"/>
      <c r="N443" s="181"/>
      <c r="O443" s="181"/>
      <c r="P443" s="181"/>
      <c r="Q443" s="181"/>
      <c r="R443" s="181"/>
      <c r="S443" s="181"/>
      <c r="T443" s="181"/>
      <c r="U443" s="181"/>
      <c r="V443" s="181"/>
      <c r="W443" s="181"/>
      <c r="X443" s="181"/>
      <c r="Y443" s="181"/>
      <c r="Z443" s="181"/>
    </row>
    <row r="444">
      <c r="A444" s="181"/>
      <c r="B444" s="181"/>
      <c r="C444" s="181"/>
      <c r="D444" s="181"/>
      <c r="E444" s="181"/>
      <c r="F444" s="181"/>
      <c r="G444" s="181"/>
      <c r="H444" s="181"/>
      <c r="I444" s="181"/>
      <c r="J444" s="181"/>
      <c r="K444" s="181"/>
      <c r="L444" s="181"/>
      <c r="M444" s="181"/>
      <c r="N444" s="181"/>
      <c r="O444" s="181"/>
      <c r="P444" s="181"/>
      <c r="Q444" s="181"/>
      <c r="R444" s="181"/>
      <c r="S444" s="181"/>
      <c r="T444" s="181"/>
      <c r="U444" s="181"/>
      <c r="V444" s="181"/>
      <c r="W444" s="181"/>
      <c r="X444" s="181"/>
      <c r="Y444" s="181"/>
      <c r="Z444" s="181"/>
    </row>
    <row r="445">
      <c r="A445" s="181"/>
      <c r="B445" s="181"/>
      <c r="C445" s="181"/>
      <c r="D445" s="181"/>
      <c r="E445" s="181"/>
      <c r="F445" s="181"/>
      <c r="G445" s="181"/>
      <c r="H445" s="181"/>
      <c r="I445" s="181"/>
      <c r="J445" s="181"/>
      <c r="K445" s="181"/>
      <c r="L445" s="181"/>
      <c r="M445" s="181"/>
      <c r="N445" s="181"/>
      <c r="O445" s="181"/>
      <c r="P445" s="181"/>
      <c r="Q445" s="181"/>
      <c r="R445" s="181"/>
      <c r="S445" s="181"/>
      <c r="T445" s="181"/>
      <c r="U445" s="181"/>
      <c r="V445" s="181"/>
      <c r="W445" s="181"/>
      <c r="X445" s="181"/>
      <c r="Y445" s="181"/>
      <c r="Z445" s="181"/>
    </row>
    <row r="446">
      <c r="A446" s="181"/>
      <c r="B446" s="181"/>
      <c r="C446" s="181"/>
      <c r="D446" s="181"/>
      <c r="E446" s="181"/>
      <c r="F446" s="181"/>
      <c r="G446" s="181"/>
      <c r="H446" s="181"/>
      <c r="I446" s="181"/>
      <c r="J446" s="181"/>
      <c r="K446" s="181"/>
      <c r="L446" s="181"/>
      <c r="M446" s="181"/>
      <c r="N446" s="181"/>
      <c r="O446" s="181"/>
      <c r="P446" s="181"/>
      <c r="Q446" s="181"/>
      <c r="R446" s="181"/>
      <c r="S446" s="181"/>
      <c r="T446" s="181"/>
      <c r="U446" s="181"/>
      <c r="V446" s="181"/>
      <c r="W446" s="181"/>
      <c r="X446" s="181"/>
      <c r="Y446" s="181"/>
      <c r="Z446" s="181"/>
    </row>
    <row r="447">
      <c r="A447" s="181"/>
      <c r="B447" s="181"/>
      <c r="C447" s="181"/>
      <c r="D447" s="181"/>
      <c r="E447" s="181"/>
      <c r="F447" s="181"/>
      <c r="G447" s="181"/>
      <c r="H447" s="181"/>
      <c r="I447" s="181"/>
      <c r="J447" s="181"/>
      <c r="K447" s="181"/>
      <c r="L447" s="181"/>
      <c r="M447" s="181"/>
      <c r="N447" s="181"/>
      <c r="O447" s="181"/>
      <c r="P447" s="181"/>
      <c r="Q447" s="181"/>
      <c r="R447" s="181"/>
      <c r="S447" s="181"/>
      <c r="T447" s="181"/>
      <c r="U447" s="181"/>
      <c r="V447" s="181"/>
      <c r="W447" s="181"/>
      <c r="X447" s="181"/>
      <c r="Y447" s="181"/>
      <c r="Z447" s="181"/>
    </row>
    <row r="448">
      <c r="A448" s="181"/>
      <c r="B448" s="181"/>
      <c r="C448" s="181"/>
      <c r="D448" s="181"/>
      <c r="E448" s="181"/>
      <c r="F448" s="181"/>
      <c r="G448" s="181"/>
      <c r="H448" s="181"/>
      <c r="I448" s="181"/>
      <c r="J448" s="181"/>
      <c r="K448" s="181"/>
      <c r="L448" s="181"/>
      <c r="M448" s="181"/>
      <c r="N448" s="181"/>
      <c r="O448" s="181"/>
      <c r="P448" s="181"/>
      <c r="Q448" s="181"/>
      <c r="R448" s="181"/>
      <c r="S448" s="181"/>
      <c r="T448" s="181"/>
      <c r="U448" s="181"/>
      <c r="V448" s="181"/>
      <c r="W448" s="181"/>
      <c r="X448" s="181"/>
      <c r="Y448" s="181"/>
      <c r="Z448" s="181"/>
    </row>
    <row r="449">
      <c r="A449" s="181"/>
      <c r="B449" s="181"/>
      <c r="C449" s="181"/>
      <c r="D449" s="181"/>
      <c r="E449" s="181"/>
      <c r="F449" s="181"/>
      <c r="G449" s="181"/>
      <c r="H449" s="181"/>
      <c r="I449" s="181"/>
      <c r="J449" s="181"/>
      <c r="K449" s="181"/>
      <c r="L449" s="181"/>
      <c r="M449" s="181"/>
      <c r="N449" s="181"/>
      <c r="O449" s="181"/>
      <c r="P449" s="181"/>
      <c r="Q449" s="181"/>
      <c r="R449" s="181"/>
      <c r="S449" s="181"/>
      <c r="T449" s="181"/>
      <c r="U449" s="181"/>
      <c r="V449" s="181"/>
      <c r="W449" s="181"/>
      <c r="X449" s="181"/>
      <c r="Y449" s="181"/>
      <c r="Z449" s="181"/>
    </row>
    <row r="450">
      <c r="A450" s="181"/>
      <c r="B450" s="181"/>
      <c r="C450" s="181"/>
      <c r="D450" s="181"/>
      <c r="E450" s="181"/>
      <c r="F450" s="181"/>
      <c r="G450" s="181"/>
      <c r="H450" s="181"/>
      <c r="I450" s="181"/>
      <c r="J450" s="181"/>
      <c r="K450" s="181"/>
      <c r="L450" s="181"/>
      <c r="M450" s="181"/>
      <c r="N450" s="181"/>
      <c r="O450" s="181"/>
      <c r="P450" s="181"/>
      <c r="Q450" s="181"/>
      <c r="R450" s="181"/>
      <c r="S450" s="181"/>
      <c r="T450" s="181"/>
      <c r="U450" s="181"/>
      <c r="V450" s="181"/>
      <c r="W450" s="181"/>
      <c r="X450" s="181"/>
      <c r="Y450" s="181"/>
      <c r="Z450" s="181"/>
    </row>
    <row r="451">
      <c r="A451" s="181"/>
      <c r="B451" s="181"/>
      <c r="C451" s="181"/>
      <c r="D451" s="181"/>
      <c r="E451" s="181"/>
      <c r="F451" s="181"/>
      <c r="G451" s="181"/>
      <c r="H451" s="181"/>
      <c r="I451" s="181"/>
      <c r="J451" s="181"/>
      <c r="K451" s="181"/>
      <c r="L451" s="181"/>
      <c r="M451" s="181"/>
      <c r="N451" s="181"/>
      <c r="O451" s="181"/>
      <c r="P451" s="181"/>
      <c r="Q451" s="181"/>
      <c r="R451" s="181"/>
      <c r="S451" s="181"/>
      <c r="T451" s="181"/>
      <c r="U451" s="181"/>
      <c r="V451" s="181"/>
      <c r="W451" s="181"/>
      <c r="X451" s="181"/>
      <c r="Y451" s="181"/>
      <c r="Z451" s="181"/>
    </row>
    <row r="452">
      <c r="A452" s="181"/>
      <c r="B452" s="181"/>
      <c r="C452" s="181"/>
      <c r="D452" s="181"/>
      <c r="E452" s="181"/>
      <c r="F452" s="181"/>
      <c r="G452" s="181"/>
      <c r="H452" s="181"/>
      <c r="I452" s="181"/>
      <c r="J452" s="181"/>
      <c r="K452" s="181"/>
      <c r="L452" s="181"/>
      <c r="M452" s="181"/>
      <c r="N452" s="181"/>
      <c r="O452" s="181"/>
      <c r="P452" s="181"/>
      <c r="Q452" s="181"/>
      <c r="R452" s="181"/>
      <c r="S452" s="181"/>
      <c r="T452" s="181"/>
      <c r="U452" s="181"/>
      <c r="V452" s="181"/>
      <c r="W452" s="181"/>
      <c r="X452" s="181"/>
      <c r="Y452" s="181"/>
      <c r="Z452" s="181"/>
    </row>
    <row r="453">
      <c r="A453" s="181"/>
      <c r="B453" s="181"/>
      <c r="C453" s="181"/>
      <c r="D453" s="181"/>
      <c r="E453" s="181"/>
      <c r="F453" s="181"/>
      <c r="G453" s="181"/>
      <c r="H453" s="181"/>
      <c r="I453" s="181"/>
      <c r="J453" s="181"/>
      <c r="K453" s="181"/>
      <c r="L453" s="181"/>
      <c r="M453" s="181"/>
      <c r="N453" s="181"/>
      <c r="O453" s="181"/>
      <c r="P453" s="181"/>
      <c r="Q453" s="181"/>
      <c r="R453" s="181"/>
      <c r="S453" s="181"/>
      <c r="T453" s="181"/>
      <c r="U453" s="181"/>
      <c r="V453" s="181"/>
      <c r="W453" s="181"/>
      <c r="X453" s="181"/>
      <c r="Y453" s="181"/>
      <c r="Z453" s="181"/>
    </row>
    <row r="454">
      <c r="A454" s="181"/>
      <c r="B454" s="181"/>
      <c r="C454" s="181"/>
      <c r="D454" s="181"/>
      <c r="E454" s="181"/>
      <c r="F454" s="181"/>
      <c r="G454" s="181"/>
      <c r="H454" s="181"/>
      <c r="I454" s="181"/>
      <c r="J454" s="181"/>
      <c r="K454" s="181"/>
      <c r="L454" s="181"/>
      <c r="M454" s="181"/>
      <c r="N454" s="181"/>
      <c r="O454" s="181"/>
      <c r="P454" s="181"/>
      <c r="Q454" s="181"/>
      <c r="R454" s="181"/>
      <c r="S454" s="181"/>
      <c r="T454" s="181"/>
      <c r="U454" s="181"/>
      <c r="V454" s="181"/>
      <c r="W454" s="181"/>
      <c r="X454" s="181"/>
      <c r="Y454" s="181"/>
      <c r="Z454" s="181"/>
    </row>
    <row r="455">
      <c r="A455" s="181"/>
      <c r="B455" s="181"/>
      <c r="C455" s="181"/>
      <c r="D455" s="181"/>
      <c r="E455" s="181"/>
      <c r="F455" s="181"/>
      <c r="G455" s="181"/>
      <c r="H455" s="181"/>
      <c r="I455" s="181"/>
      <c r="J455" s="181"/>
      <c r="K455" s="181"/>
      <c r="L455" s="181"/>
      <c r="M455" s="181"/>
      <c r="N455" s="181"/>
      <c r="O455" s="181"/>
      <c r="P455" s="181"/>
      <c r="Q455" s="181"/>
      <c r="R455" s="181"/>
      <c r="S455" s="181"/>
      <c r="T455" s="181"/>
      <c r="U455" s="181"/>
      <c r="V455" s="181"/>
      <c r="W455" s="181"/>
      <c r="X455" s="181"/>
      <c r="Y455" s="181"/>
      <c r="Z455" s="181"/>
    </row>
    <row r="456">
      <c r="A456" s="181"/>
      <c r="B456" s="181"/>
      <c r="C456" s="181"/>
      <c r="D456" s="181"/>
      <c r="E456" s="181"/>
      <c r="F456" s="181"/>
      <c r="G456" s="181"/>
      <c r="H456" s="181"/>
      <c r="I456" s="181"/>
      <c r="J456" s="181"/>
      <c r="K456" s="181"/>
      <c r="L456" s="181"/>
      <c r="M456" s="181"/>
      <c r="N456" s="181"/>
      <c r="O456" s="181"/>
      <c r="P456" s="181"/>
      <c r="Q456" s="181"/>
      <c r="R456" s="181"/>
      <c r="S456" s="181"/>
      <c r="T456" s="181"/>
      <c r="U456" s="181"/>
      <c r="V456" s="181"/>
      <c r="W456" s="181"/>
      <c r="X456" s="181"/>
      <c r="Y456" s="181"/>
      <c r="Z456" s="181"/>
    </row>
    <row r="457">
      <c r="A457" s="181"/>
      <c r="B457" s="181"/>
      <c r="C457" s="181"/>
      <c r="D457" s="181"/>
      <c r="E457" s="181"/>
      <c r="F457" s="181"/>
      <c r="G457" s="181"/>
      <c r="H457" s="181"/>
      <c r="I457" s="181"/>
      <c r="J457" s="181"/>
      <c r="K457" s="181"/>
      <c r="L457" s="181"/>
      <c r="M457" s="181"/>
      <c r="N457" s="181"/>
      <c r="O457" s="181"/>
      <c r="P457" s="181"/>
      <c r="Q457" s="181"/>
      <c r="R457" s="181"/>
      <c r="S457" s="181"/>
      <c r="T457" s="181"/>
      <c r="U457" s="181"/>
      <c r="V457" s="181"/>
      <c r="W457" s="181"/>
      <c r="X457" s="181"/>
      <c r="Y457" s="181"/>
      <c r="Z457" s="181"/>
    </row>
    <row r="458">
      <c r="A458" s="181"/>
      <c r="B458" s="181"/>
      <c r="C458" s="181"/>
      <c r="D458" s="181"/>
      <c r="E458" s="181"/>
      <c r="F458" s="181"/>
      <c r="G458" s="181"/>
      <c r="H458" s="181"/>
      <c r="I458" s="181"/>
      <c r="J458" s="181"/>
      <c r="K458" s="181"/>
      <c r="L458" s="181"/>
      <c r="M458" s="181"/>
      <c r="N458" s="181"/>
      <c r="O458" s="181"/>
      <c r="P458" s="181"/>
      <c r="Q458" s="181"/>
      <c r="R458" s="181"/>
      <c r="S458" s="181"/>
      <c r="T458" s="181"/>
      <c r="U458" s="181"/>
      <c r="V458" s="181"/>
      <c r="W458" s="181"/>
      <c r="X458" s="181"/>
      <c r="Y458" s="181"/>
      <c r="Z458" s="181"/>
    </row>
    <row r="459">
      <c r="A459" s="181"/>
      <c r="B459" s="181"/>
      <c r="C459" s="181"/>
      <c r="D459" s="181"/>
      <c r="E459" s="181"/>
      <c r="F459" s="181"/>
      <c r="G459" s="181"/>
      <c r="H459" s="181"/>
      <c r="I459" s="181"/>
      <c r="J459" s="181"/>
      <c r="K459" s="181"/>
      <c r="L459" s="181"/>
      <c r="M459" s="181"/>
      <c r="N459" s="181"/>
      <c r="O459" s="181"/>
      <c r="P459" s="181"/>
      <c r="Q459" s="181"/>
      <c r="R459" s="181"/>
      <c r="S459" s="181"/>
      <c r="T459" s="181"/>
      <c r="U459" s="181"/>
      <c r="V459" s="181"/>
      <c r="W459" s="181"/>
      <c r="X459" s="181"/>
      <c r="Y459" s="181"/>
      <c r="Z459" s="181"/>
    </row>
    <row r="460">
      <c r="A460" s="181"/>
      <c r="B460" s="181"/>
      <c r="C460" s="181"/>
      <c r="D460" s="181"/>
      <c r="E460" s="181"/>
      <c r="F460" s="181"/>
      <c r="G460" s="181"/>
      <c r="H460" s="181"/>
      <c r="I460" s="181"/>
      <c r="J460" s="181"/>
      <c r="K460" s="181"/>
      <c r="L460" s="181"/>
      <c r="M460" s="181"/>
      <c r="N460" s="181"/>
      <c r="O460" s="181"/>
      <c r="P460" s="181"/>
      <c r="Q460" s="181"/>
      <c r="R460" s="181"/>
      <c r="S460" s="181"/>
      <c r="T460" s="181"/>
      <c r="U460" s="181"/>
      <c r="V460" s="181"/>
      <c r="W460" s="181"/>
      <c r="X460" s="181"/>
      <c r="Y460" s="181"/>
      <c r="Z460" s="181"/>
    </row>
    <row r="461">
      <c r="A461" s="181"/>
      <c r="B461" s="181"/>
      <c r="C461" s="181"/>
      <c r="D461" s="181"/>
      <c r="E461" s="181"/>
      <c r="F461" s="181"/>
      <c r="G461" s="181"/>
      <c r="H461" s="181"/>
      <c r="I461" s="181"/>
      <c r="J461" s="181"/>
      <c r="K461" s="181"/>
      <c r="L461" s="181"/>
      <c r="M461" s="181"/>
      <c r="N461" s="181"/>
      <c r="O461" s="181"/>
      <c r="P461" s="181"/>
      <c r="Q461" s="181"/>
      <c r="R461" s="181"/>
      <c r="S461" s="181"/>
      <c r="T461" s="181"/>
      <c r="U461" s="181"/>
      <c r="V461" s="181"/>
      <c r="W461" s="181"/>
      <c r="X461" s="181"/>
      <c r="Y461" s="181"/>
      <c r="Z461" s="181"/>
    </row>
    <row r="462">
      <c r="A462" s="181"/>
      <c r="B462" s="181"/>
      <c r="C462" s="181"/>
      <c r="D462" s="181"/>
      <c r="E462" s="181"/>
      <c r="F462" s="181"/>
      <c r="G462" s="181"/>
      <c r="H462" s="181"/>
      <c r="I462" s="181"/>
      <c r="J462" s="181"/>
      <c r="K462" s="181"/>
      <c r="L462" s="181"/>
      <c r="M462" s="181"/>
      <c r="N462" s="181"/>
      <c r="O462" s="181"/>
      <c r="P462" s="181"/>
      <c r="Q462" s="181"/>
      <c r="R462" s="181"/>
      <c r="S462" s="181"/>
      <c r="T462" s="181"/>
      <c r="U462" s="181"/>
      <c r="V462" s="181"/>
      <c r="W462" s="181"/>
      <c r="X462" s="181"/>
      <c r="Y462" s="181"/>
      <c r="Z462" s="181"/>
    </row>
    <row r="463">
      <c r="A463" s="181"/>
      <c r="B463" s="181"/>
      <c r="C463" s="181"/>
      <c r="D463" s="181"/>
      <c r="E463" s="181"/>
      <c r="F463" s="181"/>
      <c r="G463" s="181"/>
      <c r="H463" s="181"/>
      <c r="I463" s="181"/>
      <c r="J463" s="181"/>
      <c r="K463" s="181"/>
      <c r="L463" s="181"/>
      <c r="M463" s="181"/>
      <c r="N463" s="181"/>
      <c r="O463" s="181"/>
      <c r="P463" s="181"/>
      <c r="Q463" s="181"/>
      <c r="R463" s="181"/>
      <c r="S463" s="181"/>
      <c r="T463" s="181"/>
      <c r="U463" s="181"/>
      <c r="V463" s="181"/>
      <c r="W463" s="181"/>
      <c r="X463" s="181"/>
      <c r="Y463" s="181"/>
      <c r="Z463" s="181"/>
    </row>
    <row r="464">
      <c r="A464" s="181"/>
      <c r="B464" s="181"/>
      <c r="C464" s="181"/>
      <c r="D464" s="181"/>
      <c r="E464" s="181"/>
      <c r="F464" s="181"/>
      <c r="G464" s="181"/>
      <c r="H464" s="181"/>
      <c r="I464" s="181"/>
      <c r="J464" s="181"/>
      <c r="K464" s="181"/>
      <c r="L464" s="181"/>
      <c r="M464" s="181"/>
      <c r="N464" s="181"/>
      <c r="O464" s="181"/>
      <c r="P464" s="181"/>
      <c r="Q464" s="181"/>
      <c r="R464" s="181"/>
      <c r="S464" s="181"/>
      <c r="T464" s="181"/>
      <c r="U464" s="181"/>
      <c r="V464" s="181"/>
      <c r="W464" s="181"/>
      <c r="X464" s="181"/>
      <c r="Y464" s="181"/>
      <c r="Z464" s="181"/>
    </row>
    <row r="465">
      <c r="A465" s="181"/>
      <c r="B465" s="181"/>
      <c r="C465" s="181"/>
      <c r="D465" s="181"/>
      <c r="E465" s="181"/>
      <c r="F465" s="181"/>
      <c r="G465" s="181"/>
      <c r="H465" s="181"/>
      <c r="I465" s="181"/>
      <c r="J465" s="181"/>
      <c r="K465" s="181"/>
      <c r="L465" s="181"/>
      <c r="M465" s="181"/>
      <c r="N465" s="181"/>
      <c r="O465" s="181"/>
      <c r="P465" s="181"/>
      <c r="Q465" s="181"/>
      <c r="R465" s="181"/>
      <c r="S465" s="181"/>
      <c r="T465" s="181"/>
      <c r="U465" s="181"/>
      <c r="V465" s="181"/>
      <c r="W465" s="181"/>
      <c r="X465" s="181"/>
      <c r="Y465" s="181"/>
      <c r="Z465" s="181"/>
    </row>
    <row r="466">
      <c r="A466" s="181"/>
      <c r="B466" s="181"/>
      <c r="C466" s="181"/>
      <c r="D466" s="181"/>
      <c r="E466" s="181"/>
      <c r="F466" s="181"/>
      <c r="G466" s="181"/>
      <c r="H466" s="181"/>
      <c r="I466" s="181"/>
      <c r="J466" s="181"/>
      <c r="K466" s="181"/>
      <c r="L466" s="181"/>
      <c r="M466" s="181"/>
      <c r="N466" s="181"/>
      <c r="O466" s="181"/>
      <c r="P466" s="181"/>
      <c r="Q466" s="181"/>
      <c r="R466" s="181"/>
      <c r="S466" s="181"/>
      <c r="T466" s="181"/>
      <c r="U466" s="181"/>
      <c r="V466" s="181"/>
      <c r="W466" s="181"/>
      <c r="X466" s="181"/>
      <c r="Y466" s="181"/>
      <c r="Z466" s="181"/>
    </row>
    <row r="467">
      <c r="A467" s="181"/>
      <c r="B467" s="181"/>
      <c r="C467" s="181"/>
      <c r="D467" s="181"/>
      <c r="E467" s="181"/>
      <c r="F467" s="181"/>
      <c r="G467" s="181"/>
      <c r="H467" s="181"/>
      <c r="I467" s="181"/>
      <c r="J467" s="181"/>
      <c r="K467" s="181"/>
      <c r="L467" s="181"/>
      <c r="M467" s="181"/>
      <c r="N467" s="181"/>
      <c r="O467" s="181"/>
      <c r="P467" s="181"/>
      <c r="Q467" s="181"/>
      <c r="R467" s="181"/>
      <c r="S467" s="181"/>
      <c r="T467" s="181"/>
      <c r="U467" s="181"/>
      <c r="V467" s="181"/>
      <c r="W467" s="181"/>
      <c r="X467" s="181"/>
      <c r="Y467" s="181"/>
      <c r="Z467" s="181"/>
    </row>
    <row r="468">
      <c r="A468" s="181"/>
      <c r="B468" s="181"/>
      <c r="C468" s="181"/>
      <c r="D468" s="181"/>
      <c r="E468" s="181"/>
      <c r="F468" s="181"/>
      <c r="G468" s="181"/>
      <c r="H468" s="181"/>
      <c r="I468" s="181"/>
      <c r="J468" s="181"/>
      <c r="K468" s="181"/>
      <c r="L468" s="181"/>
      <c r="M468" s="181"/>
      <c r="N468" s="181"/>
      <c r="O468" s="181"/>
      <c r="P468" s="181"/>
      <c r="Q468" s="181"/>
      <c r="R468" s="181"/>
      <c r="S468" s="181"/>
      <c r="T468" s="181"/>
      <c r="U468" s="181"/>
      <c r="V468" s="181"/>
      <c r="W468" s="181"/>
      <c r="X468" s="181"/>
      <c r="Y468" s="181"/>
      <c r="Z468" s="181"/>
    </row>
    <row r="469">
      <c r="A469" s="181"/>
      <c r="B469" s="181"/>
      <c r="C469" s="181"/>
      <c r="D469" s="181"/>
      <c r="E469" s="181"/>
      <c r="F469" s="181"/>
      <c r="G469" s="181"/>
      <c r="H469" s="181"/>
      <c r="I469" s="181"/>
      <c r="J469" s="181"/>
      <c r="K469" s="181"/>
      <c r="L469" s="181"/>
      <c r="M469" s="181"/>
      <c r="N469" s="181"/>
      <c r="O469" s="181"/>
      <c r="P469" s="181"/>
      <c r="Q469" s="181"/>
      <c r="R469" s="181"/>
      <c r="S469" s="181"/>
      <c r="T469" s="181"/>
      <c r="U469" s="181"/>
      <c r="V469" s="181"/>
      <c r="W469" s="181"/>
      <c r="X469" s="181"/>
      <c r="Y469" s="181"/>
      <c r="Z469" s="181"/>
    </row>
    <row r="470">
      <c r="A470" s="181"/>
      <c r="B470" s="181"/>
      <c r="C470" s="181"/>
      <c r="D470" s="181"/>
      <c r="E470" s="181"/>
      <c r="F470" s="181"/>
      <c r="G470" s="181"/>
      <c r="H470" s="181"/>
      <c r="I470" s="181"/>
      <c r="J470" s="181"/>
      <c r="K470" s="181"/>
      <c r="L470" s="181"/>
      <c r="M470" s="181"/>
      <c r="N470" s="181"/>
      <c r="O470" s="181"/>
      <c r="P470" s="181"/>
      <c r="Q470" s="181"/>
      <c r="R470" s="181"/>
      <c r="S470" s="181"/>
      <c r="T470" s="181"/>
      <c r="U470" s="181"/>
      <c r="V470" s="181"/>
      <c r="W470" s="181"/>
      <c r="X470" s="181"/>
      <c r="Y470" s="181"/>
      <c r="Z470" s="181"/>
    </row>
    <row r="471">
      <c r="A471" s="181"/>
      <c r="B471" s="181"/>
      <c r="C471" s="181"/>
      <c r="D471" s="181"/>
      <c r="E471" s="181"/>
      <c r="F471" s="181"/>
      <c r="G471" s="181"/>
      <c r="H471" s="181"/>
      <c r="I471" s="181"/>
      <c r="J471" s="181"/>
      <c r="K471" s="181"/>
      <c r="L471" s="181"/>
      <c r="M471" s="181"/>
      <c r="N471" s="181"/>
      <c r="O471" s="181"/>
      <c r="P471" s="181"/>
      <c r="Q471" s="181"/>
      <c r="R471" s="181"/>
      <c r="S471" s="181"/>
      <c r="T471" s="181"/>
      <c r="U471" s="181"/>
      <c r="V471" s="181"/>
      <c r="W471" s="181"/>
      <c r="X471" s="181"/>
      <c r="Y471" s="181"/>
      <c r="Z471" s="181"/>
    </row>
    <row r="472">
      <c r="A472" s="181"/>
      <c r="B472" s="181"/>
      <c r="C472" s="181"/>
      <c r="D472" s="181"/>
      <c r="E472" s="181"/>
      <c r="F472" s="181"/>
      <c r="G472" s="181"/>
      <c r="H472" s="181"/>
      <c r="I472" s="181"/>
      <c r="J472" s="181"/>
      <c r="K472" s="181"/>
      <c r="L472" s="181"/>
      <c r="M472" s="181"/>
      <c r="N472" s="181"/>
      <c r="O472" s="181"/>
      <c r="P472" s="181"/>
      <c r="Q472" s="181"/>
      <c r="R472" s="181"/>
      <c r="S472" s="181"/>
      <c r="T472" s="181"/>
      <c r="U472" s="181"/>
      <c r="V472" s="181"/>
      <c r="W472" s="181"/>
      <c r="X472" s="181"/>
      <c r="Y472" s="181"/>
      <c r="Z472" s="181"/>
    </row>
    <row r="473">
      <c r="A473" s="181"/>
      <c r="B473" s="181"/>
      <c r="C473" s="181"/>
      <c r="D473" s="181"/>
      <c r="E473" s="181"/>
      <c r="F473" s="181"/>
      <c r="G473" s="181"/>
      <c r="H473" s="181"/>
      <c r="I473" s="181"/>
      <c r="J473" s="181"/>
      <c r="K473" s="181"/>
      <c r="L473" s="181"/>
      <c r="M473" s="181"/>
      <c r="N473" s="181"/>
      <c r="O473" s="181"/>
      <c r="P473" s="181"/>
      <c r="Q473" s="181"/>
      <c r="R473" s="181"/>
      <c r="S473" s="181"/>
      <c r="T473" s="181"/>
      <c r="U473" s="181"/>
      <c r="V473" s="181"/>
      <c r="W473" s="181"/>
      <c r="X473" s="181"/>
      <c r="Y473" s="181"/>
      <c r="Z473" s="181"/>
    </row>
    <row r="474">
      <c r="A474" s="181"/>
      <c r="B474" s="181"/>
      <c r="C474" s="181"/>
      <c r="D474" s="181"/>
      <c r="E474" s="181"/>
      <c r="F474" s="181"/>
      <c r="G474" s="181"/>
      <c r="H474" s="181"/>
      <c r="I474" s="181"/>
      <c r="J474" s="181"/>
      <c r="K474" s="181"/>
      <c r="L474" s="181"/>
      <c r="M474" s="181"/>
      <c r="N474" s="181"/>
      <c r="O474" s="181"/>
      <c r="P474" s="181"/>
      <c r="Q474" s="181"/>
      <c r="R474" s="181"/>
      <c r="S474" s="181"/>
      <c r="T474" s="181"/>
      <c r="U474" s="181"/>
      <c r="V474" s="181"/>
      <c r="W474" s="181"/>
      <c r="X474" s="181"/>
      <c r="Y474" s="181"/>
      <c r="Z474" s="181"/>
    </row>
    <row r="475">
      <c r="A475" s="181"/>
      <c r="B475" s="181"/>
      <c r="C475" s="181"/>
      <c r="D475" s="181"/>
      <c r="E475" s="181"/>
      <c r="F475" s="181"/>
      <c r="G475" s="181"/>
      <c r="H475" s="181"/>
      <c r="I475" s="181"/>
      <c r="J475" s="181"/>
      <c r="K475" s="181"/>
      <c r="L475" s="181"/>
      <c r="M475" s="181"/>
      <c r="N475" s="181"/>
      <c r="O475" s="181"/>
      <c r="P475" s="181"/>
      <c r="Q475" s="181"/>
      <c r="R475" s="181"/>
      <c r="S475" s="181"/>
      <c r="T475" s="181"/>
      <c r="U475" s="181"/>
      <c r="V475" s="181"/>
      <c r="W475" s="181"/>
      <c r="X475" s="181"/>
      <c r="Y475" s="181"/>
      <c r="Z475" s="181"/>
    </row>
    <row r="476">
      <c r="A476" s="181"/>
      <c r="B476" s="181"/>
      <c r="C476" s="181"/>
      <c r="D476" s="181"/>
      <c r="E476" s="181"/>
      <c r="F476" s="181"/>
      <c r="G476" s="181"/>
      <c r="H476" s="181"/>
      <c r="I476" s="181"/>
      <c r="J476" s="181"/>
      <c r="K476" s="181"/>
      <c r="L476" s="181"/>
      <c r="M476" s="181"/>
      <c r="N476" s="181"/>
      <c r="O476" s="181"/>
      <c r="P476" s="181"/>
      <c r="Q476" s="181"/>
      <c r="R476" s="181"/>
      <c r="S476" s="181"/>
      <c r="T476" s="181"/>
      <c r="U476" s="181"/>
      <c r="V476" s="181"/>
      <c r="W476" s="181"/>
      <c r="X476" s="181"/>
      <c r="Y476" s="181"/>
      <c r="Z476" s="181"/>
    </row>
    <row r="477">
      <c r="A477" s="181"/>
      <c r="B477" s="181"/>
      <c r="C477" s="181"/>
      <c r="D477" s="181"/>
      <c r="E477" s="181"/>
      <c r="F477" s="181"/>
      <c r="G477" s="181"/>
      <c r="H477" s="181"/>
      <c r="I477" s="181"/>
      <c r="J477" s="181"/>
      <c r="K477" s="181"/>
      <c r="L477" s="181"/>
      <c r="M477" s="181"/>
      <c r="N477" s="181"/>
      <c r="O477" s="181"/>
      <c r="P477" s="181"/>
      <c r="Q477" s="181"/>
      <c r="R477" s="181"/>
      <c r="S477" s="181"/>
      <c r="T477" s="181"/>
      <c r="U477" s="181"/>
      <c r="V477" s="181"/>
      <c r="W477" s="181"/>
      <c r="X477" s="181"/>
      <c r="Y477" s="181"/>
      <c r="Z477" s="181"/>
    </row>
    <row r="478">
      <c r="A478" s="181"/>
      <c r="B478" s="181"/>
      <c r="C478" s="181"/>
      <c r="D478" s="181"/>
      <c r="E478" s="181"/>
      <c r="F478" s="181"/>
      <c r="G478" s="181"/>
      <c r="H478" s="181"/>
      <c r="I478" s="181"/>
      <c r="J478" s="181"/>
      <c r="K478" s="181"/>
      <c r="L478" s="181"/>
      <c r="M478" s="181"/>
      <c r="N478" s="181"/>
      <c r="O478" s="181"/>
      <c r="P478" s="181"/>
      <c r="Q478" s="181"/>
      <c r="R478" s="181"/>
      <c r="S478" s="181"/>
      <c r="T478" s="181"/>
      <c r="U478" s="181"/>
      <c r="V478" s="181"/>
      <c r="W478" s="181"/>
      <c r="X478" s="181"/>
      <c r="Y478" s="181"/>
      <c r="Z478" s="181"/>
    </row>
    <row r="479">
      <c r="A479" s="181"/>
      <c r="B479" s="181"/>
      <c r="C479" s="181"/>
      <c r="D479" s="181"/>
      <c r="E479" s="181"/>
      <c r="F479" s="181"/>
      <c r="G479" s="181"/>
      <c r="H479" s="181"/>
      <c r="I479" s="181"/>
      <c r="J479" s="181"/>
      <c r="K479" s="181"/>
      <c r="L479" s="181"/>
      <c r="M479" s="181"/>
      <c r="N479" s="181"/>
      <c r="O479" s="181"/>
      <c r="P479" s="181"/>
      <c r="Q479" s="181"/>
      <c r="R479" s="181"/>
      <c r="S479" s="181"/>
      <c r="T479" s="181"/>
      <c r="U479" s="181"/>
      <c r="V479" s="181"/>
      <c r="W479" s="181"/>
      <c r="X479" s="181"/>
      <c r="Y479" s="181"/>
      <c r="Z479" s="181"/>
    </row>
    <row r="480">
      <c r="A480" s="181"/>
      <c r="B480" s="181"/>
      <c r="C480" s="181"/>
      <c r="D480" s="181"/>
      <c r="E480" s="181"/>
      <c r="F480" s="181"/>
      <c r="G480" s="181"/>
      <c r="H480" s="181"/>
      <c r="I480" s="181"/>
      <c r="J480" s="181"/>
      <c r="K480" s="181"/>
      <c r="L480" s="181"/>
      <c r="M480" s="181"/>
      <c r="N480" s="181"/>
      <c r="O480" s="181"/>
      <c r="P480" s="181"/>
      <c r="Q480" s="181"/>
      <c r="R480" s="181"/>
      <c r="S480" s="181"/>
      <c r="T480" s="181"/>
      <c r="U480" s="181"/>
      <c r="V480" s="181"/>
      <c r="W480" s="181"/>
      <c r="X480" s="181"/>
      <c r="Y480" s="181"/>
      <c r="Z480" s="181"/>
    </row>
    <row r="481">
      <c r="A481" s="181"/>
      <c r="B481" s="181"/>
      <c r="C481" s="181"/>
      <c r="D481" s="181"/>
      <c r="E481" s="181"/>
      <c r="F481" s="181"/>
      <c r="G481" s="181"/>
      <c r="H481" s="181"/>
      <c r="I481" s="181"/>
      <c r="J481" s="181"/>
      <c r="K481" s="181"/>
      <c r="L481" s="181"/>
      <c r="M481" s="181"/>
      <c r="N481" s="181"/>
      <c r="O481" s="181"/>
      <c r="P481" s="181"/>
      <c r="Q481" s="181"/>
      <c r="R481" s="181"/>
      <c r="S481" s="181"/>
      <c r="T481" s="181"/>
      <c r="U481" s="181"/>
      <c r="V481" s="181"/>
      <c r="W481" s="181"/>
      <c r="X481" s="181"/>
      <c r="Y481" s="181"/>
      <c r="Z481" s="181"/>
    </row>
    <row r="482">
      <c r="A482" s="181"/>
      <c r="B482" s="181"/>
      <c r="C482" s="181"/>
      <c r="D482" s="181"/>
      <c r="E482" s="181"/>
      <c r="F482" s="181"/>
      <c r="G482" s="181"/>
      <c r="H482" s="181"/>
      <c r="I482" s="181"/>
      <c r="J482" s="181"/>
      <c r="K482" s="181"/>
      <c r="L482" s="181"/>
      <c r="M482" s="181"/>
      <c r="N482" s="181"/>
      <c r="O482" s="181"/>
      <c r="P482" s="181"/>
      <c r="Q482" s="181"/>
      <c r="R482" s="181"/>
      <c r="S482" s="181"/>
      <c r="T482" s="181"/>
      <c r="U482" s="181"/>
      <c r="V482" s="181"/>
      <c r="W482" s="181"/>
      <c r="X482" s="181"/>
      <c r="Y482" s="181"/>
      <c r="Z482" s="181"/>
    </row>
    <row r="483">
      <c r="A483" s="181"/>
      <c r="B483" s="181"/>
      <c r="C483" s="181"/>
      <c r="D483" s="181"/>
      <c r="E483" s="181"/>
      <c r="F483" s="181"/>
      <c r="G483" s="181"/>
      <c r="H483" s="181"/>
      <c r="I483" s="181"/>
      <c r="J483" s="181"/>
      <c r="K483" s="181"/>
      <c r="L483" s="181"/>
      <c r="M483" s="181"/>
      <c r="N483" s="181"/>
      <c r="O483" s="181"/>
      <c r="P483" s="181"/>
      <c r="Q483" s="181"/>
      <c r="R483" s="181"/>
      <c r="S483" s="181"/>
      <c r="T483" s="181"/>
      <c r="U483" s="181"/>
      <c r="V483" s="181"/>
      <c r="W483" s="181"/>
      <c r="X483" s="181"/>
      <c r="Y483" s="181"/>
      <c r="Z483" s="181"/>
    </row>
    <row r="484">
      <c r="A484" s="181"/>
      <c r="B484" s="181"/>
      <c r="C484" s="181"/>
      <c r="D484" s="181"/>
      <c r="E484" s="181"/>
      <c r="F484" s="181"/>
      <c r="G484" s="181"/>
      <c r="H484" s="181"/>
      <c r="I484" s="181"/>
      <c r="J484" s="181"/>
      <c r="K484" s="181"/>
      <c r="L484" s="181"/>
      <c r="M484" s="181"/>
      <c r="N484" s="181"/>
      <c r="O484" s="181"/>
      <c r="P484" s="181"/>
      <c r="Q484" s="181"/>
      <c r="R484" s="181"/>
      <c r="S484" s="181"/>
      <c r="T484" s="181"/>
      <c r="U484" s="181"/>
      <c r="V484" s="181"/>
      <c r="W484" s="181"/>
      <c r="X484" s="181"/>
      <c r="Y484" s="181"/>
      <c r="Z484" s="181"/>
    </row>
    <row r="485">
      <c r="A485" s="181"/>
      <c r="B485" s="181"/>
      <c r="C485" s="181"/>
      <c r="D485" s="181"/>
      <c r="E485" s="181"/>
      <c r="F485" s="181"/>
      <c r="G485" s="181"/>
      <c r="H485" s="181"/>
      <c r="I485" s="181"/>
      <c r="J485" s="181"/>
      <c r="K485" s="181"/>
      <c r="L485" s="181"/>
      <c r="M485" s="181"/>
      <c r="N485" s="181"/>
      <c r="O485" s="181"/>
      <c r="P485" s="181"/>
      <c r="Q485" s="181"/>
      <c r="R485" s="181"/>
      <c r="S485" s="181"/>
      <c r="T485" s="181"/>
      <c r="U485" s="181"/>
      <c r="V485" s="181"/>
      <c r="W485" s="181"/>
      <c r="X485" s="181"/>
      <c r="Y485" s="181"/>
      <c r="Z485" s="181"/>
    </row>
    <row r="486">
      <c r="A486" s="181"/>
      <c r="B486" s="181"/>
      <c r="C486" s="181"/>
      <c r="D486" s="181"/>
      <c r="E486" s="181"/>
      <c r="F486" s="181"/>
      <c r="G486" s="181"/>
      <c r="H486" s="181"/>
      <c r="I486" s="181"/>
      <c r="J486" s="181"/>
      <c r="K486" s="181"/>
      <c r="L486" s="181"/>
      <c r="M486" s="181"/>
      <c r="N486" s="181"/>
      <c r="O486" s="181"/>
      <c r="P486" s="181"/>
      <c r="Q486" s="181"/>
      <c r="R486" s="181"/>
      <c r="S486" s="181"/>
      <c r="T486" s="181"/>
      <c r="U486" s="181"/>
      <c r="V486" s="181"/>
      <c r="W486" s="181"/>
      <c r="X486" s="181"/>
      <c r="Y486" s="181"/>
      <c r="Z486" s="181"/>
    </row>
    <row r="487">
      <c r="A487" s="181"/>
      <c r="B487" s="181"/>
      <c r="C487" s="181"/>
      <c r="D487" s="181"/>
      <c r="E487" s="181"/>
      <c r="F487" s="181"/>
      <c r="G487" s="181"/>
      <c r="H487" s="181"/>
      <c r="I487" s="181"/>
      <c r="J487" s="181"/>
      <c r="K487" s="181"/>
      <c r="L487" s="181"/>
      <c r="M487" s="181"/>
      <c r="N487" s="181"/>
      <c r="O487" s="181"/>
      <c r="P487" s="181"/>
      <c r="Q487" s="181"/>
      <c r="R487" s="181"/>
      <c r="S487" s="181"/>
      <c r="T487" s="181"/>
      <c r="U487" s="181"/>
      <c r="V487" s="181"/>
      <c r="W487" s="181"/>
      <c r="X487" s="181"/>
      <c r="Y487" s="181"/>
      <c r="Z487" s="181"/>
    </row>
    <row r="488">
      <c r="A488" s="181"/>
      <c r="B488" s="181"/>
      <c r="C488" s="181"/>
      <c r="D488" s="181"/>
      <c r="E488" s="181"/>
      <c r="F488" s="181"/>
      <c r="G488" s="181"/>
      <c r="H488" s="181"/>
      <c r="I488" s="181"/>
      <c r="J488" s="181"/>
      <c r="K488" s="181"/>
      <c r="L488" s="181"/>
      <c r="M488" s="181"/>
      <c r="N488" s="181"/>
      <c r="O488" s="181"/>
      <c r="P488" s="181"/>
      <c r="Q488" s="181"/>
      <c r="R488" s="181"/>
      <c r="S488" s="181"/>
      <c r="T488" s="181"/>
      <c r="U488" s="181"/>
      <c r="V488" s="181"/>
      <c r="W488" s="181"/>
      <c r="X488" s="181"/>
      <c r="Y488" s="181"/>
      <c r="Z488" s="181"/>
    </row>
    <row r="489">
      <c r="A489" s="181"/>
      <c r="B489" s="181"/>
      <c r="C489" s="181"/>
      <c r="D489" s="181"/>
      <c r="E489" s="181"/>
      <c r="F489" s="181"/>
      <c r="G489" s="181"/>
      <c r="H489" s="181"/>
      <c r="I489" s="181"/>
      <c r="J489" s="181"/>
      <c r="K489" s="181"/>
      <c r="L489" s="181"/>
      <c r="M489" s="181"/>
      <c r="N489" s="181"/>
      <c r="O489" s="181"/>
      <c r="P489" s="181"/>
      <c r="Q489" s="181"/>
      <c r="R489" s="181"/>
      <c r="S489" s="181"/>
      <c r="T489" s="181"/>
      <c r="U489" s="181"/>
      <c r="V489" s="181"/>
      <c r="W489" s="181"/>
      <c r="X489" s="181"/>
      <c r="Y489" s="181"/>
      <c r="Z489" s="181"/>
    </row>
    <row r="490">
      <c r="A490" s="181"/>
      <c r="B490" s="181"/>
      <c r="C490" s="181"/>
      <c r="D490" s="181"/>
      <c r="E490" s="181"/>
      <c r="F490" s="181"/>
      <c r="G490" s="181"/>
      <c r="H490" s="181"/>
      <c r="I490" s="181"/>
      <c r="J490" s="181"/>
      <c r="K490" s="181"/>
      <c r="L490" s="181"/>
      <c r="M490" s="181"/>
      <c r="N490" s="181"/>
      <c r="O490" s="181"/>
      <c r="P490" s="181"/>
      <c r="Q490" s="181"/>
      <c r="R490" s="181"/>
      <c r="S490" s="181"/>
      <c r="T490" s="181"/>
      <c r="U490" s="181"/>
      <c r="V490" s="181"/>
      <c r="W490" s="181"/>
      <c r="X490" s="181"/>
      <c r="Y490" s="181"/>
      <c r="Z490" s="181"/>
    </row>
    <row r="491">
      <c r="A491" s="181"/>
      <c r="B491" s="181"/>
      <c r="C491" s="181"/>
      <c r="D491" s="181"/>
      <c r="E491" s="181"/>
      <c r="F491" s="181"/>
      <c r="G491" s="181"/>
      <c r="H491" s="181"/>
      <c r="I491" s="181"/>
      <c r="J491" s="181"/>
      <c r="K491" s="181"/>
      <c r="L491" s="181"/>
      <c r="M491" s="181"/>
      <c r="N491" s="181"/>
      <c r="O491" s="181"/>
      <c r="P491" s="181"/>
      <c r="Q491" s="181"/>
      <c r="R491" s="181"/>
      <c r="S491" s="181"/>
      <c r="T491" s="181"/>
      <c r="U491" s="181"/>
      <c r="V491" s="181"/>
      <c r="W491" s="181"/>
      <c r="X491" s="181"/>
      <c r="Y491" s="181"/>
      <c r="Z491" s="181"/>
    </row>
    <row r="492">
      <c r="A492" s="181"/>
      <c r="B492" s="181"/>
      <c r="C492" s="181"/>
      <c r="D492" s="181"/>
      <c r="E492" s="181"/>
      <c r="F492" s="181"/>
      <c r="G492" s="181"/>
      <c r="H492" s="181"/>
      <c r="I492" s="181"/>
      <c r="J492" s="181"/>
      <c r="K492" s="181"/>
      <c r="L492" s="181"/>
      <c r="M492" s="181"/>
      <c r="N492" s="181"/>
      <c r="O492" s="181"/>
      <c r="P492" s="181"/>
      <c r="Q492" s="181"/>
      <c r="R492" s="181"/>
      <c r="S492" s="181"/>
      <c r="T492" s="181"/>
      <c r="U492" s="181"/>
      <c r="V492" s="181"/>
      <c r="W492" s="181"/>
      <c r="X492" s="181"/>
      <c r="Y492" s="181"/>
      <c r="Z492" s="181"/>
    </row>
    <row r="493">
      <c r="A493" s="181"/>
      <c r="B493" s="181"/>
      <c r="C493" s="181"/>
      <c r="D493" s="181"/>
      <c r="E493" s="181"/>
      <c r="F493" s="181"/>
      <c r="G493" s="181"/>
      <c r="H493" s="181"/>
      <c r="I493" s="181"/>
      <c r="J493" s="181"/>
      <c r="K493" s="181"/>
      <c r="L493" s="181"/>
      <c r="M493" s="181"/>
      <c r="N493" s="181"/>
      <c r="O493" s="181"/>
      <c r="P493" s="181"/>
      <c r="Q493" s="181"/>
      <c r="R493" s="181"/>
      <c r="S493" s="181"/>
      <c r="T493" s="181"/>
      <c r="U493" s="181"/>
      <c r="V493" s="181"/>
      <c r="W493" s="181"/>
      <c r="X493" s="181"/>
      <c r="Y493" s="181"/>
      <c r="Z493" s="181"/>
    </row>
    <row r="494">
      <c r="A494" s="181"/>
      <c r="B494" s="181"/>
      <c r="C494" s="181"/>
      <c r="D494" s="181"/>
      <c r="E494" s="181"/>
      <c r="F494" s="181"/>
      <c r="G494" s="181"/>
      <c r="H494" s="181"/>
      <c r="I494" s="181"/>
      <c r="J494" s="181"/>
      <c r="K494" s="181"/>
      <c r="L494" s="181"/>
      <c r="M494" s="181"/>
      <c r="N494" s="181"/>
      <c r="O494" s="181"/>
      <c r="P494" s="181"/>
      <c r="Q494" s="181"/>
      <c r="R494" s="181"/>
      <c r="S494" s="181"/>
      <c r="T494" s="181"/>
      <c r="U494" s="181"/>
      <c r="V494" s="181"/>
      <c r="W494" s="181"/>
      <c r="X494" s="181"/>
      <c r="Y494" s="181"/>
      <c r="Z494" s="181"/>
    </row>
    <row r="495">
      <c r="A495" s="181"/>
      <c r="B495" s="181"/>
      <c r="C495" s="181"/>
      <c r="D495" s="181"/>
      <c r="E495" s="181"/>
      <c r="F495" s="181"/>
      <c r="G495" s="181"/>
      <c r="H495" s="181"/>
      <c r="I495" s="181"/>
      <c r="J495" s="181"/>
      <c r="K495" s="181"/>
      <c r="L495" s="181"/>
      <c r="M495" s="181"/>
      <c r="N495" s="181"/>
      <c r="O495" s="181"/>
      <c r="P495" s="181"/>
      <c r="Q495" s="181"/>
      <c r="R495" s="181"/>
      <c r="S495" s="181"/>
      <c r="T495" s="181"/>
      <c r="U495" s="181"/>
      <c r="V495" s="181"/>
      <c r="W495" s="181"/>
      <c r="X495" s="181"/>
      <c r="Y495" s="181"/>
      <c r="Z495" s="181"/>
    </row>
    <row r="496">
      <c r="A496" s="181"/>
      <c r="B496" s="181"/>
      <c r="C496" s="181"/>
      <c r="D496" s="181"/>
      <c r="E496" s="181"/>
      <c r="F496" s="181"/>
      <c r="G496" s="181"/>
      <c r="H496" s="181"/>
      <c r="I496" s="181"/>
      <c r="J496" s="181"/>
      <c r="K496" s="181"/>
      <c r="L496" s="181"/>
      <c r="M496" s="181"/>
      <c r="N496" s="181"/>
      <c r="O496" s="181"/>
      <c r="P496" s="181"/>
      <c r="Q496" s="181"/>
      <c r="R496" s="181"/>
      <c r="S496" s="181"/>
      <c r="T496" s="181"/>
      <c r="U496" s="181"/>
      <c r="V496" s="181"/>
      <c r="W496" s="181"/>
      <c r="X496" s="181"/>
      <c r="Y496" s="181"/>
      <c r="Z496" s="181"/>
    </row>
    <row r="497">
      <c r="A497" s="181"/>
      <c r="B497" s="181"/>
      <c r="C497" s="181"/>
      <c r="D497" s="181"/>
      <c r="E497" s="181"/>
      <c r="F497" s="181"/>
      <c r="G497" s="181"/>
      <c r="H497" s="181"/>
      <c r="I497" s="181"/>
      <c r="J497" s="181"/>
      <c r="K497" s="181"/>
      <c r="L497" s="181"/>
      <c r="M497" s="181"/>
      <c r="N497" s="181"/>
      <c r="O497" s="181"/>
      <c r="P497" s="181"/>
      <c r="Q497" s="181"/>
      <c r="R497" s="181"/>
      <c r="S497" s="181"/>
      <c r="T497" s="181"/>
      <c r="U497" s="181"/>
      <c r="V497" s="181"/>
      <c r="W497" s="181"/>
      <c r="X497" s="181"/>
      <c r="Y497" s="181"/>
      <c r="Z497" s="181"/>
    </row>
    <row r="498">
      <c r="A498" s="181"/>
      <c r="B498" s="181"/>
      <c r="C498" s="181"/>
      <c r="D498" s="181"/>
      <c r="E498" s="181"/>
      <c r="F498" s="181"/>
      <c r="G498" s="181"/>
      <c r="H498" s="181"/>
      <c r="I498" s="181"/>
      <c r="J498" s="181"/>
      <c r="K498" s="181"/>
      <c r="L498" s="181"/>
      <c r="M498" s="181"/>
      <c r="N498" s="181"/>
      <c r="O498" s="181"/>
      <c r="P498" s="181"/>
      <c r="Q498" s="181"/>
      <c r="R498" s="181"/>
      <c r="S498" s="181"/>
      <c r="T498" s="181"/>
      <c r="U498" s="181"/>
      <c r="V498" s="181"/>
      <c r="W498" s="181"/>
      <c r="X498" s="181"/>
      <c r="Y498" s="181"/>
      <c r="Z498" s="181"/>
    </row>
    <row r="499">
      <c r="A499" s="181"/>
      <c r="B499" s="181"/>
      <c r="C499" s="181"/>
      <c r="D499" s="181"/>
      <c r="E499" s="181"/>
      <c r="F499" s="181"/>
      <c r="G499" s="181"/>
      <c r="H499" s="181"/>
      <c r="I499" s="181"/>
      <c r="J499" s="181"/>
      <c r="K499" s="181"/>
      <c r="L499" s="181"/>
      <c r="M499" s="181"/>
      <c r="N499" s="181"/>
      <c r="O499" s="181"/>
      <c r="P499" s="181"/>
      <c r="Q499" s="181"/>
      <c r="R499" s="181"/>
      <c r="S499" s="181"/>
      <c r="T499" s="181"/>
      <c r="U499" s="181"/>
      <c r="V499" s="181"/>
      <c r="W499" s="181"/>
      <c r="X499" s="181"/>
      <c r="Y499" s="181"/>
      <c r="Z499" s="181"/>
    </row>
    <row r="500">
      <c r="A500" s="181"/>
      <c r="B500" s="181"/>
      <c r="C500" s="181"/>
      <c r="D500" s="181"/>
      <c r="E500" s="181"/>
      <c r="F500" s="181"/>
      <c r="G500" s="181"/>
      <c r="H500" s="181"/>
      <c r="I500" s="181"/>
      <c r="J500" s="181"/>
      <c r="K500" s="181"/>
      <c r="L500" s="181"/>
      <c r="M500" s="181"/>
      <c r="N500" s="181"/>
      <c r="O500" s="181"/>
      <c r="P500" s="181"/>
      <c r="Q500" s="181"/>
      <c r="R500" s="181"/>
      <c r="S500" s="181"/>
      <c r="T500" s="181"/>
      <c r="U500" s="181"/>
      <c r="V500" s="181"/>
      <c r="W500" s="181"/>
      <c r="X500" s="181"/>
      <c r="Y500" s="181"/>
      <c r="Z500" s="181"/>
    </row>
    <row r="501">
      <c r="A501" s="181"/>
      <c r="B501" s="181"/>
      <c r="C501" s="181"/>
      <c r="D501" s="181"/>
      <c r="E501" s="181"/>
      <c r="F501" s="181"/>
      <c r="G501" s="181"/>
      <c r="H501" s="181"/>
      <c r="I501" s="181"/>
      <c r="J501" s="181"/>
      <c r="K501" s="181"/>
      <c r="L501" s="181"/>
      <c r="M501" s="181"/>
      <c r="N501" s="181"/>
      <c r="O501" s="181"/>
      <c r="P501" s="181"/>
      <c r="Q501" s="181"/>
      <c r="R501" s="181"/>
      <c r="S501" s="181"/>
      <c r="T501" s="181"/>
      <c r="U501" s="181"/>
      <c r="V501" s="181"/>
      <c r="W501" s="181"/>
      <c r="X501" s="181"/>
      <c r="Y501" s="181"/>
      <c r="Z501" s="181"/>
    </row>
    <row r="502">
      <c r="A502" s="181"/>
      <c r="B502" s="181"/>
      <c r="C502" s="181"/>
      <c r="D502" s="181"/>
      <c r="E502" s="181"/>
      <c r="F502" s="181"/>
      <c r="G502" s="181"/>
      <c r="H502" s="181"/>
      <c r="I502" s="181"/>
      <c r="J502" s="181"/>
      <c r="K502" s="181"/>
      <c r="L502" s="181"/>
      <c r="M502" s="181"/>
      <c r="N502" s="181"/>
      <c r="O502" s="181"/>
      <c r="P502" s="181"/>
      <c r="Q502" s="181"/>
      <c r="R502" s="181"/>
      <c r="S502" s="181"/>
      <c r="T502" s="181"/>
      <c r="U502" s="181"/>
      <c r="V502" s="181"/>
      <c r="W502" s="181"/>
      <c r="X502" s="181"/>
      <c r="Y502" s="181"/>
      <c r="Z502" s="181"/>
    </row>
    <row r="503">
      <c r="A503" s="181"/>
      <c r="B503" s="181"/>
      <c r="C503" s="181"/>
      <c r="D503" s="181"/>
      <c r="E503" s="181"/>
      <c r="F503" s="181"/>
      <c r="G503" s="181"/>
      <c r="H503" s="181"/>
      <c r="I503" s="181"/>
      <c r="J503" s="181"/>
      <c r="K503" s="181"/>
      <c r="L503" s="181"/>
      <c r="M503" s="181"/>
      <c r="N503" s="181"/>
      <c r="O503" s="181"/>
      <c r="P503" s="181"/>
      <c r="Q503" s="181"/>
      <c r="R503" s="181"/>
      <c r="S503" s="181"/>
      <c r="T503" s="181"/>
      <c r="U503" s="181"/>
      <c r="V503" s="181"/>
      <c r="W503" s="181"/>
      <c r="X503" s="181"/>
      <c r="Y503" s="181"/>
      <c r="Z503" s="181"/>
    </row>
    <row r="504">
      <c r="A504" s="181"/>
      <c r="B504" s="181"/>
      <c r="C504" s="181"/>
      <c r="D504" s="181"/>
      <c r="E504" s="181"/>
      <c r="F504" s="181"/>
      <c r="G504" s="181"/>
      <c r="H504" s="181"/>
      <c r="I504" s="181"/>
      <c r="J504" s="181"/>
      <c r="K504" s="181"/>
      <c r="L504" s="181"/>
      <c r="M504" s="181"/>
      <c r="N504" s="181"/>
      <c r="O504" s="181"/>
      <c r="P504" s="181"/>
      <c r="Q504" s="181"/>
      <c r="R504" s="181"/>
      <c r="S504" s="181"/>
      <c r="T504" s="181"/>
      <c r="U504" s="181"/>
      <c r="V504" s="181"/>
      <c r="W504" s="181"/>
      <c r="X504" s="181"/>
      <c r="Y504" s="181"/>
      <c r="Z504" s="181"/>
    </row>
    <row r="505">
      <c r="A505" s="181"/>
      <c r="B505" s="181"/>
      <c r="C505" s="181"/>
      <c r="D505" s="181"/>
      <c r="E505" s="181"/>
      <c r="F505" s="181"/>
      <c r="G505" s="181"/>
      <c r="H505" s="181"/>
      <c r="I505" s="181"/>
      <c r="J505" s="181"/>
      <c r="K505" s="181"/>
      <c r="L505" s="181"/>
      <c r="M505" s="181"/>
      <c r="N505" s="181"/>
      <c r="O505" s="181"/>
      <c r="P505" s="181"/>
      <c r="Q505" s="181"/>
      <c r="R505" s="181"/>
      <c r="S505" s="181"/>
      <c r="T505" s="181"/>
      <c r="U505" s="181"/>
      <c r="V505" s="181"/>
      <c r="W505" s="181"/>
      <c r="X505" s="181"/>
      <c r="Y505" s="181"/>
      <c r="Z505" s="181"/>
    </row>
    <row r="506">
      <c r="A506" s="181"/>
      <c r="B506" s="181"/>
      <c r="C506" s="181"/>
      <c r="D506" s="181"/>
      <c r="E506" s="181"/>
      <c r="F506" s="181"/>
      <c r="G506" s="181"/>
      <c r="H506" s="181"/>
      <c r="I506" s="181"/>
      <c r="J506" s="181"/>
      <c r="K506" s="181"/>
      <c r="L506" s="181"/>
      <c r="M506" s="181"/>
      <c r="N506" s="181"/>
      <c r="O506" s="181"/>
      <c r="P506" s="181"/>
      <c r="Q506" s="181"/>
      <c r="R506" s="181"/>
      <c r="S506" s="181"/>
      <c r="T506" s="181"/>
      <c r="U506" s="181"/>
      <c r="V506" s="181"/>
      <c r="W506" s="181"/>
      <c r="X506" s="181"/>
      <c r="Y506" s="181"/>
      <c r="Z506" s="181"/>
    </row>
    <row r="507">
      <c r="A507" s="181"/>
      <c r="B507" s="181"/>
      <c r="C507" s="181"/>
      <c r="D507" s="181"/>
      <c r="E507" s="181"/>
      <c r="F507" s="181"/>
      <c r="G507" s="181"/>
      <c r="H507" s="181"/>
      <c r="I507" s="181"/>
      <c r="J507" s="181"/>
      <c r="K507" s="181"/>
      <c r="L507" s="181"/>
      <c r="M507" s="181"/>
      <c r="N507" s="181"/>
      <c r="O507" s="181"/>
      <c r="P507" s="181"/>
      <c r="Q507" s="181"/>
      <c r="R507" s="181"/>
      <c r="S507" s="181"/>
      <c r="T507" s="181"/>
      <c r="U507" s="181"/>
      <c r="V507" s="181"/>
      <c r="W507" s="181"/>
      <c r="X507" s="181"/>
      <c r="Y507" s="181"/>
      <c r="Z507" s="181"/>
    </row>
    <row r="508">
      <c r="A508" s="181"/>
      <c r="B508" s="181"/>
      <c r="C508" s="181"/>
      <c r="D508" s="181"/>
      <c r="E508" s="181"/>
      <c r="F508" s="181"/>
      <c r="G508" s="181"/>
      <c r="H508" s="181"/>
      <c r="I508" s="181"/>
      <c r="J508" s="181"/>
      <c r="K508" s="181"/>
      <c r="L508" s="181"/>
      <c r="M508" s="181"/>
      <c r="N508" s="181"/>
      <c r="O508" s="181"/>
      <c r="P508" s="181"/>
      <c r="Q508" s="181"/>
      <c r="R508" s="181"/>
      <c r="S508" s="181"/>
      <c r="T508" s="181"/>
      <c r="U508" s="181"/>
      <c r="V508" s="181"/>
      <c r="W508" s="181"/>
      <c r="X508" s="181"/>
      <c r="Y508" s="181"/>
      <c r="Z508" s="181"/>
    </row>
    <row r="509">
      <c r="A509" s="181"/>
      <c r="B509" s="181"/>
      <c r="C509" s="181"/>
      <c r="D509" s="181"/>
      <c r="E509" s="181"/>
      <c r="F509" s="181"/>
      <c r="G509" s="181"/>
      <c r="H509" s="181"/>
      <c r="I509" s="181"/>
      <c r="J509" s="181"/>
      <c r="K509" s="181"/>
      <c r="L509" s="181"/>
      <c r="M509" s="181"/>
      <c r="N509" s="181"/>
      <c r="O509" s="181"/>
      <c r="P509" s="181"/>
      <c r="Q509" s="181"/>
      <c r="R509" s="181"/>
      <c r="S509" s="181"/>
      <c r="T509" s="181"/>
      <c r="U509" s="181"/>
      <c r="V509" s="181"/>
      <c r="W509" s="181"/>
      <c r="X509" s="181"/>
      <c r="Y509" s="181"/>
      <c r="Z509" s="181"/>
    </row>
    <row r="510">
      <c r="A510" s="181"/>
      <c r="B510" s="181"/>
      <c r="C510" s="181"/>
      <c r="D510" s="181"/>
      <c r="E510" s="181"/>
      <c r="F510" s="181"/>
      <c r="G510" s="181"/>
      <c r="H510" s="181"/>
      <c r="I510" s="181"/>
      <c r="J510" s="181"/>
      <c r="K510" s="181"/>
      <c r="L510" s="181"/>
      <c r="M510" s="181"/>
      <c r="N510" s="181"/>
      <c r="O510" s="181"/>
      <c r="P510" s="181"/>
      <c r="Q510" s="181"/>
      <c r="R510" s="181"/>
      <c r="S510" s="181"/>
      <c r="T510" s="181"/>
      <c r="U510" s="181"/>
      <c r="V510" s="181"/>
      <c r="W510" s="181"/>
      <c r="X510" s="181"/>
      <c r="Y510" s="181"/>
      <c r="Z510" s="181"/>
    </row>
    <row r="511">
      <c r="A511" s="181"/>
      <c r="B511" s="181"/>
      <c r="C511" s="181"/>
      <c r="D511" s="181"/>
      <c r="E511" s="181"/>
      <c r="F511" s="181"/>
      <c r="G511" s="181"/>
      <c r="H511" s="181"/>
      <c r="I511" s="181"/>
      <c r="J511" s="181"/>
      <c r="K511" s="181"/>
      <c r="L511" s="181"/>
      <c r="M511" s="181"/>
      <c r="N511" s="181"/>
      <c r="O511" s="181"/>
      <c r="P511" s="181"/>
      <c r="Q511" s="181"/>
      <c r="R511" s="181"/>
      <c r="S511" s="181"/>
      <c r="T511" s="181"/>
      <c r="U511" s="181"/>
      <c r="V511" s="181"/>
      <c r="W511" s="181"/>
      <c r="X511" s="181"/>
      <c r="Y511" s="181"/>
      <c r="Z511" s="181"/>
    </row>
    <row r="512">
      <c r="A512" s="181"/>
      <c r="B512" s="181"/>
      <c r="C512" s="181"/>
      <c r="D512" s="181"/>
      <c r="E512" s="181"/>
      <c r="F512" s="181"/>
      <c r="G512" s="181"/>
      <c r="H512" s="181"/>
      <c r="I512" s="181"/>
      <c r="J512" s="181"/>
      <c r="K512" s="181"/>
      <c r="L512" s="181"/>
      <c r="M512" s="181"/>
      <c r="N512" s="181"/>
      <c r="O512" s="181"/>
      <c r="P512" s="181"/>
      <c r="Q512" s="181"/>
      <c r="R512" s="181"/>
      <c r="S512" s="181"/>
      <c r="T512" s="181"/>
      <c r="U512" s="181"/>
      <c r="V512" s="181"/>
      <c r="W512" s="181"/>
      <c r="X512" s="181"/>
      <c r="Y512" s="181"/>
      <c r="Z512" s="181"/>
    </row>
    <row r="513">
      <c r="A513" s="181"/>
      <c r="B513" s="181"/>
      <c r="C513" s="181"/>
      <c r="D513" s="181"/>
      <c r="E513" s="181"/>
      <c r="F513" s="181"/>
      <c r="G513" s="181"/>
      <c r="H513" s="181"/>
      <c r="I513" s="181"/>
      <c r="J513" s="181"/>
      <c r="K513" s="181"/>
      <c r="L513" s="181"/>
      <c r="M513" s="181"/>
      <c r="N513" s="181"/>
      <c r="O513" s="181"/>
      <c r="P513" s="181"/>
      <c r="Q513" s="181"/>
      <c r="R513" s="181"/>
      <c r="S513" s="181"/>
      <c r="T513" s="181"/>
      <c r="U513" s="181"/>
      <c r="V513" s="181"/>
      <c r="W513" s="181"/>
      <c r="X513" s="181"/>
      <c r="Y513" s="181"/>
      <c r="Z513" s="181"/>
    </row>
    <row r="514">
      <c r="A514" s="181"/>
      <c r="B514" s="181"/>
      <c r="C514" s="181"/>
      <c r="D514" s="181"/>
      <c r="E514" s="181"/>
      <c r="F514" s="181"/>
      <c r="G514" s="181"/>
      <c r="H514" s="181"/>
      <c r="I514" s="181"/>
      <c r="J514" s="181"/>
      <c r="K514" s="181"/>
      <c r="L514" s="181"/>
      <c r="M514" s="181"/>
      <c r="N514" s="181"/>
      <c r="O514" s="181"/>
      <c r="P514" s="181"/>
      <c r="Q514" s="181"/>
      <c r="R514" s="181"/>
      <c r="S514" s="181"/>
      <c r="T514" s="181"/>
      <c r="U514" s="181"/>
      <c r="V514" s="181"/>
      <c r="W514" s="181"/>
      <c r="X514" s="181"/>
      <c r="Y514" s="181"/>
      <c r="Z514" s="181"/>
    </row>
    <row r="515">
      <c r="A515" s="181"/>
      <c r="B515" s="181"/>
      <c r="C515" s="181"/>
      <c r="D515" s="181"/>
      <c r="E515" s="181"/>
      <c r="F515" s="181"/>
      <c r="G515" s="181"/>
      <c r="H515" s="181"/>
      <c r="I515" s="181"/>
      <c r="J515" s="181"/>
      <c r="K515" s="181"/>
      <c r="L515" s="181"/>
      <c r="M515" s="181"/>
      <c r="N515" s="181"/>
      <c r="O515" s="181"/>
      <c r="P515" s="181"/>
      <c r="Q515" s="181"/>
      <c r="R515" s="181"/>
      <c r="S515" s="181"/>
      <c r="T515" s="181"/>
      <c r="U515" s="181"/>
      <c r="V515" s="181"/>
      <c r="W515" s="181"/>
      <c r="X515" s="181"/>
      <c r="Y515" s="181"/>
      <c r="Z515" s="181"/>
    </row>
    <row r="516">
      <c r="A516" s="181"/>
      <c r="B516" s="181"/>
      <c r="C516" s="181"/>
      <c r="D516" s="181"/>
      <c r="E516" s="181"/>
      <c r="F516" s="181"/>
      <c r="G516" s="181"/>
      <c r="H516" s="181"/>
      <c r="I516" s="181"/>
      <c r="J516" s="181"/>
      <c r="K516" s="181"/>
      <c r="L516" s="181"/>
      <c r="M516" s="181"/>
      <c r="N516" s="181"/>
      <c r="O516" s="181"/>
      <c r="P516" s="181"/>
      <c r="Q516" s="181"/>
      <c r="R516" s="181"/>
      <c r="S516" s="181"/>
      <c r="T516" s="181"/>
      <c r="U516" s="181"/>
      <c r="V516" s="181"/>
      <c r="W516" s="181"/>
      <c r="X516" s="181"/>
      <c r="Y516" s="181"/>
      <c r="Z516" s="181"/>
    </row>
    <row r="517">
      <c r="A517" s="181"/>
      <c r="B517" s="181"/>
      <c r="C517" s="181"/>
      <c r="D517" s="181"/>
      <c r="E517" s="181"/>
      <c r="F517" s="181"/>
      <c r="G517" s="181"/>
      <c r="H517" s="181"/>
      <c r="I517" s="181"/>
      <c r="J517" s="181"/>
      <c r="K517" s="181"/>
      <c r="L517" s="181"/>
      <c r="M517" s="181"/>
      <c r="N517" s="181"/>
      <c r="O517" s="181"/>
      <c r="P517" s="181"/>
      <c r="Q517" s="181"/>
      <c r="R517" s="181"/>
      <c r="S517" s="181"/>
      <c r="T517" s="181"/>
      <c r="U517" s="181"/>
      <c r="V517" s="181"/>
      <c r="W517" s="181"/>
      <c r="X517" s="181"/>
      <c r="Y517" s="181"/>
      <c r="Z517" s="181"/>
    </row>
    <row r="518">
      <c r="A518" s="181"/>
      <c r="B518" s="181"/>
      <c r="C518" s="181"/>
      <c r="D518" s="181"/>
      <c r="E518" s="181"/>
      <c r="F518" s="181"/>
      <c r="G518" s="181"/>
      <c r="H518" s="181"/>
      <c r="I518" s="181"/>
      <c r="J518" s="181"/>
      <c r="K518" s="181"/>
      <c r="L518" s="181"/>
      <c r="M518" s="181"/>
      <c r="N518" s="181"/>
      <c r="O518" s="181"/>
      <c r="P518" s="181"/>
      <c r="Q518" s="181"/>
      <c r="R518" s="181"/>
      <c r="S518" s="181"/>
      <c r="T518" s="181"/>
      <c r="U518" s="181"/>
      <c r="V518" s="181"/>
      <c r="W518" s="181"/>
      <c r="X518" s="181"/>
      <c r="Y518" s="181"/>
      <c r="Z518" s="181"/>
    </row>
    <row r="519">
      <c r="A519" s="181"/>
      <c r="B519" s="181"/>
      <c r="C519" s="181"/>
      <c r="D519" s="181"/>
      <c r="E519" s="181"/>
      <c r="F519" s="181"/>
      <c r="G519" s="181"/>
      <c r="H519" s="181"/>
      <c r="I519" s="181"/>
      <c r="J519" s="181"/>
      <c r="K519" s="181"/>
      <c r="L519" s="181"/>
      <c r="M519" s="181"/>
      <c r="N519" s="181"/>
      <c r="O519" s="181"/>
      <c r="P519" s="181"/>
      <c r="Q519" s="181"/>
      <c r="R519" s="181"/>
      <c r="S519" s="181"/>
      <c r="T519" s="181"/>
      <c r="U519" s="181"/>
      <c r="V519" s="181"/>
      <c r="W519" s="181"/>
      <c r="X519" s="181"/>
      <c r="Y519" s="181"/>
      <c r="Z519" s="181"/>
    </row>
    <row r="520">
      <c r="A520" s="181"/>
      <c r="B520" s="181"/>
      <c r="C520" s="181"/>
      <c r="D520" s="181"/>
      <c r="E520" s="181"/>
      <c r="F520" s="181"/>
      <c r="G520" s="181"/>
      <c r="H520" s="181"/>
      <c r="I520" s="181"/>
      <c r="J520" s="181"/>
      <c r="K520" s="181"/>
      <c r="L520" s="181"/>
      <c r="M520" s="181"/>
      <c r="N520" s="181"/>
      <c r="O520" s="181"/>
      <c r="P520" s="181"/>
      <c r="Q520" s="181"/>
      <c r="R520" s="181"/>
      <c r="S520" s="181"/>
      <c r="T520" s="181"/>
      <c r="U520" s="181"/>
      <c r="V520" s="181"/>
      <c r="W520" s="181"/>
      <c r="X520" s="181"/>
      <c r="Y520" s="181"/>
      <c r="Z520" s="181"/>
    </row>
    <row r="521">
      <c r="A521" s="181"/>
      <c r="B521" s="181"/>
      <c r="C521" s="181"/>
      <c r="D521" s="181"/>
      <c r="E521" s="181"/>
      <c r="F521" s="181"/>
      <c r="G521" s="181"/>
      <c r="H521" s="181"/>
      <c r="I521" s="181"/>
      <c r="J521" s="181"/>
      <c r="K521" s="181"/>
      <c r="L521" s="181"/>
      <c r="M521" s="181"/>
      <c r="N521" s="181"/>
      <c r="O521" s="181"/>
      <c r="P521" s="181"/>
      <c r="Q521" s="181"/>
      <c r="R521" s="181"/>
      <c r="S521" s="181"/>
      <c r="T521" s="181"/>
      <c r="U521" s="181"/>
      <c r="V521" s="181"/>
      <c r="W521" s="181"/>
      <c r="X521" s="181"/>
      <c r="Y521" s="181"/>
      <c r="Z521" s="181"/>
    </row>
    <row r="522">
      <c r="A522" s="181"/>
      <c r="B522" s="181"/>
      <c r="C522" s="181"/>
      <c r="D522" s="181"/>
      <c r="E522" s="181"/>
      <c r="F522" s="181"/>
      <c r="G522" s="181"/>
      <c r="H522" s="181"/>
      <c r="I522" s="181"/>
      <c r="J522" s="181"/>
      <c r="K522" s="181"/>
      <c r="L522" s="181"/>
      <c r="M522" s="181"/>
      <c r="N522" s="181"/>
      <c r="O522" s="181"/>
      <c r="P522" s="181"/>
      <c r="Q522" s="181"/>
      <c r="R522" s="181"/>
      <c r="S522" s="181"/>
      <c r="T522" s="181"/>
      <c r="U522" s="181"/>
      <c r="V522" s="181"/>
      <c r="W522" s="181"/>
      <c r="X522" s="181"/>
      <c r="Y522" s="181"/>
      <c r="Z522" s="181"/>
    </row>
    <row r="523">
      <c r="A523" s="181"/>
      <c r="B523" s="181"/>
      <c r="C523" s="181"/>
      <c r="D523" s="181"/>
      <c r="E523" s="181"/>
      <c r="F523" s="181"/>
      <c r="G523" s="181"/>
      <c r="H523" s="181"/>
      <c r="I523" s="181"/>
      <c r="J523" s="181"/>
      <c r="K523" s="181"/>
      <c r="L523" s="181"/>
      <c r="M523" s="181"/>
      <c r="N523" s="181"/>
      <c r="O523" s="181"/>
      <c r="P523" s="181"/>
      <c r="Q523" s="181"/>
      <c r="R523" s="181"/>
      <c r="S523" s="181"/>
      <c r="T523" s="181"/>
      <c r="U523" s="181"/>
      <c r="V523" s="181"/>
      <c r="W523" s="181"/>
      <c r="X523" s="181"/>
      <c r="Y523" s="181"/>
      <c r="Z523" s="181"/>
    </row>
    <row r="524">
      <c r="A524" s="181"/>
      <c r="B524" s="181"/>
      <c r="C524" s="181"/>
      <c r="D524" s="181"/>
      <c r="E524" s="181"/>
      <c r="F524" s="181"/>
      <c r="G524" s="181"/>
      <c r="H524" s="181"/>
      <c r="I524" s="181"/>
      <c r="J524" s="181"/>
      <c r="K524" s="181"/>
      <c r="L524" s="181"/>
      <c r="M524" s="181"/>
      <c r="N524" s="181"/>
      <c r="O524" s="181"/>
      <c r="P524" s="181"/>
      <c r="Q524" s="181"/>
      <c r="R524" s="181"/>
      <c r="S524" s="181"/>
      <c r="T524" s="181"/>
      <c r="U524" s="181"/>
      <c r="V524" s="181"/>
      <c r="W524" s="181"/>
      <c r="X524" s="181"/>
      <c r="Y524" s="181"/>
      <c r="Z524" s="181"/>
    </row>
    <row r="525">
      <c r="A525" s="181"/>
      <c r="B525" s="181"/>
      <c r="C525" s="181"/>
      <c r="D525" s="181"/>
      <c r="E525" s="181"/>
      <c r="F525" s="181"/>
      <c r="G525" s="181"/>
      <c r="H525" s="181"/>
      <c r="I525" s="181"/>
      <c r="J525" s="181"/>
      <c r="K525" s="181"/>
      <c r="L525" s="181"/>
      <c r="M525" s="181"/>
      <c r="N525" s="181"/>
      <c r="O525" s="181"/>
      <c r="P525" s="181"/>
      <c r="Q525" s="181"/>
      <c r="R525" s="181"/>
      <c r="S525" s="181"/>
      <c r="T525" s="181"/>
      <c r="U525" s="181"/>
      <c r="V525" s="181"/>
      <c r="W525" s="181"/>
      <c r="X525" s="181"/>
      <c r="Y525" s="181"/>
      <c r="Z525" s="181"/>
    </row>
    <row r="526">
      <c r="A526" s="181"/>
      <c r="B526" s="181"/>
      <c r="C526" s="181"/>
      <c r="D526" s="181"/>
      <c r="E526" s="181"/>
      <c r="F526" s="181"/>
      <c r="G526" s="181"/>
      <c r="H526" s="181"/>
      <c r="I526" s="181"/>
      <c r="J526" s="181"/>
      <c r="K526" s="181"/>
      <c r="L526" s="181"/>
      <c r="M526" s="181"/>
      <c r="N526" s="181"/>
      <c r="O526" s="181"/>
      <c r="P526" s="181"/>
      <c r="Q526" s="181"/>
      <c r="R526" s="181"/>
      <c r="S526" s="181"/>
      <c r="T526" s="181"/>
      <c r="U526" s="181"/>
      <c r="V526" s="181"/>
      <c r="W526" s="181"/>
      <c r="X526" s="181"/>
      <c r="Y526" s="181"/>
      <c r="Z526" s="181"/>
    </row>
    <row r="527">
      <c r="A527" s="181"/>
      <c r="B527" s="181"/>
      <c r="C527" s="181"/>
      <c r="D527" s="181"/>
      <c r="E527" s="181"/>
      <c r="F527" s="181"/>
      <c r="G527" s="181"/>
      <c r="H527" s="181"/>
      <c r="I527" s="181"/>
      <c r="J527" s="181"/>
      <c r="K527" s="181"/>
      <c r="L527" s="181"/>
      <c r="M527" s="181"/>
      <c r="N527" s="181"/>
      <c r="O527" s="181"/>
      <c r="P527" s="181"/>
      <c r="Q527" s="181"/>
      <c r="R527" s="181"/>
      <c r="S527" s="181"/>
      <c r="T527" s="181"/>
      <c r="U527" s="181"/>
      <c r="V527" s="181"/>
      <c r="W527" s="181"/>
      <c r="X527" s="181"/>
      <c r="Y527" s="181"/>
      <c r="Z527" s="181"/>
    </row>
    <row r="528">
      <c r="A528" s="181"/>
      <c r="B528" s="181"/>
      <c r="C528" s="181"/>
      <c r="D528" s="181"/>
      <c r="E528" s="181"/>
      <c r="F528" s="181"/>
      <c r="G528" s="181"/>
      <c r="H528" s="181"/>
      <c r="I528" s="181"/>
      <c r="J528" s="181"/>
      <c r="K528" s="181"/>
      <c r="L528" s="181"/>
      <c r="M528" s="181"/>
      <c r="N528" s="181"/>
      <c r="O528" s="181"/>
      <c r="P528" s="181"/>
      <c r="Q528" s="181"/>
      <c r="R528" s="181"/>
      <c r="S528" s="181"/>
      <c r="T528" s="181"/>
      <c r="U528" s="181"/>
      <c r="V528" s="181"/>
      <c r="W528" s="181"/>
      <c r="X528" s="181"/>
      <c r="Y528" s="181"/>
      <c r="Z528" s="181"/>
    </row>
    <row r="529">
      <c r="A529" s="181"/>
      <c r="B529" s="181"/>
      <c r="C529" s="181"/>
      <c r="D529" s="181"/>
      <c r="E529" s="181"/>
      <c r="F529" s="181"/>
      <c r="G529" s="181"/>
      <c r="H529" s="181"/>
      <c r="I529" s="181"/>
      <c r="J529" s="181"/>
      <c r="K529" s="181"/>
      <c r="L529" s="181"/>
      <c r="M529" s="181"/>
      <c r="N529" s="181"/>
      <c r="O529" s="181"/>
      <c r="P529" s="181"/>
      <c r="Q529" s="181"/>
      <c r="R529" s="181"/>
      <c r="S529" s="181"/>
      <c r="T529" s="181"/>
      <c r="U529" s="181"/>
      <c r="V529" s="181"/>
      <c r="W529" s="181"/>
      <c r="X529" s="181"/>
      <c r="Y529" s="181"/>
      <c r="Z529" s="181"/>
    </row>
    <row r="530">
      <c r="A530" s="181"/>
      <c r="B530" s="181"/>
      <c r="C530" s="181"/>
      <c r="D530" s="181"/>
      <c r="E530" s="181"/>
      <c r="F530" s="181"/>
      <c r="G530" s="181"/>
      <c r="H530" s="181"/>
      <c r="I530" s="181"/>
      <c r="J530" s="181"/>
      <c r="K530" s="181"/>
      <c r="L530" s="181"/>
      <c r="M530" s="181"/>
      <c r="N530" s="181"/>
      <c r="O530" s="181"/>
      <c r="P530" s="181"/>
      <c r="Q530" s="181"/>
      <c r="R530" s="181"/>
      <c r="S530" s="181"/>
      <c r="T530" s="181"/>
      <c r="U530" s="181"/>
      <c r="V530" s="181"/>
      <c r="W530" s="181"/>
      <c r="X530" s="181"/>
      <c r="Y530" s="181"/>
      <c r="Z530" s="181"/>
    </row>
    <row r="531">
      <c r="A531" s="181"/>
      <c r="B531" s="181"/>
      <c r="C531" s="181"/>
      <c r="D531" s="181"/>
      <c r="E531" s="181"/>
      <c r="F531" s="181"/>
      <c r="G531" s="181"/>
      <c r="H531" s="181"/>
      <c r="I531" s="181"/>
      <c r="J531" s="181"/>
      <c r="K531" s="181"/>
      <c r="L531" s="181"/>
      <c r="M531" s="181"/>
      <c r="N531" s="181"/>
      <c r="O531" s="181"/>
      <c r="P531" s="181"/>
      <c r="Q531" s="181"/>
      <c r="R531" s="181"/>
      <c r="S531" s="181"/>
      <c r="T531" s="181"/>
      <c r="U531" s="181"/>
      <c r="V531" s="181"/>
      <c r="W531" s="181"/>
      <c r="X531" s="181"/>
      <c r="Y531" s="181"/>
      <c r="Z531" s="181"/>
    </row>
    <row r="532">
      <c r="A532" s="181"/>
      <c r="B532" s="181"/>
      <c r="C532" s="181"/>
      <c r="D532" s="181"/>
      <c r="E532" s="181"/>
      <c r="F532" s="181"/>
      <c r="G532" s="181"/>
      <c r="H532" s="181"/>
      <c r="I532" s="181"/>
      <c r="J532" s="181"/>
      <c r="K532" s="181"/>
      <c r="L532" s="181"/>
      <c r="M532" s="181"/>
      <c r="N532" s="181"/>
      <c r="O532" s="181"/>
      <c r="P532" s="181"/>
      <c r="Q532" s="181"/>
      <c r="R532" s="181"/>
      <c r="S532" s="181"/>
      <c r="T532" s="181"/>
      <c r="U532" s="181"/>
      <c r="V532" s="181"/>
      <c r="W532" s="181"/>
      <c r="X532" s="181"/>
      <c r="Y532" s="181"/>
      <c r="Z532" s="181"/>
    </row>
    <row r="533">
      <c r="A533" s="181"/>
      <c r="B533" s="181"/>
      <c r="C533" s="181"/>
      <c r="D533" s="181"/>
      <c r="E533" s="181"/>
      <c r="F533" s="181"/>
      <c r="G533" s="181"/>
      <c r="H533" s="181"/>
      <c r="I533" s="181"/>
      <c r="J533" s="181"/>
      <c r="K533" s="181"/>
      <c r="L533" s="181"/>
      <c r="M533" s="181"/>
      <c r="N533" s="181"/>
      <c r="O533" s="181"/>
      <c r="P533" s="181"/>
      <c r="Q533" s="181"/>
      <c r="R533" s="181"/>
      <c r="S533" s="181"/>
      <c r="T533" s="181"/>
      <c r="U533" s="181"/>
      <c r="V533" s="181"/>
      <c r="W533" s="181"/>
      <c r="X533" s="181"/>
      <c r="Y533" s="181"/>
      <c r="Z533" s="181"/>
    </row>
    <row r="534">
      <c r="A534" s="181"/>
      <c r="B534" s="181"/>
      <c r="C534" s="181"/>
      <c r="D534" s="181"/>
      <c r="E534" s="181"/>
      <c r="F534" s="181"/>
      <c r="G534" s="181"/>
      <c r="H534" s="181"/>
      <c r="I534" s="181"/>
      <c r="J534" s="181"/>
      <c r="K534" s="181"/>
      <c r="L534" s="181"/>
      <c r="M534" s="181"/>
      <c r="N534" s="181"/>
      <c r="O534" s="181"/>
      <c r="P534" s="181"/>
      <c r="Q534" s="181"/>
      <c r="R534" s="181"/>
      <c r="S534" s="181"/>
      <c r="T534" s="181"/>
      <c r="U534" s="181"/>
      <c r="V534" s="181"/>
      <c r="W534" s="181"/>
      <c r="X534" s="181"/>
      <c r="Y534" s="181"/>
      <c r="Z534" s="181"/>
    </row>
    <row r="535">
      <c r="A535" s="181"/>
      <c r="B535" s="181"/>
      <c r="C535" s="181"/>
      <c r="D535" s="181"/>
      <c r="E535" s="181"/>
      <c r="F535" s="181"/>
      <c r="G535" s="181"/>
      <c r="H535" s="181"/>
      <c r="I535" s="181"/>
      <c r="J535" s="181"/>
      <c r="K535" s="181"/>
      <c r="L535" s="181"/>
      <c r="M535" s="181"/>
      <c r="N535" s="181"/>
      <c r="O535" s="181"/>
      <c r="P535" s="181"/>
      <c r="Q535" s="181"/>
      <c r="R535" s="181"/>
      <c r="S535" s="181"/>
      <c r="T535" s="181"/>
      <c r="U535" s="181"/>
      <c r="V535" s="181"/>
      <c r="W535" s="181"/>
      <c r="X535" s="181"/>
      <c r="Y535" s="181"/>
      <c r="Z535" s="181"/>
    </row>
    <row r="536">
      <c r="A536" s="181"/>
      <c r="B536" s="181"/>
      <c r="C536" s="181"/>
      <c r="D536" s="181"/>
      <c r="E536" s="181"/>
      <c r="F536" s="181"/>
      <c r="G536" s="181"/>
      <c r="H536" s="181"/>
      <c r="I536" s="181"/>
      <c r="J536" s="181"/>
      <c r="K536" s="181"/>
      <c r="L536" s="181"/>
      <c r="M536" s="181"/>
      <c r="N536" s="181"/>
      <c r="O536" s="181"/>
      <c r="P536" s="181"/>
      <c r="Q536" s="181"/>
      <c r="R536" s="181"/>
      <c r="S536" s="181"/>
      <c r="T536" s="181"/>
      <c r="U536" s="181"/>
      <c r="V536" s="181"/>
      <c r="W536" s="181"/>
      <c r="X536" s="181"/>
      <c r="Y536" s="181"/>
      <c r="Z536" s="181"/>
    </row>
    <row r="537">
      <c r="A537" s="181"/>
      <c r="B537" s="181"/>
      <c r="C537" s="181"/>
      <c r="D537" s="181"/>
      <c r="E537" s="181"/>
      <c r="F537" s="181"/>
      <c r="G537" s="181"/>
      <c r="H537" s="181"/>
      <c r="I537" s="181"/>
      <c r="J537" s="181"/>
      <c r="K537" s="181"/>
      <c r="L537" s="181"/>
      <c r="M537" s="181"/>
      <c r="N537" s="181"/>
      <c r="O537" s="181"/>
      <c r="P537" s="181"/>
      <c r="Q537" s="181"/>
      <c r="R537" s="181"/>
      <c r="S537" s="181"/>
      <c r="T537" s="181"/>
      <c r="U537" s="181"/>
      <c r="V537" s="181"/>
      <c r="W537" s="181"/>
      <c r="X537" s="181"/>
      <c r="Y537" s="181"/>
      <c r="Z537" s="181"/>
    </row>
    <row r="538">
      <c r="A538" s="181"/>
      <c r="B538" s="181"/>
      <c r="C538" s="181"/>
      <c r="D538" s="181"/>
      <c r="E538" s="181"/>
      <c r="F538" s="181"/>
      <c r="G538" s="181"/>
      <c r="H538" s="181"/>
      <c r="I538" s="181"/>
      <c r="J538" s="181"/>
      <c r="K538" s="181"/>
      <c r="L538" s="181"/>
      <c r="M538" s="181"/>
      <c r="N538" s="181"/>
      <c r="O538" s="181"/>
      <c r="P538" s="181"/>
      <c r="Q538" s="181"/>
      <c r="R538" s="181"/>
      <c r="S538" s="181"/>
      <c r="T538" s="181"/>
      <c r="U538" s="181"/>
      <c r="V538" s="181"/>
      <c r="W538" s="181"/>
      <c r="X538" s="181"/>
      <c r="Y538" s="181"/>
      <c r="Z538" s="181"/>
    </row>
    <row r="539">
      <c r="A539" s="181"/>
      <c r="B539" s="181"/>
      <c r="C539" s="181"/>
      <c r="D539" s="181"/>
      <c r="E539" s="181"/>
      <c r="F539" s="181"/>
      <c r="G539" s="181"/>
      <c r="H539" s="181"/>
      <c r="I539" s="181"/>
      <c r="J539" s="181"/>
      <c r="K539" s="181"/>
      <c r="L539" s="181"/>
      <c r="M539" s="181"/>
      <c r="N539" s="181"/>
      <c r="O539" s="181"/>
      <c r="P539" s="181"/>
      <c r="Q539" s="181"/>
      <c r="R539" s="181"/>
      <c r="S539" s="181"/>
      <c r="T539" s="181"/>
      <c r="U539" s="181"/>
      <c r="V539" s="181"/>
      <c r="W539" s="181"/>
      <c r="X539" s="181"/>
      <c r="Y539" s="181"/>
      <c r="Z539" s="181"/>
    </row>
    <row r="540">
      <c r="A540" s="181"/>
      <c r="B540" s="181"/>
      <c r="C540" s="181"/>
      <c r="D540" s="181"/>
      <c r="E540" s="181"/>
      <c r="F540" s="181"/>
      <c r="G540" s="181"/>
      <c r="H540" s="181"/>
      <c r="I540" s="181"/>
      <c r="J540" s="181"/>
      <c r="K540" s="181"/>
      <c r="L540" s="181"/>
      <c r="M540" s="181"/>
      <c r="N540" s="181"/>
      <c r="O540" s="181"/>
      <c r="P540" s="181"/>
      <c r="Q540" s="181"/>
      <c r="R540" s="181"/>
      <c r="S540" s="181"/>
      <c r="T540" s="181"/>
      <c r="U540" s="181"/>
      <c r="V540" s="181"/>
      <c r="W540" s="181"/>
      <c r="X540" s="181"/>
      <c r="Y540" s="181"/>
      <c r="Z540" s="181"/>
    </row>
    <row r="541">
      <c r="A541" s="181"/>
      <c r="B541" s="181"/>
      <c r="C541" s="181"/>
      <c r="D541" s="181"/>
      <c r="E541" s="181"/>
      <c r="F541" s="181"/>
      <c r="G541" s="181"/>
      <c r="H541" s="181"/>
      <c r="I541" s="181"/>
      <c r="J541" s="181"/>
      <c r="K541" s="181"/>
      <c r="L541" s="181"/>
      <c r="M541" s="181"/>
      <c r="N541" s="181"/>
      <c r="O541" s="181"/>
      <c r="P541" s="181"/>
      <c r="Q541" s="181"/>
      <c r="R541" s="181"/>
      <c r="S541" s="181"/>
      <c r="T541" s="181"/>
      <c r="U541" s="181"/>
      <c r="V541" s="181"/>
      <c r="W541" s="181"/>
      <c r="X541" s="181"/>
      <c r="Y541" s="181"/>
      <c r="Z541" s="181"/>
    </row>
    <row r="542">
      <c r="A542" s="181"/>
      <c r="B542" s="181"/>
      <c r="C542" s="181"/>
      <c r="D542" s="181"/>
      <c r="E542" s="181"/>
      <c r="F542" s="181"/>
      <c r="G542" s="181"/>
      <c r="H542" s="181"/>
      <c r="I542" s="181"/>
      <c r="J542" s="181"/>
      <c r="K542" s="181"/>
      <c r="L542" s="181"/>
      <c r="M542" s="181"/>
      <c r="N542" s="181"/>
      <c r="O542" s="181"/>
      <c r="P542" s="181"/>
      <c r="Q542" s="181"/>
      <c r="R542" s="181"/>
      <c r="S542" s="181"/>
      <c r="T542" s="181"/>
      <c r="U542" s="181"/>
      <c r="V542" s="181"/>
      <c r="W542" s="181"/>
      <c r="X542" s="181"/>
      <c r="Y542" s="181"/>
      <c r="Z542" s="181"/>
    </row>
    <row r="543">
      <c r="A543" s="181"/>
      <c r="B543" s="181"/>
      <c r="C543" s="181"/>
      <c r="D543" s="181"/>
      <c r="E543" s="181"/>
      <c r="F543" s="181"/>
      <c r="G543" s="181"/>
      <c r="H543" s="181"/>
      <c r="I543" s="181"/>
      <c r="J543" s="181"/>
      <c r="K543" s="181"/>
      <c r="L543" s="181"/>
      <c r="M543" s="181"/>
      <c r="N543" s="181"/>
      <c r="O543" s="181"/>
      <c r="P543" s="181"/>
      <c r="Q543" s="181"/>
      <c r="R543" s="181"/>
      <c r="S543" s="181"/>
      <c r="T543" s="181"/>
      <c r="U543" s="181"/>
      <c r="V543" s="181"/>
      <c r="W543" s="181"/>
      <c r="X543" s="181"/>
      <c r="Y543" s="181"/>
      <c r="Z543" s="181"/>
    </row>
    <row r="544">
      <c r="A544" s="181"/>
      <c r="B544" s="181"/>
      <c r="C544" s="181"/>
      <c r="D544" s="181"/>
      <c r="E544" s="181"/>
      <c r="F544" s="181"/>
      <c r="G544" s="181"/>
      <c r="H544" s="181"/>
      <c r="I544" s="181"/>
      <c r="J544" s="181"/>
      <c r="K544" s="181"/>
      <c r="L544" s="181"/>
      <c r="M544" s="181"/>
      <c r="N544" s="181"/>
      <c r="O544" s="181"/>
      <c r="P544" s="181"/>
      <c r="Q544" s="181"/>
      <c r="R544" s="181"/>
      <c r="S544" s="181"/>
      <c r="T544" s="181"/>
      <c r="U544" s="181"/>
      <c r="V544" s="181"/>
      <c r="W544" s="181"/>
      <c r="X544" s="181"/>
      <c r="Y544" s="181"/>
      <c r="Z544" s="181"/>
    </row>
    <row r="545">
      <c r="A545" s="181"/>
      <c r="B545" s="181"/>
      <c r="C545" s="181"/>
      <c r="D545" s="181"/>
      <c r="E545" s="181"/>
      <c r="F545" s="181"/>
      <c r="G545" s="181"/>
      <c r="H545" s="181"/>
      <c r="I545" s="181"/>
      <c r="J545" s="181"/>
      <c r="K545" s="181"/>
      <c r="L545" s="181"/>
      <c r="M545" s="181"/>
      <c r="N545" s="181"/>
      <c r="O545" s="181"/>
      <c r="P545" s="181"/>
      <c r="Q545" s="181"/>
      <c r="R545" s="181"/>
      <c r="S545" s="181"/>
      <c r="T545" s="181"/>
      <c r="U545" s="181"/>
      <c r="V545" s="181"/>
      <c r="W545" s="181"/>
      <c r="X545" s="181"/>
      <c r="Y545" s="181"/>
      <c r="Z545" s="181"/>
    </row>
    <row r="546">
      <c r="A546" s="181"/>
      <c r="B546" s="181"/>
      <c r="C546" s="181"/>
      <c r="D546" s="181"/>
      <c r="E546" s="181"/>
      <c r="F546" s="181"/>
      <c r="G546" s="181"/>
      <c r="H546" s="181"/>
      <c r="I546" s="181"/>
      <c r="J546" s="181"/>
      <c r="K546" s="181"/>
      <c r="L546" s="181"/>
      <c r="M546" s="181"/>
      <c r="N546" s="181"/>
      <c r="O546" s="181"/>
      <c r="P546" s="181"/>
      <c r="Q546" s="181"/>
      <c r="R546" s="181"/>
      <c r="S546" s="181"/>
      <c r="T546" s="181"/>
      <c r="U546" s="181"/>
      <c r="V546" s="181"/>
      <c r="W546" s="181"/>
      <c r="X546" s="181"/>
      <c r="Y546" s="181"/>
      <c r="Z546" s="181"/>
    </row>
    <row r="547">
      <c r="A547" s="181"/>
      <c r="B547" s="181"/>
      <c r="C547" s="181"/>
      <c r="D547" s="181"/>
      <c r="E547" s="181"/>
      <c r="F547" s="181"/>
      <c r="G547" s="181"/>
      <c r="H547" s="181"/>
      <c r="I547" s="181"/>
      <c r="J547" s="181"/>
      <c r="K547" s="181"/>
      <c r="L547" s="181"/>
      <c r="M547" s="181"/>
      <c r="N547" s="181"/>
      <c r="O547" s="181"/>
      <c r="P547" s="181"/>
      <c r="Q547" s="181"/>
      <c r="R547" s="181"/>
      <c r="S547" s="181"/>
      <c r="T547" s="181"/>
      <c r="U547" s="181"/>
      <c r="V547" s="181"/>
      <c r="W547" s="181"/>
      <c r="X547" s="181"/>
      <c r="Y547" s="181"/>
      <c r="Z547" s="181"/>
    </row>
    <row r="548">
      <c r="A548" s="181"/>
      <c r="B548" s="181"/>
      <c r="C548" s="181"/>
      <c r="D548" s="181"/>
      <c r="E548" s="181"/>
      <c r="F548" s="181"/>
      <c r="G548" s="181"/>
      <c r="H548" s="181"/>
      <c r="I548" s="181"/>
      <c r="J548" s="181"/>
      <c r="K548" s="181"/>
      <c r="L548" s="181"/>
      <c r="M548" s="181"/>
      <c r="N548" s="181"/>
      <c r="O548" s="181"/>
      <c r="P548" s="181"/>
      <c r="Q548" s="181"/>
      <c r="R548" s="181"/>
      <c r="S548" s="181"/>
      <c r="T548" s="181"/>
      <c r="U548" s="181"/>
      <c r="V548" s="181"/>
      <c r="W548" s="181"/>
      <c r="X548" s="181"/>
      <c r="Y548" s="181"/>
      <c r="Z548" s="181"/>
    </row>
    <row r="549">
      <c r="A549" s="181"/>
      <c r="B549" s="181"/>
      <c r="C549" s="181"/>
      <c r="D549" s="181"/>
      <c r="E549" s="181"/>
      <c r="F549" s="181"/>
      <c r="G549" s="181"/>
      <c r="H549" s="181"/>
      <c r="I549" s="181"/>
      <c r="J549" s="181"/>
      <c r="K549" s="181"/>
      <c r="L549" s="181"/>
      <c r="M549" s="181"/>
      <c r="N549" s="181"/>
      <c r="O549" s="181"/>
      <c r="P549" s="181"/>
      <c r="Q549" s="181"/>
      <c r="R549" s="181"/>
      <c r="S549" s="181"/>
      <c r="T549" s="181"/>
      <c r="U549" s="181"/>
      <c r="V549" s="181"/>
      <c r="W549" s="181"/>
      <c r="X549" s="181"/>
      <c r="Y549" s="181"/>
      <c r="Z549" s="181"/>
    </row>
    <row r="550">
      <c r="A550" s="181"/>
      <c r="B550" s="181"/>
      <c r="C550" s="181"/>
      <c r="D550" s="181"/>
      <c r="E550" s="181"/>
      <c r="F550" s="181"/>
      <c r="G550" s="181"/>
      <c r="H550" s="181"/>
      <c r="I550" s="181"/>
      <c r="J550" s="181"/>
      <c r="K550" s="181"/>
      <c r="L550" s="181"/>
      <c r="M550" s="181"/>
      <c r="N550" s="181"/>
      <c r="O550" s="181"/>
      <c r="P550" s="181"/>
      <c r="Q550" s="181"/>
      <c r="R550" s="181"/>
      <c r="S550" s="181"/>
      <c r="T550" s="181"/>
      <c r="U550" s="181"/>
      <c r="V550" s="181"/>
      <c r="W550" s="181"/>
      <c r="X550" s="181"/>
      <c r="Y550" s="181"/>
      <c r="Z550" s="181"/>
    </row>
    <row r="551">
      <c r="A551" s="181"/>
      <c r="B551" s="181"/>
      <c r="C551" s="181"/>
      <c r="D551" s="181"/>
      <c r="E551" s="181"/>
      <c r="F551" s="181"/>
      <c r="G551" s="181"/>
      <c r="H551" s="181"/>
      <c r="I551" s="181"/>
      <c r="J551" s="181"/>
      <c r="K551" s="181"/>
      <c r="L551" s="181"/>
      <c r="M551" s="181"/>
      <c r="N551" s="181"/>
      <c r="O551" s="181"/>
      <c r="P551" s="181"/>
      <c r="Q551" s="181"/>
      <c r="R551" s="181"/>
      <c r="S551" s="181"/>
      <c r="T551" s="181"/>
      <c r="U551" s="181"/>
      <c r="V551" s="181"/>
      <c r="W551" s="181"/>
      <c r="X551" s="181"/>
      <c r="Y551" s="181"/>
      <c r="Z551" s="181"/>
    </row>
    <row r="552">
      <c r="A552" s="181"/>
      <c r="B552" s="181"/>
      <c r="C552" s="181"/>
      <c r="D552" s="181"/>
      <c r="E552" s="181"/>
      <c r="F552" s="181"/>
      <c r="G552" s="181"/>
      <c r="H552" s="181"/>
      <c r="I552" s="181"/>
      <c r="J552" s="181"/>
      <c r="K552" s="181"/>
      <c r="L552" s="181"/>
      <c r="M552" s="181"/>
      <c r="N552" s="181"/>
      <c r="O552" s="181"/>
      <c r="P552" s="181"/>
      <c r="Q552" s="181"/>
      <c r="R552" s="181"/>
      <c r="S552" s="181"/>
      <c r="T552" s="181"/>
      <c r="U552" s="181"/>
      <c r="V552" s="181"/>
      <c r="W552" s="181"/>
      <c r="X552" s="181"/>
      <c r="Y552" s="181"/>
      <c r="Z552" s="181"/>
    </row>
    <row r="553">
      <c r="A553" s="181"/>
      <c r="B553" s="181"/>
      <c r="C553" s="181"/>
      <c r="D553" s="181"/>
      <c r="E553" s="181"/>
      <c r="F553" s="181"/>
      <c r="G553" s="181"/>
      <c r="H553" s="181"/>
      <c r="I553" s="181"/>
      <c r="J553" s="181"/>
      <c r="K553" s="181"/>
      <c r="L553" s="181"/>
      <c r="M553" s="181"/>
      <c r="N553" s="181"/>
      <c r="O553" s="181"/>
      <c r="P553" s="181"/>
      <c r="Q553" s="181"/>
      <c r="R553" s="181"/>
      <c r="S553" s="181"/>
      <c r="T553" s="181"/>
      <c r="U553" s="181"/>
      <c r="V553" s="181"/>
      <c r="W553" s="181"/>
      <c r="X553" s="181"/>
      <c r="Y553" s="181"/>
      <c r="Z553" s="181"/>
    </row>
    <row r="554">
      <c r="A554" s="181"/>
      <c r="B554" s="181"/>
      <c r="C554" s="181"/>
      <c r="D554" s="181"/>
      <c r="E554" s="181"/>
      <c r="F554" s="181"/>
      <c r="G554" s="181"/>
      <c r="H554" s="181"/>
      <c r="I554" s="181"/>
      <c r="J554" s="181"/>
      <c r="K554" s="181"/>
      <c r="L554" s="181"/>
      <c r="M554" s="181"/>
      <c r="N554" s="181"/>
      <c r="O554" s="181"/>
      <c r="P554" s="181"/>
      <c r="Q554" s="181"/>
      <c r="R554" s="181"/>
      <c r="S554" s="181"/>
      <c r="T554" s="181"/>
      <c r="U554" s="181"/>
      <c r="V554" s="181"/>
      <c r="W554" s="181"/>
      <c r="X554" s="181"/>
      <c r="Y554" s="181"/>
      <c r="Z554" s="181"/>
    </row>
    <row r="555">
      <c r="A555" s="181"/>
      <c r="B555" s="181"/>
      <c r="C555" s="181"/>
      <c r="D555" s="181"/>
      <c r="E555" s="181"/>
      <c r="F555" s="181"/>
      <c r="G555" s="181"/>
      <c r="H555" s="181"/>
      <c r="I555" s="181"/>
      <c r="J555" s="181"/>
      <c r="K555" s="181"/>
      <c r="L555" s="181"/>
      <c r="M555" s="181"/>
      <c r="N555" s="181"/>
      <c r="O555" s="181"/>
      <c r="P555" s="181"/>
      <c r="Q555" s="181"/>
      <c r="R555" s="181"/>
      <c r="S555" s="181"/>
      <c r="T555" s="181"/>
      <c r="U555" s="181"/>
      <c r="V555" s="181"/>
      <c r="W555" s="181"/>
      <c r="X555" s="181"/>
      <c r="Y555" s="181"/>
      <c r="Z555" s="181"/>
    </row>
    <row r="556">
      <c r="A556" s="181"/>
      <c r="B556" s="181"/>
      <c r="C556" s="181"/>
      <c r="D556" s="181"/>
      <c r="E556" s="181"/>
      <c r="F556" s="181"/>
      <c r="G556" s="181"/>
      <c r="H556" s="181"/>
      <c r="I556" s="181"/>
      <c r="J556" s="181"/>
      <c r="K556" s="181"/>
      <c r="L556" s="181"/>
      <c r="M556" s="181"/>
      <c r="N556" s="181"/>
      <c r="O556" s="181"/>
      <c r="P556" s="181"/>
      <c r="Q556" s="181"/>
      <c r="R556" s="181"/>
      <c r="S556" s="181"/>
      <c r="T556" s="181"/>
      <c r="U556" s="181"/>
      <c r="V556" s="181"/>
      <c r="W556" s="181"/>
      <c r="X556" s="181"/>
      <c r="Y556" s="181"/>
      <c r="Z556" s="181"/>
    </row>
    <row r="557">
      <c r="A557" s="181"/>
      <c r="B557" s="181"/>
      <c r="C557" s="181"/>
      <c r="D557" s="181"/>
      <c r="E557" s="181"/>
      <c r="F557" s="181"/>
      <c r="G557" s="181"/>
      <c r="H557" s="181"/>
      <c r="I557" s="181"/>
      <c r="J557" s="181"/>
      <c r="K557" s="181"/>
      <c r="L557" s="181"/>
      <c r="M557" s="181"/>
      <c r="N557" s="181"/>
      <c r="O557" s="181"/>
      <c r="P557" s="181"/>
      <c r="Q557" s="181"/>
      <c r="R557" s="181"/>
      <c r="S557" s="181"/>
      <c r="T557" s="181"/>
      <c r="U557" s="181"/>
      <c r="V557" s="181"/>
      <c r="W557" s="181"/>
      <c r="X557" s="181"/>
      <c r="Y557" s="181"/>
      <c r="Z557" s="181"/>
    </row>
    <row r="558">
      <c r="A558" s="181"/>
      <c r="B558" s="181"/>
      <c r="C558" s="181"/>
      <c r="D558" s="181"/>
      <c r="E558" s="181"/>
      <c r="F558" s="181"/>
      <c r="G558" s="181"/>
      <c r="H558" s="181"/>
      <c r="I558" s="181"/>
      <c r="J558" s="181"/>
      <c r="K558" s="181"/>
      <c r="L558" s="181"/>
      <c r="M558" s="181"/>
      <c r="N558" s="181"/>
      <c r="O558" s="181"/>
      <c r="P558" s="181"/>
      <c r="Q558" s="181"/>
      <c r="R558" s="181"/>
      <c r="S558" s="181"/>
      <c r="T558" s="181"/>
      <c r="U558" s="181"/>
      <c r="V558" s="181"/>
      <c r="W558" s="181"/>
      <c r="X558" s="181"/>
      <c r="Y558" s="181"/>
      <c r="Z558" s="181"/>
    </row>
    <row r="559">
      <c r="A559" s="181"/>
      <c r="B559" s="181"/>
      <c r="C559" s="181"/>
      <c r="D559" s="181"/>
      <c r="E559" s="181"/>
      <c r="F559" s="181"/>
      <c r="G559" s="181"/>
      <c r="H559" s="181"/>
      <c r="I559" s="181"/>
      <c r="J559" s="181"/>
      <c r="K559" s="181"/>
      <c r="L559" s="181"/>
      <c r="M559" s="181"/>
      <c r="N559" s="181"/>
      <c r="O559" s="181"/>
      <c r="P559" s="181"/>
      <c r="Q559" s="181"/>
      <c r="R559" s="181"/>
      <c r="S559" s="181"/>
      <c r="T559" s="181"/>
      <c r="U559" s="181"/>
      <c r="V559" s="181"/>
      <c r="W559" s="181"/>
      <c r="X559" s="181"/>
      <c r="Y559" s="181"/>
      <c r="Z559" s="181"/>
    </row>
    <row r="560">
      <c r="A560" s="181"/>
      <c r="B560" s="181"/>
      <c r="C560" s="181"/>
      <c r="D560" s="181"/>
      <c r="E560" s="181"/>
      <c r="F560" s="181"/>
      <c r="G560" s="181"/>
      <c r="H560" s="181"/>
      <c r="I560" s="181"/>
      <c r="J560" s="181"/>
      <c r="K560" s="181"/>
      <c r="L560" s="181"/>
      <c r="M560" s="181"/>
      <c r="N560" s="181"/>
      <c r="O560" s="181"/>
      <c r="P560" s="181"/>
      <c r="Q560" s="181"/>
      <c r="R560" s="181"/>
      <c r="S560" s="181"/>
      <c r="T560" s="181"/>
      <c r="U560" s="181"/>
      <c r="V560" s="181"/>
      <c r="W560" s="181"/>
      <c r="X560" s="181"/>
      <c r="Y560" s="181"/>
      <c r="Z560" s="181"/>
    </row>
    <row r="561">
      <c r="A561" s="181"/>
      <c r="B561" s="181"/>
      <c r="C561" s="181"/>
      <c r="D561" s="181"/>
      <c r="E561" s="181"/>
      <c r="F561" s="181"/>
      <c r="G561" s="181"/>
      <c r="H561" s="181"/>
      <c r="I561" s="181"/>
      <c r="J561" s="181"/>
      <c r="K561" s="181"/>
      <c r="L561" s="181"/>
      <c r="M561" s="181"/>
      <c r="N561" s="181"/>
      <c r="O561" s="181"/>
      <c r="P561" s="181"/>
      <c r="Q561" s="181"/>
      <c r="R561" s="181"/>
      <c r="S561" s="181"/>
      <c r="T561" s="181"/>
      <c r="U561" s="181"/>
      <c r="V561" s="181"/>
      <c r="W561" s="181"/>
      <c r="X561" s="181"/>
      <c r="Y561" s="181"/>
      <c r="Z561" s="181"/>
    </row>
    <row r="562">
      <c r="A562" s="181"/>
      <c r="B562" s="181"/>
      <c r="C562" s="181"/>
      <c r="D562" s="181"/>
      <c r="E562" s="181"/>
      <c r="F562" s="181"/>
      <c r="G562" s="181"/>
      <c r="H562" s="181"/>
      <c r="I562" s="181"/>
      <c r="J562" s="181"/>
      <c r="K562" s="181"/>
      <c r="L562" s="181"/>
      <c r="M562" s="181"/>
      <c r="N562" s="181"/>
      <c r="O562" s="181"/>
      <c r="P562" s="181"/>
      <c r="Q562" s="181"/>
      <c r="R562" s="181"/>
      <c r="S562" s="181"/>
      <c r="T562" s="181"/>
      <c r="U562" s="181"/>
      <c r="V562" s="181"/>
      <c r="W562" s="181"/>
      <c r="X562" s="181"/>
      <c r="Y562" s="181"/>
      <c r="Z562" s="181"/>
    </row>
    <row r="563">
      <c r="A563" s="181"/>
      <c r="B563" s="181"/>
      <c r="C563" s="181"/>
      <c r="D563" s="181"/>
      <c r="E563" s="181"/>
      <c r="F563" s="181"/>
      <c r="G563" s="181"/>
      <c r="H563" s="181"/>
      <c r="I563" s="181"/>
      <c r="J563" s="181"/>
      <c r="K563" s="181"/>
      <c r="L563" s="181"/>
      <c r="M563" s="181"/>
      <c r="N563" s="181"/>
      <c r="O563" s="181"/>
      <c r="P563" s="181"/>
      <c r="Q563" s="181"/>
      <c r="R563" s="181"/>
      <c r="S563" s="181"/>
      <c r="T563" s="181"/>
      <c r="U563" s="181"/>
      <c r="V563" s="181"/>
      <c r="W563" s="181"/>
      <c r="X563" s="181"/>
      <c r="Y563" s="181"/>
      <c r="Z563" s="181"/>
    </row>
    <row r="564">
      <c r="A564" s="181"/>
      <c r="B564" s="181"/>
      <c r="C564" s="181"/>
      <c r="D564" s="181"/>
      <c r="E564" s="181"/>
      <c r="F564" s="181"/>
      <c r="G564" s="181"/>
      <c r="H564" s="181"/>
      <c r="I564" s="181"/>
      <c r="J564" s="181"/>
      <c r="K564" s="181"/>
      <c r="L564" s="181"/>
      <c r="M564" s="181"/>
      <c r="N564" s="181"/>
      <c r="O564" s="181"/>
      <c r="P564" s="181"/>
      <c r="Q564" s="181"/>
      <c r="R564" s="181"/>
      <c r="S564" s="181"/>
      <c r="T564" s="181"/>
      <c r="U564" s="181"/>
      <c r="V564" s="181"/>
      <c r="W564" s="181"/>
      <c r="X564" s="181"/>
      <c r="Y564" s="181"/>
      <c r="Z564" s="181"/>
    </row>
    <row r="565">
      <c r="A565" s="181"/>
      <c r="B565" s="181"/>
      <c r="C565" s="181"/>
      <c r="D565" s="181"/>
      <c r="E565" s="181"/>
      <c r="F565" s="181"/>
      <c r="G565" s="181"/>
      <c r="H565" s="181"/>
      <c r="I565" s="181"/>
      <c r="J565" s="181"/>
      <c r="K565" s="181"/>
      <c r="L565" s="181"/>
      <c r="M565" s="181"/>
      <c r="N565" s="181"/>
      <c r="O565" s="181"/>
      <c r="P565" s="181"/>
      <c r="Q565" s="181"/>
      <c r="R565" s="181"/>
      <c r="S565" s="181"/>
      <c r="T565" s="181"/>
      <c r="U565" s="181"/>
      <c r="V565" s="181"/>
      <c r="W565" s="181"/>
      <c r="X565" s="181"/>
      <c r="Y565" s="181"/>
      <c r="Z565" s="181"/>
    </row>
    <row r="566">
      <c r="A566" s="181"/>
      <c r="B566" s="181"/>
      <c r="C566" s="181"/>
      <c r="D566" s="181"/>
      <c r="E566" s="181"/>
      <c r="F566" s="181"/>
      <c r="G566" s="181"/>
      <c r="H566" s="181"/>
      <c r="I566" s="181"/>
      <c r="J566" s="181"/>
      <c r="K566" s="181"/>
      <c r="L566" s="181"/>
      <c r="M566" s="181"/>
      <c r="N566" s="181"/>
      <c r="O566" s="181"/>
      <c r="P566" s="181"/>
      <c r="Q566" s="181"/>
      <c r="R566" s="181"/>
      <c r="S566" s="181"/>
      <c r="T566" s="181"/>
      <c r="U566" s="181"/>
      <c r="V566" s="181"/>
      <c r="W566" s="181"/>
      <c r="X566" s="181"/>
      <c r="Y566" s="181"/>
      <c r="Z566" s="181"/>
    </row>
    <row r="567">
      <c r="A567" s="181"/>
      <c r="B567" s="181"/>
      <c r="C567" s="181"/>
      <c r="D567" s="181"/>
      <c r="E567" s="181"/>
      <c r="F567" s="181"/>
      <c r="G567" s="181"/>
      <c r="H567" s="181"/>
      <c r="I567" s="181"/>
      <c r="J567" s="181"/>
      <c r="K567" s="181"/>
      <c r="L567" s="181"/>
      <c r="M567" s="181"/>
      <c r="N567" s="181"/>
      <c r="O567" s="181"/>
      <c r="P567" s="181"/>
      <c r="Q567" s="181"/>
      <c r="R567" s="181"/>
      <c r="S567" s="181"/>
      <c r="T567" s="181"/>
      <c r="U567" s="181"/>
      <c r="V567" s="181"/>
      <c r="W567" s="181"/>
      <c r="X567" s="181"/>
      <c r="Y567" s="181"/>
      <c r="Z567" s="181"/>
    </row>
    <row r="568">
      <c r="A568" s="181"/>
      <c r="B568" s="181"/>
      <c r="C568" s="181"/>
      <c r="D568" s="181"/>
      <c r="E568" s="181"/>
      <c r="F568" s="181"/>
      <c r="G568" s="181"/>
      <c r="H568" s="181"/>
      <c r="I568" s="181"/>
      <c r="J568" s="181"/>
      <c r="K568" s="181"/>
      <c r="L568" s="181"/>
      <c r="M568" s="181"/>
      <c r="N568" s="181"/>
      <c r="O568" s="181"/>
      <c r="P568" s="181"/>
      <c r="Q568" s="181"/>
      <c r="R568" s="181"/>
      <c r="S568" s="181"/>
      <c r="T568" s="181"/>
      <c r="U568" s="181"/>
      <c r="V568" s="181"/>
      <c r="W568" s="181"/>
      <c r="X568" s="181"/>
      <c r="Y568" s="181"/>
      <c r="Z568" s="181"/>
    </row>
    <row r="569">
      <c r="A569" s="181"/>
      <c r="B569" s="181"/>
      <c r="C569" s="181"/>
      <c r="D569" s="181"/>
      <c r="E569" s="181"/>
      <c r="F569" s="181"/>
      <c r="G569" s="181"/>
      <c r="H569" s="181"/>
      <c r="I569" s="181"/>
      <c r="J569" s="181"/>
      <c r="K569" s="181"/>
      <c r="L569" s="181"/>
      <c r="M569" s="181"/>
      <c r="N569" s="181"/>
      <c r="O569" s="181"/>
      <c r="P569" s="181"/>
      <c r="Q569" s="181"/>
      <c r="R569" s="181"/>
      <c r="S569" s="181"/>
      <c r="T569" s="181"/>
      <c r="U569" s="181"/>
      <c r="V569" s="181"/>
      <c r="W569" s="181"/>
      <c r="X569" s="181"/>
      <c r="Y569" s="181"/>
      <c r="Z569" s="181"/>
    </row>
    <row r="570">
      <c r="A570" s="181"/>
      <c r="B570" s="181"/>
      <c r="C570" s="181"/>
      <c r="D570" s="181"/>
      <c r="E570" s="181"/>
      <c r="F570" s="181"/>
      <c r="G570" s="181"/>
      <c r="H570" s="181"/>
      <c r="I570" s="181"/>
      <c r="J570" s="181"/>
      <c r="K570" s="181"/>
      <c r="L570" s="181"/>
      <c r="M570" s="181"/>
      <c r="N570" s="181"/>
      <c r="O570" s="181"/>
      <c r="P570" s="181"/>
      <c r="Q570" s="181"/>
      <c r="R570" s="181"/>
      <c r="S570" s="181"/>
      <c r="T570" s="181"/>
      <c r="U570" s="181"/>
      <c r="V570" s="181"/>
      <c r="W570" s="181"/>
      <c r="X570" s="181"/>
      <c r="Y570" s="181"/>
      <c r="Z570" s="181"/>
    </row>
    <row r="571">
      <c r="A571" s="181"/>
      <c r="B571" s="181"/>
      <c r="C571" s="181"/>
      <c r="D571" s="181"/>
      <c r="E571" s="181"/>
      <c r="F571" s="181"/>
      <c r="G571" s="181"/>
      <c r="H571" s="181"/>
      <c r="I571" s="181"/>
      <c r="J571" s="181"/>
      <c r="K571" s="181"/>
      <c r="L571" s="181"/>
      <c r="M571" s="181"/>
      <c r="N571" s="181"/>
      <c r="O571" s="181"/>
      <c r="P571" s="181"/>
      <c r="Q571" s="181"/>
      <c r="R571" s="181"/>
      <c r="S571" s="181"/>
      <c r="T571" s="181"/>
      <c r="U571" s="181"/>
      <c r="V571" s="181"/>
      <c r="W571" s="181"/>
      <c r="X571" s="181"/>
      <c r="Y571" s="181"/>
      <c r="Z571" s="181"/>
    </row>
    <row r="572">
      <c r="A572" s="181"/>
      <c r="B572" s="181"/>
      <c r="C572" s="181"/>
      <c r="D572" s="181"/>
      <c r="E572" s="181"/>
      <c r="F572" s="181"/>
      <c r="G572" s="181"/>
      <c r="H572" s="181"/>
      <c r="I572" s="181"/>
      <c r="J572" s="181"/>
      <c r="K572" s="181"/>
      <c r="L572" s="181"/>
      <c r="M572" s="181"/>
      <c r="N572" s="181"/>
      <c r="O572" s="181"/>
      <c r="P572" s="181"/>
      <c r="Q572" s="181"/>
      <c r="R572" s="181"/>
      <c r="S572" s="181"/>
      <c r="T572" s="181"/>
      <c r="U572" s="181"/>
      <c r="V572" s="181"/>
      <c r="W572" s="181"/>
      <c r="X572" s="181"/>
      <c r="Y572" s="181"/>
      <c r="Z572" s="181"/>
    </row>
    <row r="573">
      <c r="A573" s="181"/>
      <c r="B573" s="181"/>
      <c r="C573" s="181"/>
      <c r="D573" s="181"/>
      <c r="E573" s="181"/>
      <c r="F573" s="181"/>
      <c r="G573" s="181"/>
      <c r="H573" s="181"/>
      <c r="I573" s="181"/>
      <c r="J573" s="181"/>
      <c r="K573" s="181"/>
      <c r="L573" s="181"/>
      <c r="M573" s="181"/>
      <c r="N573" s="181"/>
      <c r="O573" s="181"/>
      <c r="P573" s="181"/>
      <c r="Q573" s="181"/>
      <c r="R573" s="181"/>
      <c r="S573" s="181"/>
      <c r="T573" s="181"/>
      <c r="U573" s="181"/>
      <c r="V573" s="181"/>
      <c r="W573" s="181"/>
      <c r="X573" s="181"/>
      <c r="Y573" s="181"/>
      <c r="Z573" s="181"/>
    </row>
    <row r="574">
      <c r="A574" s="181"/>
      <c r="B574" s="181"/>
      <c r="C574" s="181"/>
      <c r="D574" s="181"/>
      <c r="E574" s="181"/>
      <c r="F574" s="181"/>
      <c r="G574" s="181"/>
      <c r="H574" s="181"/>
      <c r="I574" s="181"/>
      <c r="J574" s="181"/>
      <c r="K574" s="181"/>
      <c r="L574" s="181"/>
      <c r="M574" s="181"/>
      <c r="N574" s="181"/>
      <c r="O574" s="181"/>
      <c r="P574" s="181"/>
      <c r="Q574" s="181"/>
      <c r="R574" s="181"/>
      <c r="S574" s="181"/>
      <c r="T574" s="181"/>
      <c r="U574" s="181"/>
      <c r="V574" s="181"/>
      <c r="W574" s="181"/>
      <c r="X574" s="181"/>
      <c r="Y574" s="181"/>
      <c r="Z574" s="181"/>
    </row>
    <row r="575">
      <c r="A575" s="181"/>
      <c r="B575" s="181"/>
      <c r="C575" s="181"/>
      <c r="D575" s="181"/>
      <c r="E575" s="181"/>
      <c r="F575" s="181"/>
      <c r="G575" s="181"/>
      <c r="H575" s="181"/>
      <c r="I575" s="181"/>
      <c r="J575" s="181"/>
      <c r="K575" s="181"/>
      <c r="L575" s="181"/>
      <c r="M575" s="181"/>
      <c r="N575" s="181"/>
      <c r="O575" s="181"/>
      <c r="P575" s="181"/>
      <c r="Q575" s="181"/>
      <c r="R575" s="181"/>
      <c r="S575" s="181"/>
      <c r="T575" s="181"/>
      <c r="U575" s="181"/>
      <c r="V575" s="181"/>
      <c r="W575" s="181"/>
      <c r="X575" s="181"/>
      <c r="Y575" s="181"/>
      <c r="Z575" s="181"/>
    </row>
    <row r="576">
      <c r="A576" s="181"/>
      <c r="B576" s="181"/>
      <c r="C576" s="181"/>
      <c r="D576" s="181"/>
      <c r="E576" s="181"/>
      <c r="F576" s="181"/>
      <c r="G576" s="181"/>
      <c r="H576" s="181"/>
      <c r="I576" s="181"/>
      <c r="J576" s="181"/>
      <c r="K576" s="181"/>
      <c r="L576" s="181"/>
      <c r="M576" s="181"/>
      <c r="N576" s="181"/>
      <c r="O576" s="181"/>
      <c r="P576" s="181"/>
      <c r="Q576" s="181"/>
      <c r="R576" s="181"/>
      <c r="S576" s="181"/>
      <c r="T576" s="181"/>
      <c r="U576" s="181"/>
      <c r="V576" s="181"/>
      <c r="W576" s="181"/>
      <c r="X576" s="181"/>
      <c r="Y576" s="181"/>
      <c r="Z576" s="181"/>
    </row>
    <row r="577">
      <c r="A577" s="181"/>
      <c r="B577" s="181"/>
      <c r="C577" s="181"/>
      <c r="D577" s="181"/>
      <c r="E577" s="181"/>
      <c r="F577" s="181"/>
      <c r="G577" s="181"/>
      <c r="H577" s="181"/>
      <c r="I577" s="181"/>
      <c r="J577" s="181"/>
      <c r="K577" s="181"/>
      <c r="L577" s="181"/>
      <c r="M577" s="181"/>
      <c r="N577" s="181"/>
      <c r="O577" s="181"/>
      <c r="P577" s="181"/>
      <c r="Q577" s="181"/>
      <c r="R577" s="181"/>
      <c r="S577" s="181"/>
      <c r="T577" s="181"/>
      <c r="U577" s="181"/>
      <c r="V577" s="181"/>
      <c r="W577" s="181"/>
      <c r="X577" s="181"/>
      <c r="Y577" s="181"/>
      <c r="Z577" s="181"/>
    </row>
    <row r="578">
      <c r="A578" s="181"/>
      <c r="B578" s="181"/>
      <c r="C578" s="181"/>
      <c r="D578" s="181"/>
      <c r="E578" s="181"/>
      <c r="F578" s="181"/>
      <c r="G578" s="181"/>
      <c r="H578" s="181"/>
      <c r="I578" s="181"/>
      <c r="J578" s="181"/>
      <c r="K578" s="181"/>
      <c r="L578" s="181"/>
      <c r="M578" s="181"/>
      <c r="N578" s="181"/>
      <c r="O578" s="181"/>
      <c r="P578" s="181"/>
      <c r="Q578" s="181"/>
      <c r="R578" s="181"/>
      <c r="S578" s="181"/>
      <c r="T578" s="181"/>
      <c r="U578" s="181"/>
      <c r="V578" s="181"/>
      <c r="W578" s="181"/>
      <c r="X578" s="181"/>
      <c r="Y578" s="181"/>
      <c r="Z578" s="181"/>
    </row>
    <row r="579">
      <c r="A579" s="181"/>
      <c r="B579" s="181"/>
      <c r="C579" s="181"/>
      <c r="D579" s="181"/>
      <c r="E579" s="181"/>
      <c r="F579" s="181"/>
      <c r="G579" s="181"/>
      <c r="H579" s="181"/>
      <c r="I579" s="181"/>
      <c r="J579" s="181"/>
      <c r="K579" s="181"/>
      <c r="L579" s="181"/>
      <c r="M579" s="181"/>
      <c r="N579" s="181"/>
      <c r="O579" s="181"/>
      <c r="P579" s="181"/>
      <c r="Q579" s="181"/>
      <c r="R579" s="181"/>
      <c r="S579" s="181"/>
      <c r="T579" s="181"/>
      <c r="U579" s="181"/>
      <c r="V579" s="181"/>
      <c r="W579" s="181"/>
      <c r="X579" s="181"/>
      <c r="Y579" s="181"/>
      <c r="Z579" s="181"/>
    </row>
    <row r="580">
      <c r="A580" s="181"/>
      <c r="B580" s="181"/>
      <c r="C580" s="181"/>
      <c r="D580" s="181"/>
      <c r="E580" s="181"/>
      <c r="F580" s="181"/>
      <c r="G580" s="181"/>
      <c r="H580" s="181"/>
      <c r="I580" s="181"/>
      <c r="J580" s="181"/>
      <c r="K580" s="181"/>
      <c r="L580" s="181"/>
      <c r="M580" s="181"/>
      <c r="N580" s="181"/>
      <c r="O580" s="181"/>
      <c r="P580" s="181"/>
      <c r="Q580" s="181"/>
      <c r="R580" s="181"/>
      <c r="S580" s="181"/>
      <c r="T580" s="181"/>
      <c r="U580" s="181"/>
      <c r="V580" s="181"/>
      <c r="W580" s="181"/>
      <c r="X580" s="181"/>
      <c r="Y580" s="181"/>
      <c r="Z580" s="181"/>
    </row>
    <row r="581">
      <c r="A581" s="181"/>
      <c r="B581" s="181"/>
      <c r="C581" s="181"/>
      <c r="D581" s="181"/>
      <c r="E581" s="181"/>
      <c r="F581" s="181"/>
      <c r="G581" s="181"/>
      <c r="H581" s="181"/>
      <c r="I581" s="181"/>
      <c r="J581" s="181"/>
      <c r="K581" s="181"/>
      <c r="L581" s="181"/>
      <c r="M581" s="181"/>
      <c r="N581" s="181"/>
      <c r="O581" s="181"/>
      <c r="P581" s="181"/>
      <c r="Q581" s="181"/>
      <c r="R581" s="181"/>
      <c r="S581" s="181"/>
      <c r="T581" s="181"/>
      <c r="U581" s="181"/>
      <c r="V581" s="181"/>
      <c r="W581" s="181"/>
      <c r="X581" s="181"/>
      <c r="Y581" s="181"/>
      <c r="Z581" s="181"/>
    </row>
    <row r="582">
      <c r="A582" s="181"/>
      <c r="B582" s="181"/>
      <c r="C582" s="181"/>
      <c r="D582" s="181"/>
      <c r="E582" s="181"/>
      <c r="F582" s="181"/>
      <c r="G582" s="181"/>
      <c r="H582" s="181"/>
      <c r="I582" s="181"/>
      <c r="J582" s="181"/>
      <c r="K582" s="181"/>
      <c r="L582" s="181"/>
      <c r="M582" s="181"/>
      <c r="N582" s="181"/>
      <c r="O582" s="181"/>
      <c r="P582" s="181"/>
      <c r="Q582" s="181"/>
      <c r="R582" s="181"/>
      <c r="S582" s="181"/>
      <c r="T582" s="181"/>
      <c r="U582" s="181"/>
      <c r="V582" s="181"/>
      <c r="W582" s="181"/>
      <c r="X582" s="181"/>
      <c r="Y582" s="181"/>
      <c r="Z582" s="181"/>
    </row>
    <row r="583">
      <c r="A583" s="181"/>
      <c r="B583" s="181"/>
      <c r="C583" s="181"/>
      <c r="D583" s="181"/>
      <c r="E583" s="181"/>
      <c r="F583" s="181"/>
      <c r="G583" s="181"/>
      <c r="H583" s="181"/>
      <c r="I583" s="181"/>
      <c r="J583" s="181"/>
      <c r="K583" s="181"/>
      <c r="L583" s="181"/>
      <c r="M583" s="181"/>
      <c r="N583" s="181"/>
      <c r="O583" s="181"/>
      <c r="P583" s="181"/>
      <c r="Q583" s="181"/>
      <c r="R583" s="181"/>
      <c r="S583" s="181"/>
      <c r="T583" s="181"/>
      <c r="U583" s="181"/>
      <c r="V583" s="181"/>
      <c r="W583" s="181"/>
      <c r="X583" s="181"/>
      <c r="Y583" s="181"/>
      <c r="Z583" s="181"/>
    </row>
    <row r="584">
      <c r="A584" s="181"/>
      <c r="B584" s="181"/>
      <c r="C584" s="181"/>
      <c r="D584" s="181"/>
      <c r="E584" s="181"/>
      <c r="F584" s="181"/>
      <c r="G584" s="181"/>
      <c r="H584" s="181"/>
      <c r="I584" s="181"/>
      <c r="J584" s="181"/>
      <c r="K584" s="181"/>
      <c r="L584" s="181"/>
      <c r="M584" s="181"/>
      <c r="N584" s="181"/>
      <c r="O584" s="181"/>
      <c r="P584" s="181"/>
      <c r="Q584" s="181"/>
      <c r="R584" s="181"/>
      <c r="S584" s="181"/>
      <c r="T584" s="181"/>
      <c r="U584" s="181"/>
      <c r="V584" s="181"/>
      <c r="W584" s="181"/>
      <c r="X584" s="181"/>
      <c r="Y584" s="181"/>
      <c r="Z584" s="181"/>
    </row>
    <row r="585">
      <c r="A585" s="181"/>
      <c r="B585" s="181"/>
      <c r="C585" s="181"/>
      <c r="D585" s="181"/>
      <c r="E585" s="181"/>
      <c r="F585" s="181"/>
      <c r="G585" s="181"/>
      <c r="H585" s="181"/>
      <c r="I585" s="181"/>
      <c r="J585" s="181"/>
      <c r="K585" s="181"/>
      <c r="L585" s="181"/>
      <c r="M585" s="181"/>
      <c r="N585" s="181"/>
      <c r="O585" s="181"/>
      <c r="P585" s="181"/>
      <c r="Q585" s="181"/>
      <c r="R585" s="181"/>
      <c r="S585" s="181"/>
      <c r="T585" s="181"/>
      <c r="U585" s="181"/>
      <c r="V585" s="181"/>
      <c r="W585" s="181"/>
      <c r="X585" s="181"/>
      <c r="Y585" s="181"/>
      <c r="Z585" s="181"/>
    </row>
    <row r="586">
      <c r="A586" s="181"/>
      <c r="B586" s="181"/>
      <c r="C586" s="181"/>
      <c r="D586" s="181"/>
      <c r="E586" s="181"/>
      <c r="F586" s="181"/>
      <c r="G586" s="181"/>
      <c r="H586" s="181"/>
      <c r="I586" s="181"/>
      <c r="J586" s="181"/>
      <c r="K586" s="181"/>
      <c r="L586" s="181"/>
      <c r="M586" s="181"/>
      <c r="N586" s="181"/>
      <c r="O586" s="181"/>
      <c r="P586" s="181"/>
      <c r="Q586" s="181"/>
      <c r="R586" s="181"/>
      <c r="S586" s="181"/>
      <c r="T586" s="181"/>
      <c r="U586" s="181"/>
      <c r="V586" s="181"/>
      <c r="W586" s="181"/>
      <c r="X586" s="181"/>
      <c r="Y586" s="181"/>
      <c r="Z586" s="181"/>
    </row>
    <row r="587">
      <c r="A587" s="181"/>
      <c r="B587" s="181"/>
      <c r="C587" s="181"/>
      <c r="D587" s="181"/>
      <c r="E587" s="181"/>
      <c r="F587" s="181"/>
      <c r="G587" s="181"/>
      <c r="H587" s="181"/>
      <c r="I587" s="181"/>
      <c r="J587" s="181"/>
      <c r="K587" s="181"/>
      <c r="L587" s="181"/>
      <c r="M587" s="181"/>
      <c r="N587" s="181"/>
      <c r="O587" s="181"/>
      <c r="P587" s="181"/>
      <c r="Q587" s="181"/>
      <c r="R587" s="181"/>
      <c r="S587" s="181"/>
      <c r="T587" s="181"/>
      <c r="U587" s="181"/>
      <c r="V587" s="181"/>
      <c r="W587" s="181"/>
      <c r="X587" s="181"/>
      <c r="Y587" s="181"/>
      <c r="Z587" s="181"/>
    </row>
    <row r="588">
      <c r="A588" s="181"/>
      <c r="B588" s="181"/>
      <c r="C588" s="181"/>
      <c r="D588" s="181"/>
      <c r="E588" s="181"/>
      <c r="F588" s="181"/>
      <c r="G588" s="181"/>
      <c r="H588" s="181"/>
      <c r="I588" s="181"/>
      <c r="J588" s="181"/>
      <c r="K588" s="181"/>
      <c r="L588" s="181"/>
      <c r="M588" s="181"/>
      <c r="N588" s="181"/>
      <c r="O588" s="181"/>
      <c r="P588" s="181"/>
      <c r="Q588" s="181"/>
      <c r="R588" s="181"/>
      <c r="S588" s="181"/>
      <c r="T588" s="181"/>
      <c r="U588" s="181"/>
      <c r="V588" s="181"/>
      <c r="W588" s="181"/>
      <c r="X588" s="181"/>
      <c r="Y588" s="181"/>
      <c r="Z588" s="181"/>
    </row>
    <row r="589">
      <c r="A589" s="181"/>
      <c r="B589" s="181"/>
      <c r="C589" s="181"/>
      <c r="D589" s="181"/>
      <c r="E589" s="181"/>
      <c r="F589" s="181"/>
      <c r="G589" s="181"/>
      <c r="H589" s="181"/>
      <c r="I589" s="181"/>
      <c r="J589" s="181"/>
      <c r="K589" s="181"/>
      <c r="L589" s="181"/>
      <c r="M589" s="181"/>
      <c r="N589" s="181"/>
      <c r="O589" s="181"/>
      <c r="P589" s="181"/>
      <c r="Q589" s="181"/>
      <c r="R589" s="181"/>
      <c r="S589" s="181"/>
      <c r="T589" s="181"/>
      <c r="U589" s="181"/>
      <c r="V589" s="181"/>
      <c r="W589" s="181"/>
      <c r="X589" s="181"/>
      <c r="Y589" s="181"/>
      <c r="Z589" s="181"/>
    </row>
    <row r="590">
      <c r="A590" s="181"/>
      <c r="B590" s="181"/>
      <c r="C590" s="181"/>
      <c r="D590" s="181"/>
      <c r="E590" s="181"/>
      <c r="F590" s="181"/>
      <c r="G590" s="181"/>
      <c r="H590" s="181"/>
      <c r="I590" s="181"/>
      <c r="J590" s="181"/>
      <c r="K590" s="181"/>
      <c r="L590" s="181"/>
      <c r="M590" s="181"/>
      <c r="N590" s="181"/>
      <c r="O590" s="181"/>
      <c r="P590" s="181"/>
      <c r="Q590" s="181"/>
      <c r="R590" s="181"/>
      <c r="S590" s="181"/>
      <c r="T590" s="181"/>
      <c r="U590" s="181"/>
      <c r="V590" s="181"/>
      <c r="W590" s="181"/>
      <c r="X590" s="181"/>
      <c r="Y590" s="181"/>
      <c r="Z590" s="181"/>
    </row>
    <row r="591">
      <c r="A591" s="181"/>
      <c r="B591" s="181"/>
      <c r="C591" s="181"/>
      <c r="D591" s="181"/>
      <c r="E591" s="181"/>
      <c r="F591" s="181"/>
      <c r="G591" s="181"/>
      <c r="H591" s="181"/>
      <c r="I591" s="181"/>
      <c r="J591" s="181"/>
      <c r="K591" s="181"/>
      <c r="L591" s="181"/>
      <c r="M591" s="181"/>
      <c r="N591" s="181"/>
      <c r="O591" s="181"/>
      <c r="P591" s="181"/>
      <c r="Q591" s="181"/>
      <c r="R591" s="181"/>
      <c r="S591" s="181"/>
      <c r="T591" s="181"/>
      <c r="U591" s="181"/>
      <c r="V591" s="181"/>
      <c r="W591" s="181"/>
      <c r="X591" s="181"/>
      <c r="Y591" s="181"/>
      <c r="Z591" s="181"/>
    </row>
    <row r="592">
      <c r="A592" s="181"/>
      <c r="B592" s="181"/>
      <c r="C592" s="181"/>
      <c r="D592" s="181"/>
      <c r="E592" s="181"/>
      <c r="F592" s="181"/>
      <c r="G592" s="181"/>
      <c r="H592" s="181"/>
      <c r="I592" s="181"/>
      <c r="J592" s="181"/>
      <c r="K592" s="181"/>
      <c r="L592" s="181"/>
      <c r="M592" s="181"/>
      <c r="N592" s="181"/>
      <c r="O592" s="181"/>
      <c r="P592" s="181"/>
      <c r="Q592" s="181"/>
      <c r="R592" s="181"/>
      <c r="S592" s="181"/>
      <c r="T592" s="181"/>
      <c r="U592" s="181"/>
      <c r="V592" s="181"/>
      <c r="W592" s="181"/>
      <c r="X592" s="181"/>
      <c r="Y592" s="181"/>
      <c r="Z592" s="181"/>
    </row>
    <row r="593">
      <c r="A593" s="181"/>
      <c r="B593" s="181"/>
      <c r="C593" s="181"/>
      <c r="D593" s="181"/>
      <c r="E593" s="181"/>
      <c r="F593" s="181"/>
      <c r="G593" s="181"/>
      <c r="H593" s="181"/>
      <c r="I593" s="181"/>
      <c r="J593" s="181"/>
      <c r="K593" s="181"/>
      <c r="L593" s="181"/>
      <c r="M593" s="181"/>
      <c r="N593" s="181"/>
      <c r="O593" s="181"/>
      <c r="P593" s="181"/>
      <c r="Q593" s="181"/>
      <c r="R593" s="181"/>
      <c r="S593" s="181"/>
      <c r="T593" s="181"/>
      <c r="U593" s="181"/>
      <c r="V593" s="181"/>
      <c r="W593" s="181"/>
      <c r="X593" s="181"/>
      <c r="Y593" s="181"/>
      <c r="Z593" s="181"/>
    </row>
    <row r="594">
      <c r="A594" s="181"/>
      <c r="B594" s="181"/>
      <c r="C594" s="181"/>
      <c r="D594" s="181"/>
      <c r="E594" s="181"/>
      <c r="F594" s="181"/>
      <c r="G594" s="181"/>
      <c r="H594" s="181"/>
      <c r="I594" s="181"/>
      <c r="J594" s="181"/>
      <c r="K594" s="181"/>
      <c r="L594" s="181"/>
      <c r="M594" s="181"/>
      <c r="N594" s="181"/>
      <c r="O594" s="181"/>
      <c r="P594" s="181"/>
      <c r="Q594" s="181"/>
      <c r="R594" s="181"/>
      <c r="S594" s="181"/>
      <c r="T594" s="181"/>
      <c r="U594" s="181"/>
      <c r="V594" s="181"/>
      <c r="W594" s="181"/>
      <c r="X594" s="181"/>
      <c r="Y594" s="181"/>
      <c r="Z594" s="181"/>
    </row>
    <row r="595">
      <c r="A595" s="181"/>
      <c r="B595" s="181"/>
      <c r="C595" s="181"/>
      <c r="D595" s="181"/>
      <c r="E595" s="181"/>
      <c r="F595" s="181"/>
      <c r="G595" s="181"/>
      <c r="H595" s="181"/>
      <c r="I595" s="181"/>
      <c r="J595" s="181"/>
      <c r="K595" s="181"/>
      <c r="L595" s="181"/>
      <c r="M595" s="181"/>
      <c r="N595" s="181"/>
      <c r="O595" s="181"/>
      <c r="P595" s="181"/>
      <c r="Q595" s="181"/>
      <c r="R595" s="181"/>
      <c r="S595" s="181"/>
      <c r="T595" s="181"/>
      <c r="U595" s="181"/>
      <c r="V595" s="181"/>
      <c r="W595" s="181"/>
      <c r="X595" s="181"/>
      <c r="Y595" s="181"/>
      <c r="Z595" s="181"/>
    </row>
    <row r="596">
      <c r="A596" s="181"/>
      <c r="B596" s="181"/>
      <c r="C596" s="181"/>
      <c r="D596" s="181"/>
      <c r="E596" s="181"/>
      <c r="F596" s="181"/>
      <c r="G596" s="181"/>
      <c r="H596" s="181"/>
      <c r="I596" s="181"/>
      <c r="J596" s="181"/>
      <c r="K596" s="181"/>
      <c r="L596" s="181"/>
      <c r="M596" s="181"/>
      <c r="N596" s="181"/>
      <c r="O596" s="181"/>
      <c r="P596" s="181"/>
      <c r="Q596" s="181"/>
      <c r="R596" s="181"/>
      <c r="S596" s="181"/>
      <c r="T596" s="181"/>
      <c r="U596" s="181"/>
      <c r="V596" s="181"/>
      <c r="W596" s="181"/>
      <c r="X596" s="181"/>
      <c r="Y596" s="181"/>
      <c r="Z596" s="181"/>
    </row>
    <row r="597">
      <c r="A597" s="181"/>
      <c r="B597" s="181"/>
      <c r="C597" s="181"/>
      <c r="D597" s="181"/>
      <c r="E597" s="181"/>
      <c r="F597" s="181"/>
      <c r="G597" s="181"/>
      <c r="H597" s="181"/>
      <c r="I597" s="181"/>
      <c r="J597" s="181"/>
      <c r="K597" s="181"/>
      <c r="L597" s="181"/>
      <c r="M597" s="181"/>
      <c r="N597" s="181"/>
      <c r="O597" s="181"/>
      <c r="P597" s="181"/>
      <c r="Q597" s="181"/>
      <c r="R597" s="181"/>
      <c r="S597" s="181"/>
      <c r="T597" s="181"/>
      <c r="U597" s="181"/>
      <c r="V597" s="181"/>
      <c r="W597" s="181"/>
      <c r="X597" s="181"/>
      <c r="Y597" s="181"/>
      <c r="Z597" s="181"/>
    </row>
    <row r="598">
      <c r="A598" s="181"/>
      <c r="B598" s="181"/>
      <c r="C598" s="181"/>
      <c r="D598" s="181"/>
      <c r="E598" s="181"/>
      <c r="F598" s="181"/>
      <c r="G598" s="181"/>
      <c r="H598" s="181"/>
      <c r="I598" s="181"/>
      <c r="J598" s="181"/>
      <c r="K598" s="181"/>
      <c r="L598" s="181"/>
      <c r="M598" s="181"/>
      <c r="N598" s="181"/>
      <c r="O598" s="181"/>
      <c r="P598" s="181"/>
      <c r="Q598" s="181"/>
      <c r="R598" s="181"/>
      <c r="S598" s="181"/>
      <c r="T598" s="181"/>
      <c r="U598" s="181"/>
      <c r="V598" s="181"/>
      <c r="W598" s="181"/>
      <c r="X598" s="181"/>
      <c r="Y598" s="181"/>
      <c r="Z598" s="181"/>
    </row>
    <row r="599">
      <c r="A599" s="181"/>
      <c r="B599" s="181"/>
      <c r="C599" s="181"/>
      <c r="D599" s="181"/>
      <c r="E599" s="181"/>
      <c r="F599" s="181"/>
      <c r="G599" s="181"/>
      <c r="H599" s="181"/>
      <c r="I599" s="181"/>
      <c r="J599" s="181"/>
      <c r="K599" s="181"/>
      <c r="L599" s="181"/>
      <c r="M599" s="181"/>
      <c r="N599" s="181"/>
      <c r="O599" s="181"/>
      <c r="P599" s="181"/>
      <c r="Q599" s="181"/>
      <c r="R599" s="181"/>
      <c r="S599" s="181"/>
      <c r="T599" s="181"/>
      <c r="U599" s="181"/>
      <c r="V599" s="181"/>
      <c r="W599" s="181"/>
      <c r="X599" s="181"/>
      <c r="Y599" s="181"/>
      <c r="Z599" s="181"/>
    </row>
    <row r="600">
      <c r="A600" s="181"/>
      <c r="B600" s="181"/>
      <c r="C600" s="181"/>
      <c r="D600" s="181"/>
      <c r="E600" s="181"/>
      <c r="F600" s="181"/>
      <c r="G600" s="181"/>
      <c r="H600" s="181"/>
      <c r="I600" s="181"/>
      <c r="J600" s="181"/>
      <c r="K600" s="181"/>
      <c r="L600" s="181"/>
      <c r="M600" s="181"/>
      <c r="N600" s="181"/>
      <c r="O600" s="181"/>
      <c r="P600" s="181"/>
      <c r="Q600" s="181"/>
      <c r="R600" s="181"/>
      <c r="S600" s="181"/>
      <c r="T600" s="181"/>
      <c r="U600" s="181"/>
      <c r="V600" s="181"/>
      <c r="W600" s="181"/>
      <c r="X600" s="181"/>
      <c r="Y600" s="181"/>
      <c r="Z600" s="181"/>
    </row>
    <row r="601">
      <c r="A601" s="181"/>
      <c r="B601" s="181"/>
      <c r="C601" s="181"/>
      <c r="D601" s="181"/>
      <c r="E601" s="181"/>
      <c r="F601" s="181"/>
      <c r="G601" s="181"/>
      <c r="H601" s="181"/>
      <c r="I601" s="181"/>
      <c r="J601" s="181"/>
      <c r="K601" s="181"/>
      <c r="L601" s="181"/>
      <c r="M601" s="181"/>
      <c r="N601" s="181"/>
      <c r="O601" s="181"/>
      <c r="P601" s="181"/>
      <c r="Q601" s="181"/>
      <c r="R601" s="181"/>
      <c r="S601" s="181"/>
      <c r="T601" s="181"/>
      <c r="U601" s="181"/>
      <c r="V601" s="181"/>
      <c r="W601" s="181"/>
      <c r="X601" s="181"/>
      <c r="Y601" s="181"/>
      <c r="Z601" s="181"/>
    </row>
    <row r="602">
      <c r="A602" s="181"/>
      <c r="B602" s="181"/>
      <c r="C602" s="181"/>
      <c r="D602" s="181"/>
      <c r="E602" s="181"/>
      <c r="F602" s="181"/>
      <c r="G602" s="181"/>
      <c r="H602" s="181"/>
      <c r="I602" s="181"/>
      <c r="J602" s="181"/>
      <c r="K602" s="181"/>
      <c r="L602" s="181"/>
      <c r="M602" s="181"/>
      <c r="N602" s="181"/>
      <c r="O602" s="181"/>
      <c r="P602" s="181"/>
      <c r="Q602" s="181"/>
      <c r="R602" s="181"/>
      <c r="S602" s="181"/>
      <c r="T602" s="181"/>
      <c r="U602" s="181"/>
      <c r="V602" s="181"/>
      <c r="W602" s="181"/>
      <c r="X602" s="181"/>
      <c r="Y602" s="181"/>
      <c r="Z602" s="181"/>
    </row>
    <row r="603">
      <c r="A603" s="181"/>
      <c r="B603" s="181"/>
      <c r="C603" s="181"/>
      <c r="D603" s="181"/>
      <c r="E603" s="181"/>
      <c r="F603" s="181"/>
      <c r="G603" s="181"/>
      <c r="H603" s="181"/>
      <c r="I603" s="181"/>
      <c r="J603" s="181"/>
      <c r="K603" s="181"/>
      <c r="L603" s="181"/>
      <c r="M603" s="181"/>
      <c r="N603" s="181"/>
      <c r="O603" s="181"/>
      <c r="P603" s="181"/>
      <c r="Q603" s="181"/>
      <c r="R603" s="181"/>
      <c r="S603" s="181"/>
      <c r="T603" s="181"/>
      <c r="U603" s="181"/>
      <c r="V603" s="181"/>
      <c r="W603" s="181"/>
      <c r="X603" s="181"/>
      <c r="Y603" s="181"/>
      <c r="Z603" s="181"/>
    </row>
    <row r="604">
      <c r="A604" s="181"/>
      <c r="B604" s="181"/>
      <c r="C604" s="181"/>
      <c r="D604" s="181"/>
      <c r="E604" s="181"/>
      <c r="F604" s="181"/>
      <c r="G604" s="181"/>
      <c r="H604" s="181"/>
      <c r="I604" s="181"/>
      <c r="J604" s="181"/>
      <c r="K604" s="181"/>
      <c r="L604" s="181"/>
      <c r="M604" s="181"/>
      <c r="N604" s="181"/>
      <c r="O604" s="181"/>
      <c r="P604" s="181"/>
      <c r="Q604" s="181"/>
      <c r="R604" s="181"/>
      <c r="S604" s="181"/>
      <c r="T604" s="181"/>
      <c r="U604" s="181"/>
      <c r="V604" s="181"/>
      <c r="W604" s="181"/>
      <c r="X604" s="181"/>
      <c r="Y604" s="181"/>
      <c r="Z604" s="181"/>
    </row>
    <row r="605">
      <c r="A605" s="181"/>
      <c r="B605" s="181"/>
      <c r="C605" s="181"/>
      <c r="D605" s="181"/>
      <c r="E605" s="181"/>
      <c r="F605" s="181"/>
      <c r="G605" s="181"/>
      <c r="H605" s="181"/>
      <c r="I605" s="181"/>
      <c r="J605" s="181"/>
      <c r="K605" s="181"/>
      <c r="L605" s="181"/>
      <c r="M605" s="181"/>
      <c r="N605" s="181"/>
      <c r="O605" s="181"/>
      <c r="P605" s="181"/>
      <c r="Q605" s="181"/>
      <c r="R605" s="181"/>
      <c r="S605" s="181"/>
      <c r="T605" s="181"/>
      <c r="U605" s="181"/>
      <c r="V605" s="181"/>
      <c r="W605" s="181"/>
      <c r="X605" s="181"/>
      <c r="Y605" s="181"/>
      <c r="Z605" s="181"/>
    </row>
    <row r="606">
      <c r="A606" s="181"/>
      <c r="B606" s="181"/>
      <c r="C606" s="181"/>
      <c r="D606" s="181"/>
      <c r="E606" s="181"/>
      <c r="F606" s="181"/>
      <c r="G606" s="181"/>
      <c r="H606" s="181"/>
      <c r="I606" s="181"/>
      <c r="J606" s="181"/>
      <c r="K606" s="181"/>
      <c r="L606" s="181"/>
      <c r="M606" s="181"/>
      <c r="N606" s="181"/>
      <c r="O606" s="181"/>
      <c r="P606" s="181"/>
      <c r="Q606" s="181"/>
      <c r="R606" s="181"/>
      <c r="S606" s="181"/>
      <c r="T606" s="181"/>
      <c r="U606" s="181"/>
      <c r="V606" s="181"/>
      <c r="W606" s="181"/>
      <c r="X606" s="181"/>
      <c r="Y606" s="181"/>
      <c r="Z606" s="181"/>
    </row>
    <row r="607">
      <c r="A607" s="181"/>
      <c r="B607" s="181"/>
      <c r="C607" s="181"/>
      <c r="D607" s="181"/>
      <c r="E607" s="181"/>
      <c r="F607" s="181"/>
      <c r="G607" s="181"/>
      <c r="H607" s="181"/>
      <c r="I607" s="181"/>
      <c r="J607" s="181"/>
      <c r="K607" s="181"/>
      <c r="L607" s="181"/>
      <c r="M607" s="181"/>
      <c r="N607" s="181"/>
      <c r="O607" s="181"/>
      <c r="P607" s="181"/>
      <c r="Q607" s="181"/>
      <c r="R607" s="181"/>
      <c r="S607" s="181"/>
      <c r="T607" s="181"/>
      <c r="U607" s="181"/>
      <c r="V607" s="181"/>
      <c r="W607" s="181"/>
      <c r="X607" s="181"/>
      <c r="Y607" s="181"/>
      <c r="Z607" s="181"/>
    </row>
    <row r="608">
      <c r="A608" s="181"/>
      <c r="B608" s="181"/>
      <c r="C608" s="181"/>
      <c r="D608" s="181"/>
      <c r="E608" s="181"/>
      <c r="F608" s="181"/>
      <c r="G608" s="181"/>
      <c r="H608" s="181"/>
      <c r="I608" s="181"/>
      <c r="J608" s="181"/>
      <c r="K608" s="181"/>
      <c r="L608" s="181"/>
      <c r="M608" s="181"/>
      <c r="N608" s="181"/>
      <c r="O608" s="181"/>
      <c r="P608" s="181"/>
      <c r="Q608" s="181"/>
      <c r="R608" s="181"/>
      <c r="S608" s="181"/>
      <c r="T608" s="181"/>
      <c r="U608" s="181"/>
      <c r="V608" s="181"/>
      <c r="W608" s="181"/>
      <c r="X608" s="181"/>
      <c r="Y608" s="181"/>
      <c r="Z608" s="181"/>
    </row>
    <row r="609">
      <c r="A609" s="181"/>
      <c r="B609" s="181"/>
      <c r="C609" s="181"/>
      <c r="D609" s="181"/>
      <c r="E609" s="181"/>
      <c r="F609" s="181"/>
      <c r="G609" s="181"/>
      <c r="H609" s="181"/>
      <c r="I609" s="181"/>
      <c r="J609" s="181"/>
      <c r="K609" s="181"/>
      <c r="L609" s="181"/>
      <c r="M609" s="181"/>
      <c r="N609" s="181"/>
      <c r="O609" s="181"/>
      <c r="P609" s="181"/>
      <c r="Q609" s="181"/>
      <c r="R609" s="181"/>
      <c r="S609" s="181"/>
      <c r="T609" s="181"/>
      <c r="U609" s="181"/>
      <c r="V609" s="181"/>
      <c r="W609" s="181"/>
      <c r="X609" s="181"/>
      <c r="Y609" s="181"/>
      <c r="Z609" s="181"/>
    </row>
    <row r="610">
      <c r="A610" s="181"/>
      <c r="B610" s="181"/>
      <c r="C610" s="181"/>
      <c r="D610" s="181"/>
      <c r="E610" s="181"/>
      <c r="F610" s="181"/>
      <c r="G610" s="181"/>
      <c r="H610" s="181"/>
      <c r="I610" s="181"/>
      <c r="J610" s="181"/>
      <c r="K610" s="181"/>
      <c r="L610" s="181"/>
      <c r="M610" s="181"/>
      <c r="N610" s="181"/>
      <c r="O610" s="181"/>
      <c r="P610" s="181"/>
      <c r="Q610" s="181"/>
      <c r="R610" s="181"/>
      <c r="S610" s="181"/>
      <c r="T610" s="181"/>
      <c r="U610" s="181"/>
      <c r="V610" s="181"/>
      <c r="W610" s="181"/>
      <c r="X610" s="181"/>
      <c r="Y610" s="181"/>
      <c r="Z610" s="181"/>
    </row>
    <row r="611">
      <c r="A611" s="181"/>
      <c r="B611" s="181"/>
      <c r="C611" s="181"/>
      <c r="D611" s="181"/>
      <c r="E611" s="181"/>
      <c r="F611" s="181"/>
      <c r="G611" s="181"/>
      <c r="H611" s="181"/>
      <c r="I611" s="181"/>
      <c r="J611" s="181"/>
      <c r="K611" s="181"/>
      <c r="L611" s="181"/>
      <c r="M611" s="181"/>
      <c r="N611" s="181"/>
      <c r="O611" s="181"/>
      <c r="P611" s="181"/>
      <c r="Q611" s="181"/>
      <c r="R611" s="181"/>
      <c r="S611" s="181"/>
      <c r="T611" s="181"/>
      <c r="U611" s="181"/>
      <c r="V611" s="181"/>
      <c r="W611" s="181"/>
      <c r="X611" s="181"/>
      <c r="Y611" s="181"/>
      <c r="Z611" s="181"/>
    </row>
    <row r="612">
      <c r="A612" s="181"/>
      <c r="B612" s="181"/>
      <c r="C612" s="181"/>
      <c r="D612" s="181"/>
      <c r="E612" s="181"/>
      <c r="F612" s="181"/>
      <c r="G612" s="181"/>
      <c r="H612" s="181"/>
      <c r="I612" s="181"/>
      <c r="J612" s="181"/>
      <c r="K612" s="181"/>
      <c r="L612" s="181"/>
      <c r="M612" s="181"/>
      <c r="N612" s="181"/>
      <c r="O612" s="181"/>
      <c r="P612" s="181"/>
      <c r="Q612" s="181"/>
      <c r="R612" s="181"/>
      <c r="S612" s="181"/>
      <c r="T612" s="181"/>
      <c r="U612" s="181"/>
      <c r="V612" s="181"/>
      <c r="W612" s="181"/>
      <c r="X612" s="181"/>
      <c r="Y612" s="181"/>
      <c r="Z612" s="181"/>
    </row>
    <row r="613">
      <c r="A613" s="181"/>
      <c r="B613" s="181"/>
      <c r="C613" s="181"/>
      <c r="D613" s="181"/>
      <c r="E613" s="181"/>
      <c r="F613" s="181"/>
      <c r="G613" s="181"/>
      <c r="H613" s="181"/>
      <c r="I613" s="181"/>
      <c r="J613" s="181"/>
      <c r="K613" s="181"/>
      <c r="L613" s="181"/>
      <c r="M613" s="181"/>
      <c r="N613" s="181"/>
      <c r="O613" s="181"/>
      <c r="P613" s="181"/>
      <c r="Q613" s="181"/>
      <c r="R613" s="181"/>
      <c r="S613" s="181"/>
      <c r="T613" s="181"/>
      <c r="U613" s="181"/>
      <c r="V613" s="181"/>
      <c r="W613" s="181"/>
      <c r="X613" s="181"/>
      <c r="Y613" s="181"/>
      <c r="Z613" s="181"/>
    </row>
    <row r="614">
      <c r="A614" s="181"/>
      <c r="B614" s="181"/>
      <c r="C614" s="181"/>
      <c r="D614" s="181"/>
      <c r="E614" s="181"/>
      <c r="F614" s="181"/>
      <c r="G614" s="181"/>
      <c r="H614" s="181"/>
      <c r="I614" s="181"/>
      <c r="J614" s="181"/>
      <c r="K614" s="181"/>
      <c r="L614" s="181"/>
      <c r="M614" s="181"/>
      <c r="N614" s="181"/>
      <c r="O614" s="181"/>
      <c r="P614" s="181"/>
      <c r="Q614" s="181"/>
      <c r="R614" s="181"/>
      <c r="S614" s="181"/>
      <c r="T614" s="181"/>
      <c r="U614" s="181"/>
      <c r="V614" s="181"/>
      <c r="W614" s="181"/>
      <c r="X614" s="181"/>
      <c r="Y614" s="181"/>
      <c r="Z614" s="181"/>
    </row>
    <row r="615">
      <c r="A615" s="181"/>
      <c r="B615" s="181"/>
      <c r="C615" s="181"/>
      <c r="D615" s="181"/>
      <c r="E615" s="181"/>
      <c r="F615" s="181"/>
      <c r="G615" s="181"/>
      <c r="H615" s="181"/>
      <c r="I615" s="181"/>
      <c r="J615" s="181"/>
      <c r="K615" s="181"/>
      <c r="L615" s="181"/>
      <c r="M615" s="181"/>
      <c r="N615" s="181"/>
      <c r="O615" s="181"/>
      <c r="P615" s="181"/>
      <c r="Q615" s="181"/>
      <c r="R615" s="181"/>
      <c r="S615" s="181"/>
      <c r="T615" s="181"/>
      <c r="U615" s="181"/>
      <c r="V615" s="181"/>
      <c r="W615" s="181"/>
      <c r="X615" s="181"/>
      <c r="Y615" s="181"/>
      <c r="Z615" s="181"/>
    </row>
    <row r="616">
      <c r="A616" s="181"/>
      <c r="B616" s="181"/>
      <c r="C616" s="181"/>
      <c r="D616" s="181"/>
      <c r="E616" s="181"/>
      <c r="F616" s="181"/>
      <c r="G616" s="181"/>
      <c r="H616" s="181"/>
      <c r="I616" s="181"/>
      <c r="J616" s="181"/>
      <c r="K616" s="181"/>
      <c r="L616" s="181"/>
      <c r="M616" s="181"/>
      <c r="N616" s="181"/>
      <c r="O616" s="181"/>
      <c r="P616" s="181"/>
      <c r="Q616" s="181"/>
      <c r="R616" s="181"/>
      <c r="S616" s="181"/>
      <c r="T616" s="181"/>
      <c r="U616" s="181"/>
      <c r="V616" s="181"/>
      <c r="W616" s="181"/>
      <c r="X616" s="181"/>
      <c r="Y616" s="181"/>
      <c r="Z616" s="181"/>
    </row>
    <row r="617">
      <c r="A617" s="181"/>
      <c r="B617" s="181"/>
      <c r="C617" s="181"/>
      <c r="D617" s="181"/>
      <c r="E617" s="181"/>
      <c r="F617" s="181"/>
      <c r="G617" s="181"/>
      <c r="H617" s="181"/>
      <c r="I617" s="181"/>
      <c r="J617" s="181"/>
      <c r="K617" s="181"/>
      <c r="L617" s="181"/>
      <c r="M617" s="181"/>
      <c r="N617" s="181"/>
      <c r="O617" s="181"/>
      <c r="P617" s="181"/>
      <c r="Q617" s="181"/>
      <c r="R617" s="181"/>
      <c r="S617" s="181"/>
      <c r="T617" s="181"/>
      <c r="U617" s="181"/>
      <c r="V617" s="181"/>
      <c r="W617" s="181"/>
      <c r="X617" s="181"/>
      <c r="Y617" s="181"/>
      <c r="Z617" s="181"/>
    </row>
    <row r="618">
      <c r="A618" s="181"/>
      <c r="B618" s="181"/>
      <c r="C618" s="181"/>
      <c r="D618" s="181"/>
      <c r="E618" s="181"/>
      <c r="F618" s="181"/>
      <c r="G618" s="181"/>
      <c r="H618" s="181"/>
      <c r="I618" s="181"/>
      <c r="J618" s="181"/>
      <c r="K618" s="181"/>
      <c r="L618" s="181"/>
      <c r="M618" s="181"/>
      <c r="N618" s="181"/>
      <c r="O618" s="181"/>
      <c r="P618" s="181"/>
      <c r="Q618" s="181"/>
      <c r="R618" s="181"/>
      <c r="S618" s="181"/>
      <c r="T618" s="181"/>
      <c r="U618" s="181"/>
      <c r="V618" s="181"/>
      <c r="W618" s="181"/>
      <c r="X618" s="181"/>
      <c r="Y618" s="181"/>
      <c r="Z618" s="181"/>
    </row>
    <row r="619">
      <c r="A619" s="181"/>
      <c r="B619" s="181"/>
      <c r="C619" s="181"/>
      <c r="D619" s="181"/>
      <c r="E619" s="181"/>
      <c r="F619" s="181"/>
      <c r="G619" s="181"/>
      <c r="H619" s="181"/>
      <c r="I619" s="181"/>
      <c r="J619" s="181"/>
      <c r="K619" s="181"/>
      <c r="L619" s="181"/>
      <c r="M619" s="181"/>
      <c r="N619" s="181"/>
      <c r="O619" s="181"/>
      <c r="P619" s="181"/>
      <c r="Q619" s="181"/>
      <c r="R619" s="181"/>
      <c r="S619" s="181"/>
      <c r="T619" s="181"/>
      <c r="U619" s="181"/>
      <c r="V619" s="181"/>
      <c r="W619" s="181"/>
      <c r="X619" s="181"/>
      <c r="Y619" s="181"/>
      <c r="Z619" s="181"/>
    </row>
    <row r="620">
      <c r="A620" s="181"/>
      <c r="B620" s="181"/>
      <c r="C620" s="181"/>
      <c r="D620" s="181"/>
      <c r="E620" s="181"/>
      <c r="F620" s="181"/>
      <c r="G620" s="181"/>
      <c r="H620" s="181"/>
      <c r="I620" s="181"/>
      <c r="J620" s="181"/>
      <c r="K620" s="181"/>
      <c r="L620" s="181"/>
      <c r="M620" s="181"/>
      <c r="N620" s="181"/>
      <c r="O620" s="181"/>
      <c r="P620" s="181"/>
      <c r="Q620" s="181"/>
      <c r="R620" s="181"/>
      <c r="S620" s="181"/>
      <c r="T620" s="181"/>
      <c r="U620" s="181"/>
      <c r="V620" s="181"/>
      <c r="W620" s="181"/>
      <c r="X620" s="181"/>
      <c r="Y620" s="181"/>
      <c r="Z620" s="181"/>
    </row>
    <row r="621">
      <c r="A621" s="181"/>
      <c r="B621" s="181"/>
      <c r="C621" s="181"/>
      <c r="D621" s="181"/>
      <c r="E621" s="181"/>
      <c r="F621" s="181"/>
      <c r="G621" s="181"/>
      <c r="H621" s="181"/>
      <c r="I621" s="181"/>
      <c r="J621" s="181"/>
      <c r="K621" s="181"/>
      <c r="L621" s="181"/>
      <c r="M621" s="181"/>
      <c r="N621" s="181"/>
      <c r="O621" s="181"/>
      <c r="P621" s="181"/>
      <c r="Q621" s="181"/>
      <c r="R621" s="181"/>
      <c r="S621" s="181"/>
      <c r="T621" s="181"/>
      <c r="U621" s="181"/>
      <c r="V621" s="181"/>
      <c r="W621" s="181"/>
      <c r="X621" s="181"/>
      <c r="Y621" s="181"/>
      <c r="Z621" s="181"/>
    </row>
    <row r="622">
      <c r="A622" s="181"/>
      <c r="B622" s="181"/>
      <c r="C622" s="181"/>
      <c r="D622" s="181"/>
      <c r="E622" s="181"/>
      <c r="F622" s="181"/>
      <c r="G622" s="181"/>
      <c r="H622" s="181"/>
      <c r="I622" s="181"/>
      <c r="J622" s="181"/>
      <c r="K622" s="181"/>
      <c r="L622" s="181"/>
      <c r="M622" s="181"/>
      <c r="N622" s="181"/>
      <c r="O622" s="181"/>
      <c r="P622" s="181"/>
      <c r="Q622" s="181"/>
      <c r="R622" s="181"/>
      <c r="S622" s="181"/>
      <c r="T622" s="181"/>
      <c r="U622" s="181"/>
      <c r="V622" s="181"/>
      <c r="W622" s="181"/>
      <c r="X622" s="181"/>
      <c r="Y622" s="181"/>
      <c r="Z622" s="181"/>
    </row>
    <row r="623">
      <c r="A623" s="181"/>
      <c r="B623" s="181"/>
      <c r="C623" s="181"/>
      <c r="D623" s="181"/>
      <c r="E623" s="181"/>
      <c r="F623" s="181"/>
      <c r="G623" s="181"/>
      <c r="H623" s="181"/>
      <c r="I623" s="181"/>
      <c r="J623" s="181"/>
      <c r="K623" s="181"/>
      <c r="L623" s="181"/>
      <c r="M623" s="181"/>
      <c r="N623" s="181"/>
      <c r="O623" s="181"/>
      <c r="P623" s="181"/>
      <c r="Q623" s="181"/>
      <c r="R623" s="181"/>
      <c r="S623" s="181"/>
      <c r="T623" s="181"/>
      <c r="U623" s="181"/>
      <c r="V623" s="181"/>
      <c r="W623" s="181"/>
      <c r="X623" s="181"/>
      <c r="Y623" s="181"/>
      <c r="Z623" s="181"/>
    </row>
    <row r="624">
      <c r="A624" s="181"/>
      <c r="B624" s="181"/>
      <c r="C624" s="181"/>
      <c r="D624" s="181"/>
      <c r="E624" s="181"/>
      <c r="F624" s="181"/>
      <c r="G624" s="181"/>
      <c r="H624" s="181"/>
      <c r="I624" s="181"/>
      <c r="J624" s="181"/>
      <c r="K624" s="181"/>
      <c r="L624" s="181"/>
      <c r="M624" s="181"/>
      <c r="N624" s="181"/>
      <c r="O624" s="181"/>
      <c r="P624" s="181"/>
      <c r="Q624" s="181"/>
      <c r="R624" s="181"/>
      <c r="S624" s="181"/>
      <c r="T624" s="181"/>
      <c r="U624" s="181"/>
      <c r="V624" s="181"/>
      <c r="W624" s="181"/>
      <c r="X624" s="181"/>
      <c r="Y624" s="181"/>
      <c r="Z624" s="181"/>
    </row>
    <row r="625">
      <c r="A625" s="181"/>
      <c r="B625" s="181"/>
      <c r="C625" s="181"/>
      <c r="D625" s="181"/>
      <c r="E625" s="181"/>
      <c r="F625" s="181"/>
      <c r="G625" s="181"/>
      <c r="H625" s="181"/>
      <c r="I625" s="181"/>
      <c r="J625" s="181"/>
      <c r="K625" s="181"/>
      <c r="L625" s="181"/>
      <c r="M625" s="181"/>
      <c r="N625" s="181"/>
      <c r="O625" s="181"/>
      <c r="P625" s="181"/>
      <c r="Q625" s="181"/>
      <c r="R625" s="181"/>
      <c r="S625" s="181"/>
      <c r="T625" s="181"/>
      <c r="U625" s="181"/>
      <c r="V625" s="181"/>
      <c r="W625" s="181"/>
      <c r="X625" s="181"/>
      <c r="Y625" s="181"/>
      <c r="Z625" s="181"/>
    </row>
    <row r="626">
      <c r="A626" s="181"/>
      <c r="B626" s="181"/>
      <c r="C626" s="181"/>
      <c r="D626" s="181"/>
      <c r="E626" s="181"/>
      <c r="F626" s="181"/>
      <c r="G626" s="181"/>
      <c r="H626" s="181"/>
      <c r="I626" s="181"/>
      <c r="J626" s="181"/>
      <c r="K626" s="181"/>
      <c r="L626" s="181"/>
      <c r="M626" s="181"/>
      <c r="N626" s="181"/>
      <c r="O626" s="181"/>
      <c r="P626" s="181"/>
      <c r="Q626" s="181"/>
      <c r="R626" s="181"/>
      <c r="S626" s="181"/>
      <c r="T626" s="181"/>
      <c r="U626" s="181"/>
      <c r="V626" s="181"/>
      <c r="W626" s="181"/>
      <c r="X626" s="181"/>
      <c r="Y626" s="181"/>
      <c r="Z626" s="181"/>
    </row>
    <row r="627">
      <c r="A627" s="181"/>
      <c r="B627" s="181"/>
      <c r="C627" s="181"/>
      <c r="D627" s="181"/>
      <c r="E627" s="181"/>
      <c r="F627" s="181"/>
      <c r="G627" s="181"/>
      <c r="H627" s="181"/>
      <c r="I627" s="181"/>
      <c r="J627" s="181"/>
      <c r="K627" s="181"/>
      <c r="L627" s="181"/>
      <c r="M627" s="181"/>
      <c r="N627" s="181"/>
      <c r="O627" s="181"/>
      <c r="P627" s="181"/>
      <c r="Q627" s="181"/>
      <c r="R627" s="181"/>
      <c r="S627" s="181"/>
      <c r="T627" s="181"/>
      <c r="U627" s="181"/>
      <c r="V627" s="181"/>
      <c r="W627" s="181"/>
      <c r="X627" s="181"/>
      <c r="Y627" s="181"/>
      <c r="Z627" s="181"/>
    </row>
    <row r="628">
      <c r="A628" s="181"/>
      <c r="B628" s="181"/>
      <c r="C628" s="181"/>
      <c r="D628" s="181"/>
      <c r="E628" s="181"/>
      <c r="F628" s="181"/>
      <c r="G628" s="181"/>
      <c r="H628" s="181"/>
      <c r="I628" s="181"/>
      <c r="J628" s="181"/>
      <c r="K628" s="181"/>
      <c r="L628" s="181"/>
      <c r="M628" s="181"/>
      <c r="N628" s="181"/>
      <c r="O628" s="181"/>
      <c r="P628" s="181"/>
      <c r="Q628" s="181"/>
      <c r="R628" s="181"/>
      <c r="S628" s="181"/>
      <c r="T628" s="181"/>
      <c r="U628" s="181"/>
      <c r="V628" s="181"/>
      <c r="W628" s="181"/>
      <c r="X628" s="181"/>
      <c r="Y628" s="181"/>
      <c r="Z628" s="181"/>
    </row>
    <row r="629">
      <c r="A629" s="181"/>
      <c r="B629" s="181"/>
      <c r="C629" s="181"/>
      <c r="D629" s="181"/>
      <c r="E629" s="181"/>
      <c r="F629" s="181"/>
      <c r="G629" s="181"/>
      <c r="H629" s="181"/>
      <c r="I629" s="181"/>
      <c r="J629" s="181"/>
      <c r="K629" s="181"/>
      <c r="L629" s="181"/>
      <c r="M629" s="181"/>
      <c r="N629" s="181"/>
      <c r="O629" s="181"/>
      <c r="P629" s="181"/>
      <c r="Q629" s="181"/>
      <c r="R629" s="181"/>
      <c r="S629" s="181"/>
      <c r="T629" s="181"/>
      <c r="U629" s="181"/>
      <c r="V629" s="181"/>
      <c r="W629" s="181"/>
      <c r="X629" s="181"/>
      <c r="Y629" s="181"/>
      <c r="Z629" s="181"/>
    </row>
    <row r="630">
      <c r="A630" s="181"/>
      <c r="B630" s="181"/>
      <c r="C630" s="181"/>
      <c r="D630" s="181"/>
      <c r="E630" s="181"/>
      <c r="F630" s="181"/>
      <c r="G630" s="181"/>
      <c r="H630" s="181"/>
      <c r="I630" s="181"/>
      <c r="J630" s="181"/>
      <c r="K630" s="181"/>
      <c r="L630" s="181"/>
      <c r="M630" s="181"/>
      <c r="N630" s="181"/>
      <c r="O630" s="181"/>
      <c r="P630" s="181"/>
      <c r="Q630" s="181"/>
      <c r="R630" s="181"/>
      <c r="S630" s="181"/>
      <c r="T630" s="181"/>
      <c r="U630" s="181"/>
      <c r="V630" s="181"/>
      <c r="W630" s="181"/>
      <c r="X630" s="181"/>
      <c r="Y630" s="181"/>
      <c r="Z630" s="181"/>
    </row>
    <row r="631">
      <c r="A631" s="181"/>
      <c r="B631" s="181"/>
      <c r="C631" s="181"/>
      <c r="D631" s="181"/>
      <c r="E631" s="181"/>
      <c r="F631" s="181"/>
      <c r="G631" s="181"/>
      <c r="H631" s="181"/>
      <c r="I631" s="181"/>
      <c r="J631" s="181"/>
      <c r="K631" s="181"/>
      <c r="L631" s="181"/>
      <c r="M631" s="181"/>
      <c r="N631" s="181"/>
      <c r="O631" s="181"/>
      <c r="P631" s="181"/>
      <c r="Q631" s="181"/>
      <c r="R631" s="181"/>
      <c r="S631" s="181"/>
      <c r="T631" s="181"/>
      <c r="U631" s="181"/>
      <c r="V631" s="181"/>
      <c r="W631" s="181"/>
      <c r="X631" s="181"/>
      <c r="Y631" s="181"/>
      <c r="Z631" s="181"/>
    </row>
    <row r="632">
      <c r="A632" s="181"/>
      <c r="B632" s="181"/>
      <c r="C632" s="181"/>
      <c r="D632" s="181"/>
      <c r="E632" s="181"/>
      <c r="F632" s="181"/>
      <c r="G632" s="181"/>
      <c r="H632" s="181"/>
      <c r="I632" s="181"/>
      <c r="J632" s="181"/>
      <c r="K632" s="181"/>
      <c r="L632" s="181"/>
      <c r="M632" s="181"/>
      <c r="N632" s="181"/>
      <c r="O632" s="181"/>
      <c r="P632" s="181"/>
      <c r="Q632" s="181"/>
      <c r="R632" s="181"/>
      <c r="S632" s="181"/>
      <c r="T632" s="181"/>
      <c r="U632" s="181"/>
      <c r="V632" s="181"/>
      <c r="W632" s="181"/>
      <c r="X632" s="181"/>
      <c r="Y632" s="181"/>
      <c r="Z632" s="181"/>
    </row>
    <row r="633">
      <c r="A633" s="181"/>
      <c r="B633" s="181"/>
      <c r="C633" s="181"/>
      <c r="D633" s="181"/>
      <c r="E633" s="181"/>
      <c r="F633" s="181"/>
      <c r="G633" s="181"/>
      <c r="H633" s="181"/>
      <c r="I633" s="181"/>
      <c r="J633" s="181"/>
      <c r="K633" s="181"/>
      <c r="L633" s="181"/>
      <c r="M633" s="181"/>
      <c r="N633" s="181"/>
      <c r="O633" s="181"/>
      <c r="P633" s="181"/>
      <c r="Q633" s="181"/>
      <c r="R633" s="181"/>
      <c r="S633" s="181"/>
      <c r="T633" s="181"/>
      <c r="U633" s="181"/>
      <c r="V633" s="181"/>
      <c r="W633" s="181"/>
      <c r="X633" s="181"/>
      <c r="Y633" s="181"/>
      <c r="Z633" s="181"/>
    </row>
    <row r="634">
      <c r="A634" s="181"/>
      <c r="B634" s="181"/>
      <c r="C634" s="181"/>
      <c r="D634" s="181"/>
      <c r="E634" s="181"/>
      <c r="F634" s="181"/>
      <c r="G634" s="181"/>
      <c r="H634" s="181"/>
      <c r="I634" s="181"/>
      <c r="J634" s="181"/>
      <c r="K634" s="181"/>
      <c r="L634" s="181"/>
      <c r="M634" s="181"/>
      <c r="N634" s="181"/>
      <c r="O634" s="181"/>
      <c r="P634" s="181"/>
      <c r="Q634" s="181"/>
      <c r="R634" s="181"/>
      <c r="S634" s="181"/>
      <c r="T634" s="181"/>
      <c r="U634" s="181"/>
      <c r="V634" s="181"/>
      <c r="W634" s="181"/>
      <c r="X634" s="181"/>
      <c r="Y634" s="181"/>
      <c r="Z634" s="181"/>
    </row>
    <row r="635">
      <c r="A635" s="181"/>
      <c r="B635" s="181"/>
      <c r="C635" s="181"/>
      <c r="D635" s="181"/>
      <c r="E635" s="181"/>
      <c r="F635" s="181"/>
      <c r="G635" s="181"/>
      <c r="H635" s="181"/>
      <c r="I635" s="181"/>
      <c r="J635" s="181"/>
      <c r="K635" s="181"/>
      <c r="L635" s="181"/>
      <c r="M635" s="181"/>
      <c r="N635" s="181"/>
      <c r="O635" s="181"/>
      <c r="P635" s="181"/>
      <c r="Q635" s="181"/>
      <c r="R635" s="181"/>
      <c r="S635" s="181"/>
      <c r="T635" s="181"/>
      <c r="U635" s="181"/>
      <c r="V635" s="181"/>
      <c r="W635" s="181"/>
      <c r="X635" s="181"/>
      <c r="Y635" s="181"/>
      <c r="Z635" s="181"/>
    </row>
    <row r="636">
      <c r="A636" s="181"/>
      <c r="B636" s="181"/>
      <c r="C636" s="181"/>
      <c r="D636" s="181"/>
      <c r="E636" s="181"/>
      <c r="F636" s="181"/>
      <c r="G636" s="181"/>
      <c r="H636" s="181"/>
      <c r="I636" s="181"/>
      <c r="J636" s="181"/>
      <c r="K636" s="181"/>
      <c r="L636" s="181"/>
      <c r="M636" s="181"/>
      <c r="N636" s="181"/>
      <c r="O636" s="181"/>
      <c r="P636" s="181"/>
      <c r="Q636" s="181"/>
      <c r="R636" s="181"/>
      <c r="S636" s="181"/>
      <c r="T636" s="181"/>
      <c r="U636" s="181"/>
      <c r="V636" s="181"/>
      <c r="W636" s="181"/>
      <c r="X636" s="181"/>
      <c r="Y636" s="181"/>
      <c r="Z636" s="181"/>
    </row>
    <row r="637">
      <c r="A637" s="181"/>
      <c r="B637" s="181"/>
      <c r="C637" s="181"/>
      <c r="D637" s="181"/>
      <c r="E637" s="181"/>
      <c r="F637" s="181"/>
      <c r="G637" s="181"/>
      <c r="H637" s="181"/>
      <c r="I637" s="181"/>
      <c r="J637" s="181"/>
      <c r="K637" s="181"/>
      <c r="L637" s="181"/>
      <c r="M637" s="181"/>
      <c r="N637" s="181"/>
      <c r="O637" s="181"/>
      <c r="P637" s="181"/>
      <c r="Q637" s="181"/>
      <c r="R637" s="181"/>
      <c r="S637" s="181"/>
      <c r="T637" s="181"/>
      <c r="U637" s="181"/>
      <c r="V637" s="181"/>
      <c r="W637" s="181"/>
      <c r="X637" s="181"/>
      <c r="Y637" s="181"/>
      <c r="Z637" s="181"/>
    </row>
    <row r="638">
      <c r="A638" s="181"/>
      <c r="B638" s="181"/>
      <c r="C638" s="181"/>
      <c r="D638" s="181"/>
      <c r="E638" s="181"/>
      <c r="F638" s="181"/>
      <c r="G638" s="181"/>
      <c r="H638" s="181"/>
      <c r="I638" s="181"/>
      <c r="J638" s="181"/>
      <c r="K638" s="181"/>
      <c r="L638" s="181"/>
      <c r="M638" s="181"/>
      <c r="N638" s="181"/>
      <c r="O638" s="181"/>
      <c r="P638" s="181"/>
      <c r="Q638" s="181"/>
      <c r="R638" s="181"/>
      <c r="S638" s="181"/>
      <c r="T638" s="181"/>
      <c r="U638" s="181"/>
      <c r="V638" s="181"/>
      <c r="W638" s="181"/>
      <c r="X638" s="181"/>
      <c r="Y638" s="181"/>
      <c r="Z638" s="181"/>
    </row>
    <row r="639">
      <c r="A639" s="181"/>
      <c r="B639" s="181"/>
      <c r="C639" s="181"/>
      <c r="D639" s="181"/>
      <c r="E639" s="181"/>
      <c r="F639" s="181"/>
      <c r="G639" s="181"/>
      <c r="H639" s="181"/>
      <c r="I639" s="181"/>
      <c r="J639" s="181"/>
      <c r="K639" s="181"/>
      <c r="L639" s="181"/>
      <c r="M639" s="181"/>
      <c r="N639" s="181"/>
      <c r="O639" s="181"/>
      <c r="P639" s="181"/>
      <c r="Q639" s="181"/>
      <c r="R639" s="181"/>
      <c r="S639" s="181"/>
      <c r="T639" s="181"/>
      <c r="U639" s="181"/>
      <c r="V639" s="181"/>
      <c r="W639" s="181"/>
      <c r="X639" s="181"/>
      <c r="Y639" s="181"/>
      <c r="Z639" s="181"/>
    </row>
    <row r="640">
      <c r="A640" s="181"/>
      <c r="B640" s="181"/>
      <c r="C640" s="181"/>
      <c r="D640" s="181"/>
      <c r="E640" s="181"/>
      <c r="F640" s="181"/>
      <c r="G640" s="181"/>
      <c r="H640" s="181"/>
      <c r="I640" s="181"/>
      <c r="J640" s="181"/>
      <c r="K640" s="181"/>
      <c r="L640" s="181"/>
      <c r="M640" s="181"/>
      <c r="N640" s="181"/>
      <c r="O640" s="181"/>
      <c r="P640" s="181"/>
      <c r="Q640" s="181"/>
      <c r="R640" s="181"/>
      <c r="S640" s="181"/>
      <c r="T640" s="181"/>
      <c r="U640" s="181"/>
      <c r="V640" s="181"/>
      <c r="W640" s="181"/>
      <c r="X640" s="181"/>
      <c r="Y640" s="181"/>
      <c r="Z640" s="181"/>
    </row>
    <row r="641">
      <c r="A641" s="181"/>
      <c r="B641" s="181"/>
      <c r="C641" s="181"/>
      <c r="D641" s="181"/>
      <c r="E641" s="181"/>
      <c r="F641" s="181"/>
      <c r="G641" s="181"/>
      <c r="H641" s="181"/>
      <c r="I641" s="181"/>
      <c r="J641" s="181"/>
      <c r="K641" s="181"/>
      <c r="L641" s="181"/>
      <c r="M641" s="181"/>
      <c r="N641" s="181"/>
      <c r="O641" s="181"/>
      <c r="P641" s="181"/>
      <c r="Q641" s="181"/>
      <c r="R641" s="181"/>
      <c r="S641" s="181"/>
      <c r="T641" s="181"/>
      <c r="U641" s="181"/>
      <c r="V641" s="181"/>
      <c r="W641" s="181"/>
      <c r="X641" s="181"/>
      <c r="Y641" s="181"/>
      <c r="Z641" s="181"/>
    </row>
    <row r="642">
      <c r="A642" s="181"/>
      <c r="B642" s="181"/>
      <c r="C642" s="181"/>
      <c r="D642" s="181"/>
      <c r="E642" s="181"/>
      <c r="F642" s="181"/>
      <c r="G642" s="181"/>
      <c r="H642" s="181"/>
      <c r="I642" s="181"/>
      <c r="J642" s="181"/>
      <c r="K642" s="181"/>
      <c r="L642" s="181"/>
      <c r="M642" s="181"/>
      <c r="N642" s="181"/>
      <c r="O642" s="181"/>
      <c r="P642" s="181"/>
      <c r="Q642" s="181"/>
      <c r="R642" s="181"/>
      <c r="S642" s="181"/>
      <c r="T642" s="181"/>
      <c r="U642" s="181"/>
      <c r="V642" s="181"/>
      <c r="W642" s="181"/>
      <c r="X642" s="181"/>
      <c r="Y642" s="181"/>
      <c r="Z642" s="181"/>
    </row>
    <row r="643">
      <c r="A643" s="181"/>
      <c r="B643" s="181"/>
      <c r="C643" s="181"/>
      <c r="D643" s="181"/>
      <c r="E643" s="181"/>
      <c r="F643" s="181"/>
      <c r="G643" s="181"/>
      <c r="H643" s="181"/>
      <c r="I643" s="181"/>
      <c r="J643" s="181"/>
      <c r="K643" s="181"/>
      <c r="L643" s="181"/>
      <c r="M643" s="181"/>
      <c r="N643" s="181"/>
      <c r="O643" s="181"/>
      <c r="P643" s="181"/>
      <c r="Q643" s="181"/>
      <c r="R643" s="181"/>
      <c r="S643" s="181"/>
      <c r="T643" s="181"/>
      <c r="U643" s="181"/>
      <c r="V643" s="181"/>
      <c r="W643" s="181"/>
      <c r="X643" s="181"/>
      <c r="Y643" s="181"/>
      <c r="Z643" s="181"/>
    </row>
    <row r="644">
      <c r="A644" s="181"/>
      <c r="B644" s="181"/>
      <c r="C644" s="181"/>
      <c r="D644" s="181"/>
      <c r="E644" s="181"/>
      <c r="F644" s="181"/>
      <c r="G644" s="181"/>
      <c r="H644" s="181"/>
      <c r="I644" s="181"/>
      <c r="J644" s="181"/>
      <c r="K644" s="181"/>
      <c r="L644" s="181"/>
      <c r="M644" s="181"/>
      <c r="N644" s="181"/>
      <c r="O644" s="181"/>
      <c r="P644" s="181"/>
      <c r="Q644" s="181"/>
      <c r="R644" s="181"/>
      <c r="S644" s="181"/>
      <c r="T644" s="181"/>
      <c r="U644" s="181"/>
      <c r="V644" s="181"/>
      <c r="W644" s="181"/>
      <c r="X644" s="181"/>
      <c r="Y644" s="181"/>
      <c r="Z644" s="181"/>
    </row>
    <row r="645">
      <c r="A645" s="181"/>
      <c r="B645" s="181"/>
      <c r="C645" s="181"/>
      <c r="D645" s="181"/>
      <c r="E645" s="181"/>
      <c r="F645" s="181"/>
      <c r="G645" s="181"/>
      <c r="H645" s="181"/>
      <c r="I645" s="181"/>
      <c r="J645" s="181"/>
      <c r="K645" s="181"/>
      <c r="L645" s="181"/>
      <c r="M645" s="181"/>
      <c r="N645" s="181"/>
      <c r="O645" s="181"/>
      <c r="P645" s="181"/>
      <c r="Q645" s="181"/>
      <c r="R645" s="181"/>
      <c r="S645" s="181"/>
      <c r="T645" s="181"/>
      <c r="U645" s="181"/>
      <c r="V645" s="181"/>
      <c r="W645" s="181"/>
      <c r="X645" s="181"/>
      <c r="Y645" s="181"/>
      <c r="Z645" s="181"/>
    </row>
    <row r="646">
      <c r="A646" s="181"/>
      <c r="B646" s="181"/>
      <c r="C646" s="181"/>
      <c r="D646" s="181"/>
      <c r="E646" s="181"/>
      <c r="F646" s="181"/>
      <c r="G646" s="181"/>
      <c r="H646" s="181"/>
      <c r="I646" s="181"/>
      <c r="J646" s="181"/>
      <c r="K646" s="181"/>
      <c r="L646" s="181"/>
      <c r="M646" s="181"/>
      <c r="N646" s="181"/>
      <c r="O646" s="181"/>
      <c r="P646" s="181"/>
      <c r="Q646" s="181"/>
      <c r="R646" s="181"/>
      <c r="S646" s="181"/>
      <c r="T646" s="181"/>
      <c r="U646" s="181"/>
      <c r="V646" s="181"/>
      <c r="W646" s="181"/>
      <c r="X646" s="181"/>
      <c r="Y646" s="181"/>
      <c r="Z646" s="181"/>
    </row>
    <row r="647">
      <c r="A647" s="181"/>
      <c r="B647" s="181"/>
      <c r="C647" s="181"/>
      <c r="D647" s="181"/>
      <c r="E647" s="181"/>
      <c r="F647" s="181"/>
      <c r="G647" s="181"/>
      <c r="H647" s="181"/>
      <c r="I647" s="181"/>
      <c r="J647" s="181"/>
      <c r="K647" s="181"/>
      <c r="L647" s="181"/>
      <c r="M647" s="181"/>
      <c r="N647" s="181"/>
      <c r="O647" s="181"/>
      <c r="P647" s="181"/>
      <c r="Q647" s="181"/>
      <c r="R647" s="181"/>
      <c r="S647" s="181"/>
      <c r="T647" s="181"/>
      <c r="U647" s="181"/>
      <c r="V647" s="181"/>
      <c r="W647" s="181"/>
      <c r="X647" s="181"/>
      <c r="Y647" s="181"/>
      <c r="Z647" s="181"/>
    </row>
    <row r="648">
      <c r="A648" s="181"/>
      <c r="B648" s="181"/>
      <c r="C648" s="181"/>
      <c r="D648" s="181"/>
      <c r="E648" s="181"/>
      <c r="F648" s="181"/>
      <c r="G648" s="181"/>
      <c r="H648" s="181"/>
      <c r="I648" s="181"/>
      <c r="J648" s="181"/>
      <c r="K648" s="181"/>
      <c r="L648" s="181"/>
      <c r="M648" s="181"/>
      <c r="N648" s="181"/>
      <c r="O648" s="181"/>
      <c r="P648" s="181"/>
      <c r="Q648" s="181"/>
      <c r="R648" s="181"/>
      <c r="S648" s="181"/>
      <c r="T648" s="181"/>
      <c r="U648" s="181"/>
      <c r="V648" s="181"/>
      <c r="W648" s="181"/>
      <c r="X648" s="181"/>
      <c r="Y648" s="181"/>
      <c r="Z648" s="181"/>
    </row>
    <row r="649">
      <c r="A649" s="181"/>
      <c r="B649" s="181"/>
      <c r="C649" s="181"/>
      <c r="D649" s="181"/>
      <c r="E649" s="181"/>
      <c r="F649" s="181"/>
      <c r="G649" s="181"/>
      <c r="H649" s="181"/>
      <c r="I649" s="181"/>
      <c r="J649" s="181"/>
      <c r="K649" s="181"/>
      <c r="L649" s="181"/>
      <c r="M649" s="181"/>
      <c r="N649" s="181"/>
      <c r="O649" s="181"/>
      <c r="P649" s="181"/>
      <c r="Q649" s="181"/>
      <c r="R649" s="181"/>
      <c r="S649" s="181"/>
      <c r="T649" s="181"/>
      <c r="U649" s="181"/>
      <c r="V649" s="181"/>
      <c r="W649" s="181"/>
      <c r="X649" s="181"/>
      <c r="Y649" s="181"/>
      <c r="Z649" s="181"/>
    </row>
    <row r="650">
      <c r="A650" s="181"/>
      <c r="B650" s="181"/>
      <c r="C650" s="181"/>
      <c r="D650" s="181"/>
      <c r="E650" s="181"/>
      <c r="F650" s="181"/>
      <c r="G650" s="181"/>
      <c r="H650" s="181"/>
      <c r="I650" s="181"/>
      <c r="J650" s="181"/>
      <c r="K650" s="181"/>
      <c r="L650" s="181"/>
      <c r="M650" s="181"/>
      <c r="N650" s="181"/>
      <c r="O650" s="181"/>
      <c r="P650" s="181"/>
      <c r="Q650" s="181"/>
      <c r="R650" s="181"/>
      <c r="S650" s="181"/>
      <c r="T650" s="181"/>
      <c r="U650" s="181"/>
      <c r="V650" s="181"/>
      <c r="W650" s="181"/>
      <c r="X650" s="181"/>
      <c r="Y650" s="181"/>
      <c r="Z650" s="181"/>
    </row>
    <row r="651">
      <c r="A651" s="181"/>
      <c r="B651" s="181"/>
      <c r="C651" s="181"/>
      <c r="D651" s="181"/>
      <c r="E651" s="181"/>
      <c r="F651" s="181"/>
      <c r="G651" s="181"/>
      <c r="H651" s="181"/>
      <c r="I651" s="181"/>
      <c r="J651" s="181"/>
      <c r="K651" s="181"/>
      <c r="L651" s="181"/>
      <c r="M651" s="181"/>
      <c r="N651" s="181"/>
      <c r="O651" s="181"/>
      <c r="P651" s="181"/>
      <c r="Q651" s="181"/>
      <c r="R651" s="181"/>
      <c r="S651" s="181"/>
      <c r="T651" s="181"/>
      <c r="U651" s="181"/>
      <c r="V651" s="181"/>
      <c r="W651" s="181"/>
      <c r="X651" s="181"/>
      <c r="Y651" s="181"/>
      <c r="Z651" s="181"/>
    </row>
    <row r="652">
      <c r="A652" s="181"/>
      <c r="B652" s="181"/>
      <c r="C652" s="181"/>
      <c r="D652" s="181"/>
      <c r="E652" s="181"/>
      <c r="F652" s="181"/>
      <c r="G652" s="181"/>
      <c r="H652" s="181"/>
      <c r="I652" s="181"/>
      <c r="J652" s="181"/>
      <c r="K652" s="181"/>
      <c r="L652" s="181"/>
      <c r="M652" s="181"/>
      <c r="N652" s="181"/>
      <c r="O652" s="181"/>
      <c r="P652" s="181"/>
      <c r="Q652" s="181"/>
      <c r="R652" s="181"/>
      <c r="S652" s="181"/>
      <c r="T652" s="181"/>
      <c r="U652" s="181"/>
      <c r="V652" s="181"/>
      <c r="W652" s="181"/>
      <c r="X652" s="181"/>
      <c r="Y652" s="181"/>
      <c r="Z652" s="181"/>
    </row>
    <row r="653">
      <c r="A653" s="181"/>
      <c r="B653" s="181"/>
      <c r="C653" s="181"/>
      <c r="D653" s="181"/>
      <c r="E653" s="181"/>
      <c r="F653" s="181"/>
      <c r="G653" s="181"/>
      <c r="H653" s="181"/>
      <c r="I653" s="181"/>
      <c r="J653" s="181"/>
      <c r="K653" s="181"/>
      <c r="L653" s="181"/>
      <c r="M653" s="181"/>
      <c r="N653" s="181"/>
      <c r="O653" s="181"/>
      <c r="P653" s="181"/>
      <c r="Q653" s="181"/>
      <c r="R653" s="181"/>
      <c r="S653" s="181"/>
      <c r="T653" s="181"/>
      <c r="U653" s="181"/>
      <c r="V653" s="181"/>
      <c r="W653" s="181"/>
      <c r="X653" s="181"/>
      <c r="Y653" s="181"/>
      <c r="Z653" s="181"/>
    </row>
    <row r="654">
      <c r="A654" s="181"/>
      <c r="B654" s="181"/>
      <c r="C654" s="181"/>
      <c r="D654" s="181"/>
      <c r="E654" s="181"/>
      <c r="F654" s="181"/>
      <c r="G654" s="181"/>
      <c r="H654" s="181"/>
      <c r="I654" s="181"/>
      <c r="J654" s="181"/>
      <c r="K654" s="181"/>
      <c r="L654" s="181"/>
      <c r="M654" s="181"/>
      <c r="N654" s="181"/>
      <c r="O654" s="181"/>
      <c r="P654" s="181"/>
      <c r="Q654" s="181"/>
      <c r="R654" s="181"/>
      <c r="S654" s="181"/>
      <c r="T654" s="181"/>
      <c r="U654" s="181"/>
      <c r="V654" s="181"/>
      <c r="W654" s="181"/>
      <c r="X654" s="181"/>
      <c r="Y654" s="181"/>
      <c r="Z654" s="181"/>
    </row>
    <row r="655">
      <c r="A655" s="181"/>
      <c r="B655" s="181"/>
      <c r="C655" s="181"/>
      <c r="D655" s="181"/>
      <c r="E655" s="181"/>
      <c r="F655" s="181"/>
      <c r="G655" s="181"/>
      <c r="H655" s="181"/>
      <c r="I655" s="181"/>
      <c r="J655" s="181"/>
      <c r="K655" s="181"/>
      <c r="L655" s="181"/>
      <c r="M655" s="181"/>
      <c r="N655" s="181"/>
      <c r="O655" s="181"/>
      <c r="P655" s="181"/>
      <c r="Q655" s="181"/>
      <c r="R655" s="181"/>
      <c r="S655" s="181"/>
      <c r="T655" s="181"/>
      <c r="U655" s="181"/>
      <c r="V655" s="181"/>
      <c r="W655" s="181"/>
      <c r="X655" s="181"/>
      <c r="Y655" s="181"/>
      <c r="Z655" s="181"/>
    </row>
    <row r="656">
      <c r="A656" s="181"/>
      <c r="B656" s="181"/>
      <c r="C656" s="181"/>
      <c r="D656" s="181"/>
      <c r="E656" s="181"/>
      <c r="F656" s="181"/>
      <c r="G656" s="181"/>
      <c r="H656" s="181"/>
      <c r="I656" s="181"/>
      <c r="J656" s="181"/>
      <c r="K656" s="181"/>
      <c r="L656" s="181"/>
      <c r="M656" s="181"/>
      <c r="N656" s="181"/>
      <c r="O656" s="181"/>
      <c r="P656" s="181"/>
      <c r="Q656" s="181"/>
      <c r="R656" s="181"/>
      <c r="S656" s="181"/>
      <c r="T656" s="181"/>
      <c r="U656" s="181"/>
      <c r="V656" s="181"/>
      <c r="W656" s="181"/>
      <c r="X656" s="181"/>
      <c r="Y656" s="181"/>
      <c r="Z656" s="181"/>
    </row>
    <row r="657">
      <c r="A657" s="181"/>
      <c r="B657" s="181"/>
      <c r="C657" s="181"/>
      <c r="D657" s="181"/>
      <c r="E657" s="181"/>
      <c r="F657" s="181"/>
      <c r="G657" s="181"/>
      <c r="H657" s="181"/>
      <c r="I657" s="181"/>
      <c r="J657" s="181"/>
      <c r="K657" s="181"/>
      <c r="L657" s="181"/>
      <c r="M657" s="181"/>
      <c r="N657" s="181"/>
      <c r="O657" s="181"/>
      <c r="P657" s="181"/>
      <c r="Q657" s="181"/>
      <c r="R657" s="181"/>
      <c r="S657" s="181"/>
      <c r="T657" s="181"/>
      <c r="U657" s="181"/>
      <c r="V657" s="181"/>
      <c r="W657" s="181"/>
      <c r="X657" s="181"/>
      <c r="Y657" s="181"/>
      <c r="Z657" s="181"/>
    </row>
    <row r="658">
      <c r="A658" s="181"/>
      <c r="B658" s="181"/>
      <c r="C658" s="181"/>
      <c r="D658" s="181"/>
      <c r="E658" s="181"/>
      <c r="F658" s="181"/>
      <c r="G658" s="181"/>
      <c r="H658" s="181"/>
      <c r="I658" s="181"/>
      <c r="J658" s="181"/>
      <c r="K658" s="181"/>
      <c r="L658" s="181"/>
      <c r="M658" s="181"/>
      <c r="N658" s="181"/>
      <c r="O658" s="181"/>
      <c r="P658" s="181"/>
      <c r="Q658" s="181"/>
      <c r="R658" s="181"/>
      <c r="S658" s="181"/>
      <c r="T658" s="181"/>
      <c r="U658" s="181"/>
      <c r="V658" s="181"/>
      <c r="W658" s="181"/>
      <c r="X658" s="181"/>
      <c r="Y658" s="181"/>
      <c r="Z658" s="181"/>
    </row>
    <row r="659">
      <c r="A659" s="181"/>
      <c r="B659" s="181"/>
      <c r="C659" s="181"/>
      <c r="D659" s="181"/>
      <c r="E659" s="181"/>
      <c r="F659" s="181"/>
      <c r="G659" s="181"/>
      <c r="H659" s="181"/>
      <c r="I659" s="181"/>
      <c r="J659" s="181"/>
      <c r="K659" s="181"/>
      <c r="L659" s="181"/>
      <c r="M659" s="181"/>
      <c r="N659" s="181"/>
      <c r="O659" s="181"/>
      <c r="P659" s="181"/>
      <c r="Q659" s="181"/>
      <c r="R659" s="181"/>
      <c r="S659" s="181"/>
      <c r="T659" s="181"/>
      <c r="U659" s="181"/>
      <c r="V659" s="181"/>
      <c r="W659" s="181"/>
      <c r="X659" s="181"/>
      <c r="Y659" s="181"/>
      <c r="Z659" s="181"/>
    </row>
    <row r="660">
      <c r="A660" s="181"/>
      <c r="B660" s="181"/>
      <c r="C660" s="181"/>
      <c r="D660" s="181"/>
      <c r="E660" s="181"/>
      <c r="F660" s="181"/>
      <c r="G660" s="181"/>
      <c r="H660" s="181"/>
      <c r="I660" s="181"/>
      <c r="J660" s="181"/>
      <c r="K660" s="181"/>
      <c r="L660" s="181"/>
      <c r="M660" s="181"/>
      <c r="N660" s="181"/>
      <c r="O660" s="181"/>
      <c r="P660" s="181"/>
      <c r="Q660" s="181"/>
      <c r="R660" s="181"/>
      <c r="S660" s="181"/>
      <c r="T660" s="181"/>
      <c r="U660" s="181"/>
      <c r="V660" s="181"/>
      <c r="W660" s="181"/>
      <c r="X660" s="181"/>
      <c r="Y660" s="181"/>
      <c r="Z660" s="181"/>
    </row>
    <row r="661">
      <c r="A661" s="181"/>
      <c r="B661" s="181"/>
      <c r="C661" s="181"/>
      <c r="D661" s="181"/>
      <c r="E661" s="181"/>
      <c r="F661" s="181"/>
      <c r="G661" s="181"/>
      <c r="H661" s="181"/>
      <c r="I661" s="181"/>
      <c r="J661" s="181"/>
      <c r="K661" s="181"/>
      <c r="L661" s="181"/>
      <c r="M661" s="181"/>
      <c r="N661" s="181"/>
      <c r="O661" s="181"/>
      <c r="P661" s="181"/>
      <c r="Q661" s="181"/>
      <c r="R661" s="181"/>
      <c r="S661" s="181"/>
      <c r="T661" s="181"/>
      <c r="U661" s="181"/>
      <c r="V661" s="181"/>
      <c r="W661" s="181"/>
      <c r="X661" s="181"/>
      <c r="Y661" s="181"/>
      <c r="Z661" s="181"/>
    </row>
    <row r="662">
      <c r="A662" s="181"/>
      <c r="B662" s="181"/>
      <c r="C662" s="181"/>
      <c r="D662" s="181"/>
      <c r="E662" s="181"/>
      <c r="F662" s="181"/>
      <c r="G662" s="181"/>
      <c r="H662" s="181"/>
      <c r="I662" s="181"/>
      <c r="J662" s="181"/>
      <c r="K662" s="181"/>
      <c r="L662" s="181"/>
      <c r="M662" s="181"/>
      <c r="N662" s="181"/>
      <c r="O662" s="181"/>
      <c r="P662" s="181"/>
      <c r="Q662" s="181"/>
      <c r="R662" s="181"/>
      <c r="S662" s="181"/>
      <c r="T662" s="181"/>
      <c r="U662" s="181"/>
      <c r="V662" s="181"/>
      <c r="W662" s="181"/>
      <c r="X662" s="181"/>
      <c r="Y662" s="181"/>
      <c r="Z662" s="181"/>
    </row>
    <row r="663">
      <c r="A663" s="181"/>
      <c r="B663" s="181"/>
      <c r="C663" s="181"/>
      <c r="D663" s="181"/>
      <c r="E663" s="181"/>
      <c r="F663" s="181"/>
      <c r="G663" s="181"/>
      <c r="H663" s="181"/>
      <c r="I663" s="181"/>
      <c r="J663" s="181"/>
      <c r="K663" s="181"/>
      <c r="L663" s="181"/>
      <c r="M663" s="181"/>
      <c r="N663" s="181"/>
      <c r="O663" s="181"/>
      <c r="P663" s="181"/>
      <c r="Q663" s="181"/>
      <c r="R663" s="181"/>
      <c r="S663" s="181"/>
      <c r="T663" s="181"/>
      <c r="U663" s="181"/>
      <c r="V663" s="181"/>
      <c r="W663" s="181"/>
      <c r="X663" s="181"/>
      <c r="Y663" s="181"/>
      <c r="Z663" s="181"/>
    </row>
    <row r="664">
      <c r="A664" s="181"/>
      <c r="B664" s="181"/>
      <c r="C664" s="181"/>
      <c r="D664" s="181"/>
      <c r="E664" s="181"/>
      <c r="F664" s="181"/>
      <c r="G664" s="181"/>
      <c r="H664" s="181"/>
      <c r="I664" s="181"/>
      <c r="J664" s="181"/>
      <c r="K664" s="181"/>
      <c r="L664" s="181"/>
      <c r="M664" s="181"/>
      <c r="N664" s="181"/>
      <c r="O664" s="181"/>
      <c r="P664" s="181"/>
      <c r="Q664" s="181"/>
      <c r="R664" s="181"/>
      <c r="S664" s="181"/>
      <c r="T664" s="181"/>
      <c r="U664" s="181"/>
      <c r="V664" s="181"/>
      <c r="W664" s="181"/>
      <c r="X664" s="181"/>
      <c r="Y664" s="181"/>
      <c r="Z664" s="181"/>
    </row>
    <row r="665">
      <c r="A665" s="181"/>
      <c r="B665" s="181"/>
      <c r="C665" s="181"/>
      <c r="D665" s="181"/>
      <c r="E665" s="181"/>
      <c r="F665" s="181"/>
      <c r="G665" s="181"/>
      <c r="H665" s="181"/>
      <c r="I665" s="181"/>
      <c r="J665" s="181"/>
      <c r="K665" s="181"/>
      <c r="L665" s="181"/>
      <c r="M665" s="181"/>
      <c r="N665" s="181"/>
      <c r="O665" s="181"/>
      <c r="P665" s="181"/>
      <c r="Q665" s="181"/>
      <c r="R665" s="181"/>
      <c r="S665" s="181"/>
      <c r="T665" s="181"/>
      <c r="U665" s="181"/>
      <c r="V665" s="181"/>
      <c r="W665" s="181"/>
      <c r="X665" s="181"/>
      <c r="Y665" s="181"/>
      <c r="Z665" s="181"/>
    </row>
    <row r="666">
      <c r="A666" s="181"/>
      <c r="B666" s="181"/>
      <c r="C666" s="181"/>
      <c r="D666" s="181"/>
      <c r="E666" s="181"/>
      <c r="F666" s="181"/>
      <c r="G666" s="181"/>
      <c r="H666" s="181"/>
      <c r="I666" s="181"/>
      <c r="J666" s="181"/>
      <c r="K666" s="181"/>
      <c r="L666" s="181"/>
      <c r="M666" s="181"/>
      <c r="N666" s="181"/>
      <c r="O666" s="181"/>
      <c r="P666" s="181"/>
      <c r="Q666" s="181"/>
      <c r="R666" s="181"/>
      <c r="S666" s="181"/>
      <c r="T666" s="181"/>
      <c r="U666" s="181"/>
      <c r="V666" s="181"/>
      <c r="W666" s="181"/>
      <c r="X666" s="181"/>
      <c r="Y666" s="181"/>
      <c r="Z666" s="181"/>
    </row>
    <row r="667">
      <c r="A667" s="181"/>
      <c r="B667" s="181"/>
      <c r="C667" s="181"/>
      <c r="D667" s="181"/>
      <c r="E667" s="181"/>
      <c r="F667" s="181"/>
      <c r="G667" s="181"/>
      <c r="H667" s="181"/>
      <c r="I667" s="181"/>
      <c r="J667" s="181"/>
      <c r="K667" s="181"/>
      <c r="L667" s="181"/>
      <c r="M667" s="181"/>
      <c r="N667" s="181"/>
      <c r="O667" s="181"/>
      <c r="P667" s="181"/>
      <c r="Q667" s="181"/>
      <c r="R667" s="181"/>
      <c r="S667" s="181"/>
      <c r="T667" s="181"/>
      <c r="U667" s="181"/>
      <c r="V667" s="181"/>
      <c r="W667" s="181"/>
      <c r="X667" s="181"/>
      <c r="Y667" s="181"/>
      <c r="Z667" s="181"/>
    </row>
    <row r="668">
      <c r="A668" s="181"/>
      <c r="B668" s="181"/>
      <c r="C668" s="181"/>
      <c r="D668" s="181"/>
      <c r="E668" s="181"/>
      <c r="F668" s="181"/>
      <c r="G668" s="181"/>
      <c r="H668" s="181"/>
      <c r="I668" s="181"/>
      <c r="J668" s="181"/>
      <c r="K668" s="181"/>
      <c r="L668" s="181"/>
      <c r="M668" s="181"/>
      <c r="N668" s="181"/>
      <c r="O668" s="181"/>
      <c r="P668" s="181"/>
      <c r="Q668" s="181"/>
      <c r="R668" s="181"/>
      <c r="S668" s="181"/>
      <c r="T668" s="181"/>
      <c r="U668" s="181"/>
      <c r="V668" s="181"/>
      <c r="W668" s="181"/>
      <c r="X668" s="181"/>
      <c r="Y668" s="181"/>
      <c r="Z668" s="181"/>
    </row>
    <row r="669">
      <c r="A669" s="181"/>
      <c r="B669" s="181"/>
      <c r="C669" s="181"/>
      <c r="D669" s="181"/>
      <c r="E669" s="181"/>
      <c r="F669" s="181"/>
      <c r="G669" s="181"/>
      <c r="H669" s="181"/>
      <c r="I669" s="181"/>
      <c r="J669" s="181"/>
      <c r="K669" s="181"/>
      <c r="L669" s="181"/>
      <c r="M669" s="181"/>
      <c r="N669" s="181"/>
      <c r="O669" s="181"/>
      <c r="P669" s="181"/>
      <c r="Q669" s="181"/>
      <c r="R669" s="181"/>
      <c r="S669" s="181"/>
      <c r="T669" s="181"/>
      <c r="U669" s="181"/>
      <c r="V669" s="181"/>
      <c r="W669" s="181"/>
      <c r="X669" s="181"/>
      <c r="Y669" s="181"/>
      <c r="Z669" s="181"/>
    </row>
    <row r="670">
      <c r="A670" s="181"/>
      <c r="B670" s="181"/>
      <c r="C670" s="181"/>
      <c r="D670" s="181"/>
      <c r="E670" s="181"/>
      <c r="F670" s="181"/>
      <c r="G670" s="181"/>
      <c r="H670" s="181"/>
      <c r="I670" s="181"/>
      <c r="J670" s="181"/>
      <c r="K670" s="181"/>
      <c r="L670" s="181"/>
      <c r="M670" s="181"/>
      <c r="N670" s="181"/>
      <c r="O670" s="181"/>
      <c r="P670" s="181"/>
      <c r="Q670" s="181"/>
      <c r="R670" s="181"/>
      <c r="S670" s="181"/>
      <c r="T670" s="181"/>
      <c r="U670" s="181"/>
      <c r="V670" s="181"/>
      <c r="W670" s="181"/>
      <c r="X670" s="181"/>
      <c r="Y670" s="181"/>
      <c r="Z670" s="181"/>
    </row>
    <row r="671">
      <c r="A671" s="181"/>
      <c r="B671" s="181"/>
      <c r="C671" s="181"/>
      <c r="D671" s="181"/>
      <c r="E671" s="181"/>
      <c r="F671" s="181"/>
      <c r="G671" s="181"/>
      <c r="H671" s="181"/>
      <c r="I671" s="181"/>
      <c r="J671" s="181"/>
      <c r="K671" s="181"/>
      <c r="L671" s="181"/>
      <c r="M671" s="181"/>
      <c r="N671" s="181"/>
      <c r="O671" s="181"/>
      <c r="P671" s="181"/>
      <c r="Q671" s="181"/>
      <c r="R671" s="181"/>
      <c r="S671" s="181"/>
      <c r="T671" s="181"/>
      <c r="U671" s="181"/>
      <c r="V671" s="181"/>
      <c r="W671" s="181"/>
      <c r="X671" s="181"/>
      <c r="Y671" s="181"/>
      <c r="Z671" s="181"/>
    </row>
    <row r="672">
      <c r="A672" s="181"/>
      <c r="B672" s="181"/>
      <c r="C672" s="181"/>
      <c r="D672" s="181"/>
      <c r="E672" s="181"/>
      <c r="F672" s="181"/>
      <c r="G672" s="181"/>
      <c r="H672" s="181"/>
      <c r="I672" s="181"/>
      <c r="J672" s="181"/>
      <c r="K672" s="181"/>
      <c r="L672" s="181"/>
      <c r="M672" s="181"/>
      <c r="N672" s="181"/>
      <c r="O672" s="181"/>
      <c r="P672" s="181"/>
      <c r="Q672" s="181"/>
      <c r="R672" s="181"/>
      <c r="S672" s="181"/>
      <c r="T672" s="181"/>
      <c r="U672" s="181"/>
      <c r="V672" s="181"/>
      <c r="W672" s="181"/>
      <c r="X672" s="181"/>
      <c r="Y672" s="181"/>
      <c r="Z672" s="181"/>
    </row>
    <row r="673">
      <c r="A673" s="181"/>
      <c r="B673" s="181"/>
      <c r="C673" s="181"/>
      <c r="D673" s="181"/>
      <c r="E673" s="181"/>
      <c r="F673" s="181"/>
      <c r="G673" s="181"/>
      <c r="H673" s="181"/>
      <c r="I673" s="181"/>
      <c r="J673" s="181"/>
      <c r="K673" s="181"/>
      <c r="L673" s="181"/>
      <c r="M673" s="181"/>
      <c r="N673" s="181"/>
      <c r="O673" s="181"/>
      <c r="P673" s="181"/>
      <c r="Q673" s="181"/>
      <c r="R673" s="181"/>
      <c r="S673" s="181"/>
      <c r="T673" s="181"/>
      <c r="U673" s="181"/>
      <c r="V673" s="181"/>
      <c r="W673" s="181"/>
      <c r="X673" s="181"/>
      <c r="Y673" s="181"/>
      <c r="Z673" s="181"/>
    </row>
    <row r="674">
      <c r="A674" s="181"/>
      <c r="B674" s="181"/>
      <c r="C674" s="181"/>
      <c r="D674" s="181"/>
      <c r="E674" s="181"/>
      <c r="F674" s="181"/>
      <c r="G674" s="181"/>
      <c r="H674" s="181"/>
      <c r="I674" s="181"/>
      <c r="J674" s="181"/>
      <c r="K674" s="181"/>
      <c r="L674" s="181"/>
      <c r="M674" s="181"/>
      <c r="N674" s="181"/>
      <c r="O674" s="181"/>
      <c r="P674" s="181"/>
      <c r="Q674" s="181"/>
      <c r="R674" s="181"/>
      <c r="S674" s="181"/>
      <c r="T674" s="181"/>
      <c r="U674" s="181"/>
      <c r="V674" s="181"/>
      <c r="W674" s="181"/>
      <c r="X674" s="181"/>
      <c r="Y674" s="181"/>
      <c r="Z674" s="181"/>
    </row>
    <row r="675">
      <c r="A675" s="181"/>
      <c r="B675" s="181"/>
      <c r="C675" s="181"/>
      <c r="D675" s="181"/>
      <c r="E675" s="181"/>
      <c r="F675" s="181"/>
      <c r="G675" s="181"/>
      <c r="H675" s="181"/>
      <c r="I675" s="181"/>
      <c r="J675" s="181"/>
      <c r="K675" s="181"/>
      <c r="L675" s="181"/>
      <c r="M675" s="181"/>
      <c r="N675" s="181"/>
      <c r="O675" s="181"/>
      <c r="P675" s="181"/>
      <c r="Q675" s="181"/>
      <c r="R675" s="181"/>
      <c r="S675" s="181"/>
      <c r="T675" s="181"/>
      <c r="U675" s="181"/>
      <c r="V675" s="181"/>
      <c r="W675" s="181"/>
      <c r="X675" s="181"/>
      <c r="Y675" s="181"/>
      <c r="Z675" s="181"/>
    </row>
    <row r="676">
      <c r="A676" s="181"/>
      <c r="B676" s="181"/>
      <c r="C676" s="181"/>
      <c r="D676" s="181"/>
      <c r="E676" s="181"/>
      <c r="F676" s="181"/>
      <c r="G676" s="181"/>
      <c r="H676" s="181"/>
      <c r="I676" s="181"/>
      <c r="J676" s="181"/>
      <c r="K676" s="181"/>
      <c r="L676" s="181"/>
      <c r="M676" s="181"/>
      <c r="N676" s="181"/>
      <c r="O676" s="181"/>
      <c r="P676" s="181"/>
      <c r="Q676" s="181"/>
      <c r="R676" s="181"/>
      <c r="S676" s="181"/>
      <c r="T676" s="181"/>
      <c r="U676" s="181"/>
      <c r="V676" s="181"/>
      <c r="W676" s="181"/>
      <c r="X676" s="181"/>
      <c r="Y676" s="181"/>
      <c r="Z676" s="181"/>
    </row>
    <row r="677">
      <c r="A677" s="181"/>
      <c r="B677" s="181"/>
      <c r="C677" s="181"/>
      <c r="D677" s="181"/>
      <c r="E677" s="181"/>
      <c r="F677" s="181"/>
      <c r="G677" s="181"/>
      <c r="H677" s="181"/>
      <c r="I677" s="181"/>
      <c r="J677" s="181"/>
      <c r="K677" s="181"/>
      <c r="L677" s="181"/>
      <c r="M677" s="181"/>
      <c r="N677" s="181"/>
      <c r="O677" s="181"/>
      <c r="P677" s="181"/>
      <c r="Q677" s="181"/>
      <c r="R677" s="181"/>
      <c r="S677" s="181"/>
      <c r="T677" s="181"/>
      <c r="U677" s="181"/>
      <c r="V677" s="181"/>
      <c r="W677" s="181"/>
      <c r="X677" s="181"/>
      <c r="Y677" s="181"/>
      <c r="Z677" s="181"/>
    </row>
    <row r="678">
      <c r="A678" s="181"/>
      <c r="B678" s="181"/>
      <c r="C678" s="181"/>
      <c r="D678" s="181"/>
      <c r="E678" s="181"/>
      <c r="F678" s="181"/>
      <c r="G678" s="181"/>
      <c r="H678" s="181"/>
      <c r="I678" s="181"/>
      <c r="J678" s="181"/>
      <c r="K678" s="181"/>
      <c r="L678" s="181"/>
      <c r="M678" s="181"/>
      <c r="N678" s="181"/>
      <c r="O678" s="181"/>
      <c r="P678" s="181"/>
      <c r="Q678" s="181"/>
      <c r="R678" s="181"/>
      <c r="S678" s="181"/>
      <c r="T678" s="181"/>
      <c r="U678" s="181"/>
      <c r="V678" s="181"/>
      <c r="W678" s="181"/>
      <c r="X678" s="181"/>
      <c r="Y678" s="181"/>
      <c r="Z678" s="181"/>
    </row>
    <row r="679">
      <c r="A679" s="181"/>
      <c r="B679" s="181"/>
      <c r="C679" s="181"/>
      <c r="D679" s="181"/>
      <c r="E679" s="181"/>
      <c r="F679" s="181"/>
      <c r="G679" s="181"/>
      <c r="H679" s="181"/>
      <c r="I679" s="181"/>
      <c r="J679" s="181"/>
      <c r="K679" s="181"/>
      <c r="L679" s="181"/>
      <c r="M679" s="181"/>
      <c r="N679" s="181"/>
      <c r="O679" s="181"/>
      <c r="P679" s="181"/>
      <c r="Q679" s="181"/>
      <c r="R679" s="181"/>
      <c r="S679" s="181"/>
      <c r="T679" s="181"/>
      <c r="U679" s="181"/>
      <c r="V679" s="181"/>
      <c r="W679" s="181"/>
      <c r="X679" s="181"/>
      <c r="Y679" s="181"/>
      <c r="Z679" s="181"/>
    </row>
    <row r="680">
      <c r="A680" s="181"/>
      <c r="B680" s="181"/>
      <c r="C680" s="181"/>
      <c r="D680" s="181"/>
      <c r="E680" s="181"/>
      <c r="F680" s="181"/>
      <c r="G680" s="181"/>
      <c r="H680" s="181"/>
      <c r="I680" s="181"/>
      <c r="J680" s="181"/>
      <c r="K680" s="181"/>
      <c r="L680" s="181"/>
      <c r="M680" s="181"/>
      <c r="N680" s="181"/>
      <c r="O680" s="181"/>
      <c r="P680" s="181"/>
      <c r="Q680" s="181"/>
      <c r="R680" s="181"/>
      <c r="S680" s="181"/>
      <c r="T680" s="181"/>
      <c r="U680" s="181"/>
      <c r="V680" s="181"/>
      <c r="W680" s="181"/>
      <c r="X680" s="181"/>
      <c r="Y680" s="181"/>
      <c r="Z680" s="181"/>
    </row>
    <row r="681">
      <c r="A681" s="181"/>
      <c r="B681" s="181"/>
      <c r="C681" s="181"/>
      <c r="D681" s="181"/>
      <c r="E681" s="181"/>
      <c r="F681" s="181"/>
      <c r="G681" s="181"/>
      <c r="H681" s="181"/>
      <c r="I681" s="181"/>
      <c r="J681" s="181"/>
      <c r="K681" s="181"/>
      <c r="L681" s="181"/>
      <c r="M681" s="181"/>
      <c r="N681" s="181"/>
      <c r="O681" s="181"/>
      <c r="P681" s="181"/>
      <c r="Q681" s="181"/>
      <c r="R681" s="181"/>
      <c r="S681" s="181"/>
      <c r="T681" s="181"/>
      <c r="U681" s="181"/>
      <c r="V681" s="181"/>
      <c r="W681" s="181"/>
      <c r="X681" s="181"/>
      <c r="Y681" s="181"/>
      <c r="Z681" s="181"/>
    </row>
    <row r="682">
      <c r="A682" s="181"/>
      <c r="B682" s="181"/>
      <c r="C682" s="181"/>
      <c r="D682" s="181"/>
      <c r="E682" s="181"/>
      <c r="F682" s="181"/>
      <c r="G682" s="181"/>
      <c r="H682" s="181"/>
      <c r="I682" s="181"/>
      <c r="J682" s="181"/>
      <c r="K682" s="181"/>
      <c r="L682" s="181"/>
      <c r="M682" s="181"/>
      <c r="N682" s="181"/>
      <c r="O682" s="181"/>
      <c r="P682" s="181"/>
      <c r="Q682" s="181"/>
      <c r="R682" s="181"/>
      <c r="S682" s="181"/>
      <c r="T682" s="181"/>
      <c r="U682" s="181"/>
      <c r="V682" s="181"/>
      <c r="W682" s="181"/>
      <c r="X682" s="181"/>
      <c r="Y682" s="181"/>
      <c r="Z682" s="181"/>
    </row>
    <row r="683">
      <c r="A683" s="181"/>
      <c r="B683" s="181"/>
      <c r="C683" s="181"/>
      <c r="D683" s="181"/>
      <c r="E683" s="181"/>
      <c r="F683" s="181"/>
      <c r="G683" s="181"/>
      <c r="H683" s="181"/>
      <c r="I683" s="181"/>
      <c r="J683" s="181"/>
      <c r="K683" s="181"/>
      <c r="L683" s="181"/>
      <c r="M683" s="181"/>
      <c r="N683" s="181"/>
      <c r="O683" s="181"/>
      <c r="P683" s="181"/>
      <c r="Q683" s="181"/>
      <c r="R683" s="181"/>
      <c r="S683" s="181"/>
      <c r="T683" s="181"/>
      <c r="U683" s="181"/>
      <c r="V683" s="181"/>
      <c r="W683" s="181"/>
      <c r="X683" s="181"/>
      <c r="Y683" s="181"/>
      <c r="Z683" s="181"/>
    </row>
    <row r="684">
      <c r="A684" s="181"/>
      <c r="B684" s="181"/>
      <c r="C684" s="181"/>
      <c r="D684" s="181"/>
      <c r="E684" s="181"/>
      <c r="F684" s="181"/>
      <c r="G684" s="181"/>
      <c r="H684" s="181"/>
      <c r="I684" s="181"/>
      <c r="J684" s="181"/>
      <c r="K684" s="181"/>
      <c r="L684" s="181"/>
      <c r="M684" s="181"/>
      <c r="N684" s="181"/>
      <c r="O684" s="181"/>
      <c r="P684" s="181"/>
      <c r="Q684" s="181"/>
      <c r="R684" s="181"/>
      <c r="S684" s="181"/>
      <c r="T684" s="181"/>
      <c r="U684" s="181"/>
      <c r="V684" s="181"/>
      <c r="W684" s="181"/>
      <c r="X684" s="181"/>
      <c r="Y684" s="181"/>
      <c r="Z684" s="181"/>
    </row>
    <row r="685">
      <c r="A685" s="181"/>
      <c r="B685" s="181"/>
      <c r="C685" s="181"/>
      <c r="D685" s="181"/>
      <c r="E685" s="181"/>
      <c r="F685" s="181"/>
      <c r="G685" s="181"/>
      <c r="H685" s="181"/>
      <c r="I685" s="181"/>
      <c r="J685" s="181"/>
      <c r="K685" s="181"/>
      <c r="L685" s="181"/>
      <c r="M685" s="181"/>
      <c r="N685" s="181"/>
      <c r="O685" s="181"/>
      <c r="P685" s="181"/>
      <c r="Q685" s="181"/>
      <c r="R685" s="181"/>
      <c r="S685" s="181"/>
      <c r="T685" s="181"/>
      <c r="U685" s="181"/>
      <c r="V685" s="181"/>
      <c r="W685" s="181"/>
      <c r="X685" s="181"/>
      <c r="Y685" s="181"/>
      <c r="Z685" s="181"/>
    </row>
    <row r="686">
      <c r="A686" s="181"/>
      <c r="B686" s="181"/>
      <c r="C686" s="181"/>
      <c r="D686" s="181"/>
      <c r="E686" s="181"/>
      <c r="F686" s="181"/>
      <c r="G686" s="181"/>
      <c r="H686" s="181"/>
      <c r="I686" s="181"/>
      <c r="J686" s="181"/>
      <c r="K686" s="181"/>
      <c r="L686" s="181"/>
      <c r="M686" s="181"/>
      <c r="N686" s="181"/>
      <c r="O686" s="181"/>
      <c r="P686" s="181"/>
      <c r="Q686" s="181"/>
      <c r="R686" s="181"/>
      <c r="S686" s="181"/>
      <c r="T686" s="181"/>
      <c r="U686" s="181"/>
      <c r="V686" s="181"/>
      <c r="W686" s="181"/>
      <c r="X686" s="181"/>
      <c r="Y686" s="181"/>
      <c r="Z686" s="181"/>
    </row>
    <row r="687">
      <c r="A687" s="181"/>
      <c r="B687" s="181"/>
      <c r="C687" s="181"/>
      <c r="D687" s="181"/>
      <c r="E687" s="181"/>
      <c r="F687" s="181"/>
      <c r="G687" s="181"/>
      <c r="H687" s="181"/>
      <c r="I687" s="181"/>
      <c r="J687" s="181"/>
      <c r="K687" s="181"/>
      <c r="L687" s="181"/>
      <c r="M687" s="181"/>
      <c r="N687" s="181"/>
      <c r="O687" s="181"/>
      <c r="P687" s="181"/>
      <c r="Q687" s="181"/>
      <c r="R687" s="181"/>
      <c r="S687" s="181"/>
      <c r="T687" s="181"/>
      <c r="U687" s="181"/>
      <c r="V687" s="181"/>
      <c r="W687" s="181"/>
      <c r="X687" s="181"/>
      <c r="Y687" s="181"/>
      <c r="Z687" s="181"/>
    </row>
    <row r="688">
      <c r="A688" s="181"/>
      <c r="B688" s="181"/>
      <c r="C688" s="181"/>
      <c r="D688" s="181"/>
      <c r="E688" s="181"/>
      <c r="F688" s="181"/>
      <c r="G688" s="181"/>
      <c r="H688" s="181"/>
      <c r="I688" s="181"/>
      <c r="J688" s="181"/>
      <c r="K688" s="181"/>
      <c r="L688" s="181"/>
      <c r="M688" s="181"/>
      <c r="N688" s="181"/>
      <c r="O688" s="181"/>
      <c r="P688" s="181"/>
      <c r="Q688" s="181"/>
      <c r="R688" s="181"/>
      <c r="S688" s="181"/>
      <c r="T688" s="181"/>
      <c r="U688" s="181"/>
      <c r="V688" s="181"/>
      <c r="W688" s="181"/>
      <c r="X688" s="181"/>
      <c r="Y688" s="181"/>
      <c r="Z688" s="181"/>
    </row>
    <row r="689">
      <c r="A689" s="181"/>
      <c r="B689" s="181"/>
      <c r="C689" s="181"/>
      <c r="D689" s="181"/>
      <c r="E689" s="181"/>
      <c r="F689" s="181"/>
      <c r="G689" s="181"/>
      <c r="H689" s="181"/>
      <c r="I689" s="181"/>
      <c r="J689" s="181"/>
      <c r="K689" s="181"/>
      <c r="L689" s="181"/>
      <c r="M689" s="181"/>
      <c r="N689" s="181"/>
      <c r="O689" s="181"/>
      <c r="P689" s="181"/>
      <c r="Q689" s="181"/>
      <c r="R689" s="181"/>
      <c r="S689" s="181"/>
      <c r="T689" s="181"/>
      <c r="U689" s="181"/>
      <c r="V689" s="181"/>
      <c r="W689" s="181"/>
      <c r="X689" s="181"/>
      <c r="Y689" s="181"/>
      <c r="Z689" s="181"/>
    </row>
    <row r="690">
      <c r="A690" s="181"/>
      <c r="B690" s="181"/>
      <c r="C690" s="181"/>
      <c r="D690" s="181"/>
      <c r="E690" s="181"/>
      <c r="F690" s="181"/>
      <c r="G690" s="181"/>
      <c r="H690" s="181"/>
      <c r="I690" s="181"/>
      <c r="J690" s="181"/>
      <c r="K690" s="181"/>
      <c r="L690" s="181"/>
      <c r="M690" s="181"/>
      <c r="N690" s="181"/>
      <c r="O690" s="181"/>
      <c r="P690" s="181"/>
      <c r="Q690" s="181"/>
      <c r="R690" s="181"/>
      <c r="S690" s="181"/>
      <c r="T690" s="181"/>
      <c r="U690" s="181"/>
      <c r="V690" s="181"/>
      <c r="W690" s="181"/>
      <c r="X690" s="181"/>
      <c r="Y690" s="181"/>
      <c r="Z690" s="181"/>
    </row>
    <row r="691">
      <c r="A691" s="181"/>
      <c r="B691" s="181"/>
      <c r="C691" s="181"/>
      <c r="D691" s="181"/>
      <c r="E691" s="181"/>
      <c r="F691" s="181"/>
      <c r="G691" s="181"/>
      <c r="H691" s="181"/>
      <c r="I691" s="181"/>
      <c r="J691" s="181"/>
      <c r="K691" s="181"/>
      <c r="L691" s="181"/>
      <c r="M691" s="181"/>
      <c r="N691" s="181"/>
      <c r="O691" s="181"/>
      <c r="P691" s="181"/>
      <c r="Q691" s="181"/>
      <c r="R691" s="181"/>
      <c r="S691" s="181"/>
      <c r="T691" s="181"/>
      <c r="U691" s="181"/>
      <c r="V691" s="181"/>
      <c r="W691" s="181"/>
      <c r="X691" s="181"/>
      <c r="Y691" s="181"/>
      <c r="Z691" s="181"/>
    </row>
    <row r="692">
      <c r="A692" s="181"/>
      <c r="B692" s="181"/>
      <c r="C692" s="181"/>
      <c r="D692" s="181"/>
      <c r="E692" s="181"/>
      <c r="F692" s="181"/>
      <c r="G692" s="181"/>
      <c r="H692" s="181"/>
      <c r="I692" s="181"/>
      <c r="J692" s="181"/>
      <c r="K692" s="181"/>
      <c r="L692" s="181"/>
      <c r="M692" s="181"/>
      <c r="N692" s="181"/>
      <c r="O692" s="181"/>
      <c r="P692" s="181"/>
      <c r="Q692" s="181"/>
      <c r="R692" s="181"/>
      <c r="S692" s="181"/>
      <c r="T692" s="181"/>
      <c r="U692" s="181"/>
      <c r="V692" s="181"/>
      <c r="W692" s="181"/>
      <c r="X692" s="181"/>
      <c r="Y692" s="181"/>
      <c r="Z692" s="181"/>
    </row>
    <row r="693">
      <c r="A693" s="181"/>
      <c r="B693" s="181"/>
      <c r="C693" s="181"/>
      <c r="D693" s="181"/>
      <c r="E693" s="181"/>
      <c r="F693" s="181"/>
      <c r="G693" s="181"/>
      <c r="H693" s="181"/>
      <c r="I693" s="181"/>
      <c r="J693" s="181"/>
      <c r="K693" s="181"/>
      <c r="L693" s="181"/>
      <c r="M693" s="181"/>
      <c r="N693" s="181"/>
      <c r="O693" s="181"/>
      <c r="P693" s="181"/>
      <c r="Q693" s="181"/>
      <c r="R693" s="181"/>
      <c r="S693" s="181"/>
      <c r="T693" s="181"/>
      <c r="U693" s="181"/>
      <c r="V693" s="181"/>
      <c r="W693" s="181"/>
      <c r="X693" s="181"/>
      <c r="Y693" s="181"/>
      <c r="Z693" s="181"/>
    </row>
    <row r="694">
      <c r="A694" s="181"/>
      <c r="B694" s="181"/>
      <c r="C694" s="181"/>
      <c r="D694" s="181"/>
      <c r="E694" s="181"/>
      <c r="F694" s="181"/>
      <c r="G694" s="181"/>
      <c r="H694" s="181"/>
      <c r="I694" s="181"/>
      <c r="J694" s="181"/>
      <c r="K694" s="181"/>
      <c r="L694" s="181"/>
      <c r="M694" s="181"/>
      <c r="N694" s="181"/>
      <c r="O694" s="181"/>
      <c r="P694" s="181"/>
      <c r="Q694" s="181"/>
      <c r="R694" s="181"/>
      <c r="S694" s="181"/>
      <c r="T694" s="181"/>
      <c r="U694" s="181"/>
      <c r="V694" s="181"/>
      <c r="W694" s="181"/>
      <c r="X694" s="181"/>
      <c r="Y694" s="181"/>
      <c r="Z694" s="181"/>
    </row>
    <row r="695">
      <c r="A695" s="181"/>
      <c r="B695" s="181"/>
      <c r="C695" s="181"/>
      <c r="D695" s="181"/>
      <c r="E695" s="181"/>
      <c r="F695" s="181"/>
      <c r="G695" s="181"/>
      <c r="H695" s="181"/>
      <c r="I695" s="181"/>
      <c r="J695" s="181"/>
      <c r="K695" s="181"/>
      <c r="L695" s="181"/>
      <c r="M695" s="181"/>
      <c r="N695" s="181"/>
      <c r="O695" s="181"/>
      <c r="P695" s="181"/>
      <c r="Q695" s="181"/>
      <c r="R695" s="181"/>
      <c r="S695" s="181"/>
      <c r="T695" s="181"/>
      <c r="U695" s="181"/>
      <c r="V695" s="181"/>
      <c r="W695" s="181"/>
      <c r="X695" s="181"/>
      <c r="Y695" s="181"/>
      <c r="Z695" s="181"/>
    </row>
    <row r="696">
      <c r="A696" s="181"/>
      <c r="B696" s="181"/>
      <c r="C696" s="181"/>
      <c r="D696" s="181"/>
      <c r="E696" s="181"/>
      <c r="F696" s="181"/>
      <c r="G696" s="181"/>
      <c r="H696" s="181"/>
      <c r="I696" s="181"/>
      <c r="J696" s="181"/>
      <c r="K696" s="181"/>
      <c r="L696" s="181"/>
      <c r="M696" s="181"/>
      <c r="N696" s="181"/>
      <c r="O696" s="181"/>
      <c r="P696" s="181"/>
      <c r="Q696" s="181"/>
      <c r="R696" s="181"/>
      <c r="S696" s="181"/>
      <c r="T696" s="181"/>
      <c r="U696" s="181"/>
      <c r="V696" s="181"/>
      <c r="W696" s="181"/>
      <c r="X696" s="181"/>
      <c r="Y696" s="181"/>
      <c r="Z696" s="181"/>
    </row>
    <row r="697">
      <c r="A697" s="181"/>
      <c r="B697" s="181"/>
      <c r="C697" s="181"/>
      <c r="D697" s="181"/>
      <c r="E697" s="181"/>
      <c r="F697" s="181"/>
      <c r="G697" s="181"/>
      <c r="H697" s="181"/>
      <c r="I697" s="181"/>
      <c r="J697" s="181"/>
      <c r="K697" s="181"/>
      <c r="L697" s="181"/>
      <c r="M697" s="181"/>
      <c r="N697" s="181"/>
      <c r="O697" s="181"/>
      <c r="P697" s="181"/>
      <c r="Q697" s="181"/>
      <c r="R697" s="181"/>
      <c r="S697" s="181"/>
      <c r="T697" s="181"/>
      <c r="U697" s="181"/>
      <c r="V697" s="181"/>
      <c r="W697" s="181"/>
      <c r="X697" s="181"/>
      <c r="Y697" s="181"/>
      <c r="Z697" s="181"/>
    </row>
    <row r="698">
      <c r="A698" s="181"/>
      <c r="B698" s="181"/>
      <c r="C698" s="181"/>
      <c r="D698" s="181"/>
      <c r="E698" s="181"/>
      <c r="F698" s="181"/>
      <c r="G698" s="181"/>
      <c r="H698" s="181"/>
      <c r="I698" s="181"/>
      <c r="J698" s="181"/>
      <c r="K698" s="181"/>
      <c r="L698" s="181"/>
      <c r="M698" s="181"/>
      <c r="N698" s="181"/>
      <c r="O698" s="181"/>
      <c r="P698" s="181"/>
      <c r="Q698" s="181"/>
      <c r="R698" s="181"/>
      <c r="S698" s="181"/>
      <c r="T698" s="181"/>
      <c r="U698" s="181"/>
      <c r="V698" s="181"/>
      <c r="W698" s="181"/>
      <c r="X698" s="181"/>
      <c r="Y698" s="181"/>
      <c r="Z698" s="181"/>
    </row>
    <row r="699">
      <c r="A699" s="181"/>
      <c r="B699" s="181"/>
      <c r="C699" s="181"/>
      <c r="D699" s="181"/>
      <c r="E699" s="181"/>
      <c r="F699" s="181"/>
      <c r="G699" s="181"/>
      <c r="H699" s="181"/>
      <c r="I699" s="181"/>
      <c r="J699" s="181"/>
      <c r="K699" s="181"/>
      <c r="L699" s="181"/>
      <c r="M699" s="181"/>
      <c r="N699" s="181"/>
      <c r="O699" s="181"/>
      <c r="P699" s="181"/>
      <c r="Q699" s="181"/>
      <c r="R699" s="181"/>
      <c r="S699" s="181"/>
      <c r="T699" s="181"/>
      <c r="U699" s="181"/>
      <c r="V699" s="181"/>
      <c r="W699" s="181"/>
      <c r="X699" s="181"/>
      <c r="Y699" s="181"/>
      <c r="Z699" s="181"/>
    </row>
    <row r="700">
      <c r="A700" s="181"/>
      <c r="B700" s="181"/>
      <c r="C700" s="181"/>
      <c r="D700" s="181"/>
      <c r="E700" s="181"/>
      <c r="F700" s="181"/>
      <c r="G700" s="181"/>
      <c r="H700" s="181"/>
      <c r="I700" s="181"/>
      <c r="J700" s="181"/>
      <c r="K700" s="181"/>
      <c r="L700" s="181"/>
      <c r="M700" s="181"/>
      <c r="N700" s="181"/>
      <c r="O700" s="181"/>
      <c r="P700" s="181"/>
      <c r="Q700" s="181"/>
      <c r="R700" s="181"/>
      <c r="S700" s="181"/>
      <c r="T700" s="181"/>
      <c r="U700" s="181"/>
      <c r="V700" s="181"/>
      <c r="W700" s="181"/>
      <c r="X700" s="181"/>
      <c r="Y700" s="181"/>
      <c r="Z700" s="181"/>
    </row>
    <row r="701">
      <c r="A701" s="181"/>
      <c r="B701" s="181"/>
      <c r="C701" s="181"/>
      <c r="D701" s="181"/>
      <c r="E701" s="181"/>
      <c r="F701" s="181"/>
      <c r="G701" s="181"/>
      <c r="H701" s="181"/>
      <c r="I701" s="181"/>
      <c r="J701" s="181"/>
      <c r="K701" s="181"/>
      <c r="L701" s="181"/>
      <c r="M701" s="181"/>
      <c r="N701" s="181"/>
      <c r="O701" s="181"/>
      <c r="P701" s="181"/>
      <c r="Q701" s="181"/>
      <c r="R701" s="181"/>
      <c r="S701" s="181"/>
      <c r="T701" s="181"/>
      <c r="U701" s="181"/>
      <c r="V701" s="181"/>
      <c r="W701" s="181"/>
      <c r="X701" s="181"/>
      <c r="Y701" s="181"/>
      <c r="Z701" s="181"/>
    </row>
    <row r="702">
      <c r="A702" s="181"/>
      <c r="B702" s="181"/>
      <c r="C702" s="181"/>
      <c r="D702" s="181"/>
      <c r="E702" s="181"/>
      <c r="F702" s="181"/>
      <c r="G702" s="181"/>
      <c r="H702" s="181"/>
      <c r="I702" s="181"/>
      <c r="J702" s="181"/>
      <c r="K702" s="181"/>
      <c r="L702" s="181"/>
      <c r="M702" s="181"/>
      <c r="N702" s="181"/>
      <c r="O702" s="181"/>
      <c r="P702" s="181"/>
      <c r="Q702" s="181"/>
      <c r="R702" s="181"/>
      <c r="S702" s="181"/>
      <c r="T702" s="181"/>
      <c r="U702" s="181"/>
      <c r="V702" s="181"/>
      <c r="W702" s="181"/>
      <c r="X702" s="181"/>
      <c r="Y702" s="181"/>
      <c r="Z702" s="181"/>
    </row>
    <row r="703">
      <c r="A703" s="181"/>
      <c r="B703" s="181"/>
      <c r="C703" s="181"/>
      <c r="D703" s="181"/>
      <c r="E703" s="181"/>
      <c r="F703" s="181"/>
      <c r="G703" s="181"/>
      <c r="H703" s="181"/>
      <c r="I703" s="181"/>
      <c r="J703" s="181"/>
      <c r="K703" s="181"/>
      <c r="L703" s="181"/>
      <c r="M703" s="181"/>
      <c r="N703" s="181"/>
      <c r="O703" s="181"/>
      <c r="P703" s="181"/>
      <c r="Q703" s="181"/>
      <c r="R703" s="181"/>
      <c r="S703" s="181"/>
      <c r="T703" s="181"/>
      <c r="U703" s="181"/>
      <c r="V703" s="181"/>
      <c r="W703" s="181"/>
      <c r="X703" s="181"/>
      <c r="Y703" s="181"/>
      <c r="Z703" s="181"/>
    </row>
    <row r="704">
      <c r="A704" s="181"/>
      <c r="B704" s="181"/>
      <c r="C704" s="181"/>
      <c r="D704" s="181"/>
      <c r="E704" s="181"/>
      <c r="F704" s="181"/>
      <c r="G704" s="181"/>
      <c r="H704" s="181"/>
      <c r="I704" s="181"/>
      <c r="J704" s="181"/>
      <c r="K704" s="181"/>
      <c r="L704" s="181"/>
      <c r="M704" s="181"/>
      <c r="N704" s="181"/>
      <c r="O704" s="181"/>
      <c r="P704" s="181"/>
      <c r="Q704" s="181"/>
      <c r="R704" s="181"/>
      <c r="S704" s="181"/>
      <c r="T704" s="181"/>
      <c r="U704" s="181"/>
      <c r="V704" s="181"/>
      <c r="W704" s="181"/>
      <c r="X704" s="181"/>
      <c r="Y704" s="181"/>
      <c r="Z704" s="181"/>
    </row>
    <row r="705">
      <c r="A705" s="181"/>
      <c r="B705" s="181"/>
      <c r="C705" s="181"/>
      <c r="D705" s="181"/>
      <c r="E705" s="181"/>
      <c r="F705" s="181"/>
      <c r="G705" s="181"/>
      <c r="H705" s="181"/>
      <c r="I705" s="181"/>
      <c r="J705" s="181"/>
      <c r="K705" s="181"/>
      <c r="L705" s="181"/>
      <c r="M705" s="181"/>
      <c r="N705" s="181"/>
      <c r="O705" s="181"/>
      <c r="P705" s="181"/>
      <c r="Q705" s="181"/>
      <c r="R705" s="181"/>
      <c r="S705" s="181"/>
      <c r="T705" s="181"/>
      <c r="U705" s="181"/>
      <c r="V705" s="181"/>
      <c r="W705" s="181"/>
      <c r="X705" s="181"/>
      <c r="Y705" s="181"/>
      <c r="Z705" s="181"/>
    </row>
    <row r="706">
      <c r="A706" s="181"/>
      <c r="B706" s="181"/>
      <c r="C706" s="181"/>
      <c r="D706" s="181"/>
      <c r="E706" s="181"/>
      <c r="F706" s="181"/>
      <c r="G706" s="181"/>
      <c r="H706" s="181"/>
      <c r="I706" s="181"/>
      <c r="J706" s="181"/>
      <c r="K706" s="181"/>
      <c r="L706" s="181"/>
      <c r="M706" s="181"/>
      <c r="N706" s="181"/>
      <c r="O706" s="181"/>
      <c r="P706" s="181"/>
      <c r="Q706" s="181"/>
      <c r="R706" s="181"/>
      <c r="S706" s="181"/>
      <c r="T706" s="181"/>
      <c r="U706" s="181"/>
      <c r="V706" s="181"/>
      <c r="W706" s="181"/>
      <c r="X706" s="181"/>
      <c r="Y706" s="181"/>
      <c r="Z706" s="181"/>
    </row>
    <row r="707">
      <c r="A707" s="181"/>
      <c r="B707" s="181"/>
      <c r="C707" s="181"/>
      <c r="D707" s="181"/>
      <c r="E707" s="181"/>
      <c r="F707" s="181"/>
      <c r="G707" s="181"/>
      <c r="H707" s="181"/>
      <c r="I707" s="181"/>
      <c r="J707" s="181"/>
      <c r="K707" s="181"/>
      <c r="L707" s="181"/>
      <c r="M707" s="181"/>
      <c r="N707" s="181"/>
      <c r="O707" s="181"/>
      <c r="P707" s="181"/>
      <c r="Q707" s="181"/>
      <c r="R707" s="181"/>
      <c r="S707" s="181"/>
      <c r="T707" s="181"/>
      <c r="U707" s="181"/>
      <c r="V707" s="181"/>
      <c r="W707" s="181"/>
      <c r="X707" s="181"/>
      <c r="Y707" s="181"/>
      <c r="Z707" s="181"/>
    </row>
    <row r="708">
      <c r="A708" s="181"/>
      <c r="B708" s="181"/>
      <c r="C708" s="181"/>
      <c r="D708" s="181"/>
      <c r="E708" s="181"/>
      <c r="F708" s="181"/>
      <c r="G708" s="181"/>
      <c r="H708" s="181"/>
      <c r="I708" s="181"/>
      <c r="J708" s="181"/>
      <c r="K708" s="181"/>
      <c r="L708" s="181"/>
      <c r="M708" s="181"/>
      <c r="N708" s="181"/>
      <c r="O708" s="181"/>
      <c r="P708" s="181"/>
      <c r="Q708" s="181"/>
      <c r="R708" s="181"/>
      <c r="S708" s="181"/>
      <c r="T708" s="181"/>
      <c r="U708" s="181"/>
      <c r="V708" s="181"/>
      <c r="W708" s="181"/>
      <c r="X708" s="181"/>
      <c r="Y708" s="181"/>
      <c r="Z708" s="181"/>
    </row>
    <row r="709">
      <c r="A709" s="181"/>
      <c r="B709" s="181"/>
      <c r="C709" s="181"/>
      <c r="D709" s="181"/>
      <c r="E709" s="181"/>
      <c r="F709" s="181"/>
      <c r="G709" s="181"/>
      <c r="H709" s="181"/>
      <c r="I709" s="181"/>
      <c r="J709" s="181"/>
      <c r="K709" s="181"/>
      <c r="L709" s="181"/>
      <c r="M709" s="181"/>
      <c r="N709" s="181"/>
      <c r="O709" s="181"/>
      <c r="P709" s="181"/>
      <c r="Q709" s="181"/>
      <c r="R709" s="181"/>
      <c r="S709" s="181"/>
      <c r="T709" s="181"/>
      <c r="U709" s="181"/>
      <c r="V709" s="181"/>
      <c r="W709" s="181"/>
      <c r="X709" s="181"/>
      <c r="Y709" s="181"/>
      <c r="Z709" s="181"/>
    </row>
    <row r="710">
      <c r="A710" s="181"/>
      <c r="B710" s="181"/>
      <c r="C710" s="181"/>
      <c r="D710" s="181"/>
      <c r="E710" s="181"/>
      <c r="F710" s="181"/>
      <c r="G710" s="181"/>
      <c r="H710" s="181"/>
      <c r="I710" s="181"/>
      <c r="J710" s="181"/>
      <c r="K710" s="181"/>
      <c r="L710" s="181"/>
      <c r="M710" s="181"/>
      <c r="N710" s="181"/>
      <c r="O710" s="181"/>
      <c r="P710" s="181"/>
      <c r="Q710" s="181"/>
      <c r="R710" s="181"/>
      <c r="S710" s="181"/>
      <c r="T710" s="181"/>
      <c r="U710" s="181"/>
      <c r="V710" s="181"/>
      <c r="W710" s="181"/>
      <c r="X710" s="181"/>
      <c r="Y710" s="181"/>
      <c r="Z710" s="181"/>
    </row>
    <row r="711">
      <c r="A711" s="181"/>
      <c r="B711" s="181"/>
      <c r="C711" s="181"/>
      <c r="D711" s="181"/>
      <c r="E711" s="181"/>
      <c r="F711" s="181"/>
      <c r="G711" s="181"/>
      <c r="H711" s="181"/>
      <c r="I711" s="181"/>
      <c r="J711" s="181"/>
      <c r="K711" s="181"/>
      <c r="L711" s="181"/>
      <c r="M711" s="181"/>
      <c r="N711" s="181"/>
      <c r="O711" s="181"/>
      <c r="P711" s="181"/>
      <c r="Q711" s="181"/>
      <c r="R711" s="181"/>
      <c r="S711" s="181"/>
      <c r="T711" s="181"/>
      <c r="U711" s="181"/>
      <c r="V711" s="181"/>
      <c r="W711" s="181"/>
      <c r="X711" s="181"/>
      <c r="Y711" s="181"/>
      <c r="Z711" s="181"/>
    </row>
    <row r="712">
      <c r="A712" s="181"/>
      <c r="B712" s="181"/>
      <c r="C712" s="181"/>
      <c r="D712" s="181"/>
      <c r="E712" s="181"/>
      <c r="F712" s="181"/>
      <c r="G712" s="181"/>
      <c r="H712" s="181"/>
      <c r="I712" s="181"/>
      <c r="J712" s="181"/>
      <c r="K712" s="181"/>
      <c r="L712" s="181"/>
      <c r="M712" s="181"/>
      <c r="N712" s="181"/>
      <c r="O712" s="181"/>
      <c r="P712" s="181"/>
      <c r="Q712" s="181"/>
      <c r="R712" s="181"/>
      <c r="S712" s="181"/>
      <c r="T712" s="181"/>
      <c r="U712" s="181"/>
      <c r="V712" s="181"/>
      <c r="W712" s="181"/>
      <c r="X712" s="181"/>
      <c r="Y712" s="181"/>
      <c r="Z712" s="181"/>
    </row>
    <row r="713">
      <c r="A713" s="181"/>
      <c r="B713" s="181"/>
      <c r="C713" s="181"/>
      <c r="D713" s="181"/>
      <c r="E713" s="181"/>
      <c r="F713" s="181"/>
      <c r="G713" s="181"/>
      <c r="H713" s="181"/>
      <c r="I713" s="181"/>
      <c r="J713" s="181"/>
      <c r="K713" s="181"/>
      <c r="L713" s="181"/>
      <c r="M713" s="181"/>
      <c r="N713" s="181"/>
      <c r="O713" s="181"/>
      <c r="P713" s="181"/>
      <c r="Q713" s="181"/>
      <c r="R713" s="181"/>
      <c r="S713" s="181"/>
      <c r="T713" s="181"/>
      <c r="U713" s="181"/>
      <c r="V713" s="181"/>
      <c r="W713" s="181"/>
      <c r="X713" s="181"/>
      <c r="Y713" s="181"/>
      <c r="Z713" s="181"/>
    </row>
    <row r="714">
      <c r="A714" s="181"/>
      <c r="B714" s="181"/>
      <c r="C714" s="181"/>
      <c r="D714" s="181"/>
      <c r="E714" s="181"/>
      <c r="F714" s="181"/>
      <c r="G714" s="181"/>
      <c r="H714" s="181"/>
      <c r="I714" s="181"/>
      <c r="J714" s="181"/>
      <c r="K714" s="181"/>
      <c r="L714" s="181"/>
      <c r="M714" s="181"/>
      <c r="N714" s="181"/>
      <c r="O714" s="181"/>
      <c r="P714" s="181"/>
      <c r="Q714" s="181"/>
      <c r="R714" s="181"/>
      <c r="S714" s="181"/>
      <c r="T714" s="181"/>
      <c r="U714" s="181"/>
      <c r="V714" s="181"/>
      <c r="W714" s="181"/>
      <c r="X714" s="181"/>
      <c r="Y714" s="181"/>
      <c r="Z714" s="181"/>
    </row>
    <row r="715">
      <c r="A715" s="181"/>
      <c r="B715" s="181"/>
      <c r="C715" s="181"/>
      <c r="D715" s="181"/>
      <c r="E715" s="181"/>
      <c r="F715" s="181"/>
      <c r="G715" s="181"/>
      <c r="H715" s="181"/>
      <c r="I715" s="181"/>
      <c r="J715" s="181"/>
      <c r="K715" s="181"/>
      <c r="L715" s="181"/>
      <c r="M715" s="181"/>
      <c r="N715" s="181"/>
      <c r="O715" s="181"/>
      <c r="P715" s="181"/>
      <c r="Q715" s="181"/>
      <c r="R715" s="181"/>
      <c r="S715" s="181"/>
      <c r="T715" s="181"/>
      <c r="U715" s="181"/>
      <c r="V715" s="181"/>
      <c r="W715" s="181"/>
      <c r="X715" s="181"/>
      <c r="Y715" s="181"/>
      <c r="Z715" s="181"/>
    </row>
    <row r="716">
      <c r="A716" s="181"/>
      <c r="B716" s="181"/>
      <c r="C716" s="181"/>
      <c r="D716" s="181"/>
      <c r="E716" s="181"/>
      <c r="F716" s="181"/>
      <c r="G716" s="181"/>
      <c r="H716" s="181"/>
      <c r="I716" s="181"/>
      <c r="J716" s="181"/>
      <c r="K716" s="181"/>
      <c r="L716" s="181"/>
      <c r="M716" s="181"/>
      <c r="N716" s="181"/>
      <c r="O716" s="181"/>
      <c r="P716" s="181"/>
      <c r="Q716" s="181"/>
      <c r="R716" s="181"/>
      <c r="S716" s="181"/>
      <c r="T716" s="181"/>
      <c r="U716" s="181"/>
      <c r="V716" s="181"/>
      <c r="W716" s="181"/>
      <c r="X716" s="181"/>
      <c r="Y716" s="181"/>
      <c r="Z716" s="181"/>
    </row>
    <row r="717">
      <c r="A717" s="181"/>
      <c r="B717" s="181"/>
      <c r="C717" s="181"/>
      <c r="D717" s="181"/>
      <c r="E717" s="181"/>
      <c r="F717" s="181"/>
      <c r="G717" s="181"/>
      <c r="H717" s="181"/>
      <c r="I717" s="181"/>
      <c r="J717" s="181"/>
      <c r="K717" s="181"/>
      <c r="L717" s="181"/>
      <c r="M717" s="181"/>
      <c r="N717" s="181"/>
      <c r="O717" s="181"/>
      <c r="P717" s="181"/>
      <c r="Q717" s="181"/>
      <c r="R717" s="181"/>
      <c r="S717" s="181"/>
      <c r="T717" s="181"/>
      <c r="U717" s="181"/>
      <c r="V717" s="181"/>
      <c r="W717" s="181"/>
      <c r="X717" s="181"/>
      <c r="Y717" s="181"/>
      <c r="Z717" s="181"/>
    </row>
    <row r="718">
      <c r="A718" s="181"/>
      <c r="B718" s="181"/>
      <c r="C718" s="181"/>
      <c r="D718" s="181"/>
      <c r="E718" s="181"/>
      <c r="F718" s="181"/>
      <c r="G718" s="181"/>
      <c r="H718" s="181"/>
      <c r="I718" s="181"/>
      <c r="J718" s="181"/>
      <c r="K718" s="181"/>
      <c r="L718" s="181"/>
      <c r="M718" s="181"/>
      <c r="N718" s="181"/>
      <c r="O718" s="181"/>
      <c r="P718" s="181"/>
      <c r="Q718" s="181"/>
      <c r="R718" s="181"/>
      <c r="S718" s="181"/>
      <c r="T718" s="181"/>
      <c r="U718" s="181"/>
      <c r="V718" s="181"/>
      <c r="W718" s="181"/>
      <c r="X718" s="181"/>
      <c r="Y718" s="181"/>
      <c r="Z718" s="181"/>
    </row>
    <row r="719">
      <c r="A719" s="181"/>
      <c r="B719" s="181"/>
      <c r="C719" s="181"/>
      <c r="D719" s="181"/>
      <c r="E719" s="181"/>
      <c r="F719" s="181"/>
      <c r="G719" s="181"/>
      <c r="H719" s="181"/>
      <c r="I719" s="181"/>
      <c r="J719" s="181"/>
      <c r="K719" s="181"/>
      <c r="L719" s="181"/>
      <c r="M719" s="181"/>
      <c r="N719" s="181"/>
      <c r="O719" s="181"/>
      <c r="P719" s="181"/>
      <c r="Q719" s="181"/>
      <c r="R719" s="181"/>
      <c r="S719" s="181"/>
      <c r="T719" s="181"/>
      <c r="U719" s="181"/>
      <c r="V719" s="181"/>
      <c r="W719" s="181"/>
      <c r="X719" s="181"/>
      <c r="Y719" s="181"/>
      <c r="Z719" s="181"/>
    </row>
    <row r="720">
      <c r="A720" s="181"/>
      <c r="B720" s="181"/>
      <c r="C720" s="181"/>
      <c r="D720" s="181"/>
      <c r="E720" s="181"/>
      <c r="F720" s="181"/>
      <c r="G720" s="181"/>
      <c r="H720" s="181"/>
      <c r="I720" s="181"/>
      <c r="J720" s="181"/>
      <c r="K720" s="181"/>
      <c r="L720" s="181"/>
      <c r="M720" s="181"/>
      <c r="N720" s="181"/>
      <c r="O720" s="181"/>
      <c r="P720" s="181"/>
      <c r="Q720" s="181"/>
      <c r="R720" s="181"/>
      <c r="S720" s="181"/>
      <c r="T720" s="181"/>
      <c r="U720" s="181"/>
      <c r="V720" s="181"/>
      <c r="W720" s="181"/>
      <c r="X720" s="181"/>
      <c r="Y720" s="181"/>
      <c r="Z720" s="181"/>
    </row>
    <row r="721">
      <c r="A721" s="181"/>
      <c r="B721" s="181"/>
      <c r="C721" s="181"/>
      <c r="D721" s="181"/>
      <c r="E721" s="181"/>
      <c r="F721" s="181"/>
      <c r="G721" s="181"/>
      <c r="H721" s="181"/>
      <c r="I721" s="181"/>
      <c r="J721" s="181"/>
      <c r="K721" s="181"/>
      <c r="L721" s="181"/>
      <c r="M721" s="181"/>
      <c r="N721" s="181"/>
      <c r="O721" s="181"/>
      <c r="P721" s="181"/>
      <c r="Q721" s="181"/>
      <c r="R721" s="181"/>
      <c r="S721" s="181"/>
      <c r="T721" s="181"/>
      <c r="U721" s="181"/>
      <c r="V721" s="181"/>
      <c r="W721" s="181"/>
      <c r="X721" s="181"/>
      <c r="Y721" s="181"/>
      <c r="Z721" s="181"/>
    </row>
    <row r="722">
      <c r="A722" s="181"/>
      <c r="B722" s="181"/>
      <c r="C722" s="181"/>
      <c r="D722" s="181"/>
      <c r="E722" s="181"/>
      <c r="F722" s="181"/>
      <c r="G722" s="181"/>
      <c r="H722" s="181"/>
      <c r="I722" s="181"/>
      <c r="J722" s="181"/>
      <c r="K722" s="181"/>
      <c r="L722" s="181"/>
      <c r="M722" s="181"/>
      <c r="N722" s="181"/>
      <c r="O722" s="181"/>
      <c r="P722" s="181"/>
      <c r="Q722" s="181"/>
      <c r="R722" s="181"/>
      <c r="S722" s="181"/>
      <c r="T722" s="181"/>
      <c r="U722" s="181"/>
      <c r="V722" s="181"/>
      <c r="W722" s="181"/>
      <c r="X722" s="181"/>
      <c r="Y722" s="181"/>
      <c r="Z722" s="181"/>
    </row>
    <row r="723">
      <c r="A723" s="181"/>
      <c r="B723" s="181"/>
      <c r="C723" s="181"/>
      <c r="D723" s="181"/>
      <c r="E723" s="181"/>
      <c r="F723" s="181"/>
      <c r="G723" s="181"/>
      <c r="H723" s="181"/>
      <c r="I723" s="181"/>
      <c r="J723" s="181"/>
      <c r="K723" s="181"/>
      <c r="L723" s="181"/>
      <c r="M723" s="181"/>
      <c r="N723" s="181"/>
      <c r="O723" s="181"/>
      <c r="P723" s="181"/>
      <c r="Q723" s="181"/>
      <c r="R723" s="181"/>
      <c r="S723" s="181"/>
      <c r="T723" s="181"/>
      <c r="U723" s="181"/>
      <c r="V723" s="181"/>
      <c r="W723" s="181"/>
      <c r="X723" s="181"/>
      <c r="Y723" s="181"/>
      <c r="Z723" s="181"/>
    </row>
    <row r="724">
      <c r="A724" s="181"/>
      <c r="B724" s="181"/>
      <c r="C724" s="181"/>
      <c r="D724" s="181"/>
      <c r="E724" s="181"/>
      <c r="F724" s="181"/>
      <c r="G724" s="181"/>
      <c r="H724" s="181"/>
      <c r="I724" s="181"/>
      <c r="J724" s="181"/>
      <c r="K724" s="181"/>
      <c r="L724" s="181"/>
      <c r="M724" s="181"/>
      <c r="N724" s="181"/>
      <c r="O724" s="181"/>
      <c r="P724" s="181"/>
      <c r="Q724" s="181"/>
      <c r="R724" s="181"/>
      <c r="S724" s="181"/>
      <c r="T724" s="181"/>
      <c r="U724" s="181"/>
      <c r="V724" s="181"/>
      <c r="W724" s="181"/>
      <c r="X724" s="181"/>
      <c r="Y724" s="181"/>
      <c r="Z724" s="181"/>
    </row>
    <row r="725">
      <c r="A725" s="181"/>
      <c r="B725" s="181"/>
      <c r="C725" s="181"/>
      <c r="D725" s="181"/>
      <c r="E725" s="181"/>
      <c r="F725" s="181"/>
      <c r="G725" s="181"/>
      <c r="H725" s="181"/>
      <c r="I725" s="181"/>
      <c r="J725" s="181"/>
      <c r="K725" s="181"/>
      <c r="L725" s="181"/>
      <c r="M725" s="181"/>
      <c r="N725" s="181"/>
      <c r="O725" s="181"/>
      <c r="P725" s="181"/>
      <c r="Q725" s="181"/>
      <c r="R725" s="181"/>
      <c r="S725" s="181"/>
      <c r="T725" s="181"/>
      <c r="U725" s="181"/>
      <c r="V725" s="181"/>
      <c r="W725" s="181"/>
      <c r="X725" s="181"/>
      <c r="Y725" s="181"/>
      <c r="Z725" s="181"/>
    </row>
    <row r="726">
      <c r="A726" s="181"/>
      <c r="B726" s="181"/>
      <c r="C726" s="181"/>
      <c r="D726" s="181"/>
      <c r="E726" s="181"/>
      <c r="F726" s="181"/>
      <c r="G726" s="181"/>
      <c r="H726" s="181"/>
      <c r="I726" s="181"/>
      <c r="J726" s="181"/>
      <c r="K726" s="181"/>
      <c r="L726" s="181"/>
      <c r="M726" s="181"/>
      <c r="N726" s="181"/>
      <c r="O726" s="181"/>
      <c r="P726" s="181"/>
      <c r="Q726" s="181"/>
      <c r="R726" s="181"/>
      <c r="S726" s="181"/>
      <c r="T726" s="181"/>
      <c r="U726" s="181"/>
      <c r="V726" s="181"/>
      <c r="W726" s="181"/>
      <c r="X726" s="181"/>
      <c r="Y726" s="181"/>
      <c r="Z726" s="181"/>
    </row>
    <row r="727">
      <c r="A727" s="181"/>
      <c r="B727" s="181"/>
      <c r="C727" s="181"/>
      <c r="D727" s="181"/>
      <c r="E727" s="181"/>
      <c r="F727" s="181"/>
      <c r="G727" s="181"/>
      <c r="H727" s="181"/>
      <c r="I727" s="181"/>
      <c r="J727" s="181"/>
      <c r="K727" s="181"/>
      <c r="L727" s="181"/>
      <c r="M727" s="181"/>
      <c r="N727" s="181"/>
      <c r="O727" s="181"/>
      <c r="P727" s="181"/>
      <c r="Q727" s="181"/>
      <c r="R727" s="181"/>
      <c r="S727" s="181"/>
      <c r="T727" s="181"/>
      <c r="U727" s="181"/>
      <c r="V727" s="181"/>
      <c r="W727" s="181"/>
      <c r="X727" s="181"/>
      <c r="Y727" s="181"/>
      <c r="Z727" s="181"/>
    </row>
    <row r="728">
      <c r="A728" s="181"/>
      <c r="B728" s="181"/>
      <c r="C728" s="181"/>
      <c r="D728" s="181"/>
      <c r="E728" s="181"/>
      <c r="F728" s="181"/>
      <c r="G728" s="181"/>
      <c r="H728" s="181"/>
      <c r="I728" s="181"/>
      <c r="J728" s="181"/>
      <c r="K728" s="181"/>
      <c r="L728" s="181"/>
      <c r="M728" s="181"/>
      <c r="N728" s="181"/>
      <c r="O728" s="181"/>
      <c r="P728" s="181"/>
      <c r="Q728" s="181"/>
      <c r="R728" s="181"/>
      <c r="S728" s="181"/>
      <c r="T728" s="181"/>
      <c r="U728" s="181"/>
      <c r="V728" s="181"/>
      <c r="W728" s="181"/>
      <c r="X728" s="181"/>
      <c r="Y728" s="181"/>
      <c r="Z728" s="181"/>
    </row>
    <row r="729">
      <c r="A729" s="181"/>
      <c r="B729" s="181"/>
      <c r="C729" s="181"/>
      <c r="D729" s="181"/>
      <c r="E729" s="181"/>
      <c r="F729" s="181"/>
      <c r="G729" s="181"/>
      <c r="H729" s="181"/>
      <c r="I729" s="181"/>
      <c r="J729" s="181"/>
      <c r="K729" s="181"/>
      <c r="L729" s="181"/>
      <c r="M729" s="181"/>
      <c r="N729" s="181"/>
      <c r="O729" s="181"/>
      <c r="P729" s="181"/>
      <c r="Q729" s="181"/>
      <c r="R729" s="181"/>
      <c r="S729" s="181"/>
      <c r="T729" s="181"/>
      <c r="U729" s="181"/>
      <c r="V729" s="181"/>
      <c r="W729" s="181"/>
      <c r="X729" s="181"/>
      <c r="Y729" s="181"/>
      <c r="Z729" s="181"/>
    </row>
    <row r="730">
      <c r="A730" s="181"/>
      <c r="B730" s="181"/>
      <c r="C730" s="181"/>
      <c r="D730" s="181"/>
      <c r="E730" s="181"/>
      <c r="F730" s="181"/>
      <c r="G730" s="181"/>
      <c r="H730" s="181"/>
      <c r="I730" s="181"/>
      <c r="J730" s="181"/>
      <c r="K730" s="181"/>
      <c r="L730" s="181"/>
      <c r="M730" s="181"/>
      <c r="N730" s="181"/>
      <c r="O730" s="181"/>
      <c r="P730" s="181"/>
      <c r="Q730" s="181"/>
      <c r="R730" s="181"/>
      <c r="S730" s="181"/>
      <c r="T730" s="181"/>
      <c r="U730" s="181"/>
      <c r="V730" s="181"/>
      <c r="W730" s="181"/>
      <c r="X730" s="181"/>
      <c r="Y730" s="181"/>
      <c r="Z730" s="181"/>
    </row>
    <row r="731">
      <c r="A731" s="181"/>
      <c r="B731" s="181"/>
      <c r="C731" s="181"/>
      <c r="D731" s="181"/>
      <c r="E731" s="181"/>
      <c r="F731" s="181"/>
      <c r="G731" s="181"/>
      <c r="H731" s="181"/>
      <c r="I731" s="181"/>
      <c r="J731" s="181"/>
      <c r="K731" s="181"/>
      <c r="L731" s="181"/>
      <c r="M731" s="181"/>
      <c r="N731" s="181"/>
      <c r="O731" s="181"/>
      <c r="P731" s="181"/>
      <c r="Q731" s="181"/>
      <c r="R731" s="181"/>
      <c r="S731" s="181"/>
      <c r="T731" s="181"/>
      <c r="U731" s="181"/>
      <c r="V731" s="181"/>
      <c r="W731" s="181"/>
      <c r="X731" s="181"/>
      <c r="Y731" s="181"/>
      <c r="Z731" s="181"/>
    </row>
    <row r="732">
      <c r="A732" s="181"/>
      <c r="B732" s="181"/>
      <c r="C732" s="181"/>
      <c r="D732" s="181"/>
      <c r="E732" s="181"/>
      <c r="F732" s="181"/>
      <c r="G732" s="181"/>
      <c r="H732" s="181"/>
      <c r="I732" s="181"/>
      <c r="J732" s="181"/>
      <c r="K732" s="181"/>
      <c r="L732" s="181"/>
      <c r="M732" s="181"/>
      <c r="N732" s="181"/>
      <c r="O732" s="181"/>
      <c r="P732" s="181"/>
      <c r="Q732" s="181"/>
      <c r="R732" s="181"/>
      <c r="S732" s="181"/>
      <c r="T732" s="181"/>
      <c r="U732" s="181"/>
      <c r="V732" s="181"/>
      <c r="W732" s="181"/>
      <c r="X732" s="181"/>
      <c r="Y732" s="181"/>
      <c r="Z732" s="181"/>
    </row>
    <row r="733">
      <c r="A733" s="181"/>
      <c r="B733" s="181"/>
      <c r="C733" s="181"/>
      <c r="D733" s="181"/>
      <c r="E733" s="181"/>
      <c r="F733" s="181"/>
      <c r="G733" s="181"/>
      <c r="H733" s="181"/>
      <c r="I733" s="181"/>
      <c r="J733" s="181"/>
      <c r="K733" s="181"/>
      <c r="L733" s="181"/>
      <c r="M733" s="181"/>
      <c r="N733" s="181"/>
      <c r="O733" s="181"/>
      <c r="P733" s="181"/>
      <c r="Q733" s="181"/>
      <c r="R733" s="181"/>
      <c r="S733" s="181"/>
      <c r="T733" s="181"/>
      <c r="U733" s="181"/>
      <c r="V733" s="181"/>
      <c r="W733" s="181"/>
      <c r="X733" s="181"/>
      <c r="Y733" s="181"/>
      <c r="Z733" s="181"/>
    </row>
    <row r="734">
      <c r="A734" s="181"/>
      <c r="B734" s="181"/>
      <c r="C734" s="181"/>
      <c r="D734" s="181"/>
      <c r="E734" s="181"/>
      <c r="F734" s="181"/>
      <c r="G734" s="181"/>
      <c r="H734" s="181"/>
      <c r="I734" s="181"/>
      <c r="J734" s="181"/>
      <c r="K734" s="181"/>
      <c r="L734" s="181"/>
      <c r="M734" s="181"/>
      <c r="N734" s="181"/>
      <c r="O734" s="181"/>
      <c r="P734" s="181"/>
      <c r="Q734" s="181"/>
      <c r="R734" s="181"/>
      <c r="S734" s="181"/>
      <c r="T734" s="181"/>
      <c r="U734" s="181"/>
      <c r="V734" s="181"/>
      <c r="W734" s="181"/>
      <c r="X734" s="181"/>
      <c r="Y734" s="181"/>
      <c r="Z734" s="181"/>
    </row>
    <row r="735">
      <c r="A735" s="181"/>
      <c r="B735" s="181"/>
      <c r="C735" s="181"/>
      <c r="D735" s="181"/>
      <c r="E735" s="181"/>
      <c r="F735" s="181"/>
      <c r="G735" s="181"/>
      <c r="H735" s="181"/>
      <c r="I735" s="181"/>
      <c r="J735" s="181"/>
      <c r="K735" s="181"/>
      <c r="L735" s="181"/>
      <c r="M735" s="181"/>
      <c r="N735" s="181"/>
      <c r="O735" s="181"/>
      <c r="P735" s="181"/>
      <c r="Q735" s="181"/>
      <c r="R735" s="181"/>
      <c r="S735" s="181"/>
      <c r="T735" s="181"/>
      <c r="U735" s="181"/>
      <c r="V735" s="181"/>
      <c r="W735" s="181"/>
      <c r="X735" s="181"/>
      <c r="Y735" s="181"/>
      <c r="Z735" s="181"/>
    </row>
    <row r="736">
      <c r="A736" s="181"/>
      <c r="B736" s="181"/>
      <c r="C736" s="181"/>
      <c r="D736" s="181"/>
      <c r="E736" s="181"/>
      <c r="F736" s="181"/>
      <c r="G736" s="181"/>
      <c r="H736" s="181"/>
      <c r="I736" s="181"/>
      <c r="J736" s="181"/>
      <c r="K736" s="181"/>
      <c r="L736" s="181"/>
      <c r="M736" s="181"/>
      <c r="N736" s="181"/>
      <c r="O736" s="181"/>
      <c r="P736" s="181"/>
      <c r="Q736" s="181"/>
      <c r="R736" s="181"/>
      <c r="S736" s="181"/>
      <c r="T736" s="181"/>
      <c r="U736" s="181"/>
      <c r="V736" s="181"/>
      <c r="W736" s="181"/>
      <c r="X736" s="181"/>
      <c r="Y736" s="181"/>
      <c r="Z736" s="181"/>
    </row>
    <row r="737">
      <c r="A737" s="181"/>
      <c r="B737" s="181"/>
      <c r="C737" s="181"/>
      <c r="D737" s="181"/>
      <c r="E737" s="181"/>
      <c r="F737" s="181"/>
      <c r="G737" s="181"/>
      <c r="H737" s="181"/>
      <c r="I737" s="181"/>
      <c r="J737" s="181"/>
      <c r="K737" s="181"/>
      <c r="L737" s="181"/>
      <c r="M737" s="181"/>
      <c r="N737" s="181"/>
      <c r="O737" s="181"/>
      <c r="P737" s="181"/>
      <c r="Q737" s="181"/>
      <c r="R737" s="181"/>
      <c r="S737" s="181"/>
      <c r="T737" s="181"/>
      <c r="U737" s="181"/>
      <c r="V737" s="181"/>
      <c r="W737" s="181"/>
      <c r="X737" s="181"/>
      <c r="Y737" s="181"/>
      <c r="Z737" s="181"/>
    </row>
    <row r="738">
      <c r="A738" s="181"/>
      <c r="B738" s="181"/>
      <c r="C738" s="181"/>
      <c r="D738" s="181"/>
      <c r="E738" s="181"/>
      <c r="F738" s="181"/>
      <c r="G738" s="181"/>
      <c r="H738" s="181"/>
      <c r="I738" s="181"/>
      <c r="J738" s="181"/>
      <c r="K738" s="181"/>
      <c r="L738" s="181"/>
      <c r="M738" s="181"/>
      <c r="N738" s="181"/>
      <c r="O738" s="181"/>
      <c r="P738" s="181"/>
      <c r="Q738" s="181"/>
      <c r="R738" s="181"/>
      <c r="S738" s="181"/>
      <c r="T738" s="181"/>
      <c r="U738" s="181"/>
      <c r="V738" s="181"/>
      <c r="W738" s="181"/>
      <c r="X738" s="181"/>
      <c r="Y738" s="181"/>
      <c r="Z738" s="181"/>
    </row>
    <row r="739">
      <c r="A739" s="181"/>
      <c r="B739" s="181"/>
      <c r="C739" s="181"/>
      <c r="D739" s="181"/>
      <c r="E739" s="181"/>
      <c r="F739" s="181"/>
      <c r="G739" s="181"/>
      <c r="H739" s="181"/>
      <c r="I739" s="181"/>
      <c r="J739" s="181"/>
      <c r="K739" s="181"/>
      <c r="L739" s="181"/>
      <c r="M739" s="181"/>
      <c r="N739" s="181"/>
      <c r="O739" s="181"/>
      <c r="P739" s="181"/>
      <c r="Q739" s="181"/>
      <c r="R739" s="181"/>
      <c r="S739" s="181"/>
      <c r="T739" s="181"/>
      <c r="U739" s="181"/>
      <c r="V739" s="181"/>
      <c r="W739" s="181"/>
      <c r="X739" s="181"/>
      <c r="Y739" s="181"/>
      <c r="Z739" s="181"/>
    </row>
    <row r="740">
      <c r="A740" s="181"/>
      <c r="B740" s="181"/>
      <c r="C740" s="181"/>
      <c r="D740" s="181"/>
      <c r="E740" s="181"/>
      <c r="F740" s="181"/>
      <c r="G740" s="181"/>
      <c r="H740" s="181"/>
      <c r="I740" s="181"/>
      <c r="J740" s="181"/>
      <c r="K740" s="181"/>
      <c r="L740" s="181"/>
      <c r="M740" s="181"/>
      <c r="N740" s="181"/>
      <c r="O740" s="181"/>
      <c r="P740" s="181"/>
      <c r="Q740" s="181"/>
      <c r="R740" s="181"/>
      <c r="S740" s="181"/>
      <c r="T740" s="181"/>
      <c r="U740" s="181"/>
      <c r="V740" s="181"/>
      <c r="W740" s="181"/>
      <c r="X740" s="181"/>
      <c r="Y740" s="181"/>
      <c r="Z740" s="181"/>
    </row>
    <row r="741">
      <c r="A741" s="181"/>
      <c r="B741" s="181"/>
      <c r="C741" s="181"/>
      <c r="D741" s="181"/>
      <c r="E741" s="181"/>
      <c r="F741" s="181"/>
      <c r="G741" s="181"/>
      <c r="H741" s="181"/>
      <c r="I741" s="181"/>
      <c r="J741" s="181"/>
      <c r="K741" s="181"/>
      <c r="L741" s="181"/>
      <c r="M741" s="181"/>
      <c r="N741" s="181"/>
      <c r="O741" s="181"/>
      <c r="P741" s="181"/>
      <c r="Q741" s="181"/>
      <c r="R741" s="181"/>
      <c r="S741" s="181"/>
      <c r="T741" s="181"/>
      <c r="U741" s="181"/>
      <c r="V741" s="181"/>
      <c r="W741" s="181"/>
      <c r="X741" s="181"/>
      <c r="Y741" s="181"/>
      <c r="Z741" s="181"/>
    </row>
    <row r="742">
      <c r="A742" s="181"/>
      <c r="B742" s="181"/>
      <c r="C742" s="181"/>
      <c r="D742" s="181"/>
      <c r="E742" s="181"/>
      <c r="F742" s="181"/>
      <c r="G742" s="181"/>
      <c r="H742" s="181"/>
      <c r="I742" s="181"/>
      <c r="J742" s="181"/>
      <c r="K742" s="181"/>
      <c r="L742" s="181"/>
      <c r="M742" s="181"/>
      <c r="N742" s="181"/>
      <c r="O742" s="181"/>
      <c r="P742" s="181"/>
      <c r="Q742" s="181"/>
      <c r="R742" s="181"/>
      <c r="S742" s="181"/>
      <c r="T742" s="181"/>
      <c r="U742" s="181"/>
      <c r="V742" s="181"/>
      <c r="W742" s="181"/>
      <c r="X742" s="181"/>
      <c r="Y742" s="181"/>
      <c r="Z742" s="181"/>
    </row>
    <row r="743">
      <c r="A743" s="181"/>
      <c r="B743" s="181"/>
      <c r="C743" s="181"/>
      <c r="D743" s="181"/>
      <c r="E743" s="181"/>
      <c r="F743" s="181"/>
      <c r="G743" s="181"/>
      <c r="H743" s="181"/>
      <c r="I743" s="181"/>
      <c r="J743" s="181"/>
      <c r="K743" s="181"/>
      <c r="L743" s="181"/>
      <c r="M743" s="181"/>
      <c r="N743" s="181"/>
      <c r="O743" s="181"/>
      <c r="P743" s="181"/>
      <c r="Q743" s="181"/>
      <c r="R743" s="181"/>
      <c r="S743" s="181"/>
      <c r="T743" s="181"/>
      <c r="U743" s="181"/>
      <c r="V743" s="181"/>
      <c r="W743" s="181"/>
      <c r="X743" s="181"/>
      <c r="Y743" s="181"/>
      <c r="Z743" s="181"/>
    </row>
    <row r="744">
      <c r="A744" s="181"/>
      <c r="B744" s="181"/>
      <c r="C744" s="181"/>
      <c r="D744" s="181"/>
      <c r="E744" s="181"/>
      <c r="F744" s="181"/>
      <c r="G744" s="181"/>
      <c r="H744" s="181"/>
      <c r="I744" s="181"/>
      <c r="J744" s="181"/>
      <c r="K744" s="181"/>
      <c r="L744" s="181"/>
      <c r="M744" s="181"/>
      <c r="N744" s="181"/>
      <c r="O744" s="181"/>
      <c r="P744" s="181"/>
      <c r="Q744" s="181"/>
      <c r="R744" s="181"/>
      <c r="S744" s="181"/>
      <c r="T744" s="181"/>
      <c r="U744" s="181"/>
      <c r="V744" s="181"/>
      <c r="W744" s="181"/>
      <c r="X744" s="181"/>
      <c r="Y744" s="181"/>
      <c r="Z744" s="181"/>
    </row>
    <row r="745">
      <c r="A745" s="181"/>
      <c r="B745" s="181"/>
      <c r="C745" s="181"/>
      <c r="D745" s="181"/>
      <c r="E745" s="181"/>
      <c r="F745" s="181"/>
      <c r="G745" s="181"/>
      <c r="H745" s="181"/>
      <c r="I745" s="181"/>
      <c r="J745" s="181"/>
      <c r="K745" s="181"/>
      <c r="L745" s="181"/>
      <c r="M745" s="181"/>
      <c r="N745" s="181"/>
      <c r="O745" s="181"/>
      <c r="P745" s="181"/>
      <c r="Q745" s="181"/>
      <c r="R745" s="181"/>
      <c r="S745" s="181"/>
      <c r="T745" s="181"/>
      <c r="U745" s="181"/>
      <c r="V745" s="181"/>
      <c r="W745" s="181"/>
      <c r="X745" s="181"/>
      <c r="Y745" s="181"/>
      <c r="Z745" s="181"/>
    </row>
    <row r="746">
      <c r="A746" s="181"/>
      <c r="B746" s="181"/>
      <c r="C746" s="181"/>
      <c r="D746" s="181"/>
      <c r="E746" s="181"/>
      <c r="F746" s="181"/>
      <c r="G746" s="181"/>
      <c r="H746" s="181"/>
      <c r="I746" s="181"/>
      <c r="J746" s="181"/>
      <c r="K746" s="181"/>
      <c r="L746" s="181"/>
      <c r="M746" s="181"/>
      <c r="N746" s="181"/>
      <c r="O746" s="181"/>
      <c r="P746" s="181"/>
      <c r="Q746" s="181"/>
      <c r="R746" s="181"/>
      <c r="S746" s="181"/>
      <c r="T746" s="181"/>
      <c r="U746" s="181"/>
      <c r="V746" s="181"/>
      <c r="W746" s="181"/>
      <c r="X746" s="181"/>
      <c r="Y746" s="181"/>
      <c r="Z746" s="181"/>
    </row>
    <row r="747">
      <c r="A747" s="181"/>
      <c r="B747" s="181"/>
      <c r="C747" s="181"/>
      <c r="D747" s="181"/>
      <c r="E747" s="181"/>
      <c r="F747" s="181"/>
      <c r="G747" s="181"/>
      <c r="H747" s="181"/>
      <c r="I747" s="181"/>
      <c r="J747" s="181"/>
      <c r="K747" s="181"/>
      <c r="L747" s="181"/>
      <c r="M747" s="181"/>
      <c r="N747" s="181"/>
      <c r="O747" s="181"/>
      <c r="P747" s="181"/>
      <c r="Q747" s="181"/>
      <c r="R747" s="181"/>
      <c r="S747" s="181"/>
      <c r="T747" s="181"/>
      <c r="U747" s="181"/>
      <c r="V747" s="181"/>
      <c r="W747" s="181"/>
      <c r="X747" s="181"/>
      <c r="Y747" s="181"/>
      <c r="Z747" s="181"/>
    </row>
    <row r="748">
      <c r="A748" s="181"/>
      <c r="B748" s="181"/>
      <c r="C748" s="181"/>
      <c r="D748" s="181"/>
      <c r="E748" s="181"/>
      <c r="F748" s="181"/>
      <c r="G748" s="181"/>
      <c r="H748" s="181"/>
      <c r="I748" s="181"/>
      <c r="J748" s="181"/>
      <c r="K748" s="181"/>
      <c r="L748" s="181"/>
      <c r="M748" s="181"/>
      <c r="N748" s="181"/>
      <c r="O748" s="181"/>
      <c r="P748" s="181"/>
      <c r="Q748" s="181"/>
      <c r="R748" s="181"/>
      <c r="S748" s="181"/>
      <c r="T748" s="181"/>
      <c r="U748" s="181"/>
      <c r="V748" s="181"/>
      <c r="W748" s="181"/>
      <c r="X748" s="181"/>
      <c r="Y748" s="181"/>
      <c r="Z748" s="181"/>
    </row>
    <row r="749">
      <c r="A749" s="181"/>
      <c r="B749" s="181"/>
      <c r="C749" s="181"/>
      <c r="D749" s="181"/>
      <c r="E749" s="181"/>
      <c r="F749" s="181"/>
      <c r="G749" s="181"/>
      <c r="H749" s="181"/>
      <c r="I749" s="181"/>
      <c r="J749" s="181"/>
      <c r="K749" s="181"/>
      <c r="L749" s="181"/>
      <c r="M749" s="181"/>
      <c r="N749" s="181"/>
      <c r="O749" s="181"/>
      <c r="P749" s="181"/>
      <c r="Q749" s="181"/>
      <c r="R749" s="181"/>
      <c r="S749" s="181"/>
      <c r="T749" s="181"/>
      <c r="U749" s="181"/>
      <c r="V749" s="181"/>
      <c r="W749" s="181"/>
      <c r="X749" s="181"/>
      <c r="Y749" s="181"/>
      <c r="Z749" s="181"/>
    </row>
    <row r="750">
      <c r="A750" s="181"/>
      <c r="B750" s="181"/>
      <c r="C750" s="181"/>
      <c r="D750" s="181"/>
      <c r="E750" s="181"/>
      <c r="F750" s="181"/>
      <c r="G750" s="181"/>
      <c r="H750" s="181"/>
      <c r="I750" s="181"/>
      <c r="J750" s="181"/>
      <c r="K750" s="181"/>
      <c r="L750" s="181"/>
      <c r="M750" s="181"/>
      <c r="N750" s="181"/>
      <c r="O750" s="181"/>
      <c r="P750" s="181"/>
      <c r="Q750" s="181"/>
      <c r="R750" s="181"/>
      <c r="S750" s="181"/>
      <c r="T750" s="181"/>
      <c r="U750" s="181"/>
      <c r="V750" s="181"/>
      <c r="W750" s="181"/>
      <c r="X750" s="181"/>
      <c r="Y750" s="181"/>
      <c r="Z750" s="181"/>
    </row>
    <row r="751">
      <c r="A751" s="181"/>
      <c r="B751" s="181"/>
      <c r="C751" s="181"/>
      <c r="D751" s="181"/>
      <c r="E751" s="181"/>
      <c r="F751" s="181"/>
      <c r="G751" s="181"/>
      <c r="H751" s="181"/>
      <c r="I751" s="181"/>
      <c r="J751" s="181"/>
      <c r="K751" s="181"/>
      <c r="L751" s="181"/>
      <c r="M751" s="181"/>
      <c r="N751" s="181"/>
      <c r="O751" s="181"/>
      <c r="P751" s="181"/>
      <c r="Q751" s="181"/>
      <c r="R751" s="181"/>
      <c r="S751" s="181"/>
      <c r="T751" s="181"/>
      <c r="U751" s="181"/>
      <c r="V751" s="181"/>
      <c r="W751" s="181"/>
      <c r="X751" s="181"/>
      <c r="Y751" s="181"/>
      <c r="Z751" s="181"/>
    </row>
    <row r="752">
      <c r="A752" s="181"/>
      <c r="B752" s="181"/>
      <c r="C752" s="181"/>
      <c r="D752" s="181"/>
      <c r="E752" s="181"/>
      <c r="F752" s="181"/>
      <c r="G752" s="181"/>
      <c r="H752" s="181"/>
      <c r="I752" s="181"/>
      <c r="J752" s="181"/>
      <c r="K752" s="181"/>
      <c r="L752" s="181"/>
      <c r="M752" s="181"/>
      <c r="N752" s="181"/>
      <c r="O752" s="181"/>
      <c r="P752" s="181"/>
      <c r="Q752" s="181"/>
      <c r="R752" s="181"/>
      <c r="S752" s="181"/>
      <c r="T752" s="181"/>
      <c r="U752" s="181"/>
      <c r="V752" s="181"/>
      <c r="W752" s="181"/>
      <c r="X752" s="181"/>
      <c r="Y752" s="181"/>
      <c r="Z752" s="181"/>
    </row>
    <row r="753">
      <c r="A753" s="181"/>
      <c r="B753" s="181"/>
      <c r="C753" s="181"/>
      <c r="D753" s="181"/>
      <c r="E753" s="181"/>
      <c r="F753" s="181"/>
      <c r="G753" s="181"/>
      <c r="H753" s="181"/>
      <c r="I753" s="181"/>
      <c r="J753" s="181"/>
      <c r="K753" s="181"/>
      <c r="L753" s="181"/>
      <c r="M753" s="181"/>
      <c r="N753" s="181"/>
      <c r="O753" s="181"/>
      <c r="P753" s="181"/>
      <c r="Q753" s="181"/>
      <c r="R753" s="181"/>
      <c r="S753" s="181"/>
      <c r="T753" s="181"/>
      <c r="U753" s="181"/>
      <c r="V753" s="181"/>
      <c r="W753" s="181"/>
      <c r="X753" s="181"/>
      <c r="Y753" s="181"/>
      <c r="Z753" s="181"/>
    </row>
    <row r="754">
      <c r="A754" s="181"/>
      <c r="B754" s="181"/>
      <c r="C754" s="181"/>
      <c r="D754" s="181"/>
      <c r="E754" s="181"/>
      <c r="F754" s="181"/>
      <c r="G754" s="181"/>
      <c r="H754" s="181"/>
      <c r="I754" s="181"/>
      <c r="J754" s="181"/>
      <c r="K754" s="181"/>
      <c r="L754" s="181"/>
      <c r="M754" s="181"/>
      <c r="N754" s="181"/>
      <c r="O754" s="181"/>
      <c r="P754" s="181"/>
      <c r="Q754" s="181"/>
      <c r="R754" s="181"/>
      <c r="S754" s="181"/>
      <c r="T754" s="181"/>
      <c r="U754" s="181"/>
      <c r="V754" s="181"/>
      <c r="W754" s="181"/>
      <c r="X754" s="181"/>
      <c r="Y754" s="181"/>
      <c r="Z754" s="181"/>
    </row>
    <row r="755">
      <c r="A755" s="181"/>
      <c r="B755" s="181"/>
      <c r="C755" s="181"/>
      <c r="D755" s="181"/>
      <c r="E755" s="181"/>
      <c r="F755" s="181"/>
      <c r="G755" s="181"/>
      <c r="H755" s="181"/>
      <c r="I755" s="181"/>
      <c r="J755" s="181"/>
      <c r="K755" s="181"/>
      <c r="L755" s="181"/>
      <c r="M755" s="181"/>
      <c r="N755" s="181"/>
      <c r="O755" s="181"/>
      <c r="P755" s="181"/>
      <c r="Q755" s="181"/>
      <c r="R755" s="181"/>
      <c r="S755" s="181"/>
      <c r="T755" s="181"/>
      <c r="U755" s="181"/>
      <c r="V755" s="181"/>
      <c r="W755" s="181"/>
      <c r="X755" s="181"/>
      <c r="Y755" s="181"/>
      <c r="Z755" s="181"/>
    </row>
    <row r="756">
      <c r="A756" s="181"/>
      <c r="B756" s="181"/>
      <c r="C756" s="181"/>
      <c r="D756" s="181"/>
      <c r="E756" s="181"/>
      <c r="F756" s="181"/>
      <c r="G756" s="181"/>
      <c r="H756" s="181"/>
      <c r="I756" s="181"/>
      <c r="J756" s="181"/>
      <c r="K756" s="181"/>
      <c r="L756" s="181"/>
      <c r="M756" s="181"/>
      <c r="N756" s="181"/>
      <c r="O756" s="181"/>
      <c r="P756" s="181"/>
      <c r="Q756" s="181"/>
      <c r="R756" s="181"/>
      <c r="S756" s="181"/>
      <c r="T756" s="181"/>
      <c r="U756" s="181"/>
      <c r="V756" s="181"/>
      <c r="W756" s="181"/>
      <c r="X756" s="181"/>
      <c r="Y756" s="181"/>
      <c r="Z756" s="181"/>
    </row>
    <row r="757">
      <c r="A757" s="181"/>
      <c r="B757" s="181"/>
      <c r="C757" s="181"/>
      <c r="D757" s="181"/>
      <c r="E757" s="181"/>
      <c r="F757" s="181"/>
      <c r="G757" s="181"/>
      <c r="H757" s="181"/>
      <c r="I757" s="181"/>
      <c r="J757" s="181"/>
      <c r="K757" s="181"/>
      <c r="L757" s="181"/>
      <c r="M757" s="181"/>
      <c r="N757" s="181"/>
      <c r="O757" s="181"/>
      <c r="P757" s="181"/>
      <c r="Q757" s="181"/>
      <c r="R757" s="181"/>
      <c r="S757" s="181"/>
      <c r="T757" s="181"/>
      <c r="U757" s="181"/>
      <c r="V757" s="181"/>
      <c r="W757" s="181"/>
      <c r="X757" s="181"/>
      <c r="Y757" s="181"/>
      <c r="Z757" s="181"/>
    </row>
    <row r="758">
      <c r="A758" s="181"/>
      <c r="B758" s="181"/>
      <c r="C758" s="181"/>
      <c r="D758" s="181"/>
      <c r="E758" s="181"/>
      <c r="F758" s="181"/>
      <c r="G758" s="181"/>
      <c r="H758" s="181"/>
      <c r="I758" s="181"/>
      <c r="J758" s="181"/>
      <c r="K758" s="181"/>
      <c r="L758" s="181"/>
      <c r="M758" s="181"/>
      <c r="N758" s="181"/>
      <c r="O758" s="181"/>
      <c r="P758" s="181"/>
      <c r="Q758" s="181"/>
      <c r="R758" s="181"/>
      <c r="S758" s="181"/>
      <c r="T758" s="181"/>
      <c r="U758" s="181"/>
      <c r="V758" s="181"/>
      <c r="W758" s="181"/>
      <c r="X758" s="181"/>
      <c r="Y758" s="181"/>
      <c r="Z758" s="181"/>
    </row>
    <row r="759">
      <c r="A759" s="181"/>
      <c r="B759" s="181"/>
      <c r="C759" s="181"/>
      <c r="D759" s="181"/>
      <c r="E759" s="181"/>
      <c r="F759" s="181"/>
      <c r="G759" s="181"/>
      <c r="H759" s="181"/>
      <c r="I759" s="181"/>
      <c r="J759" s="181"/>
      <c r="K759" s="181"/>
      <c r="L759" s="181"/>
      <c r="M759" s="181"/>
      <c r="N759" s="181"/>
      <c r="O759" s="181"/>
      <c r="P759" s="181"/>
      <c r="Q759" s="181"/>
      <c r="R759" s="181"/>
      <c r="S759" s="181"/>
      <c r="T759" s="181"/>
      <c r="U759" s="181"/>
      <c r="V759" s="181"/>
      <c r="W759" s="181"/>
      <c r="X759" s="181"/>
      <c r="Y759" s="181"/>
      <c r="Z759" s="181"/>
    </row>
    <row r="760">
      <c r="A760" s="181"/>
      <c r="B760" s="181"/>
      <c r="C760" s="181"/>
      <c r="D760" s="181"/>
      <c r="E760" s="181"/>
      <c r="F760" s="181"/>
      <c r="G760" s="181"/>
      <c r="H760" s="181"/>
      <c r="I760" s="181"/>
      <c r="J760" s="181"/>
      <c r="K760" s="181"/>
      <c r="L760" s="181"/>
      <c r="M760" s="181"/>
      <c r="N760" s="181"/>
      <c r="O760" s="181"/>
      <c r="P760" s="181"/>
      <c r="Q760" s="181"/>
      <c r="R760" s="181"/>
      <c r="S760" s="181"/>
      <c r="T760" s="181"/>
      <c r="U760" s="181"/>
      <c r="V760" s="181"/>
      <c r="W760" s="181"/>
      <c r="X760" s="181"/>
      <c r="Y760" s="181"/>
      <c r="Z760" s="181"/>
    </row>
    <row r="761">
      <c r="A761" s="181"/>
      <c r="B761" s="181"/>
      <c r="C761" s="181"/>
      <c r="D761" s="181"/>
      <c r="E761" s="181"/>
      <c r="F761" s="181"/>
      <c r="G761" s="181"/>
      <c r="H761" s="181"/>
      <c r="I761" s="181"/>
      <c r="J761" s="181"/>
      <c r="K761" s="181"/>
      <c r="L761" s="181"/>
      <c r="M761" s="181"/>
      <c r="N761" s="181"/>
      <c r="O761" s="181"/>
      <c r="P761" s="181"/>
      <c r="Q761" s="181"/>
      <c r="R761" s="181"/>
      <c r="S761" s="181"/>
      <c r="T761" s="181"/>
      <c r="U761" s="181"/>
      <c r="V761" s="181"/>
      <c r="W761" s="181"/>
      <c r="X761" s="181"/>
      <c r="Y761" s="181"/>
      <c r="Z761" s="181"/>
    </row>
    <row r="762">
      <c r="A762" s="181"/>
      <c r="B762" s="181"/>
      <c r="C762" s="181"/>
      <c r="D762" s="181"/>
      <c r="E762" s="181"/>
      <c r="F762" s="181"/>
      <c r="G762" s="181"/>
      <c r="H762" s="181"/>
      <c r="I762" s="181"/>
      <c r="J762" s="181"/>
      <c r="K762" s="181"/>
      <c r="L762" s="181"/>
      <c r="M762" s="181"/>
      <c r="N762" s="181"/>
      <c r="O762" s="181"/>
      <c r="P762" s="181"/>
      <c r="Q762" s="181"/>
      <c r="R762" s="181"/>
      <c r="S762" s="181"/>
      <c r="T762" s="181"/>
      <c r="U762" s="181"/>
      <c r="V762" s="181"/>
      <c r="W762" s="181"/>
      <c r="X762" s="181"/>
      <c r="Y762" s="181"/>
      <c r="Z762" s="181"/>
    </row>
    <row r="763">
      <c r="A763" s="181"/>
      <c r="B763" s="181"/>
      <c r="C763" s="181"/>
      <c r="D763" s="181"/>
      <c r="E763" s="181"/>
      <c r="F763" s="181"/>
      <c r="G763" s="181"/>
      <c r="H763" s="181"/>
      <c r="I763" s="181"/>
      <c r="J763" s="181"/>
      <c r="K763" s="181"/>
      <c r="L763" s="181"/>
      <c r="M763" s="181"/>
      <c r="N763" s="181"/>
      <c r="O763" s="181"/>
      <c r="P763" s="181"/>
      <c r="Q763" s="181"/>
      <c r="R763" s="181"/>
      <c r="S763" s="181"/>
      <c r="T763" s="181"/>
      <c r="U763" s="181"/>
      <c r="V763" s="181"/>
      <c r="W763" s="181"/>
      <c r="X763" s="181"/>
      <c r="Y763" s="181"/>
      <c r="Z763" s="181"/>
    </row>
    <row r="764">
      <c r="A764" s="181"/>
      <c r="B764" s="181"/>
      <c r="C764" s="181"/>
      <c r="D764" s="181"/>
      <c r="E764" s="181"/>
      <c r="F764" s="181"/>
      <c r="G764" s="181"/>
      <c r="H764" s="181"/>
      <c r="I764" s="181"/>
      <c r="J764" s="181"/>
      <c r="K764" s="181"/>
      <c r="L764" s="181"/>
      <c r="M764" s="181"/>
      <c r="N764" s="181"/>
      <c r="O764" s="181"/>
      <c r="P764" s="181"/>
      <c r="Q764" s="181"/>
      <c r="R764" s="181"/>
      <c r="S764" s="181"/>
      <c r="T764" s="181"/>
      <c r="U764" s="181"/>
      <c r="V764" s="181"/>
      <c r="W764" s="181"/>
      <c r="X764" s="181"/>
      <c r="Y764" s="181"/>
      <c r="Z764" s="181"/>
    </row>
    <row r="765">
      <c r="A765" s="181"/>
      <c r="B765" s="181"/>
      <c r="C765" s="181"/>
      <c r="D765" s="181"/>
      <c r="E765" s="181"/>
      <c r="F765" s="181"/>
      <c r="G765" s="181"/>
      <c r="H765" s="181"/>
      <c r="I765" s="181"/>
      <c r="J765" s="181"/>
      <c r="K765" s="181"/>
      <c r="L765" s="181"/>
      <c r="M765" s="181"/>
      <c r="N765" s="181"/>
      <c r="O765" s="181"/>
      <c r="P765" s="181"/>
      <c r="Q765" s="181"/>
      <c r="R765" s="181"/>
      <c r="S765" s="181"/>
      <c r="T765" s="181"/>
      <c r="U765" s="181"/>
      <c r="V765" s="181"/>
      <c r="W765" s="181"/>
      <c r="X765" s="181"/>
      <c r="Y765" s="181"/>
      <c r="Z765" s="181"/>
    </row>
    <row r="766">
      <c r="A766" s="181"/>
      <c r="B766" s="181"/>
      <c r="C766" s="181"/>
      <c r="D766" s="181"/>
      <c r="E766" s="181"/>
      <c r="F766" s="181"/>
      <c r="G766" s="181"/>
      <c r="H766" s="181"/>
      <c r="I766" s="181"/>
      <c r="J766" s="181"/>
      <c r="K766" s="181"/>
      <c r="L766" s="181"/>
      <c r="M766" s="181"/>
      <c r="N766" s="181"/>
      <c r="O766" s="181"/>
      <c r="P766" s="181"/>
      <c r="Q766" s="181"/>
      <c r="R766" s="181"/>
      <c r="S766" s="181"/>
      <c r="T766" s="181"/>
      <c r="U766" s="181"/>
      <c r="V766" s="181"/>
      <c r="W766" s="181"/>
      <c r="X766" s="181"/>
      <c r="Y766" s="181"/>
      <c r="Z766" s="181"/>
    </row>
    <row r="767">
      <c r="A767" s="181"/>
      <c r="B767" s="181"/>
      <c r="C767" s="181"/>
      <c r="D767" s="181"/>
      <c r="E767" s="181"/>
      <c r="F767" s="181"/>
      <c r="G767" s="181"/>
      <c r="H767" s="181"/>
      <c r="I767" s="181"/>
      <c r="J767" s="181"/>
      <c r="K767" s="181"/>
      <c r="L767" s="181"/>
      <c r="M767" s="181"/>
      <c r="N767" s="181"/>
      <c r="O767" s="181"/>
      <c r="P767" s="181"/>
      <c r="Q767" s="181"/>
      <c r="R767" s="181"/>
      <c r="S767" s="181"/>
      <c r="T767" s="181"/>
      <c r="U767" s="181"/>
      <c r="V767" s="181"/>
      <c r="W767" s="181"/>
      <c r="X767" s="181"/>
      <c r="Y767" s="181"/>
      <c r="Z767" s="181"/>
    </row>
    <row r="768">
      <c r="A768" s="181"/>
      <c r="B768" s="181"/>
      <c r="C768" s="181"/>
      <c r="D768" s="181"/>
      <c r="E768" s="181"/>
      <c r="F768" s="181"/>
      <c r="G768" s="181"/>
      <c r="H768" s="181"/>
      <c r="I768" s="181"/>
      <c r="J768" s="181"/>
      <c r="K768" s="181"/>
      <c r="L768" s="181"/>
      <c r="M768" s="181"/>
      <c r="N768" s="181"/>
      <c r="O768" s="181"/>
      <c r="P768" s="181"/>
      <c r="Q768" s="181"/>
      <c r="R768" s="181"/>
      <c r="S768" s="181"/>
      <c r="T768" s="181"/>
      <c r="U768" s="181"/>
      <c r="V768" s="181"/>
      <c r="W768" s="181"/>
      <c r="X768" s="181"/>
      <c r="Y768" s="181"/>
      <c r="Z768" s="181"/>
    </row>
    <row r="769">
      <c r="A769" s="181"/>
      <c r="B769" s="181"/>
      <c r="C769" s="181"/>
      <c r="D769" s="181"/>
      <c r="E769" s="181"/>
      <c r="F769" s="181"/>
      <c r="G769" s="181"/>
      <c r="H769" s="181"/>
      <c r="I769" s="181"/>
      <c r="J769" s="181"/>
      <c r="K769" s="181"/>
      <c r="L769" s="181"/>
      <c r="M769" s="181"/>
      <c r="N769" s="181"/>
      <c r="O769" s="181"/>
      <c r="P769" s="181"/>
      <c r="Q769" s="181"/>
      <c r="R769" s="181"/>
      <c r="S769" s="181"/>
      <c r="T769" s="181"/>
      <c r="U769" s="181"/>
      <c r="V769" s="181"/>
      <c r="W769" s="181"/>
      <c r="X769" s="181"/>
      <c r="Y769" s="181"/>
      <c r="Z769" s="181"/>
    </row>
    <row r="770">
      <c r="A770" s="181"/>
      <c r="B770" s="181"/>
      <c r="C770" s="181"/>
      <c r="D770" s="181"/>
      <c r="E770" s="181"/>
      <c r="F770" s="181"/>
      <c r="G770" s="181"/>
      <c r="H770" s="181"/>
      <c r="I770" s="181"/>
      <c r="J770" s="181"/>
      <c r="K770" s="181"/>
      <c r="L770" s="181"/>
      <c r="M770" s="181"/>
      <c r="N770" s="181"/>
      <c r="O770" s="181"/>
      <c r="P770" s="181"/>
      <c r="Q770" s="181"/>
      <c r="R770" s="181"/>
      <c r="S770" s="181"/>
      <c r="T770" s="181"/>
      <c r="U770" s="181"/>
      <c r="V770" s="181"/>
      <c r="W770" s="181"/>
      <c r="X770" s="181"/>
      <c r="Y770" s="181"/>
      <c r="Z770" s="181"/>
    </row>
    <row r="771">
      <c r="A771" s="181"/>
      <c r="B771" s="181"/>
      <c r="C771" s="181"/>
      <c r="D771" s="181"/>
      <c r="E771" s="181"/>
      <c r="F771" s="181"/>
      <c r="G771" s="181"/>
      <c r="H771" s="181"/>
      <c r="I771" s="181"/>
      <c r="J771" s="181"/>
      <c r="K771" s="181"/>
      <c r="L771" s="181"/>
      <c r="M771" s="181"/>
      <c r="N771" s="181"/>
      <c r="O771" s="181"/>
      <c r="P771" s="181"/>
      <c r="Q771" s="181"/>
      <c r="R771" s="181"/>
      <c r="S771" s="181"/>
      <c r="T771" s="181"/>
      <c r="U771" s="181"/>
      <c r="V771" s="181"/>
      <c r="W771" s="181"/>
      <c r="X771" s="181"/>
      <c r="Y771" s="181"/>
      <c r="Z771" s="181"/>
    </row>
    <row r="772">
      <c r="A772" s="181"/>
      <c r="B772" s="181"/>
      <c r="C772" s="181"/>
      <c r="D772" s="181"/>
      <c r="E772" s="181"/>
      <c r="F772" s="181"/>
      <c r="G772" s="181"/>
      <c r="H772" s="181"/>
      <c r="I772" s="181"/>
      <c r="J772" s="181"/>
      <c r="K772" s="181"/>
      <c r="L772" s="181"/>
      <c r="M772" s="181"/>
      <c r="N772" s="181"/>
      <c r="O772" s="181"/>
      <c r="P772" s="181"/>
      <c r="Q772" s="181"/>
      <c r="R772" s="181"/>
      <c r="S772" s="181"/>
      <c r="T772" s="181"/>
      <c r="U772" s="181"/>
      <c r="V772" s="181"/>
      <c r="W772" s="181"/>
      <c r="X772" s="181"/>
      <c r="Y772" s="181"/>
      <c r="Z772" s="181"/>
    </row>
    <row r="773">
      <c r="A773" s="181"/>
      <c r="B773" s="181"/>
      <c r="C773" s="181"/>
      <c r="D773" s="181"/>
      <c r="E773" s="181"/>
      <c r="F773" s="181"/>
      <c r="G773" s="181"/>
      <c r="H773" s="181"/>
      <c r="I773" s="181"/>
      <c r="J773" s="181"/>
      <c r="K773" s="181"/>
      <c r="L773" s="181"/>
      <c r="M773" s="181"/>
      <c r="N773" s="181"/>
      <c r="O773" s="181"/>
      <c r="P773" s="181"/>
      <c r="Q773" s="181"/>
      <c r="R773" s="181"/>
      <c r="S773" s="181"/>
      <c r="T773" s="181"/>
      <c r="U773" s="181"/>
      <c r="V773" s="181"/>
      <c r="W773" s="181"/>
      <c r="X773" s="181"/>
      <c r="Y773" s="181"/>
      <c r="Z773" s="181"/>
    </row>
    <row r="774">
      <c r="A774" s="181"/>
      <c r="B774" s="181"/>
      <c r="C774" s="181"/>
      <c r="D774" s="181"/>
      <c r="E774" s="181"/>
      <c r="F774" s="181"/>
      <c r="G774" s="181"/>
      <c r="H774" s="181"/>
      <c r="I774" s="181"/>
      <c r="J774" s="181"/>
      <c r="K774" s="181"/>
      <c r="L774" s="181"/>
      <c r="M774" s="181"/>
      <c r="N774" s="181"/>
      <c r="O774" s="181"/>
      <c r="P774" s="181"/>
      <c r="Q774" s="181"/>
      <c r="R774" s="181"/>
      <c r="S774" s="181"/>
      <c r="T774" s="181"/>
      <c r="U774" s="181"/>
      <c r="V774" s="181"/>
      <c r="W774" s="181"/>
      <c r="X774" s="181"/>
      <c r="Y774" s="181"/>
      <c r="Z774" s="181"/>
    </row>
    <row r="775">
      <c r="A775" s="181"/>
      <c r="B775" s="181"/>
      <c r="C775" s="181"/>
      <c r="D775" s="181"/>
      <c r="E775" s="181"/>
      <c r="F775" s="181"/>
      <c r="G775" s="181"/>
      <c r="H775" s="181"/>
      <c r="I775" s="181"/>
      <c r="J775" s="181"/>
      <c r="K775" s="181"/>
      <c r="L775" s="181"/>
      <c r="M775" s="181"/>
      <c r="N775" s="181"/>
      <c r="O775" s="181"/>
      <c r="P775" s="181"/>
      <c r="Q775" s="181"/>
      <c r="R775" s="181"/>
      <c r="S775" s="181"/>
      <c r="T775" s="181"/>
      <c r="U775" s="181"/>
      <c r="V775" s="181"/>
      <c r="W775" s="181"/>
      <c r="X775" s="181"/>
      <c r="Y775" s="181"/>
      <c r="Z775" s="181"/>
    </row>
    <row r="776">
      <c r="A776" s="181"/>
      <c r="B776" s="181"/>
      <c r="C776" s="181"/>
      <c r="D776" s="181"/>
      <c r="E776" s="181"/>
      <c r="F776" s="181"/>
      <c r="G776" s="181"/>
      <c r="H776" s="181"/>
      <c r="I776" s="181"/>
      <c r="J776" s="181"/>
      <c r="K776" s="181"/>
      <c r="L776" s="181"/>
      <c r="M776" s="181"/>
      <c r="N776" s="181"/>
      <c r="O776" s="181"/>
      <c r="P776" s="181"/>
      <c r="Q776" s="181"/>
      <c r="R776" s="181"/>
      <c r="S776" s="181"/>
      <c r="T776" s="181"/>
      <c r="U776" s="181"/>
      <c r="V776" s="181"/>
      <c r="W776" s="181"/>
      <c r="X776" s="181"/>
      <c r="Y776" s="181"/>
      <c r="Z776" s="181"/>
    </row>
    <row r="777">
      <c r="A777" s="181"/>
      <c r="B777" s="181"/>
      <c r="C777" s="181"/>
      <c r="D777" s="181"/>
      <c r="E777" s="181"/>
      <c r="F777" s="181"/>
      <c r="G777" s="181"/>
      <c r="H777" s="181"/>
      <c r="I777" s="181"/>
      <c r="J777" s="181"/>
      <c r="K777" s="181"/>
      <c r="L777" s="181"/>
      <c r="M777" s="181"/>
      <c r="N777" s="181"/>
      <c r="O777" s="181"/>
      <c r="P777" s="181"/>
      <c r="Q777" s="181"/>
      <c r="R777" s="181"/>
      <c r="S777" s="181"/>
      <c r="T777" s="181"/>
      <c r="U777" s="181"/>
      <c r="V777" s="181"/>
      <c r="W777" s="181"/>
      <c r="X777" s="181"/>
      <c r="Y777" s="181"/>
      <c r="Z777" s="181"/>
    </row>
    <row r="778">
      <c r="A778" s="181"/>
      <c r="B778" s="181"/>
      <c r="C778" s="181"/>
      <c r="D778" s="181"/>
      <c r="E778" s="181"/>
      <c r="F778" s="181"/>
      <c r="G778" s="181"/>
      <c r="H778" s="181"/>
      <c r="I778" s="181"/>
      <c r="J778" s="181"/>
      <c r="K778" s="181"/>
      <c r="L778" s="181"/>
      <c r="M778" s="181"/>
      <c r="N778" s="181"/>
      <c r="O778" s="181"/>
      <c r="P778" s="181"/>
      <c r="Q778" s="181"/>
      <c r="R778" s="181"/>
      <c r="S778" s="181"/>
      <c r="T778" s="181"/>
      <c r="U778" s="181"/>
      <c r="V778" s="181"/>
      <c r="W778" s="181"/>
      <c r="X778" s="181"/>
      <c r="Y778" s="181"/>
      <c r="Z778" s="181"/>
    </row>
    <row r="779">
      <c r="A779" s="181"/>
      <c r="B779" s="181"/>
      <c r="C779" s="181"/>
      <c r="D779" s="181"/>
      <c r="E779" s="181"/>
      <c r="F779" s="181"/>
      <c r="G779" s="181"/>
      <c r="H779" s="181"/>
      <c r="I779" s="181"/>
      <c r="J779" s="181"/>
      <c r="K779" s="181"/>
      <c r="L779" s="181"/>
      <c r="M779" s="181"/>
      <c r="N779" s="181"/>
      <c r="O779" s="181"/>
      <c r="P779" s="181"/>
      <c r="Q779" s="181"/>
      <c r="R779" s="181"/>
      <c r="S779" s="181"/>
      <c r="T779" s="181"/>
      <c r="U779" s="181"/>
      <c r="V779" s="181"/>
      <c r="W779" s="181"/>
      <c r="X779" s="181"/>
      <c r="Y779" s="181"/>
      <c r="Z779" s="181"/>
    </row>
    <row r="780">
      <c r="A780" s="181"/>
      <c r="B780" s="181"/>
      <c r="C780" s="181"/>
      <c r="D780" s="181"/>
      <c r="E780" s="181"/>
      <c r="F780" s="181"/>
      <c r="G780" s="181"/>
      <c r="H780" s="181"/>
      <c r="I780" s="181"/>
      <c r="J780" s="181"/>
      <c r="K780" s="181"/>
      <c r="L780" s="181"/>
      <c r="M780" s="181"/>
      <c r="N780" s="181"/>
      <c r="O780" s="181"/>
      <c r="P780" s="181"/>
      <c r="Q780" s="181"/>
      <c r="R780" s="181"/>
      <c r="S780" s="181"/>
      <c r="T780" s="181"/>
      <c r="U780" s="181"/>
      <c r="V780" s="181"/>
      <c r="W780" s="181"/>
      <c r="X780" s="181"/>
      <c r="Y780" s="181"/>
      <c r="Z780" s="181"/>
    </row>
    <row r="781">
      <c r="A781" s="181"/>
      <c r="B781" s="181"/>
      <c r="C781" s="181"/>
      <c r="D781" s="181"/>
      <c r="E781" s="181"/>
      <c r="F781" s="181"/>
      <c r="G781" s="181"/>
      <c r="H781" s="181"/>
      <c r="I781" s="181"/>
      <c r="J781" s="181"/>
      <c r="K781" s="181"/>
      <c r="L781" s="181"/>
      <c r="M781" s="181"/>
      <c r="N781" s="181"/>
      <c r="O781" s="181"/>
      <c r="P781" s="181"/>
      <c r="Q781" s="181"/>
      <c r="R781" s="181"/>
      <c r="S781" s="181"/>
      <c r="T781" s="181"/>
      <c r="U781" s="181"/>
      <c r="V781" s="181"/>
      <c r="W781" s="181"/>
      <c r="X781" s="181"/>
      <c r="Y781" s="181"/>
      <c r="Z781" s="181"/>
    </row>
    <row r="782">
      <c r="A782" s="181"/>
      <c r="B782" s="181"/>
      <c r="C782" s="181"/>
      <c r="D782" s="181"/>
      <c r="E782" s="181"/>
      <c r="F782" s="181"/>
      <c r="G782" s="181"/>
      <c r="H782" s="181"/>
      <c r="I782" s="181"/>
      <c r="J782" s="181"/>
      <c r="K782" s="181"/>
      <c r="L782" s="181"/>
      <c r="M782" s="181"/>
      <c r="N782" s="181"/>
      <c r="O782" s="181"/>
      <c r="P782" s="181"/>
      <c r="Q782" s="181"/>
      <c r="R782" s="181"/>
      <c r="S782" s="181"/>
      <c r="T782" s="181"/>
      <c r="U782" s="181"/>
      <c r="V782" s="181"/>
      <c r="W782" s="181"/>
      <c r="X782" s="181"/>
      <c r="Y782" s="181"/>
      <c r="Z782" s="181"/>
    </row>
    <row r="783">
      <c r="A783" s="181"/>
      <c r="B783" s="181"/>
      <c r="C783" s="181"/>
      <c r="D783" s="181"/>
      <c r="E783" s="181"/>
      <c r="F783" s="181"/>
      <c r="G783" s="181"/>
      <c r="H783" s="181"/>
      <c r="I783" s="181"/>
      <c r="J783" s="181"/>
      <c r="K783" s="181"/>
      <c r="L783" s="181"/>
      <c r="M783" s="181"/>
      <c r="N783" s="181"/>
      <c r="O783" s="181"/>
      <c r="P783" s="181"/>
      <c r="Q783" s="181"/>
      <c r="R783" s="181"/>
      <c r="S783" s="181"/>
      <c r="T783" s="181"/>
      <c r="U783" s="181"/>
      <c r="V783" s="181"/>
      <c r="W783" s="181"/>
      <c r="X783" s="181"/>
      <c r="Y783" s="181"/>
      <c r="Z783" s="181"/>
    </row>
    <row r="784">
      <c r="A784" s="181"/>
      <c r="B784" s="181"/>
      <c r="C784" s="181"/>
      <c r="D784" s="181"/>
      <c r="E784" s="181"/>
      <c r="F784" s="181"/>
      <c r="G784" s="181"/>
      <c r="H784" s="181"/>
      <c r="I784" s="181"/>
      <c r="J784" s="181"/>
      <c r="K784" s="181"/>
      <c r="L784" s="181"/>
      <c r="M784" s="181"/>
      <c r="N784" s="181"/>
      <c r="O784" s="181"/>
      <c r="P784" s="181"/>
      <c r="Q784" s="181"/>
      <c r="R784" s="181"/>
      <c r="S784" s="181"/>
      <c r="T784" s="181"/>
      <c r="U784" s="181"/>
      <c r="V784" s="181"/>
      <c r="W784" s="181"/>
      <c r="X784" s="181"/>
      <c r="Y784" s="181"/>
      <c r="Z784" s="181"/>
    </row>
    <row r="785">
      <c r="A785" s="181"/>
      <c r="B785" s="181"/>
      <c r="C785" s="181"/>
      <c r="D785" s="181"/>
      <c r="E785" s="181"/>
      <c r="F785" s="181"/>
      <c r="G785" s="181"/>
      <c r="H785" s="181"/>
      <c r="I785" s="181"/>
      <c r="J785" s="181"/>
      <c r="K785" s="181"/>
      <c r="L785" s="181"/>
      <c r="M785" s="181"/>
      <c r="N785" s="181"/>
      <c r="O785" s="181"/>
      <c r="P785" s="181"/>
      <c r="Q785" s="181"/>
      <c r="R785" s="181"/>
      <c r="S785" s="181"/>
      <c r="T785" s="181"/>
      <c r="U785" s="181"/>
      <c r="V785" s="181"/>
      <c r="W785" s="181"/>
      <c r="X785" s="181"/>
      <c r="Y785" s="181"/>
      <c r="Z785" s="181"/>
    </row>
    <row r="786">
      <c r="A786" s="181"/>
      <c r="B786" s="181"/>
      <c r="C786" s="181"/>
      <c r="D786" s="181"/>
      <c r="E786" s="181"/>
      <c r="F786" s="181"/>
      <c r="G786" s="181"/>
      <c r="H786" s="181"/>
      <c r="I786" s="181"/>
      <c r="J786" s="181"/>
      <c r="K786" s="181"/>
      <c r="L786" s="181"/>
      <c r="M786" s="181"/>
      <c r="N786" s="181"/>
      <c r="O786" s="181"/>
      <c r="P786" s="181"/>
      <c r="Q786" s="181"/>
      <c r="R786" s="181"/>
      <c r="S786" s="181"/>
      <c r="T786" s="181"/>
      <c r="U786" s="181"/>
      <c r="V786" s="181"/>
      <c r="W786" s="181"/>
      <c r="X786" s="181"/>
      <c r="Y786" s="181"/>
      <c r="Z786" s="181"/>
    </row>
    <row r="787">
      <c r="A787" s="181"/>
      <c r="B787" s="181"/>
      <c r="C787" s="181"/>
      <c r="D787" s="181"/>
      <c r="E787" s="181"/>
      <c r="F787" s="181"/>
      <c r="G787" s="181"/>
      <c r="H787" s="181"/>
      <c r="I787" s="181"/>
      <c r="J787" s="181"/>
      <c r="K787" s="181"/>
      <c r="L787" s="181"/>
      <c r="M787" s="181"/>
      <c r="N787" s="181"/>
      <c r="O787" s="181"/>
      <c r="P787" s="181"/>
      <c r="Q787" s="181"/>
      <c r="R787" s="181"/>
      <c r="S787" s="181"/>
      <c r="T787" s="181"/>
      <c r="U787" s="181"/>
      <c r="V787" s="181"/>
      <c r="W787" s="181"/>
      <c r="X787" s="181"/>
      <c r="Y787" s="181"/>
      <c r="Z787" s="181"/>
    </row>
    <row r="788">
      <c r="A788" s="181"/>
      <c r="B788" s="181"/>
      <c r="C788" s="181"/>
      <c r="D788" s="181"/>
      <c r="E788" s="181"/>
      <c r="F788" s="181"/>
      <c r="G788" s="181"/>
      <c r="H788" s="181"/>
      <c r="I788" s="181"/>
      <c r="J788" s="181"/>
      <c r="K788" s="181"/>
      <c r="L788" s="181"/>
      <c r="M788" s="181"/>
      <c r="N788" s="181"/>
      <c r="O788" s="181"/>
      <c r="P788" s="181"/>
      <c r="Q788" s="181"/>
      <c r="R788" s="181"/>
      <c r="S788" s="181"/>
      <c r="T788" s="181"/>
      <c r="U788" s="181"/>
      <c r="V788" s="181"/>
      <c r="W788" s="181"/>
      <c r="X788" s="181"/>
      <c r="Y788" s="181"/>
      <c r="Z788" s="181"/>
    </row>
    <row r="789">
      <c r="A789" s="181"/>
      <c r="B789" s="181"/>
      <c r="C789" s="181"/>
      <c r="D789" s="181"/>
      <c r="E789" s="181"/>
      <c r="F789" s="181"/>
      <c r="G789" s="181"/>
      <c r="H789" s="181"/>
      <c r="I789" s="181"/>
      <c r="J789" s="181"/>
      <c r="K789" s="181"/>
      <c r="L789" s="181"/>
      <c r="M789" s="181"/>
      <c r="N789" s="181"/>
      <c r="O789" s="181"/>
      <c r="P789" s="181"/>
      <c r="Q789" s="181"/>
      <c r="R789" s="181"/>
      <c r="S789" s="181"/>
      <c r="T789" s="181"/>
      <c r="U789" s="181"/>
      <c r="V789" s="181"/>
      <c r="W789" s="181"/>
      <c r="X789" s="181"/>
      <c r="Y789" s="181"/>
      <c r="Z789" s="181"/>
    </row>
    <row r="790">
      <c r="A790" s="181"/>
      <c r="B790" s="181"/>
      <c r="C790" s="181"/>
      <c r="D790" s="181"/>
      <c r="E790" s="181"/>
      <c r="F790" s="181"/>
      <c r="G790" s="181"/>
      <c r="H790" s="181"/>
      <c r="I790" s="181"/>
      <c r="J790" s="181"/>
      <c r="K790" s="181"/>
      <c r="L790" s="181"/>
      <c r="M790" s="181"/>
      <c r="N790" s="181"/>
      <c r="O790" s="181"/>
      <c r="P790" s="181"/>
      <c r="Q790" s="181"/>
      <c r="R790" s="181"/>
      <c r="S790" s="181"/>
      <c r="T790" s="181"/>
      <c r="U790" s="181"/>
      <c r="V790" s="181"/>
      <c r="W790" s="181"/>
      <c r="X790" s="181"/>
      <c r="Y790" s="181"/>
      <c r="Z790" s="181"/>
    </row>
    <row r="791">
      <c r="A791" s="181"/>
      <c r="B791" s="181"/>
      <c r="C791" s="181"/>
      <c r="D791" s="181"/>
      <c r="E791" s="181"/>
      <c r="F791" s="181"/>
      <c r="G791" s="181"/>
      <c r="H791" s="181"/>
      <c r="I791" s="181"/>
      <c r="J791" s="181"/>
      <c r="K791" s="181"/>
      <c r="L791" s="181"/>
      <c r="M791" s="181"/>
      <c r="N791" s="181"/>
      <c r="O791" s="181"/>
      <c r="P791" s="181"/>
      <c r="Q791" s="181"/>
      <c r="R791" s="181"/>
      <c r="S791" s="181"/>
      <c r="T791" s="181"/>
      <c r="U791" s="181"/>
      <c r="V791" s="181"/>
      <c r="W791" s="181"/>
      <c r="X791" s="181"/>
      <c r="Y791" s="181"/>
      <c r="Z791" s="181"/>
    </row>
    <row r="792">
      <c r="A792" s="181"/>
      <c r="B792" s="181"/>
      <c r="C792" s="181"/>
      <c r="D792" s="181"/>
      <c r="E792" s="181"/>
      <c r="F792" s="181"/>
      <c r="G792" s="181"/>
      <c r="H792" s="181"/>
      <c r="I792" s="181"/>
      <c r="J792" s="181"/>
      <c r="K792" s="181"/>
      <c r="L792" s="181"/>
      <c r="M792" s="181"/>
      <c r="N792" s="181"/>
      <c r="O792" s="181"/>
      <c r="P792" s="181"/>
      <c r="Q792" s="181"/>
      <c r="R792" s="181"/>
      <c r="S792" s="181"/>
      <c r="T792" s="181"/>
      <c r="U792" s="181"/>
      <c r="V792" s="181"/>
      <c r="W792" s="181"/>
      <c r="X792" s="181"/>
      <c r="Y792" s="181"/>
      <c r="Z792" s="181"/>
    </row>
    <row r="793">
      <c r="A793" s="181"/>
      <c r="B793" s="181"/>
      <c r="C793" s="181"/>
      <c r="D793" s="181"/>
      <c r="E793" s="181"/>
      <c r="F793" s="181"/>
      <c r="G793" s="181"/>
      <c r="H793" s="181"/>
      <c r="I793" s="181"/>
      <c r="J793" s="181"/>
      <c r="K793" s="181"/>
      <c r="L793" s="181"/>
      <c r="M793" s="181"/>
      <c r="N793" s="181"/>
      <c r="O793" s="181"/>
      <c r="P793" s="181"/>
      <c r="Q793" s="181"/>
      <c r="R793" s="181"/>
      <c r="S793" s="181"/>
      <c r="T793" s="181"/>
      <c r="U793" s="181"/>
      <c r="V793" s="181"/>
      <c r="W793" s="181"/>
      <c r="X793" s="181"/>
      <c r="Y793" s="181"/>
      <c r="Z793" s="181"/>
    </row>
    <row r="794">
      <c r="A794" s="181"/>
      <c r="B794" s="181"/>
      <c r="C794" s="181"/>
      <c r="D794" s="181"/>
      <c r="E794" s="181"/>
      <c r="F794" s="181"/>
      <c r="G794" s="181"/>
      <c r="H794" s="181"/>
      <c r="I794" s="181"/>
      <c r="J794" s="181"/>
      <c r="K794" s="181"/>
      <c r="L794" s="181"/>
      <c r="M794" s="181"/>
      <c r="N794" s="181"/>
      <c r="O794" s="181"/>
      <c r="P794" s="181"/>
      <c r="Q794" s="181"/>
      <c r="R794" s="181"/>
      <c r="S794" s="181"/>
      <c r="T794" s="181"/>
      <c r="U794" s="181"/>
      <c r="V794" s="181"/>
      <c r="W794" s="181"/>
      <c r="X794" s="181"/>
      <c r="Y794" s="181"/>
      <c r="Z794" s="181"/>
    </row>
    <row r="795">
      <c r="A795" s="181"/>
      <c r="B795" s="181"/>
      <c r="C795" s="181"/>
      <c r="D795" s="181"/>
      <c r="E795" s="181"/>
      <c r="F795" s="181"/>
      <c r="G795" s="181"/>
      <c r="H795" s="181"/>
      <c r="I795" s="181"/>
      <c r="J795" s="181"/>
      <c r="K795" s="181"/>
      <c r="L795" s="181"/>
      <c r="M795" s="181"/>
      <c r="N795" s="181"/>
      <c r="O795" s="181"/>
      <c r="P795" s="181"/>
      <c r="Q795" s="181"/>
      <c r="R795" s="181"/>
      <c r="S795" s="181"/>
      <c r="T795" s="181"/>
      <c r="U795" s="181"/>
      <c r="V795" s="181"/>
      <c r="W795" s="181"/>
      <c r="X795" s="181"/>
      <c r="Y795" s="181"/>
      <c r="Z795" s="181"/>
    </row>
    <row r="796">
      <c r="A796" s="181"/>
      <c r="B796" s="181"/>
      <c r="C796" s="181"/>
      <c r="D796" s="181"/>
      <c r="E796" s="181"/>
      <c r="F796" s="181"/>
      <c r="G796" s="181"/>
      <c r="H796" s="181"/>
      <c r="I796" s="181"/>
      <c r="J796" s="181"/>
      <c r="K796" s="181"/>
      <c r="L796" s="181"/>
      <c r="M796" s="181"/>
      <c r="N796" s="181"/>
      <c r="O796" s="181"/>
      <c r="P796" s="181"/>
      <c r="Q796" s="181"/>
      <c r="R796" s="181"/>
      <c r="S796" s="181"/>
      <c r="T796" s="181"/>
      <c r="U796" s="181"/>
      <c r="V796" s="181"/>
      <c r="W796" s="181"/>
      <c r="X796" s="181"/>
      <c r="Y796" s="181"/>
      <c r="Z796" s="181"/>
    </row>
    <row r="797">
      <c r="A797" s="181"/>
      <c r="B797" s="181"/>
      <c r="C797" s="181"/>
      <c r="D797" s="181"/>
      <c r="E797" s="181"/>
      <c r="F797" s="181"/>
      <c r="G797" s="181"/>
      <c r="H797" s="181"/>
      <c r="I797" s="181"/>
      <c r="J797" s="181"/>
      <c r="K797" s="181"/>
      <c r="L797" s="181"/>
      <c r="M797" s="181"/>
      <c r="N797" s="181"/>
      <c r="O797" s="181"/>
      <c r="P797" s="181"/>
      <c r="Q797" s="181"/>
      <c r="R797" s="181"/>
      <c r="S797" s="181"/>
      <c r="T797" s="181"/>
      <c r="U797" s="181"/>
      <c r="V797" s="181"/>
      <c r="W797" s="181"/>
      <c r="X797" s="181"/>
      <c r="Y797" s="181"/>
      <c r="Z797" s="181"/>
    </row>
    <row r="798">
      <c r="A798" s="181"/>
      <c r="B798" s="181"/>
      <c r="C798" s="181"/>
      <c r="D798" s="181"/>
      <c r="E798" s="181"/>
      <c r="F798" s="181"/>
      <c r="G798" s="181"/>
      <c r="H798" s="181"/>
      <c r="I798" s="181"/>
      <c r="J798" s="181"/>
      <c r="K798" s="181"/>
      <c r="L798" s="181"/>
      <c r="M798" s="181"/>
      <c r="N798" s="181"/>
      <c r="O798" s="181"/>
      <c r="P798" s="181"/>
      <c r="Q798" s="181"/>
      <c r="R798" s="181"/>
      <c r="S798" s="181"/>
      <c r="T798" s="181"/>
      <c r="U798" s="181"/>
      <c r="V798" s="181"/>
      <c r="W798" s="181"/>
      <c r="X798" s="181"/>
      <c r="Y798" s="181"/>
      <c r="Z798" s="181"/>
    </row>
    <row r="799">
      <c r="A799" s="181"/>
      <c r="B799" s="181"/>
      <c r="C799" s="181"/>
      <c r="D799" s="181"/>
      <c r="E799" s="181"/>
      <c r="F799" s="181"/>
      <c r="G799" s="181"/>
      <c r="H799" s="181"/>
      <c r="I799" s="181"/>
      <c r="J799" s="181"/>
      <c r="K799" s="181"/>
      <c r="L799" s="181"/>
      <c r="M799" s="181"/>
      <c r="N799" s="181"/>
      <c r="O799" s="181"/>
      <c r="P799" s="181"/>
      <c r="Q799" s="181"/>
      <c r="R799" s="181"/>
      <c r="S799" s="181"/>
      <c r="T799" s="181"/>
      <c r="U799" s="181"/>
      <c r="V799" s="181"/>
      <c r="W799" s="181"/>
      <c r="X799" s="181"/>
      <c r="Y799" s="181"/>
      <c r="Z799" s="181"/>
    </row>
    <row r="800">
      <c r="A800" s="181"/>
      <c r="B800" s="181"/>
      <c r="C800" s="181"/>
      <c r="D800" s="181"/>
      <c r="E800" s="181"/>
      <c r="F800" s="181"/>
      <c r="G800" s="181"/>
      <c r="H800" s="181"/>
      <c r="I800" s="181"/>
      <c r="J800" s="181"/>
      <c r="K800" s="181"/>
      <c r="L800" s="181"/>
      <c r="M800" s="181"/>
      <c r="N800" s="181"/>
      <c r="O800" s="181"/>
      <c r="P800" s="181"/>
      <c r="Q800" s="181"/>
      <c r="R800" s="181"/>
      <c r="S800" s="181"/>
      <c r="T800" s="181"/>
      <c r="U800" s="181"/>
      <c r="V800" s="181"/>
      <c r="W800" s="181"/>
      <c r="X800" s="181"/>
      <c r="Y800" s="181"/>
      <c r="Z800" s="181"/>
    </row>
    <row r="801">
      <c r="A801" s="181"/>
      <c r="B801" s="181"/>
      <c r="C801" s="181"/>
      <c r="D801" s="181"/>
      <c r="E801" s="181"/>
      <c r="F801" s="181"/>
      <c r="G801" s="181"/>
      <c r="H801" s="181"/>
      <c r="I801" s="181"/>
      <c r="J801" s="181"/>
      <c r="K801" s="181"/>
      <c r="L801" s="181"/>
      <c r="M801" s="181"/>
      <c r="N801" s="181"/>
      <c r="O801" s="181"/>
      <c r="P801" s="181"/>
      <c r="Q801" s="181"/>
      <c r="R801" s="181"/>
      <c r="S801" s="181"/>
      <c r="T801" s="181"/>
      <c r="U801" s="181"/>
      <c r="V801" s="181"/>
      <c r="W801" s="181"/>
      <c r="X801" s="181"/>
      <c r="Y801" s="181"/>
      <c r="Z801" s="181"/>
    </row>
    <row r="802">
      <c r="A802" s="181"/>
      <c r="B802" s="181"/>
      <c r="C802" s="181"/>
      <c r="D802" s="181"/>
      <c r="E802" s="181"/>
      <c r="F802" s="181"/>
      <c r="G802" s="181"/>
      <c r="H802" s="181"/>
      <c r="I802" s="181"/>
      <c r="J802" s="181"/>
      <c r="K802" s="181"/>
      <c r="L802" s="181"/>
      <c r="M802" s="181"/>
      <c r="N802" s="181"/>
      <c r="O802" s="181"/>
      <c r="P802" s="181"/>
      <c r="Q802" s="181"/>
      <c r="R802" s="181"/>
      <c r="S802" s="181"/>
      <c r="T802" s="181"/>
      <c r="U802" s="181"/>
      <c r="V802" s="181"/>
      <c r="W802" s="181"/>
      <c r="X802" s="181"/>
      <c r="Y802" s="181"/>
      <c r="Z802" s="181"/>
    </row>
    <row r="803">
      <c r="A803" s="181"/>
      <c r="B803" s="181"/>
      <c r="C803" s="181"/>
      <c r="D803" s="181"/>
      <c r="E803" s="181"/>
      <c r="F803" s="181"/>
      <c r="G803" s="181"/>
      <c r="H803" s="181"/>
      <c r="I803" s="181"/>
      <c r="J803" s="181"/>
      <c r="K803" s="181"/>
      <c r="L803" s="181"/>
      <c r="M803" s="181"/>
      <c r="N803" s="181"/>
      <c r="O803" s="181"/>
      <c r="P803" s="181"/>
      <c r="Q803" s="181"/>
      <c r="R803" s="181"/>
      <c r="S803" s="181"/>
      <c r="T803" s="181"/>
      <c r="U803" s="181"/>
      <c r="V803" s="181"/>
      <c r="W803" s="181"/>
      <c r="X803" s="181"/>
      <c r="Y803" s="181"/>
      <c r="Z803" s="181"/>
    </row>
    <row r="804">
      <c r="A804" s="181"/>
      <c r="B804" s="181"/>
      <c r="C804" s="181"/>
      <c r="D804" s="181"/>
      <c r="E804" s="181"/>
      <c r="F804" s="181"/>
      <c r="G804" s="181"/>
      <c r="H804" s="181"/>
      <c r="I804" s="181"/>
      <c r="J804" s="181"/>
      <c r="K804" s="181"/>
      <c r="L804" s="181"/>
      <c r="M804" s="181"/>
      <c r="N804" s="181"/>
      <c r="O804" s="181"/>
      <c r="P804" s="181"/>
      <c r="Q804" s="181"/>
      <c r="R804" s="181"/>
      <c r="S804" s="181"/>
      <c r="T804" s="181"/>
      <c r="U804" s="181"/>
      <c r="V804" s="181"/>
      <c r="W804" s="181"/>
      <c r="X804" s="181"/>
      <c r="Y804" s="181"/>
      <c r="Z804" s="181"/>
    </row>
    <row r="805">
      <c r="A805" s="181"/>
      <c r="B805" s="181"/>
      <c r="C805" s="181"/>
      <c r="D805" s="181"/>
      <c r="E805" s="181"/>
      <c r="F805" s="181"/>
      <c r="G805" s="181"/>
      <c r="H805" s="181"/>
      <c r="I805" s="181"/>
      <c r="J805" s="181"/>
      <c r="K805" s="181"/>
      <c r="L805" s="181"/>
      <c r="M805" s="181"/>
      <c r="N805" s="181"/>
      <c r="O805" s="181"/>
      <c r="P805" s="181"/>
      <c r="Q805" s="181"/>
      <c r="R805" s="181"/>
      <c r="S805" s="181"/>
      <c r="T805" s="181"/>
      <c r="U805" s="181"/>
      <c r="V805" s="181"/>
      <c r="W805" s="181"/>
      <c r="X805" s="181"/>
      <c r="Y805" s="181"/>
      <c r="Z805" s="181"/>
    </row>
    <row r="806">
      <c r="A806" s="181"/>
      <c r="B806" s="181"/>
      <c r="C806" s="181"/>
      <c r="D806" s="181"/>
      <c r="E806" s="181"/>
      <c r="F806" s="181"/>
      <c r="G806" s="181"/>
      <c r="H806" s="181"/>
      <c r="I806" s="181"/>
      <c r="J806" s="181"/>
      <c r="K806" s="181"/>
      <c r="L806" s="181"/>
      <c r="M806" s="181"/>
      <c r="N806" s="181"/>
      <c r="O806" s="181"/>
      <c r="P806" s="181"/>
      <c r="Q806" s="181"/>
      <c r="R806" s="181"/>
      <c r="S806" s="181"/>
      <c r="T806" s="181"/>
      <c r="U806" s="181"/>
      <c r="V806" s="181"/>
      <c r="W806" s="181"/>
      <c r="X806" s="181"/>
      <c r="Y806" s="181"/>
      <c r="Z806" s="181"/>
    </row>
    <row r="807">
      <c r="A807" s="181"/>
      <c r="B807" s="181"/>
      <c r="C807" s="181"/>
      <c r="D807" s="181"/>
      <c r="E807" s="181"/>
      <c r="F807" s="181"/>
      <c r="G807" s="181"/>
      <c r="H807" s="181"/>
      <c r="I807" s="181"/>
      <c r="J807" s="181"/>
      <c r="K807" s="181"/>
      <c r="L807" s="181"/>
      <c r="M807" s="181"/>
      <c r="N807" s="181"/>
      <c r="O807" s="181"/>
      <c r="P807" s="181"/>
      <c r="Q807" s="181"/>
      <c r="R807" s="181"/>
      <c r="S807" s="181"/>
      <c r="T807" s="181"/>
      <c r="U807" s="181"/>
      <c r="V807" s="181"/>
      <c r="W807" s="181"/>
      <c r="X807" s="181"/>
      <c r="Y807" s="181"/>
      <c r="Z807" s="181"/>
    </row>
    <row r="808">
      <c r="A808" s="181"/>
      <c r="B808" s="181"/>
      <c r="C808" s="181"/>
      <c r="D808" s="181"/>
      <c r="E808" s="181"/>
      <c r="F808" s="181"/>
      <c r="G808" s="181"/>
      <c r="H808" s="181"/>
      <c r="I808" s="181"/>
      <c r="J808" s="181"/>
      <c r="K808" s="181"/>
      <c r="L808" s="181"/>
      <c r="M808" s="181"/>
      <c r="N808" s="181"/>
      <c r="O808" s="181"/>
      <c r="P808" s="181"/>
      <c r="Q808" s="181"/>
      <c r="R808" s="181"/>
      <c r="S808" s="181"/>
      <c r="T808" s="181"/>
      <c r="U808" s="181"/>
      <c r="V808" s="181"/>
      <c r="W808" s="181"/>
      <c r="X808" s="181"/>
      <c r="Y808" s="181"/>
      <c r="Z808" s="181"/>
    </row>
    <row r="809">
      <c r="A809" s="181"/>
      <c r="B809" s="181"/>
      <c r="C809" s="181"/>
      <c r="D809" s="181"/>
      <c r="E809" s="181"/>
      <c r="F809" s="181"/>
      <c r="G809" s="181"/>
      <c r="H809" s="181"/>
      <c r="I809" s="181"/>
      <c r="J809" s="181"/>
      <c r="K809" s="181"/>
      <c r="L809" s="181"/>
      <c r="M809" s="181"/>
      <c r="N809" s="181"/>
      <c r="O809" s="181"/>
      <c r="P809" s="181"/>
      <c r="Q809" s="181"/>
      <c r="R809" s="181"/>
      <c r="S809" s="181"/>
      <c r="T809" s="181"/>
      <c r="U809" s="181"/>
      <c r="V809" s="181"/>
      <c r="W809" s="181"/>
      <c r="X809" s="181"/>
      <c r="Y809" s="181"/>
      <c r="Z809" s="181"/>
    </row>
    <row r="810">
      <c r="A810" s="181"/>
      <c r="B810" s="181"/>
      <c r="C810" s="181"/>
      <c r="D810" s="181"/>
      <c r="E810" s="181"/>
      <c r="F810" s="181"/>
      <c r="G810" s="181"/>
      <c r="H810" s="181"/>
      <c r="I810" s="181"/>
      <c r="J810" s="181"/>
      <c r="K810" s="181"/>
      <c r="L810" s="181"/>
      <c r="M810" s="181"/>
      <c r="N810" s="181"/>
      <c r="O810" s="181"/>
      <c r="P810" s="181"/>
      <c r="Q810" s="181"/>
      <c r="R810" s="181"/>
      <c r="S810" s="181"/>
      <c r="T810" s="181"/>
      <c r="U810" s="181"/>
      <c r="V810" s="181"/>
      <c r="W810" s="181"/>
      <c r="X810" s="181"/>
      <c r="Y810" s="181"/>
      <c r="Z810" s="181"/>
    </row>
    <row r="811">
      <c r="A811" s="181"/>
      <c r="B811" s="181"/>
      <c r="C811" s="181"/>
      <c r="D811" s="181"/>
      <c r="E811" s="181"/>
      <c r="F811" s="181"/>
      <c r="G811" s="181"/>
      <c r="H811" s="181"/>
      <c r="I811" s="181"/>
      <c r="J811" s="181"/>
      <c r="K811" s="181"/>
      <c r="L811" s="181"/>
      <c r="M811" s="181"/>
      <c r="N811" s="181"/>
      <c r="O811" s="181"/>
      <c r="P811" s="181"/>
      <c r="Q811" s="181"/>
      <c r="R811" s="181"/>
      <c r="S811" s="181"/>
      <c r="T811" s="181"/>
      <c r="U811" s="181"/>
      <c r="V811" s="181"/>
      <c r="W811" s="181"/>
      <c r="X811" s="181"/>
      <c r="Y811" s="181"/>
      <c r="Z811" s="181"/>
    </row>
    <row r="812">
      <c r="A812" s="181"/>
      <c r="B812" s="181"/>
      <c r="C812" s="181"/>
      <c r="D812" s="181"/>
      <c r="E812" s="181"/>
      <c r="F812" s="181"/>
      <c r="G812" s="181"/>
      <c r="H812" s="181"/>
      <c r="I812" s="181"/>
      <c r="J812" s="181"/>
      <c r="K812" s="181"/>
      <c r="L812" s="181"/>
      <c r="M812" s="181"/>
      <c r="N812" s="181"/>
      <c r="O812" s="181"/>
      <c r="P812" s="181"/>
      <c r="Q812" s="181"/>
      <c r="R812" s="181"/>
      <c r="S812" s="181"/>
      <c r="T812" s="181"/>
      <c r="U812" s="181"/>
      <c r="V812" s="181"/>
      <c r="W812" s="181"/>
      <c r="X812" s="181"/>
      <c r="Y812" s="181"/>
      <c r="Z812" s="181"/>
    </row>
    <row r="813">
      <c r="A813" s="181"/>
      <c r="B813" s="181"/>
      <c r="C813" s="181"/>
      <c r="D813" s="181"/>
      <c r="E813" s="181"/>
      <c r="F813" s="181"/>
      <c r="G813" s="181"/>
      <c r="H813" s="181"/>
      <c r="I813" s="181"/>
      <c r="J813" s="181"/>
      <c r="K813" s="181"/>
      <c r="L813" s="181"/>
      <c r="M813" s="181"/>
      <c r="N813" s="181"/>
      <c r="O813" s="181"/>
      <c r="P813" s="181"/>
      <c r="Q813" s="181"/>
      <c r="R813" s="181"/>
      <c r="S813" s="181"/>
      <c r="T813" s="181"/>
      <c r="U813" s="181"/>
      <c r="V813" s="181"/>
      <c r="W813" s="181"/>
      <c r="X813" s="181"/>
      <c r="Y813" s="181"/>
      <c r="Z813" s="181"/>
    </row>
    <row r="814">
      <c r="A814" s="181"/>
      <c r="B814" s="181"/>
      <c r="C814" s="181"/>
      <c r="D814" s="181"/>
      <c r="E814" s="181"/>
      <c r="F814" s="181"/>
      <c r="G814" s="181"/>
      <c r="H814" s="181"/>
      <c r="I814" s="181"/>
      <c r="J814" s="181"/>
      <c r="K814" s="181"/>
      <c r="L814" s="181"/>
      <c r="M814" s="181"/>
      <c r="N814" s="181"/>
      <c r="O814" s="181"/>
      <c r="P814" s="181"/>
      <c r="Q814" s="181"/>
      <c r="R814" s="181"/>
      <c r="S814" s="181"/>
      <c r="T814" s="181"/>
      <c r="U814" s="181"/>
      <c r="V814" s="181"/>
      <c r="W814" s="181"/>
      <c r="X814" s="181"/>
      <c r="Y814" s="181"/>
      <c r="Z814" s="181"/>
    </row>
    <row r="815">
      <c r="A815" s="181"/>
      <c r="B815" s="181"/>
      <c r="C815" s="181"/>
      <c r="D815" s="181"/>
      <c r="E815" s="181"/>
      <c r="F815" s="181"/>
      <c r="G815" s="181"/>
      <c r="H815" s="181"/>
      <c r="I815" s="181"/>
      <c r="J815" s="181"/>
      <c r="K815" s="181"/>
      <c r="L815" s="181"/>
      <c r="M815" s="181"/>
      <c r="N815" s="181"/>
      <c r="O815" s="181"/>
      <c r="P815" s="181"/>
      <c r="Q815" s="181"/>
      <c r="R815" s="181"/>
      <c r="S815" s="181"/>
      <c r="T815" s="181"/>
      <c r="U815" s="181"/>
      <c r="V815" s="181"/>
      <c r="W815" s="181"/>
      <c r="X815" s="181"/>
      <c r="Y815" s="181"/>
      <c r="Z815" s="181"/>
    </row>
    <row r="816">
      <c r="A816" s="181"/>
      <c r="B816" s="181"/>
      <c r="C816" s="181"/>
      <c r="D816" s="181"/>
      <c r="E816" s="181"/>
      <c r="F816" s="181"/>
      <c r="G816" s="181"/>
      <c r="H816" s="181"/>
      <c r="I816" s="181"/>
      <c r="J816" s="181"/>
      <c r="K816" s="181"/>
      <c r="L816" s="181"/>
      <c r="M816" s="181"/>
      <c r="N816" s="181"/>
      <c r="O816" s="181"/>
      <c r="P816" s="181"/>
      <c r="Q816" s="181"/>
      <c r="R816" s="181"/>
      <c r="S816" s="181"/>
      <c r="T816" s="181"/>
      <c r="U816" s="181"/>
      <c r="V816" s="181"/>
      <c r="W816" s="181"/>
      <c r="X816" s="181"/>
      <c r="Y816" s="181"/>
      <c r="Z816" s="181"/>
    </row>
    <row r="817">
      <c r="A817" s="181"/>
      <c r="B817" s="181"/>
      <c r="C817" s="181"/>
      <c r="D817" s="181"/>
      <c r="E817" s="181"/>
      <c r="F817" s="181"/>
      <c r="G817" s="181"/>
      <c r="H817" s="181"/>
      <c r="I817" s="181"/>
      <c r="J817" s="181"/>
      <c r="K817" s="181"/>
      <c r="L817" s="181"/>
      <c r="M817" s="181"/>
      <c r="N817" s="181"/>
      <c r="O817" s="181"/>
      <c r="P817" s="181"/>
      <c r="Q817" s="181"/>
      <c r="R817" s="181"/>
      <c r="S817" s="181"/>
      <c r="T817" s="181"/>
      <c r="U817" s="181"/>
      <c r="V817" s="181"/>
      <c r="W817" s="181"/>
      <c r="X817" s="181"/>
      <c r="Y817" s="181"/>
      <c r="Z817" s="181"/>
    </row>
    <row r="818">
      <c r="A818" s="181"/>
      <c r="B818" s="181"/>
      <c r="C818" s="181"/>
      <c r="D818" s="181"/>
      <c r="E818" s="181"/>
      <c r="F818" s="181"/>
      <c r="G818" s="181"/>
      <c r="H818" s="181"/>
      <c r="I818" s="181"/>
      <c r="J818" s="181"/>
      <c r="K818" s="181"/>
      <c r="L818" s="181"/>
      <c r="M818" s="181"/>
      <c r="N818" s="181"/>
      <c r="O818" s="181"/>
      <c r="P818" s="181"/>
      <c r="Q818" s="181"/>
      <c r="R818" s="181"/>
      <c r="S818" s="181"/>
      <c r="T818" s="181"/>
      <c r="U818" s="181"/>
      <c r="V818" s="181"/>
      <c r="W818" s="181"/>
      <c r="X818" s="181"/>
      <c r="Y818" s="181"/>
      <c r="Z818" s="181"/>
    </row>
    <row r="819">
      <c r="A819" s="181"/>
      <c r="B819" s="181"/>
      <c r="C819" s="181"/>
      <c r="D819" s="181"/>
      <c r="E819" s="181"/>
      <c r="F819" s="181"/>
      <c r="G819" s="181"/>
      <c r="H819" s="181"/>
      <c r="I819" s="181"/>
      <c r="J819" s="181"/>
      <c r="K819" s="181"/>
      <c r="L819" s="181"/>
      <c r="M819" s="181"/>
      <c r="N819" s="181"/>
      <c r="O819" s="181"/>
      <c r="P819" s="181"/>
      <c r="Q819" s="181"/>
      <c r="R819" s="181"/>
      <c r="S819" s="181"/>
      <c r="T819" s="181"/>
      <c r="U819" s="181"/>
      <c r="V819" s="181"/>
      <c r="W819" s="181"/>
      <c r="X819" s="181"/>
      <c r="Y819" s="181"/>
      <c r="Z819" s="181"/>
    </row>
    <row r="820">
      <c r="A820" s="181"/>
      <c r="B820" s="181"/>
      <c r="C820" s="181"/>
      <c r="D820" s="181"/>
      <c r="E820" s="181"/>
      <c r="F820" s="181"/>
      <c r="G820" s="181"/>
      <c r="H820" s="181"/>
      <c r="I820" s="181"/>
      <c r="J820" s="181"/>
      <c r="K820" s="181"/>
      <c r="L820" s="181"/>
      <c r="M820" s="181"/>
      <c r="N820" s="181"/>
      <c r="O820" s="181"/>
      <c r="P820" s="181"/>
      <c r="Q820" s="181"/>
      <c r="R820" s="181"/>
      <c r="S820" s="181"/>
      <c r="T820" s="181"/>
      <c r="U820" s="181"/>
      <c r="V820" s="181"/>
      <c r="W820" s="181"/>
      <c r="X820" s="181"/>
      <c r="Y820" s="181"/>
      <c r="Z820" s="181"/>
    </row>
    <row r="821">
      <c r="A821" s="181"/>
      <c r="B821" s="181"/>
      <c r="C821" s="181"/>
      <c r="D821" s="181"/>
      <c r="E821" s="181"/>
      <c r="F821" s="181"/>
      <c r="G821" s="181"/>
      <c r="H821" s="181"/>
      <c r="I821" s="181"/>
      <c r="J821" s="181"/>
      <c r="K821" s="181"/>
      <c r="L821" s="181"/>
      <c r="M821" s="181"/>
      <c r="N821" s="181"/>
      <c r="O821" s="181"/>
      <c r="P821" s="181"/>
      <c r="Q821" s="181"/>
      <c r="R821" s="181"/>
      <c r="S821" s="181"/>
      <c r="T821" s="181"/>
      <c r="U821" s="181"/>
      <c r="V821" s="181"/>
      <c r="W821" s="181"/>
      <c r="X821" s="181"/>
      <c r="Y821" s="181"/>
      <c r="Z821" s="181"/>
    </row>
    <row r="822">
      <c r="A822" s="181"/>
      <c r="B822" s="181"/>
      <c r="C822" s="181"/>
      <c r="D822" s="181"/>
      <c r="E822" s="181"/>
      <c r="F822" s="181"/>
      <c r="G822" s="181"/>
      <c r="H822" s="181"/>
      <c r="I822" s="181"/>
      <c r="J822" s="181"/>
      <c r="K822" s="181"/>
      <c r="L822" s="181"/>
      <c r="M822" s="181"/>
      <c r="N822" s="181"/>
      <c r="O822" s="181"/>
      <c r="P822" s="181"/>
      <c r="Q822" s="181"/>
      <c r="R822" s="181"/>
      <c r="S822" s="181"/>
      <c r="T822" s="181"/>
      <c r="U822" s="181"/>
      <c r="V822" s="181"/>
      <c r="W822" s="181"/>
      <c r="X822" s="181"/>
      <c r="Y822" s="181"/>
      <c r="Z822" s="181"/>
    </row>
    <row r="823">
      <c r="A823" s="181"/>
      <c r="B823" s="181"/>
      <c r="C823" s="181"/>
      <c r="D823" s="181"/>
      <c r="E823" s="181"/>
      <c r="F823" s="181"/>
      <c r="G823" s="181"/>
      <c r="H823" s="181"/>
      <c r="I823" s="181"/>
      <c r="J823" s="181"/>
      <c r="K823" s="181"/>
      <c r="L823" s="181"/>
      <c r="M823" s="181"/>
      <c r="N823" s="181"/>
      <c r="O823" s="181"/>
      <c r="P823" s="181"/>
      <c r="Q823" s="181"/>
      <c r="R823" s="181"/>
      <c r="S823" s="181"/>
      <c r="T823" s="181"/>
      <c r="U823" s="181"/>
      <c r="V823" s="181"/>
      <c r="W823" s="181"/>
      <c r="X823" s="181"/>
      <c r="Y823" s="181"/>
      <c r="Z823" s="181"/>
    </row>
    <row r="824">
      <c r="A824" s="181"/>
      <c r="B824" s="181"/>
      <c r="C824" s="181"/>
      <c r="D824" s="181"/>
      <c r="E824" s="181"/>
      <c r="F824" s="181"/>
      <c r="G824" s="181"/>
      <c r="H824" s="181"/>
      <c r="I824" s="181"/>
      <c r="J824" s="181"/>
      <c r="K824" s="181"/>
      <c r="L824" s="181"/>
      <c r="M824" s="181"/>
      <c r="N824" s="181"/>
      <c r="O824" s="181"/>
      <c r="P824" s="181"/>
      <c r="Q824" s="181"/>
      <c r="R824" s="181"/>
      <c r="S824" s="181"/>
      <c r="T824" s="181"/>
      <c r="U824" s="181"/>
      <c r="V824" s="181"/>
      <c r="W824" s="181"/>
      <c r="X824" s="181"/>
      <c r="Y824" s="181"/>
      <c r="Z824" s="181"/>
    </row>
    <row r="825">
      <c r="A825" s="181"/>
      <c r="B825" s="181"/>
      <c r="C825" s="181"/>
      <c r="D825" s="181"/>
      <c r="E825" s="181"/>
      <c r="F825" s="181"/>
      <c r="G825" s="181"/>
      <c r="H825" s="181"/>
      <c r="I825" s="181"/>
      <c r="J825" s="181"/>
      <c r="K825" s="181"/>
      <c r="L825" s="181"/>
      <c r="M825" s="181"/>
      <c r="N825" s="181"/>
      <c r="O825" s="181"/>
      <c r="P825" s="181"/>
      <c r="Q825" s="181"/>
      <c r="R825" s="181"/>
      <c r="S825" s="181"/>
      <c r="T825" s="181"/>
      <c r="U825" s="181"/>
      <c r="V825" s="181"/>
      <c r="W825" s="181"/>
      <c r="X825" s="181"/>
      <c r="Y825" s="181"/>
      <c r="Z825" s="181"/>
    </row>
    <row r="826">
      <c r="A826" s="181"/>
      <c r="B826" s="181"/>
      <c r="C826" s="181"/>
      <c r="D826" s="181"/>
      <c r="E826" s="181"/>
      <c r="F826" s="181"/>
      <c r="G826" s="181"/>
      <c r="H826" s="181"/>
      <c r="I826" s="181"/>
      <c r="J826" s="181"/>
      <c r="K826" s="181"/>
      <c r="L826" s="181"/>
      <c r="M826" s="181"/>
      <c r="N826" s="181"/>
      <c r="O826" s="181"/>
      <c r="P826" s="181"/>
      <c r="Q826" s="181"/>
      <c r="R826" s="181"/>
      <c r="S826" s="181"/>
      <c r="T826" s="181"/>
      <c r="U826" s="181"/>
      <c r="V826" s="181"/>
      <c r="W826" s="181"/>
      <c r="X826" s="181"/>
      <c r="Y826" s="181"/>
      <c r="Z826" s="181"/>
    </row>
    <row r="827">
      <c r="A827" s="181"/>
      <c r="B827" s="181"/>
      <c r="C827" s="181"/>
      <c r="D827" s="181"/>
      <c r="E827" s="181"/>
      <c r="F827" s="181"/>
      <c r="G827" s="181"/>
      <c r="H827" s="181"/>
      <c r="I827" s="181"/>
      <c r="J827" s="181"/>
      <c r="K827" s="181"/>
      <c r="L827" s="181"/>
      <c r="M827" s="181"/>
      <c r="N827" s="181"/>
      <c r="O827" s="181"/>
      <c r="P827" s="181"/>
      <c r="Q827" s="181"/>
      <c r="R827" s="181"/>
      <c r="S827" s="181"/>
      <c r="T827" s="181"/>
      <c r="U827" s="181"/>
      <c r="V827" s="181"/>
      <c r="W827" s="181"/>
      <c r="X827" s="181"/>
      <c r="Y827" s="181"/>
      <c r="Z827" s="181"/>
    </row>
    <row r="828">
      <c r="A828" s="181"/>
      <c r="B828" s="181"/>
      <c r="C828" s="181"/>
      <c r="D828" s="181"/>
      <c r="E828" s="181"/>
      <c r="F828" s="181"/>
      <c r="G828" s="181"/>
      <c r="H828" s="181"/>
      <c r="I828" s="181"/>
      <c r="J828" s="181"/>
      <c r="K828" s="181"/>
      <c r="L828" s="181"/>
      <c r="M828" s="181"/>
      <c r="N828" s="181"/>
      <c r="O828" s="181"/>
      <c r="P828" s="181"/>
      <c r="Q828" s="181"/>
      <c r="R828" s="181"/>
      <c r="S828" s="181"/>
      <c r="T828" s="181"/>
      <c r="U828" s="181"/>
      <c r="V828" s="181"/>
      <c r="W828" s="181"/>
      <c r="X828" s="181"/>
      <c r="Y828" s="181"/>
      <c r="Z828" s="181"/>
    </row>
    <row r="829">
      <c r="A829" s="181"/>
      <c r="B829" s="181"/>
      <c r="C829" s="181"/>
      <c r="D829" s="181"/>
      <c r="E829" s="181"/>
      <c r="F829" s="181"/>
      <c r="G829" s="181"/>
      <c r="H829" s="181"/>
      <c r="I829" s="181"/>
      <c r="J829" s="181"/>
      <c r="K829" s="181"/>
      <c r="L829" s="181"/>
      <c r="M829" s="181"/>
      <c r="N829" s="181"/>
      <c r="O829" s="181"/>
      <c r="P829" s="181"/>
      <c r="Q829" s="181"/>
      <c r="R829" s="181"/>
      <c r="S829" s="181"/>
      <c r="T829" s="181"/>
      <c r="U829" s="181"/>
      <c r="V829" s="181"/>
      <c r="W829" s="181"/>
      <c r="X829" s="181"/>
      <c r="Y829" s="181"/>
      <c r="Z829" s="181"/>
    </row>
    <row r="830">
      <c r="A830" s="181"/>
      <c r="B830" s="181"/>
      <c r="C830" s="181"/>
      <c r="D830" s="181"/>
      <c r="E830" s="181"/>
      <c r="F830" s="181"/>
      <c r="G830" s="181"/>
      <c r="H830" s="181"/>
      <c r="I830" s="181"/>
      <c r="J830" s="181"/>
      <c r="K830" s="181"/>
      <c r="L830" s="181"/>
      <c r="M830" s="181"/>
      <c r="N830" s="181"/>
      <c r="O830" s="181"/>
      <c r="P830" s="181"/>
      <c r="Q830" s="181"/>
      <c r="R830" s="181"/>
      <c r="S830" s="181"/>
      <c r="T830" s="181"/>
      <c r="U830" s="181"/>
      <c r="V830" s="181"/>
      <c r="W830" s="181"/>
      <c r="X830" s="181"/>
      <c r="Y830" s="181"/>
      <c r="Z830" s="181"/>
    </row>
    <row r="831">
      <c r="A831" s="181"/>
      <c r="B831" s="181"/>
      <c r="C831" s="181"/>
      <c r="D831" s="181"/>
      <c r="E831" s="181"/>
      <c r="F831" s="181"/>
      <c r="G831" s="181"/>
      <c r="H831" s="181"/>
      <c r="I831" s="181"/>
      <c r="J831" s="181"/>
      <c r="K831" s="181"/>
      <c r="L831" s="181"/>
      <c r="M831" s="181"/>
      <c r="N831" s="181"/>
      <c r="O831" s="181"/>
      <c r="P831" s="181"/>
      <c r="Q831" s="181"/>
      <c r="R831" s="181"/>
      <c r="S831" s="181"/>
      <c r="T831" s="181"/>
      <c r="U831" s="181"/>
      <c r="V831" s="181"/>
      <c r="W831" s="181"/>
      <c r="X831" s="181"/>
      <c r="Y831" s="181"/>
      <c r="Z831" s="181"/>
    </row>
    <row r="832">
      <c r="A832" s="181"/>
      <c r="B832" s="181"/>
      <c r="C832" s="181"/>
      <c r="D832" s="181"/>
      <c r="E832" s="181"/>
      <c r="F832" s="181"/>
      <c r="G832" s="181"/>
      <c r="H832" s="181"/>
      <c r="I832" s="181"/>
      <c r="J832" s="181"/>
      <c r="K832" s="181"/>
      <c r="L832" s="181"/>
      <c r="M832" s="181"/>
      <c r="N832" s="181"/>
      <c r="O832" s="181"/>
      <c r="P832" s="181"/>
      <c r="Q832" s="181"/>
      <c r="R832" s="181"/>
      <c r="S832" s="181"/>
      <c r="T832" s="181"/>
      <c r="U832" s="181"/>
      <c r="V832" s="181"/>
      <c r="W832" s="181"/>
      <c r="X832" s="181"/>
      <c r="Y832" s="181"/>
      <c r="Z832" s="181"/>
    </row>
    <row r="833">
      <c r="A833" s="181"/>
      <c r="B833" s="181"/>
      <c r="C833" s="181"/>
      <c r="D833" s="181"/>
      <c r="E833" s="181"/>
      <c r="F833" s="181"/>
      <c r="G833" s="181"/>
      <c r="H833" s="181"/>
      <c r="I833" s="181"/>
      <c r="J833" s="181"/>
      <c r="K833" s="181"/>
      <c r="L833" s="181"/>
      <c r="M833" s="181"/>
      <c r="N833" s="181"/>
      <c r="O833" s="181"/>
      <c r="P833" s="181"/>
      <c r="Q833" s="181"/>
      <c r="R833" s="181"/>
      <c r="S833" s="181"/>
      <c r="T833" s="181"/>
      <c r="U833" s="181"/>
      <c r="V833" s="181"/>
      <c r="W833" s="181"/>
      <c r="X833" s="181"/>
      <c r="Y833" s="181"/>
      <c r="Z833" s="181"/>
    </row>
    <row r="834">
      <c r="A834" s="181"/>
      <c r="B834" s="181"/>
      <c r="C834" s="181"/>
      <c r="D834" s="181"/>
      <c r="E834" s="181"/>
      <c r="F834" s="181"/>
      <c r="G834" s="181"/>
      <c r="H834" s="181"/>
      <c r="I834" s="181"/>
      <c r="J834" s="181"/>
      <c r="K834" s="181"/>
      <c r="L834" s="181"/>
      <c r="M834" s="181"/>
      <c r="N834" s="181"/>
      <c r="O834" s="181"/>
      <c r="P834" s="181"/>
      <c r="Q834" s="181"/>
      <c r="R834" s="181"/>
      <c r="S834" s="181"/>
      <c r="T834" s="181"/>
      <c r="U834" s="181"/>
      <c r="V834" s="181"/>
      <c r="W834" s="181"/>
      <c r="X834" s="181"/>
      <c r="Y834" s="181"/>
      <c r="Z834" s="181"/>
    </row>
    <row r="835">
      <c r="A835" s="181"/>
      <c r="B835" s="181"/>
      <c r="C835" s="181"/>
      <c r="D835" s="181"/>
      <c r="E835" s="181"/>
      <c r="F835" s="181"/>
      <c r="G835" s="181"/>
      <c r="H835" s="181"/>
      <c r="I835" s="181"/>
      <c r="J835" s="181"/>
      <c r="K835" s="181"/>
      <c r="L835" s="181"/>
      <c r="M835" s="181"/>
      <c r="N835" s="181"/>
      <c r="O835" s="181"/>
      <c r="P835" s="181"/>
      <c r="Q835" s="181"/>
      <c r="R835" s="181"/>
      <c r="S835" s="181"/>
      <c r="T835" s="181"/>
      <c r="U835" s="181"/>
      <c r="V835" s="181"/>
      <c r="W835" s="181"/>
      <c r="X835" s="181"/>
      <c r="Y835" s="181"/>
      <c r="Z835" s="181"/>
    </row>
    <row r="836">
      <c r="A836" s="181"/>
      <c r="B836" s="181"/>
      <c r="C836" s="181"/>
      <c r="D836" s="181"/>
      <c r="E836" s="181"/>
      <c r="F836" s="181"/>
      <c r="G836" s="181"/>
      <c r="H836" s="181"/>
      <c r="I836" s="181"/>
      <c r="J836" s="181"/>
      <c r="K836" s="181"/>
      <c r="L836" s="181"/>
      <c r="M836" s="181"/>
      <c r="N836" s="181"/>
      <c r="O836" s="181"/>
      <c r="P836" s="181"/>
      <c r="Q836" s="181"/>
      <c r="R836" s="181"/>
      <c r="S836" s="181"/>
      <c r="T836" s="181"/>
      <c r="U836" s="181"/>
      <c r="V836" s="181"/>
      <c r="W836" s="181"/>
      <c r="X836" s="181"/>
      <c r="Y836" s="181"/>
      <c r="Z836" s="181"/>
    </row>
    <row r="837">
      <c r="A837" s="181"/>
      <c r="B837" s="181"/>
      <c r="C837" s="181"/>
      <c r="D837" s="181"/>
      <c r="E837" s="181"/>
      <c r="F837" s="181"/>
      <c r="G837" s="181"/>
      <c r="H837" s="181"/>
      <c r="I837" s="181"/>
      <c r="J837" s="181"/>
      <c r="K837" s="181"/>
      <c r="L837" s="181"/>
      <c r="M837" s="181"/>
      <c r="N837" s="181"/>
      <c r="O837" s="181"/>
      <c r="P837" s="181"/>
      <c r="Q837" s="181"/>
      <c r="R837" s="181"/>
      <c r="S837" s="181"/>
      <c r="T837" s="181"/>
      <c r="U837" s="181"/>
      <c r="V837" s="181"/>
      <c r="W837" s="181"/>
      <c r="X837" s="181"/>
      <c r="Y837" s="181"/>
      <c r="Z837" s="181"/>
    </row>
    <row r="838">
      <c r="A838" s="181"/>
      <c r="B838" s="181"/>
      <c r="C838" s="181"/>
      <c r="D838" s="181"/>
      <c r="E838" s="181"/>
      <c r="F838" s="181"/>
      <c r="G838" s="181"/>
      <c r="H838" s="181"/>
      <c r="I838" s="181"/>
      <c r="J838" s="181"/>
      <c r="K838" s="181"/>
      <c r="L838" s="181"/>
      <c r="M838" s="181"/>
      <c r="N838" s="181"/>
      <c r="O838" s="181"/>
      <c r="P838" s="181"/>
      <c r="Q838" s="181"/>
      <c r="R838" s="181"/>
      <c r="S838" s="181"/>
      <c r="T838" s="181"/>
      <c r="U838" s="181"/>
      <c r="V838" s="181"/>
      <c r="W838" s="181"/>
      <c r="X838" s="181"/>
      <c r="Y838" s="181"/>
      <c r="Z838" s="181"/>
    </row>
    <row r="839">
      <c r="A839" s="181"/>
      <c r="B839" s="181"/>
      <c r="C839" s="181"/>
      <c r="D839" s="181"/>
      <c r="E839" s="181"/>
      <c r="F839" s="181"/>
      <c r="G839" s="181"/>
      <c r="H839" s="181"/>
      <c r="I839" s="181"/>
      <c r="J839" s="181"/>
      <c r="K839" s="181"/>
      <c r="L839" s="181"/>
      <c r="M839" s="181"/>
      <c r="N839" s="181"/>
      <c r="O839" s="181"/>
      <c r="P839" s="181"/>
      <c r="Q839" s="181"/>
      <c r="R839" s="181"/>
      <c r="S839" s="181"/>
      <c r="T839" s="181"/>
      <c r="U839" s="181"/>
      <c r="V839" s="181"/>
      <c r="W839" s="181"/>
      <c r="X839" s="181"/>
      <c r="Y839" s="181"/>
      <c r="Z839" s="181"/>
    </row>
    <row r="840">
      <c r="A840" s="181"/>
      <c r="B840" s="181"/>
      <c r="C840" s="181"/>
      <c r="D840" s="181"/>
      <c r="E840" s="181"/>
      <c r="F840" s="181"/>
      <c r="G840" s="181"/>
      <c r="H840" s="181"/>
      <c r="I840" s="181"/>
      <c r="J840" s="181"/>
      <c r="K840" s="181"/>
      <c r="L840" s="181"/>
      <c r="M840" s="181"/>
      <c r="N840" s="181"/>
      <c r="O840" s="181"/>
      <c r="P840" s="181"/>
      <c r="Q840" s="181"/>
      <c r="R840" s="181"/>
      <c r="S840" s="181"/>
      <c r="T840" s="181"/>
      <c r="U840" s="181"/>
      <c r="V840" s="181"/>
      <c r="W840" s="181"/>
      <c r="X840" s="181"/>
      <c r="Y840" s="181"/>
      <c r="Z840" s="181"/>
    </row>
    <row r="841">
      <c r="A841" s="181"/>
      <c r="B841" s="181"/>
      <c r="C841" s="181"/>
      <c r="D841" s="181"/>
      <c r="E841" s="181"/>
      <c r="F841" s="181"/>
      <c r="G841" s="181"/>
      <c r="H841" s="181"/>
      <c r="I841" s="181"/>
      <c r="J841" s="181"/>
      <c r="K841" s="181"/>
      <c r="L841" s="181"/>
      <c r="M841" s="181"/>
      <c r="N841" s="181"/>
      <c r="O841" s="181"/>
      <c r="P841" s="181"/>
      <c r="Q841" s="181"/>
      <c r="R841" s="181"/>
      <c r="S841" s="181"/>
      <c r="T841" s="181"/>
      <c r="U841" s="181"/>
      <c r="V841" s="181"/>
      <c r="W841" s="181"/>
      <c r="X841" s="181"/>
      <c r="Y841" s="181"/>
      <c r="Z841" s="181"/>
    </row>
    <row r="842">
      <c r="A842" s="181"/>
      <c r="B842" s="181"/>
      <c r="C842" s="181"/>
      <c r="D842" s="181"/>
      <c r="E842" s="181"/>
      <c r="F842" s="181"/>
      <c r="G842" s="181"/>
      <c r="H842" s="181"/>
      <c r="I842" s="181"/>
      <c r="J842" s="181"/>
      <c r="K842" s="181"/>
      <c r="L842" s="181"/>
      <c r="M842" s="181"/>
      <c r="N842" s="181"/>
      <c r="O842" s="181"/>
      <c r="P842" s="181"/>
      <c r="Q842" s="181"/>
      <c r="R842" s="181"/>
      <c r="S842" s="181"/>
      <c r="T842" s="181"/>
      <c r="U842" s="181"/>
      <c r="V842" s="181"/>
      <c r="W842" s="181"/>
      <c r="X842" s="181"/>
      <c r="Y842" s="181"/>
      <c r="Z842" s="181"/>
    </row>
    <row r="843">
      <c r="A843" s="181"/>
      <c r="B843" s="181"/>
      <c r="C843" s="181"/>
      <c r="D843" s="181"/>
      <c r="E843" s="181"/>
      <c r="F843" s="181"/>
      <c r="G843" s="181"/>
      <c r="H843" s="181"/>
      <c r="I843" s="181"/>
      <c r="J843" s="181"/>
      <c r="K843" s="181"/>
      <c r="L843" s="181"/>
      <c r="M843" s="181"/>
      <c r="N843" s="181"/>
      <c r="O843" s="181"/>
      <c r="P843" s="181"/>
      <c r="Q843" s="181"/>
      <c r="R843" s="181"/>
      <c r="S843" s="181"/>
      <c r="T843" s="181"/>
      <c r="U843" s="181"/>
      <c r="V843" s="181"/>
      <c r="W843" s="181"/>
      <c r="X843" s="181"/>
      <c r="Y843" s="181"/>
      <c r="Z843" s="181"/>
    </row>
    <row r="844">
      <c r="A844" s="181"/>
      <c r="B844" s="181"/>
      <c r="C844" s="181"/>
      <c r="D844" s="181"/>
      <c r="E844" s="181"/>
      <c r="F844" s="181"/>
      <c r="G844" s="181"/>
      <c r="H844" s="181"/>
      <c r="I844" s="181"/>
      <c r="J844" s="181"/>
      <c r="K844" s="181"/>
      <c r="L844" s="181"/>
      <c r="M844" s="181"/>
      <c r="N844" s="181"/>
      <c r="O844" s="181"/>
      <c r="P844" s="181"/>
      <c r="Q844" s="181"/>
      <c r="R844" s="181"/>
      <c r="S844" s="181"/>
      <c r="T844" s="181"/>
      <c r="U844" s="181"/>
      <c r="V844" s="181"/>
      <c r="W844" s="181"/>
      <c r="X844" s="181"/>
      <c r="Y844" s="181"/>
      <c r="Z844" s="181"/>
    </row>
    <row r="845">
      <c r="A845" s="181"/>
      <c r="B845" s="181"/>
      <c r="C845" s="181"/>
      <c r="D845" s="181"/>
      <c r="E845" s="181"/>
      <c r="F845" s="181"/>
      <c r="G845" s="181"/>
      <c r="H845" s="181"/>
      <c r="I845" s="181"/>
      <c r="J845" s="181"/>
      <c r="K845" s="181"/>
      <c r="L845" s="181"/>
      <c r="M845" s="181"/>
      <c r="N845" s="181"/>
      <c r="O845" s="181"/>
      <c r="P845" s="181"/>
      <c r="Q845" s="181"/>
      <c r="R845" s="181"/>
      <c r="S845" s="181"/>
      <c r="T845" s="181"/>
      <c r="U845" s="181"/>
      <c r="V845" s="181"/>
      <c r="W845" s="181"/>
      <c r="X845" s="181"/>
      <c r="Y845" s="181"/>
      <c r="Z845" s="181"/>
    </row>
    <row r="846">
      <c r="A846" s="181"/>
      <c r="B846" s="181"/>
      <c r="C846" s="181"/>
      <c r="D846" s="181"/>
      <c r="E846" s="181"/>
      <c r="F846" s="181"/>
      <c r="G846" s="181"/>
      <c r="H846" s="181"/>
      <c r="I846" s="181"/>
      <c r="J846" s="181"/>
      <c r="K846" s="181"/>
      <c r="L846" s="181"/>
      <c r="M846" s="181"/>
      <c r="N846" s="181"/>
      <c r="O846" s="181"/>
      <c r="P846" s="181"/>
      <c r="Q846" s="181"/>
      <c r="R846" s="181"/>
      <c r="S846" s="181"/>
      <c r="T846" s="181"/>
      <c r="U846" s="181"/>
      <c r="V846" s="181"/>
      <c r="W846" s="181"/>
      <c r="X846" s="181"/>
      <c r="Y846" s="181"/>
      <c r="Z846" s="181"/>
    </row>
    <row r="847">
      <c r="A847" s="181"/>
      <c r="B847" s="181"/>
      <c r="C847" s="181"/>
      <c r="D847" s="181"/>
      <c r="E847" s="181"/>
      <c r="F847" s="181"/>
      <c r="G847" s="181"/>
      <c r="H847" s="181"/>
      <c r="I847" s="181"/>
      <c r="J847" s="181"/>
      <c r="K847" s="181"/>
      <c r="L847" s="181"/>
      <c r="M847" s="181"/>
      <c r="N847" s="181"/>
      <c r="O847" s="181"/>
      <c r="P847" s="181"/>
      <c r="Q847" s="181"/>
      <c r="R847" s="181"/>
      <c r="S847" s="181"/>
      <c r="T847" s="181"/>
      <c r="U847" s="181"/>
      <c r="V847" s="181"/>
      <c r="W847" s="181"/>
      <c r="X847" s="181"/>
      <c r="Y847" s="181"/>
      <c r="Z847" s="181"/>
    </row>
    <row r="848">
      <c r="A848" s="181"/>
      <c r="B848" s="181"/>
      <c r="C848" s="181"/>
      <c r="D848" s="181"/>
      <c r="E848" s="181"/>
      <c r="F848" s="181"/>
      <c r="G848" s="181"/>
      <c r="H848" s="181"/>
      <c r="I848" s="181"/>
      <c r="J848" s="181"/>
      <c r="K848" s="181"/>
      <c r="L848" s="181"/>
      <c r="M848" s="181"/>
      <c r="N848" s="181"/>
      <c r="O848" s="181"/>
      <c r="P848" s="181"/>
      <c r="Q848" s="181"/>
      <c r="R848" s="181"/>
      <c r="S848" s="181"/>
      <c r="T848" s="181"/>
      <c r="U848" s="181"/>
      <c r="V848" s="181"/>
      <c r="W848" s="181"/>
      <c r="X848" s="181"/>
      <c r="Y848" s="181"/>
      <c r="Z848" s="181"/>
    </row>
    <row r="849">
      <c r="A849" s="181"/>
      <c r="B849" s="181"/>
      <c r="C849" s="181"/>
      <c r="D849" s="181"/>
      <c r="E849" s="181"/>
      <c r="F849" s="181"/>
      <c r="G849" s="181"/>
      <c r="H849" s="181"/>
      <c r="I849" s="181"/>
      <c r="J849" s="181"/>
      <c r="K849" s="181"/>
      <c r="L849" s="181"/>
      <c r="M849" s="181"/>
      <c r="N849" s="181"/>
      <c r="O849" s="181"/>
      <c r="P849" s="181"/>
      <c r="Q849" s="181"/>
      <c r="R849" s="181"/>
      <c r="S849" s="181"/>
      <c r="T849" s="181"/>
      <c r="U849" s="181"/>
      <c r="V849" s="181"/>
      <c r="W849" s="181"/>
      <c r="X849" s="181"/>
      <c r="Y849" s="181"/>
      <c r="Z849" s="181"/>
    </row>
    <row r="850">
      <c r="A850" s="181"/>
      <c r="B850" s="181"/>
      <c r="C850" s="181"/>
      <c r="D850" s="181"/>
      <c r="E850" s="181"/>
      <c r="F850" s="181"/>
      <c r="G850" s="181"/>
      <c r="H850" s="181"/>
      <c r="I850" s="181"/>
      <c r="J850" s="181"/>
      <c r="K850" s="181"/>
      <c r="L850" s="181"/>
      <c r="M850" s="181"/>
      <c r="N850" s="181"/>
      <c r="O850" s="181"/>
      <c r="P850" s="181"/>
      <c r="Q850" s="181"/>
      <c r="R850" s="181"/>
      <c r="S850" s="181"/>
      <c r="T850" s="181"/>
      <c r="U850" s="181"/>
      <c r="V850" s="181"/>
      <c r="W850" s="181"/>
      <c r="X850" s="181"/>
      <c r="Y850" s="181"/>
      <c r="Z850" s="181"/>
    </row>
    <row r="851">
      <c r="A851" s="181"/>
      <c r="B851" s="181"/>
      <c r="C851" s="181"/>
      <c r="D851" s="181"/>
      <c r="E851" s="181"/>
      <c r="F851" s="181"/>
      <c r="G851" s="181"/>
      <c r="H851" s="181"/>
      <c r="I851" s="181"/>
      <c r="J851" s="181"/>
      <c r="K851" s="181"/>
      <c r="L851" s="181"/>
      <c r="M851" s="181"/>
      <c r="N851" s="181"/>
      <c r="O851" s="181"/>
      <c r="P851" s="181"/>
      <c r="Q851" s="181"/>
      <c r="R851" s="181"/>
      <c r="S851" s="181"/>
      <c r="T851" s="181"/>
      <c r="U851" s="181"/>
      <c r="V851" s="181"/>
      <c r="W851" s="181"/>
      <c r="X851" s="181"/>
      <c r="Y851" s="181"/>
      <c r="Z851" s="181"/>
    </row>
    <row r="852">
      <c r="A852" s="181"/>
      <c r="B852" s="181"/>
      <c r="C852" s="181"/>
      <c r="D852" s="181"/>
      <c r="E852" s="181"/>
      <c r="F852" s="181"/>
      <c r="G852" s="181"/>
      <c r="H852" s="181"/>
      <c r="I852" s="181"/>
      <c r="J852" s="181"/>
      <c r="K852" s="181"/>
      <c r="L852" s="181"/>
      <c r="M852" s="181"/>
      <c r="N852" s="181"/>
      <c r="O852" s="181"/>
      <c r="P852" s="181"/>
      <c r="Q852" s="181"/>
      <c r="R852" s="181"/>
      <c r="S852" s="181"/>
      <c r="T852" s="181"/>
      <c r="U852" s="181"/>
      <c r="V852" s="181"/>
      <c r="W852" s="181"/>
      <c r="X852" s="181"/>
      <c r="Y852" s="181"/>
      <c r="Z852" s="181"/>
    </row>
    <row r="853">
      <c r="A853" s="181"/>
      <c r="B853" s="181"/>
      <c r="C853" s="181"/>
      <c r="D853" s="181"/>
      <c r="E853" s="181"/>
      <c r="F853" s="181"/>
      <c r="G853" s="181"/>
      <c r="H853" s="181"/>
      <c r="I853" s="181"/>
      <c r="J853" s="181"/>
      <c r="K853" s="181"/>
      <c r="L853" s="181"/>
      <c r="M853" s="181"/>
      <c r="N853" s="181"/>
      <c r="O853" s="181"/>
      <c r="P853" s="181"/>
      <c r="Q853" s="181"/>
      <c r="R853" s="181"/>
      <c r="S853" s="181"/>
      <c r="T853" s="181"/>
      <c r="U853" s="181"/>
      <c r="V853" s="181"/>
      <c r="W853" s="181"/>
      <c r="X853" s="181"/>
      <c r="Y853" s="181"/>
      <c r="Z853" s="181"/>
    </row>
    <row r="854">
      <c r="A854" s="181"/>
      <c r="B854" s="181"/>
      <c r="C854" s="181"/>
      <c r="D854" s="181"/>
      <c r="E854" s="181"/>
      <c r="F854" s="181"/>
      <c r="G854" s="181"/>
      <c r="H854" s="181"/>
      <c r="I854" s="181"/>
      <c r="J854" s="181"/>
      <c r="K854" s="181"/>
      <c r="L854" s="181"/>
      <c r="M854" s="181"/>
      <c r="N854" s="181"/>
      <c r="O854" s="181"/>
      <c r="P854" s="181"/>
      <c r="Q854" s="181"/>
      <c r="R854" s="181"/>
      <c r="S854" s="181"/>
      <c r="T854" s="181"/>
      <c r="U854" s="181"/>
      <c r="V854" s="181"/>
      <c r="W854" s="181"/>
      <c r="X854" s="181"/>
      <c r="Y854" s="181"/>
      <c r="Z854" s="181"/>
    </row>
    <row r="855">
      <c r="A855" s="181"/>
      <c r="B855" s="181"/>
      <c r="C855" s="181"/>
      <c r="D855" s="181"/>
      <c r="E855" s="181"/>
      <c r="F855" s="181"/>
      <c r="G855" s="181"/>
      <c r="H855" s="181"/>
      <c r="I855" s="181"/>
      <c r="J855" s="181"/>
      <c r="K855" s="181"/>
      <c r="L855" s="181"/>
      <c r="M855" s="181"/>
      <c r="N855" s="181"/>
      <c r="O855" s="181"/>
      <c r="P855" s="181"/>
      <c r="Q855" s="181"/>
      <c r="R855" s="181"/>
      <c r="S855" s="181"/>
      <c r="T855" s="181"/>
      <c r="U855" s="181"/>
      <c r="V855" s="181"/>
      <c r="W855" s="181"/>
      <c r="X855" s="181"/>
      <c r="Y855" s="181"/>
      <c r="Z855" s="181"/>
    </row>
    <row r="856">
      <c r="A856" s="181"/>
      <c r="B856" s="181"/>
      <c r="C856" s="181"/>
      <c r="D856" s="181"/>
      <c r="E856" s="181"/>
      <c r="F856" s="181"/>
      <c r="G856" s="181"/>
      <c r="H856" s="181"/>
      <c r="I856" s="181"/>
      <c r="J856" s="181"/>
      <c r="K856" s="181"/>
      <c r="L856" s="181"/>
      <c r="M856" s="181"/>
      <c r="N856" s="181"/>
      <c r="O856" s="181"/>
      <c r="P856" s="181"/>
      <c r="Q856" s="181"/>
      <c r="R856" s="181"/>
      <c r="S856" s="181"/>
      <c r="T856" s="181"/>
      <c r="U856" s="181"/>
      <c r="V856" s="181"/>
      <c r="W856" s="181"/>
      <c r="X856" s="181"/>
      <c r="Y856" s="181"/>
      <c r="Z856" s="181"/>
    </row>
    <row r="857">
      <c r="A857" s="181"/>
      <c r="B857" s="181"/>
      <c r="C857" s="181"/>
      <c r="D857" s="181"/>
      <c r="E857" s="181"/>
      <c r="F857" s="181"/>
      <c r="G857" s="181"/>
      <c r="H857" s="181"/>
      <c r="I857" s="181"/>
      <c r="J857" s="181"/>
      <c r="K857" s="181"/>
      <c r="L857" s="181"/>
      <c r="M857" s="181"/>
      <c r="N857" s="181"/>
      <c r="O857" s="181"/>
      <c r="P857" s="181"/>
      <c r="Q857" s="181"/>
      <c r="R857" s="181"/>
      <c r="S857" s="181"/>
      <c r="T857" s="181"/>
      <c r="U857" s="181"/>
      <c r="V857" s="181"/>
      <c r="W857" s="181"/>
      <c r="X857" s="181"/>
      <c r="Y857" s="181"/>
      <c r="Z857" s="181"/>
    </row>
    <row r="858">
      <c r="A858" s="181"/>
      <c r="B858" s="181"/>
      <c r="C858" s="181"/>
      <c r="D858" s="181"/>
      <c r="E858" s="181"/>
      <c r="F858" s="181"/>
      <c r="G858" s="181"/>
      <c r="H858" s="181"/>
      <c r="I858" s="181"/>
      <c r="J858" s="181"/>
      <c r="K858" s="181"/>
      <c r="L858" s="181"/>
      <c r="M858" s="181"/>
      <c r="N858" s="181"/>
      <c r="O858" s="181"/>
      <c r="P858" s="181"/>
      <c r="Q858" s="181"/>
      <c r="R858" s="181"/>
      <c r="S858" s="181"/>
      <c r="T858" s="181"/>
      <c r="U858" s="181"/>
      <c r="V858" s="181"/>
      <c r="W858" s="181"/>
      <c r="X858" s="181"/>
      <c r="Y858" s="181"/>
      <c r="Z858" s="181"/>
    </row>
    <row r="859">
      <c r="A859" s="181"/>
      <c r="B859" s="181"/>
      <c r="C859" s="181"/>
      <c r="D859" s="181"/>
      <c r="E859" s="181"/>
      <c r="F859" s="181"/>
      <c r="G859" s="181"/>
      <c r="H859" s="181"/>
      <c r="I859" s="181"/>
      <c r="J859" s="181"/>
      <c r="K859" s="181"/>
      <c r="L859" s="181"/>
      <c r="M859" s="181"/>
      <c r="N859" s="181"/>
      <c r="O859" s="181"/>
      <c r="P859" s="181"/>
      <c r="Q859" s="181"/>
      <c r="R859" s="181"/>
      <c r="S859" s="181"/>
      <c r="T859" s="181"/>
      <c r="U859" s="181"/>
      <c r="V859" s="181"/>
      <c r="W859" s="181"/>
      <c r="X859" s="181"/>
      <c r="Y859" s="181"/>
      <c r="Z859" s="181"/>
    </row>
    <row r="860">
      <c r="A860" s="181"/>
      <c r="B860" s="181"/>
      <c r="C860" s="181"/>
      <c r="D860" s="181"/>
      <c r="E860" s="181"/>
      <c r="F860" s="181"/>
      <c r="G860" s="181"/>
      <c r="H860" s="181"/>
      <c r="I860" s="181"/>
      <c r="J860" s="181"/>
      <c r="K860" s="181"/>
      <c r="L860" s="181"/>
      <c r="M860" s="181"/>
      <c r="N860" s="181"/>
      <c r="O860" s="181"/>
      <c r="P860" s="181"/>
      <c r="Q860" s="181"/>
      <c r="R860" s="181"/>
      <c r="S860" s="181"/>
      <c r="T860" s="181"/>
      <c r="U860" s="181"/>
      <c r="V860" s="181"/>
      <c r="W860" s="181"/>
      <c r="X860" s="181"/>
      <c r="Y860" s="181"/>
      <c r="Z860" s="181"/>
    </row>
    <row r="861">
      <c r="A861" s="181"/>
      <c r="B861" s="181"/>
      <c r="C861" s="181"/>
      <c r="D861" s="181"/>
      <c r="E861" s="181"/>
      <c r="F861" s="181"/>
      <c r="G861" s="181"/>
      <c r="H861" s="181"/>
      <c r="I861" s="181"/>
      <c r="J861" s="181"/>
      <c r="K861" s="181"/>
      <c r="L861" s="181"/>
      <c r="M861" s="181"/>
      <c r="N861" s="181"/>
      <c r="O861" s="181"/>
      <c r="P861" s="181"/>
      <c r="Q861" s="181"/>
      <c r="R861" s="181"/>
      <c r="S861" s="181"/>
      <c r="T861" s="181"/>
      <c r="U861" s="181"/>
      <c r="V861" s="181"/>
      <c r="W861" s="181"/>
      <c r="X861" s="181"/>
      <c r="Y861" s="181"/>
      <c r="Z861" s="181"/>
    </row>
    <row r="862">
      <c r="A862" s="181"/>
      <c r="B862" s="181"/>
      <c r="C862" s="181"/>
      <c r="D862" s="181"/>
      <c r="E862" s="181"/>
      <c r="F862" s="181"/>
      <c r="G862" s="181"/>
      <c r="H862" s="181"/>
      <c r="I862" s="181"/>
      <c r="J862" s="181"/>
      <c r="K862" s="181"/>
      <c r="L862" s="181"/>
      <c r="M862" s="181"/>
      <c r="N862" s="181"/>
      <c r="O862" s="181"/>
      <c r="P862" s="181"/>
      <c r="Q862" s="181"/>
      <c r="R862" s="181"/>
      <c r="S862" s="181"/>
      <c r="T862" s="181"/>
      <c r="U862" s="181"/>
      <c r="V862" s="181"/>
      <c r="W862" s="181"/>
      <c r="X862" s="181"/>
      <c r="Y862" s="181"/>
      <c r="Z862" s="181"/>
    </row>
    <row r="863">
      <c r="A863" s="181"/>
      <c r="B863" s="181"/>
      <c r="C863" s="181"/>
      <c r="D863" s="181"/>
      <c r="E863" s="181"/>
      <c r="F863" s="181"/>
      <c r="G863" s="181"/>
      <c r="H863" s="181"/>
      <c r="I863" s="181"/>
      <c r="J863" s="181"/>
      <c r="K863" s="181"/>
      <c r="L863" s="181"/>
      <c r="M863" s="181"/>
      <c r="N863" s="181"/>
      <c r="O863" s="181"/>
      <c r="P863" s="181"/>
      <c r="Q863" s="181"/>
      <c r="R863" s="181"/>
      <c r="S863" s="181"/>
      <c r="T863" s="181"/>
      <c r="U863" s="181"/>
      <c r="V863" s="181"/>
      <c r="W863" s="181"/>
      <c r="X863" s="181"/>
      <c r="Y863" s="181"/>
      <c r="Z863" s="181"/>
    </row>
    <row r="864">
      <c r="A864" s="181"/>
      <c r="B864" s="181"/>
      <c r="C864" s="181"/>
      <c r="D864" s="181"/>
      <c r="E864" s="181"/>
      <c r="F864" s="181"/>
      <c r="G864" s="181"/>
      <c r="H864" s="181"/>
      <c r="I864" s="181"/>
      <c r="J864" s="181"/>
      <c r="K864" s="181"/>
      <c r="L864" s="181"/>
      <c r="M864" s="181"/>
      <c r="N864" s="181"/>
      <c r="O864" s="181"/>
      <c r="P864" s="181"/>
      <c r="Q864" s="181"/>
      <c r="R864" s="181"/>
      <c r="S864" s="181"/>
      <c r="T864" s="181"/>
      <c r="U864" s="181"/>
      <c r="V864" s="181"/>
      <c r="W864" s="181"/>
      <c r="X864" s="181"/>
      <c r="Y864" s="181"/>
      <c r="Z864" s="181"/>
    </row>
    <row r="865">
      <c r="A865" s="181"/>
      <c r="B865" s="181"/>
      <c r="C865" s="181"/>
      <c r="D865" s="181"/>
      <c r="E865" s="181"/>
      <c r="F865" s="181"/>
      <c r="G865" s="181"/>
      <c r="H865" s="181"/>
      <c r="I865" s="181"/>
      <c r="J865" s="181"/>
      <c r="K865" s="181"/>
      <c r="L865" s="181"/>
      <c r="M865" s="181"/>
      <c r="N865" s="181"/>
      <c r="O865" s="181"/>
      <c r="P865" s="181"/>
      <c r="Q865" s="181"/>
      <c r="R865" s="181"/>
      <c r="S865" s="181"/>
      <c r="T865" s="181"/>
      <c r="U865" s="181"/>
      <c r="V865" s="181"/>
      <c r="W865" s="181"/>
      <c r="X865" s="181"/>
      <c r="Y865" s="181"/>
      <c r="Z865" s="181"/>
    </row>
    <row r="866">
      <c r="A866" s="181"/>
      <c r="B866" s="181"/>
      <c r="C866" s="181"/>
      <c r="D866" s="181"/>
      <c r="E866" s="181"/>
      <c r="F866" s="181"/>
      <c r="G866" s="181"/>
      <c r="H866" s="181"/>
      <c r="I866" s="181"/>
      <c r="J866" s="181"/>
      <c r="K866" s="181"/>
      <c r="L866" s="181"/>
      <c r="M866" s="181"/>
      <c r="N866" s="181"/>
      <c r="O866" s="181"/>
      <c r="P866" s="181"/>
      <c r="Q866" s="181"/>
      <c r="R866" s="181"/>
      <c r="S866" s="181"/>
      <c r="T866" s="181"/>
      <c r="U866" s="181"/>
      <c r="V866" s="181"/>
      <c r="W866" s="181"/>
      <c r="X866" s="181"/>
      <c r="Y866" s="181"/>
      <c r="Z866" s="181"/>
    </row>
    <row r="867">
      <c r="A867" s="181"/>
      <c r="B867" s="181"/>
      <c r="C867" s="181"/>
      <c r="D867" s="181"/>
      <c r="E867" s="181"/>
      <c r="F867" s="181"/>
      <c r="G867" s="181"/>
      <c r="H867" s="181"/>
      <c r="I867" s="181"/>
      <c r="J867" s="181"/>
      <c r="K867" s="181"/>
      <c r="L867" s="181"/>
      <c r="M867" s="181"/>
      <c r="N867" s="181"/>
      <c r="O867" s="181"/>
      <c r="P867" s="181"/>
      <c r="Q867" s="181"/>
      <c r="R867" s="181"/>
      <c r="S867" s="181"/>
      <c r="T867" s="181"/>
      <c r="U867" s="181"/>
      <c r="V867" s="181"/>
      <c r="W867" s="181"/>
      <c r="X867" s="181"/>
      <c r="Y867" s="181"/>
      <c r="Z867" s="181"/>
    </row>
    <row r="868">
      <c r="A868" s="181"/>
      <c r="B868" s="181"/>
      <c r="C868" s="181"/>
      <c r="D868" s="181"/>
      <c r="E868" s="181"/>
      <c r="F868" s="181"/>
      <c r="G868" s="181"/>
      <c r="H868" s="181"/>
      <c r="I868" s="181"/>
      <c r="J868" s="181"/>
      <c r="K868" s="181"/>
      <c r="L868" s="181"/>
      <c r="M868" s="181"/>
      <c r="N868" s="181"/>
      <c r="O868" s="181"/>
      <c r="P868" s="181"/>
      <c r="Q868" s="181"/>
      <c r="R868" s="181"/>
      <c r="S868" s="181"/>
      <c r="T868" s="181"/>
      <c r="U868" s="181"/>
      <c r="V868" s="181"/>
      <c r="W868" s="181"/>
      <c r="X868" s="181"/>
      <c r="Y868" s="181"/>
      <c r="Z868" s="181"/>
    </row>
    <row r="869">
      <c r="A869" s="181"/>
      <c r="B869" s="181"/>
      <c r="C869" s="181"/>
      <c r="D869" s="181"/>
      <c r="E869" s="181"/>
      <c r="F869" s="181"/>
      <c r="G869" s="181"/>
      <c r="H869" s="181"/>
      <c r="I869" s="181"/>
      <c r="J869" s="181"/>
      <c r="K869" s="181"/>
      <c r="L869" s="181"/>
      <c r="M869" s="181"/>
      <c r="N869" s="181"/>
      <c r="O869" s="181"/>
      <c r="P869" s="181"/>
      <c r="Q869" s="181"/>
      <c r="R869" s="181"/>
      <c r="S869" s="181"/>
      <c r="T869" s="181"/>
      <c r="U869" s="181"/>
      <c r="V869" s="181"/>
      <c r="W869" s="181"/>
      <c r="X869" s="181"/>
      <c r="Y869" s="181"/>
      <c r="Z869" s="181"/>
    </row>
    <row r="870">
      <c r="A870" s="181"/>
      <c r="B870" s="181"/>
      <c r="C870" s="181"/>
      <c r="D870" s="181"/>
      <c r="E870" s="181"/>
      <c r="F870" s="181"/>
      <c r="G870" s="181"/>
      <c r="H870" s="181"/>
      <c r="I870" s="181"/>
      <c r="J870" s="181"/>
      <c r="K870" s="181"/>
      <c r="L870" s="181"/>
      <c r="M870" s="181"/>
      <c r="N870" s="181"/>
      <c r="O870" s="181"/>
      <c r="P870" s="181"/>
      <c r="Q870" s="181"/>
      <c r="R870" s="181"/>
      <c r="S870" s="181"/>
      <c r="T870" s="181"/>
      <c r="U870" s="181"/>
      <c r="V870" s="181"/>
      <c r="W870" s="181"/>
      <c r="X870" s="181"/>
      <c r="Y870" s="181"/>
      <c r="Z870" s="181"/>
    </row>
    <row r="871">
      <c r="A871" s="181"/>
      <c r="B871" s="181"/>
      <c r="C871" s="181"/>
      <c r="D871" s="181"/>
      <c r="E871" s="181"/>
      <c r="F871" s="181"/>
      <c r="G871" s="181"/>
      <c r="H871" s="181"/>
      <c r="I871" s="181"/>
      <c r="J871" s="181"/>
      <c r="K871" s="181"/>
      <c r="L871" s="181"/>
      <c r="M871" s="181"/>
      <c r="N871" s="181"/>
      <c r="O871" s="181"/>
      <c r="P871" s="181"/>
      <c r="Q871" s="181"/>
      <c r="R871" s="181"/>
      <c r="S871" s="181"/>
      <c r="T871" s="181"/>
      <c r="U871" s="181"/>
      <c r="V871" s="181"/>
      <c r="W871" s="181"/>
      <c r="X871" s="181"/>
      <c r="Y871" s="181"/>
      <c r="Z871" s="181"/>
    </row>
    <row r="872">
      <c r="A872" s="181"/>
      <c r="B872" s="181"/>
      <c r="C872" s="181"/>
      <c r="D872" s="181"/>
      <c r="E872" s="181"/>
      <c r="F872" s="181"/>
      <c r="G872" s="181"/>
      <c r="H872" s="181"/>
      <c r="I872" s="181"/>
      <c r="J872" s="181"/>
      <c r="K872" s="181"/>
      <c r="L872" s="181"/>
      <c r="M872" s="181"/>
      <c r="N872" s="181"/>
      <c r="O872" s="181"/>
      <c r="P872" s="181"/>
      <c r="Q872" s="181"/>
      <c r="R872" s="181"/>
      <c r="S872" s="181"/>
      <c r="T872" s="181"/>
      <c r="U872" s="181"/>
      <c r="V872" s="181"/>
      <c r="W872" s="181"/>
      <c r="X872" s="181"/>
      <c r="Y872" s="181"/>
      <c r="Z872" s="181"/>
    </row>
    <row r="873">
      <c r="A873" s="181"/>
      <c r="B873" s="181"/>
      <c r="C873" s="181"/>
      <c r="D873" s="181"/>
      <c r="E873" s="181"/>
      <c r="F873" s="181"/>
      <c r="G873" s="181"/>
      <c r="H873" s="181"/>
      <c r="I873" s="181"/>
      <c r="J873" s="181"/>
      <c r="K873" s="181"/>
      <c r="L873" s="181"/>
      <c r="M873" s="181"/>
      <c r="N873" s="181"/>
      <c r="O873" s="181"/>
      <c r="P873" s="181"/>
      <c r="Q873" s="181"/>
      <c r="R873" s="181"/>
      <c r="S873" s="181"/>
      <c r="T873" s="181"/>
      <c r="U873" s="181"/>
      <c r="V873" s="181"/>
      <c r="W873" s="181"/>
      <c r="X873" s="181"/>
      <c r="Y873" s="181"/>
      <c r="Z873" s="181"/>
    </row>
    <row r="874">
      <c r="A874" s="181"/>
      <c r="B874" s="181"/>
      <c r="C874" s="181"/>
      <c r="D874" s="181"/>
      <c r="E874" s="181"/>
      <c r="F874" s="181"/>
      <c r="G874" s="181"/>
      <c r="H874" s="181"/>
      <c r="I874" s="181"/>
      <c r="J874" s="181"/>
      <c r="K874" s="181"/>
      <c r="L874" s="181"/>
      <c r="M874" s="181"/>
      <c r="N874" s="181"/>
      <c r="O874" s="181"/>
      <c r="P874" s="181"/>
      <c r="Q874" s="181"/>
      <c r="R874" s="181"/>
      <c r="S874" s="181"/>
      <c r="T874" s="181"/>
      <c r="U874" s="181"/>
      <c r="V874" s="181"/>
      <c r="W874" s="181"/>
      <c r="X874" s="181"/>
      <c r="Y874" s="181"/>
      <c r="Z874" s="181"/>
    </row>
    <row r="875">
      <c r="A875" s="181"/>
      <c r="B875" s="181"/>
      <c r="C875" s="181"/>
      <c r="D875" s="181"/>
      <c r="E875" s="181"/>
      <c r="F875" s="181"/>
      <c r="G875" s="181"/>
      <c r="H875" s="181"/>
      <c r="I875" s="181"/>
      <c r="J875" s="181"/>
      <c r="K875" s="181"/>
      <c r="L875" s="181"/>
      <c r="M875" s="181"/>
      <c r="N875" s="181"/>
      <c r="O875" s="181"/>
      <c r="P875" s="181"/>
      <c r="Q875" s="181"/>
      <c r="R875" s="181"/>
      <c r="S875" s="181"/>
      <c r="T875" s="181"/>
      <c r="U875" s="181"/>
      <c r="V875" s="181"/>
      <c r="W875" s="181"/>
      <c r="X875" s="181"/>
      <c r="Y875" s="181"/>
      <c r="Z875" s="181"/>
    </row>
    <row r="876">
      <c r="A876" s="181"/>
      <c r="B876" s="181"/>
      <c r="C876" s="181"/>
      <c r="D876" s="181"/>
      <c r="E876" s="181"/>
      <c r="F876" s="181"/>
      <c r="G876" s="181"/>
      <c r="H876" s="181"/>
      <c r="I876" s="181"/>
      <c r="J876" s="181"/>
      <c r="K876" s="181"/>
      <c r="L876" s="181"/>
      <c r="M876" s="181"/>
      <c r="N876" s="181"/>
      <c r="O876" s="181"/>
      <c r="P876" s="181"/>
      <c r="Q876" s="181"/>
      <c r="R876" s="181"/>
      <c r="S876" s="181"/>
      <c r="T876" s="181"/>
      <c r="U876" s="181"/>
      <c r="V876" s="181"/>
      <c r="W876" s="181"/>
      <c r="X876" s="181"/>
      <c r="Y876" s="181"/>
      <c r="Z876" s="181"/>
    </row>
    <row r="877">
      <c r="A877" s="181"/>
      <c r="B877" s="181"/>
      <c r="C877" s="181"/>
      <c r="D877" s="181"/>
      <c r="E877" s="181"/>
      <c r="F877" s="181"/>
      <c r="G877" s="181"/>
      <c r="H877" s="181"/>
      <c r="I877" s="181"/>
      <c r="J877" s="181"/>
      <c r="K877" s="181"/>
      <c r="L877" s="181"/>
      <c r="M877" s="181"/>
      <c r="N877" s="181"/>
      <c r="O877" s="181"/>
      <c r="P877" s="181"/>
      <c r="Q877" s="181"/>
      <c r="R877" s="181"/>
      <c r="S877" s="181"/>
      <c r="T877" s="181"/>
      <c r="U877" s="181"/>
      <c r="V877" s="181"/>
      <c r="W877" s="181"/>
      <c r="X877" s="181"/>
      <c r="Y877" s="181"/>
      <c r="Z877" s="181"/>
    </row>
    <row r="878">
      <c r="A878" s="181"/>
      <c r="B878" s="181"/>
      <c r="C878" s="181"/>
      <c r="D878" s="181"/>
      <c r="E878" s="181"/>
      <c r="F878" s="181"/>
      <c r="G878" s="181"/>
      <c r="H878" s="181"/>
      <c r="I878" s="181"/>
      <c r="J878" s="181"/>
      <c r="K878" s="181"/>
      <c r="L878" s="181"/>
      <c r="M878" s="181"/>
      <c r="N878" s="181"/>
      <c r="O878" s="181"/>
      <c r="P878" s="181"/>
      <c r="Q878" s="181"/>
      <c r="R878" s="181"/>
      <c r="S878" s="181"/>
      <c r="T878" s="181"/>
      <c r="U878" s="181"/>
      <c r="V878" s="181"/>
      <c r="W878" s="181"/>
      <c r="X878" s="181"/>
      <c r="Y878" s="181"/>
      <c r="Z878" s="181"/>
    </row>
    <row r="879">
      <c r="A879" s="181"/>
      <c r="B879" s="181"/>
      <c r="C879" s="181"/>
      <c r="D879" s="181"/>
      <c r="E879" s="181"/>
      <c r="F879" s="181"/>
      <c r="G879" s="181"/>
      <c r="H879" s="181"/>
      <c r="I879" s="181"/>
      <c r="J879" s="181"/>
      <c r="K879" s="181"/>
      <c r="L879" s="181"/>
      <c r="M879" s="181"/>
      <c r="N879" s="181"/>
      <c r="O879" s="181"/>
      <c r="P879" s="181"/>
      <c r="Q879" s="181"/>
      <c r="R879" s="181"/>
      <c r="S879" s="181"/>
      <c r="T879" s="181"/>
      <c r="U879" s="181"/>
      <c r="V879" s="181"/>
      <c r="W879" s="181"/>
      <c r="X879" s="181"/>
      <c r="Y879" s="181"/>
      <c r="Z879" s="181"/>
    </row>
    <row r="880">
      <c r="A880" s="181"/>
      <c r="B880" s="181"/>
      <c r="C880" s="181"/>
      <c r="D880" s="181"/>
      <c r="E880" s="181"/>
      <c r="F880" s="181"/>
      <c r="G880" s="181"/>
      <c r="H880" s="181"/>
      <c r="I880" s="181"/>
      <c r="J880" s="181"/>
      <c r="K880" s="181"/>
      <c r="L880" s="181"/>
      <c r="M880" s="181"/>
      <c r="N880" s="181"/>
      <c r="O880" s="181"/>
      <c r="P880" s="181"/>
      <c r="Q880" s="181"/>
      <c r="R880" s="181"/>
      <c r="S880" s="181"/>
      <c r="T880" s="181"/>
      <c r="U880" s="181"/>
      <c r="V880" s="181"/>
      <c r="W880" s="181"/>
      <c r="X880" s="181"/>
      <c r="Y880" s="181"/>
      <c r="Z880" s="181"/>
    </row>
    <row r="881">
      <c r="A881" s="181"/>
      <c r="B881" s="181"/>
      <c r="C881" s="181"/>
      <c r="D881" s="181"/>
      <c r="E881" s="181"/>
      <c r="F881" s="181"/>
      <c r="G881" s="181"/>
      <c r="H881" s="181"/>
      <c r="I881" s="181"/>
      <c r="J881" s="181"/>
      <c r="K881" s="181"/>
      <c r="L881" s="181"/>
      <c r="M881" s="181"/>
      <c r="N881" s="181"/>
      <c r="O881" s="181"/>
      <c r="P881" s="181"/>
      <c r="Q881" s="181"/>
      <c r="R881" s="181"/>
      <c r="S881" s="181"/>
      <c r="T881" s="181"/>
      <c r="U881" s="181"/>
      <c r="V881" s="181"/>
      <c r="W881" s="181"/>
      <c r="X881" s="181"/>
      <c r="Y881" s="181"/>
      <c r="Z881" s="181"/>
    </row>
    <row r="882">
      <c r="A882" s="181"/>
      <c r="B882" s="181"/>
      <c r="C882" s="181"/>
      <c r="D882" s="181"/>
      <c r="E882" s="181"/>
      <c r="F882" s="181"/>
      <c r="G882" s="181"/>
      <c r="H882" s="181"/>
      <c r="I882" s="181"/>
      <c r="J882" s="181"/>
      <c r="K882" s="181"/>
      <c r="L882" s="181"/>
      <c r="M882" s="181"/>
      <c r="N882" s="181"/>
      <c r="O882" s="181"/>
      <c r="P882" s="181"/>
      <c r="Q882" s="181"/>
      <c r="R882" s="181"/>
      <c r="S882" s="181"/>
      <c r="T882" s="181"/>
      <c r="U882" s="181"/>
      <c r="V882" s="181"/>
      <c r="W882" s="181"/>
      <c r="X882" s="181"/>
      <c r="Y882" s="181"/>
      <c r="Z882" s="181"/>
    </row>
    <row r="883">
      <c r="A883" s="181"/>
      <c r="B883" s="181"/>
      <c r="C883" s="181"/>
      <c r="D883" s="181"/>
      <c r="E883" s="181"/>
      <c r="F883" s="181"/>
      <c r="G883" s="181"/>
      <c r="H883" s="181"/>
      <c r="I883" s="181"/>
      <c r="J883" s="181"/>
      <c r="K883" s="181"/>
      <c r="L883" s="181"/>
      <c r="M883" s="181"/>
      <c r="N883" s="181"/>
      <c r="O883" s="181"/>
      <c r="P883" s="181"/>
      <c r="Q883" s="181"/>
      <c r="R883" s="181"/>
      <c r="S883" s="181"/>
      <c r="T883" s="181"/>
      <c r="U883" s="181"/>
      <c r="V883" s="181"/>
      <c r="W883" s="181"/>
      <c r="X883" s="181"/>
      <c r="Y883" s="181"/>
      <c r="Z883" s="181"/>
    </row>
    <row r="884">
      <c r="A884" s="181"/>
      <c r="B884" s="181"/>
      <c r="C884" s="181"/>
      <c r="D884" s="181"/>
      <c r="E884" s="181"/>
      <c r="F884" s="181"/>
      <c r="G884" s="181"/>
      <c r="H884" s="181"/>
      <c r="I884" s="181"/>
      <c r="J884" s="181"/>
      <c r="K884" s="181"/>
      <c r="L884" s="181"/>
      <c r="M884" s="181"/>
      <c r="N884" s="181"/>
      <c r="O884" s="181"/>
      <c r="P884" s="181"/>
      <c r="Q884" s="181"/>
      <c r="R884" s="181"/>
      <c r="S884" s="181"/>
      <c r="T884" s="181"/>
      <c r="U884" s="181"/>
      <c r="V884" s="181"/>
      <c r="W884" s="181"/>
      <c r="X884" s="181"/>
      <c r="Y884" s="181"/>
      <c r="Z884" s="181"/>
    </row>
    <row r="885">
      <c r="A885" s="181"/>
      <c r="B885" s="181"/>
      <c r="C885" s="181"/>
      <c r="D885" s="181"/>
      <c r="E885" s="181"/>
      <c r="F885" s="181"/>
      <c r="G885" s="181"/>
      <c r="H885" s="181"/>
      <c r="I885" s="181"/>
      <c r="J885" s="181"/>
      <c r="K885" s="181"/>
      <c r="L885" s="181"/>
      <c r="M885" s="181"/>
      <c r="N885" s="181"/>
      <c r="O885" s="181"/>
      <c r="P885" s="181"/>
      <c r="Q885" s="181"/>
      <c r="R885" s="181"/>
      <c r="S885" s="181"/>
      <c r="T885" s="181"/>
      <c r="U885" s="181"/>
      <c r="V885" s="181"/>
      <c r="W885" s="181"/>
      <c r="X885" s="181"/>
      <c r="Y885" s="181"/>
      <c r="Z885" s="181"/>
    </row>
    <row r="886">
      <c r="A886" s="181"/>
      <c r="B886" s="181"/>
      <c r="C886" s="181"/>
      <c r="D886" s="181"/>
      <c r="E886" s="181"/>
      <c r="F886" s="181"/>
      <c r="G886" s="181"/>
      <c r="H886" s="181"/>
      <c r="I886" s="181"/>
      <c r="J886" s="181"/>
      <c r="K886" s="181"/>
      <c r="L886" s="181"/>
      <c r="M886" s="181"/>
      <c r="N886" s="181"/>
      <c r="O886" s="181"/>
      <c r="P886" s="181"/>
      <c r="Q886" s="181"/>
      <c r="R886" s="181"/>
      <c r="S886" s="181"/>
      <c r="T886" s="181"/>
      <c r="U886" s="181"/>
      <c r="V886" s="181"/>
      <c r="W886" s="181"/>
      <c r="X886" s="181"/>
      <c r="Y886" s="181"/>
      <c r="Z886" s="181"/>
    </row>
    <row r="887">
      <c r="A887" s="181"/>
      <c r="B887" s="181"/>
      <c r="C887" s="181"/>
      <c r="D887" s="181"/>
      <c r="E887" s="181"/>
      <c r="F887" s="181"/>
      <c r="G887" s="181"/>
      <c r="H887" s="181"/>
      <c r="I887" s="181"/>
      <c r="J887" s="181"/>
      <c r="K887" s="181"/>
      <c r="L887" s="181"/>
      <c r="M887" s="181"/>
      <c r="N887" s="181"/>
      <c r="O887" s="181"/>
      <c r="P887" s="181"/>
      <c r="Q887" s="181"/>
      <c r="R887" s="181"/>
      <c r="S887" s="181"/>
      <c r="T887" s="181"/>
      <c r="U887" s="181"/>
      <c r="V887" s="181"/>
      <c r="W887" s="181"/>
      <c r="X887" s="181"/>
      <c r="Y887" s="181"/>
      <c r="Z887" s="181"/>
    </row>
    <row r="888">
      <c r="A888" s="181"/>
      <c r="B888" s="181"/>
      <c r="C888" s="181"/>
      <c r="D888" s="181"/>
      <c r="E888" s="181"/>
      <c r="F888" s="181"/>
      <c r="G888" s="181"/>
      <c r="H888" s="181"/>
      <c r="I888" s="181"/>
      <c r="J888" s="181"/>
      <c r="K888" s="181"/>
      <c r="L888" s="181"/>
      <c r="M888" s="181"/>
      <c r="N888" s="181"/>
      <c r="O888" s="181"/>
      <c r="P888" s="181"/>
      <c r="Q888" s="181"/>
      <c r="R888" s="181"/>
      <c r="S888" s="181"/>
      <c r="T888" s="181"/>
      <c r="U888" s="181"/>
      <c r="V888" s="181"/>
      <c r="W888" s="181"/>
      <c r="X888" s="181"/>
      <c r="Y888" s="181"/>
      <c r="Z888" s="181"/>
    </row>
    <row r="889">
      <c r="A889" s="181"/>
      <c r="B889" s="181"/>
      <c r="C889" s="181"/>
      <c r="D889" s="181"/>
      <c r="E889" s="181"/>
      <c r="F889" s="181"/>
      <c r="G889" s="181"/>
      <c r="H889" s="181"/>
      <c r="I889" s="181"/>
      <c r="J889" s="181"/>
      <c r="K889" s="181"/>
      <c r="L889" s="181"/>
      <c r="M889" s="181"/>
      <c r="N889" s="181"/>
      <c r="O889" s="181"/>
      <c r="P889" s="181"/>
      <c r="Q889" s="181"/>
      <c r="R889" s="181"/>
      <c r="S889" s="181"/>
      <c r="T889" s="181"/>
      <c r="U889" s="181"/>
      <c r="V889" s="181"/>
      <c r="W889" s="181"/>
      <c r="X889" s="181"/>
      <c r="Y889" s="181"/>
      <c r="Z889" s="181"/>
    </row>
    <row r="890">
      <c r="A890" s="181"/>
      <c r="B890" s="181"/>
      <c r="C890" s="181"/>
      <c r="D890" s="181"/>
      <c r="E890" s="181"/>
      <c r="F890" s="181"/>
      <c r="G890" s="181"/>
      <c r="H890" s="181"/>
      <c r="I890" s="181"/>
      <c r="J890" s="181"/>
      <c r="K890" s="181"/>
      <c r="L890" s="181"/>
      <c r="M890" s="181"/>
      <c r="N890" s="181"/>
      <c r="O890" s="181"/>
      <c r="P890" s="181"/>
      <c r="Q890" s="181"/>
      <c r="R890" s="181"/>
      <c r="S890" s="181"/>
      <c r="T890" s="181"/>
      <c r="U890" s="181"/>
      <c r="V890" s="181"/>
      <c r="W890" s="181"/>
      <c r="X890" s="181"/>
      <c r="Y890" s="181"/>
      <c r="Z890" s="181"/>
    </row>
    <row r="891">
      <c r="A891" s="181"/>
      <c r="B891" s="181"/>
      <c r="C891" s="181"/>
      <c r="D891" s="181"/>
      <c r="E891" s="181"/>
      <c r="F891" s="181"/>
      <c r="G891" s="181"/>
      <c r="H891" s="181"/>
      <c r="I891" s="181"/>
      <c r="J891" s="181"/>
      <c r="K891" s="181"/>
      <c r="L891" s="181"/>
      <c r="M891" s="181"/>
      <c r="N891" s="181"/>
      <c r="O891" s="181"/>
      <c r="P891" s="181"/>
      <c r="Q891" s="181"/>
      <c r="R891" s="181"/>
      <c r="S891" s="181"/>
      <c r="T891" s="181"/>
      <c r="U891" s="181"/>
      <c r="V891" s="181"/>
      <c r="W891" s="181"/>
      <c r="X891" s="181"/>
      <c r="Y891" s="181"/>
      <c r="Z891" s="181"/>
    </row>
    <row r="892">
      <c r="A892" s="181"/>
      <c r="B892" s="181"/>
      <c r="C892" s="181"/>
      <c r="D892" s="181"/>
      <c r="E892" s="181"/>
      <c r="F892" s="181"/>
      <c r="G892" s="181"/>
      <c r="H892" s="181"/>
      <c r="I892" s="181"/>
      <c r="J892" s="181"/>
      <c r="K892" s="181"/>
      <c r="L892" s="181"/>
      <c r="M892" s="181"/>
      <c r="N892" s="181"/>
      <c r="O892" s="181"/>
      <c r="P892" s="181"/>
      <c r="Q892" s="181"/>
      <c r="R892" s="181"/>
      <c r="S892" s="181"/>
      <c r="T892" s="181"/>
      <c r="U892" s="181"/>
      <c r="V892" s="181"/>
      <c r="W892" s="181"/>
      <c r="X892" s="181"/>
      <c r="Y892" s="181"/>
      <c r="Z892" s="181"/>
    </row>
    <row r="893">
      <c r="A893" s="181"/>
      <c r="B893" s="181"/>
      <c r="C893" s="181"/>
      <c r="D893" s="181"/>
      <c r="E893" s="181"/>
      <c r="F893" s="181"/>
      <c r="G893" s="181"/>
      <c r="H893" s="181"/>
      <c r="I893" s="181"/>
      <c r="J893" s="181"/>
      <c r="K893" s="181"/>
      <c r="L893" s="181"/>
      <c r="M893" s="181"/>
      <c r="N893" s="181"/>
      <c r="O893" s="181"/>
      <c r="P893" s="181"/>
      <c r="Q893" s="181"/>
      <c r="R893" s="181"/>
      <c r="S893" s="181"/>
      <c r="T893" s="181"/>
      <c r="U893" s="181"/>
      <c r="V893" s="181"/>
      <c r="W893" s="181"/>
      <c r="X893" s="181"/>
      <c r="Y893" s="181"/>
      <c r="Z893" s="181"/>
    </row>
    <row r="894">
      <c r="A894" s="181"/>
      <c r="B894" s="181"/>
      <c r="C894" s="181"/>
      <c r="D894" s="181"/>
      <c r="E894" s="181"/>
      <c r="F894" s="181"/>
      <c r="G894" s="181"/>
      <c r="H894" s="181"/>
      <c r="I894" s="181"/>
      <c r="J894" s="181"/>
      <c r="K894" s="181"/>
      <c r="L894" s="181"/>
      <c r="M894" s="181"/>
      <c r="N894" s="181"/>
      <c r="O894" s="181"/>
      <c r="P894" s="181"/>
      <c r="Q894" s="181"/>
      <c r="R894" s="181"/>
      <c r="S894" s="181"/>
      <c r="T894" s="181"/>
      <c r="U894" s="181"/>
      <c r="V894" s="181"/>
      <c r="W894" s="181"/>
      <c r="X894" s="181"/>
      <c r="Y894" s="181"/>
      <c r="Z894" s="181"/>
    </row>
    <row r="895">
      <c r="A895" s="181"/>
      <c r="B895" s="181"/>
      <c r="C895" s="181"/>
      <c r="D895" s="181"/>
      <c r="E895" s="181"/>
      <c r="F895" s="181"/>
      <c r="G895" s="181"/>
      <c r="H895" s="181"/>
      <c r="I895" s="181"/>
      <c r="J895" s="181"/>
      <c r="K895" s="181"/>
      <c r="L895" s="181"/>
      <c r="M895" s="181"/>
      <c r="N895" s="181"/>
      <c r="O895" s="181"/>
      <c r="P895" s="181"/>
      <c r="Q895" s="181"/>
      <c r="R895" s="181"/>
      <c r="S895" s="181"/>
      <c r="T895" s="181"/>
      <c r="U895" s="181"/>
      <c r="V895" s="181"/>
      <c r="W895" s="181"/>
      <c r="X895" s="181"/>
      <c r="Y895" s="181"/>
      <c r="Z895" s="181"/>
    </row>
    <row r="896">
      <c r="A896" s="181"/>
      <c r="B896" s="181"/>
      <c r="C896" s="181"/>
      <c r="D896" s="181"/>
      <c r="E896" s="181"/>
      <c r="F896" s="181"/>
      <c r="G896" s="181"/>
      <c r="H896" s="181"/>
      <c r="I896" s="181"/>
      <c r="J896" s="181"/>
      <c r="K896" s="181"/>
      <c r="L896" s="181"/>
      <c r="M896" s="181"/>
      <c r="N896" s="181"/>
      <c r="O896" s="181"/>
      <c r="P896" s="181"/>
      <c r="Q896" s="181"/>
      <c r="R896" s="181"/>
      <c r="S896" s="181"/>
      <c r="T896" s="181"/>
      <c r="U896" s="181"/>
      <c r="V896" s="181"/>
      <c r="W896" s="181"/>
      <c r="X896" s="181"/>
      <c r="Y896" s="181"/>
      <c r="Z896" s="181"/>
    </row>
    <row r="897">
      <c r="A897" s="181"/>
      <c r="B897" s="181"/>
      <c r="C897" s="181"/>
      <c r="D897" s="181"/>
      <c r="E897" s="181"/>
      <c r="F897" s="181"/>
      <c r="G897" s="181"/>
      <c r="H897" s="181"/>
      <c r="I897" s="181"/>
      <c r="J897" s="181"/>
      <c r="K897" s="181"/>
      <c r="L897" s="181"/>
      <c r="M897" s="181"/>
      <c r="N897" s="181"/>
      <c r="O897" s="181"/>
      <c r="P897" s="181"/>
      <c r="Q897" s="181"/>
      <c r="R897" s="181"/>
      <c r="S897" s="181"/>
      <c r="T897" s="181"/>
      <c r="U897" s="181"/>
      <c r="V897" s="181"/>
      <c r="W897" s="181"/>
      <c r="X897" s="181"/>
      <c r="Y897" s="181"/>
      <c r="Z897" s="181"/>
    </row>
    <row r="898">
      <c r="A898" s="181"/>
      <c r="B898" s="181"/>
      <c r="C898" s="181"/>
      <c r="D898" s="181"/>
      <c r="E898" s="181"/>
      <c r="F898" s="181"/>
      <c r="G898" s="181"/>
      <c r="H898" s="181"/>
      <c r="I898" s="181"/>
      <c r="J898" s="181"/>
      <c r="K898" s="181"/>
      <c r="L898" s="181"/>
      <c r="M898" s="181"/>
      <c r="N898" s="181"/>
      <c r="O898" s="181"/>
      <c r="P898" s="181"/>
      <c r="Q898" s="181"/>
      <c r="R898" s="181"/>
      <c r="S898" s="181"/>
      <c r="T898" s="181"/>
      <c r="U898" s="181"/>
      <c r="V898" s="181"/>
      <c r="W898" s="181"/>
      <c r="X898" s="181"/>
      <c r="Y898" s="181"/>
      <c r="Z898" s="181"/>
    </row>
    <row r="899">
      <c r="A899" s="181"/>
      <c r="B899" s="181"/>
      <c r="C899" s="181"/>
      <c r="D899" s="181"/>
      <c r="E899" s="181"/>
      <c r="F899" s="181"/>
      <c r="G899" s="181"/>
      <c r="H899" s="181"/>
      <c r="I899" s="181"/>
      <c r="J899" s="181"/>
      <c r="K899" s="181"/>
      <c r="L899" s="181"/>
      <c r="M899" s="181"/>
      <c r="N899" s="181"/>
      <c r="O899" s="181"/>
      <c r="P899" s="181"/>
      <c r="Q899" s="181"/>
      <c r="R899" s="181"/>
      <c r="S899" s="181"/>
      <c r="T899" s="181"/>
      <c r="U899" s="181"/>
      <c r="V899" s="181"/>
      <c r="W899" s="181"/>
      <c r="X899" s="181"/>
      <c r="Y899" s="181"/>
      <c r="Z899" s="181"/>
    </row>
    <row r="900">
      <c r="A900" s="181"/>
      <c r="B900" s="181"/>
      <c r="C900" s="181"/>
      <c r="D900" s="181"/>
      <c r="E900" s="181"/>
      <c r="F900" s="181"/>
      <c r="G900" s="181"/>
      <c r="H900" s="181"/>
      <c r="I900" s="181"/>
      <c r="J900" s="181"/>
      <c r="K900" s="181"/>
      <c r="L900" s="181"/>
      <c r="M900" s="181"/>
      <c r="N900" s="181"/>
      <c r="O900" s="181"/>
      <c r="P900" s="181"/>
      <c r="Q900" s="181"/>
      <c r="R900" s="181"/>
      <c r="S900" s="181"/>
      <c r="T900" s="181"/>
      <c r="U900" s="181"/>
      <c r="V900" s="181"/>
      <c r="W900" s="181"/>
      <c r="X900" s="181"/>
      <c r="Y900" s="181"/>
      <c r="Z900" s="181"/>
    </row>
    <row r="901">
      <c r="A901" s="181"/>
      <c r="B901" s="181"/>
      <c r="C901" s="181"/>
      <c r="D901" s="181"/>
      <c r="E901" s="181"/>
      <c r="F901" s="181"/>
      <c r="G901" s="181"/>
      <c r="H901" s="181"/>
      <c r="I901" s="181"/>
      <c r="J901" s="181"/>
      <c r="K901" s="181"/>
      <c r="L901" s="181"/>
      <c r="M901" s="181"/>
      <c r="N901" s="181"/>
      <c r="O901" s="181"/>
      <c r="P901" s="181"/>
      <c r="Q901" s="181"/>
      <c r="R901" s="181"/>
      <c r="S901" s="181"/>
      <c r="T901" s="181"/>
      <c r="U901" s="181"/>
      <c r="V901" s="181"/>
      <c r="W901" s="181"/>
      <c r="X901" s="181"/>
      <c r="Y901" s="181"/>
      <c r="Z901" s="181"/>
    </row>
    <row r="902">
      <c r="A902" s="181"/>
      <c r="B902" s="181"/>
      <c r="C902" s="181"/>
      <c r="D902" s="181"/>
      <c r="E902" s="181"/>
      <c r="F902" s="181"/>
      <c r="G902" s="181"/>
      <c r="H902" s="181"/>
      <c r="I902" s="181"/>
      <c r="J902" s="181"/>
      <c r="K902" s="181"/>
      <c r="L902" s="181"/>
      <c r="M902" s="181"/>
      <c r="N902" s="181"/>
      <c r="O902" s="181"/>
      <c r="P902" s="181"/>
      <c r="Q902" s="181"/>
      <c r="R902" s="181"/>
      <c r="S902" s="181"/>
      <c r="T902" s="181"/>
      <c r="U902" s="181"/>
      <c r="V902" s="181"/>
      <c r="W902" s="181"/>
      <c r="X902" s="181"/>
      <c r="Y902" s="181"/>
      <c r="Z902" s="181"/>
    </row>
    <row r="903">
      <c r="A903" s="181"/>
      <c r="B903" s="181"/>
      <c r="C903" s="181"/>
      <c r="D903" s="181"/>
      <c r="E903" s="181"/>
      <c r="F903" s="181"/>
      <c r="G903" s="181"/>
      <c r="H903" s="181"/>
      <c r="I903" s="181"/>
      <c r="J903" s="181"/>
      <c r="K903" s="181"/>
      <c r="L903" s="181"/>
      <c r="M903" s="181"/>
      <c r="N903" s="181"/>
      <c r="O903" s="181"/>
      <c r="P903" s="181"/>
      <c r="Q903" s="181"/>
      <c r="R903" s="181"/>
      <c r="S903" s="181"/>
      <c r="T903" s="181"/>
      <c r="U903" s="181"/>
      <c r="V903" s="181"/>
      <c r="W903" s="181"/>
      <c r="X903" s="181"/>
      <c r="Y903" s="181"/>
      <c r="Z903" s="181"/>
    </row>
    <row r="904">
      <c r="A904" s="181"/>
      <c r="B904" s="181"/>
      <c r="C904" s="181"/>
      <c r="D904" s="181"/>
      <c r="E904" s="181"/>
      <c r="F904" s="181"/>
      <c r="G904" s="181"/>
      <c r="H904" s="181"/>
      <c r="I904" s="181"/>
      <c r="J904" s="181"/>
      <c r="K904" s="181"/>
      <c r="L904" s="181"/>
      <c r="M904" s="181"/>
      <c r="N904" s="181"/>
      <c r="O904" s="181"/>
      <c r="P904" s="181"/>
      <c r="Q904" s="181"/>
      <c r="R904" s="181"/>
      <c r="S904" s="181"/>
      <c r="T904" s="181"/>
      <c r="U904" s="181"/>
      <c r="V904" s="181"/>
      <c r="W904" s="181"/>
      <c r="X904" s="181"/>
      <c r="Y904" s="181"/>
      <c r="Z904" s="181"/>
    </row>
    <row r="905">
      <c r="A905" s="181"/>
      <c r="B905" s="181"/>
      <c r="C905" s="181"/>
      <c r="D905" s="181"/>
      <c r="E905" s="181"/>
      <c r="F905" s="181"/>
      <c r="G905" s="181"/>
      <c r="H905" s="181"/>
      <c r="I905" s="181"/>
      <c r="J905" s="181"/>
      <c r="K905" s="181"/>
      <c r="L905" s="181"/>
      <c r="M905" s="181"/>
      <c r="N905" s="181"/>
      <c r="O905" s="181"/>
      <c r="P905" s="181"/>
      <c r="Q905" s="181"/>
      <c r="R905" s="181"/>
      <c r="S905" s="181"/>
      <c r="T905" s="181"/>
      <c r="U905" s="181"/>
      <c r="V905" s="181"/>
      <c r="W905" s="181"/>
      <c r="X905" s="181"/>
      <c r="Y905" s="181"/>
      <c r="Z905" s="181"/>
    </row>
    <row r="906">
      <c r="A906" s="181"/>
      <c r="B906" s="181"/>
      <c r="C906" s="181"/>
      <c r="D906" s="181"/>
      <c r="E906" s="181"/>
      <c r="F906" s="181"/>
      <c r="G906" s="181"/>
      <c r="H906" s="181"/>
      <c r="I906" s="181"/>
      <c r="J906" s="181"/>
      <c r="K906" s="181"/>
      <c r="L906" s="181"/>
      <c r="M906" s="181"/>
      <c r="N906" s="181"/>
      <c r="O906" s="181"/>
      <c r="P906" s="181"/>
      <c r="Q906" s="181"/>
      <c r="R906" s="181"/>
      <c r="S906" s="181"/>
      <c r="T906" s="181"/>
      <c r="U906" s="181"/>
      <c r="V906" s="181"/>
      <c r="W906" s="181"/>
      <c r="X906" s="181"/>
      <c r="Y906" s="181"/>
      <c r="Z906" s="181"/>
    </row>
    <row r="907">
      <c r="A907" s="181"/>
      <c r="B907" s="181"/>
      <c r="C907" s="181"/>
      <c r="D907" s="181"/>
      <c r="E907" s="181"/>
      <c r="F907" s="181"/>
      <c r="G907" s="181"/>
      <c r="H907" s="181"/>
      <c r="I907" s="181"/>
      <c r="J907" s="181"/>
      <c r="K907" s="181"/>
      <c r="L907" s="181"/>
      <c r="M907" s="181"/>
      <c r="N907" s="181"/>
      <c r="O907" s="181"/>
      <c r="P907" s="181"/>
      <c r="Q907" s="181"/>
      <c r="R907" s="181"/>
      <c r="S907" s="181"/>
      <c r="T907" s="181"/>
      <c r="U907" s="181"/>
      <c r="V907" s="181"/>
      <c r="W907" s="181"/>
      <c r="X907" s="181"/>
      <c r="Y907" s="181"/>
      <c r="Z907" s="181"/>
    </row>
    <row r="908">
      <c r="A908" s="181"/>
      <c r="B908" s="181"/>
      <c r="C908" s="181"/>
      <c r="D908" s="181"/>
      <c r="E908" s="181"/>
      <c r="F908" s="181"/>
      <c r="G908" s="181"/>
      <c r="H908" s="181"/>
      <c r="I908" s="181"/>
      <c r="J908" s="181"/>
      <c r="K908" s="181"/>
      <c r="L908" s="181"/>
      <c r="M908" s="181"/>
      <c r="N908" s="181"/>
      <c r="O908" s="181"/>
      <c r="P908" s="181"/>
      <c r="Q908" s="181"/>
      <c r="R908" s="181"/>
      <c r="S908" s="181"/>
      <c r="T908" s="181"/>
      <c r="U908" s="181"/>
      <c r="V908" s="181"/>
      <c r="W908" s="181"/>
      <c r="X908" s="181"/>
      <c r="Y908" s="181"/>
      <c r="Z908" s="181"/>
    </row>
    <row r="909">
      <c r="A909" s="181"/>
      <c r="B909" s="181"/>
      <c r="C909" s="181"/>
      <c r="D909" s="181"/>
      <c r="E909" s="181"/>
      <c r="F909" s="181"/>
      <c r="G909" s="181"/>
      <c r="H909" s="181"/>
      <c r="I909" s="181"/>
      <c r="J909" s="181"/>
      <c r="K909" s="181"/>
      <c r="L909" s="181"/>
      <c r="M909" s="181"/>
      <c r="N909" s="181"/>
      <c r="O909" s="181"/>
      <c r="P909" s="181"/>
      <c r="Q909" s="181"/>
      <c r="R909" s="181"/>
      <c r="S909" s="181"/>
      <c r="T909" s="181"/>
      <c r="U909" s="181"/>
      <c r="V909" s="181"/>
      <c r="W909" s="181"/>
      <c r="X909" s="181"/>
      <c r="Y909" s="181"/>
      <c r="Z909" s="181"/>
    </row>
    <row r="910">
      <c r="A910" s="181"/>
      <c r="B910" s="181"/>
      <c r="C910" s="181"/>
      <c r="D910" s="181"/>
      <c r="E910" s="181"/>
      <c r="F910" s="181"/>
      <c r="G910" s="181"/>
      <c r="H910" s="181"/>
      <c r="I910" s="181"/>
      <c r="J910" s="181"/>
      <c r="K910" s="181"/>
      <c r="L910" s="181"/>
      <c r="M910" s="181"/>
      <c r="N910" s="181"/>
      <c r="O910" s="181"/>
      <c r="P910" s="181"/>
      <c r="Q910" s="181"/>
      <c r="R910" s="181"/>
      <c r="S910" s="181"/>
      <c r="T910" s="181"/>
      <c r="U910" s="181"/>
      <c r="V910" s="181"/>
      <c r="W910" s="181"/>
      <c r="X910" s="181"/>
      <c r="Y910" s="181"/>
      <c r="Z910" s="181"/>
    </row>
    <row r="911">
      <c r="A911" s="181"/>
      <c r="B911" s="181"/>
      <c r="C911" s="181"/>
      <c r="D911" s="181"/>
      <c r="E911" s="181"/>
      <c r="F911" s="181"/>
      <c r="G911" s="181"/>
      <c r="H911" s="181"/>
      <c r="I911" s="181"/>
      <c r="J911" s="181"/>
      <c r="K911" s="181"/>
      <c r="L911" s="181"/>
      <c r="M911" s="181"/>
      <c r="N911" s="181"/>
      <c r="O911" s="181"/>
      <c r="P911" s="181"/>
      <c r="Q911" s="181"/>
      <c r="R911" s="181"/>
      <c r="S911" s="181"/>
      <c r="T911" s="181"/>
      <c r="U911" s="181"/>
      <c r="V911" s="181"/>
      <c r="W911" s="181"/>
      <c r="X911" s="181"/>
      <c r="Y911" s="181"/>
      <c r="Z911" s="181"/>
    </row>
    <row r="912">
      <c r="A912" s="181"/>
      <c r="B912" s="181"/>
      <c r="C912" s="181"/>
      <c r="D912" s="181"/>
      <c r="E912" s="181"/>
      <c r="F912" s="181"/>
      <c r="G912" s="181"/>
      <c r="H912" s="181"/>
      <c r="I912" s="181"/>
      <c r="J912" s="181"/>
      <c r="K912" s="181"/>
      <c r="L912" s="181"/>
      <c r="M912" s="181"/>
      <c r="N912" s="181"/>
      <c r="O912" s="181"/>
      <c r="P912" s="181"/>
      <c r="Q912" s="181"/>
      <c r="R912" s="181"/>
      <c r="S912" s="181"/>
      <c r="T912" s="181"/>
      <c r="U912" s="181"/>
      <c r="V912" s="181"/>
      <c r="W912" s="181"/>
      <c r="X912" s="181"/>
      <c r="Y912" s="181"/>
      <c r="Z912" s="181"/>
    </row>
    <row r="913">
      <c r="A913" s="181"/>
      <c r="B913" s="181"/>
      <c r="C913" s="181"/>
      <c r="D913" s="181"/>
      <c r="E913" s="181"/>
      <c r="F913" s="181"/>
      <c r="G913" s="181"/>
      <c r="H913" s="181"/>
      <c r="I913" s="181"/>
      <c r="J913" s="181"/>
      <c r="K913" s="181"/>
      <c r="L913" s="181"/>
      <c r="M913" s="181"/>
      <c r="N913" s="181"/>
      <c r="O913" s="181"/>
      <c r="P913" s="181"/>
      <c r="Q913" s="181"/>
      <c r="R913" s="181"/>
      <c r="S913" s="181"/>
      <c r="T913" s="181"/>
      <c r="U913" s="181"/>
      <c r="V913" s="181"/>
      <c r="W913" s="181"/>
      <c r="X913" s="181"/>
      <c r="Y913" s="181"/>
      <c r="Z913" s="181"/>
    </row>
    <row r="914">
      <c r="A914" s="181"/>
      <c r="B914" s="181"/>
      <c r="C914" s="181"/>
      <c r="D914" s="181"/>
      <c r="E914" s="181"/>
      <c r="F914" s="181"/>
      <c r="G914" s="181"/>
      <c r="H914" s="181"/>
      <c r="I914" s="181"/>
      <c r="J914" s="181"/>
      <c r="K914" s="181"/>
      <c r="L914" s="181"/>
      <c r="M914" s="181"/>
      <c r="N914" s="181"/>
      <c r="O914" s="181"/>
      <c r="P914" s="181"/>
      <c r="Q914" s="181"/>
      <c r="R914" s="181"/>
      <c r="S914" s="181"/>
      <c r="T914" s="181"/>
      <c r="U914" s="181"/>
      <c r="V914" s="181"/>
      <c r="W914" s="181"/>
      <c r="X914" s="181"/>
      <c r="Y914" s="181"/>
      <c r="Z914" s="181"/>
    </row>
    <row r="915">
      <c r="A915" s="181"/>
      <c r="B915" s="181"/>
      <c r="C915" s="181"/>
      <c r="D915" s="181"/>
      <c r="E915" s="181"/>
      <c r="F915" s="181"/>
      <c r="G915" s="181"/>
      <c r="H915" s="181"/>
      <c r="I915" s="181"/>
      <c r="J915" s="181"/>
      <c r="K915" s="181"/>
      <c r="L915" s="181"/>
      <c r="M915" s="181"/>
      <c r="N915" s="181"/>
      <c r="O915" s="181"/>
      <c r="P915" s="181"/>
      <c r="Q915" s="181"/>
      <c r="R915" s="181"/>
      <c r="S915" s="181"/>
      <c r="T915" s="181"/>
      <c r="U915" s="181"/>
      <c r="V915" s="181"/>
      <c r="W915" s="181"/>
      <c r="X915" s="181"/>
      <c r="Y915" s="181"/>
      <c r="Z915" s="181"/>
    </row>
    <row r="916">
      <c r="A916" s="181"/>
      <c r="B916" s="181"/>
      <c r="C916" s="181"/>
      <c r="D916" s="181"/>
      <c r="E916" s="181"/>
      <c r="F916" s="181"/>
      <c r="G916" s="181"/>
      <c r="H916" s="181"/>
      <c r="I916" s="181"/>
      <c r="J916" s="181"/>
      <c r="K916" s="181"/>
      <c r="L916" s="181"/>
      <c r="M916" s="181"/>
      <c r="N916" s="181"/>
      <c r="O916" s="181"/>
      <c r="P916" s="181"/>
      <c r="Q916" s="181"/>
      <c r="R916" s="181"/>
      <c r="S916" s="181"/>
      <c r="T916" s="181"/>
      <c r="U916" s="181"/>
      <c r="V916" s="181"/>
      <c r="W916" s="181"/>
      <c r="X916" s="181"/>
      <c r="Y916" s="181"/>
      <c r="Z916" s="181"/>
    </row>
    <row r="917">
      <c r="A917" s="181"/>
      <c r="B917" s="181"/>
      <c r="C917" s="181"/>
      <c r="D917" s="181"/>
      <c r="E917" s="181"/>
      <c r="F917" s="181"/>
      <c r="G917" s="181"/>
      <c r="H917" s="181"/>
      <c r="I917" s="181"/>
      <c r="J917" s="181"/>
      <c r="K917" s="181"/>
      <c r="L917" s="181"/>
      <c r="M917" s="181"/>
      <c r="N917" s="181"/>
      <c r="O917" s="181"/>
      <c r="P917" s="181"/>
      <c r="Q917" s="181"/>
      <c r="R917" s="181"/>
      <c r="S917" s="181"/>
      <c r="T917" s="181"/>
      <c r="U917" s="181"/>
      <c r="V917" s="181"/>
      <c r="W917" s="181"/>
      <c r="X917" s="181"/>
      <c r="Y917" s="181"/>
      <c r="Z917" s="181"/>
    </row>
    <row r="918">
      <c r="A918" s="181"/>
      <c r="B918" s="181"/>
      <c r="C918" s="181"/>
      <c r="D918" s="181"/>
      <c r="E918" s="181"/>
      <c r="F918" s="181"/>
      <c r="G918" s="181"/>
      <c r="H918" s="181"/>
      <c r="I918" s="181"/>
      <c r="J918" s="181"/>
      <c r="K918" s="181"/>
      <c r="L918" s="181"/>
      <c r="M918" s="181"/>
      <c r="N918" s="181"/>
      <c r="O918" s="181"/>
      <c r="P918" s="181"/>
      <c r="Q918" s="181"/>
      <c r="R918" s="181"/>
      <c r="S918" s="181"/>
      <c r="T918" s="181"/>
      <c r="U918" s="181"/>
      <c r="V918" s="181"/>
      <c r="W918" s="181"/>
      <c r="X918" s="181"/>
      <c r="Y918" s="181"/>
      <c r="Z918" s="181"/>
    </row>
    <row r="919">
      <c r="A919" s="181"/>
      <c r="B919" s="181"/>
      <c r="C919" s="181"/>
      <c r="D919" s="181"/>
      <c r="E919" s="181"/>
      <c r="F919" s="181"/>
      <c r="G919" s="181"/>
      <c r="H919" s="181"/>
      <c r="I919" s="181"/>
      <c r="J919" s="181"/>
      <c r="K919" s="181"/>
      <c r="L919" s="181"/>
      <c r="M919" s="181"/>
      <c r="N919" s="181"/>
      <c r="O919" s="181"/>
      <c r="P919" s="181"/>
      <c r="Q919" s="181"/>
      <c r="R919" s="181"/>
      <c r="S919" s="181"/>
      <c r="T919" s="181"/>
      <c r="U919" s="181"/>
      <c r="V919" s="181"/>
      <c r="W919" s="181"/>
      <c r="X919" s="181"/>
      <c r="Y919" s="181"/>
      <c r="Z919" s="181"/>
    </row>
    <row r="920">
      <c r="A920" s="181"/>
      <c r="B920" s="181"/>
      <c r="C920" s="181"/>
      <c r="D920" s="181"/>
      <c r="E920" s="181"/>
      <c r="F920" s="181"/>
      <c r="G920" s="181"/>
      <c r="H920" s="181"/>
      <c r="I920" s="181"/>
      <c r="J920" s="181"/>
      <c r="K920" s="181"/>
      <c r="L920" s="181"/>
      <c r="M920" s="181"/>
      <c r="N920" s="181"/>
      <c r="O920" s="181"/>
      <c r="P920" s="181"/>
      <c r="Q920" s="181"/>
      <c r="R920" s="181"/>
      <c r="S920" s="181"/>
      <c r="T920" s="181"/>
      <c r="U920" s="181"/>
      <c r="V920" s="181"/>
      <c r="W920" s="181"/>
      <c r="X920" s="181"/>
      <c r="Y920" s="181"/>
      <c r="Z920" s="181"/>
    </row>
    <row r="921">
      <c r="A921" s="181"/>
      <c r="B921" s="181"/>
      <c r="C921" s="181"/>
      <c r="D921" s="181"/>
      <c r="E921" s="181"/>
      <c r="F921" s="181"/>
      <c r="G921" s="181"/>
      <c r="H921" s="181"/>
      <c r="I921" s="181"/>
      <c r="J921" s="181"/>
      <c r="K921" s="181"/>
      <c r="L921" s="181"/>
      <c r="M921" s="181"/>
      <c r="N921" s="181"/>
      <c r="O921" s="181"/>
      <c r="P921" s="181"/>
      <c r="Q921" s="181"/>
      <c r="R921" s="181"/>
      <c r="S921" s="181"/>
      <c r="T921" s="181"/>
      <c r="U921" s="181"/>
      <c r="V921" s="181"/>
      <c r="W921" s="181"/>
      <c r="X921" s="181"/>
      <c r="Y921" s="181"/>
      <c r="Z921" s="181"/>
    </row>
    <row r="922">
      <c r="A922" s="181"/>
      <c r="B922" s="181"/>
      <c r="C922" s="181"/>
      <c r="D922" s="181"/>
      <c r="E922" s="181"/>
      <c r="F922" s="181"/>
      <c r="G922" s="181"/>
      <c r="H922" s="181"/>
      <c r="I922" s="181"/>
      <c r="J922" s="181"/>
      <c r="K922" s="181"/>
      <c r="L922" s="181"/>
      <c r="M922" s="181"/>
      <c r="N922" s="181"/>
      <c r="O922" s="181"/>
      <c r="P922" s="181"/>
      <c r="Q922" s="181"/>
      <c r="R922" s="181"/>
      <c r="S922" s="181"/>
      <c r="T922" s="181"/>
      <c r="U922" s="181"/>
      <c r="V922" s="181"/>
      <c r="W922" s="181"/>
      <c r="X922" s="181"/>
      <c r="Y922" s="181"/>
      <c r="Z922" s="181"/>
    </row>
    <row r="923">
      <c r="A923" s="181"/>
      <c r="B923" s="181"/>
      <c r="C923" s="181"/>
      <c r="D923" s="181"/>
      <c r="E923" s="181"/>
      <c r="F923" s="181"/>
      <c r="G923" s="181"/>
      <c r="H923" s="181"/>
      <c r="I923" s="181"/>
      <c r="J923" s="181"/>
      <c r="K923" s="181"/>
      <c r="L923" s="181"/>
      <c r="M923" s="181"/>
      <c r="N923" s="181"/>
      <c r="O923" s="181"/>
      <c r="P923" s="181"/>
      <c r="Q923" s="181"/>
      <c r="R923" s="181"/>
      <c r="S923" s="181"/>
      <c r="T923" s="181"/>
      <c r="U923" s="181"/>
      <c r="V923" s="181"/>
      <c r="W923" s="181"/>
      <c r="X923" s="181"/>
      <c r="Y923" s="181"/>
      <c r="Z923" s="181"/>
    </row>
    <row r="924">
      <c r="A924" s="181"/>
      <c r="B924" s="181"/>
      <c r="C924" s="181"/>
      <c r="D924" s="181"/>
      <c r="E924" s="181"/>
      <c r="F924" s="181"/>
      <c r="G924" s="181"/>
      <c r="H924" s="181"/>
      <c r="I924" s="181"/>
      <c r="J924" s="181"/>
      <c r="K924" s="181"/>
      <c r="L924" s="181"/>
      <c r="M924" s="181"/>
      <c r="N924" s="181"/>
      <c r="O924" s="181"/>
      <c r="P924" s="181"/>
      <c r="Q924" s="181"/>
      <c r="R924" s="181"/>
      <c r="S924" s="181"/>
      <c r="T924" s="181"/>
      <c r="U924" s="181"/>
      <c r="V924" s="181"/>
      <c r="W924" s="181"/>
      <c r="X924" s="181"/>
      <c r="Y924" s="181"/>
      <c r="Z924" s="181"/>
    </row>
    <row r="925">
      <c r="A925" s="181"/>
      <c r="B925" s="181"/>
      <c r="C925" s="181"/>
      <c r="D925" s="181"/>
      <c r="E925" s="181"/>
      <c r="F925" s="181"/>
      <c r="G925" s="181"/>
      <c r="H925" s="181"/>
      <c r="I925" s="181"/>
      <c r="J925" s="181"/>
      <c r="K925" s="181"/>
      <c r="L925" s="181"/>
      <c r="M925" s="181"/>
      <c r="N925" s="181"/>
      <c r="O925" s="181"/>
      <c r="P925" s="181"/>
      <c r="Q925" s="181"/>
      <c r="R925" s="181"/>
      <c r="S925" s="181"/>
      <c r="T925" s="181"/>
      <c r="U925" s="181"/>
      <c r="V925" s="181"/>
      <c r="W925" s="181"/>
      <c r="X925" s="181"/>
      <c r="Y925" s="181"/>
      <c r="Z925" s="181"/>
    </row>
    <row r="926">
      <c r="A926" s="181"/>
      <c r="B926" s="181"/>
      <c r="C926" s="181"/>
      <c r="D926" s="181"/>
      <c r="E926" s="181"/>
      <c r="F926" s="181"/>
      <c r="G926" s="181"/>
      <c r="H926" s="181"/>
      <c r="I926" s="181"/>
      <c r="J926" s="181"/>
      <c r="K926" s="181"/>
      <c r="L926" s="181"/>
      <c r="M926" s="181"/>
      <c r="N926" s="181"/>
      <c r="O926" s="181"/>
      <c r="P926" s="181"/>
      <c r="Q926" s="181"/>
      <c r="R926" s="181"/>
      <c r="S926" s="181"/>
      <c r="T926" s="181"/>
      <c r="U926" s="181"/>
      <c r="V926" s="181"/>
      <c r="W926" s="181"/>
      <c r="X926" s="181"/>
      <c r="Y926" s="181"/>
      <c r="Z926" s="181"/>
    </row>
    <row r="927">
      <c r="A927" s="181"/>
      <c r="B927" s="181"/>
      <c r="C927" s="181"/>
      <c r="D927" s="181"/>
      <c r="E927" s="181"/>
      <c r="F927" s="181"/>
      <c r="G927" s="181"/>
      <c r="H927" s="181"/>
      <c r="I927" s="181"/>
      <c r="J927" s="181"/>
      <c r="K927" s="181"/>
      <c r="L927" s="181"/>
      <c r="M927" s="181"/>
      <c r="N927" s="181"/>
      <c r="O927" s="181"/>
      <c r="P927" s="181"/>
      <c r="Q927" s="181"/>
      <c r="R927" s="181"/>
      <c r="S927" s="181"/>
      <c r="T927" s="181"/>
      <c r="U927" s="181"/>
      <c r="V927" s="181"/>
      <c r="W927" s="181"/>
      <c r="X927" s="181"/>
      <c r="Y927" s="181"/>
      <c r="Z927" s="181"/>
    </row>
    <row r="928">
      <c r="A928" s="181"/>
      <c r="B928" s="181"/>
      <c r="C928" s="181"/>
      <c r="D928" s="181"/>
      <c r="E928" s="181"/>
      <c r="F928" s="181"/>
      <c r="G928" s="181"/>
      <c r="H928" s="181"/>
      <c r="I928" s="181"/>
      <c r="J928" s="181"/>
      <c r="K928" s="181"/>
      <c r="L928" s="181"/>
      <c r="M928" s="181"/>
      <c r="N928" s="181"/>
      <c r="O928" s="181"/>
      <c r="P928" s="181"/>
      <c r="Q928" s="181"/>
      <c r="R928" s="181"/>
      <c r="S928" s="181"/>
      <c r="T928" s="181"/>
      <c r="U928" s="181"/>
      <c r="V928" s="181"/>
      <c r="W928" s="181"/>
      <c r="X928" s="181"/>
      <c r="Y928" s="181"/>
      <c r="Z928" s="181"/>
    </row>
    <row r="929">
      <c r="A929" s="181"/>
      <c r="B929" s="181"/>
      <c r="C929" s="181"/>
      <c r="D929" s="181"/>
      <c r="E929" s="181"/>
      <c r="F929" s="181"/>
      <c r="G929" s="181"/>
      <c r="H929" s="181"/>
      <c r="I929" s="181"/>
      <c r="J929" s="181"/>
      <c r="K929" s="181"/>
      <c r="L929" s="181"/>
      <c r="M929" s="181"/>
      <c r="N929" s="181"/>
      <c r="O929" s="181"/>
      <c r="P929" s="181"/>
      <c r="Q929" s="181"/>
      <c r="R929" s="181"/>
      <c r="S929" s="181"/>
      <c r="T929" s="181"/>
      <c r="U929" s="181"/>
      <c r="V929" s="181"/>
      <c r="W929" s="181"/>
      <c r="X929" s="181"/>
      <c r="Y929" s="181"/>
      <c r="Z929" s="181"/>
    </row>
    <row r="930">
      <c r="A930" s="181"/>
      <c r="B930" s="181"/>
      <c r="C930" s="181"/>
      <c r="D930" s="181"/>
      <c r="E930" s="181"/>
      <c r="F930" s="181"/>
      <c r="G930" s="181"/>
      <c r="H930" s="181"/>
      <c r="I930" s="181"/>
      <c r="J930" s="181"/>
      <c r="K930" s="181"/>
      <c r="L930" s="181"/>
      <c r="M930" s="181"/>
      <c r="N930" s="181"/>
      <c r="O930" s="181"/>
      <c r="P930" s="181"/>
      <c r="Q930" s="181"/>
      <c r="R930" s="181"/>
      <c r="S930" s="181"/>
      <c r="T930" s="181"/>
      <c r="U930" s="181"/>
      <c r="V930" s="181"/>
      <c r="W930" s="181"/>
      <c r="X930" s="181"/>
      <c r="Y930" s="181"/>
      <c r="Z930" s="181"/>
    </row>
    <row r="931">
      <c r="A931" s="181"/>
      <c r="B931" s="181"/>
      <c r="C931" s="181"/>
      <c r="D931" s="181"/>
      <c r="E931" s="181"/>
      <c r="F931" s="181"/>
      <c r="G931" s="181"/>
      <c r="H931" s="181"/>
      <c r="I931" s="181"/>
      <c r="J931" s="181"/>
      <c r="K931" s="181"/>
      <c r="L931" s="181"/>
      <c r="M931" s="181"/>
      <c r="N931" s="181"/>
      <c r="O931" s="181"/>
      <c r="P931" s="181"/>
      <c r="Q931" s="181"/>
      <c r="R931" s="181"/>
      <c r="S931" s="181"/>
      <c r="T931" s="181"/>
      <c r="U931" s="181"/>
      <c r="V931" s="181"/>
      <c r="W931" s="181"/>
      <c r="X931" s="181"/>
      <c r="Y931" s="181"/>
      <c r="Z931" s="181"/>
    </row>
    <row r="932">
      <c r="A932" s="181"/>
      <c r="B932" s="181"/>
      <c r="C932" s="181"/>
      <c r="D932" s="181"/>
      <c r="E932" s="181"/>
      <c r="F932" s="181"/>
      <c r="G932" s="181"/>
      <c r="H932" s="181"/>
      <c r="I932" s="181"/>
      <c r="J932" s="181"/>
      <c r="K932" s="181"/>
      <c r="L932" s="181"/>
      <c r="M932" s="181"/>
      <c r="N932" s="181"/>
      <c r="O932" s="181"/>
      <c r="P932" s="181"/>
      <c r="Q932" s="181"/>
      <c r="R932" s="181"/>
      <c r="S932" s="181"/>
      <c r="T932" s="181"/>
      <c r="U932" s="181"/>
      <c r="V932" s="181"/>
      <c r="W932" s="181"/>
      <c r="X932" s="181"/>
      <c r="Y932" s="181"/>
      <c r="Z932" s="181"/>
    </row>
    <row r="933">
      <c r="A933" s="181"/>
      <c r="B933" s="181"/>
      <c r="C933" s="181"/>
      <c r="D933" s="181"/>
      <c r="E933" s="181"/>
      <c r="F933" s="181"/>
      <c r="G933" s="181"/>
      <c r="H933" s="181"/>
      <c r="I933" s="181"/>
      <c r="J933" s="181"/>
      <c r="K933" s="181"/>
      <c r="L933" s="181"/>
      <c r="M933" s="181"/>
      <c r="N933" s="181"/>
      <c r="O933" s="181"/>
      <c r="P933" s="181"/>
      <c r="Q933" s="181"/>
      <c r="R933" s="181"/>
      <c r="S933" s="181"/>
      <c r="T933" s="181"/>
      <c r="U933" s="181"/>
      <c r="V933" s="181"/>
      <c r="W933" s="181"/>
      <c r="X933" s="181"/>
      <c r="Y933" s="181"/>
      <c r="Z933" s="181"/>
    </row>
    <row r="934">
      <c r="A934" s="181"/>
      <c r="B934" s="181"/>
      <c r="C934" s="181"/>
      <c r="D934" s="181"/>
      <c r="E934" s="181"/>
      <c r="F934" s="181"/>
      <c r="G934" s="181"/>
      <c r="H934" s="181"/>
      <c r="I934" s="181"/>
      <c r="J934" s="181"/>
      <c r="K934" s="181"/>
      <c r="L934" s="181"/>
      <c r="M934" s="181"/>
      <c r="N934" s="181"/>
      <c r="O934" s="181"/>
      <c r="P934" s="181"/>
      <c r="Q934" s="181"/>
      <c r="R934" s="181"/>
      <c r="S934" s="181"/>
      <c r="T934" s="181"/>
      <c r="U934" s="181"/>
      <c r="V934" s="181"/>
      <c r="W934" s="181"/>
      <c r="X934" s="181"/>
      <c r="Y934" s="181"/>
      <c r="Z934" s="181"/>
    </row>
    <row r="935">
      <c r="A935" s="181"/>
      <c r="B935" s="181"/>
      <c r="C935" s="181"/>
      <c r="D935" s="181"/>
      <c r="E935" s="181"/>
      <c r="F935" s="181"/>
      <c r="G935" s="181"/>
      <c r="H935" s="181"/>
      <c r="I935" s="181"/>
      <c r="J935" s="181"/>
      <c r="K935" s="181"/>
      <c r="L935" s="181"/>
      <c r="M935" s="181"/>
      <c r="N935" s="181"/>
      <c r="O935" s="181"/>
      <c r="P935" s="181"/>
      <c r="Q935" s="181"/>
      <c r="R935" s="181"/>
      <c r="S935" s="181"/>
      <c r="T935" s="181"/>
      <c r="U935" s="181"/>
      <c r="V935" s="181"/>
      <c r="W935" s="181"/>
      <c r="X935" s="181"/>
      <c r="Y935" s="181"/>
      <c r="Z935" s="181"/>
    </row>
    <row r="936">
      <c r="A936" s="181"/>
      <c r="B936" s="181"/>
      <c r="C936" s="181"/>
      <c r="D936" s="181"/>
      <c r="E936" s="181"/>
      <c r="F936" s="181"/>
      <c r="G936" s="181"/>
      <c r="H936" s="181"/>
      <c r="I936" s="181"/>
      <c r="J936" s="181"/>
      <c r="K936" s="181"/>
      <c r="L936" s="181"/>
      <c r="M936" s="181"/>
      <c r="N936" s="181"/>
      <c r="O936" s="181"/>
      <c r="P936" s="181"/>
      <c r="Q936" s="181"/>
      <c r="R936" s="181"/>
      <c r="S936" s="181"/>
      <c r="T936" s="181"/>
      <c r="U936" s="181"/>
      <c r="V936" s="181"/>
      <c r="W936" s="181"/>
      <c r="X936" s="181"/>
      <c r="Y936" s="181"/>
      <c r="Z936" s="181"/>
    </row>
    <row r="937">
      <c r="A937" s="181"/>
      <c r="B937" s="181"/>
      <c r="C937" s="181"/>
      <c r="D937" s="181"/>
      <c r="E937" s="181"/>
      <c r="F937" s="181"/>
      <c r="G937" s="181"/>
      <c r="H937" s="181"/>
      <c r="I937" s="181"/>
      <c r="J937" s="181"/>
      <c r="K937" s="181"/>
      <c r="L937" s="181"/>
      <c r="M937" s="181"/>
      <c r="N937" s="181"/>
      <c r="O937" s="181"/>
      <c r="P937" s="181"/>
      <c r="Q937" s="181"/>
      <c r="R937" s="181"/>
      <c r="S937" s="181"/>
      <c r="T937" s="181"/>
      <c r="U937" s="181"/>
      <c r="V937" s="181"/>
      <c r="W937" s="181"/>
      <c r="X937" s="181"/>
      <c r="Y937" s="181"/>
      <c r="Z937" s="181"/>
    </row>
    <row r="938">
      <c r="A938" s="181"/>
      <c r="B938" s="181"/>
      <c r="C938" s="181"/>
      <c r="D938" s="181"/>
      <c r="E938" s="181"/>
      <c r="F938" s="181"/>
      <c r="G938" s="181"/>
      <c r="H938" s="181"/>
      <c r="I938" s="181"/>
      <c r="J938" s="181"/>
      <c r="K938" s="181"/>
      <c r="L938" s="181"/>
      <c r="M938" s="181"/>
      <c r="N938" s="181"/>
      <c r="O938" s="181"/>
      <c r="P938" s="181"/>
      <c r="Q938" s="181"/>
      <c r="R938" s="181"/>
      <c r="S938" s="181"/>
      <c r="T938" s="181"/>
      <c r="U938" s="181"/>
      <c r="V938" s="181"/>
      <c r="W938" s="181"/>
      <c r="X938" s="181"/>
      <c r="Y938" s="181"/>
      <c r="Z938" s="181"/>
    </row>
    <row r="939">
      <c r="A939" s="181"/>
      <c r="B939" s="181"/>
      <c r="C939" s="181"/>
      <c r="D939" s="181"/>
      <c r="E939" s="181"/>
      <c r="F939" s="181"/>
      <c r="G939" s="181"/>
      <c r="H939" s="181"/>
      <c r="I939" s="181"/>
      <c r="J939" s="181"/>
      <c r="K939" s="181"/>
      <c r="L939" s="181"/>
      <c r="M939" s="181"/>
      <c r="N939" s="181"/>
      <c r="O939" s="181"/>
      <c r="P939" s="181"/>
      <c r="Q939" s="181"/>
      <c r="R939" s="181"/>
      <c r="S939" s="181"/>
      <c r="T939" s="181"/>
      <c r="U939" s="181"/>
      <c r="V939" s="181"/>
      <c r="W939" s="181"/>
      <c r="X939" s="181"/>
      <c r="Y939" s="181"/>
      <c r="Z939" s="181"/>
    </row>
    <row r="940">
      <c r="A940" s="181"/>
      <c r="B940" s="181"/>
      <c r="C940" s="181"/>
      <c r="D940" s="181"/>
      <c r="E940" s="181"/>
      <c r="F940" s="181"/>
      <c r="G940" s="181"/>
      <c r="H940" s="181"/>
      <c r="I940" s="181"/>
      <c r="J940" s="181"/>
      <c r="K940" s="181"/>
      <c r="L940" s="181"/>
      <c r="M940" s="181"/>
      <c r="N940" s="181"/>
      <c r="O940" s="181"/>
      <c r="P940" s="181"/>
      <c r="Q940" s="181"/>
      <c r="R940" s="181"/>
      <c r="S940" s="181"/>
      <c r="T940" s="181"/>
      <c r="U940" s="181"/>
      <c r="V940" s="181"/>
      <c r="W940" s="181"/>
      <c r="X940" s="181"/>
      <c r="Y940" s="181"/>
      <c r="Z940" s="181"/>
    </row>
    <row r="941">
      <c r="A941" s="181"/>
      <c r="B941" s="181"/>
      <c r="C941" s="181"/>
      <c r="D941" s="181"/>
      <c r="E941" s="181"/>
      <c r="F941" s="181"/>
      <c r="G941" s="181"/>
      <c r="H941" s="181"/>
      <c r="I941" s="181"/>
      <c r="J941" s="181"/>
      <c r="K941" s="181"/>
      <c r="L941" s="181"/>
      <c r="M941" s="181"/>
      <c r="N941" s="181"/>
      <c r="O941" s="181"/>
      <c r="P941" s="181"/>
      <c r="Q941" s="181"/>
      <c r="R941" s="181"/>
      <c r="S941" s="181"/>
      <c r="T941" s="181"/>
      <c r="U941" s="181"/>
      <c r="V941" s="181"/>
      <c r="W941" s="181"/>
      <c r="X941" s="181"/>
      <c r="Y941" s="181"/>
      <c r="Z941" s="181"/>
    </row>
    <row r="942">
      <c r="A942" s="181"/>
      <c r="B942" s="181"/>
      <c r="C942" s="181"/>
      <c r="D942" s="181"/>
      <c r="E942" s="181"/>
      <c r="F942" s="181"/>
      <c r="G942" s="181"/>
      <c r="H942" s="181"/>
      <c r="I942" s="181"/>
      <c r="J942" s="181"/>
      <c r="K942" s="181"/>
      <c r="L942" s="181"/>
      <c r="M942" s="181"/>
      <c r="N942" s="181"/>
      <c r="O942" s="181"/>
      <c r="P942" s="181"/>
      <c r="Q942" s="181"/>
      <c r="R942" s="181"/>
      <c r="S942" s="181"/>
      <c r="T942" s="181"/>
      <c r="U942" s="181"/>
      <c r="V942" s="181"/>
      <c r="W942" s="181"/>
      <c r="X942" s="181"/>
      <c r="Y942" s="181"/>
      <c r="Z942" s="181"/>
    </row>
    <row r="943">
      <c r="A943" s="181"/>
      <c r="B943" s="181"/>
      <c r="C943" s="181"/>
      <c r="D943" s="181"/>
      <c r="E943" s="181"/>
      <c r="F943" s="181"/>
      <c r="G943" s="181"/>
      <c r="H943" s="181"/>
      <c r="I943" s="181"/>
      <c r="J943" s="181"/>
      <c r="K943" s="181"/>
      <c r="L943" s="181"/>
      <c r="M943" s="181"/>
      <c r="N943" s="181"/>
      <c r="O943" s="181"/>
      <c r="P943" s="181"/>
      <c r="Q943" s="181"/>
      <c r="R943" s="181"/>
      <c r="S943" s="181"/>
      <c r="T943" s="181"/>
      <c r="U943" s="181"/>
      <c r="V943" s="181"/>
      <c r="W943" s="181"/>
      <c r="X943" s="181"/>
      <c r="Y943" s="181"/>
      <c r="Z943" s="181"/>
    </row>
    <row r="944">
      <c r="A944" s="181"/>
      <c r="B944" s="181"/>
      <c r="C944" s="181"/>
      <c r="D944" s="181"/>
      <c r="E944" s="181"/>
      <c r="F944" s="181"/>
      <c r="G944" s="181"/>
      <c r="H944" s="181"/>
      <c r="I944" s="181"/>
      <c r="J944" s="181"/>
      <c r="K944" s="181"/>
      <c r="L944" s="181"/>
      <c r="M944" s="181"/>
      <c r="N944" s="181"/>
      <c r="O944" s="181"/>
      <c r="P944" s="181"/>
      <c r="Q944" s="181"/>
      <c r="R944" s="181"/>
      <c r="S944" s="181"/>
      <c r="T944" s="181"/>
      <c r="U944" s="181"/>
      <c r="V944" s="181"/>
      <c r="W944" s="181"/>
      <c r="X944" s="181"/>
      <c r="Y944" s="181"/>
      <c r="Z944" s="181"/>
    </row>
    <row r="945">
      <c r="A945" s="181"/>
      <c r="B945" s="181"/>
      <c r="C945" s="181"/>
      <c r="D945" s="181"/>
      <c r="E945" s="181"/>
      <c r="F945" s="181"/>
      <c r="G945" s="181"/>
      <c r="H945" s="181"/>
      <c r="I945" s="181"/>
      <c r="J945" s="181"/>
      <c r="K945" s="181"/>
      <c r="L945" s="181"/>
      <c r="M945" s="181"/>
      <c r="N945" s="181"/>
      <c r="O945" s="181"/>
      <c r="P945" s="181"/>
      <c r="Q945" s="181"/>
      <c r="R945" s="181"/>
      <c r="S945" s="181"/>
      <c r="T945" s="181"/>
      <c r="U945" s="181"/>
      <c r="V945" s="181"/>
      <c r="W945" s="181"/>
      <c r="X945" s="181"/>
      <c r="Y945" s="181"/>
      <c r="Z945" s="181"/>
    </row>
    <row r="946">
      <c r="A946" s="181"/>
      <c r="B946" s="181"/>
      <c r="C946" s="181"/>
      <c r="D946" s="181"/>
      <c r="E946" s="181"/>
      <c r="F946" s="181"/>
      <c r="G946" s="181"/>
      <c r="H946" s="181"/>
      <c r="I946" s="181"/>
      <c r="J946" s="181"/>
      <c r="K946" s="181"/>
      <c r="L946" s="181"/>
      <c r="M946" s="181"/>
      <c r="N946" s="181"/>
      <c r="O946" s="181"/>
      <c r="P946" s="181"/>
      <c r="Q946" s="181"/>
      <c r="R946" s="181"/>
      <c r="S946" s="181"/>
      <c r="T946" s="181"/>
      <c r="U946" s="181"/>
      <c r="V946" s="181"/>
      <c r="W946" s="181"/>
      <c r="X946" s="181"/>
      <c r="Y946" s="181"/>
      <c r="Z946" s="181"/>
    </row>
    <row r="947">
      <c r="A947" s="181"/>
      <c r="B947" s="181"/>
      <c r="C947" s="181"/>
      <c r="D947" s="181"/>
      <c r="E947" s="181"/>
      <c r="F947" s="181"/>
      <c r="G947" s="181"/>
      <c r="H947" s="181"/>
      <c r="I947" s="181"/>
      <c r="J947" s="181"/>
      <c r="K947" s="181"/>
      <c r="L947" s="181"/>
      <c r="M947" s="181"/>
      <c r="N947" s="181"/>
      <c r="O947" s="181"/>
      <c r="P947" s="181"/>
      <c r="Q947" s="181"/>
      <c r="R947" s="181"/>
      <c r="S947" s="181"/>
      <c r="T947" s="181"/>
      <c r="U947" s="181"/>
      <c r="V947" s="181"/>
      <c r="W947" s="181"/>
      <c r="X947" s="181"/>
      <c r="Y947" s="181"/>
      <c r="Z947" s="181"/>
    </row>
    <row r="948">
      <c r="A948" s="181"/>
      <c r="B948" s="181"/>
      <c r="C948" s="181"/>
      <c r="D948" s="181"/>
      <c r="E948" s="181"/>
      <c r="F948" s="181"/>
      <c r="G948" s="181"/>
      <c r="H948" s="181"/>
      <c r="I948" s="181"/>
      <c r="J948" s="181"/>
      <c r="K948" s="181"/>
      <c r="L948" s="181"/>
      <c r="M948" s="181"/>
      <c r="N948" s="181"/>
      <c r="O948" s="181"/>
      <c r="P948" s="181"/>
      <c r="Q948" s="181"/>
      <c r="R948" s="181"/>
      <c r="S948" s="181"/>
      <c r="T948" s="181"/>
      <c r="U948" s="181"/>
      <c r="V948" s="181"/>
      <c r="W948" s="181"/>
      <c r="X948" s="181"/>
      <c r="Y948" s="181"/>
      <c r="Z948" s="181"/>
    </row>
    <row r="949">
      <c r="A949" s="181"/>
      <c r="B949" s="181"/>
      <c r="C949" s="181"/>
      <c r="D949" s="181"/>
      <c r="E949" s="181"/>
      <c r="F949" s="181"/>
      <c r="G949" s="181"/>
      <c r="H949" s="181"/>
      <c r="I949" s="181"/>
      <c r="J949" s="181"/>
      <c r="K949" s="181"/>
      <c r="L949" s="181"/>
      <c r="M949" s="181"/>
      <c r="N949" s="181"/>
      <c r="O949" s="181"/>
      <c r="P949" s="181"/>
      <c r="Q949" s="181"/>
      <c r="R949" s="181"/>
      <c r="S949" s="181"/>
      <c r="T949" s="181"/>
      <c r="U949" s="181"/>
      <c r="V949" s="181"/>
      <c r="W949" s="181"/>
      <c r="X949" s="181"/>
      <c r="Y949" s="181"/>
      <c r="Z949" s="181"/>
    </row>
    <row r="950">
      <c r="A950" s="181"/>
      <c r="B950" s="181"/>
      <c r="C950" s="181"/>
      <c r="D950" s="181"/>
      <c r="E950" s="181"/>
      <c r="F950" s="181"/>
      <c r="G950" s="181"/>
      <c r="H950" s="181"/>
      <c r="I950" s="181"/>
      <c r="J950" s="181"/>
      <c r="K950" s="181"/>
      <c r="L950" s="181"/>
      <c r="M950" s="181"/>
      <c r="N950" s="181"/>
      <c r="O950" s="181"/>
      <c r="P950" s="181"/>
      <c r="Q950" s="181"/>
      <c r="R950" s="181"/>
      <c r="S950" s="181"/>
      <c r="T950" s="181"/>
      <c r="U950" s="181"/>
      <c r="V950" s="181"/>
      <c r="W950" s="181"/>
      <c r="X950" s="181"/>
      <c r="Y950" s="181"/>
      <c r="Z950" s="181"/>
    </row>
    <row r="951">
      <c r="A951" s="181"/>
      <c r="B951" s="181"/>
      <c r="C951" s="181"/>
      <c r="D951" s="181"/>
      <c r="E951" s="181"/>
      <c r="F951" s="181"/>
      <c r="G951" s="181"/>
      <c r="H951" s="181"/>
      <c r="I951" s="181"/>
      <c r="J951" s="181"/>
      <c r="K951" s="181"/>
      <c r="L951" s="181"/>
      <c r="M951" s="181"/>
      <c r="N951" s="181"/>
      <c r="O951" s="181"/>
      <c r="P951" s="181"/>
      <c r="Q951" s="181"/>
      <c r="R951" s="181"/>
      <c r="S951" s="181"/>
      <c r="T951" s="181"/>
      <c r="U951" s="181"/>
      <c r="V951" s="181"/>
      <c r="W951" s="181"/>
      <c r="X951" s="181"/>
      <c r="Y951" s="181"/>
      <c r="Z951" s="181"/>
    </row>
    <row r="952">
      <c r="A952" s="181"/>
      <c r="B952" s="181"/>
      <c r="C952" s="181"/>
      <c r="D952" s="181"/>
      <c r="E952" s="181"/>
      <c r="F952" s="181"/>
      <c r="G952" s="181"/>
      <c r="H952" s="181"/>
      <c r="I952" s="181"/>
      <c r="J952" s="181"/>
      <c r="K952" s="181"/>
      <c r="L952" s="181"/>
      <c r="M952" s="181"/>
      <c r="N952" s="181"/>
      <c r="O952" s="181"/>
      <c r="P952" s="181"/>
      <c r="Q952" s="181"/>
      <c r="R952" s="181"/>
      <c r="S952" s="181"/>
      <c r="T952" s="181"/>
      <c r="U952" s="181"/>
      <c r="V952" s="181"/>
      <c r="W952" s="181"/>
      <c r="X952" s="181"/>
      <c r="Y952" s="181"/>
      <c r="Z952" s="181"/>
    </row>
    <row r="953">
      <c r="A953" s="181"/>
      <c r="B953" s="181"/>
      <c r="C953" s="181"/>
      <c r="D953" s="181"/>
      <c r="E953" s="181"/>
      <c r="F953" s="181"/>
      <c r="G953" s="181"/>
      <c r="H953" s="181"/>
      <c r="I953" s="181"/>
      <c r="J953" s="181"/>
      <c r="K953" s="181"/>
      <c r="L953" s="181"/>
      <c r="M953" s="181"/>
      <c r="N953" s="181"/>
      <c r="O953" s="181"/>
      <c r="P953" s="181"/>
      <c r="Q953" s="181"/>
      <c r="R953" s="181"/>
      <c r="S953" s="181"/>
      <c r="T953" s="181"/>
      <c r="U953" s="181"/>
      <c r="V953" s="181"/>
      <c r="W953" s="181"/>
      <c r="X953" s="181"/>
      <c r="Y953" s="181"/>
      <c r="Z953" s="181"/>
    </row>
    <row r="954">
      <c r="A954" s="181"/>
      <c r="B954" s="181"/>
      <c r="C954" s="181"/>
      <c r="D954" s="181"/>
      <c r="E954" s="181"/>
      <c r="F954" s="181"/>
      <c r="G954" s="181"/>
      <c r="H954" s="181"/>
      <c r="I954" s="181"/>
      <c r="J954" s="181"/>
      <c r="K954" s="181"/>
      <c r="L954" s="181"/>
      <c r="M954" s="181"/>
      <c r="N954" s="181"/>
      <c r="O954" s="181"/>
      <c r="P954" s="181"/>
      <c r="Q954" s="181"/>
      <c r="R954" s="181"/>
      <c r="S954" s="181"/>
      <c r="T954" s="181"/>
      <c r="U954" s="181"/>
      <c r="V954" s="181"/>
      <c r="W954" s="181"/>
      <c r="X954" s="181"/>
      <c r="Y954" s="181"/>
      <c r="Z954" s="181"/>
    </row>
    <row r="955">
      <c r="A955" s="181"/>
      <c r="B955" s="181"/>
      <c r="C955" s="181"/>
      <c r="D955" s="181"/>
      <c r="E955" s="181"/>
      <c r="F955" s="181"/>
      <c r="G955" s="181"/>
      <c r="H955" s="181"/>
      <c r="I955" s="181"/>
      <c r="J955" s="181"/>
      <c r="K955" s="181"/>
      <c r="L955" s="181"/>
      <c r="M955" s="181"/>
      <c r="N955" s="181"/>
      <c r="O955" s="181"/>
      <c r="P955" s="181"/>
      <c r="Q955" s="181"/>
      <c r="R955" s="181"/>
      <c r="S955" s="181"/>
      <c r="T955" s="181"/>
      <c r="U955" s="181"/>
      <c r="V955" s="181"/>
      <c r="W955" s="181"/>
      <c r="X955" s="181"/>
      <c r="Y955" s="181"/>
      <c r="Z955" s="181"/>
    </row>
    <row r="956">
      <c r="A956" s="181"/>
      <c r="B956" s="181"/>
      <c r="C956" s="181"/>
      <c r="D956" s="181"/>
      <c r="E956" s="181"/>
      <c r="F956" s="181"/>
      <c r="G956" s="181"/>
      <c r="H956" s="181"/>
      <c r="I956" s="181"/>
      <c r="J956" s="181"/>
      <c r="K956" s="181"/>
      <c r="L956" s="181"/>
      <c r="M956" s="181"/>
      <c r="N956" s="181"/>
      <c r="O956" s="181"/>
      <c r="P956" s="181"/>
      <c r="Q956" s="181"/>
      <c r="R956" s="181"/>
      <c r="S956" s="181"/>
      <c r="T956" s="181"/>
      <c r="U956" s="181"/>
      <c r="V956" s="181"/>
      <c r="W956" s="181"/>
      <c r="X956" s="181"/>
      <c r="Y956" s="181"/>
      <c r="Z956" s="181"/>
    </row>
    <row r="957">
      <c r="A957" s="181"/>
      <c r="B957" s="181"/>
      <c r="C957" s="181"/>
      <c r="D957" s="181"/>
      <c r="E957" s="181"/>
      <c r="F957" s="181"/>
      <c r="G957" s="181"/>
      <c r="H957" s="181"/>
      <c r="I957" s="181"/>
      <c r="J957" s="181"/>
      <c r="K957" s="181"/>
      <c r="L957" s="181"/>
      <c r="M957" s="181"/>
      <c r="N957" s="181"/>
      <c r="O957" s="181"/>
      <c r="P957" s="181"/>
      <c r="Q957" s="181"/>
      <c r="R957" s="181"/>
      <c r="S957" s="181"/>
      <c r="T957" s="181"/>
      <c r="U957" s="181"/>
      <c r="V957" s="181"/>
      <c r="W957" s="181"/>
      <c r="X957" s="181"/>
      <c r="Y957" s="181"/>
      <c r="Z957" s="181"/>
    </row>
    <row r="958">
      <c r="A958" s="181"/>
      <c r="B958" s="181"/>
      <c r="C958" s="181"/>
      <c r="D958" s="181"/>
      <c r="E958" s="181"/>
      <c r="F958" s="181"/>
      <c r="G958" s="181"/>
      <c r="H958" s="181"/>
      <c r="I958" s="181"/>
      <c r="J958" s="181"/>
      <c r="K958" s="181"/>
      <c r="L958" s="181"/>
      <c r="M958" s="181"/>
      <c r="N958" s="181"/>
      <c r="O958" s="181"/>
      <c r="P958" s="181"/>
      <c r="Q958" s="181"/>
      <c r="R958" s="181"/>
      <c r="S958" s="181"/>
      <c r="T958" s="181"/>
      <c r="U958" s="181"/>
      <c r="V958" s="181"/>
      <c r="W958" s="181"/>
      <c r="X958" s="181"/>
      <c r="Y958" s="181"/>
      <c r="Z958" s="181"/>
    </row>
    <row r="959">
      <c r="A959" s="181"/>
      <c r="B959" s="181"/>
      <c r="C959" s="181"/>
      <c r="D959" s="181"/>
      <c r="E959" s="181"/>
      <c r="F959" s="181"/>
      <c r="G959" s="181"/>
      <c r="H959" s="181"/>
      <c r="I959" s="181"/>
      <c r="J959" s="181"/>
      <c r="K959" s="181"/>
      <c r="L959" s="181"/>
      <c r="M959" s="181"/>
      <c r="N959" s="181"/>
      <c r="O959" s="181"/>
      <c r="P959" s="181"/>
      <c r="Q959" s="181"/>
      <c r="R959" s="181"/>
      <c r="S959" s="181"/>
      <c r="T959" s="181"/>
      <c r="U959" s="181"/>
      <c r="V959" s="181"/>
      <c r="W959" s="181"/>
      <c r="X959" s="181"/>
      <c r="Y959" s="181"/>
      <c r="Z959" s="181"/>
    </row>
    <row r="960">
      <c r="A960" s="181"/>
      <c r="B960" s="181"/>
      <c r="C960" s="181"/>
      <c r="D960" s="181"/>
      <c r="E960" s="181"/>
      <c r="F960" s="181"/>
      <c r="G960" s="181"/>
      <c r="H960" s="181"/>
      <c r="I960" s="181"/>
      <c r="J960" s="181"/>
      <c r="K960" s="181"/>
      <c r="L960" s="181"/>
      <c r="M960" s="181"/>
      <c r="N960" s="181"/>
      <c r="O960" s="181"/>
      <c r="P960" s="181"/>
      <c r="Q960" s="181"/>
      <c r="R960" s="181"/>
      <c r="S960" s="181"/>
      <c r="T960" s="181"/>
      <c r="U960" s="181"/>
      <c r="V960" s="181"/>
      <c r="W960" s="181"/>
      <c r="X960" s="181"/>
      <c r="Y960" s="181"/>
      <c r="Z960" s="181"/>
    </row>
    <row r="961">
      <c r="A961" s="181"/>
      <c r="B961" s="181"/>
      <c r="C961" s="181"/>
      <c r="D961" s="181"/>
      <c r="E961" s="181"/>
      <c r="F961" s="181"/>
      <c r="G961" s="181"/>
      <c r="H961" s="181"/>
      <c r="I961" s="181"/>
      <c r="J961" s="181"/>
      <c r="K961" s="181"/>
      <c r="L961" s="181"/>
      <c r="M961" s="181"/>
      <c r="N961" s="181"/>
      <c r="O961" s="181"/>
      <c r="P961" s="181"/>
      <c r="Q961" s="181"/>
      <c r="R961" s="181"/>
      <c r="S961" s="181"/>
      <c r="T961" s="181"/>
      <c r="U961" s="181"/>
      <c r="V961" s="181"/>
      <c r="W961" s="181"/>
      <c r="X961" s="181"/>
      <c r="Y961" s="181"/>
      <c r="Z961" s="181"/>
    </row>
    <row r="962">
      <c r="A962" s="181"/>
      <c r="B962" s="181"/>
      <c r="C962" s="181"/>
      <c r="D962" s="181"/>
      <c r="E962" s="181"/>
      <c r="F962" s="181"/>
      <c r="G962" s="181"/>
      <c r="H962" s="181"/>
      <c r="I962" s="181"/>
      <c r="J962" s="181"/>
      <c r="K962" s="181"/>
      <c r="L962" s="181"/>
      <c r="M962" s="181"/>
      <c r="N962" s="181"/>
      <c r="O962" s="181"/>
      <c r="P962" s="181"/>
      <c r="Q962" s="181"/>
      <c r="R962" s="181"/>
      <c r="S962" s="181"/>
      <c r="T962" s="181"/>
      <c r="U962" s="181"/>
      <c r="V962" s="181"/>
      <c r="W962" s="181"/>
      <c r="X962" s="181"/>
      <c r="Y962" s="181"/>
      <c r="Z962" s="181"/>
    </row>
    <row r="963">
      <c r="A963" s="181"/>
      <c r="B963" s="181"/>
      <c r="C963" s="181"/>
      <c r="D963" s="181"/>
      <c r="E963" s="181"/>
      <c r="F963" s="181"/>
      <c r="G963" s="181"/>
      <c r="H963" s="181"/>
      <c r="I963" s="181"/>
      <c r="J963" s="181"/>
      <c r="K963" s="181"/>
      <c r="L963" s="181"/>
      <c r="M963" s="181"/>
      <c r="N963" s="181"/>
      <c r="O963" s="181"/>
      <c r="P963" s="181"/>
      <c r="Q963" s="181"/>
      <c r="R963" s="181"/>
      <c r="S963" s="181"/>
      <c r="T963" s="181"/>
      <c r="U963" s="181"/>
      <c r="V963" s="181"/>
      <c r="W963" s="181"/>
      <c r="X963" s="181"/>
      <c r="Y963" s="181"/>
      <c r="Z963" s="181"/>
    </row>
    <row r="964">
      <c r="A964" s="181"/>
      <c r="B964" s="181"/>
      <c r="C964" s="181"/>
      <c r="D964" s="181"/>
      <c r="E964" s="181"/>
      <c r="F964" s="181"/>
      <c r="G964" s="181"/>
      <c r="H964" s="181"/>
      <c r="I964" s="181"/>
      <c r="J964" s="181"/>
      <c r="K964" s="181"/>
      <c r="L964" s="181"/>
      <c r="M964" s="181"/>
      <c r="N964" s="181"/>
      <c r="O964" s="181"/>
      <c r="P964" s="181"/>
      <c r="Q964" s="181"/>
      <c r="R964" s="181"/>
      <c r="S964" s="181"/>
      <c r="T964" s="181"/>
      <c r="U964" s="181"/>
      <c r="V964" s="181"/>
      <c r="W964" s="181"/>
      <c r="X964" s="181"/>
      <c r="Y964" s="181"/>
      <c r="Z964" s="181"/>
    </row>
    <row r="965">
      <c r="A965" s="181"/>
      <c r="B965" s="181"/>
      <c r="C965" s="181"/>
      <c r="D965" s="181"/>
      <c r="E965" s="181"/>
      <c r="F965" s="181"/>
      <c r="G965" s="181"/>
      <c r="H965" s="181"/>
      <c r="I965" s="181"/>
      <c r="J965" s="181"/>
      <c r="K965" s="181"/>
      <c r="L965" s="181"/>
      <c r="M965" s="181"/>
      <c r="N965" s="181"/>
      <c r="O965" s="181"/>
      <c r="P965" s="181"/>
      <c r="Q965" s="181"/>
      <c r="R965" s="181"/>
      <c r="S965" s="181"/>
      <c r="T965" s="181"/>
      <c r="U965" s="181"/>
      <c r="V965" s="181"/>
      <c r="W965" s="181"/>
      <c r="X965" s="181"/>
      <c r="Y965" s="181"/>
      <c r="Z965" s="181"/>
    </row>
    <row r="966">
      <c r="A966" s="181"/>
      <c r="B966" s="181"/>
      <c r="C966" s="181"/>
      <c r="D966" s="181"/>
      <c r="E966" s="181"/>
      <c r="F966" s="181"/>
      <c r="G966" s="181"/>
      <c r="H966" s="181"/>
      <c r="I966" s="181"/>
      <c r="J966" s="181"/>
      <c r="K966" s="181"/>
      <c r="L966" s="181"/>
      <c r="M966" s="181"/>
      <c r="N966" s="181"/>
      <c r="O966" s="181"/>
      <c r="P966" s="181"/>
      <c r="Q966" s="181"/>
      <c r="R966" s="181"/>
      <c r="S966" s="181"/>
      <c r="T966" s="181"/>
      <c r="U966" s="181"/>
      <c r="V966" s="181"/>
      <c r="W966" s="181"/>
      <c r="X966" s="181"/>
      <c r="Y966" s="181"/>
      <c r="Z966" s="181"/>
    </row>
    <row r="967">
      <c r="A967" s="181"/>
      <c r="B967" s="181"/>
      <c r="C967" s="181"/>
      <c r="D967" s="181"/>
      <c r="E967" s="181"/>
      <c r="F967" s="181"/>
      <c r="G967" s="181"/>
      <c r="H967" s="181"/>
      <c r="I967" s="181"/>
      <c r="J967" s="181"/>
      <c r="K967" s="181"/>
      <c r="L967" s="181"/>
      <c r="M967" s="181"/>
      <c r="N967" s="181"/>
      <c r="O967" s="181"/>
      <c r="P967" s="181"/>
      <c r="Q967" s="181"/>
      <c r="R967" s="181"/>
      <c r="S967" s="181"/>
      <c r="T967" s="181"/>
      <c r="U967" s="181"/>
      <c r="V967" s="181"/>
      <c r="W967" s="181"/>
      <c r="X967" s="181"/>
      <c r="Y967" s="181"/>
      <c r="Z967" s="181"/>
    </row>
    <row r="968">
      <c r="A968" s="181"/>
      <c r="B968" s="181"/>
      <c r="C968" s="181"/>
      <c r="D968" s="181"/>
      <c r="E968" s="181"/>
      <c r="F968" s="181"/>
      <c r="G968" s="181"/>
      <c r="H968" s="181"/>
      <c r="I968" s="181"/>
      <c r="J968" s="181"/>
      <c r="K968" s="181"/>
      <c r="L968" s="181"/>
      <c r="M968" s="181"/>
      <c r="N968" s="181"/>
      <c r="O968" s="181"/>
      <c r="P968" s="181"/>
      <c r="Q968" s="181"/>
      <c r="R968" s="181"/>
      <c r="S968" s="181"/>
      <c r="T968" s="181"/>
      <c r="U968" s="181"/>
      <c r="V968" s="181"/>
      <c r="W968" s="181"/>
      <c r="X968" s="181"/>
      <c r="Y968" s="181"/>
      <c r="Z968" s="181"/>
    </row>
    <row r="969">
      <c r="A969" s="181"/>
      <c r="B969" s="181"/>
      <c r="C969" s="181"/>
      <c r="D969" s="181"/>
      <c r="E969" s="181"/>
      <c r="F969" s="181"/>
      <c r="G969" s="181"/>
      <c r="H969" s="181"/>
      <c r="I969" s="181"/>
      <c r="J969" s="181"/>
      <c r="K969" s="181"/>
      <c r="L969" s="181"/>
      <c r="M969" s="181"/>
      <c r="N969" s="181"/>
      <c r="O969" s="181"/>
      <c r="P969" s="181"/>
      <c r="Q969" s="181"/>
      <c r="R969" s="181"/>
      <c r="S969" s="181"/>
      <c r="T969" s="181"/>
      <c r="U969" s="181"/>
      <c r="V969" s="181"/>
      <c r="W969" s="181"/>
      <c r="X969" s="181"/>
      <c r="Y969" s="181"/>
      <c r="Z969" s="181"/>
    </row>
    <row r="970">
      <c r="A970" s="181"/>
      <c r="B970" s="181"/>
      <c r="C970" s="181"/>
      <c r="D970" s="181"/>
      <c r="E970" s="181"/>
      <c r="F970" s="181"/>
      <c r="G970" s="181"/>
      <c r="H970" s="181"/>
      <c r="I970" s="181"/>
      <c r="J970" s="181"/>
      <c r="K970" s="181"/>
      <c r="L970" s="181"/>
      <c r="M970" s="181"/>
      <c r="N970" s="181"/>
      <c r="O970" s="181"/>
      <c r="P970" s="181"/>
      <c r="Q970" s="181"/>
      <c r="R970" s="181"/>
      <c r="S970" s="181"/>
      <c r="T970" s="181"/>
      <c r="U970" s="181"/>
      <c r="V970" s="181"/>
      <c r="W970" s="181"/>
      <c r="X970" s="181"/>
      <c r="Y970" s="181"/>
      <c r="Z970" s="181"/>
    </row>
    <row r="971">
      <c r="A971" s="181"/>
      <c r="B971" s="181"/>
      <c r="C971" s="181"/>
      <c r="D971" s="181"/>
      <c r="E971" s="181"/>
      <c r="F971" s="181"/>
      <c r="G971" s="181"/>
      <c r="H971" s="181"/>
      <c r="I971" s="181"/>
      <c r="J971" s="181"/>
      <c r="K971" s="181"/>
      <c r="L971" s="181"/>
      <c r="M971" s="181"/>
      <c r="N971" s="181"/>
      <c r="O971" s="181"/>
      <c r="P971" s="181"/>
      <c r="Q971" s="181"/>
      <c r="R971" s="181"/>
      <c r="S971" s="181"/>
      <c r="T971" s="181"/>
      <c r="U971" s="181"/>
      <c r="V971" s="181"/>
      <c r="W971" s="181"/>
      <c r="X971" s="181"/>
      <c r="Y971" s="181"/>
      <c r="Z971" s="181"/>
    </row>
    <row r="972">
      <c r="A972" s="181"/>
      <c r="B972" s="181"/>
      <c r="C972" s="181"/>
      <c r="D972" s="181"/>
      <c r="E972" s="181"/>
      <c r="F972" s="181"/>
      <c r="G972" s="181"/>
      <c r="H972" s="181"/>
      <c r="I972" s="181"/>
      <c r="J972" s="181"/>
      <c r="K972" s="181"/>
      <c r="L972" s="181"/>
      <c r="M972" s="181"/>
      <c r="N972" s="181"/>
      <c r="O972" s="181"/>
      <c r="P972" s="181"/>
      <c r="Q972" s="181"/>
      <c r="R972" s="181"/>
      <c r="S972" s="181"/>
      <c r="T972" s="181"/>
      <c r="U972" s="181"/>
      <c r="V972" s="181"/>
      <c r="W972" s="181"/>
      <c r="X972" s="181"/>
      <c r="Y972" s="181"/>
      <c r="Z972" s="181"/>
    </row>
    <row r="973">
      <c r="A973" s="181"/>
      <c r="B973" s="181"/>
      <c r="C973" s="181"/>
      <c r="D973" s="181"/>
      <c r="E973" s="181"/>
      <c r="F973" s="181"/>
      <c r="G973" s="181"/>
      <c r="H973" s="181"/>
      <c r="I973" s="181"/>
      <c r="J973" s="181"/>
      <c r="K973" s="181"/>
      <c r="L973" s="181"/>
      <c r="M973" s="181"/>
      <c r="N973" s="181"/>
      <c r="O973" s="181"/>
      <c r="P973" s="181"/>
      <c r="Q973" s="181"/>
      <c r="R973" s="181"/>
      <c r="S973" s="181"/>
      <c r="T973" s="181"/>
      <c r="U973" s="181"/>
      <c r="V973" s="181"/>
      <c r="W973" s="181"/>
      <c r="X973" s="181"/>
      <c r="Y973" s="181"/>
      <c r="Z973" s="181"/>
    </row>
    <row r="974">
      <c r="A974" s="181"/>
      <c r="B974" s="181"/>
      <c r="C974" s="181"/>
      <c r="D974" s="181"/>
      <c r="E974" s="181"/>
      <c r="F974" s="181"/>
      <c r="G974" s="181"/>
      <c r="H974" s="181"/>
      <c r="I974" s="181"/>
      <c r="J974" s="181"/>
      <c r="K974" s="181"/>
      <c r="L974" s="181"/>
      <c r="M974" s="181"/>
      <c r="N974" s="181"/>
      <c r="O974" s="181"/>
      <c r="P974" s="181"/>
      <c r="Q974" s="181"/>
      <c r="R974" s="181"/>
      <c r="S974" s="181"/>
      <c r="T974" s="181"/>
      <c r="U974" s="181"/>
      <c r="V974" s="181"/>
      <c r="W974" s="181"/>
      <c r="X974" s="181"/>
      <c r="Y974" s="181"/>
      <c r="Z974" s="181"/>
    </row>
    <row r="975">
      <c r="A975" s="181"/>
      <c r="B975" s="181"/>
      <c r="C975" s="181"/>
      <c r="D975" s="181"/>
      <c r="E975" s="181"/>
      <c r="F975" s="181"/>
      <c r="G975" s="181"/>
      <c r="H975" s="181"/>
      <c r="I975" s="181"/>
      <c r="J975" s="181"/>
      <c r="K975" s="181"/>
      <c r="L975" s="181"/>
      <c r="M975" s="181"/>
      <c r="N975" s="181"/>
      <c r="O975" s="181"/>
      <c r="P975" s="181"/>
      <c r="Q975" s="181"/>
      <c r="R975" s="181"/>
      <c r="S975" s="181"/>
      <c r="T975" s="181"/>
      <c r="U975" s="181"/>
      <c r="V975" s="181"/>
      <c r="W975" s="181"/>
      <c r="X975" s="181"/>
      <c r="Y975" s="181"/>
      <c r="Z975" s="181"/>
    </row>
    <row r="976">
      <c r="A976" s="181"/>
      <c r="B976" s="181"/>
      <c r="C976" s="181"/>
      <c r="D976" s="181"/>
      <c r="E976" s="181"/>
      <c r="F976" s="181"/>
      <c r="G976" s="181"/>
      <c r="H976" s="181"/>
      <c r="I976" s="181"/>
      <c r="J976" s="181"/>
      <c r="K976" s="181"/>
      <c r="L976" s="181"/>
      <c r="M976" s="181"/>
      <c r="N976" s="181"/>
      <c r="O976" s="181"/>
      <c r="P976" s="181"/>
      <c r="Q976" s="181"/>
      <c r="R976" s="181"/>
      <c r="S976" s="181"/>
      <c r="T976" s="181"/>
      <c r="U976" s="181"/>
      <c r="V976" s="181"/>
      <c r="W976" s="181"/>
      <c r="X976" s="181"/>
      <c r="Y976" s="181"/>
      <c r="Z976" s="181"/>
    </row>
    <row r="977">
      <c r="A977" s="181"/>
      <c r="B977" s="181"/>
      <c r="C977" s="181"/>
      <c r="D977" s="181"/>
      <c r="E977" s="181"/>
      <c r="F977" s="181"/>
      <c r="G977" s="181"/>
      <c r="H977" s="181"/>
      <c r="I977" s="181"/>
      <c r="J977" s="181"/>
      <c r="K977" s="181"/>
      <c r="L977" s="181"/>
      <c r="M977" s="181"/>
      <c r="N977" s="181"/>
      <c r="O977" s="181"/>
      <c r="P977" s="181"/>
      <c r="Q977" s="181"/>
      <c r="R977" s="181"/>
      <c r="S977" s="181"/>
      <c r="T977" s="181"/>
      <c r="U977" s="181"/>
      <c r="V977" s="181"/>
      <c r="W977" s="181"/>
      <c r="X977" s="181"/>
      <c r="Y977" s="181"/>
      <c r="Z977" s="181"/>
    </row>
    <row r="978">
      <c r="A978" s="181"/>
      <c r="B978" s="181"/>
      <c r="C978" s="181"/>
      <c r="D978" s="181"/>
      <c r="E978" s="181"/>
      <c r="F978" s="181"/>
      <c r="G978" s="181"/>
      <c r="H978" s="181"/>
      <c r="I978" s="181"/>
      <c r="J978" s="181"/>
      <c r="K978" s="181"/>
      <c r="L978" s="181"/>
      <c r="M978" s="181"/>
      <c r="N978" s="181"/>
      <c r="O978" s="181"/>
      <c r="P978" s="181"/>
      <c r="Q978" s="181"/>
      <c r="R978" s="181"/>
      <c r="S978" s="181"/>
      <c r="T978" s="181"/>
      <c r="U978" s="181"/>
      <c r="V978" s="181"/>
      <c r="W978" s="181"/>
      <c r="X978" s="181"/>
      <c r="Y978" s="181"/>
      <c r="Z978" s="181"/>
    </row>
    <row r="979">
      <c r="A979" s="181"/>
      <c r="B979" s="181"/>
      <c r="C979" s="181"/>
      <c r="D979" s="181"/>
      <c r="E979" s="181"/>
      <c r="F979" s="181"/>
      <c r="G979" s="181"/>
      <c r="H979" s="181"/>
      <c r="I979" s="181"/>
      <c r="J979" s="181"/>
      <c r="K979" s="181"/>
      <c r="L979" s="181"/>
      <c r="M979" s="181"/>
      <c r="N979" s="181"/>
      <c r="O979" s="181"/>
      <c r="P979" s="181"/>
      <c r="Q979" s="181"/>
      <c r="R979" s="181"/>
      <c r="S979" s="181"/>
      <c r="T979" s="181"/>
      <c r="U979" s="181"/>
      <c r="V979" s="181"/>
      <c r="W979" s="181"/>
      <c r="X979" s="181"/>
      <c r="Y979" s="181"/>
      <c r="Z979" s="181"/>
    </row>
    <row r="980">
      <c r="A980" s="181"/>
      <c r="B980" s="181"/>
      <c r="C980" s="181"/>
      <c r="D980" s="181"/>
      <c r="E980" s="181"/>
      <c r="F980" s="181"/>
      <c r="G980" s="181"/>
      <c r="H980" s="181"/>
      <c r="I980" s="181"/>
      <c r="J980" s="181"/>
      <c r="K980" s="181"/>
      <c r="L980" s="181"/>
      <c r="M980" s="181"/>
      <c r="N980" s="181"/>
      <c r="O980" s="181"/>
      <c r="P980" s="181"/>
      <c r="Q980" s="181"/>
      <c r="R980" s="181"/>
      <c r="S980" s="181"/>
      <c r="T980" s="181"/>
      <c r="U980" s="181"/>
      <c r="V980" s="181"/>
      <c r="W980" s="181"/>
      <c r="X980" s="181"/>
      <c r="Y980" s="181"/>
      <c r="Z980" s="181"/>
    </row>
    <row r="981">
      <c r="A981" s="181"/>
      <c r="B981" s="181"/>
      <c r="C981" s="181"/>
      <c r="D981" s="181"/>
      <c r="E981" s="181"/>
      <c r="F981" s="181"/>
      <c r="G981" s="181"/>
      <c r="H981" s="181"/>
      <c r="I981" s="181"/>
      <c r="J981" s="181"/>
      <c r="K981" s="181"/>
      <c r="L981" s="181"/>
      <c r="M981" s="181"/>
      <c r="N981" s="181"/>
      <c r="O981" s="181"/>
      <c r="P981" s="181"/>
      <c r="Q981" s="181"/>
      <c r="R981" s="181"/>
      <c r="S981" s="181"/>
      <c r="T981" s="181"/>
      <c r="U981" s="181"/>
      <c r="V981" s="181"/>
      <c r="W981" s="181"/>
      <c r="X981" s="181"/>
      <c r="Y981" s="181"/>
      <c r="Z981" s="181"/>
    </row>
    <row r="982">
      <c r="A982" s="181"/>
      <c r="B982" s="181"/>
      <c r="C982" s="181"/>
      <c r="D982" s="181"/>
      <c r="E982" s="181"/>
      <c r="F982" s="181"/>
      <c r="G982" s="181"/>
      <c r="H982" s="181"/>
      <c r="I982" s="181"/>
      <c r="J982" s="181"/>
      <c r="K982" s="181"/>
      <c r="L982" s="181"/>
      <c r="M982" s="181"/>
      <c r="N982" s="181"/>
      <c r="O982" s="181"/>
      <c r="P982" s="181"/>
      <c r="Q982" s="181"/>
      <c r="R982" s="181"/>
      <c r="S982" s="181"/>
      <c r="T982" s="181"/>
      <c r="U982" s="181"/>
      <c r="V982" s="181"/>
      <c r="W982" s="181"/>
      <c r="X982" s="181"/>
      <c r="Y982" s="181"/>
      <c r="Z982" s="181"/>
    </row>
    <row r="983">
      <c r="A983" s="181"/>
      <c r="B983" s="181"/>
      <c r="C983" s="181"/>
      <c r="D983" s="181"/>
      <c r="E983" s="181"/>
      <c r="F983" s="181"/>
      <c r="G983" s="181"/>
      <c r="H983" s="181"/>
      <c r="I983" s="181"/>
      <c r="J983" s="181"/>
      <c r="K983" s="181"/>
      <c r="L983" s="181"/>
      <c r="M983" s="181"/>
      <c r="N983" s="181"/>
      <c r="O983" s="181"/>
      <c r="P983" s="181"/>
      <c r="Q983" s="181"/>
      <c r="R983" s="181"/>
      <c r="S983" s="181"/>
      <c r="T983" s="181"/>
      <c r="U983" s="181"/>
      <c r="V983" s="181"/>
      <c r="W983" s="181"/>
      <c r="X983" s="181"/>
      <c r="Y983" s="181"/>
      <c r="Z983" s="181"/>
    </row>
    <row r="984">
      <c r="A984" s="181"/>
      <c r="B984" s="181"/>
      <c r="C984" s="181"/>
      <c r="D984" s="181"/>
      <c r="E984" s="181"/>
      <c r="F984" s="181"/>
      <c r="G984" s="181"/>
      <c r="H984" s="181"/>
      <c r="I984" s="181"/>
      <c r="J984" s="181"/>
      <c r="K984" s="181"/>
      <c r="L984" s="181"/>
      <c r="M984" s="181"/>
      <c r="N984" s="181"/>
      <c r="O984" s="181"/>
      <c r="P984" s="181"/>
      <c r="Q984" s="181"/>
      <c r="R984" s="181"/>
      <c r="S984" s="181"/>
      <c r="T984" s="181"/>
      <c r="U984" s="181"/>
      <c r="V984" s="181"/>
      <c r="W984" s="181"/>
      <c r="X984" s="181"/>
      <c r="Y984" s="181"/>
      <c r="Z984" s="181"/>
    </row>
    <row r="985">
      <c r="A985" s="181"/>
      <c r="B985" s="181"/>
      <c r="C985" s="181"/>
      <c r="D985" s="181"/>
      <c r="E985" s="181"/>
      <c r="F985" s="181"/>
      <c r="G985" s="181"/>
      <c r="H985" s="181"/>
      <c r="I985" s="181"/>
      <c r="J985" s="181"/>
      <c r="K985" s="181"/>
      <c r="L985" s="181"/>
      <c r="M985" s="181"/>
      <c r="N985" s="181"/>
      <c r="O985" s="181"/>
      <c r="P985" s="181"/>
      <c r="Q985" s="181"/>
      <c r="R985" s="181"/>
      <c r="S985" s="181"/>
      <c r="T985" s="181"/>
      <c r="U985" s="181"/>
      <c r="V985" s="181"/>
      <c r="W985" s="181"/>
      <c r="X985" s="181"/>
      <c r="Y985" s="181"/>
      <c r="Z985" s="181"/>
    </row>
    <row r="986">
      <c r="A986" s="181"/>
      <c r="B986" s="181"/>
      <c r="C986" s="181"/>
      <c r="D986" s="181"/>
      <c r="E986" s="181"/>
      <c r="F986" s="181"/>
      <c r="G986" s="181"/>
      <c r="H986" s="181"/>
      <c r="I986" s="181"/>
      <c r="J986" s="181"/>
      <c r="K986" s="181"/>
      <c r="L986" s="181"/>
      <c r="M986" s="181"/>
      <c r="N986" s="181"/>
      <c r="O986" s="181"/>
      <c r="P986" s="181"/>
      <c r="Q986" s="181"/>
      <c r="R986" s="181"/>
      <c r="S986" s="181"/>
      <c r="T986" s="181"/>
      <c r="U986" s="181"/>
      <c r="V986" s="181"/>
      <c r="W986" s="181"/>
      <c r="X986" s="181"/>
      <c r="Y986" s="181"/>
      <c r="Z986" s="181"/>
    </row>
    <row r="987">
      <c r="A987" s="181"/>
      <c r="B987" s="181"/>
      <c r="C987" s="181"/>
      <c r="D987" s="181"/>
      <c r="E987" s="181"/>
      <c r="F987" s="181"/>
      <c r="G987" s="181"/>
      <c r="H987" s="181"/>
      <c r="I987" s="181"/>
      <c r="J987" s="181"/>
      <c r="K987" s="181"/>
      <c r="L987" s="181"/>
      <c r="M987" s="181"/>
      <c r="N987" s="181"/>
      <c r="O987" s="181"/>
      <c r="P987" s="181"/>
      <c r="Q987" s="181"/>
      <c r="R987" s="181"/>
      <c r="S987" s="181"/>
      <c r="T987" s="181"/>
      <c r="U987" s="181"/>
      <c r="V987" s="181"/>
      <c r="W987" s="181"/>
      <c r="X987" s="181"/>
      <c r="Y987" s="181"/>
      <c r="Z987" s="181"/>
    </row>
    <row r="988">
      <c r="A988" s="181"/>
      <c r="B988" s="181"/>
      <c r="C988" s="181"/>
      <c r="D988" s="181"/>
      <c r="E988" s="181"/>
      <c r="F988" s="181"/>
      <c r="G988" s="181"/>
      <c r="H988" s="181"/>
      <c r="I988" s="181"/>
      <c r="J988" s="181"/>
      <c r="K988" s="181"/>
      <c r="L988" s="181"/>
      <c r="M988" s="181"/>
      <c r="N988" s="181"/>
      <c r="O988" s="181"/>
      <c r="P988" s="181"/>
      <c r="Q988" s="181"/>
      <c r="R988" s="181"/>
      <c r="S988" s="181"/>
      <c r="T988" s="181"/>
      <c r="U988" s="181"/>
      <c r="V988" s="181"/>
      <c r="W988" s="181"/>
      <c r="X988" s="181"/>
      <c r="Y988" s="181"/>
      <c r="Z988" s="181"/>
    </row>
    <row r="989">
      <c r="A989" s="181"/>
      <c r="B989" s="181"/>
      <c r="C989" s="181"/>
      <c r="D989" s="181"/>
      <c r="E989" s="181"/>
      <c r="F989" s="181"/>
      <c r="G989" s="181"/>
      <c r="H989" s="181"/>
      <c r="I989" s="181"/>
      <c r="J989" s="181"/>
      <c r="K989" s="181"/>
      <c r="L989" s="181"/>
      <c r="M989" s="181"/>
      <c r="N989" s="181"/>
      <c r="O989" s="181"/>
      <c r="P989" s="181"/>
      <c r="Q989" s="181"/>
      <c r="R989" s="181"/>
      <c r="S989" s="181"/>
      <c r="T989" s="181"/>
      <c r="U989" s="181"/>
      <c r="V989" s="181"/>
      <c r="W989" s="181"/>
      <c r="X989" s="181"/>
      <c r="Y989" s="181"/>
      <c r="Z989" s="181"/>
    </row>
    <row r="990">
      <c r="A990" s="181"/>
      <c r="B990" s="181"/>
      <c r="C990" s="181"/>
      <c r="D990" s="181"/>
      <c r="E990" s="181"/>
      <c r="F990" s="181"/>
      <c r="G990" s="181"/>
      <c r="H990" s="181"/>
      <c r="I990" s="181"/>
      <c r="J990" s="181"/>
      <c r="K990" s="181"/>
      <c r="L990" s="181"/>
      <c r="M990" s="181"/>
      <c r="N990" s="181"/>
      <c r="O990" s="181"/>
      <c r="P990" s="181"/>
      <c r="Q990" s="181"/>
      <c r="R990" s="181"/>
      <c r="S990" s="181"/>
      <c r="T990" s="181"/>
      <c r="U990" s="181"/>
      <c r="V990" s="181"/>
      <c r="W990" s="181"/>
      <c r="X990" s="181"/>
      <c r="Y990" s="181"/>
      <c r="Z990" s="181"/>
    </row>
    <row r="991">
      <c r="A991" s="181"/>
      <c r="B991" s="181"/>
      <c r="C991" s="181"/>
      <c r="D991" s="181"/>
      <c r="E991" s="181"/>
      <c r="F991" s="181"/>
      <c r="G991" s="181"/>
      <c r="H991" s="181"/>
      <c r="I991" s="181"/>
      <c r="J991" s="181"/>
      <c r="K991" s="181"/>
      <c r="L991" s="181"/>
      <c r="M991" s="181"/>
      <c r="N991" s="181"/>
      <c r="O991" s="181"/>
      <c r="P991" s="181"/>
      <c r="Q991" s="181"/>
      <c r="R991" s="181"/>
      <c r="S991" s="181"/>
      <c r="T991" s="181"/>
      <c r="U991" s="181"/>
      <c r="V991" s="181"/>
      <c r="W991" s="181"/>
      <c r="X991" s="181"/>
      <c r="Y991" s="181"/>
      <c r="Z991" s="181"/>
    </row>
    <row r="992">
      <c r="A992" s="181"/>
      <c r="B992" s="181"/>
      <c r="C992" s="181"/>
      <c r="D992" s="181"/>
      <c r="E992" s="181"/>
      <c r="F992" s="181"/>
      <c r="G992" s="181"/>
      <c r="H992" s="181"/>
      <c r="I992" s="181"/>
      <c r="J992" s="181"/>
      <c r="K992" s="181"/>
      <c r="L992" s="181"/>
      <c r="M992" s="181"/>
      <c r="N992" s="181"/>
      <c r="O992" s="181"/>
      <c r="P992" s="181"/>
      <c r="Q992" s="181"/>
      <c r="R992" s="181"/>
      <c r="S992" s="181"/>
      <c r="T992" s="181"/>
      <c r="U992" s="181"/>
      <c r="V992" s="181"/>
      <c r="W992" s="181"/>
      <c r="X992" s="181"/>
      <c r="Y992" s="181"/>
      <c r="Z992" s="181"/>
    </row>
    <row r="993">
      <c r="A993" s="181"/>
      <c r="B993" s="181"/>
      <c r="C993" s="181"/>
      <c r="D993" s="181"/>
      <c r="E993" s="181"/>
      <c r="F993" s="181"/>
      <c r="G993" s="181"/>
      <c r="H993" s="181"/>
      <c r="I993" s="181"/>
      <c r="J993" s="181"/>
      <c r="K993" s="181"/>
      <c r="L993" s="181"/>
      <c r="M993" s="181"/>
      <c r="N993" s="181"/>
      <c r="O993" s="181"/>
      <c r="P993" s="181"/>
      <c r="Q993" s="181"/>
      <c r="R993" s="181"/>
      <c r="S993" s="181"/>
      <c r="T993" s="181"/>
      <c r="U993" s="181"/>
      <c r="V993" s="181"/>
      <c r="W993" s="181"/>
      <c r="X993" s="181"/>
      <c r="Y993" s="181"/>
      <c r="Z993" s="181"/>
    </row>
    <row r="994">
      <c r="A994" s="181"/>
      <c r="B994" s="181"/>
      <c r="C994" s="181"/>
      <c r="D994" s="181"/>
      <c r="E994" s="181"/>
      <c r="F994" s="181"/>
      <c r="G994" s="181"/>
      <c r="H994" s="181"/>
      <c r="I994" s="181"/>
      <c r="J994" s="181"/>
      <c r="K994" s="181"/>
      <c r="L994" s="181"/>
      <c r="M994" s="181"/>
      <c r="N994" s="181"/>
      <c r="O994" s="181"/>
      <c r="P994" s="181"/>
      <c r="Q994" s="181"/>
      <c r="R994" s="181"/>
      <c r="S994" s="181"/>
      <c r="T994" s="181"/>
      <c r="U994" s="181"/>
      <c r="V994" s="181"/>
      <c r="W994" s="181"/>
      <c r="X994" s="181"/>
      <c r="Y994" s="181"/>
      <c r="Z994" s="181"/>
    </row>
    <row r="995">
      <c r="A995" s="181"/>
      <c r="B995" s="181"/>
      <c r="C995" s="181"/>
      <c r="D995" s="181"/>
      <c r="E995" s="181"/>
      <c r="F995" s="181"/>
      <c r="G995" s="181"/>
      <c r="H995" s="181"/>
      <c r="I995" s="181"/>
      <c r="J995" s="181"/>
      <c r="K995" s="181"/>
      <c r="L995" s="181"/>
      <c r="M995" s="181"/>
      <c r="N995" s="181"/>
      <c r="O995" s="181"/>
      <c r="P995" s="181"/>
      <c r="Q995" s="181"/>
      <c r="R995" s="181"/>
      <c r="S995" s="181"/>
      <c r="T995" s="181"/>
      <c r="U995" s="181"/>
      <c r="V995" s="181"/>
      <c r="W995" s="181"/>
      <c r="X995" s="181"/>
      <c r="Y995" s="181"/>
      <c r="Z995" s="181"/>
    </row>
    <row r="996">
      <c r="A996" s="181"/>
      <c r="B996" s="181"/>
      <c r="C996" s="181"/>
      <c r="D996" s="181"/>
      <c r="E996" s="181"/>
      <c r="F996" s="181"/>
      <c r="G996" s="181"/>
      <c r="H996" s="181"/>
      <c r="I996" s="181"/>
      <c r="J996" s="181"/>
      <c r="K996" s="181"/>
      <c r="L996" s="181"/>
      <c r="M996" s="181"/>
      <c r="N996" s="181"/>
      <c r="O996" s="181"/>
      <c r="P996" s="181"/>
      <c r="Q996" s="181"/>
      <c r="R996" s="181"/>
      <c r="S996" s="181"/>
      <c r="T996" s="181"/>
      <c r="U996" s="181"/>
      <c r="V996" s="181"/>
      <c r="W996" s="181"/>
      <c r="X996" s="181"/>
      <c r="Y996" s="181"/>
      <c r="Z996" s="181"/>
    </row>
    <row r="997">
      <c r="A997" s="181"/>
      <c r="B997" s="181"/>
      <c r="C997" s="181"/>
      <c r="D997" s="181"/>
      <c r="E997" s="181"/>
      <c r="F997" s="181"/>
      <c r="G997" s="181"/>
      <c r="H997" s="181"/>
      <c r="I997" s="181"/>
      <c r="J997" s="181"/>
      <c r="K997" s="181"/>
      <c r="L997" s="181"/>
      <c r="M997" s="181"/>
      <c r="N997" s="181"/>
      <c r="O997" s="181"/>
      <c r="P997" s="181"/>
      <c r="Q997" s="181"/>
      <c r="R997" s="181"/>
      <c r="S997" s="181"/>
      <c r="T997" s="181"/>
      <c r="U997" s="181"/>
      <c r="V997" s="181"/>
      <c r="W997" s="181"/>
      <c r="X997" s="181"/>
      <c r="Y997" s="181"/>
      <c r="Z997" s="181"/>
    </row>
    <row r="998">
      <c r="A998" s="181"/>
      <c r="B998" s="181"/>
      <c r="C998" s="181"/>
      <c r="D998" s="181"/>
      <c r="E998" s="181"/>
      <c r="F998" s="181"/>
      <c r="G998" s="181"/>
      <c r="H998" s="181"/>
      <c r="I998" s="181"/>
      <c r="J998" s="181"/>
      <c r="K998" s="181"/>
      <c r="L998" s="181"/>
      <c r="M998" s="181"/>
      <c r="N998" s="181"/>
      <c r="O998" s="181"/>
      <c r="P998" s="181"/>
      <c r="Q998" s="181"/>
      <c r="R998" s="181"/>
      <c r="S998" s="181"/>
      <c r="T998" s="181"/>
      <c r="U998" s="181"/>
      <c r="V998" s="181"/>
      <c r="W998" s="181"/>
      <c r="X998" s="181"/>
      <c r="Y998" s="181"/>
      <c r="Z998" s="181"/>
    </row>
    <row r="999">
      <c r="A999" s="181"/>
      <c r="B999" s="181"/>
      <c r="C999" s="181"/>
      <c r="D999" s="181"/>
      <c r="E999" s="181"/>
      <c r="F999" s="181"/>
      <c r="G999" s="181"/>
      <c r="H999" s="181"/>
      <c r="I999" s="181"/>
      <c r="J999" s="181"/>
      <c r="K999" s="181"/>
      <c r="L999" s="181"/>
      <c r="M999" s="181"/>
      <c r="N999" s="181"/>
      <c r="O999" s="181"/>
      <c r="P999" s="181"/>
      <c r="Q999" s="181"/>
      <c r="R999" s="181"/>
      <c r="S999" s="181"/>
      <c r="T999" s="181"/>
      <c r="U999" s="181"/>
      <c r="V999" s="181"/>
      <c r="W999" s="181"/>
      <c r="X999" s="181"/>
      <c r="Y999" s="181"/>
      <c r="Z999" s="181"/>
    </row>
    <row r="1000">
      <c r="A1000" s="181"/>
      <c r="B1000" s="181"/>
      <c r="C1000" s="181"/>
      <c r="D1000" s="181"/>
      <c r="E1000" s="181"/>
      <c r="F1000" s="181"/>
      <c r="G1000" s="181"/>
      <c r="H1000" s="181"/>
      <c r="I1000" s="181"/>
      <c r="J1000" s="181"/>
      <c r="K1000" s="181"/>
      <c r="L1000" s="181"/>
      <c r="M1000" s="181"/>
      <c r="N1000" s="181"/>
      <c r="O1000" s="181"/>
      <c r="P1000" s="181"/>
      <c r="Q1000" s="181"/>
      <c r="R1000" s="181"/>
      <c r="S1000" s="181"/>
      <c r="T1000" s="181"/>
      <c r="U1000" s="181"/>
      <c r="V1000" s="181"/>
      <c r="W1000" s="181"/>
      <c r="X1000" s="181"/>
      <c r="Y1000" s="181"/>
      <c r="Z1000" s="18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2.63" defaultRowHeight="15.75"/>
  <cols>
    <col customWidth="1" min="1" max="2" width="24.13"/>
    <col customWidth="1" min="3" max="3" width="13.0"/>
    <col customWidth="1" min="4" max="4" width="12.25"/>
    <col customWidth="1" min="5" max="5" width="13.88"/>
    <col customWidth="1" min="6" max="6" width="11.13"/>
    <col customWidth="1" min="7" max="7" width="11.0"/>
    <col customWidth="1" min="8" max="8" width="24.38"/>
    <col customWidth="1" min="9" max="9" width="10.75"/>
    <col customWidth="1" min="10" max="10" width="13.38"/>
    <col customWidth="1" min="11" max="11" width="11.75"/>
    <col customWidth="1" min="12" max="12" width="12.88"/>
    <col customWidth="1" min="13" max="13" width="12.5"/>
    <col customWidth="1" min="14" max="14" width="15.25"/>
    <col customWidth="1" min="15" max="15" width="12.5"/>
    <col customWidth="1" min="16" max="16" width="18.13"/>
    <col customWidth="1" min="17" max="17" width="18.88"/>
  </cols>
  <sheetData>
    <row r="1">
      <c r="A1" s="185" t="s">
        <v>717</v>
      </c>
      <c r="B1" s="186" t="s">
        <v>132</v>
      </c>
      <c r="C1" s="187" t="s">
        <v>718</v>
      </c>
      <c r="D1" s="188" t="s">
        <v>719</v>
      </c>
      <c r="E1" s="189" t="s">
        <v>1</v>
      </c>
      <c r="F1" s="189" t="s">
        <v>0</v>
      </c>
      <c r="G1" s="186" t="s">
        <v>720</v>
      </c>
      <c r="H1" s="186" t="s">
        <v>721</v>
      </c>
      <c r="I1" s="187" t="s">
        <v>722</v>
      </c>
      <c r="J1" s="187" t="s">
        <v>723</v>
      </c>
      <c r="K1" s="189" t="s">
        <v>164</v>
      </c>
      <c r="L1" s="189" t="s">
        <v>724</v>
      </c>
      <c r="M1" s="190" t="s">
        <v>153</v>
      </c>
      <c r="N1" s="190" t="s">
        <v>725</v>
      </c>
      <c r="O1" s="186" t="s">
        <v>726</v>
      </c>
      <c r="P1" s="189" t="s">
        <v>414</v>
      </c>
      <c r="Q1" s="191" t="s">
        <v>727</v>
      </c>
      <c r="R1" s="86"/>
      <c r="S1" s="86"/>
      <c r="T1" s="86"/>
      <c r="U1" s="86"/>
      <c r="V1" s="86"/>
      <c r="W1" s="86"/>
      <c r="X1" s="86"/>
    </row>
    <row r="2">
      <c r="A2" s="192">
        <v>1.0</v>
      </c>
      <c r="B2" s="193" t="s">
        <v>728</v>
      </c>
      <c r="C2" s="194" t="s">
        <v>729</v>
      </c>
      <c r="D2" s="195" t="str">
        <f>IFERROR(__xludf.DUMMYFUNCTION("ARRAYFORMULA(LET( converted, SUBSTITUTE( SUBSTITUTE( SUBSTITUTE( SUBSTITUTE( SUBSTITUTE( SUBSTITUTE( SUBSTITUTE( SUBSTITUTE( SUBSTITUTE( SUBSTITUTE( C2, ""۰"", ""0""), ""۱"", ""1""), ""۲"", ""2""), ""۳"", ""3""), ""۴"", ""4""), ""۵"", ""5""), ""۶"", ""6"""&amp;"), ""۷"", ""7""), ""۸"", ""8""), ""۹"", ""9""), IF(LEFT(converted,3)=""+98"", ""0"" &amp; RIGHT(converted, LEN(converted)-3), IF(LEFT(converted,2)=""98"", ""0"" &amp; RIGHT(converted, LEN(converted)-2), IF(LEFT(converted,1)&lt;&gt;""0"", ""0"" &amp; converted, REGEXREPLACE"&amp;"(converted , ""\s"", """")) ) ) ) )"),"09125269321")</f>
        <v>09125269321</v>
      </c>
      <c r="E2" s="196" t="s">
        <v>17</v>
      </c>
      <c r="F2" s="197">
        <v>1.0</v>
      </c>
      <c r="G2" s="193" t="s">
        <v>730</v>
      </c>
      <c r="H2" s="198" t="s">
        <v>731</v>
      </c>
      <c r="I2" s="194"/>
      <c r="J2" s="194" t="s">
        <v>732</v>
      </c>
      <c r="K2" s="199" t="s">
        <v>733</v>
      </c>
      <c r="L2" s="199" t="s">
        <v>734</v>
      </c>
      <c r="M2" s="193" t="s">
        <v>735</v>
      </c>
      <c r="N2" s="193" t="s">
        <v>736</v>
      </c>
      <c r="O2" s="199" t="s">
        <v>737</v>
      </c>
      <c r="P2" s="193"/>
      <c r="Q2" s="200"/>
      <c r="R2" s="86"/>
      <c r="S2" s="114">
        <f t="shared" ref="S2:T2" si="1">A2</f>
        <v>1</v>
      </c>
      <c r="T2" s="114" t="str">
        <f t="shared" si="1"/>
        <v>کیوان پوریاور</v>
      </c>
      <c r="U2" s="86" t="str">
        <f t="shared" ref="U2:U2049" si="3">D2</f>
        <v>09125269321</v>
      </c>
      <c r="V2" s="86" t="str">
        <f t="shared" ref="V2:V2049" si="4">E2&amp;" "&amp;F2</f>
        <v>پیش‌وایی 1</v>
      </c>
      <c r="W2" s="86"/>
      <c r="X2" s="86"/>
    </row>
    <row r="3">
      <c r="A3" s="201">
        <v>2.0</v>
      </c>
      <c r="B3" s="202" t="s">
        <v>738</v>
      </c>
      <c r="C3" s="203" t="s">
        <v>739</v>
      </c>
      <c r="D3" s="204" t="str">
        <f>IFERROR(__xludf.DUMMYFUNCTION("ARRAYFORMULA(LET( converted, SUBSTITUTE( SUBSTITUTE( SUBSTITUTE( SUBSTITUTE( SUBSTITUTE( SUBSTITUTE( SUBSTITUTE( SUBSTITUTE( SUBSTITUTE( SUBSTITUTE( C3, ""۰"", ""0""), ""۱"", ""1""), ""۲"", ""2""), ""۳"", ""3""), ""۴"", ""4""), ""۵"", ""5""), ""۶"", ""6"""&amp;"), ""۷"", ""7""), ""۸"", ""8""), ""۹"", ""9""), IF(LEFT(converted,3)=""+98"", ""0"" &amp; RIGHT(converted, LEN(converted)-3), IF(LEFT(converted,2)=""98"", ""0"" &amp; RIGHT(converted, LEN(converted)-2), IF(LEFT(converted,1)&lt;&gt;""0"", ""0"" &amp; converted, REGEXREPLACE"&amp;"(converted , ""\s"", """")) ) ) ) )"),"09195606985")</f>
        <v>09195606985</v>
      </c>
      <c r="E3" s="205" t="s">
        <v>17</v>
      </c>
      <c r="F3" s="206">
        <v>1.0</v>
      </c>
      <c r="G3" s="202" t="s">
        <v>730</v>
      </c>
      <c r="H3" s="202" t="s">
        <v>740</v>
      </c>
      <c r="I3" s="203"/>
      <c r="J3" s="203" t="s">
        <v>741</v>
      </c>
      <c r="K3" s="207" t="s">
        <v>27</v>
      </c>
      <c r="L3" s="207" t="s">
        <v>321</v>
      </c>
      <c r="M3" s="202" t="s">
        <v>742</v>
      </c>
      <c r="N3" s="202" t="s">
        <v>743</v>
      </c>
      <c r="O3" s="207" t="s">
        <v>737</v>
      </c>
      <c r="P3" s="202"/>
      <c r="Q3" s="208"/>
      <c r="R3" s="86"/>
      <c r="S3" s="114">
        <f t="shared" ref="S3:T3" si="2">A3</f>
        <v>2</v>
      </c>
      <c r="T3" s="114" t="str">
        <f t="shared" si="2"/>
        <v>مجید منوچهری</v>
      </c>
      <c r="U3" s="86" t="str">
        <f t="shared" si="3"/>
        <v>09195606985</v>
      </c>
      <c r="V3" s="86" t="str">
        <f t="shared" si="4"/>
        <v>پیش‌وایی 1</v>
      </c>
      <c r="W3" s="86"/>
      <c r="X3" s="86"/>
    </row>
    <row r="4">
      <c r="A4" s="192">
        <v>3.0</v>
      </c>
      <c r="B4" s="193" t="s">
        <v>744</v>
      </c>
      <c r="C4" s="194" t="s">
        <v>745</v>
      </c>
      <c r="D4" s="195" t="str">
        <f>IFERROR(__xludf.DUMMYFUNCTION("ARRAYFORMULA(LET( converted, SUBSTITUTE( SUBSTITUTE( SUBSTITUTE( SUBSTITUTE( SUBSTITUTE( SUBSTITUTE( SUBSTITUTE( SUBSTITUTE( SUBSTITUTE( SUBSTITUTE( C4, ""۰"", ""0""), ""۱"", ""1""), ""۲"", ""2""), ""۳"", ""3""), ""۴"", ""4""), ""۵"", ""5""), ""۶"", ""6"""&amp;"), ""۷"", ""7""), ""۸"", ""8""), ""۹"", ""9""), IF(LEFT(converted,3)=""+98"", ""0"" &amp; RIGHT(converted, LEN(converted)-3), IF(LEFT(converted,2)=""98"", ""0"" &amp; RIGHT(converted, LEN(converted)-2), IF(LEFT(converted,1)&lt;&gt;""0"", ""0"" &amp; converted, REGEXREPLACE"&amp;"(converted , ""\s"", """")) ) ) ) )"),"09359550435")</f>
        <v>09359550435</v>
      </c>
      <c r="E4" s="196" t="s">
        <v>17</v>
      </c>
      <c r="F4" s="197">
        <v>1.0</v>
      </c>
      <c r="G4" s="193" t="s">
        <v>746</v>
      </c>
      <c r="H4" s="193" t="s">
        <v>747</v>
      </c>
      <c r="I4" s="194"/>
      <c r="J4" s="194" t="s">
        <v>748</v>
      </c>
      <c r="K4" s="199" t="s">
        <v>749</v>
      </c>
      <c r="L4" s="199" t="s">
        <v>750</v>
      </c>
      <c r="M4" s="193" t="s">
        <v>751</v>
      </c>
      <c r="N4" s="193" t="s">
        <v>752</v>
      </c>
      <c r="O4" s="199" t="s">
        <v>753</v>
      </c>
      <c r="P4" s="193"/>
      <c r="Q4" s="200"/>
      <c r="R4" s="86"/>
      <c r="S4" s="114">
        <f t="shared" ref="S4:T4" si="5">A4</f>
        <v>3</v>
      </c>
      <c r="T4" s="114" t="str">
        <f t="shared" si="5"/>
        <v>لیلا واژیر</v>
      </c>
      <c r="U4" s="86" t="str">
        <f t="shared" si="3"/>
        <v>09359550435</v>
      </c>
      <c r="V4" s="86" t="str">
        <f t="shared" si="4"/>
        <v>پیش‌وایی 1</v>
      </c>
      <c r="W4" s="86"/>
      <c r="X4" s="86"/>
    </row>
    <row r="5">
      <c r="A5" s="201">
        <v>4.0</v>
      </c>
      <c r="B5" s="202" t="s">
        <v>754</v>
      </c>
      <c r="C5" s="203" t="s">
        <v>755</v>
      </c>
      <c r="D5" s="204" t="str">
        <f>IFERROR(__xludf.DUMMYFUNCTION("ARRAYFORMULA(LET( converted, SUBSTITUTE( SUBSTITUTE( SUBSTITUTE( SUBSTITUTE( SUBSTITUTE( SUBSTITUTE( SUBSTITUTE( SUBSTITUTE( SUBSTITUTE( SUBSTITUTE( C5, ""۰"", ""0""), ""۱"", ""1""), ""۲"", ""2""), ""۳"", ""3""), ""۴"", ""4""), ""۵"", ""5""), ""۶"", ""6"""&amp;"), ""۷"", ""7""), ""۸"", ""8""), ""۹"", ""9""), IF(LEFT(converted,3)=""+98"", ""0"" &amp; RIGHT(converted, LEN(converted)-3), IF(LEFT(converted,2)=""98"", ""0"" &amp; RIGHT(converted, LEN(converted)-2), IF(LEFT(converted,1)&lt;&gt;""0"", ""0"" &amp; converted, REGEXREPLACE"&amp;"(converted , ""\s"", """")) ) ) ) )"),"09366205771")</f>
        <v>09366205771</v>
      </c>
      <c r="E5" s="205" t="s">
        <v>17</v>
      </c>
      <c r="F5" s="206">
        <v>1.0</v>
      </c>
      <c r="G5" s="202" t="s">
        <v>730</v>
      </c>
      <c r="H5" s="202" t="s">
        <v>756</v>
      </c>
      <c r="I5" s="203"/>
      <c r="J5" s="203" t="s">
        <v>757</v>
      </c>
      <c r="K5" s="207" t="s">
        <v>758</v>
      </c>
      <c r="L5" s="207" t="s">
        <v>759</v>
      </c>
      <c r="M5" s="202" t="s">
        <v>760</v>
      </c>
      <c r="N5" s="202" t="s">
        <v>761</v>
      </c>
      <c r="O5" s="207" t="s">
        <v>737</v>
      </c>
      <c r="P5" s="202"/>
      <c r="Q5" s="208"/>
      <c r="R5" s="86"/>
      <c r="S5" s="114">
        <f t="shared" ref="S5:T5" si="6">A5</f>
        <v>4</v>
      </c>
      <c r="T5" s="114" t="str">
        <f t="shared" si="6"/>
        <v>سعید عالم ورزنه اصفهانی</v>
      </c>
      <c r="U5" s="86" t="str">
        <f t="shared" si="3"/>
        <v>09366205771</v>
      </c>
      <c r="V5" s="86" t="str">
        <f t="shared" si="4"/>
        <v>پیش‌وایی 1</v>
      </c>
      <c r="W5" s="86"/>
      <c r="X5" s="86"/>
    </row>
    <row r="6">
      <c r="A6" s="192">
        <v>5.0</v>
      </c>
      <c r="B6" s="193" t="s">
        <v>762</v>
      </c>
      <c r="C6" s="194" t="s">
        <v>763</v>
      </c>
      <c r="D6" s="195" t="str">
        <f>IFERROR(__xludf.DUMMYFUNCTION("ARRAYFORMULA(LET( converted, SUBSTITUTE( SUBSTITUTE( SUBSTITUTE( SUBSTITUTE( SUBSTITUTE( SUBSTITUTE( SUBSTITUTE( SUBSTITUTE( SUBSTITUTE( SUBSTITUTE( C6, ""۰"", ""0""), ""۱"", ""1""), ""۲"", ""2""), ""۳"", ""3""), ""۴"", ""4""), ""۵"", ""5""), ""۶"", ""6"""&amp;"), ""۷"", ""7""), ""۸"", ""8""), ""۹"", ""9""), IF(LEFT(converted,3)=""+98"", ""0"" &amp; RIGHT(converted, LEN(converted)-3), IF(LEFT(converted,2)=""98"", ""0"" &amp; RIGHT(converted, LEN(converted)-2), IF(LEFT(converted,1)&lt;&gt;""0"", ""0"" &amp; converted, REGEXREPLACE"&amp;"(converted , ""\s"", """")) ) ) ) )"),"09360559862")</f>
        <v>09360559862</v>
      </c>
      <c r="E6" s="196" t="s">
        <v>17</v>
      </c>
      <c r="F6" s="197">
        <v>1.0</v>
      </c>
      <c r="G6" s="193" t="s">
        <v>746</v>
      </c>
      <c r="H6" s="193" t="s">
        <v>764</v>
      </c>
      <c r="I6" s="194"/>
      <c r="J6" s="194" t="s">
        <v>765</v>
      </c>
      <c r="K6" s="199" t="s">
        <v>766</v>
      </c>
      <c r="L6" s="199" t="s">
        <v>767</v>
      </c>
      <c r="M6" s="193" t="s">
        <v>768</v>
      </c>
      <c r="N6" s="193" t="s">
        <v>769</v>
      </c>
      <c r="O6" s="199" t="s">
        <v>753</v>
      </c>
      <c r="P6" s="193"/>
      <c r="Q6" s="200"/>
      <c r="R6" s="86"/>
      <c r="S6" s="114">
        <f t="shared" ref="S6:T6" si="7">A6</f>
        <v>5</v>
      </c>
      <c r="T6" s="114" t="str">
        <f t="shared" si="7"/>
        <v>ندا بزرگی کیان</v>
      </c>
      <c r="U6" s="86" t="str">
        <f t="shared" si="3"/>
        <v>09360559862</v>
      </c>
      <c r="V6" s="86" t="str">
        <f t="shared" si="4"/>
        <v>پیش‌وایی 1</v>
      </c>
      <c r="W6" s="86"/>
      <c r="X6" s="86"/>
    </row>
    <row r="7">
      <c r="A7" s="201">
        <v>6.0</v>
      </c>
      <c r="B7" s="202" t="s">
        <v>770</v>
      </c>
      <c r="C7" s="203" t="s">
        <v>771</v>
      </c>
      <c r="D7" s="204" t="str">
        <f>IFERROR(__xludf.DUMMYFUNCTION("ARRAYFORMULA(LET( converted, SUBSTITUTE( SUBSTITUTE( SUBSTITUTE( SUBSTITUTE( SUBSTITUTE( SUBSTITUTE( SUBSTITUTE( SUBSTITUTE( SUBSTITUTE( SUBSTITUTE( C7, ""۰"", ""0""), ""۱"", ""1""), ""۲"", ""2""), ""۳"", ""3""), ""۴"", ""4""), ""۵"", ""5""), ""۶"", ""6"""&amp;"), ""۷"", ""7""), ""۸"", ""8""), ""۹"", ""9""), IF(LEFT(converted,3)=""+98"", ""0"" &amp; RIGHT(converted, LEN(converted)-3), IF(LEFT(converted,2)=""98"", ""0"" &amp; RIGHT(converted, LEN(converted)-2), IF(LEFT(converted,1)&lt;&gt;""0"", ""0"" &amp; converted, REGEXREPLACE"&amp;"(converted , ""\s"", """")) ) ) ) )"),"09398370087")</f>
        <v>09398370087</v>
      </c>
      <c r="E7" s="205" t="s">
        <v>17</v>
      </c>
      <c r="F7" s="206">
        <v>1.0</v>
      </c>
      <c r="G7" s="202" t="s">
        <v>730</v>
      </c>
      <c r="H7" s="202" t="s">
        <v>772</v>
      </c>
      <c r="I7" s="203"/>
      <c r="J7" s="203" t="s">
        <v>773</v>
      </c>
      <c r="K7" s="207" t="s">
        <v>774</v>
      </c>
      <c r="L7" s="207" t="s">
        <v>775</v>
      </c>
      <c r="M7" s="202" t="s">
        <v>776</v>
      </c>
      <c r="N7" s="202" t="s">
        <v>777</v>
      </c>
      <c r="O7" s="207" t="s">
        <v>737</v>
      </c>
      <c r="P7" s="202"/>
      <c r="Q7" s="208"/>
      <c r="R7" s="86"/>
      <c r="S7" s="114">
        <f t="shared" ref="S7:T7" si="8">A7</f>
        <v>6</v>
      </c>
      <c r="T7" s="114" t="str">
        <f t="shared" si="8"/>
        <v>سیاوش ناصری</v>
      </c>
      <c r="U7" s="86" t="str">
        <f t="shared" si="3"/>
        <v>09398370087</v>
      </c>
      <c r="V7" s="86" t="str">
        <f t="shared" si="4"/>
        <v>پیش‌وایی 1</v>
      </c>
      <c r="W7" s="86"/>
      <c r="X7" s="86"/>
    </row>
    <row r="8">
      <c r="A8" s="192">
        <v>7.0</v>
      </c>
      <c r="B8" s="193" t="s">
        <v>778</v>
      </c>
      <c r="C8" s="194" t="s">
        <v>779</v>
      </c>
      <c r="D8" s="195" t="str">
        <f>IFERROR(__xludf.DUMMYFUNCTION("ARRAYFORMULA(LET( converted, SUBSTITUTE( SUBSTITUTE( SUBSTITUTE( SUBSTITUTE( SUBSTITUTE( SUBSTITUTE( SUBSTITUTE( SUBSTITUTE( SUBSTITUTE( SUBSTITUTE( C8, ""۰"", ""0""), ""۱"", ""1""), ""۲"", ""2""), ""۳"", ""3""), ""۴"", ""4""), ""۵"", ""5""), ""۶"", ""6"""&amp;"), ""۷"", ""7""), ""۸"", ""8""), ""۹"", ""9""), IF(LEFT(converted,3)=""+98"", ""0"" &amp; RIGHT(converted, LEN(converted)-3), IF(LEFT(converted,2)=""98"", ""0"" &amp; RIGHT(converted, LEN(converted)-2), IF(LEFT(converted,1)&lt;&gt;""0"", ""0"" &amp; converted, REGEXREPLACE"&amp;"(converted , ""\s"", """")) ) ) ) )"),"09101963046")</f>
        <v>09101963046</v>
      </c>
      <c r="E8" s="196" t="s">
        <v>17</v>
      </c>
      <c r="F8" s="197">
        <v>1.0</v>
      </c>
      <c r="G8" s="193" t="s">
        <v>730</v>
      </c>
      <c r="H8" s="193" t="s">
        <v>780</v>
      </c>
      <c r="I8" s="194"/>
      <c r="J8" s="194" t="s">
        <v>781</v>
      </c>
      <c r="K8" s="199" t="s">
        <v>782</v>
      </c>
      <c r="L8" s="199" t="s">
        <v>783</v>
      </c>
      <c r="M8" s="193" t="s">
        <v>784</v>
      </c>
      <c r="N8" s="193" t="s">
        <v>785</v>
      </c>
      <c r="O8" s="199" t="s">
        <v>737</v>
      </c>
      <c r="P8" s="193"/>
      <c r="Q8" s="200"/>
      <c r="R8" s="86"/>
      <c r="S8" s="114">
        <f t="shared" ref="S8:T8" si="9">A8</f>
        <v>7</v>
      </c>
      <c r="T8" s="114" t="str">
        <f t="shared" si="9"/>
        <v>انوش شفیعی</v>
      </c>
      <c r="U8" s="86" t="str">
        <f t="shared" si="3"/>
        <v>09101963046</v>
      </c>
      <c r="V8" s="86" t="str">
        <f t="shared" si="4"/>
        <v>پیش‌وایی 1</v>
      </c>
      <c r="W8" s="86"/>
      <c r="X8" s="86"/>
    </row>
    <row r="9">
      <c r="A9" s="201">
        <v>8.0</v>
      </c>
      <c r="B9" s="202" t="s">
        <v>786</v>
      </c>
      <c r="C9" s="203"/>
      <c r="D9" s="204" t="str">
        <f>IFERROR(__xludf.DUMMYFUNCTION("ARRAYFORMULA(LET( converted, SUBSTITUTE( SUBSTITUTE( SUBSTITUTE( SUBSTITUTE( SUBSTITUTE( SUBSTITUTE( SUBSTITUTE( SUBSTITUTE( SUBSTITUTE( SUBSTITUTE( C9, ""۰"", ""0""), ""۱"", ""1""), ""۲"", ""2""), ""۳"", ""3""), ""۴"", ""4""), ""۵"", ""5""), ""۶"", ""6"""&amp;"), ""۷"", ""7""), ""۸"", ""8""), ""۹"", ""9""), IF(LEFT(converted,3)=""+98"", ""0"" &amp; RIGHT(converted, LEN(converted)-3), IF(LEFT(converted,2)=""98"", ""0"" &amp; RIGHT(converted, LEN(converted)-2), IF(LEFT(converted,1)&lt;&gt;""0"", ""0"" &amp; converted, REGEXREPLACE"&amp;"(converted , ""\s"", """")) ) ) ) )"),"0")</f>
        <v>0</v>
      </c>
      <c r="E9" s="205" t="s">
        <v>17</v>
      </c>
      <c r="F9" s="206">
        <v>1.0</v>
      </c>
      <c r="G9" s="202" t="s">
        <v>746</v>
      </c>
      <c r="H9" s="202" t="s">
        <v>787</v>
      </c>
      <c r="I9" s="203"/>
      <c r="J9" s="203" t="s">
        <v>788</v>
      </c>
      <c r="K9" s="207" t="s">
        <v>292</v>
      </c>
      <c r="L9" s="207" t="s">
        <v>789</v>
      </c>
      <c r="M9" s="202" t="s">
        <v>790</v>
      </c>
      <c r="N9" s="202" t="s">
        <v>791</v>
      </c>
      <c r="O9" s="207" t="s">
        <v>753</v>
      </c>
      <c r="P9" s="202"/>
      <c r="Q9" s="208"/>
      <c r="R9" s="86"/>
      <c r="S9" s="114">
        <f t="shared" ref="S9:T9" si="10">A9</f>
        <v>8</v>
      </c>
      <c r="T9" s="114" t="str">
        <f t="shared" si="10"/>
        <v>مریم افضلی</v>
      </c>
      <c r="U9" s="86" t="str">
        <f t="shared" si="3"/>
        <v>0</v>
      </c>
      <c r="V9" s="86" t="str">
        <f t="shared" si="4"/>
        <v>پیش‌وایی 1</v>
      </c>
      <c r="W9" s="86"/>
      <c r="X9" s="86"/>
    </row>
    <row r="10">
      <c r="A10" s="192">
        <v>9.0</v>
      </c>
      <c r="B10" s="193" t="s">
        <v>792</v>
      </c>
      <c r="C10" s="194" t="s">
        <v>793</v>
      </c>
      <c r="D10" s="195" t="str">
        <f>IFERROR(__xludf.DUMMYFUNCTION("ARRAYFORMULA(LET( converted, SUBSTITUTE( SUBSTITUTE( SUBSTITUTE( SUBSTITUTE( SUBSTITUTE( SUBSTITUTE( SUBSTITUTE( SUBSTITUTE( SUBSTITUTE( SUBSTITUTE( C10, ""۰"", ""0""), ""۱"", ""1""), ""۲"", ""2""), ""۳"", ""3""), ""۴"", ""4""), ""۵"", ""5""), ""۶"", ""6"&amp;"""), ""۷"", ""7""), ""۸"", ""8""), ""۹"", ""9""), IF(LEFT(converted,3)=""+98"", ""0"" &amp; RIGHT(converted, LEN(converted)-3), IF(LEFT(converted,2)=""98"", ""0"" &amp; RIGHT(converted, LEN(converted)-2), IF(LEFT(converted,1)&lt;&gt;""0"", ""0"" &amp; converted, REGEXREPLA"&amp;"CE(converted , ""\s"", """")) ) ) ) )"),"09193143750")</f>
        <v>09193143750</v>
      </c>
      <c r="E10" s="196" t="s">
        <v>17</v>
      </c>
      <c r="F10" s="197">
        <v>1.0</v>
      </c>
      <c r="G10" s="193" t="s">
        <v>746</v>
      </c>
      <c r="H10" s="193" t="s">
        <v>794</v>
      </c>
      <c r="I10" s="194"/>
      <c r="J10" s="194" t="s">
        <v>795</v>
      </c>
      <c r="K10" s="199" t="s">
        <v>796</v>
      </c>
      <c r="L10" s="199" t="s">
        <v>797</v>
      </c>
      <c r="M10" s="193" t="s">
        <v>798</v>
      </c>
      <c r="N10" s="193" t="s">
        <v>799</v>
      </c>
      <c r="O10" s="199" t="s">
        <v>737</v>
      </c>
      <c r="P10" s="193"/>
      <c r="Q10" s="200"/>
      <c r="R10" s="86"/>
      <c r="S10" s="114">
        <f t="shared" ref="S10:T10" si="11">A10</f>
        <v>9</v>
      </c>
      <c r="T10" s="114" t="str">
        <f t="shared" si="11"/>
        <v>پریسا امیرنژاد</v>
      </c>
      <c r="U10" s="86" t="str">
        <f t="shared" si="3"/>
        <v>09193143750</v>
      </c>
      <c r="V10" s="86" t="str">
        <f t="shared" si="4"/>
        <v>پیش‌وایی 1</v>
      </c>
      <c r="W10" s="86"/>
      <c r="X10" s="86"/>
    </row>
    <row r="11">
      <c r="A11" s="201">
        <v>10.0</v>
      </c>
      <c r="B11" s="202" t="s">
        <v>800</v>
      </c>
      <c r="C11" s="203" t="s">
        <v>801</v>
      </c>
      <c r="D11" s="204" t="str">
        <f>IFERROR(__xludf.DUMMYFUNCTION("ARRAYFORMULA(LET( converted, SUBSTITUTE( SUBSTITUTE( SUBSTITUTE( SUBSTITUTE( SUBSTITUTE( SUBSTITUTE( SUBSTITUTE( SUBSTITUTE( SUBSTITUTE( SUBSTITUTE( C11, ""۰"", ""0""), ""۱"", ""1""), ""۲"", ""2""), ""۳"", ""3""), ""۴"", ""4""), ""۵"", ""5""), ""۶"", ""6"&amp;"""), ""۷"", ""7""), ""۸"", ""8""), ""۹"", ""9""), IF(LEFT(converted,3)=""+98"", ""0"" &amp; RIGHT(converted, LEN(converted)-3), IF(LEFT(converted,2)=""98"", ""0"" &amp; RIGHT(converted, LEN(converted)-2), IF(LEFT(converted,1)&lt;&gt;""0"", ""0"" &amp; converted, REGEXREPLA"&amp;"CE(converted , ""\s"", """")) ) ) ) )"),"09304229459")</f>
        <v>09304229459</v>
      </c>
      <c r="E11" s="205" t="s">
        <v>17</v>
      </c>
      <c r="F11" s="206">
        <v>1.0</v>
      </c>
      <c r="G11" s="202" t="s">
        <v>746</v>
      </c>
      <c r="H11" s="209" t="s">
        <v>802</v>
      </c>
      <c r="I11" s="203"/>
      <c r="J11" s="203" t="s">
        <v>803</v>
      </c>
      <c r="K11" s="207" t="s">
        <v>804</v>
      </c>
      <c r="L11" s="207" t="s">
        <v>797</v>
      </c>
      <c r="M11" s="202" t="s">
        <v>805</v>
      </c>
      <c r="N11" s="202" t="s">
        <v>799</v>
      </c>
      <c r="O11" s="207" t="s">
        <v>753</v>
      </c>
      <c r="P11" s="202"/>
      <c r="Q11" s="208"/>
      <c r="R11" s="86"/>
      <c r="S11" s="114">
        <f t="shared" ref="S11:T11" si="12">A11</f>
        <v>10</v>
      </c>
      <c r="T11" s="114" t="str">
        <f t="shared" si="12"/>
        <v>نیلوفر امیرنژاد</v>
      </c>
      <c r="U11" s="86" t="str">
        <f t="shared" si="3"/>
        <v>09304229459</v>
      </c>
      <c r="V11" s="86" t="str">
        <f t="shared" si="4"/>
        <v>پیش‌وایی 1</v>
      </c>
      <c r="W11" s="86"/>
      <c r="X11" s="86"/>
    </row>
    <row r="12">
      <c r="A12" s="192">
        <v>11.0</v>
      </c>
      <c r="B12" s="193" t="s">
        <v>806</v>
      </c>
      <c r="C12" s="194" t="s">
        <v>807</v>
      </c>
      <c r="D12" s="195" t="str">
        <f>IFERROR(__xludf.DUMMYFUNCTION("ARRAYFORMULA(LET( converted, SUBSTITUTE( SUBSTITUTE( SUBSTITUTE( SUBSTITUTE( SUBSTITUTE( SUBSTITUTE( SUBSTITUTE( SUBSTITUTE( SUBSTITUTE( SUBSTITUTE( C12, ""۰"", ""0""), ""۱"", ""1""), ""۲"", ""2""), ""۳"", ""3""), ""۴"", ""4""), ""۵"", ""5""), ""۶"", ""6"&amp;"""), ""۷"", ""7""), ""۸"", ""8""), ""۹"", ""9""), IF(LEFT(converted,3)=""+98"", ""0"" &amp; RIGHT(converted, LEN(converted)-3), IF(LEFT(converted,2)=""98"", ""0"" &amp; RIGHT(converted, LEN(converted)-2), IF(LEFT(converted,1)&lt;&gt;""0"", ""0"" &amp; converted, REGEXREPLA"&amp;"CE(converted , ""\s"", """")) ) ) ) )"),"09122091903")</f>
        <v>09122091903</v>
      </c>
      <c r="E12" s="196" t="s">
        <v>17</v>
      </c>
      <c r="F12" s="197">
        <v>1.0</v>
      </c>
      <c r="G12" s="193" t="s">
        <v>730</v>
      </c>
      <c r="H12" s="193" t="s">
        <v>808</v>
      </c>
      <c r="I12" s="194"/>
      <c r="J12" s="194" t="s">
        <v>809</v>
      </c>
      <c r="K12" s="199" t="s">
        <v>810</v>
      </c>
      <c r="L12" s="199" t="s">
        <v>811</v>
      </c>
      <c r="M12" s="193" t="s">
        <v>812</v>
      </c>
      <c r="N12" s="193" t="s">
        <v>813</v>
      </c>
      <c r="O12" s="199" t="s">
        <v>737</v>
      </c>
      <c r="P12" s="193"/>
      <c r="Q12" s="200"/>
      <c r="R12" s="86"/>
      <c r="S12" s="114">
        <f t="shared" ref="S12:T12" si="13">A12</f>
        <v>11</v>
      </c>
      <c r="T12" s="114" t="str">
        <f t="shared" si="13"/>
        <v>محمد علی صابری</v>
      </c>
      <c r="U12" s="86" t="str">
        <f t="shared" si="3"/>
        <v>09122091903</v>
      </c>
      <c r="V12" s="86" t="str">
        <f t="shared" si="4"/>
        <v>پیش‌وایی 1</v>
      </c>
      <c r="W12" s="86"/>
      <c r="X12" s="86"/>
    </row>
    <row r="13">
      <c r="A13" s="201">
        <v>12.0</v>
      </c>
      <c r="B13" s="202" t="s">
        <v>814</v>
      </c>
      <c r="C13" s="203" t="s">
        <v>815</v>
      </c>
      <c r="D13" s="204" t="str">
        <f>IFERROR(__xludf.DUMMYFUNCTION("ARRAYFORMULA(LET( converted, SUBSTITUTE( SUBSTITUTE( SUBSTITUTE( SUBSTITUTE( SUBSTITUTE( SUBSTITUTE( SUBSTITUTE( SUBSTITUTE( SUBSTITUTE( SUBSTITUTE( C13, ""۰"", ""0""), ""۱"", ""1""), ""۲"", ""2""), ""۳"", ""3""), ""۴"", ""4""), ""۵"", ""5""), ""۶"", ""6"&amp;"""), ""۷"", ""7""), ""۸"", ""8""), ""۹"", ""9""), IF(LEFT(converted,3)=""+98"", ""0"" &amp; RIGHT(converted, LEN(converted)-3), IF(LEFT(converted,2)=""98"", ""0"" &amp; RIGHT(converted, LEN(converted)-2), IF(LEFT(converted,1)&lt;&gt;""0"", ""0"" &amp; converted, REGEXREPLA"&amp;"CE(converted , ""\s"", """")) ) ) ) )"),"09125661359")</f>
        <v>09125661359</v>
      </c>
      <c r="E13" s="205" t="s">
        <v>17</v>
      </c>
      <c r="F13" s="206">
        <v>1.0</v>
      </c>
      <c r="G13" s="202" t="s">
        <v>746</v>
      </c>
      <c r="H13" s="202" t="s">
        <v>816</v>
      </c>
      <c r="I13" s="203"/>
      <c r="J13" s="203" t="s">
        <v>817</v>
      </c>
      <c r="K13" s="207" t="s">
        <v>818</v>
      </c>
      <c r="L13" s="207" t="s">
        <v>819</v>
      </c>
      <c r="M13" s="202" t="s">
        <v>820</v>
      </c>
      <c r="N13" s="202" t="s">
        <v>821</v>
      </c>
      <c r="O13" s="207" t="s">
        <v>753</v>
      </c>
      <c r="P13" s="202"/>
      <c r="Q13" s="208"/>
      <c r="R13" s="86"/>
      <c r="S13" s="114">
        <f t="shared" ref="S13:T13" si="14">A13</f>
        <v>12</v>
      </c>
      <c r="T13" s="114" t="str">
        <f t="shared" si="14"/>
        <v>اعظم ثابت</v>
      </c>
      <c r="U13" s="86" t="str">
        <f t="shared" si="3"/>
        <v>09125661359</v>
      </c>
      <c r="V13" s="86" t="str">
        <f t="shared" si="4"/>
        <v>پیش‌وایی 1</v>
      </c>
      <c r="W13" s="86"/>
      <c r="X13" s="86"/>
    </row>
    <row r="14">
      <c r="A14" s="192">
        <v>13.0</v>
      </c>
      <c r="B14" s="193" t="s">
        <v>822</v>
      </c>
      <c r="C14" s="194" t="s">
        <v>823</v>
      </c>
      <c r="D14" s="195" t="str">
        <f>IFERROR(__xludf.DUMMYFUNCTION("ARRAYFORMULA(LET( converted, SUBSTITUTE( SUBSTITUTE( SUBSTITUTE( SUBSTITUTE( SUBSTITUTE( SUBSTITUTE( SUBSTITUTE( SUBSTITUTE( SUBSTITUTE( SUBSTITUTE( C14, ""۰"", ""0""), ""۱"", ""1""), ""۲"", ""2""), ""۳"", ""3""), ""۴"", ""4""), ""۵"", ""5""), ""۶"", ""6"&amp;"""), ""۷"", ""7""), ""۸"", ""8""), ""۹"", ""9""), IF(LEFT(converted,3)=""+98"", ""0"" &amp; RIGHT(converted, LEN(converted)-3), IF(LEFT(converted,2)=""98"", ""0"" &amp; RIGHT(converted, LEN(converted)-2), IF(LEFT(converted,1)&lt;&gt;""0"", ""0"" &amp; converted, REGEXREPLA"&amp;"CE(converted , ""\s"", """")) ) ) ) )"),"09127094319")</f>
        <v>09127094319</v>
      </c>
      <c r="E14" s="196" t="s">
        <v>17</v>
      </c>
      <c r="F14" s="197">
        <v>1.0</v>
      </c>
      <c r="G14" s="193" t="s">
        <v>746</v>
      </c>
      <c r="H14" s="193" t="s">
        <v>824</v>
      </c>
      <c r="I14" s="194"/>
      <c r="J14" s="194" t="s">
        <v>825</v>
      </c>
      <c r="K14" s="199" t="s">
        <v>826</v>
      </c>
      <c r="L14" s="199" t="s">
        <v>811</v>
      </c>
      <c r="M14" s="193" t="s">
        <v>827</v>
      </c>
      <c r="N14" s="193" t="s">
        <v>813</v>
      </c>
      <c r="O14" s="199" t="s">
        <v>753</v>
      </c>
      <c r="P14" s="193"/>
      <c r="Q14" s="200"/>
      <c r="R14" s="86"/>
      <c r="S14" s="114">
        <f t="shared" ref="S14:T14" si="15">A14</f>
        <v>13</v>
      </c>
      <c r="T14" s="114" t="str">
        <f t="shared" si="15"/>
        <v>محبوبه صابری</v>
      </c>
      <c r="U14" s="86" t="str">
        <f t="shared" si="3"/>
        <v>09127094319</v>
      </c>
      <c r="V14" s="86" t="str">
        <f t="shared" si="4"/>
        <v>پیش‌وایی 1</v>
      </c>
      <c r="W14" s="86"/>
      <c r="X14" s="86"/>
    </row>
    <row r="15">
      <c r="A15" s="201">
        <v>14.0</v>
      </c>
      <c r="B15" s="202" t="s">
        <v>828</v>
      </c>
      <c r="C15" s="203" t="s">
        <v>829</v>
      </c>
      <c r="D15" s="204" t="str">
        <f>IFERROR(__xludf.DUMMYFUNCTION("ARRAYFORMULA(LET( converted, SUBSTITUTE( SUBSTITUTE( SUBSTITUTE( SUBSTITUTE( SUBSTITUTE( SUBSTITUTE( SUBSTITUTE( SUBSTITUTE( SUBSTITUTE( SUBSTITUTE( C15, ""۰"", ""0""), ""۱"", ""1""), ""۲"", ""2""), ""۳"", ""3""), ""۴"", ""4""), ""۵"", ""5""), ""۶"", ""6"&amp;"""), ""۷"", ""7""), ""۸"", ""8""), ""۹"", ""9""), IF(LEFT(converted,3)=""+98"", ""0"" &amp; RIGHT(converted, LEN(converted)-3), IF(LEFT(converted,2)=""98"", ""0"" &amp; RIGHT(converted, LEN(converted)-2), IF(LEFT(converted,1)&lt;&gt;""0"", ""0"" &amp; converted, REGEXREPLA"&amp;"CE(converted , ""\s"", """")) ) ) ) )"),"09303749039")</f>
        <v>09303749039</v>
      </c>
      <c r="E15" s="205" t="s">
        <v>17</v>
      </c>
      <c r="F15" s="206">
        <v>1.0</v>
      </c>
      <c r="G15" s="202" t="s">
        <v>746</v>
      </c>
      <c r="H15" s="202" t="s">
        <v>830</v>
      </c>
      <c r="I15" s="203"/>
      <c r="J15" s="203" t="s">
        <v>831</v>
      </c>
      <c r="K15" s="207" t="s">
        <v>274</v>
      </c>
      <c r="L15" s="207" t="s">
        <v>811</v>
      </c>
      <c r="M15" s="202" t="s">
        <v>832</v>
      </c>
      <c r="N15" s="202" t="s">
        <v>813</v>
      </c>
      <c r="O15" s="207" t="s">
        <v>753</v>
      </c>
      <c r="P15" s="202"/>
      <c r="Q15" s="208"/>
      <c r="R15" s="86"/>
      <c r="S15" s="114">
        <f t="shared" ref="S15:T15" si="16">A15</f>
        <v>14</v>
      </c>
      <c r="T15" s="114" t="str">
        <f t="shared" si="16"/>
        <v>فاطمه صابری</v>
      </c>
      <c r="U15" s="86" t="str">
        <f t="shared" si="3"/>
        <v>09303749039</v>
      </c>
      <c r="V15" s="86" t="str">
        <f t="shared" si="4"/>
        <v>پیش‌وایی 1</v>
      </c>
      <c r="W15" s="86"/>
      <c r="X15" s="86"/>
    </row>
    <row r="16">
      <c r="A16" s="192">
        <v>15.0</v>
      </c>
      <c r="B16" s="199" t="s">
        <v>833</v>
      </c>
      <c r="C16" s="194" t="s">
        <v>834</v>
      </c>
      <c r="D16" s="195" t="str">
        <f>IFERROR(__xludf.DUMMYFUNCTION("ARRAYFORMULA(LET( converted, SUBSTITUTE( SUBSTITUTE( SUBSTITUTE( SUBSTITUTE( SUBSTITUTE( SUBSTITUTE( SUBSTITUTE( SUBSTITUTE( SUBSTITUTE( SUBSTITUTE( C16, ""۰"", ""0""), ""۱"", ""1""), ""۲"", ""2""), ""۳"", ""3""), ""۴"", ""4""), ""۵"", ""5""), ""۶"", ""6"&amp;"""), ""۷"", ""7""), ""۸"", ""8""), ""۹"", ""9""), IF(LEFT(converted,3)=""+98"", ""0"" &amp; RIGHT(converted, LEN(converted)-3), IF(LEFT(converted,2)=""98"", ""0"" &amp; RIGHT(converted, LEN(converted)-2), IF(LEFT(converted,1)&lt;&gt;""0"", ""0"" &amp; converted, REGEXREPLA"&amp;"CE(converted , ""\s"", """")) ) ) ) )"),"09192386071")</f>
        <v>09192386071</v>
      </c>
      <c r="E16" s="196" t="s">
        <v>17</v>
      </c>
      <c r="F16" s="197">
        <v>1.0</v>
      </c>
      <c r="G16" s="193" t="s">
        <v>746</v>
      </c>
      <c r="H16" s="193" t="s">
        <v>835</v>
      </c>
      <c r="I16" s="194"/>
      <c r="J16" s="194" t="s">
        <v>836</v>
      </c>
      <c r="K16" s="199" t="s">
        <v>180</v>
      </c>
      <c r="L16" s="199" t="s">
        <v>837</v>
      </c>
      <c r="M16" s="193" t="s">
        <v>838</v>
      </c>
      <c r="N16" s="193" t="s">
        <v>839</v>
      </c>
      <c r="O16" s="199" t="s">
        <v>737</v>
      </c>
      <c r="P16" s="193"/>
      <c r="Q16" s="200"/>
      <c r="R16" s="86"/>
      <c r="S16" s="114">
        <f t="shared" ref="S16:T16" si="17">A16</f>
        <v>15</v>
      </c>
      <c r="T16" s="114" t="str">
        <f t="shared" si="17"/>
        <v>آزاده اعتصامی</v>
      </c>
      <c r="U16" s="86" t="str">
        <f t="shared" si="3"/>
        <v>09192386071</v>
      </c>
      <c r="V16" s="86" t="str">
        <f t="shared" si="4"/>
        <v>پیش‌وایی 1</v>
      </c>
      <c r="W16" s="86"/>
      <c r="X16" s="86"/>
    </row>
    <row r="17">
      <c r="A17" s="201">
        <v>16.0</v>
      </c>
      <c r="B17" s="202" t="s">
        <v>840</v>
      </c>
      <c r="C17" s="203" t="s">
        <v>841</v>
      </c>
      <c r="D17" s="204" t="str">
        <f>IFERROR(__xludf.DUMMYFUNCTION("ARRAYFORMULA(LET( converted, SUBSTITUTE( SUBSTITUTE( SUBSTITUTE( SUBSTITUTE( SUBSTITUTE( SUBSTITUTE( SUBSTITUTE( SUBSTITUTE( SUBSTITUTE( SUBSTITUTE( C17, ""۰"", ""0""), ""۱"", ""1""), ""۲"", ""2""), ""۳"", ""3""), ""۴"", ""4""), ""۵"", ""5""), ""۶"", ""6"&amp;"""), ""۷"", ""7""), ""۸"", ""8""), ""۹"", ""9""), IF(LEFT(converted,3)=""+98"", ""0"" &amp; RIGHT(converted, LEN(converted)-3), IF(LEFT(converted,2)=""98"", ""0"" &amp; RIGHT(converted, LEN(converted)-2), IF(LEFT(converted,1)&lt;&gt;""0"", ""0"" &amp; converted, REGEXREPLA"&amp;"CE(converted , ""\s"", """")) ) ) ) )"),"09127746737")</f>
        <v>09127746737</v>
      </c>
      <c r="E17" s="205" t="s">
        <v>17</v>
      </c>
      <c r="F17" s="206">
        <v>1.0</v>
      </c>
      <c r="G17" s="202" t="s">
        <v>730</v>
      </c>
      <c r="H17" s="202" t="s">
        <v>842</v>
      </c>
      <c r="I17" s="203"/>
      <c r="J17" s="203" t="s">
        <v>843</v>
      </c>
      <c r="K17" s="207" t="s">
        <v>844</v>
      </c>
      <c r="L17" s="207" t="s">
        <v>845</v>
      </c>
      <c r="M17" s="202" t="s">
        <v>846</v>
      </c>
      <c r="N17" s="202" t="s">
        <v>847</v>
      </c>
      <c r="O17" s="207" t="s">
        <v>737</v>
      </c>
      <c r="P17" s="202"/>
      <c r="Q17" s="208"/>
      <c r="R17" s="86"/>
      <c r="S17" s="114">
        <f t="shared" ref="S17:T17" si="18">A17</f>
        <v>16</v>
      </c>
      <c r="T17" s="114" t="str">
        <f t="shared" si="18"/>
        <v>مسعود شریفی پور</v>
      </c>
      <c r="U17" s="86" t="str">
        <f t="shared" si="3"/>
        <v>09127746737</v>
      </c>
      <c r="V17" s="86" t="str">
        <f t="shared" si="4"/>
        <v>پیش‌وایی 1</v>
      </c>
      <c r="W17" s="86"/>
      <c r="X17" s="86"/>
    </row>
    <row r="18">
      <c r="A18" s="192">
        <v>17.0</v>
      </c>
      <c r="B18" s="193" t="s">
        <v>848</v>
      </c>
      <c r="C18" s="194" t="s">
        <v>849</v>
      </c>
      <c r="D18" s="195" t="str">
        <f>IFERROR(__xludf.DUMMYFUNCTION("ARRAYFORMULA(LET( converted, SUBSTITUTE( SUBSTITUTE( SUBSTITUTE( SUBSTITUTE( SUBSTITUTE( SUBSTITUTE( SUBSTITUTE( SUBSTITUTE( SUBSTITUTE( SUBSTITUTE( C18, ""۰"", ""0""), ""۱"", ""1""), ""۲"", ""2""), ""۳"", ""3""), ""۴"", ""4""), ""۵"", ""5""), ""۶"", ""6"&amp;"""), ""۷"", ""7""), ""۸"", ""8""), ""۹"", ""9""), IF(LEFT(converted,3)=""+98"", ""0"" &amp; RIGHT(converted, LEN(converted)-3), IF(LEFT(converted,2)=""98"", ""0"" &amp; RIGHT(converted, LEN(converted)-2), IF(LEFT(converted,1)&lt;&gt;""0"", ""0"" &amp; converted, REGEXREPLA"&amp;"CE(converted , ""\s"", """")) ) ) ) )"),"09211850019")</f>
        <v>09211850019</v>
      </c>
      <c r="E18" s="196" t="s">
        <v>17</v>
      </c>
      <c r="F18" s="197">
        <v>1.0</v>
      </c>
      <c r="G18" s="193" t="s">
        <v>746</v>
      </c>
      <c r="H18" s="193" t="s">
        <v>850</v>
      </c>
      <c r="I18" s="194"/>
      <c r="J18" s="194" t="s">
        <v>851</v>
      </c>
      <c r="K18" s="199" t="s">
        <v>852</v>
      </c>
      <c r="L18" s="199" t="s">
        <v>853</v>
      </c>
      <c r="M18" s="193" t="s">
        <v>854</v>
      </c>
      <c r="N18" s="193" t="s">
        <v>855</v>
      </c>
      <c r="O18" s="199" t="s">
        <v>753</v>
      </c>
      <c r="P18" s="193"/>
      <c r="Q18" s="200"/>
      <c r="R18" s="86"/>
      <c r="S18" s="114">
        <f t="shared" ref="S18:T18" si="19">A18</f>
        <v>17</v>
      </c>
      <c r="T18" s="114" t="str">
        <f t="shared" si="19"/>
        <v>زهره سلطانیان</v>
      </c>
      <c r="U18" s="86" t="str">
        <f t="shared" si="3"/>
        <v>09211850019</v>
      </c>
      <c r="V18" s="86" t="str">
        <f t="shared" si="4"/>
        <v>پیش‌وایی 1</v>
      </c>
      <c r="W18" s="86"/>
      <c r="X18" s="86"/>
    </row>
    <row r="19">
      <c r="A19" s="201">
        <v>18.0</v>
      </c>
      <c r="B19" s="202" t="s">
        <v>856</v>
      </c>
      <c r="C19" s="203" t="s">
        <v>857</v>
      </c>
      <c r="D19" s="204" t="str">
        <f>IFERROR(__xludf.DUMMYFUNCTION("ARRAYFORMULA(LET( converted, SUBSTITUTE( SUBSTITUTE( SUBSTITUTE( SUBSTITUTE( SUBSTITUTE( SUBSTITUTE( SUBSTITUTE( SUBSTITUTE( SUBSTITUTE( SUBSTITUTE( C19, ""۰"", ""0""), ""۱"", ""1""), ""۲"", ""2""), ""۳"", ""3""), ""۴"", ""4""), ""۵"", ""5""), ""۶"", ""6"&amp;"""), ""۷"", ""7""), ""۸"", ""8""), ""۹"", ""9""), IF(LEFT(converted,3)=""+98"", ""0"" &amp; RIGHT(converted, LEN(converted)-3), IF(LEFT(converted,2)=""98"", ""0"" &amp; RIGHT(converted, LEN(converted)-2), IF(LEFT(converted,1)&lt;&gt;""0"", ""0"" &amp; converted, REGEXREPLA"&amp;"CE(converted , ""\s"", """")) ) ) ) )"),"09178810797")</f>
        <v>09178810797</v>
      </c>
      <c r="E19" s="205" t="s">
        <v>17</v>
      </c>
      <c r="F19" s="206">
        <v>1.0</v>
      </c>
      <c r="G19" s="202" t="s">
        <v>730</v>
      </c>
      <c r="H19" s="209" t="s">
        <v>858</v>
      </c>
      <c r="I19" s="203"/>
      <c r="J19" s="203" t="s">
        <v>859</v>
      </c>
      <c r="K19" s="207" t="s">
        <v>860</v>
      </c>
      <c r="L19" s="207" t="s">
        <v>861</v>
      </c>
      <c r="M19" s="202" t="s">
        <v>862</v>
      </c>
      <c r="N19" s="202" t="s">
        <v>863</v>
      </c>
      <c r="O19" s="207" t="s">
        <v>737</v>
      </c>
      <c r="P19" s="202"/>
      <c r="Q19" s="208"/>
      <c r="R19" s="86"/>
      <c r="S19" s="114">
        <f t="shared" ref="S19:T19" si="20">A19</f>
        <v>18</v>
      </c>
      <c r="T19" s="114" t="str">
        <f t="shared" si="20"/>
        <v>حفصه احراری</v>
      </c>
      <c r="U19" s="86" t="str">
        <f t="shared" si="3"/>
        <v>09178810797</v>
      </c>
      <c r="V19" s="86" t="str">
        <f t="shared" si="4"/>
        <v>پیش‌وایی 1</v>
      </c>
      <c r="W19" s="86"/>
      <c r="X19" s="86"/>
    </row>
    <row r="20">
      <c r="A20" s="192">
        <v>19.0</v>
      </c>
      <c r="B20" s="193" t="s">
        <v>864</v>
      </c>
      <c r="C20" s="194" t="s">
        <v>865</v>
      </c>
      <c r="D20" s="195" t="str">
        <f>IFERROR(__xludf.DUMMYFUNCTION("ARRAYFORMULA(LET( converted, SUBSTITUTE( SUBSTITUTE( SUBSTITUTE( SUBSTITUTE( SUBSTITUTE( SUBSTITUTE( SUBSTITUTE( SUBSTITUTE( SUBSTITUTE( SUBSTITUTE( C20, ""۰"", ""0""), ""۱"", ""1""), ""۲"", ""2""), ""۳"", ""3""), ""۴"", ""4""), ""۵"", ""5""), ""۶"", ""6"&amp;"""), ""۷"", ""7""), ""۸"", ""8""), ""۹"", ""9""), IF(LEFT(converted,3)=""+98"", ""0"" &amp; RIGHT(converted, LEN(converted)-3), IF(LEFT(converted,2)=""98"", ""0"" &amp; RIGHT(converted, LEN(converted)-2), IF(LEFT(converted,1)&lt;&gt;""0"", ""0"" &amp; converted, REGEXREPLA"&amp;"CE(converted , ""\s"", """")) ) ) ) )"),"09122508371")</f>
        <v>09122508371</v>
      </c>
      <c r="E20" s="196" t="s">
        <v>17</v>
      </c>
      <c r="F20" s="197">
        <v>1.0</v>
      </c>
      <c r="G20" s="193" t="s">
        <v>746</v>
      </c>
      <c r="H20" s="198" t="s">
        <v>866</v>
      </c>
      <c r="I20" s="194"/>
      <c r="J20" s="194" t="s">
        <v>867</v>
      </c>
      <c r="K20" s="199" t="s">
        <v>202</v>
      </c>
      <c r="L20" s="199" t="s">
        <v>868</v>
      </c>
      <c r="M20" s="193" t="s">
        <v>869</v>
      </c>
      <c r="N20" s="193" t="s">
        <v>870</v>
      </c>
      <c r="O20" s="199" t="s">
        <v>737</v>
      </c>
      <c r="P20" s="193"/>
      <c r="Q20" s="200"/>
      <c r="R20" s="86"/>
      <c r="S20" s="114">
        <f t="shared" ref="S20:T20" si="21">A20</f>
        <v>19</v>
      </c>
      <c r="T20" s="114" t="str">
        <f t="shared" si="21"/>
        <v>ستاره نیک نژاد</v>
      </c>
      <c r="U20" s="86" t="str">
        <f t="shared" si="3"/>
        <v>09122508371</v>
      </c>
      <c r="V20" s="86" t="str">
        <f t="shared" si="4"/>
        <v>پیش‌وایی 1</v>
      </c>
      <c r="W20" s="86"/>
      <c r="X20" s="86"/>
    </row>
    <row r="21">
      <c r="A21" s="201">
        <v>20.0</v>
      </c>
      <c r="B21" s="202" t="s">
        <v>871</v>
      </c>
      <c r="C21" s="203" t="s">
        <v>872</v>
      </c>
      <c r="D21" s="204" t="str">
        <f>IFERROR(__xludf.DUMMYFUNCTION("ARRAYFORMULA(LET( converted, SUBSTITUTE( SUBSTITUTE( SUBSTITUTE( SUBSTITUTE( SUBSTITUTE( SUBSTITUTE( SUBSTITUTE( SUBSTITUTE( SUBSTITUTE( SUBSTITUTE( C21, ""۰"", ""0""), ""۱"", ""1""), ""۲"", ""2""), ""۳"", ""3""), ""۴"", ""4""), ""۵"", ""5""), ""۶"", ""6"&amp;"""), ""۷"", ""7""), ""۸"", ""8""), ""۹"", ""9""), IF(LEFT(converted,3)=""+98"", ""0"" &amp; RIGHT(converted, LEN(converted)-3), IF(LEFT(converted,2)=""98"", ""0"" &amp; RIGHT(converted, LEN(converted)-2), IF(LEFT(converted,1)&lt;&gt;""0"", ""0"" &amp; converted, REGEXREPLA"&amp;"CE(converted , ""\s"", """")) ) ) ) )"),"09122683744")</f>
        <v>09122683744</v>
      </c>
      <c r="E21" s="205" t="s">
        <v>17</v>
      </c>
      <c r="F21" s="206">
        <v>1.0</v>
      </c>
      <c r="G21" s="202" t="s">
        <v>730</v>
      </c>
      <c r="H21" s="209" t="s">
        <v>873</v>
      </c>
      <c r="I21" s="203"/>
      <c r="J21" s="203" t="s">
        <v>874</v>
      </c>
      <c r="K21" s="207" t="s">
        <v>774</v>
      </c>
      <c r="L21" s="207" t="s">
        <v>875</v>
      </c>
      <c r="M21" s="202" t="s">
        <v>776</v>
      </c>
      <c r="N21" s="202" t="s">
        <v>876</v>
      </c>
      <c r="O21" s="207" t="s">
        <v>753</v>
      </c>
      <c r="P21" s="202"/>
      <c r="Q21" s="208"/>
      <c r="R21" s="86"/>
      <c r="S21" s="114">
        <f t="shared" ref="S21:T21" si="22">A21</f>
        <v>20</v>
      </c>
      <c r="T21" s="114" t="str">
        <f t="shared" si="22"/>
        <v>سیاوش رحمانی</v>
      </c>
      <c r="U21" s="86" t="str">
        <f t="shared" si="3"/>
        <v>09122683744</v>
      </c>
      <c r="V21" s="86" t="str">
        <f t="shared" si="4"/>
        <v>پیش‌وایی 1</v>
      </c>
      <c r="W21" s="86"/>
      <c r="X21" s="86"/>
    </row>
    <row r="22">
      <c r="A22" s="192">
        <v>21.0</v>
      </c>
      <c r="B22" s="193" t="s">
        <v>877</v>
      </c>
      <c r="C22" s="194" t="s">
        <v>878</v>
      </c>
      <c r="D22" s="195" t="str">
        <f>IFERROR(__xludf.DUMMYFUNCTION("ARRAYFORMULA(LET( converted, SUBSTITUTE( SUBSTITUTE( SUBSTITUTE( SUBSTITUTE( SUBSTITUTE( SUBSTITUTE( SUBSTITUTE( SUBSTITUTE( SUBSTITUTE( SUBSTITUTE( C22, ""۰"", ""0""), ""۱"", ""1""), ""۲"", ""2""), ""۳"", ""3""), ""۴"", ""4""), ""۵"", ""5""), ""۶"", ""6"&amp;"""), ""۷"", ""7""), ""۸"", ""8""), ""۹"", ""9""), IF(LEFT(converted,3)=""+98"", ""0"" &amp; RIGHT(converted, LEN(converted)-3), IF(LEFT(converted,2)=""98"", ""0"" &amp; RIGHT(converted, LEN(converted)-2), IF(LEFT(converted,1)&lt;&gt;""0"", ""0"" &amp; converted, REGEXREPLA"&amp;"CE(converted , ""\s"", """")) ) ) ) )"),"09390372267")</f>
        <v>09390372267</v>
      </c>
      <c r="E22" s="196" t="s">
        <v>17</v>
      </c>
      <c r="F22" s="197">
        <v>1.0</v>
      </c>
      <c r="G22" s="193" t="s">
        <v>730</v>
      </c>
      <c r="H22" s="193" t="s">
        <v>879</v>
      </c>
      <c r="I22" s="194"/>
      <c r="J22" s="194" t="s">
        <v>880</v>
      </c>
      <c r="K22" s="199" t="s">
        <v>342</v>
      </c>
      <c r="L22" s="199" t="s">
        <v>881</v>
      </c>
      <c r="M22" s="193" t="s">
        <v>882</v>
      </c>
      <c r="N22" s="193" t="s">
        <v>883</v>
      </c>
      <c r="O22" s="199" t="s">
        <v>737</v>
      </c>
      <c r="P22" s="193"/>
      <c r="Q22" s="200"/>
      <c r="R22" s="86"/>
      <c r="S22" s="114">
        <f t="shared" ref="S22:T22" si="23">A22</f>
        <v>21</v>
      </c>
      <c r="T22" s="114" t="str">
        <f t="shared" si="23"/>
        <v>آرش آل بیگی غلامی</v>
      </c>
      <c r="U22" s="86" t="str">
        <f t="shared" si="3"/>
        <v>09390372267</v>
      </c>
      <c r="V22" s="86" t="str">
        <f t="shared" si="4"/>
        <v>پیش‌وایی 1</v>
      </c>
      <c r="W22" s="86"/>
      <c r="X22" s="86"/>
    </row>
    <row r="23">
      <c r="A23" s="201">
        <v>22.0</v>
      </c>
      <c r="B23" s="202" t="s">
        <v>884</v>
      </c>
      <c r="C23" s="203" t="s">
        <v>885</v>
      </c>
      <c r="D23" s="204" t="str">
        <f>IFERROR(__xludf.DUMMYFUNCTION("ARRAYFORMULA(LET( converted, SUBSTITUTE( SUBSTITUTE( SUBSTITUTE( SUBSTITUTE( SUBSTITUTE( SUBSTITUTE( SUBSTITUTE( SUBSTITUTE( SUBSTITUTE( SUBSTITUTE( C23, ""۰"", ""0""), ""۱"", ""1""), ""۲"", ""2""), ""۳"", ""3""), ""۴"", ""4""), ""۵"", ""5""), ""۶"", ""6"&amp;"""), ""۷"", ""7""), ""۸"", ""8""), ""۹"", ""9""), IF(LEFT(converted,3)=""+98"", ""0"" &amp; RIGHT(converted, LEN(converted)-3), IF(LEFT(converted,2)=""98"", ""0"" &amp; RIGHT(converted, LEN(converted)-2), IF(LEFT(converted,1)&lt;&gt;""0"", ""0"" &amp; converted, REGEXREPLA"&amp;"CE(converted , ""\s"", """")) ) ) ) )"),"09129151073")</f>
        <v>09129151073</v>
      </c>
      <c r="E23" s="205" t="s">
        <v>17</v>
      </c>
      <c r="F23" s="206">
        <v>1.0</v>
      </c>
      <c r="G23" s="202" t="s">
        <v>730</v>
      </c>
      <c r="H23" s="202" t="s">
        <v>886</v>
      </c>
      <c r="I23" s="203"/>
      <c r="J23" s="203" t="s">
        <v>887</v>
      </c>
      <c r="K23" s="207" t="s">
        <v>888</v>
      </c>
      <c r="L23" s="207" t="s">
        <v>889</v>
      </c>
      <c r="M23" s="202" t="s">
        <v>890</v>
      </c>
      <c r="N23" s="202" t="s">
        <v>891</v>
      </c>
      <c r="O23" s="207" t="s">
        <v>737</v>
      </c>
      <c r="P23" s="202"/>
      <c r="Q23" s="208"/>
      <c r="R23" s="86"/>
      <c r="S23" s="114">
        <f t="shared" ref="S23:T23" si="24">A23</f>
        <v>22</v>
      </c>
      <c r="T23" s="114" t="str">
        <f t="shared" si="24"/>
        <v>آیدین کاظمی</v>
      </c>
      <c r="U23" s="86" t="str">
        <f t="shared" si="3"/>
        <v>09129151073</v>
      </c>
      <c r="V23" s="86" t="str">
        <f t="shared" si="4"/>
        <v>پیش‌وایی 1</v>
      </c>
      <c r="W23" s="86"/>
      <c r="X23" s="86"/>
    </row>
    <row r="24">
      <c r="A24" s="192">
        <v>23.0</v>
      </c>
      <c r="B24" s="193" t="s">
        <v>892</v>
      </c>
      <c r="C24" s="194" t="s">
        <v>893</v>
      </c>
      <c r="D24" s="195" t="str">
        <f>IFERROR(__xludf.DUMMYFUNCTION("ARRAYFORMULA(LET( converted, SUBSTITUTE( SUBSTITUTE( SUBSTITUTE( SUBSTITUTE( SUBSTITUTE( SUBSTITUTE( SUBSTITUTE( SUBSTITUTE( SUBSTITUTE( SUBSTITUTE( C24, ""۰"", ""0""), ""۱"", ""1""), ""۲"", ""2""), ""۳"", ""3""), ""۴"", ""4""), ""۵"", ""5""), ""۶"", ""6"&amp;"""), ""۷"", ""7""), ""۸"", ""8""), ""۹"", ""9""), IF(LEFT(converted,3)=""+98"", ""0"" &amp; RIGHT(converted, LEN(converted)-3), IF(LEFT(converted,2)=""98"", ""0"" &amp; RIGHT(converted, LEN(converted)-2), IF(LEFT(converted,1)&lt;&gt;""0"", ""0"" &amp; converted, REGEXREPLA"&amp;"CE(converted , ""\s"", """")) ) ) ) )"),"0")</f>
        <v>0</v>
      </c>
      <c r="E24" s="196" t="s">
        <v>17</v>
      </c>
      <c r="F24" s="197">
        <v>1.0</v>
      </c>
      <c r="G24" s="193" t="s">
        <v>730</v>
      </c>
      <c r="H24" s="193" t="s">
        <v>894</v>
      </c>
      <c r="I24" s="194"/>
      <c r="J24" s="194" t="s">
        <v>895</v>
      </c>
      <c r="K24" s="199" t="s">
        <v>896</v>
      </c>
      <c r="L24" s="199" t="s">
        <v>897</v>
      </c>
      <c r="M24" s="193" t="s">
        <v>898</v>
      </c>
      <c r="N24" s="193" t="s">
        <v>899</v>
      </c>
      <c r="O24" s="199" t="s">
        <v>737</v>
      </c>
      <c r="P24" s="193"/>
      <c r="Q24" s="200"/>
      <c r="R24" s="86"/>
      <c r="S24" s="114">
        <f t="shared" ref="S24:T24" si="25">A24</f>
        <v>23</v>
      </c>
      <c r="T24" s="114" t="str">
        <f t="shared" si="25"/>
        <v>حسین ستوده</v>
      </c>
      <c r="U24" s="86" t="str">
        <f t="shared" si="3"/>
        <v>0</v>
      </c>
      <c r="V24" s="86" t="str">
        <f t="shared" si="4"/>
        <v>پیش‌وایی 1</v>
      </c>
      <c r="W24" s="86"/>
      <c r="X24" s="86"/>
    </row>
    <row r="25">
      <c r="A25" s="201">
        <v>24.0</v>
      </c>
      <c r="B25" s="202" t="s">
        <v>900</v>
      </c>
      <c r="C25" s="203" t="s">
        <v>901</v>
      </c>
      <c r="D25" s="204" t="str">
        <f>IFERROR(__xludf.DUMMYFUNCTION("ARRAYFORMULA(LET( converted, SUBSTITUTE( SUBSTITUTE( SUBSTITUTE( SUBSTITUTE( SUBSTITUTE( SUBSTITUTE( SUBSTITUTE( SUBSTITUTE( SUBSTITUTE( SUBSTITUTE( C25, ""۰"", ""0""), ""۱"", ""1""), ""۲"", ""2""), ""۳"", ""3""), ""۴"", ""4""), ""۵"", ""5""), ""۶"", ""6"&amp;"""), ""۷"", ""7""), ""۸"", ""8""), ""۹"", ""9""), IF(LEFT(converted,3)=""+98"", ""0"" &amp; RIGHT(converted, LEN(converted)-3), IF(LEFT(converted,2)=""98"", ""0"" &amp; RIGHT(converted, LEN(converted)-2), IF(LEFT(converted,1)&lt;&gt;""0"", ""0"" &amp; converted, REGEXREPLA"&amp;"CE(converted , ""\s"", """")) ) ) ) )"),"09192441792")</f>
        <v>09192441792</v>
      </c>
      <c r="E25" s="205" t="s">
        <v>17</v>
      </c>
      <c r="F25" s="206">
        <v>1.0</v>
      </c>
      <c r="G25" s="202" t="s">
        <v>730</v>
      </c>
      <c r="H25" s="202" t="s">
        <v>902</v>
      </c>
      <c r="I25" s="203"/>
      <c r="J25" s="203" t="s">
        <v>903</v>
      </c>
      <c r="K25" s="207" t="s">
        <v>102</v>
      </c>
      <c r="L25" s="207" t="s">
        <v>904</v>
      </c>
      <c r="M25" s="202" t="s">
        <v>905</v>
      </c>
      <c r="N25" s="202" t="s">
        <v>906</v>
      </c>
      <c r="O25" s="207" t="s">
        <v>737</v>
      </c>
      <c r="P25" s="202"/>
      <c r="Q25" s="208"/>
      <c r="R25" s="86"/>
      <c r="S25" s="114">
        <f t="shared" ref="S25:T25" si="26">A25</f>
        <v>24</v>
      </c>
      <c r="T25" s="114" t="str">
        <f t="shared" si="26"/>
        <v>نیما ابراهیمی</v>
      </c>
      <c r="U25" s="86" t="str">
        <f t="shared" si="3"/>
        <v>09192441792</v>
      </c>
      <c r="V25" s="86" t="str">
        <f t="shared" si="4"/>
        <v>پیش‌وایی 1</v>
      </c>
      <c r="W25" s="86"/>
      <c r="X25" s="86"/>
    </row>
    <row r="26">
      <c r="A26" s="192">
        <v>25.0</v>
      </c>
      <c r="B26" s="193" t="s">
        <v>907</v>
      </c>
      <c r="C26" s="194" t="s">
        <v>908</v>
      </c>
      <c r="D26" s="195" t="str">
        <f>IFERROR(__xludf.DUMMYFUNCTION("ARRAYFORMULA(LET( converted, SUBSTITUTE( SUBSTITUTE( SUBSTITUTE( SUBSTITUTE( SUBSTITUTE( SUBSTITUTE( SUBSTITUTE( SUBSTITUTE( SUBSTITUTE( SUBSTITUTE( C26, ""۰"", ""0""), ""۱"", ""1""), ""۲"", ""2""), ""۳"", ""3""), ""۴"", ""4""), ""۵"", ""5""), ""۶"", ""6"&amp;"""), ""۷"", ""7""), ""۸"", ""8""), ""۹"", ""9""), IF(LEFT(converted,3)=""+98"", ""0"" &amp; RIGHT(converted, LEN(converted)-3), IF(LEFT(converted,2)=""98"", ""0"" &amp; RIGHT(converted, LEN(converted)-2), IF(LEFT(converted,1)&lt;&gt;""0"", ""0"" &amp; converted, REGEXREPLA"&amp;"CE(converted , ""\s"", """")) ) ) ) )"),"09122982045")</f>
        <v>09122982045</v>
      </c>
      <c r="E26" s="196" t="s">
        <v>17</v>
      </c>
      <c r="F26" s="197">
        <v>1.0</v>
      </c>
      <c r="G26" s="193" t="s">
        <v>746</v>
      </c>
      <c r="H26" s="198" t="s">
        <v>909</v>
      </c>
      <c r="I26" s="194"/>
      <c r="J26" s="194" t="s">
        <v>910</v>
      </c>
      <c r="K26" s="199" t="s">
        <v>911</v>
      </c>
      <c r="L26" s="199" t="s">
        <v>912</v>
      </c>
      <c r="M26" s="193" t="s">
        <v>913</v>
      </c>
      <c r="N26" s="193" t="s">
        <v>914</v>
      </c>
      <c r="O26" s="199" t="s">
        <v>753</v>
      </c>
      <c r="P26" s="193"/>
      <c r="Q26" s="200"/>
      <c r="R26" s="86"/>
      <c r="S26" s="114">
        <f t="shared" ref="S26:T26" si="27">A26</f>
        <v>25</v>
      </c>
      <c r="T26" s="114" t="str">
        <f t="shared" si="27"/>
        <v>سپیده کلاته سیفری</v>
      </c>
      <c r="U26" s="86" t="str">
        <f t="shared" si="3"/>
        <v>09122982045</v>
      </c>
      <c r="V26" s="86" t="str">
        <f t="shared" si="4"/>
        <v>پیش‌وایی 1</v>
      </c>
      <c r="W26" s="86"/>
      <c r="X26" s="86"/>
    </row>
    <row r="27">
      <c r="A27" s="201">
        <v>26.0</v>
      </c>
      <c r="B27" s="202" t="s">
        <v>915</v>
      </c>
      <c r="C27" s="203" t="s">
        <v>916</v>
      </c>
      <c r="D27" s="204" t="str">
        <f>IFERROR(__xludf.DUMMYFUNCTION("ARRAYFORMULA(LET( converted, SUBSTITUTE( SUBSTITUTE( SUBSTITUTE( SUBSTITUTE( SUBSTITUTE( SUBSTITUTE( SUBSTITUTE( SUBSTITUTE( SUBSTITUTE( SUBSTITUTE( C27, ""۰"", ""0""), ""۱"", ""1""), ""۲"", ""2""), ""۳"", ""3""), ""۴"", ""4""), ""۵"", ""5""), ""۶"", ""6"&amp;"""), ""۷"", ""7""), ""۸"", ""8""), ""۹"", ""9""), IF(LEFT(converted,3)=""+98"", ""0"" &amp; RIGHT(converted, LEN(converted)-3), IF(LEFT(converted,2)=""98"", ""0"" &amp; RIGHT(converted, LEN(converted)-2), IF(LEFT(converted,1)&lt;&gt;""0"", ""0"" &amp; converted, REGEXREPLA"&amp;"CE(converted , ""\s"", """")) ) ) ) )"),"09123711752")</f>
        <v>09123711752</v>
      </c>
      <c r="E27" s="205" t="s">
        <v>17</v>
      </c>
      <c r="F27" s="206">
        <v>1.0</v>
      </c>
      <c r="G27" s="202" t="s">
        <v>730</v>
      </c>
      <c r="H27" s="209" t="s">
        <v>917</v>
      </c>
      <c r="I27" s="203"/>
      <c r="J27" s="203" t="s">
        <v>918</v>
      </c>
      <c r="K27" s="207" t="s">
        <v>919</v>
      </c>
      <c r="L27" s="207" t="s">
        <v>920</v>
      </c>
      <c r="M27" s="202" t="s">
        <v>921</v>
      </c>
      <c r="N27" s="202" t="s">
        <v>922</v>
      </c>
      <c r="O27" s="207" t="s">
        <v>737</v>
      </c>
      <c r="P27" s="202"/>
      <c r="Q27" s="208"/>
      <c r="R27" s="86"/>
      <c r="S27" s="114">
        <f t="shared" ref="S27:T27" si="28">A27</f>
        <v>26</v>
      </c>
      <c r="T27" s="114" t="str">
        <f t="shared" si="28"/>
        <v>وحیدرضا سلیمانی</v>
      </c>
      <c r="U27" s="86" t="str">
        <f t="shared" si="3"/>
        <v>09123711752</v>
      </c>
      <c r="V27" s="86" t="str">
        <f t="shared" si="4"/>
        <v>پیش‌وایی 1</v>
      </c>
      <c r="W27" s="86"/>
      <c r="X27" s="86"/>
    </row>
    <row r="28">
      <c r="A28" s="192">
        <v>27.0</v>
      </c>
      <c r="B28" s="193" t="s">
        <v>923</v>
      </c>
      <c r="C28" s="194" t="s">
        <v>924</v>
      </c>
      <c r="D28" s="195" t="str">
        <f>IFERROR(__xludf.DUMMYFUNCTION("ARRAYFORMULA(LET( converted, SUBSTITUTE( SUBSTITUTE( SUBSTITUTE( SUBSTITUTE( SUBSTITUTE( SUBSTITUTE( SUBSTITUTE( SUBSTITUTE( SUBSTITUTE( SUBSTITUTE( C28, ""۰"", ""0""), ""۱"", ""1""), ""۲"", ""2""), ""۳"", ""3""), ""۴"", ""4""), ""۵"", ""5""), ""۶"", ""6"&amp;"""), ""۷"", ""7""), ""۸"", ""8""), ""۹"", ""9""), IF(LEFT(converted,3)=""+98"", ""0"" &amp; RIGHT(converted, LEN(converted)-3), IF(LEFT(converted,2)=""98"", ""0"" &amp; RIGHT(converted, LEN(converted)-2), IF(LEFT(converted,1)&lt;&gt;""0"", ""0"" &amp; converted, REGEXREPLA"&amp;"CE(converted , ""\s"", """")) ) ) ) )"),"09351211297")</f>
        <v>09351211297</v>
      </c>
      <c r="E28" s="196" t="s">
        <v>17</v>
      </c>
      <c r="F28" s="197">
        <v>1.0</v>
      </c>
      <c r="G28" s="193" t="s">
        <v>746</v>
      </c>
      <c r="H28" s="193" t="s">
        <v>925</v>
      </c>
      <c r="I28" s="194"/>
      <c r="J28" s="194" t="s">
        <v>926</v>
      </c>
      <c r="K28" s="199" t="s">
        <v>911</v>
      </c>
      <c r="L28" s="199" t="s">
        <v>927</v>
      </c>
      <c r="M28" s="193" t="s">
        <v>913</v>
      </c>
      <c r="N28" s="193" t="s">
        <v>928</v>
      </c>
      <c r="O28" s="199" t="s">
        <v>737</v>
      </c>
      <c r="P28" s="193"/>
      <c r="Q28" s="200"/>
      <c r="R28" s="86"/>
      <c r="S28" s="114">
        <f t="shared" ref="S28:T28" si="29">A28</f>
        <v>27</v>
      </c>
      <c r="T28" s="114" t="str">
        <f t="shared" si="29"/>
        <v>سپیده حسینیان</v>
      </c>
      <c r="U28" s="86" t="str">
        <f t="shared" si="3"/>
        <v>09351211297</v>
      </c>
      <c r="V28" s="86" t="str">
        <f t="shared" si="4"/>
        <v>پیش‌وایی 1</v>
      </c>
      <c r="W28" s="86"/>
      <c r="X28" s="86"/>
    </row>
    <row r="29">
      <c r="A29" s="201">
        <v>28.0</v>
      </c>
      <c r="B29" s="202" t="s">
        <v>929</v>
      </c>
      <c r="C29" s="203" t="s">
        <v>930</v>
      </c>
      <c r="D29" s="204" t="str">
        <f>IFERROR(__xludf.DUMMYFUNCTION("ARRAYFORMULA(LET( converted, SUBSTITUTE( SUBSTITUTE( SUBSTITUTE( SUBSTITUTE( SUBSTITUTE( SUBSTITUTE( SUBSTITUTE( SUBSTITUTE( SUBSTITUTE( SUBSTITUTE( C29, ""۰"", ""0""), ""۱"", ""1""), ""۲"", ""2""), ""۳"", ""3""), ""۴"", ""4""), ""۵"", ""5""), ""۶"", ""6"&amp;"""), ""۷"", ""7""), ""۸"", ""8""), ""۹"", ""9""), IF(LEFT(converted,3)=""+98"", ""0"" &amp; RIGHT(converted, LEN(converted)-3), IF(LEFT(converted,2)=""98"", ""0"" &amp; RIGHT(converted, LEN(converted)-2), IF(LEFT(converted,1)&lt;&gt;""0"", ""0"" &amp; converted, REGEXREPLA"&amp;"CE(converted , ""\s"", """")) ) ) ) )"),"09011837978")</f>
        <v>09011837978</v>
      </c>
      <c r="E29" s="205" t="s">
        <v>17</v>
      </c>
      <c r="F29" s="206">
        <v>1.0</v>
      </c>
      <c r="G29" s="202" t="s">
        <v>730</v>
      </c>
      <c r="H29" s="202" t="s">
        <v>931</v>
      </c>
      <c r="I29" s="203"/>
      <c r="J29" s="203" t="s">
        <v>932</v>
      </c>
      <c r="K29" s="207" t="s">
        <v>296</v>
      </c>
      <c r="L29" s="207" t="s">
        <v>933</v>
      </c>
      <c r="M29" s="202" t="s">
        <v>934</v>
      </c>
      <c r="N29" s="202" t="s">
        <v>935</v>
      </c>
      <c r="O29" s="207" t="s">
        <v>737</v>
      </c>
      <c r="P29" s="202"/>
      <c r="Q29" s="208"/>
      <c r="R29" s="86"/>
      <c r="S29" s="114">
        <f t="shared" ref="S29:T29" si="30">A29</f>
        <v>28</v>
      </c>
      <c r="T29" s="114" t="str">
        <f t="shared" si="30"/>
        <v>جاوید ایزدفر</v>
      </c>
      <c r="U29" s="86" t="str">
        <f t="shared" si="3"/>
        <v>09011837978</v>
      </c>
      <c r="V29" s="86" t="str">
        <f t="shared" si="4"/>
        <v>پیش‌وایی 1</v>
      </c>
      <c r="W29" s="86"/>
      <c r="X29" s="86"/>
    </row>
    <row r="30">
      <c r="A30" s="192">
        <v>29.0</v>
      </c>
      <c r="B30" s="193" t="s">
        <v>936</v>
      </c>
      <c r="C30" s="194" t="s">
        <v>937</v>
      </c>
      <c r="D30" s="195" t="str">
        <f>IFERROR(__xludf.DUMMYFUNCTION("ARRAYFORMULA(LET( converted, SUBSTITUTE( SUBSTITUTE( SUBSTITUTE( SUBSTITUTE( SUBSTITUTE( SUBSTITUTE( SUBSTITUTE( SUBSTITUTE( SUBSTITUTE( SUBSTITUTE( C30, ""۰"", ""0""), ""۱"", ""1""), ""۲"", ""2""), ""۳"", ""3""), ""۴"", ""4""), ""۵"", ""5""), ""۶"", ""6"&amp;"""), ""۷"", ""7""), ""۸"", ""8""), ""۹"", ""9""), IF(LEFT(converted,3)=""+98"", ""0"" &amp; RIGHT(converted, LEN(converted)-3), IF(LEFT(converted,2)=""98"", ""0"" &amp; RIGHT(converted, LEN(converted)-2), IF(LEFT(converted,1)&lt;&gt;""0"", ""0"" &amp; converted, REGEXREPLA"&amp;"CE(converted , ""\s"", """")) ) ) ) )"),"09361070325")</f>
        <v>09361070325</v>
      </c>
      <c r="E30" s="196" t="s">
        <v>17</v>
      </c>
      <c r="F30" s="197">
        <v>1.0</v>
      </c>
      <c r="G30" s="193" t="s">
        <v>746</v>
      </c>
      <c r="H30" s="198" t="s">
        <v>938</v>
      </c>
      <c r="I30" s="194"/>
      <c r="J30" s="194" t="s">
        <v>939</v>
      </c>
      <c r="K30" s="199" t="s">
        <v>202</v>
      </c>
      <c r="L30" s="199" t="s">
        <v>940</v>
      </c>
      <c r="M30" s="193" t="s">
        <v>869</v>
      </c>
      <c r="N30" s="193" t="s">
        <v>941</v>
      </c>
      <c r="O30" s="199" t="s">
        <v>753</v>
      </c>
      <c r="P30" s="193"/>
      <c r="Q30" s="200"/>
      <c r="R30" s="86"/>
      <c r="S30" s="114">
        <f t="shared" ref="S30:T30" si="31">A30</f>
        <v>29</v>
      </c>
      <c r="T30" s="114" t="str">
        <f t="shared" si="31"/>
        <v>ستاره کریمی</v>
      </c>
      <c r="U30" s="86" t="str">
        <f t="shared" si="3"/>
        <v>09361070325</v>
      </c>
      <c r="V30" s="86" t="str">
        <f t="shared" si="4"/>
        <v>پیش‌وایی 1</v>
      </c>
      <c r="W30" s="86"/>
      <c r="X30" s="86"/>
    </row>
    <row r="31">
      <c r="A31" s="201">
        <v>30.0</v>
      </c>
      <c r="B31" s="202" t="s">
        <v>942</v>
      </c>
      <c r="C31" s="203" t="s">
        <v>943</v>
      </c>
      <c r="D31" s="204" t="str">
        <f>IFERROR(__xludf.DUMMYFUNCTION("ARRAYFORMULA(LET( converted, SUBSTITUTE( SUBSTITUTE( SUBSTITUTE( SUBSTITUTE( SUBSTITUTE( SUBSTITUTE( SUBSTITUTE( SUBSTITUTE( SUBSTITUTE( SUBSTITUTE( C31, ""۰"", ""0""), ""۱"", ""1""), ""۲"", ""2""), ""۳"", ""3""), ""۴"", ""4""), ""۵"", ""5""), ""۶"", ""6"&amp;"""), ""۷"", ""7""), ""۸"", ""8""), ""۹"", ""9""), IF(LEFT(converted,3)=""+98"", ""0"" &amp; RIGHT(converted, LEN(converted)-3), IF(LEFT(converted,2)=""98"", ""0"" &amp; RIGHT(converted, LEN(converted)-2), IF(LEFT(converted,1)&lt;&gt;""0"", ""0"" &amp; converted, REGEXREPLA"&amp;"CE(converted , ""\s"", """")) ) ) ) )"),"09128145230")</f>
        <v>09128145230</v>
      </c>
      <c r="E31" s="205" t="s">
        <v>17</v>
      </c>
      <c r="F31" s="206">
        <v>1.0</v>
      </c>
      <c r="G31" s="202" t="s">
        <v>730</v>
      </c>
      <c r="H31" s="202" t="s">
        <v>944</v>
      </c>
      <c r="I31" s="203"/>
      <c r="J31" s="203" t="s">
        <v>945</v>
      </c>
      <c r="K31" s="207" t="s">
        <v>946</v>
      </c>
      <c r="L31" s="207" t="s">
        <v>947</v>
      </c>
      <c r="M31" s="202" t="s">
        <v>948</v>
      </c>
      <c r="N31" s="202" t="s">
        <v>949</v>
      </c>
      <c r="O31" s="207" t="s">
        <v>737</v>
      </c>
      <c r="P31" s="202"/>
      <c r="Q31" s="208"/>
      <c r="R31" s="86"/>
      <c r="S31" s="114">
        <f t="shared" ref="S31:T31" si="32">A31</f>
        <v>30</v>
      </c>
      <c r="T31" s="114" t="str">
        <f t="shared" si="32"/>
        <v>جلال احمدیان</v>
      </c>
      <c r="U31" s="86" t="str">
        <f t="shared" si="3"/>
        <v>09128145230</v>
      </c>
      <c r="V31" s="86" t="str">
        <f t="shared" si="4"/>
        <v>پیش‌وایی 1</v>
      </c>
      <c r="W31" s="86"/>
      <c r="X31" s="86"/>
    </row>
    <row r="32">
      <c r="A32" s="192">
        <v>31.0</v>
      </c>
      <c r="B32" s="193" t="s">
        <v>950</v>
      </c>
      <c r="C32" s="194" t="s">
        <v>951</v>
      </c>
      <c r="D32" s="195" t="str">
        <f>IFERROR(__xludf.DUMMYFUNCTION("ARRAYFORMULA(LET( converted, SUBSTITUTE( SUBSTITUTE( SUBSTITUTE( SUBSTITUTE( SUBSTITUTE( SUBSTITUTE( SUBSTITUTE( SUBSTITUTE( SUBSTITUTE( SUBSTITUTE( C32, ""۰"", ""0""), ""۱"", ""1""), ""۲"", ""2""), ""۳"", ""3""), ""۴"", ""4""), ""۵"", ""5""), ""۶"", ""6"&amp;"""), ""۷"", ""7""), ""۸"", ""8""), ""۹"", ""9""), IF(LEFT(converted,3)=""+98"", ""0"" &amp; RIGHT(converted, LEN(converted)-3), IF(LEFT(converted,2)=""98"", ""0"" &amp; RIGHT(converted, LEN(converted)-2), IF(LEFT(converted,1)&lt;&gt;""0"", ""0"" &amp; converted, REGEXREPLA"&amp;"CE(converted , ""\s"", """")) ) ) ) )"),"09126975602")</f>
        <v>09126975602</v>
      </c>
      <c r="E32" s="196" t="s">
        <v>17</v>
      </c>
      <c r="F32" s="197">
        <v>1.0</v>
      </c>
      <c r="G32" s="193" t="s">
        <v>730</v>
      </c>
      <c r="H32" s="193" t="s">
        <v>952</v>
      </c>
      <c r="I32" s="194"/>
      <c r="J32" s="194" t="s">
        <v>953</v>
      </c>
      <c r="K32" s="199" t="s">
        <v>209</v>
      </c>
      <c r="L32" s="199" t="s">
        <v>954</v>
      </c>
      <c r="M32" s="193" t="s">
        <v>955</v>
      </c>
      <c r="N32" s="193" t="s">
        <v>956</v>
      </c>
      <c r="O32" s="199" t="s">
        <v>737</v>
      </c>
      <c r="P32" s="193"/>
      <c r="Q32" s="200"/>
      <c r="R32" s="86"/>
      <c r="S32" s="114">
        <f t="shared" ref="S32:T32" si="33">A32</f>
        <v>31</v>
      </c>
      <c r="T32" s="114" t="str">
        <f t="shared" si="33"/>
        <v>بهروز بختیاری</v>
      </c>
      <c r="U32" s="86" t="str">
        <f t="shared" si="3"/>
        <v>09126975602</v>
      </c>
      <c r="V32" s="86" t="str">
        <f t="shared" si="4"/>
        <v>پیش‌وایی 1</v>
      </c>
      <c r="W32" s="86"/>
      <c r="X32" s="86"/>
    </row>
    <row r="33">
      <c r="A33" s="201">
        <v>32.0</v>
      </c>
      <c r="B33" s="202" t="s">
        <v>123</v>
      </c>
      <c r="C33" s="203" t="s">
        <v>957</v>
      </c>
      <c r="D33" s="204" t="str">
        <f>IFERROR(__xludf.DUMMYFUNCTION("ARRAYFORMULA(LET( converted, SUBSTITUTE( SUBSTITUTE( SUBSTITUTE( SUBSTITUTE( SUBSTITUTE( SUBSTITUTE( SUBSTITUTE( SUBSTITUTE( SUBSTITUTE( SUBSTITUTE( C33, ""۰"", ""0""), ""۱"", ""1""), ""۲"", ""2""), ""۳"", ""3""), ""۴"", ""4""), ""۵"", ""5""), ""۶"", ""6"&amp;"""), ""۷"", ""7""), ""۸"", ""8""), ""۹"", ""9""), IF(LEFT(converted,3)=""+98"", ""0"" &amp; RIGHT(converted, LEN(converted)-3), IF(LEFT(converted,2)=""98"", ""0"" &amp; RIGHT(converted, LEN(converted)-2), IF(LEFT(converted,1)&lt;&gt;""0"", ""0"" &amp; converted, REGEXREPLA"&amp;"CE(converted , ""\s"", """")) ) ) ) )"),"09391991004")</f>
        <v>09391991004</v>
      </c>
      <c r="E33" s="205" t="s">
        <v>17</v>
      </c>
      <c r="F33" s="206">
        <v>1.0</v>
      </c>
      <c r="G33" s="202" t="s">
        <v>730</v>
      </c>
      <c r="H33" s="202" t="s">
        <v>958</v>
      </c>
      <c r="I33" s="203"/>
      <c r="J33" s="203" t="s">
        <v>959</v>
      </c>
      <c r="K33" s="207" t="s">
        <v>960</v>
      </c>
      <c r="L33" s="207" t="s">
        <v>961</v>
      </c>
      <c r="M33" s="202" t="s">
        <v>962</v>
      </c>
      <c r="N33" s="202" t="s">
        <v>963</v>
      </c>
      <c r="O33" s="207" t="s">
        <v>737</v>
      </c>
      <c r="P33" s="202"/>
      <c r="Q33" s="208"/>
      <c r="R33" s="86"/>
      <c r="S33" s="114">
        <f t="shared" ref="S33:T33" si="34">A33</f>
        <v>32</v>
      </c>
      <c r="T33" s="114" t="str">
        <f t="shared" si="34"/>
        <v>احمد ایزدپور</v>
      </c>
      <c r="U33" s="86" t="str">
        <f t="shared" si="3"/>
        <v>09391991004</v>
      </c>
      <c r="V33" s="86" t="str">
        <f t="shared" si="4"/>
        <v>پیش‌وایی 1</v>
      </c>
      <c r="W33" s="86"/>
      <c r="X33" s="86"/>
    </row>
    <row r="34">
      <c r="A34" s="192">
        <v>33.0</v>
      </c>
      <c r="B34" s="193" t="s">
        <v>964</v>
      </c>
      <c r="C34" s="194" t="s">
        <v>965</v>
      </c>
      <c r="D34" s="195" t="str">
        <f>IFERROR(__xludf.DUMMYFUNCTION("ARRAYFORMULA(LET( converted, SUBSTITUTE( SUBSTITUTE( SUBSTITUTE( SUBSTITUTE( SUBSTITUTE( SUBSTITUTE( SUBSTITUTE( SUBSTITUTE( SUBSTITUTE( SUBSTITUTE( C34, ""۰"", ""0""), ""۱"", ""1""), ""۲"", ""2""), ""۳"", ""3""), ""۴"", ""4""), ""۵"", ""5""), ""۶"", ""6"&amp;"""), ""۷"", ""7""), ""۸"", ""8""), ""۹"", ""9""), IF(LEFT(converted,3)=""+98"", ""0"" &amp; RIGHT(converted, LEN(converted)-3), IF(LEFT(converted,2)=""98"", ""0"" &amp; RIGHT(converted, LEN(converted)-2), IF(LEFT(converted,1)&lt;&gt;""0"", ""0"" &amp; converted, REGEXREPLA"&amp;"CE(converted , ""\s"", """")) ) ) ) )"),"09131585507")</f>
        <v>09131585507</v>
      </c>
      <c r="E34" s="196" t="s">
        <v>17</v>
      </c>
      <c r="F34" s="197">
        <v>1.0</v>
      </c>
      <c r="G34" s="193" t="s">
        <v>730</v>
      </c>
      <c r="H34" s="198" t="s">
        <v>966</v>
      </c>
      <c r="I34" s="194"/>
      <c r="J34" s="194" t="s">
        <v>967</v>
      </c>
      <c r="K34" s="199" t="s">
        <v>968</v>
      </c>
      <c r="L34" s="199" t="s">
        <v>969</v>
      </c>
      <c r="M34" s="193" t="s">
        <v>970</v>
      </c>
      <c r="N34" s="193" t="s">
        <v>971</v>
      </c>
      <c r="O34" s="199" t="s">
        <v>737</v>
      </c>
      <c r="P34" s="193"/>
      <c r="Q34" s="200"/>
      <c r="R34" s="86"/>
      <c r="S34" s="114">
        <f t="shared" ref="S34:T34" si="35">A34</f>
        <v>33</v>
      </c>
      <c r="T34" s="114" t="str">
        <f t="shared" si="35"/>
        <v>رامین پهلوان حسینی</v>
      </c>
      <c r="U34" s="86" t="str">
        <f t="shared" si="3"/>
        <v>09131585507</v>
      </c>
      <c r="V34" s="86" t="str">
        <f t="shared" si="4"/>
        <v>پیش‌وایی 1</v>
      </c>
      <c r="W34" s="86"/>
      <c r="X34" s="86"/>
    </row>
    <row r="35">
      <c r="A35" s="201">
        <v>34.0</v>
      </c>
      <c r="B35" s="202" t="s">
        <v>972</v>
      </c>
      <c r="C35" s="203" t="s">
        <v>973</v>
      </c>
      <c r="D35" s="204" t="str">
        <f>IFERROR(__xludf.DUMMYFUNCTION("ARRAYFORMULA(LET( converted, SUBSTITUTE( SUBSTITUTE( SUBSTITUTE( SUBSTITUTE( SUBSTITUTE( SUBSTITUTE( SUBSTITUTE( SUBSTITUTE( SUBSTITUTE( SUBSTITUTE( C35, ""۰"", ""0""), ""۱"", ""1""), ""۲"", ""2""), ""۳"", ""3""), ""۴"", ""4""), ""۵"", ""5""), ""۶"", ""6"&amp;"""), ""۷"", ""7""), ""۸"", ""8""), ""۹"", ""9""), IF(LEFT(converted,3)=""+98"", ""0"" &amp; RIGHT(converted, LEN(converted)-3), IF(LEFT(converted,2)=""98"", ""0"" &amp; RIGHT(converted, LEN(converted)-2), IF(LEFT(converted,1)&lt;&gt;""0"", ""0"" &amp; converted, REGEXREPLA"&amp;"CE(converted , ""\s"", """")) ) ) ) )"),"09125063294")</f>
        <v>09125063294</v>
      </c>
      <c r="E35" s="205" t="s">
        <v>17</v>
      </c>
      <c r="F35" s="206">
        <v>1.0</v>
      </c>
      <c r="G35" s="202" t="s">
        <v>746</v>
      </c>
      <c r="H35" s="209" t="s">
        <v>974</v>
      </c>
      <c r="I35" s="203"/>
      <c r="J35" s="203" t="s">
        <v>975</v>
      </c>
      <c r="K35" s="207" t="s">
        <v>292</v>
      </c>
      <c r="L35" s="207" t="s">
        <v>976</v>
      </c>
      <c r="M35" s="202" t="s">
        <v>790</v>
      </c>
      <c r="N35" s="202" t="s">
        <v>977</v>
      </c>
      <c r="O35" s="207" t="s">
        <v>737</v>
      </c>
      <c r="P35" s="202"/>
      <c r="Q35" s="208"/>
      <c r="R35" s="86"/>
      <c r="S35" s="114">
        <f t="shared" ref="S35:T35" si="36">A35</f>
        <v>34</v>
      </c>
      <c r="T35" s="114" t="str">
        <f t="shared" si="36"/>
        <v>مریم عبدپور</v>
      </c>
      <c r="U35" s="86" t="str">
        <f t="shared" si="3"/>
        <v>09125063294</v>
      </c>
      <c r="V35" s="86" t="str">
        <f t="shared" si="4"/>
        <v>پیش‌وایی 1</v>
      </c>
      <c r="W35" s="86"/>
      <c r="X35" s="86"/>
    </row>
    <row r="36">
      <c r="A36" s="192">
        <v>35.0</v>
      </c>
      <c r="B36" s="193" t="s">
        <v>371</v>
      </c>
      <c r="C36" s="194" t="s">
        <v>978</v>
      </c>
      <c r="D36" s="195" t="str">
        <f>IFERROR(__xludf.DUMMYFUNCTION("ARRAYFORMULA(LET( converted, SUBSTITUTE( SUBSTITUTE( SUBSTITUTE( SUBSTITUTE( SUBSTITUTE( SUBSTITUTE( SUBSTITUTE( SUBSTITUTE( SUBSTITUTE( SUBSTITUTE( C36, ""۰"", ""0""), ""۱"", ""1""), ""۲"", ""2""), ""۳"", ""3""), ""۴"", ""4""), ""۵"", ""5""), ""۶"", ""6"&amp;"""), ""۷"", ""7""), ""۸"", ""8""), ""۹"", ""9""), IF(LEFT(converted,3)=""+98"", ""0"" &amp; RIGHT(converted, LEN(converted)-3), IF(LEFT(converted,2)=""98"", ""0"" &amp; RIGHT(converted, LEN(converted)-2), IF(LEFT(converted,1)&lt;&gt;""0"", ""0"" &amp; converted, REGEXREPLA"&amp;"CE(converted , ""\s"", """")) ) ) ) )"),"09120323882")</f>
        <v>09120323882</v>
      </c>
      <c r="E36" s="196" t="s">
        <v>17</v>
      </c>
      <c r="F36" s="197">
        <v>1.0</v>
      </c>
      <c r="G36" s="193" t="s">
        <v>730</v>
      </c>
      <c r="H36" s="198" t="s">
        <v>979</v>
      </c>
      <c r="I36" s="194"/>
      <c r="J36" s="194" t="s">
        <v>980</v>
      </c>
      <c r="K36" s="199" t="s">
        <v>192</v>
      </c>
      <c r="L36" s="199" t="s">
        <v>981</v>
      </c>
      <c r="M36" s="193" t="s">
        <v>982</v>
      </c>
      <c r="N36" s="193" t="s">
        <v>983</v>
      </c>
      <c r="O36" s="199" t="s">
        <v>737</v>
      </c>
      <c r="P36" s="193"/>
      <c r="Q36" s="200"/>
      <c r="R36" s="86"/>
      <c r="S36" s="114">
        <f t="shared" ref="S36:T36" si="37">A36</f>
        <v>35</v>
      </c>
      <c r="T36" s="114" t="str">
        <f t="shared" si="37"/>
        <v>امیرحسین قربانی</v>
      </c>
      <c r="U36" s="86" t="str">
        <f t="shared" si="3"/>
        <v>09120323882</v>
      </c>
      <c r="V36" s="86" t="str">
        <f t="shared" si="4"/>
        <v>پیش‌وایی 1</v>
      </c>
      <c r="W36" s="86"/>
      <c r="X36" s="86"/>
    </row>
    <row r="37">
      <c r="A37" s="201">
        <v>36.0</v>
      </c>
      <c r="B37" s="202" t="s">
        <v>984</v>
      </c>
      <c r="C37" s="203" t="s">
        <v>985</v>
      </c>
      <c r="D37" s="204" t="str">
        <f>IFERROR(__xludf.DUMMYFUNCTION("ARRAYFORMULA(LET( converted, SUBSTITUTE( SUBSTITUTE( SUBSTITUTE( SUBSTITUTE( SUBSTITUTE( SUBSTITUTE( SUBSTITUTE( SUBSTITUTE( SUBSTITUTE( SUBSTITUTE( C37, ""۰"", ""0""), ""۱"", ""1""), ""۲"", ""2""), ""۳"", ""3""), ""۴"", ""4""), ""۵"", ""5""), ""۶"", ""6"&amp;"""), ""۷"", ""7""), ""۸"", ""8""), ""۹"", ""9""), IF(LEFT(converted,3)=""+98"", ""0"" &amp; RIGHT(converted, LEN(converted)-3), IF(LEFT(converted,2)=""98"", ""0"" &amp; RIGHT(converted, LEN(converted)-2), IF(LEFT(converted,1)&lt;&gt;""0"", ""0"" &amp; converted, REGEXREPLA"&amp;"CE(converted , ""\s"", """")) ) ) ) )"),"09199218472")</f>
        <v>09199218472</v>
      </c>
      <c r="E37" s="205" t="s">
        <v>17</v>
      </c>
      <c r="F37" s="206">
        <v>1.0</v>
      </c>
      <c r="G37" s="202" t="s">
        <v>746</v>
      </c>
      <c r="H37" s="202" t="s">
        <v>986</v>
      </c>
      <c r="I37" s="203"/>
      <c r="J37" s="203" t="s">
        <v>987</v>
      </c>
      <c r="K37" s="207" t="s">
        <v>988</v>
      </c>
      <c r="L37" s="207" t="s">
        <v>989</v>
      </c>
      <c r="M37" s="202" t="s">
        <v>990</v>
      </c>
      <c r="N37" s="202" t="s">
        <v>991</v>
      </c>
      <c r="O37" s="207" t="s">
        <v>737</v>
      </c>
      <c r="P37" s="202"/>
      <c r="Q37" s="208"/>
      <c r="R37" s="86"/>
      <c r="S37" s="114">
        <f t="shared" ref="S37:T37" si="38">A37</f>
        <v>36</v>
      </c>
      <c r="T37" s="114" t="str">
        <f t="shared" si="38"/>
        <v>طناز منتظر</v>
      </c>
      <c r="U37" s="86" t="str">
        <f t="shared" si="3"/>
        <v>09199218472</v>
      </c>
      <c r="V37" s="86" t="str">
        <f t="shared" si="4"/>
        <v>پیش‌وایی 1</v>
      </c>
      <c r="W37" s="86"/>
      <c r="X37" s="86"/>
    </row>
    <row r="38">
      <c r="A38" s="192">
        <v>37.0</v>
      </c>
      <c r="B38" s="193" t="s">
        <v>992</v>
      </c>
      <c r="C38" s="194" t="s">
        <v>993</v>
      </c>
      <c r="D38" s="195" t="str">
        <f>IFERROR(__xludf.DUMMYFUNCTION("ARRAYFORMULA(LET( converted, SUBSTITUTE( SUBSTITUTE( SUBSTITUTE( SUBSTITUTE( SUBSTITUTE( SUBSTITUTE( SUBSTITUTE( SUBSTITUTE( SUBSTITUTE( SUBSTITUTE( C38, ""۰"", ""0""), ""۱"", ""1""), ""۲"", ""2""), ""۳"", ""3""), ""۴"", ""4""), ""۵"", ""5""), ""۶"", ""6"&amp;"""), ""۷"", ""7""), ""۸"", ""8""), ""۹"", ""9""), IF(LEFT(converted,3)=""+98"", ""0"" &amp; RIGHT(converted, LEN(converted)-3), IF(LEFT(converted,2)=""98"", ""0"" &amp; RIGHT(converted, LEN(converted)-2), IF(LEFT(converted,1)&lt;&gt;""0"", ""0"" &amp; converted, REGEXREPLA"&amp;"CE(converted , ""\s"", """")) ) ) ) )"),"09123865374")</f>
        <v>09123865374</v>
      </c>
      <c r="E38" s="196" t="s">
        <v>17</v>
      </c>
      <c r="F38" s="197">
        <v>1.0</v>
      </c>
      <c r="G38" s="193" t="s">
        <v>730</v>
      </c>
      <c r="H38" s="193" t="s">
        <v>994</v>
      </c>
      <c r="I38" s="194"/>
      <c r="J38" s="194" t="s">
        <v>995</v>
      </c>
      <c r="K38" s="199" t="s">
        <v>996</v>
      </c>
      <c r="L38" s="199" t="s">
        <v>997</v>
      </c>
      <c r="M38" s="193" t="s">
        <v>998</v>
      </c>
      <c r="N38" s="193" t="s">
        <v>999</v>
      </c>
      <c r="O38" s="199" t="s">
        <v>737</v>
      </c>
      <c r="P38" s="193"/>
      <c r="Q38" s="200"/>
      <c r="R38" s="86"/>
      <c r="S38" s="114">
        <f t="shared" ref="S38:T38" si="39">A38</f>
        <v>37</v>
      </c>
      <c r="T38" s="114" t="str">
        <f t="shared" si="39"/>
        <v>حسام بادامی</v>
      </c>
      <c r="U38" s="86" t="str">
        <f t="shared" si="3"/>
        <v>09123865374</v>
      </c>
      <c r="V38" s="86" t="str">
        <f t="shared" si="4"/>
        <v>پیش‌وایی 1</v>
      </c>
      <c r="W38" s="86"/>
      <c r="X38" s="86"/>
    </row>
    <row r="39">
      <c r="A39" s="201">
        <v>38.0</v>
      </c>
      <c r="B39" s="202" t="s">
        <v>1000</v>
      </c>
      <c r="C39" s="203" t="s">
        <v>1001</v>
      </c>
      <c r="D39" s="204" t="str">
        <f>IFERROR(__xludf.DUMMYFUNCTION("ARRAYFORMULA(LET( converted, SUBSTITUTE( SUBSTITUTE( SUBSTITUTE( SUBSTITUTE( SUBSTITUTE( SUBSTITUTE( SUBSTITUTE( SUBSTITUTE( SUBSTITUTE( SUBSTITUTE( C39, ""۰"", ""0""), ""۱"", ""1""), ""۲"", ""2""), ""۳"", ""3""), ""۴"", ""4""), ""۵"", ""5""), ""۶"", ""6"&amp;"""), ""۷"", ""7""), ""۸"", ""8""), ""۹"", ""9""), IF(LEFT(converted,3)=""+98"", ""0"" &amp; RIGHT(converted, LEN(converted)-3), IF(LEFT(converted,2)=""98"", ""0"" &amp; RIGHT(converted, LEN(converted)-2), IF(LEFT(converted,1)&lt;&gt;""0"", ""0"" &amp; converted, REGEXREPLA"&amp;"CE(converted , ""\s"", """")) ) ) ) )"),"09126798482")</f>
        <v>09126798482</v>
      </c>
      <c r="E39" s="205" t="s">
        <v>17</v>
      </c>
      <c r="F39" s="206">
        <v>1.0</v>
      </c>
      <c r="G39" s="202" t="s">
        <v>730</v>
      </c>
      <c r="H39" s="209" t="s">
        <v>1002</v>
      </c>
      <c r="I39" s="203"/>
      <c r="J39" s="203" t="s">
        <v>1003</v>
      </c>
      <c r="K39" s="207" t="s">
        <v>1004</v>
      </c>
      <c r="L39" s="207" t="s">
        <v>1005</v>
      </c>
      <c r="M39" s="202" t="s">
        <v>1006</v>
      </c>
      <c r="N39" s="202" t="s">
        <v>1007</v>
      </c>
      <c r="O39" s="207" t="s">
        <v>737</v>
      </c>
      <c r="P39" s="202"/>
      <c r="Q39" s="208"/>
      <c r="R39" s="86"/>
      <c r="S39" s="114">
        <f t="shared" ref="S39:T39" si="40">A39</f>
        <v>38</v>
      </c>
      <c r="T39" s="114" t="str">
        <f t="shared" si="40"/>
        <v>حامد رضایی فرخ</v>
      </c>
      <c r="U39" s="86" t="str">
        <f t="shared" si="3"/>
        <v>09126798482</v>
      </c>
      <c r="V39" s="86" t="str">
        <f t="shared" si="4"/>
        <v>پیش‌وایی 1</v>
      </c>
      <c r="W39" s="86"/>
      <c r="X39" s="86"/>
    </row>
    <row r="40">
      <c r="A40" s="192">
        <v>39.0</v>
      </c>
      <c r="B40" s="193" t="s">
        <v>1008</v>
      </c>
      <c r="C40" s="194" t="s">
        <v>1009</v>
      </c>
      <c r="D40" s="195" t="str">
        <f>IFERROR(__xludf.DUMMYFUNCTION("ARRAYFORMULA(LET( converted, SUBSTITUTE( SUBSTITUTE( SUBSTITUTE( SUBSTITUTE( SUBSTITUTE( SUBSTITUTE( SUBSTITUTE( SUBSTITUTE( SUBSTITUTE( SUBSTITUTE( C40, ""۰"", ""0""), ""۱"", ""1""), ""۲"", ""2""), ""۳"", ""3""), ""۴"", ""4""), ""۵"", ""5""), ""۶"", ""6"&amp;"""), ""۷"", ""7""), ""۸"", ""8""), ""۹"", ""9""), IF(LEFT(converted,3)=""+98"", ""0"" &amp; RIGHT(converted, LEN(converted)-3), IF(LEFT(converted,2)=""98"", ""0"" &amp; RIGHT(converted, LEN(converted)-2), IF(LEFT(converted,1)&lt;&gt;""0"", ""0"" &amp; converted, REGEXREPLA"&amp;"CE(converted , ""\s"", """")) ) ) ) )"),"09127023774")</f>
        <v>09127023774</v>
      </c>
      <c r="E40" s="196" t="s">
        <v>17</v>
      </c>
      <c r="F40" s="197">
        <v>1.0</v>
      </c>
      <c r="G40" s="193" t="s">
        <v>746</v>
      </c>
      <c r="H40" s="198" t="s">
        <v>1010</v>
      </c>
      <c r="I40" s="194"/>
      <c r="J40" s="194" t="s">
        <v>1011</v>
      </c>
      <c r="K40" s="199" t="s">
        <v>274</v>
      </c>
      <c r="L40" s="199" t="s">
        <v>1012</v>
      </c>
      <c r="M40" s="193" t="s">
        <v>832</v>
      </c>
      <c r="N40" s="193" t="s">
        <v>1013</v>
      </c>
      <c r="O40" s="199" t="s">
        <v>753</v>
      </c>
      <c r="P40" s="193"/>
      <c r="Q40" s="200"/>
      <c r="R40" s="86"/>
      <c r="S40" s="114">
        <f t="shared" ref="S40:T40" si="41">A40</f>
        <v>39</v>
      </c>
      <c r="T40" s="114" t="str">
        <f t="shared" si="41"/>
        <v>فاطمه محمدی</v>
      </c>
      <c r="U40" s="86" t="str">
        <f t="shared" si="3"/>
        <v>09127023774</v>
      </c>
      <c r="V40" s="86" t="str">
        <f t="shared" si="4"/>
        <v>پیش‌وایی 1</v>
      </c>
      <c r="W40" s="86"/>
      <c r="X40" s="86"/>
    </row>
    <row r="41">
      <c r="A41" s="201">
        <v>40.0</v>
      </c>
      <c r="B41" s="202" t="s">
        <v>1014</v>
      </c>
      <c r="C41" s="203" t="s">
        <v>1015</v>
      </c>
      <c r="D41" s="204" t="str">
        <f>IFERROR(__xludf.DUMMYFUNCTION("ARRAYFORMULA(LET( converted, SUBSTITUTE( SUBSTITUTE( SUBSTITUTE( SUBSTITUTE( SUBSTITUTE( SUBSTITUTE( SUBSTITUTE( SUBSTITUTE( SUBSTITUTE( SUBSTITUTE( C41, ""۰"", ""0""), ""۱"", ""1""), ""۲"", ""2""), ""۳"", ""3""), ""۴"", ""4""), ""۵"", ""5""), ""۶"", ""6"&amp;"""), ""۷"", ""7""), ""۸"", ""8""), ""۹"", ""9""), IF(LEFT(converted,3)=""+98"", ""0"" &amp; RIGHT(converted, LEN(converted)-3), IF(LEFT(converted,2)=""98"", ""0"" &amp; RIGHT(converted, LEN(converted)-2), IF(LEFT(converted,1)&lt;&gt;""0"", ""0"" &amp; converted, REGEXREPLA"&amp;"CE(converted , ""\s"", """")) ) ) ) )"),"09124369973")</f>
        <v>09124369973</v>
      </c>
      <c r="E41" s="205" t="s">
        <v>17</v>
      </c>
      <c r="F41" s="206">
        <v>1.0</v>
      </c>
      <c r="G41" s="202" t="s">
        <v>730</v>
      </c>
      <c r="H41" s="209" t="s">
        <v>1016</v>
      </c>
      <c r="I41" s="203"/>
      <c r="J41" s="203" t="s">
        <v>1017</v>
      </c>
      <c r="K41" s="207" t="s">
        <v>1018</v>
      </c>
      <c r="L41" s="207" t="s">
        <v>1019</v>
      </c>
      <c r="M41" s="202" t="s">
        <v>1020</v>
      </c>
      <c r="N41" s="202" t="s">
        <v>949</v>
      </c>
      <c r="O41" s="207" t="s">
        <v>737</v>
      </c>
      <c r="P41" s="202"/>
      <c r="Q41" s="208"/>
      <c r="R41" s="86"/>
      <c r="S41" s="114">
        <f t="shared" ref="S41:T41" si="42">A41</f>
        <v>40</v>
      </c>
      <c r="T41" s="114" t="str">
        <f t="shared" si="42"/>
        <v>علی احمدی</v>
      </c>
      <c r="U41" s="86" t="str">
        <f t="shared" si="3"/>
        <v>09124369973</v>
      </c>
      <c r="V41" s="86" t="str">
        <f t="shared" si="4"/>
        <v>پیش‌وایی 1</v>
      </c>
      <c r="W41" s="86"/>
      <c r="X41" s="86"/>
    </row>
    <row r="42">
      <c r="A42" s="192">
        <v>41.0</v>
      </c>
      <c r="B42" s="193" t="s">
        <v>1021</v>
      </c>
      <c r="C42" s="194" t="s">
        <v>1022</v>
      </c>
      <c r="D42" s="195" t="str">
        <f>IFERROR(__xludf.DUMMYFUNCTION("ARRAYFORMULA(LET( converted, SUBSTITUTE( SUBSTITUTE( SUBSTITUTE( SUBSTITUTE( SUBSTITUTE( SUBSTITUTE( SUBSTITUTE( SUBSTITUTE( SUBSTITUTE( SUBSTITUTE( C42, ""۰"", ""0""), ""۱"", ""1""), ""۲"", ""2""), ""۳"", ""3""), ""۴"", ""4""), ""۵"", ""5""), ""۶"", ""6"&amp;"""), ""۷"", ""7""), ""۸"", ""8""), ""۹"", ""9""), IF(LEFT(converted,3)=""+98"", ""0"" &amp; RIGHT(converted, LEN(converted)-3), IF(LEFT(converted,2)=""98"", ""0"" &amp; RIGHT(converted, LEN(converted)-2), IF(LEFT(converted,1)&lt;&gt;""0"", ""0"" &amp; converted, REGEXREPLA"&amp;"CE(converted , ""\s"", """")) ) ) ) )"),"09125570953")</f>
        <v>09125570953</v>
      </c>
      <c r="E42" s="196" t="s">
        <v>17</v>
      </c>
      <c r="F42" s="197">
        <v>1.0</v>
      </c>
      <c r="G42" s="193" t="s">
        <v>730</v>
      </c>
      <c r="H42" s="193" t="s">
        <v>1023</v>
      </c>
      <c r="I42" s="194"/>
      <c r="J42" s="194" t="s">
        <v>1024</v>
      </c>
      <c r="K42" s="199" t="s">
        <v>307</v>
      </c>
      <c r="L42" s="199" t="s">
        <v>1025</v>
      </c>
      <c r="M42" s="193" t="s">
        <v>1026</v>
      </c>
      <c r="N42" s="193" t="s">
        <v>1027</v>
      </c>
      <c r="O42" s="199" t="s">
        <v>737</v>
      </c>
      <c r="P42" s="193"/>
      <c r="Q42" s="200"/>
      <c r="R42" s="86"/>
      <c r="S42" s="114">
        <f t="shared" ref="S42:T42" si="43">A42</f>
        <v>41</v>
      </c>
      <c r="T42" s="114" t="str">
        <f t="shared" si="43"/>
        <v>محمدرضا مبین علی</v>
      </c>
      <c r="U42" s="86" t="str">
        <f t="shared" si="3"/>
        <v>09125570953</v>
      </c>
      <c r="V42" s="86" t="str">
        <f t="shared" si="4"/>
        <v>پیش‌وایی 1</v>
      </c>
      <c r="W42" s="86"/>
      <c r="X42" s="86"/>
    </row>
    <row r="43">
      <c r="A43" s="201">
        <v>42.0</v>
      </c>
      <c r="B43" s="202" t="s">
        <v>1028</v>
      </c>
      <c r="C43" s="203" t="s">
        <v>1029</v>
      </c>
      <c r="D43" s="204" t="str">
        <f>IFERROR(__xludf.DUMMYFUNCTION("ARRAYFORMULA(LET( converted, SUBSTITUTE( SUBSTITUTE( SUBSTITUTE( SUBSTITUTE( SUBSTITUTE( SUBSTITUTE( SUBSTITUTE( SUBSTITUTE( SUBSTITUTE( SUBSTITUTE( C43, ""۰"", ""0""), ""۱"", ""1""), ""۲"", ""2""), ""۳"", ""3""), ""۴"", ""4""), ""۵"", ""5""), ""۶"", ""6"&amp;"""), ""۷"", ""7""), ""۸"", ""8""), ""۹"", ""9""), IF(LEFT(converted,3)=""+98"", ""0"" &amp; RIGHT(converted, LEN(converted)-3), IF(LEFT(converted,2)=""98"", ""0"" &amp; RIGHT(converted, LEN(converted)-2), IF(LEFT(converted,1)&lt;&gt;""0"", ""0"" &amp; converted, REGEXREPLA"&amp;"CE(converted , ""\s"", """")) ) ) ) )"),"09375807234")</f>
        <v>09375807234</v>
      </c>
      <c r="E43" s="205" t="s">
        <v>17</v>
      </c>
      <c r="F43" s="206">
        <v>1.0</v>
      </c>
      <c r="G43" s="202" t="s">
        <v>746</v>
      </c>
      <c r="H43" s="202" t="s">
        <v>1030</v>
      </c>
      <c r="I43" s="203"/>
      <c r="J43" s="203" t="s">
        <v>1031</v>
      </c>
      <c r="K43" s="207" t="s">
        <v>1032</v>
      </c>
      <c r="L43" s="207" t="s">
        <v>1033</v>
      </c>
      <c r="M43" s="202" t="s">
        <v>1034</v>
      </c>
      <c r="N43" s="202" t="s">
        <v>1035</v>
      </c>
      <c r="O43" s="207" t="s">
        <v>737</v>
      </c>
      <c r="P43" s="202"/>
      <c r="Q43" s="208"/>
      <c r="R43" s="86"/>
      <c r="S43" s="114">
        <f t="shared" ref="S43:T43" si="44">A43</f>
        <v>42</v>
      </c>
      <c r="T43" s="114" t="str">
        <f t="shared" si="44"/>
        <v>آذین شریفزاده علمداری</v>
      </c>
      <c r="U43" s="86" t="str">
        <f t="shared" si="3"/>
        <v>09375807234</v>
      </c>
      <c r="V43" s="86" t="str">
        <f t="shared" si="4"/>
        <v>پیش‌وایی 1</v>
      </c>
      <c r="W43" s="86"/>
      <c r="X43" s="86"/>
    </row>
    <row r="44">
      <c r="A44" s="192">
        <v>43.0</v>
      </c>
      <c r="B44" s="193" t="s">
        <v>1036</v>
      </c>
      <c r="C44" s="194" t="s">
        <v>1037</v>
      </c>
      <c r="D44" s="195" t="str">
        <f>IFERROR(__xludf.DUMMYFUNCTION("ARRAYFORMULA(LET( converted, SUBSTITUTE( SUBSTITUTE( SUBSTITUTE( SUBSTITUTE( SUBSTITUTE( SUBSTITUTE( SUBSTITUTE( SUBSTITUTE( SUBSTITUTE( SUBSTITUTE( C44, ""۰"", ""0""), ""۱"", ""1""), ""۲"", ""2""), ""۳"", ""3""), ""۴"", ""4""), ""۵"", ""5""), ""۶"", ""6"&amp;"""), ""۷"", ""7""), ""۸"", ""8""), ""۹"", ""9""), IF(LEFT(converted,3)=""+98"", ""0"" &amp; RIGHT(converted, LEN(converted)-3), IF(LEFT(converted,2)=""98"", ""0"" &amp; RIGHT(converted, LEN(converted)-2), IF(LEFT(converted,1)&lt;&gt;""0"", ""0"" &amp; converted, REGEXREPLA"&amp;"CE(converted , ""\s"", """")) ) ) ) )"),"09360494149")</f>
        <v>09360494149</v>
      </c>
      <c r="E44" s="196" t="s">
        <v>17</v>
      </c>
      <c r="F44" s="197">
        <v>1.0</v>
      </c>
      <c r="G44" s="193" t="s">
        <v>746</v>
      </c>
      <c r="H44" s="193" t="s">
        <v>1038</v>
      </c>
      <c r="I44" s="194"/>
      <c r="J44" s="194" t="s">
        <v>1039</v>
      </c>
      <c r="K44" s="199" t="s">
        <v>1040</v>
      </c>
      <c r="L44" s="199" t="s">
        <v>1041</v>
      </c>
      <c r="M44" s="193" t="s">
        <v>1042</v>
      </c>
      <c r="N44" s="193" t="s">
        <v>1043</v>
      </c>
      <c r="O44" s="199" t="s">
        <v>737</v>
      </c>
      <c r="P44" s="193"/>
      <c r="Q44" s="200"/>
      <c r="R44" s="86"/>
      <c r="S44" s="114">
        <f t="shared" ref="S44:T44" si="45">A44</f>
        <v>43</v>
      </c>
      <c r="T44" s="114" t="str">
        <f t="shared" si="45"/>
        <v>افروز حسینی شاکر</v>
      </c>
      <c r="U44" s="86" t="str">
        <f t="shared" si="3"/>
        <v>09360494149</v>
      </c>
      <c r="V44" s="86" t="str">
        <f t="shared" si="4"/>
        <v>پیش‌وایی 1</v>
      </c>
      <c r="W44" s="86"/>
      <c r="X44" s="86"/>
    </row>
    <row r="45">
      <c r="A45" s="201">
        <v>44.0</v>
      </c>
      <c r="B45" s="202" t="s">
        <v>1044</v>
      </c>
      <c r="C45" s="203" t="s">
        <v>1045</v>
      </c>
      <c r="D45" s="204" t="str">
        <f>IFERROR(__xludf.DUMMYFUNCTION("ARRAYFORMULA(LET( converted, SUBSTITUTE( SUBSTITUTE( SUBSTITUTE( SUBSTITUTE( SUBSTITUTE( SUBSTITUTE( SUBSTITUTE( SUBSTITUTE( SUBSTITUTE( SUBSTITUTE( C45, ""۰"", ""0""), ""۱"", ""1""), ""۲"", ""2""), ""۳"", ""3""), ""۴"", ""4""), ""۵"", ""5""), ""۶"", ""6"&amp;"""), ""۷"", ""7""), ""۸"", ""8""), ""۹"", ""9""), IF(LEFT(converted,3)=""+98"", ""0"" &amp; RIGHT(converted, LEN(converted)-3), IF(LEFT(converted,2)=""98"", ""0"" &amp; RIGHT(converted, LEN(converted)-2), IF(LEFT(converted,1)&lt;&gt;""0"", ""0"" &amp; converted, REGEXREPLA"&amp;"CE(converted , ""\s"", """")) ) ) ) )"),"09198191915")</f>
        <v>09198191915</v>
      </c>
      <c r="E45" s="205" t="s">
        <v>17</v>
      </c>
      <c r="F45" s="206">
        <v>1.0</v>
      </c>
      <c r="G45" s="202" t="s">
        <v>730</v>
      </c>
      <c r="H45" s="202" t="s">
        <v>1046</v>
      </c>
      <c r="I45" s="203"/>
      <c r="J45" s="203" t="s">
        <v>1047</v>
      </c>
      <c r="K45" s="207" t="s">
        <v>186</v>
      </c>
      <c r="L45" s="207" t="s">
        <v>1048</v>
      </c>
      <c r="M45" s="202" t="s">
        <v>1049</v>
      </c>
      <c r="N45" s="202" t="s">
        <v>1050</v>
      </c>
      <c r="O45" s="207" t="s">
        <v>737</v>
      </c>
      <c r="P45" s="202"/>
      <c r="Q45" s="208"/>
      <c r="R45" s="86"/>
      <c r="S45" s="114">
        <f t="shared" ref="S45:T45" si="46">A45</f>
        <v>44</v>
      </c>
      <c r="T45" s="114" t="str">
        <f t="shared" si="46"/>
        <v>فرزاد محسن وند</v>
      </c>
      <c r="U45" s="86" t="str">
        <f t="shared" si="3"/>
        <v>09198191915</v>
      </c>
      <c r="V45" s="86" t="str">
        <f t="shared" si="4"/>
        <v>پیش‌وایی 1</v>
      </c>
      <c r="W45" s="86"/>
      <c r="X45" s="86"/>
    </row>
    <row r="46">
      <c r="A46" s="192">
        <v>45.0</v>
      </c>
      <c r="B46" s="193" t="s">
        <v>1051</v>
      </c>
      <c r="C46" s="194" t="s">
        <v>1052</v>
      </c>
      <c r="D46" s="195" t="str">
        <f>IFERROR(__xludf.DUMMYFUNCTION("ARRAYFORMULA(LET( converted, SUBSTITUTE( SUBSTITUTE( SUBSTITUTE( SUBSTITUTE( SUBSTITUTE( SUBSTITUTE( SUBSTITUTE( SUBSTITUTE( SUBSTITUTE( SUBSTITUTE( C46, ""۰"", ""0""), ""۱"", ""1""), ""۲"", ""2""), ""۳"", ""3""), ""۴"", ""4""), ""۵"", ""5""), ""۶"", ""6"&amp;"""), ""۷"", ""7""), ""۸"", ""8""), ""۹"", ""9""), IF(LEFT(converted,3)=""+98"", ""0"" &amp; RIGHT(converted, LEN(converted)-3), IF(LEFT(converted,2)=""98"", ""0"" &amp; RIGHT(converted, LEN(converted)-2), IF(LEFT(converted,1)&lt;&gt;""0"", ""0"" &amp; converted, REGEXREPLA"&amp;"CE(converted , ""\s"", """")) ) ) ) )"),"09109105210")</f>
        <v>09109105210</v>
      </c>
      <c r="E46" s="196" t="s">
        <v>17</v>
      </c>
      <c r="F46" s="197">
        <v>1.0</v>
      </c>
      <c r="G46" s="193" t="s">
        <v>730</v>
      </c>
      <c r="H46" s="193" t="s">
        <v>1053</v>
      </c>
      <c r="I46" s="194"/>
      <c r="J46" s="194" t="s">
        <v>1054</v>
      </c>
      <c r="K46" s="199" t="s">
        <v>1055</v>
      </c>
      <c r="L46" s="199" t="s">
        <v>1056</v>
      </c>
      <c r="M46" s="193" t="s">
        <v>1057</v>
      </c>
      <c r="N46" s="193" t="s">
        <v>1058</v>
      </c>
      <c r="O46" s="199" t="s">
        <v>737</v>
      </c>
      <c r="P46" s="193"/>
      <c r="Q46" s="200"/>
      <c r="R46" s="86"/>
      <c r="S46" s="114">
        <f t="shared" ref="S46:T46" si="47">A46</f>
        <v>45</v>
      </c>
      <c r="T46" s="114" t="str">
        <f t="shared" si="47"/>
        <v>فرید معماریانی</v>
      </c>
      <c r="U46" s="86" t="str">
        <f t="shared" si="3"/>
        <v>09109105210</v>
      </c>
      <c r="V46" s="86" t="str">
        <f t="shared" si="4"/>
        <v>پیش‌وایی 1</v>
      </c>
      <c r="W46" s="86"/>
      <c r="X46" s="86"/>
    </row>
    <row r="47">
      <c r="A47" s="201">
        <v>46.0</v>
      </c>
      <c r="B47" s="202" t="s">
        <v>1059</v>
      </c>
      <c r="C47" s="203" t="s">
        <v>1060</v>
      </c>
      <c r="D47" s="204" t="str">
        <f>IFERROR(__xludf.DUMMYFUNCTION("ARRAYFORMULA(LET( converted, SUBSTITUTE( SUBSTITUTE( SUBSTITUTE( SUBSTITUTE( SUBSTITUTE( SUBSTITUTE( SUBSTITUTE( SUBSTITUTE( SUBSTITUTE( SUBSTITUTE( C47, ""۰"", ""0""), ""۱"", ""1""), ""۲"", ""2""), ""۳"", ""3""), ""۴"", ""4""), ""۵"", ""5""), ""۶"", ""6"&amp;"""), ""۷"", ""7""), ""۸"", ""8""), ""۹"", ""9""), IF(LEFT(converted,3)=""+98"", ""0"" &amp; RIGHT(converted, LEN(converted)-3), IF(LEFT(converted,2)=""98"", ""0"" &amp; RIGHT(converted, LEN(converted)-2), IF(LEFT(converted,1)&lt;&gt;""0"", ""0"" &amp; converted, REGEXREPLA"&amp;"CE(converted , ""\s"", """")) ) ) ) )"),"09010615151")</f>
        <v>09010615151</v>
      </c>
      <c r="E47" s="205" t="s">
        <v>17</v>
      </c>
      <c r="F47" s="206">
        <v>1.0</v>
      </c>
      <c r="G47" s="202" t="s">
        <v>730</v>
      </c>
      <c r="H47" s="209" t="s">
        <v>1061</v>
      </c>
      <c r="I47" s="203"/>
      <c r="J47" s="203" t="s">
        <v>1062</v>
      </c>
      <c r="K47" s="207" t="s">
        <v>1063</v>
      </c>
      <c r="L47" s="207" t="s">
        <v>1064</v>
      </c>
      <c r="M47" s="202" t="s">
        <v>1065</v>
      </c>
      <c r="N47" s="202" t="s">
        <v>1066</v>
      </c>
      <c r="O47" s="207" t="s">
        <v>737</v>
      </c>
      <c r="P47" s="202"/>
      <c r="Q47" s="208"/>
      <c r="R47" s="86"/>
      <c r="S47" s="114">
        <f t="shared" ref="S47:T47" si="48">A47</f>
        <v>46</v>
      </c>
      <c r="T47" s="114" t="str">
        <f t="shared" si="48"/>
        <v>ساسان عبیری</v>
      </c>
      <c r="U47" s="86" t="str">
        <f t="shared" si="3"/>
        <v>09010615151</v>
      </c>
      <c r="V47" s="86" t="str">
        <f t="shared" si="4"/>
        <v>پیش‌وایی 1</v>
      </c>
      <c r="W47" s="86"/>
      <c r="X47" s="86"/>
    </row>
    <row r="48">
      <c r="A48" s="192">
        <v>47.0</v>
      </c>
      <c r="B48" s="193" t="s">
        <v>1067</v>
      </c>
      <c r="C48" s="194" t="s">
        <v>1068</v>
      </c>
      <c r="D48" s="195" t="str">
        <f>IFERROR(__xludf.DUMMYFUNCTION("ARRAYFORMULA(LET( converted, SUBSTITUTE( SUBSTITUTE( SUBSTITUTE( SUBSTITUTE( SUBSTITUTE( SUBSTITUTE( SUBSTITUTE( SUBSTITUTE( SUBSTITUTE( SUBSTITUTE( C48, ""۰"", ""0""), ""۱"", ""1""), ""۲"", ""2""), ""۳"", ""3""), ""۴"", ""4""), ""۵"", ""5""), ""۶"", ""6"&amp;"""), ""۷"", ""7""), ""۸"", ""8""), ""۹"", ""9""), IF(LEFT(converted,3)=""+98"", ""0"" &amp; RIGHT(converted, LEN(converted)-3), IF(LEFT(converted,2)=""98"", ""0"" &amp; RIGHT(converted, LEN(converted)-2), IF(LEFT(converted,1)&lt;&gt;""0"", ""0"" &amp; converted, REGEXREPLA"&amp;"CE(converted , ""\s"", """")) ) ) ) )"),"09363274420")</f>
        <v>09363274420</v>
      </c>
      <c r="E48" s="196" t="s">
        <v>17</v>
      </c>
      <c r="F48" s="197">
        <v>1.0</v>
      </c>
      <c r="G48" s="193" t="s">
        <v>746</v>
      </c>
      <c r="H48" s="193" t="s">
        <v>1069</v>
      </c>
      <c r="I48" s="194"/>
      <c r="J48" s="194" t="s">
        <v>1070</v>
      </c>
      <c r="K48" s="199" t="s">
        <v>1071</v>
      </c>
      <c r="L48" s="199" t="s">
        <v>1072</v>
      </c>
      <c r="M48" s="193" t="s">
        <v>1073</v>
      </c>
      <c r="N48" s="193" t="s">
        <v>1074</v>
      </c>
      <c r="O48" s="199" t="s">
        <v>737</v>
      </c>
      <c r="P48" s="193"/>
      <c r="Q48" s="200"/>
      <c r="R48" s="86"/>
      <c r="S48" s="114">
        <f t="shared" ref="S48:T48" si="49">A48</f>
        <v>47</v>
      </c>
      <c r="T48" s="114" t="str">
        <f t="shared" si="49"/>
        <v>سحر قاسمی سنگریزه</v>
      </c>
      <c r="U48" s="86" t="str">
        <f t="shared" si="3"/>
        <v>09363274420</v>
      </c>
      <c r="V48" s="86" t="str">
        <f t="shared" si="4"/>
        <v>پیش‌وایی 1</v>
      </c>
      <c r="W48" s="86"/>
      <c r="X48" s="86"/>
    </row>
    <row r="49">
      <c r="A49" s="201">
        <v>48.0</v>
      </c>
      <c r="B49" s="202" t="s">
        <v>1075</v>
      </c>
      <c r="C49" s="203" t="s">
        <v>1076</v>
      </c>
      <c r="D49" s="204" t="str">
        <f>IFERROR(__xludf.DUMMYFUNCTION("ARRAYFORMULA(LET( converted, SUBSTITUTE( SUBSTITUTE( SUBSTITUTE( SUBSTITUTE( SUBSTITUTE( SUBSTITUTE( SUBSTITUTE( SUBSTITUTE( SUBSTITUTE( SUBSTITUTE( C49, ""۰"", ""0""), ""۱"", ""1""), ""۲"", ""2""), ""۳"", ""3""), ""۴"", ""4""), ""۵"", ""5""), ""۶"", ""6"&amp;"""), ""۷"", ""7""), ""۸"", ""8""), ""۹"", ""9""), IF(LEFT(converted,3)=""+98"", ""0"" &amp; RIGHT(converted, LEN(converted)-3), IF(LEFT(converted,2)=""98"", ""0"" &amp; RIGHT(converted, LEN(converted)-2), IF(LEFT(converted,1)&lt;&gt;""0"", ""0"" &amp; converted, REGEXREPLA"&amp;"CE(converted , ""\s"", """")) ) ) ) )"),"09128249673")</f>
        <v>09128249673</v>
      </c>
      <c r="E49" s="205" t="s">
        <v>17</v>
      </c>
      <c r="F49" s="206">
        <v>1.0</v>
      </c>
      <c r="G49" s="202" t="s">
        <v>730</v>
      </c>
      <c r="H49" s="202" t="s">
        <v>1077</v>
      </c>
      <c r="I49" s="203"/>
      <c r="J49" s="203" t="s">
        <v>1078</v>
      </c>
      <c r="K49" s="207" t="s">
        <v>1055</v>
      </c>
      <c r="L49" s="207" t="s">
        <v>1079</v>
      </c>
      <c r="M49" s="202" t="s">
        <v>1057</v>
      </c>
      <c r="N49" s="202" t="s">
        <v>1080</v>
      </c>
      <c r="O49" s="207" t="s">
        <v>737</v>
      </c>
      <c r="P49" s="202"/>
      <c r="Q49" s="208"/>
      <c r="R49" s="86"/>
      <c r="S49" s="114">
        <f t="shared" ref="S49:T49" si="50">A49</f>
        <v>48</v>
      </c>
      <c r="T49" s="114" t="str">
        <f t="shared" si="50"/>
        <v>فرید تمیمی</v>
      </c>
      <c r="U49" s="86" t="str">
        <f t="shared" si="3"/>
        <v>09128249673</v>
      </c>
      <c r="V49" s="86" t="str">
        <f t="shared" si="4"/>
        <v>پیش‌وایی 1</v>
      </c>
      <c r="W49" s="86"/>
      <c r="X49" s="86"/>
    </row>
    <row r="50">
      <c r="A50" s="192">
        <v>49.0</v>
      </c>
      <c r="B50" s="193" t="s">
        <v>1081</v>
      </c>
      <c r="C50" s="194" t="s">
        <v>1082</v>
      </c>
      <c r="D50" s="195" t="str">
        <f>IFERROR(__xludf.DUMMYFUNCTION("ARRAYFORMULA(LET( converted, SUBSTITUTE( SUBSTITUTE( SUBSTITUTE( SUBSTITUTE( SUBSTITUTE( SUBSTITUTE( SUBSTITUTE( SUBSTITUTE( SUBSTITUTE( SUBSTITUTE( C50, ""۰"", ""0""), ""۱"", ""1""), ""۲"", ""2""), ""۳"", ""3""), ""۴"", ""4""), ""۵"", ""5""), ""۶"", ""6"&amp;"""), ""۷"", ""7""), ""۸"", ""8""), ""۹"", ""9""), IF(LEFT(converted,3)=""+98"", ""0"" &amp; RIGHT(converted, LEN(converted)-3), IF(LEFT(converted,2)=""98"", ""0"" &amp; RIGHT(converted, LEN(converted)-2), IF(LEFT(converted,1)&lt;&gt;""0"", ""0"" &amp; converted, REGEXREPLA"&amp;"CE(converted , ""\s"", """")) ) ) ) )"),"09120248432")</f>
        <v>09120248432</v>
      </c>
      <c r="E50" s="196" t="s">
        <v>17</v>
      </c>
      <c r="F50" s="197">
        <v>1.0</v>
      </c>
      <c r="G50" s="193" t="s">
        <v>730</v>
      </c>
      <c r="H50" s="198" t="s">
        <v>1083</v>
      </c>
      <c r="I50" s="194"/>
      <c r="J50" s="194" t="s">
        <v>1084</v>
      </c>
      <c r="K50" s="199" t="s">
        <v>1085</v>
      </c>
      <c r="L50" s="199" t="s">
        <v>1086</v>
      </c>
      <c r="M50" s="193" t="s">
        <v>1087</v>
      </c>
      <c r="N50" s="193" t="s">
        <v>1088</v>
      </c>
      <c r="O50" s="199" t="s">
        <v>737</v>
      </c>
      <c r="P50" s="193"/>
      <c r="Q50" s="200"/>
      <c r="R50" s="86"/>
      <c r="S50" s="114">
        <f t="shared" ref="S50:T50" si="51">A50</f>
        <v>49</v>
      </c>
      <c r="T50" s="114" t="str">
        <f t="shared" si="51"/>
        <v>امیررضا رجبی</v>
      </c>
      <c r="U50" s="86" t="str">
        <f t="shared" si="3"/>
        <v>09120248432</v>
      </c>
      <c r="V50" s="86" t="str">
        <f t="shared" si="4"/>
        <v>پیش‌وایی 1</v>
      </c>
      <c r="W50" s="86"/>
      <c r="X50" s="86"/>
    </row>
    <row r="51">
      <c r="A51" s="201">
        <v>50.0</v>
      </c>
      <c r="B51" s="202" t="s">
        <v>1089</v>
      </c>
      <c r="C51" s="203"/>
      <c r="D51" s="204" t="str">
        <f>IFERROR(__xludf.DUMMYFUNCTION("ARRAYFORMULA(LET( converted, SUBSTITUTE( SUBSTITUTE( SUBSTITUTE( SUBSTITUTE( SUBSTITUTE( SUBSTITUTE( SUBSTITUTE( SUBSTITUTE( SUBSTITUTE( SUBSTITUTE( C51, ""۰"", ""0""), ""۱"", ""1""), ""۲"", ""2""), ""۳"", ""3""), ""۴"", ""4""), ""۵"", ""5""), ""۶"", ""6"&amp;"""), ""۷"", ""7""), ""۸"", ""8""), ""۹"", ""9""), IF(LEFT(converted,3)=""+98"", ""0"" &amp; RIGHT(converted, LEN(converted)-3), IF(LEFT(converted,2)=""98"", ""0"" &amp; RIGHT(converted, LEN(converted)-2), IF(LEFT(converted,1)&lt;&gt;""0"", ""0"" &amp; converted, REGEXREPLA"&amp;"CE(converted , ""\s"", """")) ) ) ) )"),"0")</f>
        <v>0</v>
      </c>
      <c r="E51" s="205" t="s">
        <v>17</v>
      </c>
      <c r="F51" s="206">
        <v>1.0</v>
      </c>
      <c r="G51" s="202" t="s">
        <v>730</v>
      </c>
      <c r="H51" s="209" t="s">
        <v>1090</v>
      </c>
      <c r="I51" s="203"/>
      <c r="J51" s="203" t="s">
        <v>1091</v>
      </c>
      <c r="K51" s="207" t="s">
        <v>200</v>
      </c>
      <c r="L51" s="207" t="s">
        <v>1092</v>
      </c>
      <c r="M51" s="202" t="s">
        <v>1093</v>
      </c>
      <c r="N51" s="202" t="s">
        <v>1094</v>
      </c>
      <c r="O51" s="207" t="s">
        <v>737</v>
      </c>
      <c r="P51" s="202"/>
      <c r="Q51" s="208"/>
      <c r="R51" s="86"/>
      <c r="S51" s="114">
        <f t="shared" ref="S51:T51" si="52">A51</f>
        <v>50</v>
      </c>
      <c r="T51" s="114" t="str">
        <f t="shared" si="52"/>
        <v>احسان آراسته</v>
      </c>
      <c r="U51" s="86" t="str">
        <f t="shared" si="3"/>
        <v>0</v>
      </c>
      <c r="V51" s="86" t="str">
        <f t="shared" si="4"/>
        <v>پیش‌وایی 1</v>
      </c>
      <c r="W51" s="86"/>
      <c r="X51" s="86"/>
    </row>
    <row r="52">
      <c r="A52" s="192">
        <v>51.0</v>
      </c>
      <c r="B52" s="193" t="s">
        <v>1095</v>
      </c>
      <c r="C52" s="194"/>
      <c r="D52" s="195" t="str">
        <f>IFERROR(__xludf.DUMMYFUNCTION("ARRAYFORMULA(LET( converted, SUBSTITUTE( SUBSTITUTE( SUBSTITUTE( SUBSTITUTE( SUBSTITUTE( SUBSTITUTE( SUBSTITUTE( SUBSTITUTE( SUBSTITUTE( SUBSTITUTE( C52, ""۰"", ""0""), ""۱"", ""1""), ""۲"", ""2""), ""۳"", ""3""), ""۴"", ""4""), ""۵"", ""5""), ""۶"", ""6"&amp;"""), ""۷"", ""7""), ""۸"", ""8""), ""۹"", ""9""), IF(LEFT(converted,3)=""+98"", ""0"" &amp; RIGHT(converted, LEN(converted)-3), IF(LEFT(converted,2)=""98"", ""0"" &amp; RIGHT(converted, LEN(converted)-2), IF(LEFT(converted,1)&lt;&gt;""0"", ""0"" &amp; converted, REGEXREPLA"&amp;"CE(converted , ""\s"", """")) ) ) ) )"),"0")</f>
        <v>0</v>
      </c>
      <c r="E52" s="196" t="s">
        <v>17</v>
      </c>
      <c r="F52" s="197">
        <v>1.0</v>
      </c>
      <c r="G52" s="193" t="s">
        <v>730</v>
      </c>
      <c r="H52" s="193" t="s">
        <v>1096</v>
      </c>
      <c r="I52" s="194"/>
      <c r="J52" s="194" t="s">
        <v>1097</v>
      </c>
      <c r="K52" s="199" t="s">
        <v>1098</v>
      </c>
      <c r="L52" s="199" t="s">
        <v>1099</v>
      </c>
      <c r="M52" s="193" t="s">
        <v>1100</v>
      </c>
      <c r="N52" s="193" t="s">
        <v>1101</v>
      </c>
      <c r="O52" s="199" t="s">
        <v>737</v>
      </c>
      <c r="P52" s="193"/>
      <c r="Q52" s="200"/>
      <c r="R52" s="86"/>
      <c r="S52" s="114">
        <f t="shared" ref="S52:T52" si="53">A52</f>
        <v>51</v>
      </c>
      <c r="T52" s="114" t="str">
        <f t="shared" si="53"/>
        <v>عروه نادر</v>
      </c>
      <c r="U52" s="86" t="str">
        <f t="shared" si="3"/>
        <v>0</v>
      </c>
      <c r="V52" s="86" t="str">
        <f t="shared" si="4"/>
        <v>پیش‌وایی 1</v>
      </c>
      <c r="W52" s="86"/>
      <c r="X52" s="86"/>
    </row>
    <row r="53">
      <c r="A53" s="201">
        <v>52.0</v>
      </c>
      <c r="B53" s="202" t="s">
        <v>1102</v>
      </c>
      <c r="C53" s="203"/>
      <c r="D53" s="204" t="str">
        <f>IFERROR(__xludf.DUMMYFUNCTION("ARRAYFORMULA(LET( converted, SUBSTITUTE( SUBSTITUTE( SUBSTITUTE( SUBSTITUTE( SUBSTITUTE( SUBSTITUTE( SUBSTITUTE( SUBSTITUTE( SUBSTITUTE( SUBSTITUTE( C53, ""۰"", ""0""), ""۱"", ""1""), ""۲"", ""2""), ""۳"", ""3""), ""۴"", ""4""), ""۵"", ""5""), ""۶"", ""6"&amp;"""), ""۷"", ""7""), ""۸"", ""8""), ""۹"", ""9""), IF(LEFT(converted,3)=""+98"", ""0"" &amp; RIGHT(converted, LEN(converted)-3), IF(LEFT(converted,2)=""98"", ""0"" &amp; RIGHT(converted, LEN(converted)-2), IF(LEFT(converted,1)&lt;&gt;""0"", ""0"" &amp; converted, REGEXREPLA"&amp;"CE(converted , ""\s"", """")) ) ) ) )"),"0")</f>
        <v>0</v>
      </c>
      <c r="E53" s="205" t="s">
        <v>17</v>
      </c>
      <c r="F53" s="206">
        <v>1.0</v>
      </c>
      <c r="G53" s="202" t="s">
        <v>746</v>
      </c>
      <c r="H53" s="202" t="e">
        <v>#N/A</v>
      </c>
      <c r="I53" s="203"/>
      <c r="J53" s="203" t="s">
        <v>1103</v>
      </c>
      <c r="K53" s="207" t="s">
        <v>1104</v>
      </c>
      <c r="L53" s="207" t="s">
        <v>1105</v>
      </c>
      <c r="M53" s="202" t="s">
        <v>1106</v>
      </c>
      <c r="N53" s="202" t="s">
        <v>1107</v>
      </c>
      <c r="O53" s="207" t="s">
        <v>753</v>
      </c>
      <c r="P53" s="202"/>
      <c r="Q53" s="208"/>
      <c r="R53" s="86"/>
      <c r="S53" s="114">
        <f t="shared" ref="S53:T53" si="54">A53</f>
        <v>52</v>
      </c>
      <c r="T53" s="114" t="str">
        <f t="shared" si="54"/>
        <v>لین عوض</v>
      </c>
      <c r="U53" s="86" t="str">
        <f t="shared" si="3"/>
        <v>0</v>
      </c>
      <c r="V53" s="86" t="str">
        <f t="shared" si="4"/>
        <v>پیش‌وایی 1</v>
      </c>
      <c r="W53" s="86"/>
      <c r="X53" s="86"/>
    </row>
    <row r="54">
      <c r="A54" s="192">
        <v>53.0</v>
      </c>
      <c r="B54" s="193" t="s">
        <v>1108</v>
      </c>
      <c r="C54" s="194" t="s">
        <v>1109</v>
      </c>
      <c r="D54" s="195" t="str">
        <f>IFERROR(__xludf.DUMMYFUNCTION("ARRAYFORMULA(LET( converted, SUBSTITUTE( SUBSTITUTE( SUBSTITUTE( SUBSTITUTE( SUBSTITUTE( SUBSTITUTE( SUBSTITUTE( SUBSTITUTE( SUBSTITUTE( SUBSTITUTE( C54, ""۰"", ""0""), ""۱"", ""1""), ""۲"", ""2""), ""۳"", ""3""), ""۴"", ""4""), ""۵"", ""5""), ""۶"", ""6"&amp;"""), ""۷"", ""7""), ""۸"", ""8""), ""۹"", ""9""), IF(LEFT(converted,3)=""+98"", ""0"" &amp; RIGHT(converted, LEN(converted)-3), IF(LEFT(converted,2)=""98"", ""0"" &amp; RIGHT(converted, LEN(converted)-2), IF(LEFT(converted,1)&lt;&gt;""0"", ""0"" &amp; converted, REGEXREPLA"&amp;"CE(converted , ""\s"", """")) ) ) ) )"),"09126840502")</f>
        <v>09126840502</v>
      </c>
      <c r="E54" s="196" t="s">
        <v>17</v>
      </c>
      <c r="F54" s="197">
        <v>1.0</v>
      </c>
      <c r="G54" s="193" t="s">
        <v>746</v>
      </c>
      <c r="H54" s="198" t="s">
        <v>1110</v>
      </c>
      <c r="I54" s="194"/>
      <c r="J54" s="194" t="s">
        <v>1111</v>
      </c>
      <c r="K54" s="199" t="s">
        <v>1112</v>
      </c>
      <c r="L54" s="199" t="s">
        <v>1113</v>
      </c>
      <c r="M54" s="193" t="s">
        <v>1114</v>
      </c>
      <c r="N54" s="193" t="s">
        <v>1115</v>
      </c>
      <c r="O54" s="199" t="s">
        <v>737</v>
      </c>
      <c r="P54" s="193"/>
      <c r="Q54" s="200"/>
      <c r="R54" s="86"/>
      <c r="S54" s="114">
        <f t="shared" ref="S54:T54" si="55">A54</f>
        <v>53</v>
      </c>
      <c r="T54" s="114" t="str">
        <f t="shared" si="55"/>
        <v>فرحانه جلیلیان</v>
      </c>
      <c r="U54" s="86" t="str">
        <f t="shared" si="3"/>
        <v>09126840502</v>
      </c>
      <c r="V54" s="86" t="str">
        <f t="shared" si="4"/>
        <v>پیش‌وایی 1</v>
      </c>
      <c r="W54" s="86"/>
      <c r="X54" s="86"/>
    </row>
    <row r="55">
      <c r="A55" s="201">
        <v>54.0</v>
      </c>
      <c r="B55" s="202" t="s">
        <v>1116</v>
      </c>
      <c r="C55" s="203" t="s">
        <v>1117</v>
      </c>
      <c r="D55" s="204" t="str">
        <f>IFERROR(__xludf.DUMMYFUNCTION("ARRAYFORMULA(LET( converted, SUBSTITUTE( SUBSTITUTE( SUBSTITUTE( SUBSTITUTE( SUBSTITUTE( SUBSTITUTE( SUBSTITUTE( SUBSTITUTE( SUBSTITUTE( SUBSTITUTE( C55, ""۰"", ""0""), ""۱"", ""1""), ""۲"", ""2""), ""۳"", ""3""), ""۴"", ""4""), ""۵"", ""5""), ""۶"", ""6"&amp;"""), ""۷"", ""7""), ""۸"", ""8""), ""۹"", ""9""), IF(LEFT(converted,3)=""+98"", ""0"" &amp; RIGHT(converted, LEN(converted)-3), IF(LEFT(converted,2)=""98"", ""0"" &amp; RIGHT(converted, LEN(converted)-2), IF(LEFT(converted,1)&lt;&gt;""0"", ""0"" &amp; converted, REGEXREPLA"&amp;"CE(converted , ""\s"", """")) ) ) ) )"),"09372263993")</f>
        <v>09372263993</v>
      </c>
      <c r="E55" s="205" t="s">
        <v>17</v>
      </c>
      <c r="F55" s="206">
        <v>1.0</v>
      </c>
      <c r="G55" s="202" t="s">
        <v>746</v>
      </c>
      <c r="H55" s="202" t="s">
        <v>1118</v>
      </c>
      <c r="I55" s="203"/>
      <c r="J55" s="203" t="s">
        <v>1119</v>
      </c>
      <c r="K55" s="207" t="s">
        <v>1120</v>
      </c>
      <c r="L55" s="207" t="s">
        <v>1121</v>
      </c>
      <c r="M55" s="202" t="s">
        <v>1122</v>
      </c>
      <c r="N55" s="202" t="s">
        <v>1123</v>
      </c>
      <c r="O55" s="207" t="s">
        <v>737</v>
      </c>
      <c r="P55" s="202"/>
      <c r="Q55" s="208"/>
      <c r="R55" s="86"/>
      <c r="S55" s="114">
        <f t="shared" ref="S55:T55" si="56">A55</f>
        <v>54</v>
      </c>
      <c r="T55" s="114" t="str">
        <f t="shared" si="56"/>
        <v>شراره حاتمی</v>
      </c>
      <c r="U55" s="86" t="str">
        <f t="shared" si="3"/>
        <v>09372263993</v>
      </c>
      <c r="V55" s="86" t="str">
        <f t="shared" si="4"/>
        <v>پیش‌وایی 1</v>
      </c>
      <c r="W55" s="86"/>
      <c r="X55" s="86"/>
    </row>
    <row r="56">
      <c r="A56" s="192">
        <v>55.0</v>
      </c>
      <c r="B56" s="193" t="s">
        <v>1124</v>
      </c>
      <c r="C56" s="194" t="s">
        <v>1125</v>
      </c>
      <c r="D56" s="195" t="str">
        <f>IFERROR(__xludf.DUMMYFUNCTION("ARRAYFORMULA(LET( converted, SUBSTITUTE( SUBSTITUTE( SUBSTITUTE( SUBSTITUTE( SUBSTITUTE( SUBSTITUTE( SUBSTITUTE( SUBSTITUTE( SUBSTITUTE( SUBSTITUTE( C56, ""۰"", ""0""), ""۱"", ""1""), ""۲"", ""2""), ""۳"", ""3""), ""۴"", ""4""), ""۵"", ""5""), ""۶"", ""6"&amp;"""), ""۷"", ""7""), ""۸"", ""8""), ""۹"", ""9""), IF(LEFT(converted,3)=""+98"", ""0"" &amp; RIGHT(converted, LEN(converted)-3), IF(LEFT(converted,2)=""98"", ""0"" &amp; RIGHT(converted, LEN(converted)-2), IF(LEFT(converted,1)&lt;&gt;""0"", ""0"" &amp; converted, REGEXREPLA"&amp;"CE(converted , ""\s"", """")) ) ) ) )"),"09120236971")</f>
        <v>09120236971</v>
      </c>
      <c r="E56" s="196" t="s">
        <v>17</v>
      </c>
      <c r="F56" s="197">
        <v>1.0</v>
      </c>
      <c r="G56" s="193" t="s">
        <v>730</v>
      </c>
      <c r="H56" s="198" t="s">
        <v>1126</v>
      </c>
      <c r="I56" s="194"/>
      <c r="J56" s="194" t="s">
        <v>1127</v>
      </c>
      <c r="K56" s="199" t="s">
        <v>1055</v>
      </c>
      <c r="L56" s="199" t="s">
        <v>1128</v>
      </c>
      <c r="M56" s="193" t="s">
        <v>1057</v>
      </c>
      <c r="N56" s="193" t="s">
        <v>1129</v>
      </c>
      <c r="O56" s="199" t="s">
        <v>737</v>
      </c>
      <c r="P56" s="193"/>
      <c r="Q56" s="200"/>
      <c r="R56" s="86"/>
      <c r="S56" s="114">
        <f t="shared" ref="S56:T56" si="57">A56</f>
        <v>55</v>
      </c>
      <c r="T56" s="114" t="str">
        <f t="shared" si="57"/>
        <v>فرید اسدی</v>
      </c>
      <c r="U56" s="86" t="str">
        <f t="shared" si="3"/>
        <v>09120236971</v>
      </c>
      <c r="V56" s="86" t="str">
        <f t="shared" si="4"/>
        <v>پیش‌وایی 1</v>
      </c>
      <c r="W56" s="86"/>
      <c r="X56" s="86"/>
    </row>
    <row r="57">
      <c r="A57" s="201">
        <v>56.0</v>
      </c>
      <c r="B57" s="202" t="s">
        <v>1130</v>
      </c>
      <c r="C57" s="203" t="s">
        <v>1131</v>
      </c>
      <c r="D57" s="204" t="str">
        <f>IFERROR(__xludf.DUMMYFUNCTION("ARRAYFORMULA(LET( converted, SUBSTITUTE( SUBSTITUTE( SUBSTITUTE( SUBSTITUTE( SUBSTITUTE( SUBSTITUTE( SUBSTITUTE( SUBSTITUTE( SUBSTITUTE( SUBSTITUTE( C57, ""۰"", ""0""), ""۱"", ""1""), ""۲"", ""2""), ""۳"", ""3""), ""۴"", ""4""), ""۵"", ""5""), ""۶"", ""6"&amp;"""), ""۷"", ""7""), ""۸"", ""8""), ""۹"", ""9""), IF(LEFT(converted,3)=""+98"", ""0"" &amp; RIGHT(converted, LEN(converted)-3), IF(LEFT(converted,2)=""98"", ""0"" &amp; RIGHT(converted, LEN(converted)-2), IF(LEFT(converted,1)&lt;&gt;""0"", ""0"" &amp; converted, REGEXREPLA"&amp;"CE(converted , ""\s"", """")) ) ) ) )"),"09120659108")</f>
        <v>09120659108</v>
      </c>
      <c r="E57" s="205" t="s">
        <v>17</v>
      </c>
      <c r="F57" s="206">
        <v>1.0</v>
      </c>
      <c r="G57" s="202" t="s">
        <v>746</v>
      </c>
      <c r="H57" s="202" t="s">
        <v>1132</v>
      </c>
      <c r="I57" s="203"/>
      <c r="J57" s="203" t="s">
        <v>1133</v>
      </c>
      <c r="K57" s="207" t="s">
        <v>1134</v>
      </c>
      <c r="L57" s="207" t="s">
        <v>1135</v>
      </c>
      <c r="M57" s="202" t="s">
        <v>1136</v>
      </c>
      <c r="N57" s="202" t="s">
        <v>1137</v>
      </c>
      <c r="O57" s="207" t="s">
        <v>737</v>
      </c>
      <c r="P57" s="202"/>
      <c r="Q57" s="208"/>
      <c r="R57" s="86"/>
      <c r="S57" s="114">
        <f t="shared" ref="S57:T57" si="58">A57</f>
        <v>56</v>
      </c>
      <c r="T57" s="114" t="str">
        <f t="shared" si="58"/>
        <v>پرنیان سیفی</v>
      </c>
      <c r="U57" s="86" t="str">
        <f t="shared" si="3"/>
        <v>09120659108</v>
      </c>
      <c r="V57" s="86" t="str">
        <f t="shared" si="4"/>
        <v>پیش‌وایی 1</v>
      </c>
      <c r="W57" s="86"/>
      <c r="X57" s="86"/>
    </row>
    <row r="58">
      <c r="A58" s="192">
        <v>57.0</v>
      </c>
      <c r="B58" s="193" t="s">
        <v>1138</v>
      </c>
      <c r="C58" s="194" t="s">
        <v>1139</v>
      </c>
      <c r="D58" s="195" t="str">
        <f>IFERROR(__xludf.DUMMYFUNCTION("ARRAYFORMULA(LET( converted, SUBSTITUTE( SUBSTITUTE( SUBSTITUTE( SUBSTITUTE( SUBSTITUTE( SUBSTITUTE( SUBSTITUTE( SUBSTITUTE( SUBSTITUTE( SUBSTITUTE( C58, ""۰"", ""0""), ""۱"", ""1""), ""۲"", ""2""), ""۳"", ""3""), ""۴"", ""4""), ""۵"", ""5""), ""۶"", ""6"&amp;"""), ""۷"", ""7""), ""۸"", ""8""), ""۹"", ""9""), IF(LEFT(converted,3)=""+98"", ""0"" &amp; RIGHT(converted, LEN(converted)-3), IF(LEFT(converted,2)=""98"", ""0"" &amp; RIGHT(converted, LEN(converted)-2), IF(LEFT(converted,1)&lt;&gt;""0"", ""0"" &amp; converted, REGEXREPLA"&amp;"CE(converted , ""\s"", """")) ) ) ) )"),"09123630854")</f>
        <v>09123630854</v>
      </c>
      <c r="E58" s="196" t="s">
        <v>17</v>
      </c>
      <c r="F58" s="197">
        <v>1.0</v>
      </c>
      <c r="G58" s="193" t="s">
        <v>730</v>
      </c>
      <c r="H58" s="193" t="s">
        <v>1140</v>
      </c>
      <c r="I58" s="194"/>
      <c r="J58" s="194" t="s">
        <v>1141</v>
      </c>
      <c r="K58" s="199" t="s">
        <v>200</v>
      </c>
      <c r="L58" s="199" t="s">
        <v>1142</v>
      </c>
      <c r="M58" s="193" t="s">
        <v>1093</v>
      </c>
      <c r="N58" s="193" t="s">
        <v>1143</v>
      </c>
      <c r="O58" s="199" t="s">
        <v>737</v>
      </c>
      <c r="P58" s="193"/>
      <c r="Q58" s="200"/>
      <c r="R58" s="86"/>
      <c r="S58" s="114">
        <f t="shared" ref="S58:T58" si="59">A58</f>
        <v>57</v>
      </c>
      <c r="T58" s="114" t="str">
        <f t="shared" si="59"/>
        <v>احسان میرزارضی دهقی</v>
      </c>
      <c r="U58" s="86" t="str">
        <f t="shared" si="3"/>
        <v>09123630854</v>
      </c>
      <c r="V58" s="86" t="str">
        <f t="shared" si="4"/>
        <v>پیش‌وایی 1</v>
      </c>
      <c r="W58" s="86"/>
      <c r="X58" s="86"/>
    </row>
    <row r="59">
      <c r="A59" s="201">
        <v>58.0</v>
      </c>
      <c r="B59" s="202" t="s">
        <v>1144</v>
      </c>
      <c r="C59" s="203" t="s">
        <v>1145</v>
      </c>
      <c r="D59" s="204" t="str">
        <f>IFERROR(__xludf.DUMMYFUNCTION("ARRAYFORMULA(LET( converted, SUBSTITUTE( SUBSTITUTE( SUBSTITUTE( SUBSTITUTE( SUBSTITUTE( SUBSTITUTE( SUBSTITUTE( SUBSTITUTE( SUBSTITUTE( SUBSTITUTE( C59, ""۰"", ""0""), ""۱"", ""1""), ""۲"", ""2""), ""۳"", ""3""), ""۴"", ""4""), ""۵"", ""5""), ""۶"", ""6"&amp;"""), ""۷"", ""7""), ""۸"", ""8""), ""۹"", ""9""), IF(LEFT(converted,3)=""+98"", ""0"" &amp; RIGHT(converted, LEN(converted)-3), IF(LEFT(converted,2)=""98"", ""0"" &amp; RIGHT(converted, LEN(converted)-2), IF(LEFT(converted,1)&lt;&gt;""0"", ""0"" &amp; converted, REGEXREPLA"&amp;"CE(converted , ""\s"", """")) ) ) ) )"),"09197437481")</f>
        <v>09197437481</v>
      </c>
      <c r="E59" s="205" t="s">
        <v>17</v>
      </c>
      <c r="F59" s="206">
        <v>1.0</v>
      </c>
      <c r="G59" s="202" t="s">
        <v>746</v>
      </c>
      <c r="H59" s="202" t="s">
        <v>1146</v>
      </c>
      <c r="I59" s="203"/>
      <c r="J59" s="203" t="s">
        <v>1147</v>
      </c>
      <c r="K59" s="207" t="s">
        <v>766</v>
      </c>
      <c r="L59" s="207" t="s">
        <v>1148</v>
      </c>
      <c r="M59" s="202" t="s">
        <v>768</v>
      </c>
      <c r="N59" s="202" t="s">
        <v>1149</v>
      </c>
      <c r="O59" s="207" t="s">
        <v>737</v>
      </c>
      <c r="P59" s="202"/>
      <c r="Q59" s="208"/>
      <c r="R59" s="86"/>
      <c r="S59" s="114">
        <f t="shared" ref="S59:T59" si="60">A59</f>
        <v>58</v>
      </c>
      <c r="T59" s="114" t="str">
        <f t="shared" si="60"/>
        <v>ندا کاردان زیرک</v>
      </c>
      <c r="U59" s="86" t="str">
        <f t="shared" si="3"/>
        <v>09197437481</v>
      </c>
      <c r="V59" s="86" t="str">
        <f t="shared" si="4"/>
        <v>پیش‌وایی 1</v>
      </c>
      <c r="W59" s="86"/>
      <c r="X59" s="86"/>
    </row>
    <row r="60">
      <c r="A60" s="192">
        <v>59.0</v>
      </c>
      <c r="B60" s="193" t="s">
        <v>1150</v>
      </c>
      <c r="C60" s="194" t="s">
        <v>1151</v>
      </c>
      <c r="D60" s="195" t="str">
        <f>IFERROR(__xludf.DUMMYFUNCTION("ARRAYFORMULA(LET( converted, SUBSTITUTE( SUBSTITUTE( SUBSTITUTE( SUBSTITUTE( SUBSTITUTE( SUBSTITUTE( SUBSTITUTE( SUBSTITUTE( SUBSTITUTE( SUBSTITUTE( C60, ""۰"", ""0""), ""۱"", ""1""), ""۲"", ""2""), ""۳"", ""3""), ""۴"", ""4""), ""۵"", ""5""), ""۶"", ""6"&amp;"""), ""۷"", ""7""), ""۸"", ""8""), ""۹"", ""9""), IF(LEFT(converted,3)=""+98"", ""0"" &amp; RIGHT(converted, LEN(converted)-3), IF(LEFT(converted,2)=""98"", ""0"" &amp; RIGHT(converted, LEN(converted)-2), IF(LEFT(converted,1)&lt;&gt;""0"", ""0"" &amp; converted, REGEXREPLA"&amp;"CE(converted , ""\s"", """")) ) ) ) )"),"09123797862")</f>
        <v>09123797862</v>
      </c>
      <c r="E60" s="196" t="s">
        <v>17</v>
      </c>
      <c r="F60" s="197">
        <v>1.0</v>
      </c>
      <c r="G60" s="193" t="s">
        <v>746</v>
      </c>
      <c r="H60" s="193" t="s">
        <v>1152</v>
      </c>
      <c r="I60" s="194"/>
      <c r="J60" s="194" t="s">
        <v>1153</v>
      </c>
      <c r="K60" s="199" t="s">
        <v>1154</v>
      </c>
      <c r="L60" s="199" t="s">
        <v>1155</v>
      </c>
      <c r="M60" s="193" t="s">
        <v>1156</v>
      </c>
      <c r="N60" s="193" t="s">
        <v>1157</v>
      </c>
      <c r="O60" s="199" t="s">
        <v>737</v>
      </c>
      <c r="P60" s="193"/>
      <c r="Q60" s="200"/>
      <c r="R60" s="86"/>
      <c r="S60" s="114">
        <f t="shared" ref="S60:T60" si="61">A60</f>
        <v>59</v>
      </c>
      <c r="T60" s="114" t="str">
        <f t="shared" si="61"/>
        <v>الناز منقاد</v>
      </c>
      <c r="U60" s="86" t="str">
        <f t="shared" si="3"/>
        <v>09123797862</v>
      </c>
      <c r="V60" s="86" t="str">
        <f t="shared" si="4"/>
        <v>پیش‌وایی 1</v>
      </c>
      <c r="W60" s="86"/>
      <c r="X60" s="86"/>
    </row>
    <row r="61">
      <c r="A61" s="201">
        <v>60.0</v>
      </c>
      <c r="B61" s="202" t="s">
        <v>1158</v>
      </c>
      <c r="C61" s="203"/>
      <c r="D61" s="204" t="str">
        <f>IFERROR(__xludf.DUMMYFUNCTION("ARRAYFORMULA(LET( converted, SUBSTITUTE( SUBSTITUTE( SUBSTITUTE( SUBSTITUTE( SUBSTITUTE( SUBSTITUTE( SUBSTITUTE( SUBSTITUTE( SUBSTITUTE( SUBSTITUTE( C61, ""۰"", ""0""), ""۱"", ""1""), ""۲"", ""2""), ""۳"", ""3""), ""۴"", ""4""), ""۵"", ""5""), ""۶"", ""6"&amp;"""), ""۷"", ""7""), ""۸"", ""8""), ""۹"", ""9""), IF(LEFT(converted,3)=""+98"", ""0"" &amp; RIGHT(converted, LEN(converted)-3), IF(LEFT(converted,2)=""98"", ""0"" &amp; RIGHT(converted, LEN(converted)-2), IF(LEFT(converted,1)&lt;&gt;""0"", ""0"" &amp; converted, REGEXREPLA"&amp;"CE(converted , ""\s"", """")) ) ) ) )"),"0")</f>
        <v>0</v>
      </c>
      <c r="E61" s="205" t="s">
        <v>17</v>
      </c>
      <c r="F61" s="206">
        <v>1.0</v>
      </c>
      <c r="G61" s="202" t="s">
        <v>730</v>
      </c>
      <c r="H61" s="202" t="s">
        <v>1159</v>
      </c>
      <c r="I61" s="203"/>
      <c r="J61" s="203" t="s">
        <v>1160</v>
      </c>
      <c r="K61" s="207" t="s">
        <v>1161</v>
      </c>
      <c r="L61" s="207" t="s">
        <v>1155</v>
      </c>
      <c r="M61" s="202" t="s">
        <v>1162</v>
      </c>
      <c r="N61" s="202" t="s">
        <v>1157</v>
      </c>
      <c r="O61" s="207" t="s">
        <v>753</v>
      </c>
      <c r="P61" s="202"/>
      <c r="Q61" s="208"/>
      <c r="R61" s="86"/>
      <c r="S61" s="114">
        <f t="shared" ref="S61:T61" si="62">A61</f>
        <v>60</v>
      </c>
      <c r="T61" s="114" t="str">
        <f t="shared" si="62"/>
        <v>سینا منقاد</v>
      </c>
      <c r="U61" s="86" t="str">
        <f t="shared" si="3"/>
        <v>0</v>
      </c>
      <c r="V61" s="86" t="str">
        <f t="shared" si="4"/>
        <v>پیش‌وایی 1</v>
      </c>
      <c r="W61" s="86"/>
      <c r="X61" s="86"/>
    </row>
    <row r="62">
      <c r="A62" s="192">
        <v>61.0</v>
      </c>
      <c r="B62" s="193" t="s">
        <v>1163</v>
      </c>
      <c r="C62" s="194" t="s">
        <v>1164</v>
      </c>
      <c r="D62" s="195" t="str">
        <f>IFERROR(__xludf.DUMMYFUNCTION("ARRAYFORMULA(LET( converted, SUBSTITUTE( SUBSTITUTE( SUBSTITUTE( SUBSTITUTE( SUBSTITUTE( SUBSTITUTE( SUBSTITUTE( SUBSTITUTE( SUBSTITUTE( SUBSTITUTE( C62, ""۰"", ""0""), ""۱"", ""1""), ""۲"", ""2""), ""۳"", ""3""), ""۴"", ""4""), ""۵"", ""5""), ""۶"", ""6"&amp;"""), ""۷"", ""7""), ""۸"", ""8""), ""۹"", ""9""), IF(LEFT(converted,3)=""+98"", ""0"" &amp; RIGHT(converted, LEN(converted)-3), IF(LEFT(converted,2)=""98"", ""0"" &amp; RIGHT(converted, LEN(converted)-2), IF(LEFT(converted,1)&lt;&gt;""0"", ""0"" &amp; converted, REGEXREPLA"&amp;"CE(converted , ""\s"", """")) ) ) ) )"),"09190703697")</f>
        <v>09190703697</v>
      </c>
      <c r="E62" s="196" t="s">
        <v>17</v>
      </c>
      <c r="F62" s="197">
        <v>1.0</v>
      </c>
      <c r="G62" s="193" t="s">
        <v>730</v>
      </c>
      <c r="H62" s="193" t="s">
        <v>1165</v>
      </c>
      <c r="I62" s="194"/>
      <c r="J62" s="194" t="s">
        <v>1166</v>
      </c>
      <c r="K62" s="199" t="s">
        <v>1167</v>
      </c>
      <c r="L62" s="199" t="s">
        <v>1168</v>
      </c>
      <c r="M62" s="193" t="s">
        <v>1169</v>
      </c>
      <c r="N62" s="193" t="s">
        <v>1170</v>
      </c>
      <c r="O62" s="199" t="s">
        <v>737</v>
      </c>
      <c r="P62" s="193"/>
      <c r="Q62" s="200"/>
      <c r="R62" s="86"/>
      <c r="S62" s="114">
        <f t="shared" ref="S62:T62" si="63">A62</f>
        <v>61</v>
      </c>
      <c r="T62" s="114" t="str">
        <f t="shared" si="63"/>
        <v>میثم هوشمند</v>
      </c>
      <c r="U62" s="86" t="str">
        <f t="shared" si="3"/>
        <v>09190703697</v>
      </c>
      <c r="V62" s="86" t="str">
        <f t="shared" si="4"/>
        <v>پیش‌وایی 1</v>
      </c>
      <c r="W62" s="86"/>
      <c r="X62" s="86"/>
    </row>
    <row r="63">
      <c r="A63" s="201">
        <v>62.0</v>
      </c>
      <c r="B63" s="202" t="s">
        <v>1171</v>
      </c>
      <c r="C63" s="203" t="s">
        <v>1172</v>
      </c>
      <c r="D63" s="204" t="str">
        <f>IFERROR(__xludf.DUMMYFUNCTION("ARRAYFORMULA(LET( converted, SUBSTITUTE( SUBSTITUTE( SUBSTITUTE( SUBSTITUTE( SUBSTITUTE( SUBSTITUTE( SUBSTITUTE( SUBSTITUTE( SUBSTITUTE( SUBSTITUTE( C63, ""۰"", ""0""), ""۱"", ""1""), ""۲"", ""2""), ""۳"", ""3""), ""۴"", ""4""), ""۵"", ""5""), ""۶"", ""6"&amp;"""), ""۷"", ""7""), ""۸"", ""8""), ""۹"", ""9""), IF(LEFT(converted,3)=""+98"", ""0"" &amp; RIGHT(converted, LEN(converted)-3), IF(LEFT(converted,2)=""98"", ""0"" &amp; RIGHT(converted, LEN(converted)-2), IF(LEFT(converted,1)&lt;&gt;""0"", ""0"" &amp; converted, REGEXREPLA"&amp;"CE(converted , ""\s"", """")) ) ) ) )"),"09124798007")</f>
        <v>09124798007</v>
      </c>
      <c r="E63" s="205" t="s">
        <v>17</v>
      </c>
      <c r="F63" s="206">
        <v>1.0</v>
      </c>
      <c r="G63" s="202" t="s">
        <v>746</v>
      </c>
      <c r="H63" s="202" t="s">
        <v>1173</v>
      </c>
      <c r="I63" s="203"/>
      <c r="J63" s="203" t="s">
        <v>1174</v>
      </c>
      <c r="K63" s="207" t="s">
        <v>1175</v>
      </c>
      <c r="L63" s="207" t="s">
        <v>1176</v>
      </c>
      <c r="M63" s="202" t="s">
        <v>1177</v>
      </c>
      <c r="N63" s="202" t="s">
        <v>1178</v>
      </c>
      <c r="O63" s="207" t="s">
        <v>737</v>
      </c>
      <c r="P63" s="202"/>
      <c r="Q63" s="208"/>
      <c r="R63" s="86"/>
      <c r="S63" s="114">
        <f t="shared" ref="S63:T63" si="64">A63</f>
        <v>62</v>
      </c>
      <c r="T63" s="114" t="str">
        <f t="shared" si="64"/>
        <v>مهری قراخانلو</v>
      </c>
      <c r="U63" s="86" t="str">
        <f t="shared" si="3"/>
        <v>09124798007</v>
      </c>
      <c r="V63" s="86" t="str">
        <f t="shared" si="4"/>
        <v>پیش‌وایی 1</v>
      </c>
      <c r="W63" s="86"/>
      <c r="X63" s="86"/>
    </row>
    <row r="64">
      <c r="A64" s="192">
        <v>63.0</v>
      </c>
      <c r="B64" s="193" t="s">
        <v>1179</v>
      </c>
      <c r="C64" s="194" t="s">
        <v>1180</v>
      </c>
      <c r="D64" s="195" t="str">
        <f>IFERROR(__xludf.DUMMYFUNCTION("ARRAYFORMULA(LET( converted, SUBSTITUTE( SUBSTITUTE( SUBSTITUTE( SUBSTITUTE( SUBSTITUTE( SUBSTITUTE( SUBSTITUTE( SUBSTITUTE( SUBSTITUTE( SUBSTITUTE( C64, ""۰"", ""0""), ""۱"", ""1""), ""۲"", ""2""), ""۳"", ""3""), ""۴"", ""4""), ""۵"", ""5""), ""۶"", ""6"&amp;"""), ""۷"", ""7""), ""۸"", ""8""), ""۹"", ""9""), IF(LEFT(converted,3)=""+98"", ""0"" &amp; RIGHT(converted, LEN(converted)-3), IF(LEFT(converted,2)=""98"", ""0"" &amp; RIGHT(converted, LEN(converted)-2), IF(LEFT(converted,1)&lt;&gt;""0"", ""0"" &amp; converted, REGEXREPLA"&amp;"CE(converted , ""\s"", """")) ) ) ) )"),"09191621927")</f>
        <v>09191621927</v>
      </c>
      <c r="E64" s="196" t="s">
        <v>17</v>
      </c>
      <c r="F64" s="197">
        <v>1.0</v>
      </c>
      <c r="G64" s="193" t="s">
        <v>746</v>
      </c>
      <c r="H64" s="193" t="s">
        <v>1181</v>
      </c>
      <c r="I64" s="194"/>
      <c r="J64" s="194" t="s">
        <v>1182</v>
      </c>
      <c r="K64" s="199" t="s">
        <v>1183</v>
      </c>
      <c r="L64" s="199" t="s">
        <v>1184</v>
      </c>
      <c r="M64" s="193" t="s">
        <v>1185</v>
      </c>
      <c r="N64" s="193" t="s">
        <v>1186</v>
      </c>
      <c r="O64" s="199" t="s">
        <v>737</v>
      </c>
      <c r="P64" s="193"/>
      <c r="Q64" s="200"/>
      <c r="R64" s="86"/>
      <c r="S64" s="114">
        <f t="shared" ref="S64:T64" si="65">A64</f>
        <v>63</v>
      </c>
      <c r="T64" s="114" t="str">
        <f t="shared" si="65"/>
        <v>مهشید ابوعلی شمشیر پوریان</v>
      </c>
      <c r="U64" s="86" t="str">
        <f t="shared" si="3"/>
        <v>09191621927</v>
      </c>
      <c r="V64" s="86" t="str">
        <f t="shared" si="4"/>
        <v>پیش‌وایی 1</v>
      </c>
      <c r="W64" s="86"/>
      <c r="X64" s="86"/>
    </row>
    <row r="65">
      <c r="A65" s="201">
        <v>64.0</v>
      </c>
      <c r="B65" s="202" t="s">
        <v>1187</v>
      </c>
      <c r="C65" s="203"/>
      <c r="D65" s="204" t="str">
        <f>IFERROR(__xludf.DUMMYFUNCTION("ARRAYFORMULA(LET( converted, SUBSTITUTE( SUBSTITUTE( SUBSTITUTE( SUBSTITUTE( SUBSTITUTE( SUBSTITUTE( SUBSTITUTE( SUBSTITUTE( SUBSTITUTE( SUBSTITUTE( C65, ""۰"", ""0""), ""۱"", ""1""), ""۲"", ""2""), ""۳"", ""3""), ""۴"", ""4""), ""۵"", ""5""), ""۶"", ""6"&amp;"""), ""۷"", ""7""), ""۸"", ""8""), ""۹"", ""9""), IF(LEFT(converted,3)=""+98"", ""0"" &amp; RIGHT(converted, LEN(converted)-3), IF(LEFT(converted,2)=""98"", ""0"" &amp; RIGHT(converted, LEN(converted)-2), IF(LEFT(converted,1)&lt;&gt;""0"", ""0"" &amp; converted, REGEXREPLA"&amp;"CE(converted , ""\s"", """")) ) ) ) )"),"0")</f>
        <v>0</v>
      </c>
      <c r="E65" s="205" t="s">
        <v>17</v>
      </c>
      <c r="F65" s="206">
        <v>1.0</v>
      </c>
      <c r="G65" s="202" t="s">
        <v>730</v>
      </c>
      <c r="H65" s="202" t="s">
        <v>1188</v>
      </c>
      <c r="I65" s="203"/>
      <c r="J65" s="203" t="s">
        <v>1189</v>
      </c>
      <c r="K65" s="207" t="s">
        <v>247</v>
      </c>
      <c r="L65" s="207" t="s">
        <v>1019</v>
      </c>
      <c r="M65" s="202" t="s">
        <v>1190</v>
      </c>
      <c r="N65" s="202" t="s">
        <v>1191</v>
      </c>
      <c r="O65" s="207" t="s">
        <v>737</v>
      </c>
      <c r="P65" s="202"/>
      <c r="Q65" s="208"/>
      <c r="R65" s="86"/>
      <c r="S65" s="114">
        <f t="shared" ref="S65:T65" si="66">A65</f>
        <v>64</v>
      </c>
      <c r="T65" s="114" t="str">
        <f t="shared" si="66"/>
        <v>سجاد احمدی</v>
      </c>
      <c r="U65" s="86" t="str">
        <f t="shared" si="3"/>
        <v>0</v>
      </c>
      <c r="V65" s="86" t="str">
        <f t="shared" si="4"/>
        <v>پیش‌وایی 1</v>
      </c>
      <c r="W65" s="86"/>
      <c r="X65" s="86"/>
    </row>
    <row r="66">
      <c r="A66" s="192">
        <v>65.0</v>
      </c>
      <c r="B66" s="193" t="s">
        <v>1192</v>
      </c>
      <c r="C66" s="194" t="s">
        <v>1193</v>
      </c>
      <c r="D66" s="195" t="str">
        <f>IFERROR(__xludf.DUMMYFUNCTION("ARRAYFORMULA(LET( converted, SUBSTITUTE( SUBSTITUTE( SUBSTITUTE( SUBSTITUTE( SUBSTITUTE( SUBSTITUTE( SUBSTITUTE( SUBSTITUTE( SUBSTITUTE( SUBSTITUTE( C66, ""۰"", ""0""), ""۱"", ""1""), ""۲"", ""2""), ""۳"", ""3""), ""۴"", ""4""), ""۵"", ""5""), ""۶"", ""6"&amp;"""), ""۷"", ""7""), ""۸"", ""8""), ""۹"", ""9""), IF(LEFT(converted,3)=""+98"", ""0"" &amp; RIGHT(converted, LEN(converted)-3), IF(LEFT(converted,2)=""98"", ""0"" &amp; RIGHT(converted, LEN(converted)-2), IF(LEFT(converted,1)&lt;&gt;""0"", ""0"" &amp; converted, REGEXREPLA"&amp;"CE(converted , ""\s"", """")) ) ) ) )"),"09124109104")</f>
        <v>09124109104</v>
      </c>
      <c r="E66" s="196" t="s">
        <v>17</v>
      </c>
      <c r="F66" s="197">
        <v>1.0</v>
      </c>
      <c r="G66" s="193" t="s">
        <v>730</v>
      </c>
      <c r="H66" s="193" t="s">
        <v>1194</v>
      </c>
      <c r="I66" s="194"/>
      <c r="J66" s="194" t="s">
        <v>1195</v>
      </c>
      <c r="K66" s="199" t="s">
        <v>896</v>
      </c>
      <c r="L66" s="199" t="s">
        <v>1196</v>
      </c>
      <c r="M66" s="193" t="s">
        <v>898</v>
      </c>
      <c r="N66" s="193" t="s">
        <v>1197</v>
      </c>
      <c r="O66" s="199" t="s">
        <v>737</v>
      </c>
      <c r="P66" s="193"/>
      <c r="Q66" s="200"/>
      <c r="R66" s="86"/>
      <c r="S66" s="114">
        <f t="shared" ref="S66:T66" si="67">A66</f>
        <v>65</v>
      </c>
      <c r="T66" s="114" t="str">
        <f t="shared" si="67"/>
        <v>حسین اخباریه</v>
      </c>
      <c r="U66" s="86" t="str">
        <f t="shared" si="3"/>
        <v>09124109104</v>
      </c>
      <c r="V66" s="86" t="str">
        <f t="shared" si="4"/>
        <v>پیش‌وایی 1</v>
      </c>
      <c r="W66" s="86"/>
      <c r="X66" s="86"/>
    </row>
    <row r="67">
      <c r="A67" s="201">
        <v>66.0</v>
      </c>
      <c r="B67" s="202" t="s">
        <v>1198</v>
      </c>
      <c r="C67" s="203"/>
      <c r="D67" s="204" t="str">
        <f>IFERROR(__xludf.DUMMYFUNCTION("ARRAYFORMULA(LET( converted, SUBSTITUTE( SUBSTITUTE( SUBSTITUTE( SUBSTITUTE( SUBSTITUTE( SUBSTITUTE( SUBSTITUTE( SUBSTITUTE( SUBSTITUTE( SUBSTITUTE( C67, ""۰"", ""0""), ""۱"", ""1""), ""۲"", ""2""), ""۳"", ""3""), ""۴"", ""4""), ""۵"", ""5""), ""۶"", ""6"&amp;"""), ""۷"", ""7""), ""۸"", ""8""), ""۹"", ""9""), IF(LEFT(converted,3)=""+98"", ""0"" &amp; RIGHT(converted, LEN(converted)-3), IF(LEFT(converted,2)=""98"", ""0"" &amp; RIGHT(converted, LEN(converted)-2), IF(LEFT(converted,1)&lt;&gt;""0"", ""0"" &amp; converted, REGEXREPLA"&amp;"CE(converted , ""\s"", """")) ) ) ) )"),"0")</f>
        <v>0</v>
      </c>
      <c r="E67" s="205" t="s">
        <v>17</v>
      </c>
      <c r="F67" s="206">
        <v>1.0</v>
      </c>
      <c r="G67" s="202" t="s">
        <v>746</v>
      </c>
      <c r="H67" s="202" t="s">
        <v>1199</v>
      </c>
      <c r="I67" s="203"/>
      <c r="J67" s="203" t="s">
        <v>1200</v>
      </c>
      <c r="K67" s="207" t="s">
        <v>1201</v>
      </c>
      <c r="L67" s="207" t="s">
        <v>1202</v>
      </c>
      <c r="M67" s="202" t="s">
        <v>1203</v>
      </c>
      <c r="N67" s="202" t="s">
        <v>1204</v>
      </c>
      <c r="O67" s="207" t="s">
        <v>753</v>
      </c>
      <c r="P67" s="202"/>
      <c r="Q67" s="208"/>
      <c r="R67" s="86"/>
      <c r="S67" s="114">
        <f t="shared" ref="S67:T67" si="68">A67</f>
        <v>66</v>
      </c>
      <c r="T67" s="114" t="str">
        <f t="shared" si="68"/>
        <v>فاطمه زهرا صالحی شهرودی</v>
      </c>
      <c r="U67" s="86" t="str">
        <f t="shared" si="3"/>
        <v>0</v>
      </c>
      <c r="V67" s="86" t="str">
        <f t="shared" si="4"/>
        <v>پیش‌وایی 1</v>
      </c>
      <c r="W67" s="86"/>
      <c r="X67" s="86"/>
    </row>
    <row r="68">
      <c r="A68" s="192">
        <v>67.0</v>
      </c>
      <c r="B68" s="193" t="s">
        <v>1205</v>
      </c>
      <c r="C68" s="194" t="s">
        <v>1206</v>
      </c>
      <c r="D68" s="195" t="str">
        <f>IFERROR(__xludf.DUMMYFUNCTION("ARRAYFORMULA(LET( converted, SUBSTITUTE( SUBSTITUTE( SUBSTITUTE( SUBSTITUTE( SUBSTITUTE( SUBSTITUTE( SUBSTITUTE( SUBSTITUTE( SUBSTITUTE( SUBSTITUTE( C68, ""۰"", ""0""), ""۱"", ""1""), ""۲"", ""2""), ""۳"", ""3""), ""۴"", ""4""), ""۵"", ""5""), ""۶"", ""6"&amp;"""), ""۷"", ""7""), ""۸"", ""8""), ""۹"", ""9""), IF(LEFT(converted,3)=""+98"", ""0"" &amp; RIGHT(converted, LEN(converted)-3), IF(LEFT(converted,2)=""98"", ""0"" &amp; RIGHT(converted, LEN(converted)-2), IF(LEFT(converted,1)&lt;&gt;""0"", ""0"" &amp; converted, REGEXREPLA"&amp;"CE(converted , ""\s"", """")) ) ) ) )"),"09122587689")</f>
        <v>09122587689</v>
      </c>
      <c r="E68" s="196" t="s">
        <v>17</v>
      </c>
      <c r="F68" s="197">
        <v>1.0</v>
      </c>
      <c r="G68" s="193" t="s">
        <v>730</v>
      </c>
      <c r="H68" s="193" t="s">
        <v>1207</v>
      </c>
      <c r="I68" s="194"/>
      <c r="J68" s="194" t="s">
        <v>1208</v>
      </c>
      <c r="K68" s="199" t="s">
        <v>353</v>
      </c>
      <c r="L68" s="199" t="s">
        <v>1209</v>
      </c>
      <c r="M68" s="193" t="s">
        <v>1210</v>
      </c>
      <c r="N68" s="193" t="s">
        <v>1211</v>
      </c>
      <c r="O68" s="199" t="s">
        <v>737</v>
      </c>
      <c r="P68" s="193"/>
      <c r="Q68" s="200"/>
      <c r="R68" s="86"/>
      <c r="S68" s="114">
        <f t="shared" ref="S68:T68" si="69">A68</f>
        <v>67</v>
      </c>
      <c r="T68" s="114" t="str">
        <f t="shared" si="69"/>
        <v>مهرداد صنوبری وایقان</v>
      </c>
      <c r="U68" s="86" t="str">
        <f t="shared" si="3"/>
        <v>09122587689</v>
      </c>
      <c r="V68" s="86" t="str">
        <f t="shared" si="4"/>
        <v>پیش‌وایی 1</v>
      </c>
      <c r="W68" s="86"/>
      <c r="X68" s="86"/>
    </row>
    <row r="69">
      <c r="A69" s="201">
        <v>68.0</v>
      </c>
      <c r="B69" s="202" t="s">
        <v>1212</v>
      </c>
      <c r="C69" s="203"/>
      <c r="D69" s="204" t="str">
        <f>IFERROR(__xludf.DUMMYFUNCTION("ARRAYFORMULA(LET( converted, SUBSTITUTE( SUBSTITUTE( SUBSTITUTE( SUBSTITUTE( SUBSTITUTE( SUBSTITUTE( SUBSTITUTE( SUBSTITUTE( SUBSTITUTE( SUBSTITUTE( C69, ""۰"", ""0""), ""۱"", ""1""), ""۲"", ""2""), ""۳"", ""3""), ""۴"", ""4""), ""۵"", ""5""), ""۶"", ""6"&amp;"""), ""۷"", ""7""), ""۸"", ""8""), ""۹"", ""9""), IF(LEFT(converted,3)=""+98"", ""0"" &amp; RIGHT(converted, LEN(converted)-3), IF(LEFT(converted,2)=""98"", ""0"" &amp; RIGHT(converted, LEN(converted)-2), IF(LEFT(converted,1)&lt;&gt;""0"", ""0"" &amp; converted, REGEXREPLA"&amp;"CE(converted , ""\s"", """")) ) ) ) )"),"0")</f>
        <v>0</v>
      </c>
      <c r="E69" s="205" t="s">
        <v>17</v>
      </c>
      <c r="F69" s="206">
        <v>1.0</v>
      </c>
      <c r="G69" s="202" t="s">
        <v>746</v>
      </c>
      <c r="H69" s="202" t="s">
        <v>1213</v>
      </c>
      <c r="I69" s="203"/>
      <c r="J69" s="203" t="s">
        <v>1214</v>
      </c>
      <c r="K69" s="207" t="s">
        <v>766</v>
      </c>
      <c r="L69" s="207" t="s">
        <v>1215</v>
      </c>
      <c r="M69" s="202" t="s">
        <v>768</v>
      </c>
      <c r="N69" s="202" t="s">
        <v>1216</v>
      </c>
      <c r="O69" s="207" t="s">
        <v>753</v>
      </c>
      <c r="P69" s="202"/>
      <c r="Q69" s="208"/>
      <c r="R69" s="86"/>
      <c r="S69" s="114">
        <f t="shared" ref="S69:T69" si="70">A69</f>
        <v>68</v>
      </c>
      <c r="T69" s="114" t="str">
        <f t="shared" si="70"/>
        <v>ندا قاضی</v>
      </c>
      <c r="U69" s="86" t="str">
        <f t="shared" si="3"/>
        <v>0</v>
      </c>
      <c r="V69" s="86" t="str">
        <f t="shared" si="4"/>
        <v>پیش‌وایی 1</v>
      </c>
      <c r="W69" s="86"/>
      <c r="X69" s="86"/>
    </row>
    <row r="70">
      <c r="A70" s="192">
        <v>69.0</v>
      </c>
      <c r="B70" s="193" t="s">
        <v>1217</v>
      </c>
      <c r="C70" s="194"/>
      <c r="D70" s="195" t="str">
        <f>IFERROR(__xludf.DUMMYFUNCTION("ARRAYFORMULA(LET( converted, SUBSTITUTE( SUBSTITUTE( SUBSTITUTE( SUBSTITUTE( SUBSTITUTE( SUBSTITUTE( SUBSTITUTE( SUBSTITUTE( SUBSTITUTE( SUBSTITUTE( C70, ""۰"", ""0""), ""۱"", ""1""), ""۲"", ""2""), ""۳"", ""3""), ""۴"", ""4""), ""۵"", ""5""), ""۶"", ""6"&amp;"""), ""۷"", ""7""), ""۸"", ""8""), ""۹"", ""9""), IF(LEFT(converted,3)=""+98"", ""0"" &amp; RIGHT(converted, LEN(converted)-3), IF(LEFT(converted,2)=""98"", ""0"" &amp; RIGHT(converted, LEN(converted)-2), IF(LEFT(converted,1)&lt;&gt;""0"", ""0"" &amp; converted, REGEXREPLA"&amp;"CE(converted , ""\s"", """")) ) ) ) )"),"0")</f>
        <v>0</v>
      </c>
      <c r="E70" s="196" t="s">
        <v>17</v>
      </c>
      <c r="F70" s="197">
        <v>1.0</v>
      </c>
      <c r="G70" s="193" t="s">
        <v>746</v>
      </c>
      <c r="H70" s="193"/>
      <c r="I70" s="194"/>
      <c r="J70" s="194"/>
      <c r="K70" s="199" t="s">
        <v>1218</v>
      </c>
      <c r="L70" s="199" t="s">
        <v>1219</v>
      </c>
      <c r="M70" s="193"/>
      <c r="N70" s="193"/>
      <c r="O70" s="193"/>
      <c r="P70" s="193"/>
      <c r="Q70" s="200"/>
      <c r="R70" s="86"/>
      <c r="S70" s="114">
        <f t="shared" ref="S70:T70" si="71">A70</f>
        <v>69</v>
      </c>
      <c r="T70" s="114" t="str">
        <f t="shared" si="71"/>
        <v>تارا صنوبری</v>
      </c>
      <c r="U70" s="86" t="str">
        <f t="shared" si="3"/>
        <v>0</v>
      </c>
      <c r="V70" s="86" t="str">
        <f t="shared" si="4"/>
        <v>پیش‌وایی 1</v>
      </c>
      <c r="W70" s="86"/>
      <c r="X70" s="86"/>
    </row>
    <row r="71">
      <c r="A71" s="201">
        <v>70.0</v>
      </c>
      <c r="B71" s="202" t="s">
        <v>1220</v>
      </c>
      <c r="C71" s="203" t="s">
        <v>1221</v>
      </c>
      <c r="D71" s="204" t="str">
        <f>IFERROR(__xludf.DUMMYFUNCTION("ARRAYFORMULA(LET( converted, SUBSTITUTE( SUBSTITUTE( SUBSTITUTE( SUBSTITUTE( SUBSTITUTE( SUBSTITUTE( SUBSTITUTE( SUBSTITUTE( SUBSTITUTE( SUBSTITUTE( C71, ""۰"", ""0""), ""۱"", ""1""), ""۲"", ""2""), ""۳"", ""3""), ""۴"", ""4""), ""۵"", ""5""), ""۶"", ""6"&amp;"""), ""۷"", ""7""), ""۸"", ""8""), ""۹"", ""9""), IF(LEFT(converted,3)=""+98"", ""0"" &amp; RIGHT(converted, LEN(converted)-3), IF(LEFT(converted,2)=""98"", ""0"" &amp; RIGHT(converted, LEN(converted)-2), IF(LEFT(converted,1)&lt;&gt;""0"", ""0"" &amp; converted, REGEXREPLA"&amp;"CE(converted , ""\s"", """")) ) ) ) )"),"09122822695")</f>
        <v>09122822695</v>
      </c>
      <c r="E71" s="205" t="s">
        <v>17</v>
      </c>
      <c r="F71" s="206">
        <v>1.0</v>
      </c>
      <c r="G71" s="202" t="s">
        <v>730</v>
      </c>
      <c r="H71" s="202" t="s">
        <v>1222</v>
      </c>
      <c r="I71" s="203"/>
      <c r="J71" s="203" t="s">
        <v>1223</v>
      </c>
      <c r="K71" s="207" t="s">
        <v>1224</v>
      </c>
      <c r="L71" s="207" t="s">
        <v>1225</v>
      </c>
      <c r="M71" s="202" t="s">
        <v>1226</v>
      </c>
      <c r="N71" s="202" t="s">
        <v>1227</v>
      </c>
      <c r="O71" s="207" t="s">
        <v>737</v>
      </c>
      <c r="P71" s="202"/>
      <c r="Q71" s="208"/>
      <c r="R71" s="86"/>
      <c r="S71" s="114">
        <f t="shared" ref="S71:T71" si="72">A71</f>
        <v>70</v>
      </c>
      <c r="T71" s="114" t="str">
        <f t="shared" si="72"/>
        <v>علی اکبر سلطانلو</v>
      </c>
      <c r="U71" s="86" t="str">
        <f t="shared" si="3"/>
        <v>09122822695</v>
      </c>
      <c r="V71" s="86" t="str">
        <f t="shared" si="4"/>
        <v>پیش‌وایی 1</v>
      </c>
      <c r="W71" s="86"/>
      <c r="X71" s="86"/>
    </row>
    <row r="72">
      <c r="A72" s="192">
        <v>71.0</v>
      </c>
      <c r="B72" s="193" t="s">
        <v>1228</v>
      </c>
      <c r="C72" s="194" t="s">
        <v>1229</v>
      </c>
      <c r="D72" s="195" t="str">
        <f>IFERROR(__xludf.DUMMYFUNCTION("ARRAYFORMULA(LET( converted, SUBSTITUTE( SUBSTITUTE( SUBSTITUTE( SUBSTITUTE( SUBSTITUTE( SUBSTITUTE( SUBSTITUTE( SUBSTITUTE( SUBSTITUTE( SUBSTITUTE( C72, ""۰"", ""0""), ""۱"", ""1""), ""۲"", ""2""), ""۳"", ""3""), ""۴"", ""4""), ""۵"", ""5""), ""۶"", ""6"&amp;"""), ""۷"", ""7""), ""۸"", ""8""), ""۹"", ""9""), IF(LEFT(converted,3)=""+98"", ""0"" &amp; RIGHT(converted, LEN(converted)-3), IF(LEFT(converted,2)=""98"", ""0"" &amp; RIGHT(converted, LEN(converted)-2), IF(LEFT(converted,1)&lt;&gt;""0"", ""0"" &amp; converted, REGEXREPLA"&amp;"CE(converted , ""\s"", """")) ) ) ) )"),"09127941917")</f>
        <v>09127941917</v>
      </c>
      <c r="E72" s="196" t="s">
        <v>17</v>
      </c>
      <c r="F72" s="197">
        <v>1.0</v>
      </c>
      <c r="G72" s="193" t="s">
        <v>746</v>
      </c>
      <c r="H72" s="193" t="s">
        <v>1230</v>
      </c>
      <c r="I72" s="194"/>
      <c r="J72" s="194" t="s">
        <v>1231</v>
      </c>
      <c r="K72" s="199" t="s">
        <v>1232</v>
      </c>
      <c r="L72" s="199" t="s">
        <v>1233</v>
      </c>
      <c r="M72" s="193" t="s">
        <v>1234</v>
      </c>
      <c r="N72" s="193" t="s">
        <v>1235</v>
      </c>
      <c r="O72" s="199" t="s">
        <v>737</v>
      </c>
      <c r="P72" s="193"/>
      <c r="Q72" s="200"/>
      <c r="R72" s="86"/>
      <c r="S72" s="114">
        <f t="shared" ref="S72:T72" si="73">A72</f>
        <v>71</v>
      </c>
      <c r="T72" s="114" t="str">
        <f t="shared" si="73"/>
        <v>معصومه کوه نورد</v>
      </c>
      <c r="U72" s="86" t="str">
        <f t="shared" si="3"/>
        <v>09127941917</v>
      </c>
      <c r="V72" s="86" t="str">
        <f t="shared" si="4"/>
        <v>پیش‌وایی 1</v>
      </c>
      <c r="W72" s="86"/>
      <c r="X72" s="86"/>
    </row>
    <row r="73">
      <c r="A73" s="201">
        <v>72.0</v>
      </c>
      <c r="B73" s="202" t="s">
        <v>1236</v>
      </c>
      <c r="C73" s="203" t="s">
        <v>1237</v>
      </c>
      <c r="D73" s="204" t="str">
        <f>IFERROR(__xludf.DUMMYFUNCTION("ARRAYFORMULA(LET( converted, SUBSTITUTE( SUBSTITUTE( SUBSTITUTE( SUBSTITUTE( SUBSTITUTE( SUBSTITUTE( SUBSTITUTE( SUBSTITUTE( SUBSTITUTE( SUBSTITUTE( C73, ""۰"", ""0""), ""۱"", ""1""), ""۲"", ""2""), ""۳"", ""3""), ""۴"", ""4""), ""۵"", ""5""), ""۶"", ""6"&amp;"""), ""۷"", ""7""), ""۸"", ""8""), ""۹"", ""9""), IF(LEFT(converted,3)=""+98"", ""0"" &amp; RIGHT(converted, LEN(converted)-3), IF(LEFT(converted,2)=""98"", ""0"" &amp; RIGHT(converted, LEN(converted)-2), IF(LEFT(converted,1)&lt;&gt;""0"", ""0"" &amp; converted, REGEXREPLA"&amp;"CE(converted , ""\s"", """")) ) ) ) )"),"09031586747")</f>
        <v>09031586747</v>
      </c>
      <c r="E73" s="205" t="s">
        <v>17</v>
      </c>
      <c r="F73" s="206">
        <v>1.0</v>
      </c>
      <c r="G73" s="202" t="s">
        <v>746</v>
      </c>
      <c r="H73" s="202" t="s">
        <v>1238</v>
      </c>
      <c r="I73" s="203"/>
      <c r="J73" s="203" t="s">
        <v>1239</v>
      </c>
      <c r="K73" s="207" t="s">
        <v>1240</v>
      </c>
      <c r="L73" s="207" t="s">
        <v>1241</v>
      </c>
      <c r="M73" s="202" t="s">
        <v>1242</v>
      </c>
      <c r="N73" s="202" t="s">
        <v>1243</v>
      </c>
      <c r="O73" s="207" t="s">
        <v>737</v>
      </c>
      <c r="P73" s="202"/>
      <c r="Q73" s="208"/>
      <c r="R73" s="86"/>
      <c r="S73" s="114">
        <f t="shared" ref="S73:T73" si="74">A73</f>
        <v>72</v>
      </c>
      <c r="T73" s="114" t="str">
        <f t="shared" si="74"/>
        <v>هانیه قلی نژاد</v>
      </c>
      <c r="U73" s="86" t="str">
        <f t="shared" si="3"/>
        <v>09031586747</v>
      </c>
      <c r="V73" s="86" t="str">
        <f t="shared" si="4"/>
        <v>پیش‌وایی 1</v>
      </c>
      <c r="W73" s="86"/>
      <c r="X73" s="86"/>
    </row>
    <row r="74">
      <c r="A74" s="192">
        <v>73.0</v>
      </c>
      <c r="B74" s="193" t="s">
        <v>1244</v>
      </c>
      <c r="C74" s="194" t="s">
        <v>1245</v>
      </c>
      <c r="D74" s="195" t="str">
        <f>IFERROR(__xludf.DUMMYFUNCTION("ARRAYFORMULA(LET( converted, SUBSTITUTE( SUBSTITUTE( SUBSTITUTE( SUBSTITUTE( SUBSTITUTE( SUBSTITUTE( SUBSTITUTE( SUBSTITUTE( SUBSTITUTE( SUBSTITUTE( C74, ""۰"", ""0""), ""۱"", ""1""), ""۲"", ""2""), ""۳"", ""3""), ""۴"", ""4""), ""۵"", ""5""), ""۶"", ""6"&amp;"""), ""۷"", ""7""), ""۸"", ""8""), ""۹"", ""9""), IF(LEFT(converted,3)=""+98"", ""0"" &amp; RIGHT(converted, LEN(converted)-3), IF(LEFT(converted,2)=""98"", ""0"" &amp; RIGHT(converted, LEN(converted)-2), IF(LEFT(converted,1)&lt;&gt;""0"", ""0"" &amp; converted, REGEXREPLA"&amp;"CE(converted , ""\s"", """")) ) ) ) )"),"09123375316")</f>
        <v>09123375316</v>
      </c>
      <c r="E74" s="196" t="s">
        <v>17</v>
      </c>
      <c r="F74" s="197">
        <v>1.0</v>
      </c>
      <c r="G74" s="193" t="s">
        <v>730</v>
      </c>
      <c r="H74" s="193" t="s">
        <v>1246</v>
      </c>
      <c r="I74" s="194"/>
      <c r="J74" s="194" t="s">
        <v>1247</v>
      </c>
      <c r="K74" s="199" t="s">
        <v>1248</v>
      </c>
      <c r="L74" s="199" t="s">
        <v>1249</v>
      </c>
      <c r="M74" s="193" t="s">
        <v>1250</v>
      </c>
      <c r="N74" s="193" t="s">
        <v>1251</v>
      </c>
      <c r="O74" s="199" t="s">
        <v>737</v>
      </c>
      <c r="P74" s="193"/>
      <c r="Q74" s="200"/>
      <c r="R74" s="86"/>
      <c r="S74" s="114">
        <f t="shared" ref="S74:T74" si="75">A74</f>
        <v>73</v>
      </c>
      <c r="T74" s="114" t="str">
        <f t="shared" si="75"/>
        <v>جواد خسروی مقدم</v>
      </c>
      <c r="U74" s="86" t="str">
        <f t="shared" si="3"/>
        <v>09123375316</v>
      </c>
      <c r="V74" s="86" t="str">
        <f t="shared" si="4"/>
        <v>پیش‌وایی 1</v>
      </c>
      <c r="W74" s="86"/>
      <c r="X74" s="86"/>
    </row>
    <row r="75">
      <c r="A75" s="201">
        <v>74.0</v>
      </c>
      <c r="B75" s="202" t="s">
        <v>1252</v>
      </c>
      <c r="C75" s="203" t="s">
        <v>1253</v>
      </c>
      <c r="D75" s="204" t="str">
        <f>IFERROR(__xludf.DUMMYFUNCTION("ARRAYFORMULA(LET( converted, SUBSTITUTE( SUBSTITUTE( SUBSTITUTE( SUBSTITUTE( SUBSTITUTE( SUBSTITUTE( SUBSTITUTE( SUBSTITUTE( SUBSTITUTE( SUBSTITUTE( C75, ""۰"", ""0""), ""۱"", ""1""), ""۲"", ""2""), ""۳"", ""3""), ""۴"", ""4""), ""۵"", ""5""), ""۶"", ""6"&amp;"""), ""۷"", ""7""), ""۸"", ""8""), ""۹"", ""9""), IF(LEFT(converted,3)=""+98"", ""0"" &amp; RIGHT(converted, LEN(converted)-3), IF(LEFT(converted,2)=""98"", ""0"" &amp; RIGHT(converted, LEN(converted)-2), IF(LEFT(converted,1)&lt;&gt;""0"", ""0"" &amp; converted, REGEXREPLA"&amp;"CE(converted , ""\s"", """")) ) ) ) )"),"09353366724")</f>
        <v>09353366724</v>
      </c>
      <c r="E75" s="205" t="s">
        <v>17</v>
      </c>
      <c r="F75" s="206">
        <v>1.0</v>
      </c>
      <c r="G75" s="202" t="s">
        <v>746</v>
      </c>
      <c r="H75" s="202" t="s">
        <v>1254</v>
      </c>
      <c r="I75" s="203"/>
      <c r="J75" s="203" t="s">
        <v>1255</v>
      </c>
      <c r="K75" s="207" t="s">
        <v>749</v>
      </c>
      <c r="L75" s="207" t="s">
        <v>1256</v>
      </c>
      <c r="M75" s="202" t="s">
        <v>751</v>
      </c>
      <c r="N75" s="202" t="s">
        <v>1257</v>
      </c>
      <c r="O75" s="207" t="s">
        <v>737</v>
      </c>
      <c r="P75" s="202"/>
      <c r="Q75" s="208"/>
      <c r="R75" s="86"/>
      <c r="S75" s="114">
        <f t="shared" ref="S75:T75" si="76">A75</f>
        <v>74</v>
      </c>
      <c r="T75" s="114" t="str">
        <f t="shared" si="76"/>
        <v>لیلا سلطانی</v>
      </c>
      <c r="U75" s="86" t="str">
        <f t="shared" si="3"/>
        <v>09353366724</v>
      </c>
      <c r="V75" s="86" t="str">
        <f t="shared" si="4"/>
        <v>پیش‌وایی 1</v>
      </c>
      <c r="W75" s="86"/>
      <c r="X75" s="86"/>
    </row>
    <row r="76">
      <c r="A76" s="192">
        <v>75.0</v>
      </c>
      <c r="B76" s="193" t="s">
        <v>1258</v>
      </c>
      <c r="C76" s="194" t="s">
        <v>1259</v>
      </c>
      <c r="D76" s="195" t="str">
        <f>IFERROR(__xludf.DUMMYFUNCTION("ARRAYFORMULA(LET( converted, SUBSTITUTE( SUBSTITUTE( SUBSTITUTE( SUBSTITUTE( SUBSTITUTE( SUBSTITUTE( SUBSTITUTE( SUBSTITUTE( SUBSTITUTE( SUBSTITUTE( C76, ""۰"", ""0""), ""۱"", ""1""), ""۲"", ""2""), ""۳"", ""3""), ""۴"", ""4""), ""۵"", ""5""), ""۶"", ""6"&amp;"""), ""۷"", ""7""), ""۸"", ""8""), ""۹"", ""9""), IF(LEFT(converted,3)=""+98"", ""0"" &amp; RIGHT(converted, LEN(converted)-3), IF(LEFT(converted,2)=""98"", ""0"" &amp; RIGHT(converted, LEN(converted)-2), IF(LEFT(converted,1)&lt;&gt;""0"", ""0"" &amp; converted, REGEXREPLA"&amp;"CE(converted , ""\s"", """")) ) ) ) )"),"09334860672")</f>
        <v>09334860672</v>
      </c>
      <c r="E76" s="196" t="s">
        <v>17</v>
      </c>
      <c r="F76" s="197">
        <v>1.0</v>
      </c>
      <c r="G76" s="193" t="s">
        <v>746</v>
      </c>
      <c r="H76" s="193" t="s">
        <v>1260</v>
      </c>
      <c r="I76" s="194"/>
      <c r="J76" s="194" t="s">
        <v>1261</v>
      </c>
      <c r="K76" s="199" t="s">
        <v>1262</v>
      </c>
      <c r="L76" s="199" t="s">
        <v>1263</v>
      </c>
      <c r="M76" s="193" t="s">
        <v>1264</v>
      </c>
      <c r="N76" s="193" t="s">
        <v>1265</v>
      </c>
      <c r="O76" s="199" t="s">
        <v>737</v>
      </c>
      <c r="P76" s="193"/>
      <c r="Q76" s="200"/>
      <c r="R76" s="86"/>
      <c r="S76" s="114">
        <f t="shared" ref="S76:T76" si="77">A76</f>
        <v>75</v>
      </c>
      <c r="T76" s="114" t="str">
        <f t="shared" si="77"/>
        <v>میترا مسعودی</v>
      </c>
      <c r="U76" s="86" t="str">
        <f t="shared" si="3"/>
        <v>09334860672</v>
      </c>
      <c r="V76" s="86" t="str">
        <f t="shared" si="4"/>
        <v>پیش‌وایی 1</v>
      </c>
      <c r="W76" s="86"/>
      <c r="X76" s="86"/>
    </row>
    <row r="77">
      <c r="A77" s="201">
        <v>76.0</v>
      </c>
      <c r="B77" s="202" t="s">
        <v>1266</v>
      </c>
      <c r="C77" s="203"/>
      <c r="D77" s="204" t="str">
        <f>IFERROR(__xludf.DUMMYFUNCTION("ARRAYFORMULA(LET( converted, SUBSTITUTE( SUBSTITUTE( SUBSTITUTE( SUBSTITUTE( SUBSTITUTE( SUBSTITUTE( SUBSTITUTE( SUBSTITUTE( SUBSTITUTE( SUBSTITUTE( C77, ""۰"", ""0""), ""۱"", ""1""), ""۲"", ""2""), ""۳"", ""3""), ""۴"", ""4""), ""۵"", ""5""), ""۶"", ""6"&amp;"""), ""۷"", ""7""), ""۸"", ""8""), ""۹"", ""9""), IF(LEFT(converted,3)=""+98"", ""0"" &amp; RIGHT(converted, LEN(converted)-3), IF(LEFT(converted,2)=""98"", ""0"" &amp; RIGHT(converted, LEN(converted)-2), IF(LEFT(converted,1)&lt;&gt;""0"", ""0"" &amp; converted, REGEXREPLA"&amp;"CE(converted , ""\s"", """")) ) ) ) )"),"0")</f>
        <v>0</v>
      </c>
      <c r="E77" s="205" t="s">
        <v>17</v>
      </c>
      <c r="F77" s="206">
        <v>1.0</v>
      </c>
      <c r="G77" s="202" t="s">
        <v>730</v>
      </c>
      <c r="H77" s="202" t="s">
        <v>1267</v>
      </c>
      <c r="I77" s="203"/>
      <c r="J77" s="203" t="s">
        <v>1268</v>
      </c>
      <c r="K77" s="207" t="s">
        <v>1269</v>
      </c>
      <c r="L77" s="207" t="s">
        <v>1270</v>
      </c>
      <c r="M77" s="202" t="s">
        <v>812</v>
      </c>
      <c r="N77" s="202" t="s">
        <v>1271</v>
      </c>
      <c r="O77" s="207" t="s">
        <v>753</v>
      </c>
      <c r="P77" s="202"/>
      <c r="Q77" s="208"/>
      <c r="R77" s="86"/>
      <c r="S77" s="114">
        <f t="shared" ref="S77:T77" si="78">A77</f>
        <v>76</v>
      </c>
      <c r="T77" s="114" t="str">
        <f t="shared" si="78"/>
        <v>محمدعلی سماک مقدم</v>
      </c>
      <c r="U77" s="86" t="str">
        <f t="shared" si="3"/>
        <v>0</v>
      </c>
      <c r="V77" s="86" t="str">
        <f t="shared" si="4"/>
        <v>پیش‌وایی 1</v>
      </c>
      <c r="W77" s="86"/>
      <c r="X77" s="86"/>
    </row>
    <row r="78">
      <c r="A78" s="192">
        <v>77.0</v>
      </c>
      <c r="B78" s="193" t="s">
        <v>1272</v>
      </c>
      <c r="C78" s="194" t="s">
        <v>1273</v>
      </c>
      <c r="D78" s="195" t="str">
        <f>IFERROR(__xludf.DUMMYFUNCTION("ARRAYFORMULA(LET( converted, SUBSTITUTE( SUBSTITUTE( SUBSTITUTE( SUBSTITUTE( SUBSTITUTE( SUBSTITUTE( SUBSTITUTE( SUBSTITUTE( SUBSTITUTE( SUBSTITUTE( C78, ""۰"", ""0""), ""۱"", ""1""), ""۲"", ""2""), ""۳"", ""3""), ""۴"", ""4""), ""۵"", ""5""), ""۶"", ""6"&amp;"""), ""۷"", ""7""), ""۸"", ""8""), ""۹"", ""9""), IF(LEFT(converted,3)=""+98"", ""0"" &amp; RIGHT(converted, LEN(converted)-3), IF(LEFT(converted,2)=""98"", ""0"" &amp; RIGHT(converted, LEN(converted)-2), IF(LEFT(converted,1)&lt;&gt;""0"", ""0"" &amp; converted, REGEXREPLA"&amp;"CE(converted , ""\s"", """")) ) ) ) )"),"09354421262")</f>
        <v>09354421262</v>
      </c>
      <c r="E78" s="196" t="s">
        <v>17</v>
      </c>
      <c r="F78" s="197">
        <v>1.0</v>
      </c>
      <c r="G78" s="193" t="s">
        <v>730</v>
      </c>
      <c r="H78" s="193" t="s">
        <v>1274</v>
      </c>
      <c r="I78" s="194"/>
      <c r="J78" s="194" t="s">
        <v>1275</v>
      </c>
      <c r="K78" s="199" t="s">
        <v>222</v>
      </c>
      <c r="L78" s="199" t="s">
        <v>1276</v>
      </c>
      <c r="M78" s="193" t="s">
        <v>1277</v>
      </c>
      <c r="N78" s="193" t="s">
        <v>1278</v>
      </c>
      <c r="O78" s="199" t="s">
        <v>737</v>
      </c>
      <c r="P78" s="193"/>
      <c r="Q78" s="200"/>
      <c r="R78" s="86"/>
      <c r="S78" s="114">
        <f t="shared" ref="S78:T78" si="79">A78</f>
        <v>77</v>
      </c>
      <c r="T78" s="114" t="str">
        <f t="shared" si="79"/>
        <v>بهنام الماسی</v>
      </c>
      <c r="U78" s="86" t="str">
        <f t="shared" si="3"/>
        <v>09354421262</v>
      </c>
      <c r="V78" s="86" t="str">
        <f t="shared" si="4"/>
        <v>پیش‌وایی 1</v>
      </c>
      <c r="W78" s="86"/>
      <c r="X78" s="86"/>
    </row>
    <row r="79">
      <c r="A79" s="201">
        <v>78.0</v>
      </c>
      <c r="B79" s="202" t="s">
        <v>1279</v>
      </c>
      <c r="C79" s="203"/>
      <c r="D79" s="204" t="str">
        <f>IFERROR(__xludf.DUMMYFUNCTION("ARRAYFORMULA(LET( converted, SUBSTITUTE( SUBSTITUTE( SUBSTITUTE( SUBSTITUTE( SUBSTITUTE( SUBSTITUTE( SUBSTITUTE( SUBSTITUTE( SUBSTITUTE( SUBSTITUTE( C79, ""۰"", ""0""), ""۱"", ""1""), ""۲"", ""2""), ""۳"", ""3""), ""۴"", ""4""), ""۵"", ""5""), ""۶"", ""6"&amp;"""), ""۷"", ""7""), ""۸"", ""8""), ""۹"", ""9""), IF(LEFT(converted,3)=""+98"", ""0"" &amp; RIGHT(converted, LEN(converted)-3), IF(LEFT(converted,2)=""98"", ""0"" &amp; RIGHT(converted, LEN(converted)-2), IF(LEFT(converted,1)&lt;&gt;""0"", ""0"" &amp; converted, REGEXREPLA"&amp;"CE(converted , ""\s"", """")) ) ) ) )"),"0")</f>
        <v>0</v>
      </c>
      <c r="E79" s="205" t="s">
        <v>17</v>
      </c>
      <c r="F79" s="206">
        <v>1.0</v>
      </c>
      <c r="G79" s="202" t="s">
        <v>746</v>
      </c>
      <c r="H79" s="202" t="s">
        <v>1280</v>
      </c>
      <c r="I79" s="203"/>
      <c r="J79" s="203" t="s">
        <v>1281</v>
      </c>
      <c r="K79" s="207" t="s">
        <v>1240</v>
      </c>
      <c r="L79" s="207" t="s">
        <v>1282</v>
      </c>
      <c r="M79" s="202" t="s">
        <v>1283</v>
      </c>
      <c r="N79" s="202" t="s">
        <v>1284</v>
      </c>
      <c r="O79" s="207" t="s">
        <v>753</v>
      </c>
      <c r="P79" s="202"/>
      <c r="Q79" s="208"/>
      <c r="R79" s="86"/>
      <c r="S79" s="114">
        <f t="shared" ref="S79:T79" si="80">A79</f>
        <v>78</v>
      </c>
      <c r="T79" s="114" t="str">
        <f t="shared" si="80"/>
        <v>هانیه لطفی</v>
      </c>
      <c r="U79" s="86" t="str">
        <f t="shared" si="3"/>
        <v>0</v>
      </c>
      <c r="V79" s="86" t="str">
        <f t="shared" si="4"/>
        <v>پیش‌وایی 1</v>
      </c>
      <c r="W79" s="86"/>
      <c r="X79" s="86"/>
    </row>
    <row r="80">
      <c r="A80" s="192">
        <v>79.0</v>
      </c>
      <c r="B80" s="193" t="s">
        <v>1285</v>
      </c>
      <c r="C80" s="194" t="s">
        <v>1286</v>
      </c>
      <c r="D80" s="195" t="str">
        <f>IFERROR(__xludf.DUMMYFUNCTION("ARRAYFORMULA(LET( converted, SUBSTITUTE( SUBSTITUTE( SUBSTITUTE( SUBSTITUTE( SUBSTITUTE( SUBSTITUTE( SUBSTITUTE( SUBSTITUTE( SUBSTITUTE( SUBSTITUTE( C80, ""۰"", ""0""), ""۱"", ""1""), ""۲"", ""2""), ""۳"", ""3""), ""۴"", ""4""), ""۵"", ""5""), ""۶"", ""6"&amp;"""), ""۷"", ""7""), ""۸"", ""8""), ""۹"", ""9""), IF(LEFT(converted,3)=""+98"", ""0"" &amp; RIGHT(converted, LEN(converted)-3), IF(LEFT(converted,2)=""98"", ""0"" &amp; RIGHT(converted, LEN(converted)-2), IF(LEFT(converted,1)&lt;&gt;""0"", ""0"" &amp; converted, REGEXREPLA"&amp;"CE(converted , ""\s"", """")) ) ) ) )"),"09014557156")</f>
        <v>09014557156</v>
      </c>
      <c r="E80" s="196" t="s">
        <v>17</v>
      </c>
      <c r="F80" s="197">
        <v>1.0</v>
      </c>
      <c r="G80" s="193" t="s">
        <v>730</v>
      </c>
      <c r="H80" s="198" t="s">
        <v>1287</v>
      </c>
      <c r="I80" s="194"/>
      <c r="J80" s="194" t="s">
        <v>1288</v>
      </c>
      <c r="K80" s="199" t="s">
        <v>1289</v>
      </c>
      <c r="L80" s="199" t="s">
        <v>1012</v>
      </c>
      <c r="M80" s="193" t="s">
        <v>1290</v>
      </c>
      <c r="N80" s="193" t="s">
        <v>1013</v>
      </c>
      <c r="O80" s="199" t="s">
        <v>737</v>
      </c>
      <c r="P80" s="193"/>
      <c r="Q80" s="200"/>
      <c r="R80" s="86"/>
      <c r="S80" s="114">
        <f t="shared" ref="S80:T80" si="81">A80</f>
        <v>79</v>
      </c>
      <c r="T80" s="114" t="str">
        <f t="shared" si="81"/>
        <v>میلاد محمدی</v>
      </c>
      <c r="U80" s="86" t="str">
        <f t="shared" si="3"/>
        <v>09014557156</v>
      </c>
      <c r="V80" s="86" t="str">
        <f t="shared" si="4"/>
        <v>پیش‌وایی 1</v>
      </c>
      <c r="W80" s="86"/>
      <c r="X80" s="86"/>
    </row>
    <row r="81">
      <c r="A81" s="201">
        <v>80.0</v>
      </c>
      <c r="B81" s="202" t="s">
        <v>1291</v>
      </c>
      <c r="C81" s="203" t="s">
        <v>1292</v>
      </c>
      <c r="D81" s="204" t="str">
        <f>IFERROR(__xludf.DUMMYFUNCTION("ARRAYFORMULA(LET( converted, SUBSTITUTE( SUBSTITUTE( SUBSTITUTE( SUBSTITUTE( SUBSTITUTE( SUBSTITUTE( SUBSTITUTE( SUBSTITUTE( SUBSTITUTE( SUBSTITUTE( C81, ""۰"", ""0""), ""۱"", ""1""), ""۲"", ""2""), ""۳"", ""3""), ""۴"", ""4""), ""۵"", ""5""), ""۶"", ""6"&amp;"""), ""۷"", ""7""), ""۸"", ""8""), ""۹"", ""9""), IF(LEFT(converted,3)=""+98"", ""0"" &amp; RIGHT(converted, LEN(converted)-3), IF(LEFT(converted,2)=""98"", ""0"" &amp; RIGHT(converted, LEN(converted)-2), IF(LEFT(converted,1)&lt;&gt;""0"", ""0"" &amp; converted, REGEXREPLA"&amp;"CE(converted , ""\s"", """")) ) ) ) )"),"09379089822")</f>
        <v>09379089822</v>
      </c>
      <c r="E81" s="205" t="s">
        <v>17</v>
      </c>
      <c r="F81" s="206">
        <v>1.0</v>
      </c>
      <c r="G81" s="202" t="s">
        <v>730</v>
      </c>
      <c r="H81" s="202" t="s">
        <v>1293</v>
      </c>
      <c r="I81" s="203"/>
      <c r="J81" s="203" t="s">
        <v>1294</v>
      </c>
      <c r="K81" s="207" t="s">
        <v>192</v>
      </c>
      <c r="L81" s="207" t="s">
        <v>1295</v>
      </c>
      <c r="M81" s="202" t="s">
        <v>1296</v>
      </c>
      <c r="N81" s="202" t="s">
        <v>1297</v>
      </c>
      <c r="O81" s="207" t="s">
        <v>737</v>
      </c>
      <c r="P81" s="202"/>
      <c r="Q81" s="208"/>
      <c r="R81" s="86"/>
      <c r="S81" s="114">
        <f t="shared" ref="S81:T81" si="82">A81</f>
        <v>80</v>
      </c>
      <c r="T81" s="114" t="str">
        <f t="shared" si="82"/>
        <v>امیرحسین علمداران</v>
      </c>
      <c r="U81" s="86" t="str">
        <f t="shared" si="3"/>
        <v>09379089822</v>
      </c>
      <c r="V81" s="86" t="str">
        <f t="shared" si="4"/>
        <v>پیش‌وایی 1</v>
      </c>
      <c r="W81" s="86"/>
      <c r="X81" s="86"/>
    </row>
    <row r="82">
      <c r="A82" s="192">
        <v>81.0</v>
      </c>
      <c r="B82" s="193" t="s">
        <v>1298</v>
      </c>
      <c r="C82" s="194" t="s">
        <v>1299</v>
      </c>
      <c r="D82" s="195" t="str">
        <f>IFERROR(__xludf.DUMMYFUNCTION("ARRAYFORMULA(LET( converted, SUBSTITUTE( SUBSTITUTE( SUBSTITUTE( SUBSTITUTE( SUBSTITUTE( SUBSTITUTE( SUBSTITUTE( SUBSTITUTE( SUBSTITUTE( SUBSTITUTE( C82, ""۰"", ""0""), ""۱"", ""1""), ""۲"", ""2""), ""۳"", ""3""), ""۴"", ""4""), ""۵"", ""5""), ""۶"", ""6"&amp;"""), ""۷"", ""7""), ""۸"", ""8""), ""۹"", ""9""), IF(LEFT(converted,3)=""+98"", ""0"" &amp; RIGHT(converted, LEN(converted)-3), IF(LEFT(converted,2)=""98"", ""0"" &amp; RIGHT(converted, LEN(converted)-2), IF(LEFT(converted,1)&lt;&gt;""0"", ""0"" &amp; converted, REGEXREPLA"&amp;"CE(converted , ""\s"", """")) ) ) ) )"),"09356584946")</f>
        <v>09356584946</v>
      </c>
      <c r="E82" s="196" t="s">
        <v>17</v>
      </c>
      <c r="F82" s="197">
        <v>1.0</v>
      </c>
      <c r="G82" s="193" t="s">
        <v>746</v>
      </c>
      <c r="H82" s="193" t="s">
        <v>1300</v>
      </c>
      <c r="I82" s="194"/>
      <c r="J82" s="194" t="s">
        <v>1301</v>
      </c>
      <c r="K82" s="199" t="s">
        <v>1302</v>
      </c>
      <c r="L82" s="199" t="s">
        <v>1303</v>
      </c>
      <c r="M82" s="193" t="s">
        <v>1304</v>
      </c>
      <c r="N82" s="193" t="s">
        <v>1305</v>
      </c>
      <c r="O82" s="199" t="s">
        <v>737</v>
      </c>
      <c r="P82" s="193"/>
      <c r="Q82" s="200"/>
      <c r="R82" s="86"/>
      <c r="S82" s="114">
        <f t="shared" ref="S82:T82" si="83">A82</f>
        <v>81</v>
      </c>
      <c r="T82" s="114" t="str">
        <f t="shared" si="83"/>
        <v>مونا حسینی</v>
      </c>
      <c r="U82" s="86" t="str">
        <f t="shared" si="3"/>
        <v>09356584946</v>
      </c>
      <c r="V82" s="86" t="str">
        <f t="shared" si="4"/>
        <v>پیش‌وایی 1</v>
      </c>
      <c r="W82" s="86"/>
      <c r="X82" s="86"/>
    </row>
    <row r="83">
      <c r="A83" s="201">
        <v>82.0</v>
      </c>
      <c r="B83" s="202" t="s">
        <v>1306</v>
      </c>
      <c r="C83" s="203"/>
      <c r="D83" s="204" t="str">
        <f>IFERROR(__xludf.DUMMYFUNCTION("ARRAYFORMULA(LET( converted, SUBSTITUTE( SUBSTITUTE( SUBSTITUTE( SUBSTITUTE( SUBSTITUTE( SUBSTITUTE( SUBSTITUTE( SUBSTITUTE( SUBSTITUTE( SUBSTITUTE( C83, ""۰"", ""0""), ""۱"", ""1""), ""۲"", ""2""), ""۳"", ""3""), ""۴"", ""4""), ""۵"", ""5""), ""۶"", ""6"&amp;"""), ""۷"", ""7""), ""۸"", ""8""), ""۹"", ""9""), IF(LEFT(converted,3)=""+98"", ""0"" &amp; RIGHT(converted, LEN(converted)-3), IF(LEFT(converted,2)=""98"", ""0"" &amp; RIGHT(converted, LEN(converted)-2), IF(LEFT(converted,1)&lt;&gt;""0"", ""0"" &amp; converted, REGEXREPLA"&amp;"CE(converted , ""\s"", """")) ) ) ) )"),"0")</f>
        <v>0</v>
      </c>
      <c r="E83" s="205" t="s">
        <v>17</v>
      </c>
      <c r="F83" s="206">
        <v>1.0</v>
      </c>
      <c r="G83" s="202" t="s">
        <v>730</v>
      </c>
      <c r="H83" s="202" t="s">
        <v>1307</v>
      </c>
      <c r="I83" s="203"/>
      <c r="J83" s="203" t="s">
        <v>1308</v>
      </c>
      <c r="K83" s="207" t="s">
        <v>1309</v>
      </c>
      <c r="L83" s="207" t="s">
        <v>1303</v>
      </c>
      <c r="M83" s="202" t="s">
        <v>1185</v>
      </c>
      <c r="N83" s="202" t="s">
        <v>1305</v>
      </c>
      <c r="O83" s="207" t="s">
        <v>753</v>
      </c>
      <c r="P83" s="202"/>
      <c r="Q83" s="208"/>
      <c r="R83" s="86"/>
      <c r="S83" s="114">
        <f t="shared" ref="S83:T83" si="84">A83</f>
        <v>82</v>
      </c>
      <c r="T83" s="114" t="str">
        <f t="shared" si="84"/>
        <v>مهشید السادات حسینی</v>
      </c>
      <c r="U83" s="86" t="str">
        <f t="shared" si="3"/>
        <v>0</v>
      </c>
      <c r="V83" s="86" t="str">
        <f t="shared" si="4"/>
        <v>پیش‌وایی 1</v>
      </c>
      <c r="W83" s="86"/>
      <c r="X83" s="86"/>
    </row>
    <row r="84">
      <c r="A84" s="192">
        <v>83.0</v>
      </c>
      <c r="B84" s="193" t="s">
        <v>1310</v>
      </c>
      <c r="C84" s="194" t="s">
        <v>1311</v>
      </c>
      <c r="D84" s="195" t="str">
        <f>IFERROR(__xludf.DUMMYFUNCTION("ARRAYFORMULA(LET( converted, SUBSTITUTE( SUBSTITUTE( SUBSTITUTE( SUBSTITUTE( SUBSTITUTE( SUBSTITUTE( SUBSTITUTE( SUBSTITUTE( SUBSTITUTE( SUBSTITUTE( C84, ""۰"", ""0""), ""۱"", ""1""), ""۲"", ""2""), ""۳"", ""3""), ""۴"", ""4""), ""۵"", ""5""), ""۶"", ""6"&amp;"""), ""۷"", ""7""), ""۸"", ""8""), ""۹"", ""9""), IF(LEFT(converted,3)=""+98"", ""0"" &amp; RIGHT(converted, LEN(converted)-3), IF(LEFT(converted,2)=""98"", ""0"" &amp; RIGHT(converted, LEN(converted)-2), IF(LEFT(converted,1)&lt;&gt;""0"", ""0"" &amp; converted, REGEXREPLA"&amp;"CE(converted , ""\s"", """")) ) ) ) )"),"09194203646")</f>
        <v>09194203646</v>
      </c>
      <c r="E84" s="196" t="s">
        <v>17</v>
      </c>
      <c r="F84" s="197">
        <v>1.0</v>
      </c>
      <c r="G84" s="193" t="s">
        <v>746</v>
      </c>
      <c r="H84" s="193" t="s">
        <v>1312</v>
      </c>
      <c r="I84" s="194"/>
      <c r="J84" s="194" t="s">
        <v>1313</v>
      </c>
      <c r="K84" s="199" t="s">
        <v>1314</v>
      </c>
      <c r="L84" s="199" t="s">
        <v>1303</v>
      </c>
      <c r="M84" s="193" t="s">
        <v>1315</v>
      </c>
      <c r="N84" s="193" t="s">
        <v>1305</v>
      </c>
      <c r="O84" s="199" t="s">
        <v>737</v>
      </c>
      <c r="P84" s="193"/>
      <c r="Q84" s="200"/>
      <c r="R84" s="86"/>
      <c r="S84" s="114">
        <f t="shared" ref="S84:T84" si="85">A84</f>
        <v>83</v>
      </c>
      <c r="T84" s="114" t="str">
        <f t="shared" si="85"/>
        <v>بهنوش حسینی</v>
      </c>
      <c r="U84" s="86" t="str">
        <f t="shared" si="3"/>
        <v>09194203646</v>
      </c>
      <c r="V84" s="86" t="str">
        <f t="shared" si="4"/>
        <v>پیش‌وایی 1</v>
      </c>
      <c r="W84" s="86"/>
      <c r="X84" s="86"/>
    </row>
    <row r="85">
      <c r="A85" s="201">
        <v>84.0</v>
      </c>
      <c r="B85" s="202" t="s">
        <v>1316</v>
      </c>
      <c r="C85" s="203" t="s">
        <v>1317</v>
      </c>
      <c r="D85" s="204" t="str">
        <f>IFERROR(__xludf.DUMMYFUNCTION("ARRAYFORMULA(LET( converted, SUBSTITUTE( SUBSTITUTE( SUBSTITUTE( SUBSTITUTE( SUBSTITUTE( SUBSTITUTE( SUBSTITUTE( SUBSTITUTE( SUBSTITUTE( SUBSTITUTE( C85, ""۰"", ""0""), ""۱"", ""1""), ""۲"", ""2""), ""۳"", ""3""), ""۴"", ""4""), ""۵"", ""5""), ""۶"", ""6"&amp;"""), ""۷"", ""7""), ""۸"", ""8""), ""۹"", ""9""), IF(LEFT(converted,3)=""+98"", ""0"" &amp; RIGHT(converted, LEN(converted)-3), IF(LEFT(converted,2)=""98"", ""0"" &amp; RIGHT(converted, LEN(converted)-2), IF(LEFT(converted,1)&lt;&gt;""0"", ""0"" &amp; converted, REGEXREPLA"&amp;"CE(converted , ""\s"", """")) ) ) ) )"),"09334260133")</f>
        <v>09334260133</v>
      </c>
      <c r="E85" s="205" t="s">
        <v>17</v>
      </c>
      <c r="F85" s="206">
        <v>1.0</v>
      </c>
      <c r="G85" s="202" t="s">
        <v>730</v>
      </c>
      <c r="H85" s="202" t="s">
        <v>1318</v>
      </c>
      <c r="I85" s="203"/>
      <c r="J85" s="203" t="s">
        <v>1319</v>
      </c>
      <c r="K85" s="207" t="s">
        <v>1320</v>
      </c>
      <c r="L85" s="207" t="s">
        <v>1321</v>
      </c>
      <c r="M85" s="202" t="s">
        <v>1322</v>
      </c>
      <c r="N85" s="202" t="s">
        <v>1323</v>
      </c>
      <c r="O85" s="207" t="s">
        <v>737</v>
      </c>
      <c r="P85" s="202"/>
      <c r="Q85" s="208"/>
      <c r="R85" s="86"/>
      <c r="S85" s="114">
        <f t="shared" ref="S85:T85" si="86">A85</f>
        <v>84</v>
      </c>
      <c r="T85" s="114" t="str">
        <f t="shared" si="86"/>
        <v>کامران گرامی حقیقی</v>
      </c>
      <c r="U85" s="86" t="str">
        <f t="shared" si="3"/>
        <v>09334260133</v>
      </c>
      <c r="V85" s="86" t="str">
        <f t="shared" si="4"/>
        <v>پیش‌وایی 1</v>
      </c>
      <c r="W85" s="86"/>
      <c r="X85" s="86"/>
    </row>
    <row r="86">
      <c r="A86" s="192">
        <v>85.0</v>
      </c>
      <c r="B86" s="193" t="s">
        <v>1324</v>
      </c>
      <c r="C86" s="194"/>
      <c r="D86" s="195" t="str">
        <f>IFERROR(__xludf.DUMMYFUNCTION("ARRAYFORMULA(LET( converted, SUBSTITUTE( SUBSTITUTE( SUBSTITUTE( SUBSTITUTE( SUBSTITUTE( SUBSTITUTE( SUBSTITUTE( SUBSTITUTE( SUBSTITUTE( SUBSTITUTE( C86, ""۰"", ""0""), ""۱"", ""1""), ""۲"", ""2""), ""۳"", ""3""), ""۴"", ""4""), ""۵"", ""5""), ""۶"", ""6"&amp;"""), ""۷"", ""7""), ""۸"", ""8""), ""۹"", ""9""), IF(LEFT(converted,3)=""+98"", ""0"" &amp; RIGHT(converted, LEN(converted)-3), IF(LEFT(converted,2)=""98"", ""0"" &amp; RIGHT(converted, LEN(converted)-2), IF(LEFT(converted,1)&lt;&gt;""0"", ""0"" &amp; converted, REGEXREPLA"&amp;"CE(converted , ""\s"", """")) ) ) ) )"),"0")</f>
        <v>0</v>
      </c>
      <c r="E86" s="196" t="s">
        <v>17</v>
      </c>
      <c r="F86" s="197">
        <v>1.0</v>
      </c>
      <c r="G86" s="193" t="s">
        <v>746</v>
      </c>
      <c r="H86" s="193" t="s">
        <v>1325</v>
      </c>
      <c r="I86" s="194"/>
      <c r="J86" s="194" t="s">
        <v>1326</v>
      </c>
      <c r="K86" s="199" t="s">
        <v>766</v>
      </c>
      <c r="L86" s="199" t="s">
        <v>1327</v>
      </c>
      <c r="M86" s="193" t="s">
        <v>768</v>
      </c>
      <c r="N86" s="193" t="s">
        <v>1328</v>
      </c>
      <c r="O86" s="199" t="s">
        <v>753</v>
      </c>
      <c r="P86" s="193"/>
      <c r="Q86" s="200"/>
      <c r="R86" s="86"/>
      <c r="S86" s="114">
        <f t="shared" ref="S86:T86" si="87">A86</f>
        <v>85</v>
      </c>
      <c r="T86" s="114" t="str">
        <f t="shared" si="87"/>
        <v>ندا آهنی</v>
      </c>
      <c r="U86" s="86" t="str">
        <f t="shared" si="3"/>
        <v>0</v>
      </c>
      <c r="V86" s="86" t="str">
        <f t="shared" si="4"/>
        <v>پیش‌وایی 1</v>
      </c>
      <c r="W86" s="86"/>
      <c r="X86" s="86"/>
    </row>
    <row r="87">
      <c r="A87" s="201">
        <v>86.0</v>
      </c>
      <c r="B87" s="202" t="s">
        <v>1329</v>
      </c>
      <c r="C87" s="203" t="s">
        <v>1330</v>
      </c>
      <c r="D87" s="204" t="str">
        <f>IFERROR(__xludf.DUMMYFUNCTION("ARRAYFORMULA(LET( converted, SUBSTITUTE( SUBSTITUTE( SUBSTITUTE( SUBSTITUTE( SUBSTITUTE( SUBSTITUTE( SUBSTITUTE( SUBSTITUTE( SUBSTITUTE( SUBSTITUTE( C87, ""۰"", ""0""), ""۱"", ""1""), ""۲"", ""2""), ""۳"", ""3""), ""۴"", ""4""), ""۵"", ""5""), ""۶"", ""6"&amp;"""), ""۷"", ""7""), ""۸"", ""8""), ""۹"", ""9""), IF(LEFT(converted,3)=""+98"", ""0"" &amp; RIGHT(converted, LEN(converted)-3), IF(LEFT(converted,2)=""98"", ""0"" &amp; RIGHT(converted, LEN(converted)-2), IF(LEFT(converted,1)&lt;&gt;""0"", ""0"" &amp; converted, REGEXREPLA"&amp;"CE(converted , ""\s"", """")) ) ) ) )"),"09122115049")</f>
        <v>09122115049</v>
      </c>
      <c r="E87" s="205" t="s">
        <v>17</v>
      </c>
      <c r="F87" s="206">
        <v>1.0</v>
      </c>
      <c r="G87" s="202" t="s">
        <v>730</v>
      </c>
      <c r="H87" s="202" t="s">
        <v>1331</v>
      </c>
      <c r="I87" s="203"/>
      <c r="J87" s="203" t="s">
        <v>1332</v>
      </c>
      <c r="K87" s="207" t="s">
        <v>774</v>
      </c>
      <c r="L87" s="207" t="s">
        <v>1333</v>
      </c>
      <c r="M87" s="202" t="s">
        <v>776</v>
      </c>
      <c r="N87" s="202" t="s">
        <v>1334</v>
      </c>
      <c r="O87" s="207" t="s">
        <v>737</v>
      </c>
      <c r="P87" s="202"/>
      <c r="Q87" s="208"/>
      <c r="R87" s="86"/>
      <c r="S87" s="114">
        <f t="shared" ref="S87:T87" si="88">A87</f>
        <v>86</v>
      </c>
      <c r="T87" s="114" t="str">
        <f t="shared" si="88"/>
        <v>سیاوش فرهمند</v>
      </c>
      <c r="U87" s="86" t="str">
        <f t="shared" si="3"/>
        <v>09122115049</v>
      </c>
      <c r="V87" s="86" t="str">
        <f t="shared" si="4"/>
        <v>پیش‌وایی 1</v>
      </c>
      <c r="W87" s="86"/>
      <c r="X87" s="86"/>
    </row>
    <row r="88">
      <c r="A88" s="192">
        <v>87.0</v>
      </c>
      <c r="B88" s="193" t="s">
        <v>1335</v>
      </c>
      <c r="C88" s="194" t="s">
        <v>1336</v>
      </c>
      <c r="D88" s="195" t="str">
        <f>IFERROR(__xludf.DUMMYFUNCTION("ARRAYFORMULA(LET( converted, SUBSTITUTE( SUBSTITUTE( SUBSTITUTE( SUBSTITUTE( SUBSTITUTE( SUBSTITUTE( SUBSTITUTE( SUBSTITUTE( SUBSTITUTE( SUBSTITUTE( C88, ""۰"", ""0""), ""۱"", ""1""), ""۲"", ""2""), ""۳"", ""3""), ""۴"", ""4""), ""۵"", ""5""), ""۶"", ""6"&amp;"""), ""۷"", ""7""), ""۸"", ""8""), ""۹"", ""9""), IF(LEFT(converted,3)=""+98"", ""0"" &amp; RIGHT(converted, LEN(converted)-3), IF(LEFT(converted,2)=""98"", ""0"" &amp; RIGHT(converted, LEN(converted)-2), IF(LEFT(converted,1)&lt;&gt;""0"", ""0"" &amp; converted, REGEXREPLA"&amp;"CE(converted , ""\s"", """")) ) ) ) )"),"0#N/A")</f>
        <v>0#N/A</v>
      </c>
      <c r="E88" s="196" t="s">
        <v>17</v>
      </c>
      <c r="F88" s="197">
        <v>1.0</v>
      </c>
      <c r="G88" s="193" t="s">
        <v>746</v>
      </c>
      <c r="H88" s="198" t="s">
        <v>1337</v>
      </c>
      <c r="I88" s="194"/>
      <c r="J88" s="194" t="s">
        <v>1332</v>
      </c>
      <c r="K88" s="199" t="s">
        <v>1338</v>
      </c>
      <c r="L88" s="199" t="s">
        <v>1339</v>
      </c>
      <c r="M88" s="193" t="s">
        <v>1340</v>
      </c>
      <c r="N88" s="193" t="s">
        <v>1341</v>
      </c>
      <c r="O88" s="199" t="s">
        <v>753</v>
      </c>
      <c r="P88" s="193"/>
      <c r="Q88" s="200"/>
      <c r="R88" s="86"/>
      <c r="S88" s="114">
        <f t="shared" ref="S88:T88" si="89">A88</f>
        <v>87</v>
      </c>
      <c r="T88" s="114" t="str">
        <f t="shared" si="89"/>
        <v>بهار گلشن</v>
      </c>
      <c r="U88" s="86" t="str">
        <f t="shared" si="3"/>
        <v>0#N/A</v>
      </c>
      <c r="V88" s="86" t="str">
        <f t="shared" si="4"/>
        <v>پیش‌وایی 1</v>
      </c>
      <c r="W88" s="86"/>
      <c r="X88" s="86"/>
    </row>
    <row r="89">
      <c r="A89" s="201">
        <v>88.0</v>
      </c>
      <c r="B89" s="207" t="s">
        <v>1342</v>
      </c>
      <c r="C89" s="203" t="s">
        <v>1343</v>
      </c>
      <c r="D89" s="204" t="str">
        <f>IFERROR(__xludf.DUMMYFUNCTION("ARRAYFORMULA(LET( converted, SUBSTITUTE( SUBSTITUTE( SUBSTITUTE( SUBSTITUTE( SUBSTITUTE( SUBSTITUTE( SUBSTITUTE( SUBSTITUTE( SUBSTITUTE( SUBSTITUTE( C89, ""۰"", ""0""), ""۱"", ""1""), ""۲"", ""2""), ""۳"", ""3""), ""۴"", ""4""), ""۵"", ""5""), ""۶"", ""6"&amp;"""), ""۷"", ""7""), ""۸"", ""8""), ""۹"", ""9""), IF(LEFT(converted,3)=""+98"", ""0"" &amp; RIGHT(converted, LEN(converted)-3), IF(LEFT(converted,2)=""98"", ""0"" &amp; RIGHT(converted, LEN(converted)-2), IF(LEFT(converted,1)&lt;&gt;""0"", ""0"" &amp; converted, REGEXREPLA"&amp;"CE(converted , ""\s"", """")) ) ) ) )"),"09224830197")</f>
        <v>09224830197</v>
      </c>
      <c r="E89" s="205" t="s">
        <v>17</v>
      </c>
      <c r="F89" s="206">
        <v>1.0</v>
      </c>
      <c r="G89" s="202" t="s">
        <v>746</v>
      </c>
      <c r="H89" s="209" t="s">
        <v>1344</v>
      </c>
      <c r="I89" s="203"/>
      <c r="J89" s="203" t="s">
        <v>1345</v>
      </c>
      <c r="K89" s="207" t="s">
        <v>196</v>
      </c>
      <c r="L89" s="207" t="s">
        <v>242</v>
      </c>
      <c r="M89" s="202" t="s">
        <v>1346</v>
      </c>
      <c r="N89" s="202" t="s">
        <v>1347</v>
      </c>
      <c r="O89" s="207" t="s">
        <v>737</v>
      </c>
      <c r="P89" s="202"/>
      <c r="Q89" s="208"/>
      <c r="R89" s="86"/>
      <c r="S89" s="114">
        <f t="shared" ref="S89:T89" si="90">A89</f>
        <v>88</v>
      </c>
      <c r="T89" s="114" t="str">
        <f t="shared" si="90"/>
        <v>سایه زارعی</v>
      </c>
      <c r="U89" s="86" t="str">
        <f t="shared" si="3"/>
        <v>09224830197</v>
      </c>
      <c r="V89" s="86" t="str">
        <f t="shared" si="4"/>
        <v>پیش‌وایی 1</v>
      </c>
      <c r="W89" s="86"/>
      <c r="X89" s="86"/>
    </row>
    <row r="90">
      <c r="A90" s="192">
        <v>89.0</v>
      </c>
      <c r="B90" s="193" t="s">
        <v>1348</v>
      </c>
      <c r="C90" s="194" t="s">
        <v>1336</v>
      </c>
      <c r="D90" s="195" t="str">
        <f>IFERROR(__xludf.DUMMYFUNCTION("ARRAYFORMULA(LET( converted, SUBSTITUTE( SUBSTITUTE( SUBSTITUTE( SUBSTITUTE( SUBSTITUTE( SUBSTITUTE( SUBSTITUTE( SUBSTITUTE( SUBSTITUTE( SUBSTITUTE( C90, ""۰"", ""0""), ""۱"", ""1""), ""۲"", ""2""), ""۳"", ""3""), ""۴"", ""4""), ""۵"", ""5""), ""۶"", ""6"&amp;"""), ""۷"", ""7""), ""۸"", ""8""), ""۹"", ""9""), IF(LEFT(converted,3)=""+98"", ""0"" &amp; RIGHT(converted, LEN(converted)-3), IF(LEFT(converted,2)=""98"", ""0"" &amp; RIGHT(converted, LEN(converted)-2), IF(LEFT(converted,1)&lt;&gt;""0"", ""0"" &amp; converted, REGEXREPLA"&amp;"CE(converted , ""\s"", """")) ) ) ) )"),"0#N/A")</f>
        <v>0#N/A</v>
      </c>
      <c r="E90" s="196" t="s">
        <v>17</v>
      </c>
      <c r="F90" s="197">
        <v>1.0</v>
      </c>
      <c r="G90" s="193" t="s">
        <v>730</v>
      </c>
      <c r="H90" s="198" t="s">
        <v>1349</v>
      </c>
      <c r="I90" s="194"/>
      <c r="J90" s="194" t="s">
        <v>1350</v>
      </c>
      <c r="K90" s="199" t="s">
        <v>1351</v>
      </c>
      <c r="L90" s="199" t="s">
        <v>1352</v>
      </c>
      <c r="M90" s="193" t="s">
        <v>1353</v>
      </c>
      <c r="N90" s="193" t="s">
        <v>1354</v>
      </c>
      <c r="O90" s="199" t="s">
        <v>753</v>
      </c>
      <c r="P90" s="193"/>
      <c r="Q90" s="200"/>
      <c r="R90" s="86"/>
      <c r="S90" s="114">
        <f t="shared" ref="S90:T90" si="91">A90</f>
        <v>89</v>
      </c>
      <c r="T90" s="114" t="str">
        <f t="shared" si="91"/>
        <v>حمید طاهری</v>
      </c>
      <c r="U90" s="86" t="str">
        <f t="shared" si="3"/>
        <v>0#N/A</v>
      </c>
      <c r="V90" s="86" t="str">
        <f t="shared" si="4"/>
        <v>پیش‌وایی 1</v>
      </c>
      <c r="W90" s="86"/>
      <c r="X90" s="86"/>
    </row>
    <row r="91">
      <c r="A91" s="201">
        <v>90.0</v>
      </c>
      <c r="B91" s="202" t="s">
        <v>1355</v>
      </c>
      <c r="C91" s="203" t="s">
        <v>1356</v>
      </c>
      <c r="D91" s="204" t="str">
        <f>IFERROR(__xludf.DUMMYFUNCTION("ARRAYFORMULA(LET( converted, SUBSTITUTE( SUBSTITUTE( SUBSTITUTE( SUBSTITUTE( SUBSTITUTE( SUBSTITUTE( SUBSTITUTE( SUBSTITUTE( SUBSTITUTE( SUBSTITUTE( C91, ""۰"", ""0""), ""۱"", ""1""), ""۲"", ""2""), ""۳"", ""3""), ""۴"", ""4""), ""۵"", ""5""), ""۶"", ""6"&amp;"""), ""۷"", ""7""), ""۸"", ""8""), ""۹"", ""9""), IF(LEFT(converted,3)=""+98"", ""0"" &amp; RIGHT(converted, LEN(converted)-3), IF(LEFT(converted,2)=""98"", ""0"" &amp; RIGHT(converted, LEN(converted)-2), IF(LEFT(converted,1)&lt;&gt;""0"", ""0"" &amp; converted, REGEXREPLA"&amp;"CE(converted , ""\s"", """")) ) ) ) )"),"09125720554")</f>
        <v>09125720554</v>
      </c>
      <c r="E91" s="205" t="s">
        <v>17</v>
      </c>
      <c r="F91" s="206">
        <v>1.0</v>
      </c>
      <c r="G91" s="202" t="s">
        <v>730</v>
      </c>
      <c r="H91" s="202" t="s">
        <v>1357</v>
      </c>
      <c r="I91" s="203"/>
      <c r="J91" s="203" t="s">
        <v>1358</v>
      </c>
      <c r="K91" s="207" t="s">
        <v>1359</v>
      </c>
      <c r="L91" s="207" t="s">
        <v>1360</v>
      </c>
      <c r="M91" s="202" t="s">
        <v>1361</v>
      </c>
      <c r="N91" s="202" t="s">
        <v>1362</v>
      </c>
      <c r="O91" s="207" t="s">
        <v>737</v>
      </c>
      <c r="P91" s="202"/>
      <c r="Q91" s="208"/>
      <c r="R91" s="86"/>
      <c r="S91" s="114">
        <f t="shared" ref="S91:T91" si="92">A91</f>
        <v>90</v>
      </c>
      <c r="T91" s="114" t="str">
        <f t="shared" si="92"/>
        <v>کسری سلیمانی فرد</v>
      </c>
      <c r="U91" s="86" t="str">
        <f t="shared" si="3"/>
        <v>09125720554</v>
      </c>
      <c r="V91" s="86" t="str">
        <f t="shared" si="4"/>
        <v>پیش‌وایی 1</v>
      </c>
      <c r="W91" s="86"/>
      <c r="X91" s="86"/>
    </row>
    <row r="92">
      <c r="A92" s="192">
        <v>91.0</v>
      </c>
      <c r="B92" s="193" t="s">
        <v>1363</v>
      </c>
      <c r="C92" s="194" t="s">
        <v>1336</v>
      </c>
      <c r="D92" s="195" t="str">
        <f>IFERROR(__xludf.DUMMYFUNCTION("ARRAYFORMULA(LET( converted, SUBSTITUTE( SUBSTITUTE( SUBSTITUTE( SUBSTITUTE( SUBSTITUTE( SUBSTITUTE( SUBSTITUTE( SUBSTITUTE( SUBSTITUTE( SUBSTITUTE( C92, ""۰"", ""0""), ""۱"", ""1""), ""۲"", ""2""), ""۳"", ""3""), ""۴"", ""4""), ""۵"", ""5""), ""۶"", ""6"&amp;"""), ""۷"", ""7""), ""۸"", ""8""), ""۹"", ""9""), IF(LEFT(converted,3)=""+98"", ""0"" &amp; RIGHT(converted, LEN(converted)-3), IF(LEFT(converted,2)=""98"", ""0"" &amp; RIGHT(converted, LEN(converted)-2), IF(LEFT(converted,1)&lt;&gt;""0"", ""0"" &amp; converted, REGEXREPLA"&amp;"CE(converted , ""\s"", """")) ) ) ) )"),"0#N/A")</f>
        <v>0#N/A</v>
      </c>
      <c r="E92" s="196" t="s">
        <v>17</v>
      </c>
      <c r="F92" s="197">
        <v>1.0</v>
      </c>
      <c r="G92" s="193" t="s">
        <v>746</v>
      </c>
      <c r="H92" s="198" t="s">
        <v>1364</v>
      </c>
      <c r="I92" s="194"/>
      <c r="J92" s="194" t="s">
        <v>1365</v>
      </c>
      <c r="K92" s="199" t="s">
        <v>1366</v>
      </c>
      <c r="L92" s="199" t="s">
        <v>1367</v>
      </c>
      <c r="M92" s="193" t="s">
        <v>1368</v>
      </c>
      <c r="N92" s="193" t="s">
        <v>1369</v>
      </c>
      <c r="O92" s="199" t="s">
        <v>753</v>
      </c>
      <c r="P92" s="193"/>
      <c r="Q92" s="200"/>
      <c r="R92" s="86"/>
      <c r="S92" s="114">
        <f t="shared" ref="S92:T92" si="93">A92</f>
        <v>91</v>
      </c>
      <c r="T92" s="114" t="str">
        <f t="shared" si="93"/>
        <v>فروغ خراسانی</v>
      </c>
      <c r="U92" s="86" t="str">
        <f t="shared" si="3"/>
        <v>0#N/A</v>
      </c>
      <c r="V92" s="86" t="str">
        <f t="shared" si="4"/>
        <v>پیش‌وایی 1</v>
      </c>
      <c r="W92" s="86"/>
      <c r="X92" s="86"/>
    </row>
    <row r="93">
      <c r="A93" s="201">
        <v>92.0</v>
      </c>
      <c r="B93" s="202" t="s">
        <v>1370</v>
      </c>
      <c r="C93" s="203" t="s">
        <v>1371</v>
      </c>
      <c r="D93" s="204" t="str">
        <f>IFERROR(__xludf.DUMMYFUNCTION("ARRAYFORMULA(LET( converted, SUBSTITUTE( SUBSTITUTE( SUBSTITUTE( SUBSTITUTE( SUBSTITUTE( SUBSTITUTE( SUBSTITUTE( SUBSTITUTE( SUBSTITUTE( SUBSTITUTE( C93, ""۰"", ""0""), ""۱"", ""1""), ""۲"", ""2""), ""۳"", ""3""), ""۴"", ""4""), ""۵"", ""5""), ""۶"", ""6"&amp;"""), ""۷"", ""7""), ""۸"", ""8""), ""۹"", ""9""), IF(LEFT(converted,3)=""+98"", ""0"" &amp; RIGHT(converted, LEN(converted)-3), IF(LEFT(converted,2)=""98"", ""0"" &amp; RIGHT(converted, LEN(converted)-2), IF(LEFT(converted,1)&lt;&gt;""0"", ""0"" &amp; converted, REGEXREPLA"&amp;"CE(converted , ""\s"", """")) ) ) ) )"),"09127929218")</f>
        <v>09127929218</v>
      </c>
      <c r="E93" s="205" t="s">
        <v>17</v>
      </c>
      <c r="F93" s="206">
        <v>1.0</v>
      </c>
      <c r="G93" s="202" t="s">
        <v>730</v>
      </c>
      <c r="H93" s="209" t="s">
        <v>1372</v>
      </c>
      <c r="I93" s="203"/>
      <c r="J93" s="203" t="s">
        <v>1373</v>
      </c>
      <c r="K93" s="207" t="s">
        <v>1374</v>
      </c>
      <c r="L93" s="207" t="s">
        <v>1375</v>
      </c>
      <c r="M93" s="202" t="s">
        <v>1376</v>
      </c>
      <c r="N93" s="202" t="s">
        <v>1377</v>
      </c>
      <c r="O93" s="207" t="s">
        <v>737</v>
      </c>
      <c r="P93" s="202"/>
      <c r="Q93" s="208"/>
      <c r="R93" s="86"/>
      <c r="S93" s="114">
        <f t="shared" ref="S93:T93" si="94">A93</f>
        <v>92</v>
      </c>
      <c r="T93" s="114" t="str">
        <f t="shared" si="94"/>
        <v>امیر خراسانچی</v>
      </c>
      <c r="U93" s="86" t="str">
        <f t="shared" si="3"/>
        <v>09127929218</v>
      </c>
      <c r="V93" s="86" t="str">
        <f t="shared" si="4"/>
        <v>پیش‌وایی 1</v>
      </c>
      <c r="W93" s="86"/>
      <c r="X93" s="86"/>
    </row>
    <row r="94">
      <c r="A94" s="192">
        <v>93.0</v>
      </c>
      <c r="B94" s="193" t="s">
        <v>1378</v>
      </c>
      <c r="C94" s="194" t="s">
        <v>1336</v>
      </c>
      <c r="D94" s="195" t="str">
        <f>IFERROR(__xludf.DUMMYFUNCTION("ARRAYFORMULA(LET( converted, SUBSTITUTE( SUBSTITUTE( SUBSTITUTE( SUBSTITUTE( SUBSTITUTE( SUBSTITUTE( SUBSTITUTE( SUBSTITUTE( SUBSTITUTE( SUBSTITUTE( C94, ""۰"", ""0""), ""۱"", ""1""), ""۲"", ""2""), ""۳"", ""3""), ""۴"", ""4""), ""۵"", ""5""), ""۶"", ""6"&amp;"""), ""۷"", ""7""), ""۸"", ""8""), ""۹"", ""9""), IF(LEFT(converted,3)=""+98"", ""0"" &amp; RIGHT(converted, LEN(converted)-3), IF(LEFT(converted,2)=""98"", ""0"" &amp; RIGHT(converted, LEN(converted)-2), IF(LEFT(converted,1)&lt;&gt;""0"", ""0"" &amp; converted, REGEXREPLA"&amp;"CE(converted , ""\s"", """")) ) ) ) )"),"0#N/A")</f>
        <v>0#N/A</v>
      </c>
      <c r="E94" s="196" t="s">
        <v>17</v>
      </c>
      <c r="F94" s="197">
        <v>1.0</v>
      </c>
      <c r="G94" s="193" t="s">
        <v>746</v>
      </c>
      <c r="H94" s="193" t="s">
        <v>1379</v>
      </c>
      <c r="I94" s="194"/>
      <c r="J94" s="194" t="s">
        <v>1380</v>
      </c>
      <c r="K94" s="199" t="s">
        <v>1381</v>
      </c>
      <c r="L94" s="199" t="s">
        <v>1382</v>
      </c>
      <c r="M94" s="193" t="s">
        <v>1383</v>
      </c>
      <c r="N94" s="193" t="s">
        <v>1384</v>
      </c>
      <c r="O94" s="199" t="s">
        <v>753</v>
      </c>
      <c r="P94" s="193"/>
      <c r="Q94" s="200"/>
      <c r="R94" s="86"/>
      <c r="S94" s="114">
        <f t="shared" ref="S94:T94" si="95">A94</f>
        <v>93</v>
      </c>
      <c r="T94" s="114" t="str">
        <f t="shared" si="95"/>
        <v>انیسه آل یاسین</v>
      </c>
      <c r="U94" s="86" t="str">
        <f t="shared" si="3"/>
        <v>0#N/A</v>
      </c>
      <c r="V94" s="86" t="str">
        <f t="shared" si="4"/>
        <v>پیش‌وایی 1</v>
      </c>
      <c r="W94" s="86"/>
      <c r="X94" s="86"/>
    </row>
    <row r="95">
      <c r="A95" s="201">
        <v>94.0</v>
      </c>
      <c r="B95" s="207" t="s">
        <v>1385</v>
      </c>
      <c r="C95" s="203" t="s">
        <v>1386</v>
      </c>
      <c r="D95" s="204" t="str">
        <f>IFERROR(__xludf.DUMMYFUNCTION("ARRAYFORMULA(LET( converted, SUBSTITUTE( SUBSTITUTE( SUBSTITUTE( SUBSTITUTE( SUBSTITUTE( SUBSTITUTE( SUBSTITUTE( SUBSTITUTE( SUBSTITUTE( SUBSTITUTE( C95, ""۰"", ""0""), ""۱"", ""1""), ""۲"", ""2""), ""۳"", ""3""), ""۴"", ""4""), ""۵"", ""5""), ""۶"", ""6"&amp;"""), ""۷"", ""7""), ""۸"", ""8""), ""۹"", ""9""), IF(LEFT(converted,3)=""+98"", ""0"" &amp; RIGHT(converted, LEN(converted)-3), IF(LEFT(converted,2)=""98"", ""0"" &amp; RIGHT(converted, LEN(converted)-2), IF(LEFT(converted,1)&lt;&gt;""0"", ""0"" &amp; converted, REGEXREPLA"&amp;"CE(converted , ""\s"", """")) ) ) ) )"),"09124493681")</f>
        <v>09124493681</v>
      </c>
      <c r="E95" s="205" t="s">
        <v>17</v>
      </c>
      <c r="F95" s="206">
        <v>1.0</v>
      </c>
      <c r="G95" s="202" t="s">
        <v>730</v>
      </c>
      <c r="H95" s="209" t="s">
        <v>1387</v>
      </c>
      <c r="I95" s="203"/>
      <c r="J95" s="203" t="s">
        <v>1388</v>
      </c>
      <c r="K95" s="207" t="s">
        <v>844</v>
      </c>
      <c r="L95" s="207" t="s">
        <v>312</v>
      </c>
      <c r="M95" s="202" t="s">
        <v>1234</v>
      </c>
      <c r="N95" s="202" t="s">
        <v>846</v>
      </c>
      <c r="O95" s="207" t="s">
        <v>737</v>
      </c>
      <c r="P95" s="202"/>
      <c r="Q95" s="208"/>
      <c r="R95" s="86"/>
      <c r="S95" s="114">
        <f t="shared" ref="S95:T95" si="96">A95</f>
        <v>94</v>
      </c>
      <c r="T95" s="114" t="str">
        <f t="shared" si="96"/>
        <v>مسعود ملک محمدی</v>
      </c>
      <c r="U95" s="86" t="str">
        <f t="shared" si="3"/>
        <v>09124493681</v>
      </c>
      <c r="V95" s="86" t="str">
        <f t="shared" si="4"/>
        <v>پیش‌وایی 1</v>
      </c>
      <c r="W95" s="86"/>
      <c r="X95" s="86"/>
    </row>
    <row r="96">
      <c r="A96" s="192">
        <v>95.0</v>
      </c>
      <c r="B96" s="193" t="s">
        <v>77</v>
      </c>
      <c r="C96" s="194" t="s">
        <v>1389</v>
      </c>
      <c r="D96" s="195" t="str">
        <f>IFERROR(__xludf.DUMMYFUNCTION("ARRAYFORMULA(LET( converted, SUBSTITUTE( SUBSTITUTE( SUBSTITUTE( SUBSTITUTE( SUBSTITUTE( SUBSTITUTE( SUBSTITUTE( SUBSTITUTE( SUBSTITUTE( SUBSTITUTE( C96, ""۰"", ""0""), ""۱"", ""1""), ""۲"", ""2""), ""۳"", ""3""), ""۴"", ""4""), ""۵"", ""5""), ""۶"", ""6"&amp;"""), ""۷"", ""7""), ""۸"", ""8""), ""۹"", ""9""), IF(LEFT(converted,3)=""+98"", ""0"" &amp; RIGHT(converted, LEN(converted)-3), IF(LEFT(converted,2)=""98"", ""0"" &amp; RIGHT(converted, LEN(converted)-2), IF(LEFT(converted,1)&lt;&gt;""0"", ""0"" &amp; converted, REGEXREPLA"&amp;"CE(converted , ""\s"", """")) ) ) ) )"),"09122037453")</f>
        <v>09122037453</v>
      </c>
      <c r="E96" s="196" t="s">
        <v>17</v>
      </c>
      <c r="F96" s="197">
        <v>1.0</v>
      </c>
      <c r="G96" s="193" t="s">
        <v>730</v>
      </c>
      <c r="H96" s="198" t="s">
        <v>1390</v>
      </c>
      <c r="I96" s="194"/>
      <c r="J96" s="194" t="s">
        <v>1391</v>
      </c>
      <c r="K96" s="199" t="s">
        <v>844</v>
      </c>
      <c r="L96" s="199" t="s">
        <v>1392</v>
      </c>
      <c r="M96" s="193" t="s">
        <v>846</v>
      </c>
      <c r="N96" s="193" t="s">
        <v>1393</v>
      </c>
      <c r="O96" s="199" t="s">
        <v>737</v>
      </c>
      <c r="P96" s="193"/>
      <c r="Q96" s="200"/>
      <c r="R96" s="86"/>
      <c r="S96" s="114">
        <f t="shared" ref="S96:T96" si="97">A96</f>
        <v>95</v>
      </c>
      <c r="T96" s="114" t="str">
        <f t="shared" si="97"/>
        <v>مسعود طباطبایی</v>
      </c>
      <c r="U96" s="86" t="str">
        <f t="shared" si="3"/>
        <v>09122037453</v>
      </c>
      <c r="V96" s="86" t="str">
        <f t="shared" si="4"/>
        <v>پیش‌وایی 1</v>
      </c>
      <c r="W96" s="86"/>
      <c r="X96" s="86"/>
    </row>
    <row r="97">
      <c r="A97" s="201">
        <v>96.0</v>
      </c>
      <c r="B97" s="202" t="s">
        <v>1394</v>
      </c>
      <c r="C97" s="203"/>
      <c r="D97" s="204" t="str">
        <f>IFERROR(__xludf.DUMMYFUNCTION("ARRAYFORMULA(LET( converted, SUBSTITUTE( SUBSTITUTE( SUBSTITUTE( SUBSTITUTE( SUBSTITUTE( SUBSTITUTE( SUBSTITUTE( SUBSTITUTE( SUBSTITUTE( SUBSTITUTE( C97, ""۰"", ""0""), ""۱"", ""1""), ""۲"", ""2""), ""۳"", ""3""), ""۴"", ""4""), ""۵"", ""5""), ""۶"", ""6"&amp;"""), ""۷"", ""7""), ""۸"", ""8""), ""۹"", ""9""), IF(LEFT(converted,3)=""+98"", ""0"" &amp; RIGHT(converted, LEN(converted)-3), IF(LEFT(converted,2)=""98"", ""0"" &amp; RIGHT(converted, LEN(converted)-2), IF(LEFT(converted,1)&lt;&gt;""0"", ""0"" &amp; converted, REGEXREPLA"&amp;"CE(converted , ""\s"", """")) ) ) ) )"),"0")</f>
        <v>0</v>
      </c>
      <c r="E97" s="205" t="s">
        <v>17</v>
      </c>
      <c r="F97" s="206">
        <v>1.0</v>
      </c>
      <c r="G97" s="202" t="s">
        <v>730</v>
      </c>
      <c r="H97" s="202"/>
      <c r="I97" s="203"/>
      <c r="J97" s="203"/>
      <c r="K97" s="207" t="s">
        <v>1395</v>
      </c>
      <c r="L97" s="207" t="s">
        <v>1392</v>
      </c>
      <c r="M97" s="202"/>
      <c r="N97" s="202"/>
      <c r="O97" s="202"/>
      <c r="P97" s="202"/>
      <c r="Q97" s="208"/>
      <c r="R97" s="86"/>
      <c r="S97" s="114">
        <f t="shared" ref="S97:T97" si="98">A97</f>
        <v>96</v>
      </c>
      <c r="T97" s="114" t="str">
        <f t="shared" si="98"/>
        <v>آراد طباطبایی</v>
      </c>
      <c r="U97" s="86" t="str">
        <f t="shared" si="3"/>
        <v>0</v>
      </c>
      <c r="V97" s="86" t="str">
        <f t="shared" si="4"/>
        <v>پیش‌وایی 1</v>
      </c>
      <c r="W97" s="86"/>
      <c r="X97" s="86"/>
    </row>
    <row r="98">
      <c r="A98" s="192">
        <v>97.0</v>
      </c>
      <c r="B98" s="193" t="s">
        <v>1396</v>
      </c>
      <c r="C98" s="194"/>
      <c r="D98" s="195" t="str">
        <f>IFERROR(__xludf.DUMMYFUNCTION("ARRAYFORMULA(LET( converted, SUBSTITUTE( SUBSTITUTE( SUBSTITUTE( SUBSTITUTE( SUBSTITUTE( SUBSTITUTE( SUBSTITUTE( SUBSTITUTE( SUBSTITUTE( SUBSTITUTE( C98, ""۰"", ""0""), ""۱"", ""1""), ""۲"", ""2""), ""۳"", ""3""), ""۴"", ""4""), ""۵"", ""5""), ""۶"", ""6"&amp;"""), ""۷"", ""7""), ""۸"", ""8""), ""۹"", ""9""), IF(LEFT(converted,3)=""+98"", ""0"" &amp; RIGHT(converted, LEN(converted)-3), IF(LEFT(converted,2)=""98"", ""0"" &amp; RIGHT(converted, LEN(converted)-2), IF(LEFT(converted,1)&lt;&gt;""0"", ""0"" &amp; converted, REGEXREPLA"&amp;"CE(converted , ""\s"", """")) ) ) ) )"),"0")</f>
        <v>0</v>
      </c>
      <c r="E98" s="196" t="s">
        <v>17</v>
      </c>
      <c r="F98" s="197">
        <v>1.0</v>
      </c>
      <c r="G98" s="193" t="s">
        <v>746</v>
      </c>
      <c r="H98" s="198" t="s">
        <v>1397</v>
      </c>
      <c r="I98" s="194"/>
      <c r="J98" s="194"/>
      <c r="K98" s="199" t="s">
        <v>1398</v>
      </c>
      <c r="L98" s="199" t="s">
        <v>1399</v>
      </c>
      <c r="M98" s="193"/>
      <c r="N98" s="193"/>
      <c r="O98" s="193"/>
      <c r="P98" s="193"/>
      <c r="Q98" s="200"/>
      <c r="R98" s="86"/>
      <c r="S98" s="114">
        <f t="shared" ref="S98:T98" si="99">A98</f>
        <v>97</v>
      </c>
      <c r="T98" s="114" t="str">
        <f t="shared" si="99"/>
        <v>زهرا خاوری</v>
      </c>
      <c r="U98" s="86" t="str">
        <f t="shared" si="3"/>
        <v>0</v>
      </c>
      <c r="V98" s="86" t="str">
        <f t="shared" si="4"/>
        <v>پیش‌وایی 1</v>
      </c>
      <c r="W98" s="86"/>
      <c r="X98" s="86"/>
    </row>
    <row r="99">
      <c r="A99" s="201">
        <v>98.0</v>
      </c>
      <c r="B99" s="202" t="s">
        <v>1400</v>
      </c>
      <c r="C99" s="203" t="s">
        <v>1401</v>
      </c>
      <c r="D99" s="204" t="str">
        <f>IFERROR(__xludf.DUMMYFUNCTION("ARRAYFORMULA(LET( converted, SUBSTITUTE( SUBSTITUTE( SUBSTITUTE( SUBSTITUTE( SUBSTITUTE( SUBSTITUTE( SUBSTITUTE( SUBSTITUTE( SUBSTITUTE( SUBSTITUTE( C99, ""۰"", ""0""), ""۱"", ""1""), ""۲"", ""2""), ""۳"", ""3""), ""۴"", ""4""), ""۵"", ""5""), ""۶"", ""6"&amp;"""), ""۷"", ""7""), ""۸"", ""8""), ""۹"", ""9""), IF(LEFT(converted,3)=""+98"", ""0"" &amp; RIGHT(converted, LEN(converted)-3), IF(LEFT(converted,2)=""98"", ""0"" &amp; RIGHT(converted, LEN(converted)-2), IF(LEFT(converted,1)&lt;&gt;""0"", ""0"" &amp; converted, REGEXREPLA"&amp;"CE(converted , ""\s"", """")) ) ) ) )"),"09123377910")</f>
        <v>09123377910</v>
      </c>
      <c r="E99" s="205" t="s">
        <v>17</v>
      </c>
      <c r="F99" s="206">
        <v>1.0</v>
      </c>
      <c r="G99" s="202" t="s">
        <v>730</v>
      </c>
      <c r="H99" s="209" t="s">
        <v>1402</v>
      </c>
      <c r="I99" s="203"/>
      <c r="J99" s="203" t="s">
        <v>1403</v>
      </c>
      <c r="K99" s="207" t="s">
        <v>27</v>
      </c>
      <c r="L99" s="207" t="s">
        <v>315</v>
      </c>
      <c r="M99" s="202" t="s">
        <v>742</v>
      </c>
      <c r="N99" s="202" t="s">
        <v>1404</v>
      </c>
      <c r="O99" s="207" t="s">
        <v>737</v>
      </c>
      <c r="P99" s="202"/>
      <c r="Q99" s="208"/>
      <c r="R99" s="86"/>
      <c r="S99" s="114">
        <f t="shared" ref="S99:T99" si="100">A99</f>
        <v>98</v>
      </c>
      <c r="T99" s="114" t="str">
        <f t="shared" si="100"/>
        <v>مجید حسینی نژاد</v>
      </c>
      <c r="U99" s="86" t="str">
        <f t="shared" si="3"/>
        <v>09123377910</v>
      </c>
      <c r="V99" s="86" t="str">
        <f t="shared" si="4"/>
        <v>پیش‌وایی 1</v>
      </c>
      <c r="W99" s="86"/>
      <c r="X99" s="86"/>
    </row>
    <row r="100">
      <c r="A100" s="192">
        <v>99.0</v>
      </c>
      <c r="B100" s="193" t="s">
        <v>1405</v>
      </c>
      <c r="C100" s="194" t="s">
        <v>1406</v>
      </c>
      <c r="D100" s="195" t="str">
        <f>IFERROR(__xludf.DUMMYFUNCTION("ARRAYFORMULA(LET( converted, SUBSTITUTE( SUBSTITUTE( SUBSTITUTE( SUBSTITUTE( SUBSTITUTE( SUBSTITUTE( SUBSTITUTE( SUBSTITUTE( SUBSTITUTE( SUBSTITUTE( C100, ""۰"", ""0""), ""۱"", ""1""), ""۲"", ""2""), ""۳"", ""3""), ""۴"", ""4""), ""۵"", ""5""), ""۶"", ""6"&amp;"""), ""۷"", ""7""), ""۸"", ""8""), ""۹"", ""9""), IF(LEFT(converted,3)=""+98"", ""0"" &amp; RIGHT(converted, LEN(converted)-3), IF(LEFT(converted,2)=""98"", ""0"" &amp; RIGHT(converted, LEN(converted)-2), IF(LEFT(converted,1)&lt;&gt;""0"", ""0"" &amp; converted, REGEXREPLA"&amp;"CE(converted , ""\s"", """")) ) ) ) )"),"09123863288")</f>
        <v>09123863288</v>
      </c>
      <c r="E100" s="196" t="s">
        <v>17</v>
      </c>
      <c r="F100" s="197">
        <v>1.0</v>
      </c>
      <c r="G100" s="193" t="s">
        <v>730</v>
      </c>
      <c r="H100" s="198" t="s">
        <v>1407</v>
      </c>
      <c r="I100" s="194"/>
      <c r="J100" s="194" t="s">
        <v>1408</v>
      </c>
      <c r="K100" s="199" t="s">
        <v>844</v>
      </c>
      <c r="L100" s="199" t="s">
        <v>1409</v>
      </c>
      <c r="M100" s="193" t="s">
        <v>1410</v>
      </c>
      <c r="N100" s="193" t="s">
        <v>846</v>
      </c>
      <c r="O100" s="199" t="s">
        <v>737</v>
      </c>
      <c r="P100" s="193"/>
      <c r="Q100" s="200"/>
      <c r="R100" s="86"/>
      <c r="S100" s="114">
        <f t="shared" ref="S100:T100" si="101">A100</f>
        <v>99</v>
      </c>
      <c r="T100" s="114" t="str">
        <f t="shared" si="101"/>
        <v>مسعود حبیبی پناه</v>
      </c>
      <c r="U100" s="86" t="str">
        <f t="shared" si="3"/>
        <v>09123863288</v>
      </c>
      <c r="V100" s="86" t="str">
        <f t="shared" si="4"/>
        <v>پیش‌وایی 1</v>
      </c>
      <c r="W100" s="86"/>
      <c r="X100" s="86"/>
    </row>
    <row r="101">
      <c r="A101" s="201">
        <v>100.0</v>
      </c>
      <c r="B101" s="202" t="s">
        <v>1411</v>
      </c>
      <c r="C101" s="203" t="s">
        <v>1412</v>
      </c>
      <c r="D101" s="204" t="str">
        <f>IFERROR(__xludf.DUMMYFUNCTION("ARRAYFORMULA(LET( converted, SUBSTITUTE( SUBSTITUTE( SUBSTITUTE( SUBSTITUTE( SUBSTITUTE( SUBSTITUTE( SUBSTITUTE( SUBSTITUTE( SUBSTITUTE( SUBSTITUTE( C101, ""۰"", ""0""), ""۱"", ""1""), ""۲"", ""2""), ""۳"", ""3""), ""۴"", ""4""), ""۵"", ""5""), ""۶"", ""6"&amp;"""), ""۷"", ""7""), ""۸"", ""8""), ""۹"", ""9""), IF(LEFT(converted,3)=""+98"", ""0"" &amp; RIGHT(converted, LEN(converted)-3), IF(LEFT(converted,2)=""98"", ""0"" &amp; RIGHT(converted, LEN(converted)-2), IF(LEFT(converted,1)&lt;&gt;""0"", ""0"" &amp; converted, REGEXREPLA"&amp;"CE(converted , ""\s"", """")) ) ) ) )"),"09309054003")</f>
        <v>09309054003</v>
      </c>
      <c r="E101" s="205" t="s">
        <v>17</v>
      </c>
      <c r="F101" s="206">
        <v>1.0</v>
      </c>
      <c r="G101" s="202" t="s">
        <v>730</v>
      </c>
      <c r="H101" s="209" t="s">
        <v>1413</v>
      </c>
      <c r="I101" s="203"/>
      <c r="J101" s="203" t="s">
        <v>1414</v>
      </c>
      <c r="K101" s="207" t="s">
        <v>844</v>
      </c>
      <c r="L101" s="207" t="s">
        <v>1415</v>
      </c>
      <c r="M101" s="202" t="s">
        <v>1416</v>
      </c>
      <c r="N101" s="202" t="s">
        <v>846</v>
      </c>
      <c r="O101" s="207" t="s">
        <v>737</v>
      </c>
      <c r="P101" s="202"/>
      <c r="Q101" s="208"/>
      <c r="R101" s="86"/>
      <c r="S101" s="114">
        <f t="shared" ref="S101:T101" si="102">A101</f>
        <v>100</v>
      </c>
      <c r="T101" s="114" t="str">
        <f t="shared" si="102"/>
        <v>مسعود جمشیدیان</v>
      </c>
      <c r="U101" s="86" t="str">
        <f t="shared" si="3"/>
        <v>09309054003</v>
      </c>
      <c r="V101" s="86" t="str">
        <f t="shared" si="4"/>
        <v>پیش‌وایی 1</v>
      </c>
      <c r="W101" s="86"/>
      <c r="X101" s="86"/>
    </row>
    <row r="102">
      <c r="A102" s="192">
        <v>101.0</v>
      </c>
      <c r="B102" s="193" t="s">
        <v>1417</v>
      </c>
      <c r="C102" s="194" t="s">
        <v>1418</v>
      </c>
      <c r="D102" s="195" t="str">
        <f>IFERROR(__xludf.DUMMYFUNCTION("ARRAYFORMULA(LET( converted, SUBSTITUTE( SUBSTITUTE( SUBSTITUTE( SUBSTITUTE( SUBSTITUTE( SUBSTITUTE( SUBSTITUTE( SUBSTITUTE( SUBSTITUTE( SUBSTITUTE( C102, ""۰"", ""0""), ""۱"", ""1""), ""۲"", ""2""), ""۳"", ""3""), ""۴"", ""4""), ""۵"", ""5""), ""۶"", ""6"&amp;"""), ""۷"", ""7""), ""۸"", ""8""), ""۹"", ""9""), IF(LEFT(converted,3)=""+98"", ""0"" &amp; RIGHT(converted, LEN(converted)-3), IF(LEFT(converted,2)=""98"", ""0"" &amp; RIGHT(converted, LEN(converted)-2), IF(LEFT(converted,1)&lt;&gt;""0"", ""0"" &amp; converted, REGEXREPLA"&amp;"CE(converted , ""\s"", """")) ) ) ) )"),"01091691681")</f>
        <v>01091691681</v>
      </c>
      <c r="E102" s="196" t="s">
        <v>17</v>
      </c>
      <c r="F102" s="197">
        <v>1.0</v>
      </c>
      <c r="G102" s="193" t="s">
        <v>730</v>
      </c>
      <c r="H102" s="193"/>
      <c r="I102" s="194"/>
      <c r="J102" s="194" t="s">
        <v>1414</v>
      </c>
      <c r="K102" s="199" t="s">
        <v>1419</v>
      </c>
      <c r="L102" s="199" t="s">
        <v>1415</v>
      </c>
      <c r="M102" s="193" t="s">
        <v>1416</v>
      </c>
      <c r="N102" s="193" t="s">
        <v>1420</v>
      </c>
      <c r="O102" s="199" t="s">
        <v>753</v>
      </c>
      <c r="P102" s="193"/>
      <c r="Q102" s="200"/>
      <c r="R102" s="86"/>
      <c r="S102" s="114">
        <f t="shared" ref="S102:T102" si="103">A102</f>
        <v>101</v>
      </c>
      <c r="T102" s="114" t="str">
        <f t="shared" si="103"/>
        <v>رسول جمشیدیان</v>
      </c>
      <c r="U102" s="86" t="str">
        <f t="shared" si="3"/>
        <v>01091691681</v>
      </c>
      <c r="V102" s="86" t="str">
        <f t="shared" si="4"/>
        <v>پیش‌وایی 1</v>
      </c>
      <c r="W102" s="86"/>
      <c r="X102" s="86"/>
    </row>
    <row r="103">
      <c r="A103" s="201">
        <v>102.0</v>
      </c>
      <c r="B103" s="202" t="s">
        <v>1421</v>
      </c>
      <c r="C103" s="203" t="s">
        <v>1422</v>
      </c>
      <c r="D103" s="204" t="str">
        <f>IFERROR(__xludf.DUMMYFUNCTION("ARRAYFORMULA(LET( converted, SUBSTITUTE( SUBSTITUTE( SUBSTITUTE( SUBSTITUTE( SUBSTITUTE( SUBSTITUTE( SUBSTITUTE( SUBSTITUTE( SUBSTITUTE( SUBSTITUTE( C103, ""۰"", ""0""), ""۱"", ""1""), ""۲"", ""2""), ""۳"", ""3""), ""۴"", ""4""), ""۵"", ""5""), ""۶"", ""6"&amp;"""), ""۷"", ""7""), ""۸"", ""8""), ""۹"", ""9""), IF(LEFT(converted,3)=""+98"", ""0"" &amp; RIGHT(converted, LEN(converted)-3), IF(LEFT(converted,2)=""98"", ""0"" &amp; RIGHT(converted, LEN(converted)-2), IF(LEFT(converted,1)&lt;&gt;""0"", ""0"" &amp; converted, REGEXREPLA"&amp;"CE(converted , ""\s"", """")) ) ) ) )"),"09331009972")</f>
        <v>09331009972</v>
      </c>
      <c r="E103" s="205" t="s">
        <v>17</v>
      </c>
      <c r="F103" s="206">
        <v>1.0</v>
      </c>
      <c r="G103" s="202" t="s">
        <v>746</v>
      </c>
      <c r="H103" s="209" t="s">
        <v>1423</v>
      </c>
      <c r="I103" s="203"/>
      <c r="J103" s="203" t="s">
        <v>1424</v>
      </c>
      <c r="K103" s="207" t="s">
        <v>1425</v>
      </c>
      <c r="L103" s="207" t="s">
        <v>1426</v>
      </c>
      <c r="M103" s="202" t="s">
        <v>1427</v>
      </c>
      <c r="N103" s="202" t="s">
        <v>1428</v>
      </c>
      <c r="O103" s="207" t="s">
        <v>737</v>
      </c>
      <c r="P103" s="202"/>
      <c r="Q103" s="208"/>
      <c r="R103" s="86"/>
      <c r="S103" s="114">
        <f t="shared" ref="S103:T103" si="104">A103</f>
        <v>102</v>
      </c>
      <c r="T103" s="114" t="str">
        <f t="shared" si="104"/>
        <v>پگاه تربتی</v>
      </c>
      <c r="U103" s="86" t="str">
        <f t="shared" si="3"/>
        <v>09331009972</v>
      </c>
      <c r="V103" s="86" t="str">
        <f t="shared" si="4"/>
        <v>پیش‌وایی 1</v>
      </c>
      <c r="W103" s="86"/>
      <c r="X103" s="86"/>
    </row>
    <row r="104">
      <c r="A104" s="192">
        <v>103.0</v>
      </c>
      <c r="B104" s="193" t="s">
        <v>1429</v>
      </c>
      <c r="C104" s="194" t="s">
        <v>1430</v>
      </c>
      <c r="D104" s="195" t="str">
        <f>IFERROR(__xludf.DUMMYFUNCTION("ARRAYFORMULA(LET( converted, SUBSTITUTE( SUBSTITUTE( SUBSTITUTE( SUBSTITUTE( SUBSTITUTE( SUBSTITUTE( SUBSTITUTE( SUBSTITUTE( SUBSTITUTE( SUBSTITUTE( C104, ""۰"", ""0""), ""۱"", ""1""), ""۲"", ""2""), ""۳"", ""3""), ""۴"", ""4""), ""۵"", ""5""), ""۶"", ""6"&amp;"""), ""۷"", ""7""), ""۸"", ""8""), ""۹"", ""9""), IF(LEFT(converted,3)=""+98"", ""0"" &amp; RIGHT(converted, LEN(converted)-3), IF(LEFT(converted,2)=""98"", ""0"" &amp; RIGHT(converted, LEN(converted)-2), IF(LEFT(converted,1)&lt;&gt;""0"", ""0"" &amp; converted, REGEXREPLA"&amp;"CE(converted , ""\s"", """")) ) ) ) )"),"09132161839")</f>
        <v>09132161839</v>
      </c>
      <c r="E104" s="196" t="s">
        <v>17</v>
      </c>
      <c r="F104" s="197">
        <v>1.0</v>
      </c>
      <c r="G104" s="193" t="s">
        <v>730</v>
      </c>
      <c r="H104" s="198" t="s">
        <v>1431</v>
      </c>
      <c r="I104" s="194"/>
      <c r="J104" s="194" t="s">
        <v>1432</v>
      </c>
      <c r="K104" s="199" t="s">
        <v>1004</v>
      </c>
      <c r="L104" s="199" t="s">
        <v>1433</v>
      </c>
      <c r="M104" s="193" t="s">
        <v>1434</v>
      </c>
      <c r="N104" s="193" t="s">
        <v>1006</v>
      </c>
      <c r="O104" s="199" t="s">
        <v>737</v>
      </c>
      <c r="P104" s="193"/>
      <c r="Q104" s="200"/>
      <c r="R104" s="86"/>
      <c r="S104" s="114">
        <f t="shared" ref="S104:T104" si="105">A104</f>
        <v>103</v>
      </c>
      <c r="T104" s="114" t="str">
        <f t="shared" si="105"/>
        <v>حامد قادری پور</v>
      </c>
      <c r="U104" s="86" t="str">
        <f t="shared" si="3"/>
        <v>09132161839</v>
      </c>
      <c r="V104" s="86" t="str">
        <f t="shared" si="4"/>
        <v>پیش‌وایی 1</v>
      </c>
      <c r="W104" s="86"/>
      <c r="X104" s="86"/>
    </row>
    <row r="105">
      <c r="A105" s="201">
        <v>104.0</v>
      </c>
      <c r="B105" s="202" t="s">
        <v>1435</v>
      </c>
      <c r="C105" s="203" t="s">
        <v>1436</v>
      </c>
      <c r="D105" s="204" t="str">
        <f>IFERROR(__xludf.DUMMYFUNCTION("ARRAYFORMULA(LET( converted, SUBSTITUTE( SUBSTITUTE( SUBSTITUTE( SUBSTITUTE( SUBSTITUTE( SUBSTITUTE( SUBSTITUTE( SUBSTITUTE( SUBSTITUTE( SUBSTITUTE( C105, ""۰"", ""0""), ""۱"", ""1""), ""۲"", ""2""), ""۳"", ""3""), ""۴"", ""4""), ""۵"", ""5""), ""۶"", ""6"&amp;"""), ""۷"", ""7""), ""۸"", ""8""), ""۹"", ""9""), IF(LEFT(converted,3)=""+98"", ""0"" &amp; RIGHT(converted, LEN(converted)-3), IF(LEFT(converted,2)=""98"", ""0"" &amp; RIGHT(converted, LEN(converted)-2), IF(LEFT(converted,1)&lt;&gt;""0"", ""0"" &amp; converted, REGEXREPLA"&amp;"CE(converted , ""\s"", """")) ) ) ) )"),"09123366943")</f>
        <v>09123366943</v>
      </c>
      <c r="E105" s="205" t="s">
        <v>17</v>
      </c>
      <c r="F105" s="206">
        <v>1.0</v>
      </c>
      <c r="G105" s="202" t="s">
        <v>730</v>
      </c>
      <c r="H105" s="209" t="s">
        <v>1437</v>
      </c>
      <c r="I105" s="203"/>
      <c r="J105" s="203" t="s">
        <v>1438</v>
      </c>
      <c r="K105" s="207" t="s">
        <v>102</v>
      </c>
      <c r="L105" s="207" t="s">
        <v>1439</v>
      </c>
      <c r="M105" s="202" t="s">
        <v>1440</v>
      </c>
      <c r="N105" s="202" t="s">
        <v>905</v>
      </c>
      <c r="O105" s="207" t="s">
        <v>737</v>
      </c>
      <c r="P105" s="202"/>
      <c r="Q105" s="208"/>
      <c r="R105" s="86"/>
      <c r="S105" s="114">
        <f t="shared" ref="S105:T105" si="106">A105</f>
        <v>104</v>
      </c>
      <c r="T105" s="114" t="str">
        <f t="shared" si="106"/>
        <v>نیما پیرمرادیان</v>
      </c>
      <c r="U105" s="86" t="str">
        <f t="shared" si="3"/>
        <v>09123366943</v>
      </c>
      <c r="V105" s="86" t="str">
        <f t="shared" si="4"/>
        <v>پیش‌وایی 1</v>
      </c>
      <c r="W105" s="86"/>
      <c r="X105" s="86"/>
    </row>
    <row r="106">
      <c r="A106" s="192">
        <v>105.0</v>
      </c>
      <c r="B106" s="193" t="s">
        <v>1441</v>
      </c>
      <c r="C106" s="194" t="s">
        <v>1442</v>
      </c>
      <c r="D106" s="195" t="str">
        <f>IFERROR(__xludf.DUMMYFUNCTION("ARRAYFORMULA(LET( converted, SUBSTITUTE( SUBSTITUTE( SUBSTITUTE( SUBSTITUTE( SUBSTITUTE( SUBSTITUTE( SUBSTITUTE( SUBSTITUTE( SUBSTITUTE( SUBSTITUTE( C106, ""۰"", ""0""), ""۱"", ""1""), ""۲"", ""2""), ""۳"", ""3""), ""۴"", ""4""), ""۵"", ""5""), ""۶"", ""6"&amp;"""), ""۷"", ""7""), ""۸"", ""8""), ""۹"", ""9""), IF(LEFT(converted,3)=""+98"", ""0"" &amp; RIGHT(converted, LEN(converted)-3), IF(LEFT(converted,2)=""98"", ""0"" &amp; RIGHT(converted, LEN(converted)-2), IF(LEFT(converted,1)&lt;&gt;""0"", ""0"" &amp; converted, REGEXREPLA"&amp;"CE(converted , ""\s"", """")) ) ) ) )"),"09039102939")</f>
        <v>09039102939</v>
      </c>
      <c r="E106" s="196" t="s">
        <v>17</v>
      </c>
      <c r="F106" s="197">
        <v>1.0</v>
      </c>
      <c r="G106" s="193" t="s">
        <v>746</v>
      </c>
      <c r="H106" s="193" t="s">
        <v>1443</v>
      </c>
      <c r="I106" s="194"/>
      <c r="J106" s="194" t="s">
        <v>1444</v>
      </c>
      <c r="K106" s="199" t="s">
        <v>1445</v>
      </c>
      <c r="L106" s="199" t="s">
        <v>1446</v>
      </c>
      <c r="M106" s="193" t="s">
        <v>1447</v>
      </c>
      <c r="N106" s="193" t="s">
        <v>1448</v>
      </c>
      <c r="O106" s="199" t="s">
        <v>737</v>
      </c>
      <c r="P106" s="193"/>
      <c r="Q106" s="200"/>
      <c r="R106" s="86"/>
      <c r="S106" s="114">
        <f t="shared" ref="S106:T106" si="107">A106</f>
        <v>105</v>
      </c>
      <c r="T106" s="114" t="str">
        <f t="shared" si="107"/>
        <v>مینا عبدی</v>
      </c>
      <c r="U106" s="86" t="str">
        <f t="shared" si="3"/>
        <v>09039102939</v>
      </c>
      <c r="V106" s="86" t="str">
        <f t="shared" si="4"/>
        <v>پیش‌وایی 1</v>
      </c>
      <c r="W106" s="86"/>
      <c r="X106" s="86"/>
    </row>
    <row r="107">
      <c r="A107" s="201">
        <v>106.0</v>
      </c>
      <c r="B107" s="202" t="s">
        <v>1449</v>
      </c>
      <c r="C107" s="203" t="s">
        <v>1450</v>
      </c>
      <c r="D107" s="204" t="str">
        <f>IFERROR(__xludf.DUMMYFUNCTION("ARRAYFORMULA(LET( converted, SUBSTITUTE( SUBSTITUTE( SUBSTITUTE( SUBSTITUTE( SUBSTITUTE( SUBSTITUTE( SUBSTITUTE( SUBSTITUTE( SUBSTITUTE( SUBSTITUTE( C107, ""۰"", ""0""), ""۱"", ""1""), ""۲"", ""2""), ""۳"", ""3""), ""۴"", ""4""), ""۵"", ""5""), ""۶"", ""6"&amp;"""), ""۷"", ""7""), ""۸"", ""8""), ""۹"", ""9""), IF(LEFT(converted,3)=""+98"", ""0"" &amp; RIGHT(converted, LEN(converted)-3), IF(LEFT(converted,2)=""98"", ""0"" &amp; RIGHT(converted, LEN(converted)-2), IF(LEFT(converted,1)&lt;&gt;""0"", ""0"" &amp; converted, REGEXREPLA"&amp;"CE(converted , ""\s"", """")) ) ) ) )"),"09121388231")</f>
        <v>09121388231</v>
      </c>
      <c r="E107" s="205" t="s">
        <v>17</v>
      </c>
      <c r="F107" s="206">
        <v>1.0</v>
      </c>
      <c r="G107" s="202" t="s">
        <v>730</v>
      </c>
      <c r="H107" s="202" t="s">
        <v>1451</v>
      </c>
      <c r="I107" s="203"/>
      <c r="J107" s="203"/>
      <c r="K107" s="207" t="s">
        <v>303</v>
      </c>
      <c r="L107" s="207" t="s">
        <v>1452</v>
      </c>
      <c r="M107" s="202" t="s">
        <v>1453</v>
      </c>
      <c r="N107" s="202" t="s">
        <v>1454</v>
      </c>
      <c r="O107" s="202" t="s">
        <v>1455</v>
      </c>
      <c r="P107" s="202"/>
      <c r="Q107" s="208"/>
      <c r="R107" s="86"/>
      <c r="S107" s="114">
        <f t="shared" ref="S107:T107" si="108">A107</f>
        <v>106</v>
      </c>
      <c r="T107" s="114" t="str">
        <f t="shared" si="108"/>
        <v>محمد نصری</v>
      </c>
      <c r="U107" s="86" t="str">
        <f t="shared" si="3"/>
        <v>09121388231</v>
      </c>
      <c r="V107" s="86" t="str">
        <f t="shared" si="4"/>
        <v>پیش‌وایی 1</v>
      </c>
      <c r="W107" s="86"/>
      <c r="X107" s="86"/>
    </row>
    <row r="108">
      <c r="A108" s="192">
        <v>107.0</v>
      </c>
      <c r="B108" s="193" t="s">
        <v>1456</v>
      </c>
      <c r="C108" s="194" t="s">
        <v>1457</v>
      </c>
      <c r="D108" s="195" t="str">
        <f>IFERROR(__xludf.DUMMYFUNCTION("ARRAYFORMULA(LET( converted, SUBSTITUTE( SUBSTITUTE( SUBSTITUTE( SUBSTITUTE( SUBSTITUTE( SUBSTITUTE( SUBSTITUTE( SUBSTITUTE( SUBSTITUTE( SUBSTITUTE( C108, ""۰"", ""0""), ""۱"", ""1""), ""۲"", ""2""), ""۳"", ""3""), ""۴"", ""4""), ""۵"", ""5""), ""۶"", ""6"&amp;"""), ""۷"", ""7""), ""۸"", ""8""), ""۹"", ""9""), IF(LEFT(converted,3)=""+98"", ""0"" &amp; RIGHT(converted, LEN(converted)-3), IF(LEFT(converted,2)=""98"", ""0"" &amp; RIGHT(converted, LEN(converted)-2), IF(LEFT(converted,1)&lt;&gt;""0"", ""0"" &amp; converted, REGEXREPLA"&amp;"CE(converted , ""\s"", """")) ) ) ) )"),"09121988114")</f>
        <v>09121988114</v>
      </c>
      <c r="E108" s="196" t="s">
        <v>17</v>
      </c>
      <c r="F108" s="197">
        <v>1.0</v>
      </c>
      <c r="G108" s="193" t="s">
        <v>730</v>
      </c>
      <c r="H108" s="193" t="s">
        <v>1458</v>
      </c>
      <c r="I108" s="194"/>
      <c r="J108" s="194"/>
      <c r="K108" s="199" t="s">
        <v>1459</v>
      </c>
      <c r="L108" s="199" t="s">
        <v>1460</v>
      </c>
      <c r="M108" s="193" t="s">
        <v>1461</v>
      </c>
      <c r="N108" s="193" t="s">
        <v>1462</v>
      </c>
      <c r="O108" s="193" t="s">
        <v>1455</v>
      </c>
      <c r="P108" s="193"/>
      <c r="Q108" s="200"/>
      <c r="R108" s="86"/>
      <c r="S108" s="114">
        <f t="shared" ref="S108:T108" si="109">A108</f>
        <v>107</v>
      </c>
      <c r="T108" s="114" t="str">
        <f t="shared" si="109"/>
        <v>رضا زرنوخی</v>
      </c>
      <c r="U108" s="86" t="str">
        <f t="shared" si="3"/>
        <v>09121988114</v>
      </c>
      <c r="V108" s="86" t="str">
        <f t="shared" si="4"/>
        <v>پیش‌وایی 1</v>
      </c>
      <c r="W108" s="86"/>
      <c r="X108" s="86"/>
    </row>
    <row r="109">
      <c r="A109" s="201">
        <v>108.0</v>
      </c>
      <c r="B109" s="202" t="s">
        <v>1463</v>
      </c>
      <c r="C109" s="203" t="s">
        <v>1464</v>
      </c>
      <c r="D109" s="204" t="str">
        <f>IFERROR(__xludf.DUMMYFUNCTION("ARRAYFORMULA(LET( converted, SUBSTITUTE( SUBSTITUTE( SUBSTITUTE( SUBSTITUTE( SUBSTITUTE( SUBSTITUTE( SUBSTITUTE( SUBSTITUTE( SUBSTITUTE( SUBSTITUTE( C109, ""۰"", ""0""), ""۱"", ""1""), ""۲"", ""2""), ""۳"", ""3""), ""۴"", ""4""), ""۵"", ""5""), ""۶"", ""6"&amp;"""), ""۷"", ""7""), ""۸"", ""8""), ""۹"", ""9""), IF(LEFT(converted,3)=""+98"", ""0"" &amp; RIGHT(converted, LEN(converted)-3), IF(LEFT(converted,2)=""98"", ""0"" &amp; RIGHT(converted, LEN(converted)-2), IF(LEFT(converted,1)&lt;&gt;""0"", ""0"" &amp; converted, REGEXREPLA"&amp;"CE(converted , ""\s"", """")) ) ) ) )"),"09123441962")</f>
        <v>09123441962</v>
      </c>
      <c r="E109" s="205" t="s">
        <v>17</v>
      </c>
      <c r="F109" s="206">
        <v>1.0</v>
      </c>
      <c r="G109" s="202" t="s">
        <v>730</v>
      </c>
      <c r="H109" s="202" t="s">
        <v>1465</v>
      </c>
      <c r="I109" s="203"/>
      <c r="J109" s="203"/>
      <c r="K109" s="207" t="s">
        <v>1466</v>
      </c>
      <c r="L109" s="207" t="s">
        <v>1467</v>
      </c>
      <c r="M109" s="202" t="s">
        <v>1468</v>
      </c>
      <c r="N109" s="202" t="s">
        <v>1469</v>
      </c>
      <c r="O109" s="202" t="s">
        <v>1455</v>
      </c>
      <c r="P109" s="202"/>
      <c r="Q109" s="208"/>
      <c r="R109" s="86"/>
      <c r="S109" s="114">
        <f t="shared" ref="S109:T109" si="110">A109</f>
        <v>108</v>
      </c>
      <c r="T109" s="114" t="str">
        <f t="shared" si="110"/>
        <v>امیرعلی حسینخان</v>
      </c>
      <c r="U109" s="86" t="str">
        <f t="shared" si="3"/>
        <v>09123441962</v>
      </c>
      <c r="V109" s="86" t="str">
        <f t="shared" si="4"/>
        <v>پیش‌وایی 1</v>
      </c>
      <c r="W109" s="86"/>
      <c r="X109" s="86"/>
    </row>
    <row r="110">
      <c r="A110" s="192">
        <v>109.0</v>
      </c>
      <c r="B110" s="193" t="s">
        <v>1470</v>
      </c>
      <c r="C110" s="194" t="s">
        <v>1471</v>
      </c>
      <c r="D110" s="195" t="str">
        <f>IFERROR(__xludf.DUMMYFUNCTION("ARRAYFORMULA(LET( converted, SUBSTITUTE( SUBSTITUTE( SUBSTITUTE( SUBSTITUTE( SUBSTITUTE( SUBSTITUTE( SUBSTITUTE( SUBSTITUTE( SUBSTITUTE( SUBSTITUTE( C110, ""۰"", ""0""), ""۱"", ""1""), ""۲"", ""2""), ""۳"", ""3""), ""۴"", ""4""), ""۵"", ""5""), ""۶"", ""6"&amp;"""), ""۷"", ""7""), ""۸"", ""8""), ""۹"", ""9""), IF(LEFT(converted,3)=""+98"", ""0"" &amp; RIGHT(converted, LEN(converted)-3), IF(LEFT(converted,2)=""98"", ""0"" &amp; RIGHT(converted, LEN(converted)-2), IF(LEFT(converted,1)&lt;&gt;""0"", ""0"" &amp; converted, REGEXREPLA"&amp;"CE(converted , ""\s"", """")) ) ) ) )"),"09355408007")</f>
        <v>09355408007</v>
      </c>
      <c r="E110" s="196" t="s">
        <v>17</v>
      </c>
      <c r="F110" s="197">
        <v>1.0</v>
      </c>
      <c r="G110" s="193" t="s">
        <v>730</v>
      </c>
      <c r="H110" s="193" t="s">
        <v>1472</v>
      </c>
      <c r="I110" s="194"/>
      <c r="J110" s="194"/>
      <c r="K110" s="199" t="s">
        <v>1473</v>
      </c>
      <c r="L110" s="199" t="s">
        <v>1474</v>
      </c>
      <c r="M110" s="193" t="s">
        <v>1475</v>
      </c>
      <c r="N110" s="193" t="s">
        <v>1476</v>
      </c>
      <c r="O110" s="193" t="s">
        <v>1455</v>
      </c>
      <c r="P110" s="193"/>
      <c r="Q110" s="200"/>
      <c r="R110" s="86"/>
      <c r="S110" s="114">
        <f t="shared" ref="S110:T110" si="111">A110</f>
        <v>109</v>
      </c>
      <c r="T110" s="114" t="str">
        <f t="shared" si="111"/>
        <v>مصطفی حسامی</v>
      </c>
      <c r="U110" s="86" t="str">
        <f t="shared" si="3"/>
        <v>09355408007</v>
      </c>
      <c r="V110" s="86" t="str">
        <f t="shared" si="4"/>
        <v>پیش‌وایی 1</v>
      </c>
      <c r="W110" s="86"/>
      <c r="X110" s="86"/>
    </row>
    <row r="111">
      <c r="A111" s="201">
        <v>110.0</v>
      </c>
      <c r="B111" s="202" t="s">
        <v>1477</v>
      </c>
      <c r="C111" s="203" t="s">
        <v>1478</v>
      </c>
      <c r="D111" s="204" t="str">
        <f>IFERROR(__xludf.DUMMYFUNCTION("ARRAYFORMULA(LET( converted, SUBSTITUTE( SUBSTITUTE( SUBSTITUTE( SUBSTITUTE( SUBSTITUTE( SUBSTITUTE( SUBSTITUTE( SUBSTITUTE( SUBSTITUTE( SUBSTITUTE( C111, ""۰"", ""0""), ""۱"", ""1""), ""۲"", ""2""), ""۳"", ""3""), ""۴"", ""4""), ""۵"", ""5""), ""۶"", ""6"&amp;"""), ""۷"", ""7""), ""۸"", ""8""), ""۹"", ""9""), IF(LEFT(converted,3)=""+98"", ""0"" &amp; RIGHT(converted, LEN(converted)-3), IF(LEFT(converted,2)=""98"", ""0"" &amp; RIGHT(converted, LEN(converted)-2), IF(LEFT(converted,1)&lt;&gt;""0"", ""0"" &amp; converted, REGEXREPLA"&amp;"CE(converted , ""\s"", """")) ) ) ) )"),"09127972737")</f>
        <v>09127972737</v>
      </c>
      <c r="E111" s="205" t="s">
        <v>17</v>
      </c>
      <c r="F111" s="206">
        <v>1.0</v>
      </c>
      <c r="G111" s="202" t="s">
        <v>730</v>
      </c>
      <c r="H111" s="202" t="s">
        <v>1479</v>
      </c>
      <c r="I111" s="203"/>
      <c r="J111" s="203"/>
      <c r="K111" s="207" t="s">
        <v>200</v>
      </c>
      <c r="L111" s="207" t="s">
        <v>1480</v>
      </c>
      <c r="M111" s="202" t="s">
        <v>1093</v>
      </c>
      <c r="N111" s="202" t="s">
        <v>1481</v>
      </c>
      <c r="O111" s="202" t="s">
        <v>1455</v>
      </c>
      <c r="P111" s="202"/>
      <c r="Q111" s="208"/>
      <c r="R111" s="86"/>
      <c r="S111" s="114">
        <f t="shared" ref="S111:T111" si="112">A111</f>
        <v>110</v>
      </c>
      <c r="T111" s="114" t="str">
        <f t="shared" si="112"/>
        <v>احسان مسلمی</v>
      </c>
      <c r="U111" s="86" t="str">
        <f t="shared" si="3"/>
        <v>09127972737</v>
      </c>
      <c r="V111" s="86" t="str">
        <f t="shared" si="4"/>
        <v>پیش‌وایی 1</v>
      </c>
      <c r="W111" s="86"/>
      <c r="X111" s="86"/>
    </row>
    <row r="112">
      <c r="A112" s="192">
        <v>111.0</v>
      </c>
      <c r="B112" s="193" t="s">
        <v>1482</v>
      </c>
      <c r="C112" s="194" t="s">
        <v>1483</v>
      </c>
      <c r="D112" s="195" t="str">
        <f>IFERROR(__xludf.DUMMYFUNCTION("ARRAYFORMULA(LET( converted, SUBSTITUTE( SUBSTITUTE( SUBSTITUTE( SUBSTITUTE( SUBSTITUTE( SUBSTITUTE( SUBSTITUTE( SUBSTITUTE( SUBSTITUTE( SUBSTITUTE( C112, ""۰"", ""0""), ""۱"", ""1""), ""۲"", ""2""), ""۳"", ""3""), ""۴"", ""4""), ""۵"", ""5""), ""۶"", ""6"&amp;"""), ""۷"", ""7""), ""۸"", ""8""), ""۹"", ""9""), IF(LEFT(converted,3)=""+98"", ""0"" &amp; RIGHT(converted, LEN(converted)-3), IF(LEFT(converted,2)=""98"", ""0"" &amp; RIGHT(converted, LEN(converted)-2), IF(LEFT(converted,1)&lt;&gt;""0"", ""0"" &amp; converted, REGEXREPLA"&amp;"CE(converted , ""\s"", """")) ) ) ) )"),"09355907971")</f>
        <v>09355907971</v>
      </c>
      <c r="E112" s="196" t="s">
        <v>17</v>
      </c>
      <c r="F112" s="197">
        <v>1.0</v>
      </c>
      <c r="G112" s="193" t="s">
        <v>730</v>
      </c>
      <c r="H112" s="193" t="s">
        <v>1484</v>
      </c>
      <c r="I112" s="194"/>
      <c r="J112" s="194"/>
      <c r="K112" s="199" t="s">
        <v>1018</v>
      </c>
      <c r="L112" s="199" t="s">
        <v>940</v>
      </c>
      <c r="M112" s="193" t="s">
        <v>1020</v>
      </c>
      <c r="N112" s="193" t="s">
        <v>941</v>
      </c>
      <c r="O112" s="193" t="s">
        <v>1455</v>
      </c>
      <c r="P112" s="193"/>
      <c r="Q112" s="200"/>
      <c r="R112" s="86"/>
      <c r="S112" s="114">
        <f t="shared" ref="S112:T112" si="113">A112</f>
        <v>111</v>
      </c>
      <c r="T112" s="114" t="str">
        <f t="shared" si="113"/>
        <v>علی کریمی</v>
      </c>
      <c r="U112" s="86" t="str">
        <f t="shared" si="3"/>
        <v>09355907971</v>
      </c>
      <c r="V112" s="86" t="str">
        <f t="shared" si="4"/>
        <v>پیش‌وایی 1</v>
      </c>
      <c r="W112" s="86"/>
      <c r="X112" s="86"/>
    </row>
    <row r="113">
      <c r="A113" s="201">
        <v>112.0</v>
      </c>
      <c r="B113" s="202" t="s">
        <v>1485</v>
      </c>
      <c r="C113" s="203" t="s">
        <v>1486</v>
      </c>
      <c r="D113" s="204" t="str">
        <f>IFERROR(__xludf.DUMMYFUNCTION("ARRAYFORMULA(LET( converted, SUBSTITUTE( SUBSTITUTE( SUBSTITUTE( SUBSTITUTE( SUBSTITUTE( SUBSTITUTE( SUBSTITUTE( SUBSTITUTE( SUBSTITUTE( SUBSTITUTE( C113, ""۰"", ""0""), ""۱"", ""1""), ""۲"", ""2""), ""۳"", ""3""), ""۴"", ""4""), ""۵"", ""5""), ""۶"", ""6"&amp;"""), ""۷"", ""7""), ""۸"", ""8""), ""۹"", ""9""), IF(LEFT(converted,3)=""+98"", ""0"" &amp; RIGHT(converted, LEN(converted)-3), IF(LEFT(converted,2)=""98"", ""0"" &amp; RIGHT(converted, LEN(converted)-2), IF(LEFT(converted,1)&lt;&gt;""0"", ""0"" &amp; converted, REGEXREPLA"&amp;"CE(converted , ""\s"", """")) ) ) ) )"),"09123988422")</f>
        <v>09123988422</v>
      </c>
      <c r="E113" s="205" t="s">
        <v>17</v>
      </c>
      <c r="F113" s="206">
        <v>1.0</v>
      </c>
      <c r="G113" s="202" t="s">
        <v>730</v>
      </c>
      <c r="H113" s="202" t="s">
        <v>1487</v>
      </c>
      <c r="I113" s="203"/>
      <c r="J113" s="203"/>
      <c r="K113" s="207" t="s">
        <v>844</v>
      </c>
      <c r="L113" s="207" t="s">
        <v>954</v>
      </c>
      <c r="M113" s="202" t="s">
        <v>846</v>
      </c>
      <c r="N113" s="202" t="s">
        <v>956</v>
      </c>
      <c r="O113" s="202" t="s">
        <v>1455</v>
      </c>
      <c r="P113" s="202"/>
      <c r="Q113" s="208"/>
      <c r="R113" s="86"/>
      <c r="S113" s="114">
        <f t="shared" ref="S113:T113" si="114">A113</f>
        <v>112</v>
      </c>
      <c r="T113" s="114" t="str">
        <f t="shared" si="114"/>
        <v>مسعود بختیاری</v>
      </c>
      <c r="U113" s="86" t="str">
        <f t="shared" si="3"/>
        <v>09123988422</v>
      </c>
      <c r="V113" s="86" t="str">
        <f t="shared" si="4"/>
        <v>پیش‌وایی 1</v>
      </c>
      <c r="W113" s="86"/>
      <c r="X113" s="86"/>
    </row>
    <row r="114">
      <c r="A114" s="192">
        <v>113.0</v>
      </c>
      <c r="B114" s="193" t="s">
        <v>1488</v>
      </c>
      <c r="C114" s="194" t="s">
        <v>1489</v>
      </c>
      <c r="D114" s="195" t="str">
        <f>IFERROR(__xludf.DUMMYFUNCTION("ARRAYFORMULA(LET( converted, SUBSTITUTE( SUBSTITUTE( SUBSTITUTE( SUBSTITUTE( SUBSTITUTE( SUBSTITUTE( SUBSTITUTE( SUBSTITUTE( SUBSTITUTE( SUBSTITUTE( C114, ""۰"", ""0""), ""۱"", ""1""), ""۲"", ""2""), ""۳"", ""3""), ""۴"", ""4""), ""۵"", ""5""), ""۶"", ""6"&amp;"""), ""۷"", ""7""), ""۸"", ""8""), ""۹"", ""9""), IF(LEFT(converted,3)=""+98"", ""0"" &amp; RIGHT(converted, LEN(converted)-3), IF(LEFT(converted,2)=""98"", ""0"" &amp; RIGHT(converted, LEN(converted)-2), IF(LEFT(converted,1)&lt;&gt;""0"", ""0"" &amp; converted, REGEXREPLA"&amp;"CE(converted , ""\s"", """")) ) ) ) )"),"09120296998")</f>
        <v>09120296998</v>
      </c>
      <c r="E114" s="196" t="s">
        <v>17</v>
      </c>
      <c r="F114" s="197">
        <v>1.0</v>
      </c>
      <c r="G114" s="193" t="s">
        <v>730</v>
      </c>
      <c r="H114" s="193" t="s">
        <v>1490</v>
      </c>
      <c r="I114" s="194"/>
      <c r="J114" s="194"/>
      <c r="K114" s="199" t="s">
        <v>1491</v>
      </c>
      <c r="L114" s="199" t="s">
        <v>1492</v>
      </c>
      <c r="M114" s="193" t="s">
        <v>1493</v>
      </c>
      <c r="N114" s="193" t="s">
        <v>1494</v>
      </c>
      <c r="O114" s="193" t="s">
        <v>1455</v>
      </c>
      <c r="P114" s="193"/>
      <c r="Q114" s="200"/>
      <c r="R114" s="86"/>
      <c r="S114" s="114">
        <f t="shared" ref="S114:T114" si="115">A114</f>
        <v>113</v>
      </c>
      <c r="T114" s="114" t="str">
        <f t="shared" si="115"/>
        <v>رحیم قرآنی</v>
      </c>
      <c r="U114" s="86" t="str">
        <f t="shared" si="3"/>
        <v>09120296998</v>
      </c>
      <c r="V114" s="86" t="str">
        <f t="shared" si="4"/>
        <v>پیش‌وایی 1</v>
      </c>
      <c r="W114" s="86"/>
      <c r="X114" s="86"/>
    </row>
    <row r="115">
      <c r="A115" s="201">
        <v>114.0</v>
      </c>
      <c r="B115" s="202" t="s">
        <v>1495</v>
      </c>
      <c r="C115" s="203" t="s">
        <v>1496</v>
      </c>
      <c r="D115" s="204" t="str">
        <f>IFERROR(__xludf.DUMMYFUNCTION("ARRAYFORMULA(LET( converted, SUBSTITUTE( SUBSTITUTE( SUBSTITUTE( SUBSTITUTE( SUBSTITUTE( SUBSTITUTE( SUBSTITUTE( SUBSTITUTE( SUBSTITUTE( SUBSTITUTE( C115, ""۰"", ""0""), ""۱"", ""1""), ""۲"", ""2""), ""۳"", ""3""), ""۴"", ""4""), ""۵"", ""5""), ""۶"", ""6"&amp;"""), ""۷"", ""7""), ""۸"", ""8""), ""۹"", ""9""), IF(LEFT(converted,3)=""+98"", ""0"" &amp; RIGHT(converted, LEN(converted)-3), IF(LEFT(converted,2)=""98"", ""0"" &amp; RIGHT(converted, LEN(converted)-2), IF(LEFT(converted,1)&lt;&gt;""0"", ""0"" &amp; converted, REGEXREPLA"&amp;"CE(converted , ""\s"", """")) ) ) ) )"),"09132659906")</f>
        <v>09132659906</v>
      </c>
      <c r="E115" s="205" t="s">
        <v>17</v>
      </c>
      <c r="F115" s="206">
        <v>1.0</v>
      </c>
      <c r="G115" s="202" t="s">
        <v>730</v>
      </c>
      <c r="H115" s="202" t="s">
        <v>1497</v>
      </c>
      <c r="I115" s="203"/>
      <c r="J115" s="203"/>
      <c r="K115" s="207" t="s">
        <v>1498</v>
      </c>
      <c r="L115" s="207" t="s">
        <v>1499</v>
      </c>
      <c r="M115" s="202" t="s">
        <v>1020</v>
      </c>
      <c r="N115" s="202" t="s">
        <v>1500</v>
      </c>
      <c r="O115" s="202" t="s">
        <v>1455</v>
      </c>
      <c r="P115" s="202"/>
      <c r="Q115" s="208"/>
      <c r="R115" s="86"/>
      <c r="S115" s="114">
        <f t="shared" ref="S115:T115" si="116">A115</f>
        <v>114</v>
      </c>
      <c r="T115" s="114" t="str">
        <f t="shared" si="116"/>
        <v>علی سید مظفری</v>
      </c>
      <c r="U115" s="86" t="str">
        <f t="shared" si="3"/>
        <v>09132659906</v>
      </c>
      <c r="V115" s="86" t="str">
        <f t="shared" si="4"/>
        <v>پیش‌وایی 1</v>
      </c>
      <c r="W115" s="86"/>
      <c r="X115" s="86"/>
    </row>
    <row r="116">
      <c r="A116" s="192">
        <v>115.0</v>
      </c>
      <c r="B116" s="193" t="s">
        <v>1501</v>
      </c>
      <c r="C116" s="194" t="s">
        <v>1502</v>
      </c>
      <c r="D116" s="195" t="str">
        <f>IFERROR(__xludf.DUMMYFUNCTION("ARRAYFORMULA(LET( converted, SUBSTITUTE( SUBSTITUTE( SUBSTITUTE( SUBSTITUTE( SUBSTITUTE( SUBSTITUTE( SUBSTITUTE( SUBSTITUTE( SUBSTITUTE( SUBSTITUTE( C116, ""۰"", ""0""), ""۱"", ""1""), ""۲"", ""2""), ""۳"", ""3""), ""۴"", ""4""), ""۵"", ""5""), ""۶"", ""6"&amp;"""), ""۷"", ""7""), ""۸"", ""8""), ""۹"", ""9""), IF(LEFT(converted,3)=""+98"", ""0"" &amp; RIGHT(converted, LEN(converted)-3), IF(LEFT(converted,2)=""98"", ""0"" &amp; RIGHT(converted, LEN(converted)-2), IF(LEFT(converted,1)&lt;&gt;""0"", ""0"" &amp; converted, REGEXREPLA"&amp;"CE(converted , ""\s"", """")) ) ) ) )"),"09122859576")</f>
        <v>09122859576</v>
      </c>
      <c r="E116" s="196" t="s">
        <v>17</v>
      </c>
      <c r="F116" s="197">
        <v>1.0</v>
      </c>
      <c r="G116" s="193" t="s">
        <v>746</v>
      </c>
      <c r="H116" s="193" t="s">
        <v>1503</v>
      </c>
      <c r="I116" s="194"/>
      <c r="J116" s="194"/>
      <c r="K116" s="199" t="s">
        <v>1504</v>
      </c>
      <c r="L116" s="199" t="s">
        <v>1505</v>
      </c>
      <c r="M116" s="193" t="s">
        <v>1506</v>
      </c>
      <c r="N116" s="193" t="s">
        <v>1507</v>
      </c>
      <c r="O116" s="193" t="s">
        <v>1455</v>
      </c>
      <c r="P116" s="193"/>
      <c r="Q116" s="200"/>
      <c r="R116" s="86"/>
      <c r="S116" s="114">
        <f t="shared" ref="S116:T116" si="117">A116</f>
        <v>115</v>
      </c>
      <c r="T116" s="114" t="str">
        <f t="shared" si="117"/>
        <v>مهسا خالوباقری</v>
      </c>
      <c r="U116" s="86" t="str">
        <f t="shared" si="3"/>
        <v>09122859576</v>
      </c>
      <c r="V116" s="86" t="str">
        <f t="shared" si="4"/>
        <v>پیش‌وایی 1</v>
      </c>
      <c r="W116" s="86"/>
      <c r="X116" s="86"/>
    </row>
    <row r="117">
      <c r="A117" s="201">
        <v>116.0</v>
      </c>
      <c r="B117" s="202" t="s">
        <v>1508</v>
      </c>
      <c r="C117" s="203" t="s">
        <v>1509</v>
      </c>
      <c r="D117" s="204" t="str">
        <f>IFERROR(__xludf.DUMMYFUNCTION("ARRAYFORMULA(LET( converted, SUBSTITUTE( SUBSTITUTE( SUBSTITUTE( SUBSTITUTE( SUBSTITUTE( SUBSTITUTE( SUBSTITUTE( SUBSTITUTE( SUBSTITUTE( SUBSTITUTE( C117, ""۰"", ""0""), ""۱"", ""1""), ""۲"", ""2""), ""۳"", ""3""), ""۴"", ""4""), ""۵"", ""5""), ""۶"", ""6"&amp;"""), ""۷"", ""7""), ""۸"", ""8""), ""۹"", ""9""), IF(LEFT(converted,3)=""+98"", ""0"" &amp; RIGHT(converted, LEN(converted)-3), IF(LEFT(converted,2)=""98"", ""0"" &amp; RIGHT(converted, LEN(converted)-2), IF(LEFT(converted,1)&lt;&gt;""0"", ""0"" &amp; converted, REGEXREPLA"&amp;"CE(converted , ""\s"", """")) ) ) ) )"),"09334443753")</f>
        <v>09334443753</v>
      </c>
      <c r="E117" s="205" t="s">
        <v>17</v>
      </c>
      <c r="F117" s="206">
        <v>1.0</v>
      </c>
      <c r="G117" s="202" t="s">
        <v>730</v>
      </c>
      <c r="H117" s="202" t="s">
        <v>1510</v>
      </c>
      <c r="I117" s="203"/>
      <c r="J117" s="203" t="s">
        <v>1509</v>
      </c>
      <c r="K117" s="207" t="s">
        <v>1511</v>
      </c>
      <c r="L117" s="207" t="s">
        <v>1512</v>
      </c>
      <c r="M117" s="202" t="s">
        <v>1513</v>
      </c>
      <c r="N117" s="202" t="s">
        <v>1514</v>
      </c>
      <c r="O117" s="202" t="s">
        <v>1455</v>
      </c>
      <c r="P117" s="202"/>
      <c r="Q117" s="208"/>
      <c r="R117" s="86"/>
      <c r="S117" s="114">
        <f t="shared" ref="S117:T117" si="118">A117</f>
        <v>116</v>
      </c>
      <c r="T117" s="114" t="str">
        <f t="shared" si="118"/>
        <v>فرهاد تهرانی</v>
      </c>
      <c r="U117" s="86" t="str">
        <f t="shared" si="3"/>
        <v>09334443753</v>
      </c>
      <c r="V117" s="86" t="str">
        <f t="shared" si="4"/>
        <v>پیش‌وایی 1</v>
      </c>
      <c r="W117" s="86"/>
      <c r="X117" s="86"/>
    </row>
    <row r="118">
      <c r="A118" s="192">
        <v>117.0</v>
      </c>
      <c r="B118" s="193" t="s">
        <v>1515</v>
      </c>
      <c r="C118" s="194" t="s">
        <v>1516</v>
      </c>
      <c r="D118" s="195" t="str">
        <f>IFERROR(__xludf.DUMMYFUNCTION("ARRAYFORMULA(LET( converted, SUBSTITUTE( SUBSTITUTE( SUBSTITUTE( SUBSTITUTE( SUBSTITUTE( SUBSTITUTE( SUBSTITUTE( SUBSTITUTE( SUBSTITUTE( SUBSTITUTE( C118, ""۰"", ""0""), ""۱"", ""1""), ""۲"", ""2""), ""۳"", ""3""), ""۴"", ""4""), ""۵"", ""5""), ""۶"", ""6"&amp;"""), ""۷"", ""7""), ""۸"", ""8""), ""۹"", ""9""), IF(LEFT(converted,3)=""+98"", ""0"" &amp; RIGHT(converted, LEN(converted)-3), IF(LEFT(converted,2)=""98"", ""0"" &amp; RIGHT(converted, LEN(converted)-2), IF(LEFT(converted,1)&lt;&gt;""0"", ""0"" &amp; converted, REGEXREPLA"&amp;"CE(converted , ""\s"", """")) ) ) ) )"),"09120840040")</f>
        <v>09120840040</v>
      </c>
      <c r="E118" s="196" t="s">
        <v>17</v>
      </c>
      <c r="F118" s="197">
        <v>1.0</v>
      </c>
      <c r="G118" s="193" t="s">
        <v>730</v>
      </c>
      <c r="H118" s="193" t="s">
        <v>1517</v>
      </c>
      <c r="I118" s="194"/>
      <c r="J118" s="194" t="s">
        <v>1516</v>
      </c>
      <c r="K118" s="199" t="s">
        <v>1518</v>
      </c>
      <c r="L118" s="199" t="s">
        <v>1505</v>
      </c>
      <c r="M118" s="193" t="s">
        <v>1519</v>
      </c>
      <c r="N118" s="193" t="s">
        <v>1507</v>
      </c>
      <c r="O118" s="193" t="s">
        <v>1455</v>
      </c>
      <c r="P118" s="193"/>
      <c r="Q118" s="200"/>
      <c r="R118" s="86"/>
      <c r="S118" s="114">
        <f t="shared" ref="S118:T118" si="119">A118</f>
        <v>117</v>
      </c>
      <c r="T118" s="114" t="str">
        <f t="shared" si="119"/>
        <v>ماهان خالوباقری</v>
      </c>
      <c r="U118" s="86" t="str">
        <f t="shared" si="3"/>
        <v>09120840040</v>
      </c>
      <c r="V118" s="86" t="str">
        <f t="shared" si="4"/>
        <v>پیش‌وایی 1</v>
      </c>
      <c r="W118" s="86"/>
      <c r="X118" s="86"/>
    </row>
    <row r="119">
      <c r="A119" s="201">
        <v>118.0</v>
      </c>
      <c r="B119" s="202" t="s">
        <v>1520</v>
      </c>
      <c r="C119" s="203" t="s">
        <v>1521</v>
      </c>
      <c r="D119" s="204" t="str">
        <f>IFERROR(__xludf.DUMMYFUNCTION("ARRAYFORMULA(LET( converted, SUBSTITUTE( SUBSTITUTE( SUBSTITUTE( SUBSTITUTE( SUBSTITUTE( SUBSTITUTE( SUBSTITUTE( SUBSTITUTE( SUBSTITUTE( SUBSTITUTE( C119, ""۰"", ""0""), ""۱"", ""1""), ""۲"", ""2""), ""۳"", ""3""), ""۴"", ""4""), ""۵"", ""5""), ""۶"", ""6"&amp;"""), ""۷"", ""7""), ""۸"", ""8""), ""۹"", ""9""), IF(LEFT(converted,3)=""+98"", ""0"" &amp; RIGHT(converted, LEN(converted)-3), IF(LEFT(converted,2)=""98"", ""0"" &amp; RIGHT(converted, LEN(converted)-2), IF(LEFT(converted,1)&lt;&gt;""0"", ""0"" &amp; converted, REGEXREPLA"&amp;"CE(converted , ""\s"", """")) ) ) ) )"),"09125991914")</f>
        <v>09125991914</v>
      </c>
      <c r="E119" s="205" t="s">
        <v>17</v>
      </c>
      <c r="F119" s="206">
        <v>1.0</v>
      </c>
      <c r="G119" s="202" t="s">
        <v>730</v>
      </c>
      <c r="H119" s="202" t="s">
        <v>1522</v>
      </c>
      <c r="I119" s="203"/>
      <c r="J119" s="203" t="s">
        <v>1523</v>
      </c>
      <c r="K119" s="207" t="s">
        <v>1524</v>
      </c>
      <c r="L119" s="207" t="s">
        <v>1525</v>
      </c>
      <c r="M119" s="202" t="s">
        <v>1526</v>
      </c>
      <c r="N119" s="202" t="s">
        <v>1527</v>
      </c>
      <c r="O119" s="207" t="s">
        <v>737</v>
      </c>
      <c r="P119" s="202"/>
      <c r="Q119" s="208"/>
      <c r="R119" s="86"/>
      <c r="S119" s="114">
        <f t="shared" ref="S119:T119" si="120">A119</f>
        <v>118</v>
      </c>
      <c r="T119" s="114" t="str">
        <f t="shared" si="120"/>
        <v>سهراب بهروزیان</v>
      </c>
      <c r="U119" s="86" t="str">
        <f t="shared" si="3"/>
        <v>09125991914</v>
      </c>
      <c r="V119" s="86" t="str">
        <f t="shared" si="4"/>
        <v>پیش‌وایی 1</v>
      </c>
      <c r="W119" s="86"/>
      <c r="X119" s="86"/>
    </row>
    <row r="120">
      <c r="A120" s="192">
        <v>119.0</v>
      </c>
      <c r="B120" s="193" t="s">
        <v>1528</v>
      </c>
      <c r="C120" s="194" t="s">
        <v>1336</v>
      </c>
      <c r="D120" s="195" t="str">
        <f>IFERROR(__xludf.DUMMYFUNCTION("ARRAYFORMULA(LET( converted, SUBSTITUTE( SUBSTITUTE( SUBSTITUTE( SUBSTITUTE( SUBSTITUTE( SUBSTITUTE( SUBSTITUTE( SUBSTITUTE( SUBSTITUTE( SUBSTITUTE( C120, ""۰"", ""0""), ""۱"", ""1""), ""۲"", ""2""), ""۳"", ""3""), ""۴"", ""4""), ""۵"", ""5""), ""۶"", ""6"&amp;"""), ""۷"", ""7""), ""۸"", ""8""), ""۹"", ""9""), IF(LEFT(converted,3)=""+98"", ""0"" &amp; RIGHT(converted, LEN(converted)-3), IF(LEFT(converted,2)=""98"", ""0"" &amp; RIGHT(converted, LEN(converted)-2), IF(LEFT(converted,1)&lt;&gt;""0"", ""0"" &amp; converted, REGEXREPLA"&amp;"CE(converted , ""\s"", """")) ) ) ) )"),"0#N/A")</f>
        <v>0#N/A</v>
      </c>
      <c r="E120" s="196" t="s">
        <v>17</v>
      </c>
      <c r="F120" s="197">
        <v>1.0</v>
      </c>
      <c r="G120" s="193" t="s">
        <v>746</v>
      </c>
      <c r="H120" s="198" t="s">
        <v>1529</v>
      </c>
      <c r="I120" s="194"/>
      <c r="J120" s="194" t="s">
        <v>1530</v>
      </c>
      <c r="K120" s="199" t="s">
        <v>1232</v>
      </c>
      <c r="L120" s="199" t="s">
        <v>1531</v>
      </c>
      <c r="M120" s="193" t="s">
        <v>1234</v>
      </c>
      <c r="N120" s="193" t="s">
        <v>1532</v>
      </c>
      <c r="O120" s="199" t="s">
        <v>753</v>
      </c>
      <c r="P120" s="193"/>
      <c r="Q120" s="200"/>
      <c r="R120" s="86"/>
      <c r="S120" s="114">
        <f t="shared" ref="S120:T120" si="121">A120</f>
        <v>119</v>
      </c>
      <c r="T120" s="114" t="str">
        <f t="shared" si="121"/>
        <v>معصومه معتقدی بارفروشی</v>
      </c>
      <c r="U120" s="86" t="str">
        <f t="shared" si="3"/>
        <v>0#N/A</v>
      </c>
      <c r="V120" s="86" t="str">
        <f t="shared" si="4"/>
        <v>پیش‌وایی 1</v>
      </c>
      <c r="W120" s="86"/>
      <c r="X120" s="86"/>
    </row>
    <row r="121">
      <c r="A121" s="201">
        <v>120.0</v>
      </c>
      <c r="B121" s="202" t="s">
        <v>1533</v>
      </c>
      <c r="C121" s="203" t="s">
        <v>1336</v>
      </c>
      <c r="D121" s="204" t="str">
        <f>IFERROR(__xludf.DUMMYFUNCTION("ARRAYFORMULA(LET( converted, SUBSTITUTE( SUBSTITUTE( SUBSTITUTE( SUBSTITUTE( SUBSTITUTE( SUBSTITUTE( SUBSTITUTE( SUBSTITUTE( SUBSTITUTE( SUBSTITUTE( C121, ""۰"", ""0""), ""۱"", ""1""), ""۲"", ""2""), ""۳"", ""3""), ""۴"", ""4""), ""۵"", ""5""), ""۶"", ""6"&amp;"""), ""۷"", ""7""), ""۸"", ""8""), ""۹"", ""9""), IF(LEFT(converted,3)=""+98"", ""0"" &amp; RIGHT(converted, LEN(converted)-3), IF(LEFT(converted,2)=""98"", ""0"" &amp; RIGHT(converted, LEN(converted)-2), IF(LEFT(converted,1)&lt;&gt;""0"", ""0"" &amp; converted, REGEXREPLA"&amp;"CE(converted , ""\s"", """")) ) ) ) )"),"0#N/A")</f>
        <v>0#N/A</v>
      </c>
      <c r="E121" s="205" t="s">
        <v>17</v>
      </c>
      <c r="F121" s="206">
        <v>1.0</v>
      </c>
      <c r="G121" s="202" t="s">
        <v>730</v>
      </c>
      <c r="H121" s="209" t="s">
        <v>1534</v>
      </c>
      <c r="I121" s="203"/>
      <c r="J121" s="203"/>
      <c r="K121" s="207" t="s">
        <v>1535</v>
      </c>
      <c r="L121" s="207" t="s">
        <v>1536</v>
      </c>
      <c r="M121" s="202" t="s">
        <v>1537</v>
      </c>
      <c r="N121" s="202" t="s">
        <v>1538</v>
      </c>
      <c r="O121" s="207" t="s">
        <v>737</v>
      </c>
      <c r="P121" s="202"/>
      <c r="Q121" s="208"/>
      <c r="R121" s="86"/>
      <c r="S121" s="114">
        <f t="shared" ref="S121:T121" si="122">A121</f>
        <v>120</v>
      </c>
      <c r="T121" s="114" t="str">
        <f t="shared" si="122"/>
        <v>خشایار پاکفر</v>
      </c>
      <c r="U121" s="86" t="str">
        <f t="shared" si="3"/>
        <v>0#N/A</v>
      </c>
      <c r="V121" s="86" t="str">
        <f t="shared" si="4"/>
        <v>پیش‌وایی 1</v>
      </c>
      <c r="W121" s="86"/>
      <c r="X121" s="86"/>
    </row>
    <row r="122">
      <c r="A122" s="192">
        <v>121.0</v>
      </c>
      <c r="B122" s="193" t="s">
        <v>1539</v>
      </c>
      <c r="C122" s="194" t="s">
        <v>1540</v>
      </c>
      <c r="D122" s="195" t="str">
        <f>IFERROR(__xludf.DUMMYFUNCTION("ARRAYFORMULA(LET( converted, SUBSTITUTE( SUBSTITUTE( SUBSTITUTE( SUBSTITUTE( SUBSTITUTE( SUBSTITUTE( SUBSTITUTE( SUBSTITUTE( SUBSTITUTE( SUBSTITUTE( C122, ""۰"", ""0""), ""۱"", ""1""), ""۲"", ""2""), ""۳"", ""3""), ""۴"", ""4""), ""۵"", ""5""), ""۶"", ""6"&amp;"""), ""۷"", ""7""), ""۸"", ""8""), ""۹"", ""9""), IF(LEFT(converted,3)=""+98"", ""0"" &amp; RIGHT(converted, LEN(converted)-3), IF(LEFT(converted,2)=""98"", ""0"" &amp; RIGHT(converted, LEN(converted)-2), IF(LEFT(converted,1)&lt;&gt;""0"", ""0"" &amp; converted, REGEXREPLA"&amp;"CE(converted , ""\s"", """")) ) ) ) )"),"09125549247")</f>
        <v>09125549247</v>
      </c>
      <c r="E122" s="196" t="s">
        <v>17</v>
      </c>
      <c r="F122" s="197">
        <v>1.0</v>
      </c>
      <c r="G122" s="193" t="s">
        <v>730</v>
      </c>
      <c r="H122" s="198" t="s">
        <v>1541</v>
      </c>
      <c r="I122" s="194"/>
      <c r="J122" s="194" t="s">
        <v>1542</v>
      </c>
      <c r="K122" s="199" t="s">
        <v>1543</v>
      </c>
      <c r="L122" s="199" t="s">
        <v>1544</v>
      </c>
      <c r="M122" s="193" t="s">
        <v>1545</v>
      </c>
      <c r="N122" s="193" t="s">
        <v>1546</v>
      </c>
      <c r="O122" s="199" t="s">
        <v>737</v>
      </c>
      <c r="P122" s="193"/>
      <c r="Q122" s="200"/>
      <c r="R122" s="86"/>
      <c r="S122" s="114">
        <f t="shared" ref="S122:T122" si="123">A122</f>
        <v>121</v>
      </c>
      <c r="T122" s="114" t="str">
        <f t="shared" si="123"/>
        <v>مجتبی سجودی</v>
      </c>
      <c r="U122" s="86" t="str">
        <f t="shared" si="3"/>
        <v>09125549247</v>
      </c>
      <c r="V122" s="86" t="str">
        <f t="shared" si="4"/>
        <v>پیش‌وایی 1</v>
      </c>
      <c r="W122" s="86"/>
      <c r="X122" s="86"/>
    </row>
    <row r="123">
      <c r="A123" s="201">
        <v>122.0</v>
      </c>
      <c r="B123" s="202" t="s">
        <v>1547</v>
      </c>
      <c r="C123" s="203" t="s">
        <v>1336</v>
      </c>
      <c r="D123" s="204" t="str">
        <f>IFERROR(__xludf.DUMMYFUNCTION("ARRAYFORMULA(LET( converted, SUBSTITUTE( SUBSTITUTE( SUBSTITUTE( SUBSTITUTE( SUBSTITUTE( SUBSTITUTE( SUBSTITUTE( SUBSTITUTE( SUBSTITUTE( SUBSTITUTE( C123, ""۰"", ""0""), ""۱"", ""1""), ""۲"", ""2""), ""۳"", ""3""), ""۴"", ""4""), ""۵"", ""5""), ""۶"", ""6"&amp;"""), ""۷"", ""7""), ""۸"", ""8""), ""۹"", ""9""), IF(LEFT(converted,3)=""+98"", ""0"" &amp; RIGHT(converted, LEN(converted)-3), IF(LEFT(converted,2)=""98"", ""0"" &amp; RIGHT(converted, LEN(converted)-2), IF(LEFT(converted,1)&lt;&gt;""0"", ""0"" &amp; converted, REGEXREPLA"&amp;"CE(converted , ""\s"", """")) ) ) ) )"),"0#N/A")</f>
        <v>0#N/A</v>
      </c>
      <c r="E123" s="205" t="s">
        <v>17</v>
      </c>
      <c r="F123" s="206">
        <v>1.0</v>
      </c>
      <c r="G123" s="202" t="s">
        <v>746</v>
      </c>
      <c r="H123" s="202" t="s">
        <v>1548</v>
      </c>
      <c r="I123" s="203"/>
      <c r="J123" s="203" t="s">
        <v>1549</v>
      </c>
      <c r="K123" s="207" t="s">
        <v>349</v>
      </c>
      <c r="L123" s="207" t="s">
        <v>1086</v>
      </c>
      <c r="M123" s="202" t="s">
        <v>1550</v>
      </c>
      <c r="N123" s="202" t="s">
        <v>1088</v>
      </c>
      <c r="O123" s="207" t="s">
        <v>753</v>
      </c>
      <c r="P123" s="202"/>
      <c r="Q123" s="208"/>
      <c r="R123" s="86"/>
      <c r="S123" s="114">
        <f t="shared" ref="S123:T123" si="124">A123</f>
        <v>122</v>
      </c>
      <c r="T123" s="114" t="str">
        <f t="shared" si="124"/>
        <v>راحله رجبی</v>
      </c>
      <c r="U123" s="86" t="str">
        <f t="shared" si="3"/>
        <v>0#N/A</v>
      </c>
      <c r="V123" s="86" t="str">
        <f t="shared" si="4"/>
        <v>پیش‌وایی 1</v>
      </c>
      <c r="W123" s="86"/>
      <c r="X123" s="86"/>
    </row>
    <row r="124">
      <c r="A124" s="192">
        <v>123.0</v>
      </c>
      <c r="B124" s="193" t="s">
        <v>1551</v>
      </c>
      <c r="C124" s="194" t="s">
        <v>1336</v>
      </c>
      <c r="D124" s="195" t="str">
        <f>IFERROR(__xludf.DUMMYFUNCTION("ARRAYFORMULA(LET( converted, SUBSTITUTE( SUBSTITUTE( SUBSTITUTE( SUBSTITUTE( SUBSTITUTE( SUBSTITUTE( SUBSTITUTE( SUBSTITUTE( SUBSTITUTE( SUBSTITUTE( C124, ""۰"", ""0""), ""۱"", ""1""), ""۲"", ""2""), ""۳"", ""3""), ""۴"", ""4""), ""۵"", ""5""), ""۶"", ""6"&amp;"""), ""۷"", ""7""), ""۸"", ""8""), ""۹"", ""9""), IF(LEFT(converted,3)=""+98"", ""0"" &amp; RIGHT(converted, LEN(converted)-3), IF(LEFT(converted,2)=""98"", ""0"" &amp; RIGHT(converted, LEN(converted)-2), IF(LEFT(converted,1)&lt;&gt;""0"", ""0"" &amp; converted, REGEXREPLA"&amp;"CE(converted , ""\s"", """")) ) ) ) )"),"0#N/A")</f>
        <v>0#N/A</v>
      </c>
      <c r="E124" s="196" t="s">
        <v>17</v>
      </c>
      <c r="F124" s="197">
        <v>1.0</v>
      </c>
      <c r="G124" s="193" t="s">
        <v>730</v>
      </c>
      <c r="H124" s="193" t="s">
        <v>1552</v>
      </c>
      <c r="I124" s="194"/>
      <c r="J124" s="194" t="s">
        <v>1553</v>
      </c>
      <c r="K124" s="199" t="s">
        <v>1554</v>
      </c>
      <c r="L124" s="199" t="s">
        <v>1303</v>
      </c>
      <c r="M124" s="193" t="s">
        <v>1555</v>
      </c>
      <c r="N124" s="193" t="s">
        <v>1305</v>
      </c>
      <c r="O124" s="199" t="s">
        <v>737</v>
      </c>
      <c r="P124" s="193"/>
      <c r="Q124" s="200"/>
      <c r="R124" s="86"/>
      <c r="S124" s="114">
        <f t="shared" ref="S124:T124" si="125">A124</f>
        <v>123</v>
      </c>
      <c r="T124" s="114" t="str">
        <f t="shared" si="125"/>
        <v>سیدمحمود حسینی</v>
      </c>
      <c r="U124" s="86" t="str">
        <f t="shared" si="3"/>
        <v>0#N/A</v>
      </c>
      <c r="V124" s="86" t="str">
        <f t="shared" si="4"/>
        <v>پیش‌وایی 1</v>
      </c>
      <c r="W124" s="86"/>
      <c r="X124" s="86"/>
    </row>
    <row r="125">
      <c r="A125" s="201">
        <v>124.0</v>
      </c>
      <c r="B125" s="202" t="s">
        <v>1556</v>
      </c>
      <c r="C125" s="203" t="s">
        <v>1557</v>
      </c>
      <c r="D125" s="204" t="str">
        <f>IFERROR(__xludf.DUMMYFUNCTION("ARRAYFORMULA(LET( converted, SUBSTITUTE( SUBSTITUTE( SUBSTITUTE( SUBSTITUTE( SUBSTITUTE( SUBSTITUTE( SUBSTITUTE( SUBSTITUTE( SUBSTITUTE( SUBSTITUTE( C125, ""۰"", ""0""), ""۱"", ""1""), ""۲"", ""2""), ""۳"", ""3""), ""۴"", ""4""), ""۵"", ""5""), ""۶"", ""6"&amp;"""), ""۷"", ""7""), ""۸"", ""8""), ""۹"", ""9""), IF(LEFT(converted,3)=""+98"", ""0"" &amp; RIGHT(converted, LEN(converted)-3), IF(LEFT(converted,2)=""98"", ""0"" &amp; RIGHT(converted, LEN(converted)-2), IF(LEFT(converted,1)&lt;&gt;""0"", ""0"" &amp; converted, REGEXREPLA"&amp;"CE(converted , ""\s"", """")) ) ) ) )"),"09128093617")</f>
        <v>09128093617</v>
      </c>
      <c r="E125" s="205" t="s">
        <v>17</v>
      </c>
      <c r="F125" s="206">
        <v>1.0</v>
      </c>
      <c r="G125" s="202" t="s">
        <v>746</v>
      </c>
      <c r="H125" s="202" t="s">
        <v>1558</v>
      </c>
      <c r="I125" s="203"/>
      <c r="J125" s="203"/>
      <c r="K125" s="207" t="s">
        <v>274</v>
      </c>
      <c r="L125" s="207" t="s">
        <v>1559</v>
      </c>
      <c r="M125" s="202" t="s">
        <v>1560</v>
      </c>
      <c r="N125" s="202" t="s">
        <v>832</v>
      </c>
      <c r="O125" s="207" t="s">
        <v>737</v>
      </c>
      <c r="P125" s="202"/>
      <c r="Q125" s="208"/>
      <c r="R125" s="86"/>
      <c r="S125" s="114">
        <f t="shared" ref="S125:T125" si="126">A125</f>
        <v>124</v>
      </c>
      <c r="T125" s="114" t="str">
        <f t="shared" si="126"/>
        <v>فاطمه اشرفی</v>
      </c>
      <c r="U125" s="86" t="str">
        <f t="shared" si="3"/>
        <v>09128093617</v>
      </c>
      <c r="V125" s="86" t="str">
        <f t="shared" si="4"/>
        <v>پیش‌وایی 1</v>
      </c>
      <c r="W125" s="86"/>
      <c r="X125" s="86"/>
    </row>
    <row r="126">
      <c r="A126" s="192">
        <v>125.0</v>
      </c>
      <c r="B126" s="193" t="s">
        <v>1561</v>
      </c>
      <c r="C126" s="194" t="s">
        <v>1562</v>
      </c>
      <c r="D126" s="195" t="str">
        <f>IFERROR(__xludf.DUMMYFUNCTION("ARRAYFORMULA(LET( converted, SUBSTITUTE( SUBSTITUTE( SUBSTITUTE( SUBSTITUTE( SUBSTITUTE( SUBSTITUTE( SUBSTITUTE( SUBSTITUTE( SUBSTITUTE( SUBSTITUTE( C126, ""۰"", ""0""), ""۱"", ""1""), ""۲"", ""2""), ""۳"", ""3""), ""۴"", ""4""), ""۵"", ""5""), ""۶"", ""6"&amp;"""), ""۷"", ""7""), ""۸"", ""8""), ""۹"", ""9""), IF(LEFT(converted,3)=""+98"", ""0"" &amp; RIGHT(converted, LEN(converted)-3), IF(LEFT(converted,2)=""98"", ""0"" &amp; RIGHT(converted, LEN(converted)-2), IF(LEFT(converted,1)&lt;&gt;""0"", ""0"" &amp; converted, REGEXREPLA"&amp;"CE(converted , ""\s"", """")) ) ) ) )"),"09126953220")</f>
        <v>09126953220</v>
      </c>
      <c r="E126" s="196" t="s">
        <v>17</v>
      </c>
      <c r="F126" s="197">
        <v>1.0</v>
      </c>
      <c r="G126" s="193" t="s">
        <v>730</v>
      </c>
      <c r="H126" s="193" t="s">
        <v>1563</v>
      </c>
      <c r="I126" s="194"/>
      <c r="J126" s="194"/>
      <c r="K126" s="199" t="s">
        <v>27</v>
      </c>
      <c r="L126" s="199" t="s">
        <v>1564</v>
      </c>
      <c r="M126" s="193" t="s">
        <v>1565</v>
      </c>
      <c r="N126" s="193" t="s">
        <v>742</v>
      </c>
      <c r="O126" s="193" t="s">
        <v>1455</v>
      </c>
      <c r="P126" s="193"/>
      <c r="Q126" s="200"/>
      <c r="R126" s="86"/>
      <c r="S126" s="114">
        <f t="shared" ref="S126:T126" si="127">A126</f>
        <v>125</v>
      </c>
      <c r="T126" s="114" t="str">
        <f t="shared" si="127"/>
        <v>مجید کمالو</v>
      </c>
      <c r="U126" s="86" t="str">
        <f t="shared" si="3"/>
        <v>09126953220</v>
      </c>
      <c r="V126" s="86" t="str">
        <f t="shared" si="4"/>
        <v>پیش‌وایی 1</v>
      </c>
      <c r="W126" s="86"/>
      <c r="X126" s="86"/>
    </row>
    <row r="127">
      <c r="A127" s="201">
        <v>126.0</v>
      </c>
      <c r="B127" s="202" t="s">
        <v>1566</v>
      </c>
      <c r="C127" s="203" t="s">
        <v>1567</v>
      </c>
      <c r="D127" s="204" t="str">
        <f>IFERROR(__xludf.DUMMYFUNCTION("ARRAYFORMULA(LET( converted, SUBSTITUTE( SUBSTITUTE( SUBSTITUTE( SUBSTITUTE( SUBSTITUTE( SUBSTITUTE( SUBSTITUTE( SUBSTITUTE( SUBSTITUTE( SUBSTITUTE( C127, ""۰"", ""0""), ""۱"", ""1""), ""۲"", ""2""), ""۳"", ""3""), ""۴"", ""4""), ""۵"", ""5""), ""۶"", ""6"&amp;"""), ""۷"", ""7""), ""۸"", ""8""), ""۹"", ""9""), IF(LEFT(converted,3)=""+98"", ""0"" &amp; RIGHT(converted, LEN(converted)-3), IF(LEFT(converted,2)=""98"", ""0"" &amp; RIGHT(converted, LEN(converted)-2), IF(LEFT(converted,1)&lt;&gt;""0"", ""0"" &amp; converted, REGEXREPLA"&amp;"CE(converted , ""\s"", """")) ) ) ) )"),"09121039590")</f>
        <v>09121039590</v>
      </c>
      <c r="E127" s="205" t="s">
        <v>17</v>
      </c>
      <c r="F127" s="206">
        <v>1.0</v>
      </c>
      <c r="G127" s="202" t="s">
        <v>730</v>
      </c>
      <c r="H127" s="202" t="s">
        <v>1568</v>
      </c>
      <c r="I127" s="203"/>
      <c r="J127" s="203"/>
      <c r="K127" s="207" t="s">
        <v>1569</v>
      </c>
      <c r="L127" s="207" t="s">
        <v>1570</v>
      </c>
      <c r="M127" s="202" t="s">
        <v>1571</v>
      </c>
      <c r="N127" s="202" t="s">
        <v>1572</v>
      </c>
      <c r="O127" s="202" t="s">
        <v>1455</v>
      </c>
      <c r="P127" s="202"/>
      <c r="Q127" s="208"/>
      <c r="R127" s="86"/>
      <c r="S127" s="114">
        <f t="shared" ref="S127:T127" si="128">A127</f>
        <v>126</v>
      </c>
      <c r="T127" s="114" t="str">
        <f t="shared" si="128"/>
        <v>حسن روشن روان</v>
      </c>
      <c r="U127" s="86" t="str">
        <f t="shared" si="3"/>
        <v>09121039590</v>
      </c>
      <c r="V127" s="86" t="str">
        <f t="shared" si="4"/>
        <v>پیش‌وایی 1</v>
      </c>
      <c r="W127" s="86"/>
      <c r="X127" s="86"/>
    </row>
    <row r="128">
      <c r="A128" s="192">
        <v>127.0</v>
      </c>
      <c r="B128" s="193" t="s">
        <v>1573</v>
      </c>
      <c r="C128" s="194" t="s">
        <v>1574</v>
      </c>
      <c r="D128" s="195" t="str">
        <f>IFERROR(__xludf.DUMMYFUNCTION("ARRAYFORMULA(LET( converted, SUBSTITUTE( SUBSTITUTE( SUBSTITUTE( SUBSTITUTE( SUBSTITUTE( SUBSTITUTE( SUBSTITUTE( SUBSTITUTE( SUBSTITUTE( SUBSTITUTE( C128, ""۰"", ""0""), ""۱"", ""1""), ""۲"", ""2""), ""۳"", ""3""), ""۴"", ""4""), ""۵"", ""5""), ""۶"", ""6"&amp;"""), ""۷"", ""7""), ""۸"", ""8""), ""۹"", ""9""), IF(LEFT(converted,3)=""+98"", ""0"" &amp; RIGHT(converted, LEN(converted)-3), IF(LEFT(converted,2)=""98"", ""0"" &amp; RIGHT(converted, LEN(converted)-2), IF(LEFT(converted,1)&lt;&gt;""0"", ""0"" &amp; converted, REGEXREPLA"&amp;"CE(converted , ""\s"", """")) ) ) ) )"),"09123839759")</f>
        <v>09123839759</v>
      </c>
      <c r="E128" s="196" t="s">
        <v>17</v>
      </c>
      <c r="F128" s="197">
        <v>1.0</v>
      </c>
      <c r="G128" s="193" t="s">
        <v>746</v>
      </c>
      <c r="H128" s="193" t="s">
        <v>1575</v>
      </c>
      <c r="I128" s="194"/>
      <c r="J128" s="194"/>
      <c r="K128" s="199" t="s">
        <v>1576</v>
      </c>
      <c r="L128" s="199" t="s">
        <v>1577</v>
      </c>
      <c r="M128" s="193" t="s">
        <v>1578</v>
      </c>
      <c r="N128" s="193" t="s">
        <v>1579</v>
      </c>
      <c r="O128" s="193" t="s">
        <v>1455</v>
      </c>
      <c r="P128" s="193"/>
      <c r="Q128" s="200"/>
      <c r="R128" s="86"/>
      <c r="S128" s="114">
        <f t="shared" ref="S128:T128" si="129">A128</f>
        <v>127</v>
      </c>
      <c r="T128" s="114" t="str">
        <f t="shared" si="129"/>
        <v>سمانه صادقی</v>
      </c>
      <c r="U128" s="86" t="str">
        <f t="shared" si="3"/>
        <v>09123839759</v>
      </c>
      <c r="V128" s="86" t="str">
        <f t="shared" si="4"/>
        <v>پیش‌وایی 1</v>
      </c>
      <c r="W128" s="86"/>
      <c r="X128" s="86"/>
    </row>
    <row r="129">
      <c r="A129" s="201">
        <v>128.0</v>
      </c>
      <c r="B129" s="202" t="s">
        <v>1580</v>
      </c>
      <c r="C129" s="203" t="s">
        <v>1581</v>
      </c>
      <c r="D129" s="204" t="str">
        <f>IFERROR(__xludf.DUMMYFUNCTION("ARRAYFORMULA(LET( converted, SUBSTITUTE( SUBSTITUTE( SUBSTITUTE( SUBSTITUTE( SUBSTITUTE( SUBSTITUTE( SUBSTITUTE( SUBSTITUTE( SUBSTITUTE( SUBSTITUTE( C129, ""۰"", ""0""), ""۱"", ""1""), ""۲"", ""2""), ""۳"", ""3""), ""۴"", ""4""), ""۵"", ""5""), ""۶"", ""6"&amp;"""), ""۷"", ""7""), ""۸"", ""8""), ""۹"", ""9""), IF(LEFT(converted,3)=""+98"", ""0"" &amp; RIGHT(converted, LEN(converted)-3), IF(LEFT(converted,2)=""98"", ""0"" &amp; RIGHT(converted, LEN(converted)-2), IF(LEFT(converted,1)&lt;&gt;""0"", ""0"" &amp; converted, REGEXREPLA"&amp;"CE(converted , ""\s"", """")) ) ) ) )"),"09194057118")</f>
        <v>09194057118</v>
      </c>
      <c r="E129" s="205" t="s">
        <v>17</v>
      </c>
      <c r="F129" s="206">
        <v>1.0</v>
      </c>
      <c r="G129" s="202" t="s">
        <v>730</v>
      </c>
      <c r="H129" s="202" t="s">
        <v>1582</v>
      </c>
      <c r="I129" s="203"/>
      <c r="J129" s="203"/>
      <c r="K129" s="207" t="s">
        <v>1583</v>
      </c>
      <c r="L129" s="207" t="s">
        <v>1584</v>
      </c>
      <c r="M129" s="202" t="s">
        <v>1585</v>
      </c>
      <c r="N129" s="202" t="s">
        <v>1586</v>
      </c>
      <c r="O129" s="202" t="s">
        <v>1455</v>
      </c>
      <c r="P129" s="202"/>
      <c r="Q129" s="208"/>
      <c r="R129" s="86"/>
      <c r="S129" s="114">
        <f t="shared" ref="S129:T129" si="130">A129</f>
        <v>128</v>
      </c>
      <c r="T129" s="114" t="str">
        <f t="shared" si="130"/>
        <v>رامتین شهرت</v>
      </c>
      <c r="U129" s="86" t="str">
        <f t="shared" si="3"/>
        <v>09194057118</v>
      </c>
      <c r="V129" s="86" t="str">
        <f t="shared" si="4"/>
        <v>پیش‌وایی 1</v>
      </c>
      <c r="W129" s="86"/>
      <c r="X129" s="86"/>
    </row>
    <row r="130">
      <c r="A130" s="192">
        <v>129.0</v>
      </c>
      <c r="B130" s="193" t="s">
        <v>1587</v>
      </c>
      <c r="C130" s="194" t="s">
        <v>1588</v>
      </c>
      <c r="D130" s="195" t="str">
        <f>IFERROR(__xludf.DUMMYFUNCTION("ARRAYFORMULA(LET( converted, SUBSTITUTE( SUBSTITUTE( SUBSTITUTE( SUBSTITUTE( SUBSTITUTE( SUBSTITUTE( SUBSTITUTE( SUBSTITUTE( SUBSTITUTE( SUBSTITUTE( C130, ""۰"", ""0""), ""۱"", ""1""), ""۲"", ""2""), ""۳"", ""3""), ""۴"", ""4""), ""۵"", ""5""), ""۶"", ""6"&amp;"""), ""۷"", ""7""), ""۸"", ""8""), ""۹"", ""9""), IF(LEFT(converted,3)=""+98"", ""0"" &amp; RIGHT(converted, LEN(converted)-3), IF(LEFT(converted,2)=""98"", ""0"" &amp; RIGHT(converted, LEN(converted)-2), IF(LEFT(converted,1)&lt;&gt;""0"", ""0"" &amp; converted, REGEXREPLA"&amp;"CE(converted , ""\s"", """")) ) ) ) )"),"09128486090")</f>
        <v>09128486090</v>
      </c>
      <c r="E130" s="196" t="s">
        <v>17</v>
      </c>
      <c r="F130" s="197">
        <v>1.0</v>
      </c>
      <c r="G130" s="193" t="s">
        <v>730</v>
      </c>
      <c r="H130" s="193" t="s">
        <v>1589</v>
      </c>
      <c r="I130" s="194"/>
      <c r="J130" s="194"/>
      <c r="K130" s="199" t="s">
        <v>1543</v>
      </c>
      <c r="L130" s="199" t="s">
        <v>1590</v>
      </c>
      <c r="M130" s="193" t="s">
        <v>1591</v>
      </c>
      <c r="N130" s="193" t="s">
        <v>742</v>
      </c>
      <c r="O130" s="193" t="s">
        <v>1455</v>
      </c>
      <c r="P130" s="193"/>
      <c r="Q130" s="200"/>
      <c r="R130" s="86"/>
      <c r="S130" s="114">
        <f t="shared" ref="S130:T130" si="131">A130</f>
        <v>129</v>
      </c>
      <c r="T130" s="114" t="str">
        <f t="shared" si="131"/>
        <v>مجتبی انصاری</v>
      </c>
      <c r="U130" s="86" t="str">
        <f t="shared" si="3"/>
        <v>09128486090</v>
      </c>
      <c r="V130" s="86" t="str">
        <f t="shared" si="4"/>
        <v>پیش‌وایی 1</v>
      </c>
      <c r="W130" s="86"/>
      <c r="X130" s="86"/>
    </row>
    <row r="131">
      <c r="A131" s="201">
        <v>130.0</v>
      </c>
      <c r="B131" s="202" t="s">
        <v>1592</v>
      </c>
      <c r="C131" s="203" t="s">
        <v>1593</v>
      </c>
      <c r="D131" s="204" t="str">
        <f>IFERROR(__xludf.DUMMYFUNCTION("ARRAYFORMULA(LET( converted, SUBSTITUTE( SUBSTITUTE( SUBSTITUTE( SUBSTITUTE( SUBSTITUTE( SUBSTITUTE( SUBSTITUTE( SUBSTITUTE( SUBSTITUTE( SUBSTITUTE( C131, ""۰"", ""0""), ""۱"", ""1""), ""۲"", ""2""), ""۳"", ""3""), ""۴"", ""4""), ""۵"", ""5""), ""۶"", ""6"&amp;"""), ""۷"", ""7""), ""۸"", ""8""), ""۹"", ""9""), IF(LEFT(converted,3)=""+98"", ""0"" &amp; RIGHT(converted, LEN(converted)-3), IF(LEFT(converted,2)=""98"", ""0"" &amp; RIGHT(converted, LEN(converted)-2), IF(LEFT(converted,1)&lt;&gt;""0"", ""0"" &amp; converted, REGEXREPLA"&amp;"CE(converted , ""\s"", """")) ) ) ) )"),"09399887614")</f>
        <v>09399887614</v>
      </c>
      <c r="E131" s="205" t="s">
        <v>17</v>
      </c>
      <c r="F131" s="206">
        <v>1.0</v>
      </c>
      <c r="G131" s="202" t="s">
        <v>730</v>
      </c>
      <c r="H131" s="202" t="s">
        <v>1594</v>
      </c>
      <c r="I131" s="203"/>
      <c r="J131" s="203"/>
      <c r="K131" s="207" t="s">
        <v>1085</v>
      </c>
      <c r="L131" s="207" t="s">
        <v>1595</v>
      </c>
      <c r="M131" s="202" t="s">
        <v>1596</v>
      </c>
      <c r="N131" s="202" t="s">
        <v>1087</v>
      </c>
      <c r="O131" s="202" t="s">
        <v>1455</v>
      </c>
      <c r="P131" s="202"/>
      <c r="Q131" s="208"/>
      <c r="R131" s="86"/>
      <c r="S131" s="114">
        <f t="shared" ref="S131:T131" si="132">A131</f>
        <v>130</v>
      </c>
      <c r="T131" s="114" t="str">
        <f t="shared" si="132"/>
        <v>امیررضا فتحی</v>
      </c>
      <c r="U131" s="86" t="str">
        <f t="shared" si="3"/>
        <v>09399887614</v>
      </c>
      <c r="V131" s="86" t="str">
        <f t="shared" si="4"/>
        <v>پیش‌وایی 1</v>
      </c>
      <c r="W131" s="86"/>
      <c r="X131" s="86"/>
    </row>
    <row r="132">
      <c r="A132" s="192">
        <v>131.0</v>
      </c>
      <c r="B132" s="193" t="s">
        <v>1597</v>
      </c>
      <c r="C132" s="194" t="s">
        <v>1598</v>
      </c>
      <c r="D132" s="195" t="str">
        <f>IFERROR(__xludf.DUMMYFUNCTION("ARRAYFORMULA(LET( converted, SUBSTITUTE( SUBSTITUTE( SUBSTITUTE( SUBSTITUTE( SUBSTITUTE( SUBSTITUTE( SUBSTITUTE( SUBSTITUTE( SUBSTITUTE( SUBSTITUTE( C132, ""۰"", ""0""), ""۱"", ""1""), ""۲"", ""2""), ""۳"", ""3""), ""۴"", ""4""), ""۵"", ""5""), ""۶"", ""6"&amp;"""), ""۷"", ""7""), ""۸"", ""8""), ""۹"", ""9""), IF(LEFT(converted,3)=""+98"", ""0"" &amp; RIGHT(converted, LEN(converted)-3), IF(LEFT(converted,2)=""98"", ""0"" &amp; RIGHT(converted, LEN(converted)-2), IF(LEFT(converted,1)&lt;&gt;""0"", ""0"" &amp; converted, REGEXREPLA"&amp;"CE(converted , ""\s"", """")) ) ) ) )"),"09331991386")</f>
        <v>09331991386</v>
      </c>
      <c r="E132" s="196" t="s">
        <v>17</v>
      </c>
      <c r="F132" s="197">
        <v>1.0</v>
      </c>
      <c r="G132" s="193" t="s">
        <v>730</v>
      </c>
      <c r="H132" s="193" t="s">
        <v>1599</v>
      </c>
      <c r="I132" s="194"/>
      <c r="J132" s="194"/>
      <c r="K132" s="199" t="s">
        <v>334</v>
      </c>
      <c r="L132" s="199" t="s">
        <v>1600</v>
      </c>
      <c r="M132" s="193" t="s">
        <v>1601</v>
      </c>
      <c r="N132" s="193" t="s">
        <v>1602</v>
      </c>
      <c r="O132" s="193" t="s">
        <v>1455</v>
      </c>
      <c r="P132" s="193"/>
      <c r="Q132" s="200"/>
      <c r="R132" s="86"/>
      <c r="S132" s="114">
        <f t="shared" ref="S132:T132" si="133">A132</f>
        <v>131</v>
      </c>
      <c r="T132" s="114" t="str">
        <f t="shared" si="133"/>
        <v>شایان شریفی</v>
      </c>
      <c r="U132" s="86" t="str">
        <f t="shared" si="3"/>
        <v>09331991386</v>
      </c>
      <c r="V132" s="86" t="str">
        <f t="shared" si="4"/>
        <v>پیش‌وایی 1</v>
      </c>
      <c r="W132" s="86"/>
      <c r="X132" s="86"/>
    </row>
    <row r="133">
      <c r="A133" s="201">
        <v>132.0</v>
      </c>
      <c r="B133" s="202" t="s">
        <v>1603</v>
      </c>
      <c r="C133" s="203" t="s">
        <v>1604</v>
      </c>
      <c r="D133" s="204" t="str">
        <f>IFERROR(__xludf.DUMMYFUNCTION("ARRAYFORMULA(LET( converted, SUBSTITUTE( SUBSTITUTE( SUBSTITUTE( SUBSTITUTE( SUBSTITUTE( SUBSTITUTE( SUBSTITUTE( SUBSTITUTE( SUBSTITUTE( SUBSTITUTE( C133, ""۰"", ""0""), ""۱"", ""1""), ""۲"", ""2""), ""۳"", ""3""), ""۴"", ""4""), ""۵"", ""5""), ""۶"", ""6"&amp;"""), ""۷"", ""7""), ""۸"", ""8""), ""۹"", ""9""), IF(LEFT(converted,3)=""+98"", ""0"" &amp; RIGHT(converted, LEN(converted)-3), IF(LEFT(converted,2)=""98"", ""0"" &amp; RIGHT(converted, LEN(converted)-2), IF(LEFT(converted,1)&lt;&gt;""0"", ""0"" &amp; converted, REGEXREPLA"&amp;"CE(converted , ""\s"", """")) ) ) ) )"),"09367498998")</f>
        <v>09367498998</v>
      </c>
      <c r="E133" s="205" t="s">
        <v>17</v>
      </c>
      <c r="F133" s="206">
        <v>1.0</v>
      </c>
      <c r="G133" s="202" t="s">
        <v>730</v>
      </c>
      <c r="H133" s="202" t="s">
        <v>1605</v>
      </c>
      <c r="I133" s="203"/>
      <c r="J133" s="203"/>
      <c r="K133" s="207" t="s">
        <v>1569</v>
      </c>
      <c r="L133" s="207" t="s">
        <v>1606</v>
      </c>
      <c r="M133" s="202" t="s">
        <v>1607</v>
      </c>
      <c r="N133" s="202" t="s">
        <v>1572</v>
      </c>
      <c r="O133" s="202" t="s">
        <v>1455</v>
      </c>
      <c r="P133" s="202"/>
      <c r="Q133" s="208"/>
      <c r="R133" s="86"/>
      <c r="S133" s="114">
        <f t="shared" ref="S133:T133" si="134">A133</f>
        <v>132</v>
      </c>
      <c r="T133" s="114" t="str">
        <f t="shared" si="134"/>
        <v>حسن فراهانی</v>
      </c>
      <c r="U133" s="86" t="str">
        <f t="shared" si="3"/>
        <v>09367498998</v>
      </c>
      <c r="V133" s="86" t="str">
        <f t="shared" si="4"/>
        <v>پیش‌وایی 1</v>
      </c>
      <c r="W133" s="86"/>
      <c r="X133" s="86"/>
    </row>
    <row r="134">
      <c r="A134" s="192">
        <v>133.0</v>
      </c>
      <c r="B134" s="193" t="s">
        <v>1608</v>
      </c>
      <c r="C134" s="194" t="s">
        <v>1609</v>
      </c>
      <c r="D134" s="195" t="str">
        <f>IFERROR(__xludf.DUMMYFUNCTION("ARRAYFORMULA(LET( converted, SUBSTITUTE( SUBSTITUTE( SUBSTITUTE( SUBSTITUTE( SUBSTITUTE( SUBSTITUTE( SUBSTITUTE( SUBSTITUTE( SUBSTITUTE( SUBSTITUTE( C134, ""۰"", ""0""), ""۱"", ""1""), ""۲"", ""2""), ""۳"", ""3""), ""۴"", ""4""), ""۵"", ""5""), ""۶"", ""6"&amp;"""), ""۷"", ""7""), ""۸"", ""8""), ""۹"", ""9""), IF(LEFT(converted,3)=""+98"", ""0"" &amp; RIGHT(converted, LEN(converted)-3), IF(LEFT(converted,2)=""98"", ""0"" &amp; RIGHT(converted, LEN(converted)-2), IF(LEFT(converted,1)&lt;&gt;""0"", ""0"" &amp; converted, REGEXREPLA"&amp;"CE(converted , ""\s"", """")) ) ) ) )"),"09123049318")</f>
        <v>09123049318</v>
      </c>
      <c r="E134" s="196" t="s">
        <v>17</v>
      </c>
      <c r="F134" s="197">
        <v>1.0</v>
      </c>
      <c r="G134" s="193" t="s">
        <v>746</v>
      </c>
      <c r="H134" s="193" t="s">
        <v>1610</v>
      </c>
      <c r="I134" s="194"/>
      <c r="J134" s="194" t="s">
        <v>1611</v>
      </c>
      <c r="K134" s="199" t="s">
        <v>1576</v>
      </c>
      <c r="L134" s="199" t="s">
        <v>1612</v>
      </c>
      <c r="M134" s="193" t="s">
        <v>1613</v>
      </c>
      <c r="N134" s="193" t="s">
        <v>1579</v>
      </c>
      <c r="O134" s="199" t="s">
        <v>737</v>
      </c>
      <c r="P134" s="193"/>
      <c r="Q134" s="200"/>
      <c r="R134" s="86"/>
      <c r="S134" s="114">
        <f t="shared" ref="S134:T134" si="135">A134</f>
        <v>133</v>
      </c>
      <c r="T134" s="114" t="str">
        <f t="shared" si="135"/>
        <v>سمانه ایوبی</v>
      </c>
      <c r="U134" s="86" t="str">
        <f t="shared" si="3"/>
        <v>09123049318</v>
      </c>
      <c r="V134" s="86" t="str">
        <f t="shared" si="4"/>
        <v>پیش‌وایی 1</v>
      </c>
      <c r="W134" s="86"/>
      <c r="X134" s="86"/>
    </row>
    <row r="135">
      <c r="A135" s="201">
        <v>134.0</v>
      </c>
      <c r="B135" s="202" t="s">
        <v>1614</v>
      </c>
      <c r="C135" s="203" t="s">
        <v>1615</v>
      </c>
      <c r="D135" s="204" t="str">
        <f>IFERROR(__xludf.DUMMYFUNCTION("ARRAYFORMULA(LET( converted, SUBSTITUTE( SUBSTITUTE( SUBSTITUTE( SUBSTITUTE( SUBSTITUTE( SUBSTITUTE( SUBSTITUTE( SUBSTITUTE( SUBSTITUTE( SUBSTITUTE( C135, ""۰"", ""0""), ""۱"", ""1""), ""۲"", ""2""), ""۳"", ""3""), ""۴"", ""4""), ""۵"", ""5""), ""۶"", ""6"&amp;"""), ""۷"", ""7""), ""۸"", ""8""), ""۹"", ""9""), IF(LEFT(converted,3)=""+98"", ""0"" &amp; RIGHT(converted, LEN(converted)-3), IF(LEFT(converted,2)=""98"", ""0"" &amp; RIGHT(converted, LEN(converted)-2), IF(LEFT(converted,1)&lt;&gt;""0"", ""0"" &amp; converted, REGEXREPLA"&amp;"CE(converted , ""\s"", """")) ) ) ) )"),"09133159437")</f>
        <v>09133159437</v>
      </c>
      <c r="E135" s="205" t="s">
        <v>17</v>
      </c>
      <c r="F135" s="206">
        <v>1.0</v>
      </c>
      <c r="G135" s="202" t="s">
        <v>730</v>
      </c>
      <c r="H135" s="202" t="s">
        <v>1616</v>
      </c>
      <c r="I135" s="203"/>
      <c r="J135" s="203"/>
      <c r="K135" s="207" t="s">
        <v>1617</v>
      </c>
      <c r="L135" s="207" t="s">
        <v>1303</v>
      </c>
      <c r="M135" s="202" t="s">
        <v>1305</v>
      </c>
      <c r="N135" s="202" t="s">
        <v>1618</v>
      </c>
      <c r="O135" s="207" t="s">
        <v>737</v>
      </c>
      <c r="P135" s="202"/>
      <c r="Q135" s="208"/>
      <c r="R135" s="86"/>
      <c r="S135" s="114">
        <f t="shared" ref="S135:T135" si="136">A135</f>
        <v>134</v>
      </c>
      <c r="T135" s="114" t="str">
        <f t="shared" si="136"/>
        <v>سپهر حسینی</v>
      </c>
      <c r="U135" s="86" t="str">
        <f t="shared" si="3"/>
        <v>09133159437</v>
      </c>
      <c r="V135" s="86" t="str">
        <f t="shared" si="4"/>
        <v>پیش‌وایی 1</v>
      </c>
      <c r="W135" s="86"/>
      <c r="X135" s="86"/>
    </row>
    <row r="136">
      <c r="A136" s="192">
        <v>135.0</v>
      </c>
      <c r="B136" s="193" t="s">
        <v>1619</v>
      </c>
      <c r="C136" s="194" t="s">
        <v>1620</v>
      </c>
      <c r="D136" s="195" t="str">
        <f>IFERROR(__xludf.DUMMYFUNCTION("ARRAYFORMULA(LET( converted, SUBSTITUTE( SUBSTITUTE( SUBSTITUTE( SUBSTITUTE( SUBSTITUTE( SUBSTITUTE( SUBSTITUTE( SUBSTITUTE( SUBSTITUTE( SUBSTITUTE( C136, ""۰"", ""0""), ""۱"", ""1""), ""۲"", ""2""), ""۳"", ""3""), ""۴"", ""4""), ""۵"", ""5""), ""۶"", ""6"&amp;"""), ""۷"", ""7""), ""۸"", ""8""), ""۹"", ""9""), IF(LEFT(converted,3)=""+98"", ""0"" &amp; RIGHT(converted, LEN(converted)-3), IF(LEFT(converted,2)=""98"", ""0"" &amp; RIGHT(converted, LEN(converted)-2), IF(LEFT(converted,1)&lt;&gt;""0"", ""0"" &amp; converted, REGEXREPLA"&amp;"CE(converted , ""\s"", """")) ) ) ) )"),"09199690189")</f>
        <v>09199690189</v>
      </c>
      <c r="E136" s="196" t="s">
        <v>17</v>
      </c>
      <c r="F136" s="197">
        <v>1.0</v>
      </c>
      <c r="G136" s="193" t="s">
        <v>746</v>
      </c>
      <c r="H136" s="193" t="s">
        <v>1621</v>
      </c>
      <c r="I136" s="194"/>
      <c r="J136" s="194" t="s">
        <v>1622</v>
      </c>
      <c r="K136" s="199" t="s">
        <v>1623</v>
      </c>
      <c r="L136" s="199" t="s">
        <v>1612</v>
      </c>
      <c r="M136" s="193" t="s">
        <v>1613</v>
      </c>
      <c r="N136" s="193" t="s">
        <v>1624</v>
      </c>
      <c r="O136" s="199" t="s">
        <v>737</v>
      </c>
      <c r="P136" s="193"/>
      <c r="Q136" s="200"/>
      <c r="R136" s="86"/>
      <c r="S136" s="114">
        <f t="shared" ref="S136:T136" si="137">A136</f>
        <v>135</v>
      </c>
      <c r="T136" s="114" t="str">
        <f t="shared" si="137"/>
        <v>صبا ایوبی</v>
      </c>
      <c r="U136" s="86" t="str">
        <f t="shared" si="3"/>
        <v>09199690189</v>
      </c>
      <c r="V136" s="86" t="str">
        <f t="shared" si="4"/>
        <v>پیش‌وایی 1</v>
      </c>
      <c r="W136" s="86"/>
      <c r="X136" s="86"/>
    </row>
    <row r="137">
      <c r="A137" s="201">
        <v>136.0</v>
      </c>
      <c r="B137" s="202" t="s">
        <v>1625</v>
      </c>
      <c r="C137" s="203" t="s">
        <v>1626</v>
      </c>
      <c r="D137" s="204" t="str">
        <f>IFERROR(__xludf.DUMMYFUNCTION("ARRAYFORMULA(LET( converted, SUBSTITUTE( SUBSTITUTE( SUBSTITUTE( SUBSTITUTE( SUBSTITUTE( SUBSTITUTE( SUBSTITUTE( SUBSTITUTE( SUBSTITUTE( SUBSTITUTE( C137, ""۰"", ""0""), ""۱"", ""1""), ""۲"", ""2""), ""۳"", ""3""), ""۴"", ""4""), ""۵"", ""5""), ""۶"", ""6"&amp;"""), ""۷"", ""7""), ""۸"", ""8""), ""۹"", ""9""), IF(LEFT(converted,3)=""+98"", ""0"" &amp; RIGHT(converted, LEN(converted)-3), IF(LEFT(converted,2)=""98"", ""0"" &amp; RIGHT(converted, LEN(converted)-2), IF(LEFT(converted,1)&lt;&gt;""0"", ""0"" &amp; converted, REGEXREPLA"&amp;"CE(converted , ""\s"", """")) ) ) ) )"),"09364046101")</f>
        <v>09364046101</v>
      </c>
      <c r="E137" s="205" t="s">
        <v>17</v>
      </c>
      <c r="F137" s="206">
        <v>1.0</v>
      </c>
      <c r="G137" s="202" t="s">
        <v>746</v>
      </c>
      <c r="H137" s="202" t="s">
        <v>1627</v>
      </c>
      <c r="I137" s="203"/>
      <c r="J137" s="203"/>
      <c r="K137" s="207" t="s">
        <v>292</v>
      </c>
      <c r="L137" s="207" t="s">
        <v>1628</v>
      </c>
      <c r="M137" s="202" t="s">
        <v>1629</v>
      </c>
      <c r="N137" s="202" t="s">
        <v>790</v>
      </c>
      <c r="O137" s="207" t="s">
        <v>737</v>
      </c>
      <c r="P137" s="202"/>
      <c r="Q137" s="208"/>
      <c r="R137" s="86"/>
      <c r="S137" s="114">
        <f t="shared" ref="S137:T137" si="138">A137</f>
        <v>136</v>
      </c>
      <c r="T137" s="114" t="str">
        <f t="shared" si="138"/>
        <v>مریم جاشی</v>
      </c>
      <c r="U137" s="86" t="str">
        <f t="shared" si="3"/>
        <v>09364046101</v>
      </c>
      <c r="V137" s="86" t="str">
        <f t="shared" si="4"/>
        <v>پیش‌وایی 1</v>
      </c>
      <c r="W137" s="86"/>
      <c r="X137" s="86"/>
    </row>
    <row r="138">
      <c r="A138" s="192">
        <v>137.0</v>
      </c>
      <c r="B138" s="193" t="s">
        <v>1630</v>
      </c>
      <c r="C138" s="194" t="s">
        <v>1631</v>
      </c>
      <c r="D138" s="195" t="str">
        <f>IFERROR(__xludf.DUMMYFUNCTION("ARRAYFORMULA(LET( converted, SUBSTITUTE( SUBSTITUTE( SUBSTITUTE( SUBSTITUTE( SUBSTITUTE( SUBSTITUTE( SUBSTITUTE( SUBSTITUTE( SUBSTITUTE( SUBSTITUTE( C138, ""۰"", ""0""), ""۱"", ""1""), ""۲"", ""2""), ""۳"", ""3""), ""۴"", ""4""), ""۵"", ""5""), ""۶"", ""6"&amp;"""), ""۷"", ""7""), ""۸"", ""8""), ""۹"", ""9""), IF(LEFT(converted,3)=""+98"", ""0"" &amp; RIGHT(converted, LEN(converted)-3), IF(LEFT(converted,2)=""98"", ""0"" &amp; RIGHT(converted, LEN(converted)-2), IF(LEFT(converted,1)&lt;&gt;""0"", ""0"" &amp; converted, REGEXREPLA"&amp;"CE(converted , ""\s"", """")) ) ) ) )"),"09124386498")</f>
        <v>09124386498</v>
      </c>
      <c r="E138" s="196" t="s">
        <v>17</v>
      </c>
      <c r="F138" s="197">
        <v>1.0</v>
      </c>
      <c r="G138" s="193" t="s">
        <v>746</v>
      </c>
      <c r="H138" s="193" t="s">
        <v>1632</v>
      </c>
      <c r="I138" s="194"/>
      <c r="J138" s="194"/>
      <c r="K138" s="199" t="s">
        <v>1633</v>
      </c>
      <c r="L138" s="199" t="s">
        <v>1634</v>
      </c>
      <c r="M138" s="193" t="s">
        <v>1635</v>
      </c>
      <c r="N138" s="193" t="s">
        <v>1636</v>
      </c>
      <c r="O138" s="193" t="s">
        <v>1455</v>
      </c>
      <c r="P138" s="193"/>
      <c r="Q138" s="200"/>
      <c r="R138" s="86"/>
      <c r="S138" s="114">
        <f t="shared" ref="S138:T138" si="139">A138</f>
        <v>137</v>
      </c>
      <c r="T138" s="114" t="str">
        <f t="shared" si="139"/>
        <v>یاسمن بقینی</v>
      </c>
      <c r="U138" s="86" t="str">
        <f t="shared" si="3"/>
        <v>09124386498</v>
      </c>
      <c r="V138" s="86" t="str">
        <f t="shared" si="4"/>
        <v>پیش‌وایی 1</v>
      </c>
      <c r="W138" s="86"/>
      <c r="X138" s="86"/>
    </row>
    <row r="139">
      <c r="A139" s="201">
        <v>138.0</v>
      </c>
      <c r="B139" s="202" t="s">
        <v>1637</v>
      </c>
      <c r="C139" s="203" t="s">
        <v>1638</v>
      </c>
      <c r="D139" s="204" t="str">
        <f>IFERROR(__xludf.DUMMYFUNCTION("ARRAYFORMULA(LET( converted, SUBSTITUTE( SUBSTITUTE( SUBSTITUTE( SUBSTITUTE( SUBSTITUTE( SUBSTITUTE( SUBSTITUTE( SUBSTITUTE( SUBSTITUTE( SUBSTITUTE( C139, ""۰"", ""0""), ""۱"", ""1""), ""۲"", ""2""), ""۳"", ""3""), ""۴"", ""4""), ""۵"", ""5""), ""۶"", ""6"&amp;"""), ""۷"", ""7""), ""۸"", ""8""), ""۹"", ""9""), IF(LEFT(converted,3)=""+98"", ""0"" &amp; RIGHT(converted, LEN(converted)-3), IF(LEFT(converted,2)=""98"", ""0"" &amp; RIGHT(converted, LEN(converted)-2), IF(LEFT(converted,1)&lt;&gt;""0"", ""0"" &amp; converted, REGEXREPLA"&amp;"CE(converted , ""\s"", """")) ) ) ) )"),"09306609403")</f>
        <v>09306609403</v>
      </c>
      <c r="E139" s="205" t="s">
        <v>17</v>
      </c>
      <c r="F139" s="206">
        <v>1.0</v>
      </c>
      <c r="G139" s="202" t="s">
        <v>730</v>
      </c>
      <c r="H139" s="202" t="s">
        <v>1639</v>
      </c>
      <c r="I139" s="203"/>
      <c r="J139" s="203"/>
      <c r="K139" s="207" t="s">
        <v>259</v>
      </c>
      <c r="L139" s="207" t="s">
        <v>1640</v>
      </c>
      <c r="M139" s="202" t="s">
        <v>1641</v>
      </c>
      <c r="N139" s="202" t="s">
        <v>1642</v>
      </c>
      <c r="O139" s="202" t="s">
        <v>1455</v>
      </c>
      <c r="P139" s="202"/>
      <c r="Q139" s="208"/>
      <c r="R139" s="86"/>
      <c r="S139" s="114">
        <f t="shared" ref="S139:T139" si="140">A139</f>
        <v>138</v>
      </c>
      <c r="T139" s="114" t="str">
        <f t="shared" si="140"/>
        <v>علیرضا محمودزاده</v>
      </c>
      <c r="U139" s="86" t="str">
        <f t="shared" si="3"/>
        <v>09306609403</v>
      </c>
      <c r="V139" s="86" t="str">
        <f t="shared" si="4"/>
        <v>پیش‌وایی 1</v>
      </c>
      <c r="W139" s="86"/>
      <c r="X139" s="86"/>
    </row>
    <row r="140">
      <c r="A140" s="192">
        <v>139.0</v>
      </c>
      <c r="B140" s="193" t="s">
        <v>1643</v>
      </c>
      <c r="C140" s="194" t="s">
        <v>1644</v>
      </c>
      <c r="D140" s="195" t="str">
        <f>IFERROR(__xludf.DUMMYFUNCTION("ARRAYFORMULA(LET( converted, SUBSTITUTE( SUBSTITUTE( SUBSTITUTE( SUBSTITUTE( SUBSTITUTE( SUBSTITUTE( SUBSTITUTE( SUBSTITUTE( SUBSTITUTE( SUBSTITUTE( C140, ""۰"", ""0""), ""۱"", ""1""), ""۲"", ""2""), ""۳"", ""3""), ""۴"", ""4""), ""۵"", ""5""), ""۶"", ""6"&amp;"""), ""۷"", ""7""), ""۸"", ""8""), ""۹"", ""9""), IF(LEFT(converted,3)=""+98"", ""0"" &amp; RIGHT(converted, LEN(converted)-3), IF(LEFT(converted,2)=""98"", ""0"" &amp; RIGHT(converted, LEN(converted)-2), IF(LEFT(converted,1)&lt;&gt;""0"", ""0"" &amp; converted, REGEXREPLA"&amp;"CE(converted , ""\s"", """")) ) ) ) )"),"09129246466")</f>
        <v>09129246466</v>
      </c>
      <c r="E140" s="196" t="s">
        <v>17</v>
      </c>
      <c r="F140" s="197">
        <v>1.0</v>
      </c>
      <c r="G140" s="193" t="s">
        <v>746</v>
      </c>
      <c r="H140" s="193" t="s">
        <v>1645</v>
      </c>
      <c r="I140" s="194"/>
      <c r="J140" s="194"/>
      <c r="K140" s="199" t="s">
        <v>1646</v>
      </c>
      <c r="L140" s="199" t="s">
        <v>1647</v>
      </c>
      <c r="M140" s="193" t="s">
        <v>1648</v>
      </c>
      <c r="N140" s="193" t="s">
        <v>1428</v>
      </c>
      <c r="O140" s="193" t="s">
        <v>1455</v>
      </c>
      <c r="P140" s="193"/>
      <c r="Q140" s="200"/>
      <c r="R140" s="86"/>
      <c r="S140" s="114">
        <f t="shared" ref="S140:T140" si="141">A140</f>
        <v>139</v>
      </c>
      <c r="T140" s="114" t="str">
        <f t="shared" si="141"/>
        <v>پگاه بصیری کیا</v>
      </c>
      <c r="U140" s="86" t="str">
        <f t="shared" si="3"/>
        <v>09129246466</v>
      </c>
      <c r="V140" s="86" t="str">
        <f t="shared" si="4"/>
        <v>پیش‌وایی 1</v>
      </c>
      <c r="W140" s="86"/>
      <c r="X140" s="86"/>
    </row>
    <row r="141">
      <c r="A141" s="201">
        <v>140.0</v>
      </c>
      <c r="B141" s="202" t="s">
        <v>1649</v>
      </c>
      <c r="C141" s="203" t="s">
        <v>1650</v>
      </c>
      <c r="D141" s="204" t="str">
        <f>IFERROR(__xludf.DUMMYFUNCTION("ARRAYFORMULA(LET( converted, SUBSTITUTE( SUBSTITUTE( SUBSTITUTE( SUBSTITUTE( SUBSTITUTE( SUBSTITUTE( SUBSTITUTE( SUBSTITUTE( SUBSTITUTE( SUBSTITUTE( C141, ""۰"", ""0""), ""۱"", ""1""), ""۲"", ""2""), ""۳"", ""3""), ""۴"", ""4""), ""۵"", ""5""), ""۶"", ""6"&amp;"""), ""۷"", ""7""), ""۸"", ""8""), ""۹"", ""9""), IF(LEFT(converted,3)=""+98"", ""0"" &amp; RIGHT(converted, LEN(converted)-3), IF(LEFT(converted,2)=""98"", ""0"" &amp; RIGHT(converted, LEN(converted)-2), IF(LEFT(converted,1)&lt;&gt;""0"", ""0"" &amp; converted, REGEXREPLA"&amp;"CE(converted , ""\s"", """")) ) ) ) )"),"09128300124")</f>
        <v>09128300124</v>
      </c>
      <c r="E141" s="205" t="s">
        <v>17</v>
      </c>
      <c r="F141" s="206">
        <v>1.0</v>
      </c>
      <c r="G141" s="202" t="s">
        <v>730</v>
      </c>
      <c r="H141" s="202" t="s">
        <v>1651</v>
      </c>
      <c r="I141" s="203"/>
      <c r="J141" s="203"/>
      <c r="K141" s="207" t="s">
        <v>1652</v>
      </c>
      <c r="L141" s="207" t="s">
        <v>1653</v>
      </c>
      <c r="M141" s="202" t="s">
        <v>1654</v>
      </c>
      <c r="N141" s="202" t="s">
        <v>1655</v>
      </c>
      <c r="O141" s="202" t="s">
        <v>1455</v>
      </c>
      <c r="P141" s="202"/>
      <c r="Q141" s="208"/>
      <c r="R141" s="86"/>
      <c r="S141" s="114">
        <f t="shared" ref="S141:T141" si="142">A141</f>
        <v>140</v>
      </c>
      <c r="T141" s="114" t="str">
        <f t="shared" si="142"/>
        <v>سید هانی امام جمعه</v>
      </c>
      <c r="U141" s="86" t="str">
        <f t="shared" si="3"/>
        <v>09128300124</v>
      </c>
      <c r="V141" s="86" t="str">
        <f t="shared" si="4"/>
        <v>پیش‌وایی 1</v>
      </c>
      <c r="W141" s="86"/>
      <c r="X141" s="86"/>
    </row>
    <row r="142">
      <c r="A142" s="192">
        <v>141.0</v>
      </c>
      <c r="B142" s="193" t="s">
        <v>1656</v>
      </c>
      <c r="C142" s="194" t="s">
        <v>1657</v>
      </c>
      <c r="D142" s="195" t="str">
        <f>IFERROR(__xludf.DUMMYFUNCTION("ARRAYFORMULA(LET( converted, SUBSTITUTE( SUBSTITUTE( SUBSTITUTE( SUBSTITUTE( SUBSTITUTE( SUBSTITUTE( SUBSTITUTE( SUBSTITUTE( SUBSTITUTE( SUBSTITUTE( C142, ""۰"", ""0""), ""۱"", ""1""), ""۲"", ""2""), ""۳"", ""3""), ""۴"", ""4""), ""۵"", ""5""), ""۶"", ""6"&amp;"""), ""۷"", ""7""), ""۸"", ""8""), ""۹"", ""9""), IF(LEFT(converted,3)=""+98"", ""0"" &amp; RIGHT(converted, LEN(converted)-3), IF(LEFT(converted,2)=""98"", ""0"" &amp; RIGHT(converted, LEN(converted)-2), IF(LEFT(converted,1)&lt;&gt;""0"", ""0"" &amp; converted, REGEXREPLA"&amp;"CE(converted , ""\s"", """")) ) ) ) )"),"09102242927")</f>
        <v>09102242927</v>
      </c>
      <c r="E142" s="196" t="s">
        <v>17</v>
      </c>
      <c r="F142" s="197">
        <v>1.0</v>
      </c>
      <c r="G142" s="193" t="s">
        <v>730</v>
      </c>
      <c r="H142" s="193" t="s">
        <v>1658</v>
      </c>
      <c r="I142" s="194"/>
      <c r="J142" s="194"/>
      <c r="K142" s="199" t="s">
        <v>1659</v>
      </c>
      <c r="L142" s="199" t="s">
        <v>889</v>
      </c>
      <c r="M142" s="193" t="s">
        <v>891</v>
      </c>
      <c r="N142" s="193" t="s">
        <v>1660</v>
      </c>
      <c r="O142" s="193" t="s">
        <v>1455</v>
      </c>
      <c r="P142" s="193"/>
      <c r="Q142" s="200"/>
      <c r="R142" s="86"/>
      <c r="S142" s="114">
        <f t="shared" ref="S142:T142" si="143">A142</f>
        <v>141</v>
      </c>
      <c r="T142" s="114" t="str">
        <f t="shared" si="143"/>
        <v>سید محمد حسین کاظمی</v>
      </c>
      <c r="U142" s="86" t="str">
        <f t="shared" si="3"/>
        <v>09102242927</v>
      </c>
      <c r="V142" s="86" t="str">
        <f t="shared" si="4"/>
        <v>پیش‌وایی 1</v>
      </c>
      <c r="W142" s="86"/>
      <c r="X142" s="86"/>
    </row>
    <row r="143">
      <c r="A143" s="201">
        <v>142.0</v>
      </c>
      <c r="B143" s="202" t="s">
        <v>1661</v>
      </c>
      <c r="C143" s="203" t="s">
        <v>1662</v>
      </c>
      <c r="D143" s="204" t="str">
        <f>IFERROR(__xludf.DUMMYFUNCTION("ARRAYFORMULA(LET( converted, SUBSTITUTE( SUBSTITUTE( SUBSTITUTE( SUBSTITUTE( SUBSTITUTE( SUBSTITUTE( SUBSTITUTE( SUBSTITUTE( SUBSTITUTE( SUBSTITUTE( C143, ""۰"", ""0""), ""۱"", ""1""), ""۲"", ""2""), ""۳"", ""3""), ""۴"", ""4""), ""۵"", ""5""), ""۶"", ""6"&amp;"""), ""۷"", ""7""), ""۸"", ""8""), ""۹"", ""9""), IF(LEFT(converted,3)=""+98"", ""0"" &amp; RIGHT(converted, LEN(converted)-3), IF(LEFT(converted,2)=""98"", ""0"" &amp; RIGHT(converted, LEN(converted)-2), IF(LEFT(converted,1)&lt;&gt;""0"", ""0"" &amp; converted, REGEXREPLA"&amp;"CE(converted , ""\s"", """")) ) ) ) )"),"09124156426")</f>
        <v>09124156426</v>
      </c>
      <c r="E143" s="205" t="s">
        <v>17</v>
      </c>
      <c r="F143" s="206">
        <v>1.0</v>
      </c>
      <c r="G143" s="202" t="s">
        <v>746</v>
      </c>
      <c r="H143" s="202" t="s">
        <v>1663</v>
      </c>
      <c r="I143" s="203"/>
      <c r="J143" s="203"/>
      <c r="K143" s="207" t="s">
        <v>274</v>
      </c>
      <c r="L143" s="207" t="s">
        <v>1664</v>
      </c>
      <c r="M143" s="202" t="s">
        <v>1665</v>
      </c>
      <c r="N143" s="202" t="s">
        <v>832</v>
      </c>
      <c r="O143" s="202" t="s">
        <v>1455</v>
      </c>
      <c r="P143" s="202"/>
      <c r="Q143" s="208"/>
      <c r="R143" s="86"/>
      <c r="S143" s="114">
        <f t="shared" ref="S143:T143" si="144">A143</f>
        <v>142</v>
      </c>
      <c r="T143" s="114" t="str">
        <f t="shared" si="144"/>
        <v>فاطمه غلاملو</v>
      </c>
      <c r="U143" s="86" t="str">
        <f t="shared" si="3"/>
        <v>09124156426</v>
      </c>
      <c r="V143" s="86" t="str">
        <f t="shared" si="4"/>
        <v>پیش‌وایی 1</v>
      </c>
      <c r="W143" s="86"/>
      <c r="X143" s="86"/>
    </row>
    <row r="144">
      <c r="A144" s="192">
        <v>143.0</v>
      </c>
      <c r="B144" s="193" t="s">
        <v>1666</v>
      </c>
      <c r="C144" s="194" t="s">
        <v>1667</v>
      </c>
      <c r="D144" s="195" t="str">
        <f>IFERROR(__xludf.DUMMYFUNCTION("ARRAYFORMULA(LET( converted, SUBSTITUTE( SUBSTITUTE( SUBSTITUTE( SUBSTITUTE( SUBSTITUTE( SUBSTITUTE( SUBSTITUTE( SUBSTITUTE( SUBSTITUTE( SUBSTITUTE( C144, ""۰"", ""0""), ""۱"", ""1""), ""۲"", ""2""), ""۳"", ""3""), ""۴"", ""4""), ""۵"", ""5""), ""۶"", ""6"&amp;"""), ""۷"", ""7""), ""۸"", ""8""), ""۹"", ""9""), IF(LEFT(converted,3)=""+98"", ""0"" &amp; RIGHT(converted, LEN(converted)-3), IF(LEFT(converted,2)=""98"", ""0"" &amp; RIGHT(converted, LEN(converted)-2), IF(LEFT(converted,1)&lt;&gt;""0"", ""0"" &amp; converted, REGEXREPLA"&amp;"CE(converted , ""\s"", """")) ) ) ) )"),"09128454353")</f>
        <v>09128454353</v>
      </c>
      <c r="E144" s="196" t="s">
        <v>17</v>
      </c>
      <c r="F144" s="197">
        <v>1.0</v>
      </c>
      <c r="G144" s="193" t="s">
        <v>730</v>
      </c>
      <c r="H144" s="193" t="s">
        <v>1668</v>
      </c>
      <c r="I144" s="194"/>
      <c r="J144" s="194" t="s">
        <v>1669</v>
      </c>
      <c r="K144" s="199" t="s">
        <v>1670</v>
      </c>
      <c r="L144" s="199" t="s">
        <v>1671</v>
      </c>
      <c r="M144" s="193" t="s">
        <v>1672</v>
      </c>
      <c r="N144" s="193" t="s">
        <v>1673</v>
      </c>
      <c r="O144" s="199" t="s">
        <v>737</v>
      </c>
      <c r="P144" s="193"/>
      <c r="Q144" s="200"/>
      <c r="R144" s="86"/>
      <c r="S144" s="114">
        <f t="shared" ref="S144:T144" si="145">A144</f>
        <v>143</v>
      </c>
      <c r="T144" s="114" t="str">
        <f t="shared" si="145"/>
        <v>محمدحسین راودمند</v>
      </c>
      <c r="U144" s="86" t="str">
        <f t="shared" si="3"/>
        <v>09128454353</v>
      </c>
      <c r="V144" s="86" t="str">
        <f t="shared" si="4"/>
        <v>پیش‌وایی 1</v>
      </c>
      <c r="W144" s="86"/>
      <c r="X144" s="86"/>
    </row>
    <row r="145">
      <c r="A145" s="201">
        <v>144.0</v>
      </c>
      <c r="B145" s="202" t="s">
        <v>1674</v>
      </c>
      <c r="C145" s="203" t="s">
        <v>1675</v>
      </c>
      <c r="D145" s="204" t="str">
        <f>IFERROR(__xludf.DUMMYFUNCTION("ARRAYFORMULA(LET( converted, SUBSTITUTE( SUBSTITUTE( SUBSTITUTE( SUBSTITUTE( SUBSTITUTE( SUBSTITUTE( SUBSTITUTE( SUBSTITUTE( SUBSTITUTE( SUBSTITUTE( C145, ""۰"", ""0""), ""۱"", ""1""), ""۲"", ""2""), ""۳"", ""3""), ""۴"", ""4""), ""۵"", ""5""), ""۶"", ""6"&amp;"""), ""۷"", ""7""), ""۸"", ""8""), ""۹"", ""9""), IF(LEFT(converted,3)=""+98"", ""0"" &amp; RIGHT(converted, LEN(converted)-3), IF(LEFT(converted,2)=""98"", ""0"" &amp; RIGHT(converted, LEN(converted)-2), IF(LEFT(converted,1)&lt;&gt;""0"", ""0"" &amp; converted, REGEXREPLA"&amp;"CE(converted , ""\s"", """")) ) ) ) )"),"09126798943")</f>
        <v>09126798943</v>
      </c>
      <c r="E145" s="205" t="s">
        <v>17</v>
      </c>
      <c r="F145" s="206">
        <v>1.0</v>
      </c>
      <c r="G145" s="202" t="s">
        <v>730</v>
      </c>
      <c r="H145" s="202" t="s">
        <v>1676</v>
      </c>
      <c r="I145" s="203"/>
      <c r="J145" s="203" t="s">
        <v>1677</v>
      </c>
      <c r="K145" s="207" t="s">
        <v>1678</v>
      </c>
      <c r="L145" s="207" t="s">
        <v>1679</v>
      </c>
      <c r="M145" s="202" t="s">
        <v>1680</v>
      </c>
      <c r="N145" s="202" t="s">
        <v>1681</v>
      </c>
      <c r="O145" s="207" t="s">
        <v>737</v>
      </c>
      <c r="P145" s="202"/>
      <c r="Q145" s="208"/>
      <c r="R145" s="86"/>
      <c r="S145" s="114">
        <f t="shared" ref="S145:T145" si="146">A145</f>
        <v>144</v>
      </c>
      <c r="T145" s="114" t="str">
        <f t="shared" si="146"/>
        <v>امین عارف پوراکبری</v>
      </c>
      <c r="U145" s="86" t="str">
        <f t="shared" si="3"/>
        <v>09126798943</v>
      </c>
      <c r="V145" s="86" t="str">
        <f t="shared" si="4"/>
        <v>پیش‌وایی 1</v>
      </c>
      <c r="W145" s="86"/>
      <c r="X145" s="86"/>
    </row>
    <row r="146">
      <c r="A146" s="192">
        <v>145.0</v>
      </c>
      <c r="B146" s="193" t="s">
        <v>1682</v>
      </c>
      <c r="C146" s="194" t="s">
        <v>1683</v>
      </c>
      <c r="D146" s="195" t="str">
        <f>IFERROR(__xludf.DUMMYFUNCTION("ARRAYFORMULA(LET( converted, SUBSTITUTE( SUBSTITUTE( SUBSTITUTE( SUBSTITUTE( SUBSTITUTE( SUBSTITUTE( SUBSTITUTE( SUBSTITUTE( SUBSTITUTE( SUBSTITUTE( C146, ""۰"", ""0""), ""۱"", ""1""), ""۲"", ""2""), ""۳"", ""3""), ""۴"", ""4""), ""۵"", ""5""), ""۶"", ""6"&amp;"""), ""۷"", ""7""), ""۸"", ""8""), ""۹"", ""9""), IF(LEFT(converted,3)=""+98"", ""0"" &amp; RIGHT(converted, LEN(converted)-3), IF(LEFT(converted,2)=""98"", ""0"" &amp; RIGHT(converted, LEN(converted)-2), IF(LEFT(converted,1)&lt;&gt;""0"", ""0"" &amp; converted, REGEXREPLA"&amp;"CE(converted , ""\s"", """")) ) ) ) )"),"09122078705")</f>
        <v>09122078705</v>
      </c>
      <c r="E146" s="196" t="s">
        <v>17</v>
      </c>
      <c r="F146" s="197">
        <v>1.0</v>
      </c>
      <c r="G146" s="193" t="s">
        <v>746</v>
      </c>
      <c r="H146" s="193" t="s">
        <v>1684</v>
      </c>
      <c r="I146" s="194"/>
      <c r="J146" s="194"/>
      <c r="K146" s="199" t="s">
        <v>1685</v>
      </c>
      <c r="L146" s="199" t="s">
        <v>1686</v>
      </c>
      <c r="M146" s="193" t="s">
        <v>1687</v>
      </c>
      <c r="N146" s="193" t="s">
        <v>1688</v>
      </c>
      <c r="O146" s="199" t="s">
        <v>737</v>
      </c>
      <c r="P146" s="193"/>
      <c r="Q146" s="200"/>
      <c r="R146" s="86"/>
      <c r="S146" s="114">
        <f t="shared" ref="S146:T146" si="147">A146</f>
        <v>145</v>
      </c>
      <c r="T146" s="114" t="str">
        <f t="shared" si="147"/>
        <v>سارا مهرابی</v>
      </c>
      <c r="U146" s="86" t="str">
        <f t="shared" si="3"/>
        <v>09122078705</v>
      </c>
      <c r="V146" s="86" t="str">
        <f t="shared" si="4"/>
        <v>پیش‌وایی 1</v>
      </c>
      <c r="W146" s="86"/>
      <c r="X146" s="86"/>
    </row>
    <row r="147">
      <c r="A147" s="201">
        <v>146.0</v>
      </c>
      <c r="B147" s="202" t="s">
        <v>1689</v>
      </c>
      <c r="C147" s="203" t="s">
        <v>1690</v>
      </c>
      <c r="D147" s="204" t="str">
        <f>IFERROR(__xludf.DUMMYFUNCTION("ARRAYFORMULA(LET( converted, SUBSTITUTE( SUBSTITUTE( SUBSTITUTE( SUBSTITUTE( SUBSTITUTE( SUBSTITUTE( SUBSTITUTE( SUBSTITUTE( SUBSTITUTE( SUBSTITUTE( C147, ""۰"", ""0""), ""۱"", ""1""), ""۲"", ""2""), ""۳"", ""3""), ""۴"", ""4""), ""۵"", ""5""), ""۶"", ""6"&amp;"""), ""۷"", ""7""), ""۸"", ""8""), ""۹"", ""9""), IF(LEFT(converted,3)=""+98"", ""0"" &amp; RIGHT(converted, LEN(converted)-3), IF(LEFT(converted,2)=""98"", ""0"" &amp; RIGHT(converted, LEN(converted)-2), IF(LEFT(converted,1)&lt;&gt;""0"", ""0"" &amp; converted, REGEXREPLA"&amp;"CE(converted , ""\s"", """")) ) ) ) )"),"09387470229")</f>
        <v>09387470229</v>
      </c>
      <c r="E147" s="205" t="s">
        <v>17</v>
      </c>
      <c r="F147" s="206">
        <v>1.0</v>
      </c>
      <c r="G147" s="202" t="s">
        <v>746</v>
      </c>
      <c r="H147" s="202" t="s">
        <v>1691</v>
      </c>
      <c r="I147" s="203"/>
      <c r="J147" s="203"/>
      <c r="K147" s="207" t="s">
        <v>1692</v>
      </c>
      <c r="L147" s="207" t="s">
        <v>231</v>
      </c>
      <c r="M147" s="202" t="s">
        <v>1693</v>
      </c>
      <c r="N147" s="202" t="s">
        <v>1694</v>
      </c>
      <c r="O147" s="207" t="s">
        <v>737</v>
      </c>
      <c r="P147" s="202"/>
      <c r="Q147" s="208"/>
      <c r="R147" s="86"/>
      <c r="S147" s="114">
        <f t="shared" ref="S147:T147" si="148">A147</f>
        <v>146</v>
      </c>
      <c r="T147" s="114" t="str">
        <f t="shared" si="148"/>
        <v>الهام موسوی</v>
      </c>
      <c r="U147" s="86" t="str">
        <f t="shared" si="3"/>
        <v>09387470229</v>
      </c>
      <c r="V147" s="86" t="str">
        <f t="shared" si="4"/>
        <v>پیش‌وایی 1</v>
      </c>
      <c r="W147" s="86"/>
      <c r="X147" s="86"/>
    </row>
    <row r="148">
      <c r="A148" s="192">
        <v>147.0</v>
      </c>
      <c r="B148" s="193" t="s">
        <v>1695</v>
      </c>
      <c r="C148" s="194" t="s">
        <v>1696</v>
      </c>
      <c r="D148" s="195" t="str">
        <f>IFERROR(__xludf.DUMMYFUNCTION("ARRAYFORMULA(LET( converted, SUBSTITUTE( SUBSTITUTE( SUBSTITUTE( SUBSTITUTE( SUBSTITUTE( SUBSTITUTE( SUBSTITUTE( SUBSTITUTE( SUBSTITUTE( SUBSTITUTE( C148, ""۰"", ""0""), ""۱"", ""1""), ""۲"", ""2""), ""۳"", ""3""), ""۴"", ""4""), ""۵"", ""5""), ""۶"", ""6"&amp;"""), ""۷"", ""7""), ""۸"", ""8""), ""۹"", ""9""), IF(LEFT(converted,3)=""+98"", ""0"" &amp; RIGHT(converted, LEN(converted)-3), IF(LEFT(converted,2)=""98"", ""0"" &amp; RIGHT(converted, LEN(converted)-2), IF(LEFT(converted,1)&lt;&gt;""0"", ""0"" &amp; converted, REGEXREPLA"&amp;"CE(converted , ""\s"", """")) ) ) ) )"),"09356615332")</f>
        <v>09356615332</v>
      </c>
      <c r="E148" s="196" t="s">
        <v>17</v>
      </c>
      <c r="F148" s="197">
        <v>1.0</v>
      </c>
      <c r="G148" s="193" t="s">
        <v>730</v>
      </c>
      <c r="H148" s="193" t="s">
        <v>1697</v>
      </c>
      <c r="I148" s="194"/>
      <c r="J148" s="194"/>
      <c r="K148" s="199" t="s">
        <v>896</v>
      </c>
      <c r="L148" s="199" t="s">
        <v>1698</v>
      </c>
      <c r="M148" s="193" t="s">
        <v>1699</v>
      </c>
      <c r="N148" s="193" t="s">
        <v>1700</v>
      </c>
      <c r="O148" s="199" t="s">
        <v>737</v>
      </c>
      <c r="P148" s="193"/>
      <c r="Q148" s="200"/>
      <c r="R148" s="86"/>
      <c r="S148" s="114">
        <f t="shared" ref="S148:T148" si="149">A148</f>
        <v>147</v>
      </c>
      <c r="T148" s="114" t="str">
        <f t="shared" si="149"/>
        <v>حسین طالبی</v>
      </c>
      <c r="U148" s="86" t="str">
        <f t="shared" si="3"/>
        <v>09356615332</v>
      </c>
      <c r="V148" s="86" t="str">
        <f t="shared" si="4"/>
        <v>پیش‌وایی 1</v>
      </c>
      <c r="W148" s="86"/>
      <c r="X148" s="86"/>
    </row>
    <row r="149">
      <c r="A149" s="201">
        <v>148.0</v>
      </c>
      <c r="B149" s="202" t="s">
        <v>1701</v>
      </c>
      <c r="C149" s="203" t="s">
        <v>1702</v>
      </c>
      <c r="D149" s="204" t="str">
        <f>IFERROR(__xludf.DUMMYFUNCTION("ARRAYFORMULA(LET( converted, SUBSTITUTE( SUBSTITUTE( SUBSTITUTE( SUBSTITUTE( SUBSTITUTE( SUBSTITUTE( SUBSTITUTE( SUBSTITUTE( SUBSTITUTE( SUBSTITUTE( C149, ""۰"", ""0""), ""۱"", ""1""), ""۲"", ""2""), ""۳"", ""3""), ""۴"", ""4""), ""۵"", ""5""), ""۶"", ""6"&amp;"""), ""۷"", ""7""), ""۸"", ""8""), ""۹"", ""9""), IF(LEFT(converted,3)=""+98"", ""0"" &amp; RIGHT(converted, LEN(converted)-3), IF(LEFT(converted,2)=""98"", ""0"" &amp; RIGHT(converted, LEN(converted)-2), IF(LEFT(converted,1)&lt;&gt;""0"", ""0"" &amp; converted, REGEXREPLA"&amp;"CE(converted , ""\s"", """")) ) ) ) )"),"09198131805")</f>
        <v>09198131805</v>
      </c>
      <c r="E149" s="205" t="s">
        <v>17</v>
      </c>
      <c r="F149" s="206">
        <v>1.0</v>
      </c>
      <c r="G149" s="202" t="s">
        <v>730</v>
      </c>
      <c r="H149" s="202" t="s">
        <v>1703</v>
      </c>
      <c r="I149" s="203"/>
      <c r="J149" s="203"/>
      <c r="K149" s="207" t="s">
        <v>1704</v>
      </c>
      <c r="L149" s="207" t="s">
        <v>1705</v>
      </c>
      <c r="M149" s="202" t="s">
        <v>1706</v>
      </c>
      <c r="N149" s="202" t="s">
        <v>1707</v>
      </c>
      <c r="O149" s="207" t="s">
        <v>737</v>
      </c>
      <c r="P149" s="202"/>
      <c r="Q149" s="208"/>
      <c r="R149" s="86"/>
      <c r="S149" s="114">
        <f t="shared" ref="S149:T149" si="150">A149</f>
        <v>148</v>
      </c>
      <c r="T149" s="114" t="str">
        <f t="shared" si="150"/>
        <v>امید گودرزی</v>
      </c>
      <c r="U149" s="86" t="str">
        <f t="shared" si="3"/>
        <v>09198131805</v>
      </c>
      <c r="V149" s="86" t="str">
        <f t="shared" si="4"/>
        <v>پیش‌وایی 1</v>
      </c>
      <c r="W149" s="86"/>
      <c r="X149" s="86"/>
    </row>
    <row r="150">
      <c r="A150" s="192">
        <v>149.0</v>
      </c>
      <c r="B150" s="193" t="s">
        <v>1708</v>
      </c>
      <c r="C150" s="194" t="s">
        <v>1709</v>
      </c>
      <c r="D150" s="195" t="str">
        <f>IFERROR(__xludf.DUMMYFUNCTION("ARRAYFORMULA(LET( converted, SUBSTITUTE( SUBSTITUTE( SUBSTITUTE( SUBSTITUTE( SUBSTITUTE( SUBSTITUTE( SUBSTITUTE( SUBSTITUTE( SUBSTITUTE( SUBSTITUTE( C150, ""۰"", ""0""), ""۱"", ""1""), ""۲"", ""2""), ""۳"", ""3""), ""۴"", ""4""), ""۵"", ""5""), ""۶"", ""6"&amp;"""), ""۷"", ""7""), ""۸"", ""8""), ""۹"", ""9""), IF(LEFT(converted,3)=""+98"", ""0"" &amp; RIGHT(converted, LEN(converted)-3), IF(LEFT(converted,2)=""98"", ""0"" &amp; RIGHT(converted, LEN(converted)-2), IF(LEFT(converted,1)&lt;&gt;""0"", ""0"" &amp; converted, REGEXREPLA"&amp;"CE(converted , ""\s"", """")) ) ) ) )"),"09191081209")</f>
        <v>09191081209</v>
      </c>
      <c r="E150" s="196" t="s">
        <v>17</v>
      </c>
      <c r="F150" s="197">
        <v>1.0</v>
      </c>
      <c r="G150" s="193" t="s">
        <v>730</v>
      </c>
      <c r="H150" s="193" t="s">
        <v>1710</v>
      </c>
      <c r="I150" s="194"/>
      <c r="J150" s="194"/>
      <c r="K150" s="199" t="s">
        <v>1018</v>
      </c>
      <c r="L150" s="199" t="s">
        <v>1711</v>
      </c>
      <c r="M150" s="193" t="s">
        <v>1712</v>
      </c>
      <c r="N150" s="193" t="s">
        <v>1020</v>
      </c>
      <c r="O150" s="193" t="s">
        <v>1455</v>
      </c>
      <c r="P150" s="193"/>
      <c r="Q150" s="200"/>
      <c r="R150" s="86"/>
      <c r="S150" s="114">
        <f t="shared" ref="S150:T150" si="151">A150</f>
        <v>149</v>
      </c>
      <c r="T150" s="114" t="str">
        <f t="shared" si="151"/>
        <v>علی قرائتی</v>
      </c>
      <c r="U150" s="86" t="str">
        <f t="shared" si="3"/>
        <v>09191081209</v>
      </c>
      <c r="V150" s="86" t="str">
        <f t="shared" si="4"/>
        <v>پیش‌وایی 1</v>
      </c>
      <c r="W150" s="86"/>
      <c r="X150" s="86"/>
    </row>
    <row r="151">
      <c r="A151" s="201">
        <v>150.0</v>
      </c>
      <c r="B151" s="202" t="s">
        <v>1713</v>
      </c>
      <c r="C151" s="203" t="s">
        <v>1714</v>
      </c>
      <c r="D151" s="204" t="str">
        <f>IFERROR(__xludf.DUMMYFUNCTION("ARRAYFORMULA(LET( converted, SUBSTITUTE( SUBSTITUTE( SUBSTITUTE( SUBSTITUTE( SUBSTITUTE( SUBSTITUTE( SUBSTITUTE( SUBSTITUTE( SUBSTITUTE( SUBSTITUTE( C151, ""۰"", ""0""), ""۱"", ""1""), ""۲"", ""2""), ""۳"", ""3""), ""۴"", ""4""), ""۵"", ""5""), ""۶"", ""6"&amp;"""), ""۷"", ""7""), ""۸"", ""8""), ""۹"", ""9""), IF(LEFT(converted,3)=""+98"", ""0"" &amp; RIGHT(converted, LEN(converted)-3), IF(LEFT(converted,2)=""98"", ""0"" &amp; RIGHT(converted, LEN(converted)-2), IF(LEFT(converted,1)&lt;&gt;""0"", ""0"" &amp; converted, REGEXREPLA"&amp;"CE(converted , ""\s"", """")) ) ) ) )"),"09121407287")</f>
        <v>09121407287</v>
      </c>
      <c r="E151" s="205" t="s">
        <v>17</v>
      </c>
      <c r="F151" s="206">
        <v>1.0</v>
      </c>
      <c r="G151" s="202" t="s">
        <v>746</v>
      </c>
      <c r="H151" s="202" t="s">
        <v>1715</v>
      </c>
      <c r="I151" s="203"/>
      <c r="J151" s="203"/>
      <c r="K151" s="207" t="s">
        <v>1716</v>
      </c>
      <c r="L151" s="207" t="s">
        <v>1717</v>
      </c>
      <c r="M151" s="202" t="s">
        <v>1718</v>
      </c>
      <c r="N151" s="202" t="s">
        <v>1719</v>
      </c>
      <c r="O151" s="202" t="s">
        <v>1455</v>
      </c>
      <c r="P151" s="202"/>
      <c r="Q151" s="208"/>
      <c r="R151" s="86"/>
      <c r="S151" s="114">
        <f t="shared" ref="S151:T151" si="152">A151</f>
        <v>150</v>
      </c>
      <c r="T151" s="114" t="str">
        <f t="shared" si="152"/>
        <v>فرحناز محب</v>
      </c>
      <c r="U151" s="86" t="str">
        <f t="shared" si="3"/>
        <v>09121407287</v>
      </c>
      <c r="V151" s="86" t="str">
        <f t="shared" si="4"/>
        <v>پیش‌وایی 1</v>
      </c>
      <c r="W151" s="86"/>
      <c r="X151" s="86"/>
    </row>
    <row r="152">
      <c r="A152" s="192">
        <v>151.0</v>
      </c>
      <c r="B152" s="193" t="s">
        <v>1720</v>
      </c>
      <c r="C152" s="194" t="s">
        <v>1721</v>
      </c>
      <c r="D152" s="195" t="str">
        <f>IFERROR(__xludf.DUMMYFUNCTION("ARRAYFORMULA(LET( converted, SUBSTITUTE( SUBSTITUTE( SUBSTITUTE( SUBSTITUTE( SUBSTITUTE( SUBSTITUTE( SUBSTITUTE( SUBSTITUTE( SUBSTITUTE( SUBSTITUTE( C152, ""۰"", ""0""), ""۱"", ""1""), ""۲"", ""2""), ""۳"", ""3""), ""۴"", ""4""), ""۵"", ""5""), ""۶"", ""6"&amp;"""), ""۷"", ""7""), ""۸"", ""8""), ""۹"", ""9""), IF(LEFT(converted,3)=""+98"", ""0"" &amp; RIGHT(converted, LEN(converted)-3), IF(LEFT(converted,2)=""98"", ""0"" &amp; RIGHT(converted, LEN(converted)-2), IF(LEFT(converted,1)&lt;&gt;""0"", ""0"" &amp; converted, REGEXREPLA"&amp;"CE(converted , ""\s"", """")) ) ) ) )"),"014372990260")</f>
        <v>014372990260</v>
      </c>
      <c r="E152" s="196" t="s">
        <v>17</v>
      </c>
      <c r="F152" s="197">
        <v>1.0</v>
      </c>
      <c r="G152" s="193" t="s">
        <v>730</v>
      </c>
      <c r="H152" s="193" t="s">
        <v>1722</v>
      </c>
      <c r="I152" s="194"/>
      <c r="J152" s="194"/>
      <c r="K152" s="199" t="s">
        <v>303</v>
      </c>
      <c r="L152" s="199" t="s">
        <v>1723</v>
      </c>
      <c r="M152" s="193" t="s">
        <v>1724</v>
      </c>
      <c r="N152" s="193" t="s">
        <v>1725</v>
      </c>
      <c r="O152" s="193" t="s">
        <v>1455</v>
      </c>
      <c r="P152" s="193"/>
      <c r="Q152" s="200"/>
      <c r="R152" s="86"/>
      <c r="S152" s="114">
        <f t="shared" ref="S152:T152" si="153">A152</f>
        <v>151</v>
      </c>
      <c r="T152" s="114" t="str">
        <f t="shared" si="153"/>
        <v>محمد زارع</v>
      </c>
      <c r="U152" s="86" t="str">
        <f t="shared" si="3"/>
        <v>014372990260</v>
      </c>
      <c r="V152" s="86" t="str">
        <f t="shared" si="4"/>
        <v>پیش‌وایی 1</v>
      </c>
      <c r="W152" s="86"/>
      <c r="X152" s="86"/>
    </row>
    <row r="153">
      <c r="A153" s="201">
        <v>152.0</v>
      </c>
      <c r="B153" s="202" t="s">
        <v>1726</v>
      </c>
      <c r="C153" s="203" t="s">
        <v>1727</v>
      </c>
      <c r="D153" s="204" t="str">
        <f>IFERROR(__xludf.DUMMYFUNCTION("ARRAYFORMULA(LET( converted, SUBSTITUTE( SUBSTITUTE( SUBSTITUTE( SUBSTITUTE( SUBSTITUTE( SUBSTITUTE( SUBSTITUTE( SUBSTITUTE( SUBSTITUTE( SUBSTITUTE( C153, ""۰"", ""0""), ""۱"", ""1""), ""۲"", ""2""), ""۳"", ""3""), ""۴"", ""4""), ""۵"", ""5""), ""۶"", ""6"&amp;"""), ""۷"", ""7""), ""۸"", ""8""), ""۹"", ""9""), IF(LEFT(converted,3)=""+98"", ""0"" &amp; RIGHT(converted, LEN(converted)-3), IF(LEFT(converted,2)=""98"", ""0"" &amp; RIGHT(converted, LEN(converted)-2), IF(LEFT(converted,1)&lt;&gt;""0"", ""0"" &amp; converted, REGEXREPLA"&amp;"CE(converted , ""\s"", """")) ) ) ) )"),"09121044718")</f>
        <v>09121044718</v>
      </c>
      <c r="E153" s="205" t="s">
        <v>17</v>
      </c>
      <c r="F153" s="206">
        <v>1.0</v>
      </c>
      <c r="G153" s="202" t="s">
        <v>730</v>
      </c>
      <c r="H153" s="202" t="s">
        <v>1728</v>
      </c>
      <c r="I153" s="203"/>
      <c r="J153" s="203"/>
      <c r="K153" s="207" t="s">
        <v>192</v>
      </c>
      <c r="L153" s="207" t="s">
        <v>1729</v>
      </c>
      <c r="M153" s="202" t="s">
        <v>1730</v>
      </c>
      <c r="N153" s="202" t="s">
        <v>1296</v>
      </c>
      <c r="O153" s="202" t="s">
        <v>1455</v>
      </c>
      <c r="P153" s="202"/>
      <c r="Q153" s="208"/>
      <c r="R153" s="86"/>
      <c r="S153" s="114">
        <f t="shared" ref="S153:T153" si="154">A153</f>
        <v>152</v>
      </c>
      <c r="T153" s="114" t="str">
        <f t="shared" si="154"/>
        <v>امیرحسین مظاهری سیف</v>
      </c>
      <c r="U153" s="86" t="str">
        <f t="shared" si="3"/>
        <v>09121044718</v>
      </c>
      <c r="V153" s="86" t="str">
        <f t="shared" si="4"/>
        <v>پیش‌وایی 1</v>
      </c>
      <c r="W153" s="86"/>
      <c r="X153" s="86"/>
    </row>
    <row r="154">
      <c r="A154" s="192">
        <v>153.0</v>
      </c>
      <c r="B154" s="193" t="s">
        <v>1731</v>
      </c>
      <c r="C154" s="194" t="s">
        <v>1732</v>
      </c>
      <c r="D154" s="195" t="str">
        <f>IFERROR(__xludf.DUMMYFUNCTION("ARRAYFORMULA(LET( converted, SUBSTITUTE( SUBSTITUTE( SUBSTITUTE( SUBSTITUTE( SUBSTITUTE( SUBSTITUTE( SUBSTITUTE( SUBSTITUTE( SUBSTITUTE( SUBSTITUTE( C154, ""۰"", ""0""), ""۱"", ""1""), ""۲"", ""2""), ""۳"", ""3""), ""۴"", ""4""), ""۵"", ""5""), ""۶"", ""6"&amp;"""), ""۷"", ""7""), ""۸"", ""8""), ""۹"", ""9""), IF(LEFT(converted,3)=""+98"", ""0"" &amp; RIGHT(converted, LEN(converted)-3), IF(LEFT(converted,2)=""98"", ""0"" &amp; RIGHT(converted, LEN(converted)-2), IF(LEFT(converted,1)&lt;&gt;""0"", ""0"" &amp; converted, REGEXREPLA"&amp;"CE(converted , ""\s"", """")) ) ) ) )"),"09129306678")</f>
        <v>09129306678</v>
      </c>
      <c r="E154" s="196" t="s">
        <v>17</v>
      </c>
      <c r="F154" s="197">
        <v>1.0</v>
      </c>
      <c r="G154" s="193" t="s">
        <v>730</v>
      </c>
      <c r="H154" s="193" t="s">
        <v>1733</v>
      </c>
      <c r="I154" s="194"/>
      <c r="J154" s="194"/>
      <c r="K154" s="199" t="s">
        <v>758</v>
      </c>
      <c r="L154" s="199" t="s">
        <v>1734</v>
      </c>
      <c r="M154" s="193" t="s">
        <v>785</v>
      </c>
      <c r="N154" s="193" t="s">
        <v>760</v>
      </c>
      <c r="O154" s="193" t="s">
        <v>1455</v>
      </c>
      <c r="P154" s="193"/>
      <c r="Q154" s="200"/>
      <c r="R154" s="86"/>
      <c r="S154" s="114">
        <f t="shared" ref="S154:T154" si="155">A154</f>
        <v>153</v>
      </c>
      <c r="T154" s="114" t="str">
        <f t="shared" si="155"/>
        <v>سعید شفیعی سرارودی</v>
      </c>
      <c r="U154" s="86" t="str">
        <f t="shared" si="3"/>
        <v>09129306678</v>
      </c>
      <c r="V154" s="86" t="str">
        <f t="shared" si="4"/>
        <v>پیش‌وایی 1</v>
      </c>
      <c r="W154" s="86"/>
      <c r="X154" s="86"/>
    </row>
    <row r="155">
      <c r="A155" s="201">
        <v>154.0</v>
      </c>
      <c r="B155" s="202" t="s">
        <v>1735</v>
      </c>
      <c r="C155" s="203"/>
      <c r="D155" s="204" t="str">
        <f>IFERROR(__xludf.DUMMYFUNCTION("ARRAYFORMULA(LET( converted, SUBSTITUTE( SUBSTITUTE( SUBSTITUTE( SUBSTITUTE( SUBSTITUTE( SUBSTITUTE( SUBSTITUTE( SUBSTITUTE( SUBSTITUTE( SUBSTITUTE( C155, ""۰"", ""0""), ""۱"", ""1""), ""۲"", ""2""), ""۳"", ""3""), ""۴"", ""4""), ""۵"", ""5""), ""۶"", ""6"&amp;"""), ""۷"", ""7""), ""۸"", ""8""), ""۹"", ""9""), IF(LEFT(converted,3)=""+98"", ""0"" &amp; RIGHT(converted, LEN(converted)-3), IF(LEFT(converted,2)=""98"", ""0"" &amp; RIGHT(converted, LEN(converted)-2), IF(LEFT(converted,1)&lt;&gt;""0"", ""0"" &amp; converted, REGEXREPLA"&amp;"CE(converted , ""\s"", """")) ) ) ) )"),"0")</f>
        <v>0</v>
      </c>
      <c r="E155" s="205" t="s">
        <v>17</v>
      </c>
      <c r="F155" s="206">
        <v>1.0</v>
      </c>
      <c r="G155" s="202" t="s">
        <v>730</v>
      </c>
      <c r="H155" s="209" t="s">
        <v>1736</v>
      </c>
      <c r="I155" s="203"/>
      <c r="J155" s="203"/>
      <c r="K155" s="207" t="s">
        <v>1737</v>
      </c>
      <c r="L155" s="207" t="s">
        <v>1738</v>
      </c>
      <c r="M155" s="202" t="s">
        <v>1739</v>
      </c>
      <c r="N155" s="202" t="s">
        <v>1740</v>
      </c>
      <c r="O155" s="207" t="s">
        <v>753</v>
      </c>
      <c r="P155" s="202"/>
      <c r="Q155" s="208"/>
      <c r="R155" s="86"/>
      <c r="S155" s="114">
        <f t="shared" ref="S155:T155" si="156">A155</f>
        <v>154</v>
      </c>
      <c r="T155" s="114" t="str">
        <f t="shared" si="156"/>
        <v>هومن حقیقی فرد</v>
      </c>
      <c r="U155" s="86" t="str">
        <f t="shared" si="3"/>
        <v>0</v>
      </c>
      <c r="V155" s="86" t="str">
        <f t="shared" si="4"/>
        <v>پیش‌وایی 1</v>
      </c>
      <c r="W155" s="86"/>
      <c r="X155" s="86"/>
    </row>
    <row r="156">
      <c r="A156" s="192">
        <v>155.0</v>
      </c>
      <c r="B156" s="193" t="s">
        <v>1741</v>
      </c>
      <c r="C156" s="194"/>
      <c r="D156" s="195" t="str">
        <f>IFERROR(__xludf.DUMMYFUNCTION("ARRAYFORMULA(LET( converted, SUBSTITUTE( SUBSTITUTE( SUBSTITUTE( SUBSTITUTE( SUBSTITUTE( SUBSTITUTE( SUBSTITUTE( SUBSTITUTE( SUBSTITUTE( SUBSTITUTE( C156, ""۰"", ""0""), ""۱"", ""1""), ""۲"", ""2""), ""۳"", ""3""), ""۴"", ""4""), ""۵"", ""5""), ""۶"", ""6"&amp;"""), ""۷"", ""7""), ""۸"", ""8""), ""۹"", ""9""), IF(LEFT(converted,3)=""+98"", ""0"" &amp; RIGHT(converted, LEN(converted)-3), IF(LEFT(converted,2)=""98"", ""0"" &amp; RIGHT(converted, LEN(converted)-2), IF(LEFT(converted,1)&lt;&gt;""0"", ""0"" &amp; converted, REGEXREPLA"&amp;"CE(converted , ""\s"", """")) ) ) ) )"),"0")</f>
        <v>0</v>
      </c>
      <c r="E156" s="196" t="s">
        <v>17</v>
      </c>
      <c r="F156" s="197">
        <v>1.0</v>
      </c>
      <c r="G156" s="193" t="s">
        <v>746</v>
      </c>
      <c r="H156" s="193" t="s">
        <v>1742</v>
      </c>
      <c r="I156" s="194"/>
      <c r="J156" s="194"/>
      <c r="K156" s="199" t="s">
        <v>214</v>
      </c>
      <c r="L156" s="199" t="s">
        <v>1743</v>
      </c>
      <c r="M156" s="193" t="s">
        <v>1744</v>
      </c>
      <c r="N156" s="193" t="s">
        <v>1745</v>
      </c>
      <c r="O156" s="199" t="s">
        <v>737</v>
      </c>
      <c r="P156" s="193"/>
      <c r="Q156" s="200"/>
      <c r="R156" s="86"/>
      <c r="S156" s="114">
        <f t="shared" ref="S156:T156" si="157">A156</f>
        <v>155</v>
      </c>
      <c r="T156" s="114" t="str">
        <f t="shared" si="157"/>
        <v>بهاره نظری</v>
      </c>
      <c r="U156" s="86" t="str">
        <f t="shared" si="3"/>
        <v>0</v>
      </c>
      <c r="V156" s="86" t="str">
        <f t="shared" si="4"/>
        <v>پیش‌وایی 1</v>
      </c>
      <c r="W156" s="86"/>
      <c r="X156" s="86"/>
    </row>
    <row r="157">
      <c r="A157" s="201">
        <v>156.0</v>
      </c>
      <c r="B157" s="202" t="s">
        <v>1746</v>
      </c>
      <c r="C157" s="203" t="s">
        <v>1747</v>
      </c>
      <c r="D157" s="204" t="str">
        <f>IFERROR(__xludf.DUMMYFUNCTION("ARRAYFORMULA(LET( converted, SUBSTITUTE( SUBSTITUTE( SUBSTITUTE( SUBSTITUTE( SUBSTITUTE( SUBSTITUTE( SUBSTITUTE( SUBSTITUTE( SUBSTITUTE( SUBSTITUTE( C157, ""۰"", ""0""), ""۱"", ""1""), ""۲"", ""2""), ""۳"", ""3""), ""۴"", ""4""), ""۵"", ""5""), ""۶"", ""6"&amp;"""), ""۷"", ""7""), ""۸"", ""8""), ""۹"", ""9""), IF(LEFT(converted,3)=""+98"", ""0"" &amp; RIGHT(converted, LEN(converted)-3), IF(LEFT(converted,2)=""98"", ""0"" &amp; RIGHT(converted, LEN(converted)-2), IF(LEFT(converted,1)&lt;&gt;""0"", ""0"" &amp; converted, REGEXREPLA"&amp;"CE(converted , ""\s"", """")) ) ) ) )"),"09203109686")</f>
        <v>09203109686</v>
      </c>
      <c r="E157" s="205" t="s">
        <v>17</v>
      </c>
      <c r="F157" s="206">
        <v>1.0</v>
      </c>
      <c r="G157" s="202" t="s">
        <v>730</v>
      </c>
      <c r="H157" s="202" t="s">
        <v>1748</v>
      </c>
      <c r="I157" s="203"/>
      <c r="J157" s="203"/>
      <c r="K157" s="207" t="s">
        <v>1749</v>
      </c>
      <c r="L157" s="207" t="s">
        <v>1750</v>
      </c>
      <c r="M157" s="202" t="s">
        <v>1751</v>
      </c>
      <c r="N157" s="202" t="s">
        <v>812</v>
      </c>
      <c r="O157" s="207" t="s">
        <v>737</v>
      </c>
      <c r="P157" s="202"/>
      <c r="Q157" s="208"/>
      <c r="R157" s="86"/>
      <c r="S157" s="114">
        <f t="shared" ref="S157:T157" si="158">A157</f>
        <v>156</v>
      </c>
      <c r="T157" s="114" t="str">
        <f t="shared" si="158"/>
        <v>محمدعلى طائبى</v>
      </c>
      <c r="U157" s="86" t="str">
        <f t="shared" si="3"/>
        <v>09203109686</v>
      </c>
      <c r="V157" s="86" t="str">
        <f t="shared" si="4"/>
        <v>پیش‌وایی 1</v>
      </c>
      <c r="W157" s="86"/>
      <c r="X157" s="86"/>
    </row>
    <row r="158">
      <c r="A158" s="192">
        <v>157.0</v>
      </c>
      <c r="B158" s="193" t="s">
        <v>1752</v>
      </c>
      <c r="C158" s="194" t="s">
        <v>1753</v>
      </c>
      <c r="D158" s="195" t="str">
        <f>IFERROR(__xludf.DUMMYFUNCTION("ARRAYFORMULA(LET( converted, SUBSTITUTE( SUBSTITUTE( SUBSTITUTE( SUBSTITUTE( SUBSTITUTE( SUBSTITUTE( SUBSTITUTE( SUBSTITUTE( SUBSTITUTE( SUBSTITUTE( C158, ""۰"", ""0""), ""۱"", ""1""), ""۲"", ""2""), ""۳"", ""3""), ""۴"", ""4""), ""۵"", ""5""), ""۶"", ""6"&amp;"""), ""۷"", ""7""), ""۸"", ""8""), ""۹"", ""9""), IF(LEFT(converted,3)=""+98"", ""0"" &amp; RIGHT(converted, LEN(converted)-3), IF(LEFT(converted,2)=""98"", ""0"" &amp; RIGHT(converted, LEN(converted)-2), IF(LEFT(converted,1)&lt;&gt;""0"", ""0"" &amp; converted, REGEXREPLA"&amp;"CE(converted , ""\s"", """")) ) ) ) )"),"09184764661")</f>
        <v>09184764661</v>
      </c>
      <c r="E158" s="196" t="s">
        <v>17</v>
      </c>
      <c r="F158" s="197">
        <v>1.0</v>
      </c>
      <c r="G158" s="193" t="s">
        <v>730</v>
      </c>
      <c r="H158" s="193" t="s">
        <v>1754</v>
      </c>
      <c r="I158" s="194"/>
      <c r="J158" s="194"/>
      <c r="K158" s="199" t="s">
        <v>1755</v>
      </c>
      <c r="L158" s="199" t="s">
        <v>237</v>
      </c>
      <c r="M158" s="193" t="s">
        <v>1756</v>
      </c>
      <c r="N158" s="193" t="s">
        <v>1757</v>
      </c>
      <c r="O158" s="199" t="s">
        <v>737</v>
      </c>
      <c r="P158" s="193"/>
      <c r="Q158" s="200"/>
      <c r="R158" s="86"/>
      <c r="S158" s="114">
        <f t="shared" ref="S158:T158" si="159">A158</f>
        <v>157</v>
      </c>
      <c r="T158" s="114" t="str">
        <f t="shared" si="159"/>
        <v>کامیاب فرهادی</v>
      </c>
      <c r="U158" s="86" t="str">
        <f t="shared" si="3"/>
        <v>09184764661</v>
      </c>
      <c r="V158" s="86" t="str">
        <f t="shared" si="4"/>
        <v>پیش‌وایی 1</v>
      </c>
      <c r="W158" s="86"/>
      <c r="X158" s="86"/>
    </row>
    <row r="159">
      <c r="A159" s="201">
        <v>158.0</v>
      </c>
      <c r="B159" s="202" t="s">
        <v>1758</v>
      </c>
      <c r="C159" s="203" t="s">
        <v>1759</v>
      </c>
      <c r="D159" s="204" t="str">
        <f>IFERROR(__xludf.DUMMYFUNCTION("ARRAYFORMULA(LET( converted, SUBSTITUTE( SUBSTITUTE( SUBSTITUTE( SUBSTITUTE( SUBSTITUTE( SUBSTITUTE( SUBSTITUTE( SUBSTITUTE( SUBSTITUTE( SUBSTITUTE( C159, ""۰"", ""0""), ""۱"", ""1""), ""۲"", ""2""), ""۳"", ""3""), ""۴"", ""4""), ""۵"", ""5""), ""۶"", ""6"&amp;"""), ""۷"", ""7""), ""۸"", ""8""), ""۹"", ""9""), IF(LEFT(converted,3)=""+98"", ""0"" &amp; RIGHT(converted, LEN(converted)-3), IF(LEFT(converted,2)=""98"", ""0"" &amp; RIGHT(converted, LEN(converted)-2), IF(LEFT(converted,1)&lt;&gt;""0"", ""0"" &amp; converted, REGEXREPLA"&amp;"CE(converted , ""\s"", """")) ) ) ) )"),"09122086856")</f>
        <v>09122086856</v>
      </c>
      <c r="E159" s="205" t="s">
        <v>17</v>
      </c>
      <c r="F159" s="206">
        <v>1.0</v>
      </c>
      <c r="G159" s="202" t="s">
        <v>730</v>
      </c>
      <c r="H159" s="202" t="s">
        <v>1760</v>
      </c>
      <c r="I159" s="203"/>
      <c r="J159" s="203"/>
      <c r="K159" s="207" t="s">
        <v>1543</v>
      </c>
      <c r="L159" s="207" t="s">
        <v>1761</v>
      </c>
      <c r="M159" s="202" t="s">
        <v>1762</v>
      </c>
      <c r="N159" s="202" t="s">
        <v>1545</v>
      </c>
      <c r="O159" s="202"/>
      <c r="P159" s="202"/>
      <c r="Q159" s="208"/>
      <c r="R159" s="86"/>
      <c r="S159" s="114">
        <f t="shared" ref="S159:T159" si="160">A159</f>
        <v>158</v>
      </c>
      <c r="T159" s="114" t="str">
        <f t="shared" si="160"/>
        <v>مجتبی سلحشور</v>
      </c>
      <c r="U159" s="86" t="str">
        <f t="shared" si="3"/>
        <v>09122086856</v>
      </c>
      <c r="V159" s="86" t="str">
        <f t="shared" si="4"/>
        <v>پیش‌وایی 1</v>
      </c>
      <c r="W159" s="86"/>
      <c r="X159" s="86"/>
    </row>
    <row r="160">
      <c r="A160" s="192">
        <v>159.0</v>
      </c>
      <c r="B160" s="193" t="s">
        <v>1763</v>
      </c>
      <c r="C160" s="194" t="s">
        <v>1764</v>
      </c>
      <c r="D160" s="195" t="str">
        <f>IFERROR(__xludf.DUMMYFUNCTION("ARRAYFORMULA(LET( converted, SUBSTITUTE( SUBSTITUTE( SUBSTITUTE( SUBSTITUTE( SUBSTITUTE( SUBSTITUTE( SUBSTITUTE( SUBSTITUTE( SUBSTITUTE( SUBSTITUTE( C160, ""۰"", ""0""), ""۱"", ""1""), ""۲"", ""2""), ""۳"", ""3""), ""۴"", ""4""), ""۵"", ""5""), ""۶"", ""6"&amp;"""), ""۷"", ""7""), ""۸"", ""8""), ""۹"", ""9""), IF(LEFT(converted,3)=""+98"", ""0"" &amp; RIGHT(converted, LEN(converted)-3), IF(LEFT(converted,2)=""98"", ""0"" &amp; RIGHT(converted, LEN(converted)-2), IF(LEFT(converted,1)&lt;&gt;""0"", ""0"" &amp; converted, REGEXREPLA"&amp;"CE(converted , ""\s"", """")) ) ) ) )"),"09126190475")</f>
        <v>09126190475</v>
      </c>
      <c r="E160" s="196" t="s">
        <v>17</v>
      </c>
      <c r="F160" s="197">
        <v>1.0</v>
      </c>
      <c r="G160" s="193" t="s">
        <v>746</v>
      </c>
      <c r="H160" s="193" t="s">
        <v>1765</v>
      </c>
      <c r="I160" s="194"/>
      <c r="J160" s="194"/>
      <c r="K160" s="199" t="s">
        <v>1766</v>
      </c>
      <c r="L160" s="199" t="s">
        <v>1767</v>
      </c>
      <c r="M160" s="193" t="s">
        <v>1768</v>
      </c>
      <c r="N160" s="193" t="s">
        <v>1769</v>
      </c>
      <c r="O160" s="193"/>
      <c r="P160" s="193"/>
      <c r="Q160" s="200"/>
      <c r="R160" s="86"/>
      <c r="S160" s="114">
        <f t="shared" ref="S160:T160" si="161">A160</f>
        <v>159</v>
      </c>
      <c r="T160" s="114" t="str">
        <f t="shared" si="161"/>
        <v>زینب یاسری‌نژاد</v>
      </c>
      <c r="U160" s="86" t="str">
        <f t="shared" si="3"/>
        <v>09126190475</v>
      </c>
      <c r="V160" s="86" t="str">
        <f t="shared" si="4"/>
        <v>پیش‌وایی 1</v>
      </c>
      <c r="W160" s="86"/>
      <c r="X160" s="86"/>
    </row>
    <row r="161">
      <c r="A161" s="201">
        <v>160.0</v>
      </c>
      <c r="B161" s="202" t="s">
        <v>1770</v>
      </c>
      <c r="C161" s="203"/>
      <c r="D161" s="204" t="str">
        <f>IFERROR(__xludf.DUMMYFUNCTION("ARRAYFORMULA(LET( converted, SUBSTITUTE( SUBSTITUTE( SUBSTITUTE( SUBSTITUTE( SUBSTITUTE( SUBSTITUTE( SUBSTITUTE( SUBSTITUTE( SUBSTITUTE( SUBSTITUTE( C161, ""۰"", ""0""), ""۱"", ""1""), ""۲"", ""2""), ""۳"", ""3""), ""۴"", ""4""), ""۵"", ""5""), ""۶"", ""6"&amp;"""), ""۷"", ""7""), ""۸"", ""8""), ""۹"", ""9""), IF(LEFT(converted,3)=""+98"", ""0"" &amp; RIGHT(converted, LEN(converted)-3), IF(LEFT(converted,2)=""98"", ""0"" &amp; RIGHT(converted, LEN(converted)-2), IF(LEFT(converted,1)&lt;&gt;""0"", ""0"" &amp; converted, REGEXREPLA"&amp;"CE(converted , ""\s"", """")) ) ) ) )"),"0")</f>
        <v>0</v>
      </c>
      <c r="E161" s="205" t="s">
        <v>17</v>
      </c>
      <c r="F161" s="206">
        <v>1.0</v>
      </c>
      <c r="G161" s="202" t="s">
        <v>730</v>
      </c>
      <c r="H161" s="202" t="s">
        <v>1760</v>
      </c>
      <c r="I161" s="203"/>
      <c r="J161" s="203"/>
      <c r="K161" s="207" t="s">
        <v>1704</v>
      </c>
      <c r="L161" s="207" t="s">
        <v>1761</v>
      </c>
      <c r="M161" s="202" t="s">
        <v>1771</v>
      </c>
      <c r="N161" s="202" t="s">
        <v>1707</v>
      </c>
      <c r="O161" s="202"/>
      <c r="P161" s="202"/>
      <c r="Q161" s="208"/>
      <c r="R161" s="86"/>
      <c r="S161" s="114">
        <f t="shared" ref="S161:T161" si="162">A161</f>
        <v>160</v>
      </c>
      <c r="T161" s="114" t="str">
        <f t="shared" si="162"/>
        <v>امید سلحشور</v>
      </c>
      <c r="U161" s="86" t="str">
        <f t="shared" si="3"/>
        <v>0</v>
      </c>
      <c r="V161" s="86" t="str">
        <f t="shared" si="4"/>
        <v>پیش‌وایی 1</v>
      </c>
      <c r="W161" s="86"/>
      <c r="X161" s="86"/>
    </row>
    <row r="162">
      <c r="A162" s="192">
        <v>161.0</v>
      </c>
      <c r="B162" s="193" t="s">
        <v>1772</v>
      </c>
      <c r="C162" s="194"/>
      <c r="D162" s="195" t="str">
        <f>IFERROR(__xludf.DUMMYFUNCTION("ARRAYFORMULA(LET( converted, SUBSTITUTE( SUBSTITUTE( SUBSTITUTE( SUBSTITUTE( SUBSTITUTE( SUBSTITUTE( SUBSTITUTE( SUBSTITUTE( SUBSTITUTE( SUBSTITUTE( C162, ""۰"", ""0""), ""۱"", ""1""), ""۲"", ""2""), ""۳"", ""3""), ""۴"", ""4""), ""۵"", ""5""), ""۶"", ""6"&amp;"""), ""۷"", ""7""), ""۸"", ""8""), ""۹"", ""9""), IF(LEFT(converted,3)=""+98"", ""0"" &amp; RIGHT(converted, LEN(converted)-3), IF(LEFT(converted,2)=""98"", ""0"" &amp; RIGHT(converted, LEN(converted)-2), IF(LEFT(converted,1)&lt;&gt;""0"", ""0"" &amp; converted, REGEXREPLA"&amp;"CE(converted , ""\s"", """")) ) ) ) )"),"0")</f>
        <v>0</v>
      </c>
      <c r="E162" s="196" t="s">
        <v>17</v>
      </c>
      <c r="F162" s="197">
        <v>1.0</v>
      </c>
      <c r="G162" s="193" t="s">
        <v>746</v>
      </c>
      <c r="H162" s="193" t="s">
        <v>1773</v>
      </c>
      <c r="I162" s="194"/>
      <c r="J162" s="194"/>
      <c r="K162" s="199" t="s">
        <v>1774</v>
      </c>
      <c r="L162" s="199" t="s">
        <v>1775</v>
      </c>
      <c r="M162" s="193" t="s">
        <v>1776</v>
      </c>
      <c r="N162" s="193" t="s">
        <v>1777</v>
      </c>
      <c r="O162" s="193"/>
      <c r="P162" s="193"/>
      <c r="Q162" s="200"/>
      <c r="R162" s="86"/>
      <c r="S162" s="114">
        <f t="shared" ref="S162:T162" si="163">A162</f>
        <v>161</v>
      </c>
      <c r="T162" s="114" t="str">
        <f t="shared" si="163"/>
        <v>ملیکا لسانی</v>
      </c>
      <c r="U162" s="86" t="str">
        <f t="shared" si="3"/>
        <v>0</v>
      </c>
      <c r="V162" s="86" t="str">
        <f t="shared" si="4"/>
        <v>پیش‌وایی 1</v>
      </c>
      <c r="W162" s="86"/>
      <c r="X162" s="86"/>
    </row>
    <row r="163">
      <c r="A163" s="201">
        <v>162.0</v>
      </c>
      <c r="B163" s="202" t="s">
        <v>1778</v>
      </c>
      <c r="C163" s="203"/>
      <c r="D163" s="204" t="str">
        <f>IFERROR(__xludf.DUMMYFUNCTION("ARRAYFORMULA(LET( converted, SUBSTITUTE( SUBSTITUTE( SUBSTITUTE( SUBSTITUTE( SUBSTITUTE( SUBSTITUTE( SUBSTITUTE( SUBSTITUTE( SUBSTITUTE( SUBSTITUTE( C163, ""۰"", ""0""), ""۱"", ""1""), ""۲"", ""2""), ""۳"", ""3""), ""۴"", ""4""), ""۵"", ""5""), ""۶"", ""6"&amp;"""), ""۷"", ""7""), ""۸"", ""8""), ""۹"", ""9""), IF(LEFT(converted,3)=""+98"", ""0"" &amp; RIGHT(converted, LEN(converted)-3), IF(LEFT(converted,2)=""98"", ""0"" &amp; RIGHT(converted, LEN(converted)-2), IF(LEFT(converted,1)&lt;&gt;""0"", ""0"" &amp; converted, REGEXREPLA"&amp;"CE(converted , ""\s"", """")) ) ) ) )"),"0")</f>
        <v>0</v>
      </c>
      <c r="E163" s="205" t="s">
        <v>17</v>
      </c>
      <c r="F163" s="206">
        <v>1.0</v>
      </c>
      <c r="G163" s="202" t="s">
        <v>730</v>
      </c>
      <c r="H163" s="202" t="s">
        <v>1779</v>
      </c>
      <c r="I163" s="203"/>
      <c r="J163" s="203"/>
      <c r="K163" s="207" t="s">
        <v>1004</v>
      </c>
      <c r="L163" s="207" t="s">
        <v>1012</v>
      </c>
      <c r="M163" s="202" t="s">
        <v>1013</v>
      </c>
      <c r="N163" s="202" t="s">
        <v>1006</v>
      </c>
      <c r="O163" s="202"/>
      <c r="P163" s="202"/>
      <c r="Q163" s="208"/>
      <c r="R163" s="86"/>
      <c r="S163" s="114">
        <f t="shared" ref="S163:T163" si="164">A163</f>
        <v>162</v>
      </c>
      <c r="T163" s="114" t="str">
        <f t="shared" si="164"/>
        <v>حامد محمدی</v>
      </c>
      <c r="U163" s="86" t="str">
        <f t="shared" si="3"/>
        <v>0</v>
      </c>
      <c r="V163" s="86" t="str">
        <f t="shared" si="4"/>
        <v>پیش‌وایی 1</v>
      </c>
      <c r="W163" s="86"/>
      <c r="X163" s="86"/>
    </row>
    <row r="164">
      <c r="A164" s="192">
        <v>163.0</v>
      </c>
      <c r="B164" s="193" t="s">
        <v>1780</v>
      </c>
      <c r="C164" s="194" t="s">
        <v>1781</v>
      </c>
      <c r="D164" s="195" t="str">
        <f>IFERROR(__xludf.DUMMYFUNCTION("ARRAYFORMULA(LET( converted, SUBSTITUTE( SUBSTITUTE( SUBSTITUTE( SUBSTITUTE( SUBSTITUTE( SUBSTITUTE( SUBSTITUTE( SUBSTITUTE( SUBSTITUTE( SUBSTITUTE( C164, ""۰"", ""0""), ""۱"", ""1""), ""۲"", ""2""), ""۳"", ""3""), ""۴"", ""4""), ""۵"", ""5""), ""۶"", ""6"&amp;"""), ""۷"", ""7""), ""۸"", ""8""), ""۹"", ""9""), IF(LEFT(converted,3)=""+98"", ""0"" &amp; RIGHT(converted, LEN(converted)-3), IF(LEFT(converted,2)=""98"", ""0"" &amp; RIGHT(converted, LEN(converted)-2), IF(LEFT(converted,1)&lt;&gt;""0"", ""0"" &amp; converted, REGEXREPLA"&amp;"CE(converted , ""\s"", """")) ) ) ) )"),"09394310605")</f>
        <v>09394310605</v>
      </c>
      <c r="E164" s="196" t="s">
        <v>17</v>
      </c>
      <c r="F164" s="197">
        <v>1.0</v>
      </c>
      <c r="G164" s="193" t="s">
        <v>746</v>
      </c>
      <c r="H164" s="193" t="s">
        <v>1782</v>
      </c>
      <c r="I164" s="194"/>
      <c r="J164" s="194"/>
      <c r="K164" s="199" t="s">
        <v>1783</v>
      </c>
      <c r="L164" s="199" t="s">
        <v>1019</v>
      </c>
      <c r="M164" s="193" t="s">
        <v>1191</v>
      </c>
      <c r="N164" s="193" t="s">
        <v>1784</v>
      </c>
      <c r="O164" s="193"/>
      <c r="P164" s="193"/>
      <c r="Q164" s="200"/>
      <c r="R164" s="86"/>
      <c r="S164" s="114">
        <f t="shared" ref="S164:T164" si="165">A164</f>
        <v>163</v>
      </c>
      <c r="T164" s="114" t="str">
        <f t="shared" si="165"/>
        <v>مارال احمدی</v>
      </c>
      <c r="U164" s="86" t="str">
        <f t="shared" si="3"/>
        <v>09394310605</v>
      </c>
      <c r="V164" s="86" t="str">
        <f t="shared" si="4"/>
        <v>پیش‌وایی 1</v>
      </c>
      <c r="W164" s="86"/>
      <c r="X164" s="86"/>
    </row>
    <row r="165">
      <c r="A165" s="201">
        <v>164.0</v>
      </c>
      <c r="B165" s="202" t="s">
        <v>1785</v>
      </c>
      <c r="C165" s="203"/>
      <c r="D165" s="204" t="str">
        <f>IFERROR(__xludf.DUMMYFUNCTION("ARRAYFORMULA(LET( converted, SUBSTITUTE( SUBSTITUTE( SUBSTITUTE( SUBSTITUTE( SUBSTITUTE( SUBSTITUTE( SUBSTITUTE( SUBSTITUTE( SUBSTITUTE( SUBSTITUTE( C165, ""۰"", ""0""), ""۱"", ""1""), ""۲"", ""2""), ""۳"", ""3""), ""۴"", ""4""), ""۵"", ""5""), ""۶"", ""6"&amp;"""), ""۷"", ""7""), ""۸"", ""8""), ""۹"", ""9""), IF(LEFT(converted,3)=""+98"", ""0"" &amp; RIGHT(converted, LEN(converted)-3), IF(LEFT(converted,2)=""98"", ""0"" &amp; RIGHT(converted, LEN(converted)-2), IF(LEFT(converted,1)&lt;&gt;""0"", ""0"" &amp; converted, REGEXREPLA"&amp;"CE(converted , ""\s"", """")) ) ) ) )"),"0")</f>
        <v>0</v>
      </c>
      <c r="E165" s="205" t="s">
        <v>17</v>
      </c>
      <c r="F165" s="206">
        <v>1.0</v>
      </c>
      <c r="G165" s="202" t="s">
        <v>730</v>
      </c>
      <c r="H165" s="202" t="s">
        <v>1786</v>
      </c>
      <c r="I165" s="203"/>
      <c r="J165" s="203"/>
      <c r="K165" s="207" t="s">
        <v>1787</v>
      </c>
      <c r="L165" s="207" t="s">
        <v>1788</v>
      </c>
      <c r="M165" s="202" t="s">
        <v>1789</v>
      </c>
      <c r="N165" s="202" t="s">
        <v>1672</v>
      </c>
      <c r="O165" s="202"/>
      <c r="P165" s="202"/>
      <c r="Q165" s="208"/>
      <c r="R165" s="86"/>
      <c r="S165" s="114">
        <f t="shared" ref="S165:T165" si="166">A165</f>
        <v>164</v>
      </c>
      <c r="T165" s="114" t="str">
        <f t="shared" si="166"/>
        <v>محمد حسین میر مجیدی</v>
      </c>
      <c r="U165" s="86" t="str">
        <f t="shared" si="3"/>
        <v>0</v>
      </c>
      <c r="V165" s="86" t="str">
        <f t="shared" si="4"/>
        <v>پیش‌وایی 1</v>
      </c>
      <c r="W165" s="86"/>
      <c r="X165" s="86"/>
    </row>
    <row r="166">
      <c r="A166" s="192">
        <v>165.0</v>
      </c>
      <c r="B166" s="193" t="s">
        <v>1790</v>
      </c>
      <c r="C166" s="194"/>
      <c r="D166" s="195" t="str">
        <f>IFERROR(__xludf.DUMMYFUNCTION("ARRAYFORMULA(LET( converted, SUBSTITUTE( SUBSTITUTE( SUBSTITUTE( SUBSTITUTE( SUBSTITUTE( SUBSTITUTE( SUBSTITUTE( SUBSTITUTE( SUBSTITUTE( SUBSTITUTE( C166, ""۰"", ""0""), ""۱"", ""1""), ""۲"", ""2""), ""۳"", ""3""), ""۴"", ""4""), ""۵"", ""5""), ""۶"", ""6"&amp;"""), ""۷"", ""7""), ""۸"", ""8""), ""۹"", ""9""), IF(LEFT(converted,3)=""+98"", ""0"" &amp; RIGHT(converted, LEN(converted)-3), IF(LEFT(converted,2)=""98"", ""0"" &amp; RIGHT(converted, LEN(converted)-2), IF(LEFT(converted,1)&lt;&gt;""0"", ""0"" &amp; converted, REGEXREPLA"&amp;"CE(converted , ""\s"", """")) ) ) ) )"),"0")</f>
        <v>0</v>
      </c>
      <c r="E166" s="196" t="s">
        <v>17</v>
      </c>
      <c r="F166" s="197">
        <v>1.0</v>
      </c>
      <c r="G166" s="193" t="s">
        <v>730</v>
      </c>
      <c r="H166" s="193" t="s">
        <v>1791</v>
      </c>
      <c r="I166" s="194"/>
      <c r="J166" s="194"/>
      <c r="K166" s="199" t="s">
        <v>192</v>
      </c>
      <c r="L166" s="199" t="s">
        <v>1792</v>
      </c>
      <c r="M166" s="193" t="s">
        <v>1793</v>
      </c>
      <c r="N166" s="193" t="s">
        <v>1296</v>
      </c>
      <c r="O166" s="193"/>
      <c r="P166" s="193"/>
      <c r="Q166" s="200"/>
      <c r="R166" s="86"/>
      <c r="S166" s="114">
        <f t="shared" ref="S166:T166" si="167">A166</f>
        <v>165</v>
      </c>
      <c r="T166" s="114" t="str">
        <f t="shared" si="167"/>
        <v>امیرحسین نیکنام</v>
      </c>
      <c r="U166" s="86" t="str">
        <f t="shared" si="3"/>
        <v>0</v>
      </c>
      <c r="V166" s="86" t="str">
        <f t="shared" si="4"/>
        <v>پیش‌وایی 1</v>
      </c>
      <c r="W166" s="86"/>
      <c r="X166" s="86"/>
    </row>
    <row r="167">
      <c r="A167" s="201">
        <v>166.0</v>
      </c>
      <c r="B167" s="202" t="s">
        <v>1794</v>
      </c>
      <c r="C167" s="203"/>
      <c r="D167" s="204" t="str">
        <f>IFERROR(__xludf.DUMMYFUNCTION("ARRAYFORMULA(LET( converted, SUBSTITUTE( SUBSTITUTE( SUBSTITUTE( SUBSTITUTE( SUBSTITUTE( SUBSTITUTE( SUBSTITUTE( SUBSTITUTE( SUBSTITUTE( SUBSTITUTE( C167, ""۰"", ""0""), ""۱"", ""1""), ""۲"", ""2""), ""۳"", ""3""), ""۴"", ""4""), ""۵"", ""5""), ""۶"", ""6"&amp;"""), ""۷"", ""7""), ""۸"", ""8""), ""۹"", ""9""), IF(LEFT(converted,3)=""+98"", ""0"" &amp; RIGHT(converted, LEN(converted)-3), IF(LEFT(converted,2)=""98"", ""0"" &amp; RIGHT(converted, LEN(converted)-2), IF(LEFT(converted,1)&lt;&gt;""0"", ""0"" &amp; converted, REGEXREPLA"&amp;"CE(converted , ""\s"", """")) ) ) ) )"),"0")</f>
        <v>0</v>
      </c>
      <c r="E167" s="205" t="s">
        <v>17</v>
      </c>
      <c r="F167" s="206">
        <v>1.0</v>
      </c>
      <c r="G167" s="202" t="s">
        <v>746</v>
      </c>
      <c r="H167" s="202" t="s">
        <v>1795</v>
      </c>
      <c r="I167" s="203"/>
      <c r="J167" s="203"/>
      <c r="K167" s="207" t="s">
        <v>1366</v>
      </c>
      <c r="L167" s="207" t="s">
        <v>1796</v>
      </c>
      <c r="M167" s="202" t="s">
        <v>1797</v>
      </c>
      <c r="N167" s="202" t="s">
        <v>1798</v>
      </c>
      <c r="O167" s="202"/>
      <c r="P167" s="202"/>
      <c r="Q167" s="208"/>
      <c r="R167" s="86"/>
      <c r="S167" s="114">
        <f t="shared" ref="S167:T167" si="168">A167</f>
        <v>166</v>
      </c>
      <c r="T167" s="114" t="str">
        <f t="shared" si="168"/>
        <v>فروغ زکالوند</v>
      </c>
      <c r="U167" s="86" t="str">
        <f t="shared" si="3"/>
        <v>0</v>
      </c>
      <c r="V167" s="86" t="str">
        <f t="shared" si="4"/>
        <v>پیش‌وایی 1</v>
      </c>
      <c r="W167" s="86"/>
      <c r="X167" s="86"/>
    </row>
    <row r="168">
      <c r="A168" s="192">
        <v>167.0</v>
      </c>
      <c r="B168" s="193" t="s">
        <v>1799</v>
      </c>
      <c r="C168" s="194"/>
      <c r="D168" s="195" t="str">
        <f>IFERROR(__xludf.DUMMYFUNCTION("ARRAYFORMULA(LET( converted, SUBSTITUTE( SUBSTITUTE( SUBSTITUTE( SUBSTITUTE( SUBSTITUTE( SUBSTITUTE( SUBSTITUTE( SUBSTITUTE( SUBSTITUTE( SUBSTITUTE( C168, ""۰"", ""0""), ""۱"", ""1""), ""۲"", ""2""), ""۳"", ""3""), ""۴"", ""4""), ""۵"", ""5""), ""۶"", ""6"&amp;"""), ""۷"", ""7""), ""۸"", ""8""), ""۹"", ""9""), IF(LEFT(converted,3)=""+98"", ""0"" &amp; RIGHT(converted, LEN(converted)-3), IF(LEFT(converted,2)=""98"", ""0"" &amp; RIGHT(converted, LEN(converted)-2), IF(LEFT(converted,1)&lt;&gt;""0"", ""0"" &amp; converted, REGEXREPLA"&amp;"CE(converted , ""\s"", """")) ) ) ) )"),"0")</f>
        <v>0</v>
      </c>
      <c r="E168" s="196" t="s">
        <v>17</v>
      </c>
      <c r="F168" s="197">
        <v>1.0</v>
      </c>
      <c r="G168" s="193" t="s">
        <v>730</v>
      </c>
      <c r="H168" s="193" t="s">
        <v>1800</v>
      </c>
      <c r="I168" s="194"/>
      <c r="J168" s="194"/>
      <c r="K168" s="199" t="s">
        <v>259</v>
      </c>
      <c r="L168" s="199" t="s">
        <v>260</v>
      </c>
      <c r="M168" s="193" t="s">
        <v>1801</v>
      </c>
      <c r="N168" s="193" t="s">
        <v>1802</v>
      </c>
      <c r="O168" s="193"/>
      <c r="P168" s="193"/>
      <c r="Q168" s="200"/>
      <c r="R168" s="86"/>
      <c r="S168" s="114">
        <f t="shared" ref="S168:T168" si="169">A168</f>
        <v>167</v>
      </c>
      <c r="T168" s="114" t="str">
        <f t="shared" si="169"/>
        <v>علیرضا طالعی</v>
      </c>
      <c r="U168" s="86" t="str">
        <f t="shared" si="3"/>
        <v>0</v>
      </c>
      <c r="V168" s="86" t="str">
        <f t="shared" si="4"/>
        <v>پیش‌وایی 1</v>
      </c>
      <c r="W168" s="86"/>
      <c r="X168" s="86"/>
    </row>
    <row r="169">
      <c r="A169" s="201">
        <v>168.0</v>
      </c>
      <c r="B169" s="202" t="s">
        <v>1803</v>
      </c>
      <c r="C169" s="203"/>
      <c r="D169" s="204" t="str">
        <f>IFERROR(__xludf.DUMMYFUNCTION("ARRAYFORMULA(LET( converted, SUBSTITUTE( SUBSTITUTE( SUBSTITUTE( SUBSTITUTE( SUBSTITUTE( SUBSTITUTE( SUBSTITUTE( SUBSTITUTE( SUBSTITUTE( SUBSTITUTE( C169, ""۰"", ""0""), ""۱"", ""1""), ""۲"", ""2""), ""۳"", ""3""), ""۴"", ""4""), ""۵"", ""5""), ""۶"", ""6"&amp;"""), ""۷"", ""7""), ""۸"", ""8""), ""۹"", ""9""), IF(LEFT(converted,3)=""+98"", ""0"" &amp; RIGHT(converted, LEN(converted)-3), IF(LEFT(converted,2)=""98"", ""0"" &amp; RIGHT(converted, LEN(converted)-2), IF(LEFT(converted,1)&lt;&gt;""0"", ""0"" &amp; converted, REGEXREPLA"&amp;"CE(converted , ""\s"", """")) ) ) ) )"),"0")</f>
        <v>0</v>
      </c>
      <c r="E169" s="205" t="s">
        <v>17</v>
      </c>
      <c r="F169" s="206">
        <v>1.0</v>
      </c>
      <c r="G169" s="202" t="s">
        <v>746</v>
      </c>
      <c r="H169" s="202" t="s">
        <v>1804</v>
      </c>
      <c r="I169" s="203"/>
      <c r="J169" s="203"/>
      <c r="K169" s="207" t="s">
        <v>211</v>
      </c>
      <c r="L169" s="207" t="s">
        <v>1805</v>
      </c>
      <c r="M169" s="202" t="s">
        <v>1806</v>
      </c>
      <c r="N169" s="202" t="s">
        <v>1807</v>
      </c>
      <c r="O169" s="202"/>
      <c r="P169" s="202"/>
      <c r="Q169" s="208"/>
      <c r="R169" s="86"/>
      <c r="S169" s="114">
        <f t="shared" ref="S169:T169" si="170">A169</f>
        <v>168</v>
      </c>
      <c r="T169" s="114" t="str">
        <f t="shared" si="170"/>
        <v>مرجان قربان موسوی</v>
      </c>
      <c r="U169" s="86" t="str">
        <f t="shared" si="3"/>
        <v>0</v>
      </c>
      <c r="V169" s="86" t="str">
        <f t="shared" si="4"/>
        <v>پیش‌وایی 1</v>
      </c>
      <c r="W169" s="86"/>
      <c r="X169" s="86"/>
    </row>
    <row r="170">
      <c r="A170" s="192">
        <v>169.0</v>
      </c>
      <c r="B170" s="193" t="s">
        <v>1808</v>
      </c>
      <c r="C170" s="194"/>
      <c r="D170" s="195" t="str">
        <f>IFERROR(__xludf.DUMMYFUNCTION("ARRAYFORMULA(LET( converted, SUBSTITUTE( SUBSTITUTE( SUBSTITUTE( SUBSTITUTE( SUBSTITUTE( SUBSTITUTE( SUBSTITUTE( SUBSTITUTE( SUBSTITUTE( SUBSTITUTE( C170, ""۰"", ""0""), ""۱"", ""1""), ""۲"", ""2""), ""۳"", ""3""), ""۴"", ""4""), ""۵"", ""5""), ""۶"", ""6"&amp;"""), ""۷"", ""7""), ""۸"", ""8""), ""۹"", ""9""), IF(LEFT(converted,3)=""+98"", ""0"" &amp; RIGHT(converted, LEN(converted)-3), IF(LEFT(converted,2)=""98"", ""0"" &amp; RIGHT(converted, LEN(converted)-2), IF(LEFT(converted,1)&lt;&gt;""0"", ""0"" &amp; converted, REGEXREPLA"&amp;"CE(converted , ""\s"", """")) ) ) ) )"),"0")</f>
        <v>0</v>
      </c>
      <c r="E170" s="196" t="s">
        <v>17</v>
      </c>
      <c r="F170" s="197">
        <v>1.0</v>
      </c>
      <c r="G170" s="193" t="s">
        <v>746</v>
      </c>
      <c r="H170" s="193" t="s">
        <v>1809</v>
      </c>
      <c r="I170" s="194"/>
      <c r="J170" s="194"/>
      <c r="K170" s="199" t="s">
        <v>1810</v>
      </c>
      <c r="L170" s="199" t="s">
        <v>1811</v>
      </c>
      <c r="M170" s="193" t="s">
        <v>1305</v>
      </c>
      <c r="N170" s="193" t="s">
        <v>1812</v>
      </c>
      <c r="O170" s="193"/>
      <c r="P170" s="193"/>
      <c r="Q170" s="200"/>
      <c r="R170" s="86"/>
      <c r="S170" s="114">
        <f t="shared" ref="S170:T170" si="171">A170</f>
        <v>169</v>
      </c>
      <c r="T170" s="114" t="str">
        <f t="shared" si="171"/>
        <v>سمیه حسنی</v>
      </c>
      <c r="U170" s="86" t="str">
        <f t="shared" si="3"/>
        <v>0</v>
      </c>
      <c r="V170" s="86" t="str">
        <f t="shared" si="4"/>
        <v>پیش‌وایی 1</v>
      </c>
      <c r="W170" s="86"/>
      <c r="X170" s="86"/>
    </row>
    <row r="171">
      <c r="A171" s="201">
        <v>170.0</v>
      </c>
      <c r="B171" s="202" t="s">
        <v>1813</v>
      </c>
      <c r="C171" s="203"/>
      <c r="D171" s="204" t="str">
        <f>IFERROR(__xludf.DUMMYFUNCTION("ARRAYFORMULA(LET( converted, SUBSTITUTE( SUBSTITUTE( SUBSTITUTE( SUBSTITUTE( SUBSTITUTE( SUBSTITUTE( SUBSTITUTE( SUBSTITUTE( SUBSTITUTE( SUBSTITUTE( C171, ""۰"", ""0""), ""۱"", ""1""), ""۲"", ""2""), ""۳"", ""3""), ""۴"", ""4""), ""۵"", ""5""), ""۶"", ""6"&amp;"""), ""۷"", ""7""), ""۸"", ""8""), ""۹"", ""9""), IF(LEFT(converted,3)=""+98"", ""0"" &amp; RIGHT(converted, LEN(converted)-3), IF(LEFT(converted,2)=""98"", ""0"" &amp; RIGHT(converted, LEN(converted)-2), IF(LEFT(converted,1)&lt;&gt;""0"", ""0"" &amp; converted, REGEXREPLA"&amp;"CE(converted , ""\s"", """")) ) ) ) )"),"0")</f>
        <v>0</v>
      </c>
      <c r="E171" s="205" t="s">
        <v>17</v>
      </c>
      <c r="F171" s="206">
        <v>1.0</v>
      </c>
      <c r="G171" s="202" t="s">
        <v>730</v>
      </c>
      <c r="H171" s="202" t="s">
        <v>1814</v>
      </c>
      <c r="I171" s="203"/>
      <c r="J171" s="203"/>
      <c r="K171" s="207" t="s">
        <v>286</v>
      </c>
      <c r="L171" s="207" t="s">
        <v>1815</v>
      </c>
      <c r="M171" s="202" t="s">
        <v>1816</v>
      </c>
      <c r="N171" s="202" t="s">
        <v>1817</v>
      </c>
      <c r="O171" s="202"/>
      <c r="P171" s="202"/>
      <c r="Q171" s="208"/>
      <c r="R171" s="86"/>
      <c r="S171" s="114">
        <f t="shared" ref="S171:T171" si="172">A171</f>
        <v>170</v>
      </c>
      <c r="T171" s="114" t="str">
        <f t="shared" si="172"/>
        <v>مهدی فلاح</v>
      </c>
      <c r="U171" s="86" t="str">
        <f t="shared" si="3"/>
        <v>0</v>
      </c>
      <c r="V171" s="86" t="str">
        <f t="shared" si="4"/>
        <v>پیش‌وایی 1</v>
      </c>
      <c r="W171" s="86"/>
      <c r="X171" s="86"/>
    </row>
    <row r="172">
      <c r="A172" s="192">
        <v>171.0</v>
      </c>
      <c r="B172" s="193" t="s">
        <v>1818</v>
      </c>
      <c r="C172" s="194" t="s">
        <v>1781</v>
      </c>
      <c r="D172" s="195" t="str">
        <f>IFERROR(__xludf.DUMMYFUNCTION("ARRAYFORMULA(LET( converted, SUBSTITUTE( SUBSTITUTE( SUBSTITUTE( SUBSTITUTE( SUBSTITUTE( SUBSTITUTE( SUBSTITUTE( SUBSTITUTE( SUBSTITUTE( SUBSTITUTE( C172, ""۰"", ""0""), ""۱"", ""1""), ""۲"", ""2""), ""۳"", ""3""), ""۴"", ""4""), ""۵"", ""5""), ""۶"", ""6"&amp;"""), ""۷"", ""7""), ""۸"", ""8""), ""۹"", ""9""), IF(LEFT(converted,3)=""+98"", ""0"" &amp; RIGHT(converted, LEN(converted)-3), IF(LEFT(converted,2)=""98"", ""0"" &amp; RIGHT(converted, LEN(converted)-2), IF(LEFT(converted,1)&lt;&gt;""0"", ""0"" &amp; converted, REGEXREPLA"&amp;"CE(converted , ""\s"", """")) ) ) ) )"),"09394310605")</f>
        <v>09394310605</v>
      </c>
      <c r="E172" s="196" t="s">
        <v>17</v>
      </c>
      <c r="F172" s="197">
        <v>1.0</v>
      </c>
      <c r="G172" s="193" t="s">
        <v>746</v>
      </c>
      <c r="H172" s="193" t="s">
        <v>1819</v>
      </c>
      <c r="I172" s="194"/>
      <c r="J172" s="194"/>
      <c r="K172" s="199" t="s">
        <v>1820</v>
      </c>
      <c r="L172" s="199" t="s">
        <v>1821</v>
      </c>
      <c r="M172" s="193" t="s">
        <v>1454</v>
      </c>
      <c r="N172" s="193" t="s">
        <v>1822</v>
      </c>
      <c r="O172" s="193" t="s">
        <v>1455</v>
      </c>
      <c r="P172" s="193"/>
      <c r="Q172" s="200"/>
      <c r="R172" s="86"/>
      <c r="S172" s="114">
        <f t="shared" ref="S172:T172" si="173">A172</f>
        <v>171</v>
      </c>
      <c r="T172" s="114" t="str">
        <f t="shared" si="173"/>
        <v>آرزو نصیری</v>
      </c>
      <c r="U172" s="86" t="str">
        <f t="shared" si="3"/>
        <v>09394310605</v>
      </c>
      <c r="V172" s="86" t="str">
        <f t="shared" si="4"/>
        <v>پیش‌وایی 1</v>
      </c>
      <c r="W172" s="86"/>
      <c r="X172" s="86"/>
    </row>
    <row r="173">
      <c r="A173" s="201">
        <v>172.0</v>
      </c>
      <c r="B173" s="202" t="s">
        <v>1823</v>
      </c>
      <c r="C173" s="203" t="s">
        <v>1824</v>
      </c>
      <c r="D173" s="204" t="str">
        <f>IFERROR(__xludf.DUMMYFUNCTION("ARRAYFORMULA(LET( converted, SUBSTITUTE( SUBSTITUTE( SUBSTITUTE( SUBSTITUTE( SUBSTITUTE( SUBSTITUTE( SUBSTITUTE( SUBSTITUTE( SUBSTITUTE( SUBSTITUTE( C173, ""۰"", ""0""), ""۱"", ""1""), ""۲"", ""2""), ""۳"", ""3""), ""۴"", ""4""), ""۵"", ""5""), ""۶"", ""6"&amp;"""), ""۷"", ""7""), ""۸"", ""8""), ""۹"", ""9""), IF(LEFT(converted,3)=""+98"", ""0"" &amp; RIGHT(converted, LEN(converted)-3), IF(LEFT(converted,2)=""98"", ""0"" &amp; RIGHT(converted, LEN(converted)-2), IF(LEFT(converted,1)&lt;&gt;""0"", ""0"" &amp; converted, REGEXREPLA"&amp;"CE(converted , ""\s"", """")) ) ) ) )"),"09122017299")</f>
        <v>09122017299</v>
      </c>
      <c r="E173" s="205" t="s">
        <v>17</v>
      </c>
      <c r="F173" s="206">
        <v>1.0</v>
      </c>
      <c r="G173" s="202" t="s">
        <v>730</v>
      </c>
      <c r="H173" s="202" t="s">
        <v>1825</v>
      </c>
      <c r="I173" s="203"/>
      <c r="J173" s="203"/>
      <c r="K173" s="207" t="s">
        <v>1018</v>
      </c>
      <c r="L173" s="207" t="s">
        <v>1826</v>
      </c>
      <c r="M173" s="202" t="s">
        <v>1827</v>
      </c>
      <c r="N173" s="202" t="s">
        <v>1020</v>
      </c>
      <c r="O173" s="202" t="s">
        <v>1455</v>
      </c>
      <c r="P173" s="202"/>
      <c r="Q173" s="208"/>
      <c r="R173" s="86"/>
      <c r="S173" s="114">
        <f t="shared" ref="S173:T173" si="174">A173</f>
        <v>172</v>
      </c>
      <c r="T173" s="114" t="str">
        <f t="shared" si="174"/>
        <v>علی حاجی محمدی</v>
      </c>
      <c r="U173" s="86" t="str">
        <f t="shared" si="3"/>
        <v>09122017299</v>
      </c>
      <c r="V173" s="86" t="str">
        <f t="shared" si="4"/>
        <v>پیش‌وایی 1</v>
      </c>
      <c r="W173" s="86"/>
      <c r="X173" s="86"/>
    </row>
    <row r="174">
      <c r="A174" s="192">
        <v>173.0</v>
      </c>
      <c r="B174" s="193" t="s">
        <v>1828</v>
      </c>
      <c r="C174" s="194" t="s">
        <v>1829</v>
      </c>
      <c r="D174" s="195" t="str">
        <f>IFERROR(__xludf.DUMMYFUNCTION("ARRAYFORMULA(LET( converted, SUBSTITUTE( SUBSTITUTE( SUBSTITUTE( SUBSTITUTE( SUBSTITUTE( SUBSTITUTE( SUBSTITUTE( SUBSTITUTE( SUBSTITUTE( SUBSTITUTE( C174, ""۰"", ""0""), ""۱"", ""1""), ""۲"", ""2""), ""۳"", ""3""), ""۴"", ""4""), ""۵"", ""5""), ""۶"", ""6"&amp;"""), ""۷"", ""7""), ""۸"", ""8""), ""۹"", ""9""), IF(LEFT(converted,3)=""+98"", ""0"" &amp; RIGHT(converted, LEN(converted)-3), IF(LEFT(converted,2)=""98"", ""0"" &amp; RIGHT(converted, LEN(converted)-2), IF(LEFT(converted,1)&lt;&gt;""0"", ""0"" &amp; converted, REGEXREPLA"&amp;"CE(converted , ""\s"", """")) ) ) ) )"),"09122409384")</f>
        <v>09122409384</v>
      </c>
      <c r="E174" s="196" t="s">
        <v>17</v>
      </c>
      <c r="F174" s="197">
        <v>1.0</v>
      </c>
      <c r="G174" s="193" t="s">
        <v>746</v>
      </c>
      <c r="H174" s="193" t="s">
        <v>1830</v>
      </c>
      <c r="I174" s="194"/>
      <c r="J174" s="194"/>
      <c r="K174" s="199" t="s">
        <v>1831</v>
      </c>
      <c r="L174" s="199" t="s">
        <v>1832</v>
      </c>
      <c r="M174" s="193" t="s">
        <v>1833</v>
      </c>
      <c r="N174" s="193" t="s">
        <v>1834</v>
      </c>
      <c r="O174" s="193" t="s">
        <v>1455</v>
      </c>
      <c r="P174" s="193"/>
      <c r="Q174" s="200"/>
      <c r="R174" s="86"/>
      <c r="S174" s="114">
        <f t="shared" ref="S174:T174" si="175">A174</f>
        <v>173</v>
      </c>
      <c r="T174" s="114" t="str">
        <f t="shared" si="175"/>
        <v>فرشته کسرایی</v>
      </c>
      <c r="U174" s="86" t="str">
        <f t="shared" si="3"/>
        <v>09122409384</v>
      </c>
      <c r="V174" s="86" t="str">
        <f t="shared" si="4"/>
        <v>پیش‌وایی 1</v>
      </c>
      <c r="W174" s="86"/>
      <c r="X174" s="86"/>
    </row>
    <row r="175">
      <c r="A175" s="201">
        <v>174.0</v>
      </c>
      <c r="B175" s="202" t="s">
        <v>1835</v>
      </c>
      <c r="C175" s="203" t="s">
        <v>1836</v>
      </c>
      <c r="D175" s="204" t="str">
        <f>IFERROR(__xludf.DUMMYFUNCTION("ARRAYFORMULA(LET( converted, SUBSTITUTE( SUBSTITUTE( SUBSTITUTE( SUBSTITUTE( SUBSTITUTE( SUBSTITUTE( SUBSTITUTE( SUBSTITUTE( SUBSTITUTE( SUBSTITUTE( C175, ""۰"", ""0""), ""۱"", ""1""), ""۲"", ""2""), ""۳"", ""3""), ""۴"", ""4""), ""۵"", ""5""), ""۶"", ""6"&amp;"""), ""۷"", ""7""), ""۸"", ""8""), ""۹"", ""9""), IF(LEFT(converted,3)=""+98"", ""0"" &amp; RIGHT(converted, LEN(converted)-3), IF(LEFT(converted,2)=""98"", ""0"" &amp; RIGHT(converted, LEN(converted)-2), IF(LEFT(converted,1)&lt;&gt;""0"", ""0"" &amp; converted, REGEXREPLA"&amp;"CE(converted , ""\s"", """")) ) ) ) )"),"09133586176")</f>
        <v>09133586176</v>
      </c>
      <c r="E175" s="205" t="s">
        <v>17</v>
      </c>
      <c r="F175" s="206">
        <v>1.0</v>
      </c>
      <c r="G175" s="202" t="s">
        <v>746</v>
      </c>
      <c r="H175" s="202" t="s">
        <v>1837</v>
      </c>
      <c r="I175" s="203"/>
      <c r="J175" s="203"/>
      <c r="K175" s="207" t="s">
        <v>796</v>
      </c>
      <c r="L175" s="207" t="s">
        <v>1838</v>
      </c>
      <c r="M175" s="202" t="s">
        <v>1839</v>
      </c>
      <c r="N175" s="202" t="s">
        <v>798</v>
      </c>
      <c r="O175" s="202" t="s">
        <v>1455</v>
      </c>
      <c r="P175" s="202"/>
      <c r="Q175" s="208"/>
      <c r="R175" s="86"/>
      <c r="S175" s="114">
        <f t="shared" ref="S175:T175" si="176">A175</f>
        <v>174</v>
      </c>
      <c r="T175" s="114" t="str">
        <f t="shared" si="176"/>
        <v>پریسا رحیم‌ پور</v>
      </c>
      <c r="U175" s="86" t="str">
        <f t="shared" si="3"/>
        <v>09133586176</v>
      </c>
      <c r="V175" s="86" t="str">
        <f t="shared" si="4"/>
        <v>پیش‌وایی 1</v>
      </c>
      <c r="W175" s="86"/>
      <c r="X175" s="86"/>
    </row>
    <row r="176">
      <c r="A176" s="192">
        <v>175.0</v>
      </c>
      <c r="B176" s="193" t="s">
        <v>1840</v>
      </c>
      <c r="C176" s="194"/>
      <c r="D176" s="195" t="str">
        <f>IFERROR(__xludf.DUMMYFUNCTION("ARRAYFORMULA(LET( converted, SUBSTITUTE( SUBSTITUTE( SUBSTITUTE( SUBSTITUTE( SUBSTITUTE( SUBSTITUTE( SUBSTITUTE( SUBSTITUTE( SUBSTITUTE( SUBSTITUTE( C176, ""۰"", ""0""), ""۱"", ""1""), ""۲"", ""2""), ""۳"", ""3""), ""۴"", ""4""), ""۵"", ""5""), ""۶"", ""6"&amp;"""), ""۷"", ""7""), ""۸"", ""8""), ""۹"", ""9""), IF(LEFT(converted,3)=""+98"", ""0"" &amp; RIGHT(converted, LEN(converted)-3), IF(LEFT(converted,2)=""98"", ""0"" &amp; RIGHT(converted, LEN(converted)-2), IF(LEFT(converted,1)&lt;&gt;""0"", ""0"" &amp; converted, REGEXREPLA"&amp;"CE(converted , ""\s"", """")) ) ) ) )"),"0")</f>
        <v>0</v>
      </c>
      <c r="E176" s="196" t="s">
        <v>17</v>
      </c>
      <c r="F176" s="197">
        <v>1.0</v>
      </c>
      <c r="G176" s="193" t="s">
        <v>730</v>
      </c>
      <c r="H176" s="193" t="s">
        <v>1841</v>
      </c>
      <c r="I176" s="194"/>
      <c r="J176" s="194"/>
      <c r="K176" s="199" t="s">
        <v>1055</v>
      </c>
      <c r="L176" s="199" t="s">
        <v>1842</v>
      </c>
      <c r="M176" s="193" t="s">
        <v>1843</v>
      </c>
      <c r="N176" s="193" t="s">
        <v>1844</v>
      </c>
      <c r="O176" s="199" t="s">
        <v>737</v>
      </c>
      <c r="P176" s="193"/>
      <c r="Q176" s="200"/>
      <c r="R176" s="86"/>
      <c r="S176" s="114">
        <f t="shared" ref="S176:T176" si="177">A176</f>
        <v>175</v>
      </c>
      <c r="T176" s="114" t="str">
        <f t="shared" si="177"/>
        <v>فرید دالایی</v>
      </c>
      <c r="U176" s="86" t="str">
        <f t="shared" si="3"/>
        <v>0</v>
      </c>
      <c r="V176" s="86" t="str">
        <f t="shared" si="4"/>
        <v>پیش‌وایی 1</v>
      </c>
      <c r="W176" s="86"/>
      <c r="X176" s="86"/>
    </row>
    <row r="177">
      <c r="A177" s="201">
        <v>176.0</v>
      </c>
      <c r="B177" s="202" t="s">
        <v>1845</v>
      </c>
      <c r="C177" s="203" t="s">
        <v>1846</v>
      </c>
      <c r="D177" s="204" t="str">
        <f>IFERROR(__xludf.DUMMYFUNCTION("ARRAYFORMULA(LET( converted, SUBSTITUTE( SUBSTITUTE( SUBSTITUTE( SUBSTITUTE( SUBSTITUTE( SUBSTITUTE( SUBSTITUTE( SUBSTITUTE( SUBSTITUTE( SUBSTITUTE( C177, ""۰"", ""0""), ""۱"", ""1""), ""۲"", ""2""), ""۳"", ""3""), ""۴"", ""4""), ""۵"", ""5""), ""۶"", ""6"&amp;"""), ""۷"", ""7""), ""۸"", ""8""), ""۹"", ""9""), IF(LEFT(converted,3)=""+98"", ""0"" &amp; RIGHT(converted, LEN(converted)-3), IF(LEFT(converted,2)=""98"", ""0"" &amp; RIGHT(converted, LEN(converted)-2), IF(LEFT(converted,1)&lt;&gt;""0"", ""0"" &amp; converted, REGEXREPLA"&amp;"CE(converted , ""\s"", """")) ) ) ) )"),"09123078248")</f>
        <v>09123078248</v>
      </c>
      <c r="E177" s="205" t="s">
        <v>17</v>
      </c>
      <c r="F177" s="206">
        <v>1.0</v>
      </c>
      <c r="G177" s="202" t="s">
        <v>730</v>
      </c>
      <c r="H177" s="202"/>
      <c r="I177" s="203"/>
      <c r="J177" s="203"/>
      <c r="K177" s="207" t="s">
        <v>1847</v>
      </c>
      <c r="L177" s="207" t="s">
        <v>1848</v>
      </c>
      <c r="M177" s="202"/>
      <c r="N177" s="202"/>
      <c r="O177" s="202"/>
      <c r="P177" s="202"/>
      <c r="Q177" s="208"/>
      <c r="R177" s="86"/>
      <c r="S177" s="114">
        <f t="shared" ref="S177:T177" si="178">A177</f>
        <v>176</v>
      </c>
      <c r="T177" s="114" t="str">
        <f t="shared" si="178"/>
        <v>پرویز جهانگیری</v>
      </c>
      <c r="U177" s="86" t="str">
        <f t="shared" si="3"/>
        <v>09123078248</v>
      </c>
      <c r="V177" s="86" t="str">
        <f t="shared" si="4"/>
        <v>پیش‌وایی 1</v>
      </c>
      <c r="W177" s="86"/>
      <c r="X177" s="86"/>
    </row>
    <row r="178">
      <c r="A178" s="192">
        <v>177.0</v>
      </c>
      <c r="B178" s="193" t="s">
        <v>1849</v>
      </c>
      <c r="C178" s="194"/>
      <c r="D178" s="195" t="str">
        <f>IFERROR(__xludf.DUMMYFUNCTION("ARRAYFORMULA(LET( converted, SUBSTITUTE( SUBSTITUTE( SUBSTITUTE( SUBSTITUTE( SUBSTITUTE( SUBSTITUTE( SUBSTITUTE( SUBSTITUTE( SUBSTITUTE( SUBSTITUTE( C178, ""۰"", ""0""), ""۱"", ""1""), ""۲"", ""2""), ""۳"", ""3""), ""۴"", ""4""), ""۵"", ""5""), ""۶"", ""6"&amp;"""), ""۷"", ""7""), ""۸"", ""8""), ""۹"", ""9""), IF(LEFT(converted,3)=""+98"", ""0"" &amp; RIGHT(converted, LEN(converted)-3), IF(LEFT(converted,2)=""98"", ""0"" &amp; RIGHT(converted, LEN(converted)-2), IF(LEFT(converted,1)&lt;&gt;""0"", ""0"" &amp; converted, REGEXREPLA"&amp;"CE(converted , ""\s"", """")) ) ) ) )"),"0")</f>
        <v>0</v>
      </c>
      <c r="E178" s="196" t="s">
        <v>17</v>
      </c>
      <c r="F178" s="197">
        <v>1.0</v>
      </c>
      <c r="G178" s="193" t="s">
        <v>746</v>
      </c>
      <c r="H178" s="193" t="s">
        <v>1850</v>
      </c>
      <c r="I178" s="194"/>
      <c r="J178" s="194"/>
      <c r="K178" s="199" t="s">
        <v>1851</v>
      </c>
      <c r="L178" s="199" t="s">
        <v>1600</v>
      </c>
      <c r="M178" s="193" t="s">
        <v>1601</v>
      </c>
      <c r="N178" s="193" t="s">
        <v>1852</v>
      </c>
      <c r="O178" s="193"/>
      <c r="P178" s="193"/>
      <c r="Q178" s="200"/>
      <c r="R178" s="86"/>
      <c r="S178" s="114">
        <f t="shared" ref="S178:T178" si="179">A178</f>
        <v>177</v>
      </c>
      <c r="T178" s="114" t="str">
        <f t="shared" si="179"/>
        <v>مهناز شریفی</v>
      </c>
      <c r="U178" s="86" t="str">
        <f t="shared" si="3"/>
        <v>0</v>
      </c>
      <c r="V178" s="86" t="str">
        <f t="shared" si="4"/>
        <v>پیش‌وایی 1</v>
      </c>
      <c r="W178" s="86"/>
      <c r="X178" s="86"/>
    </row>
    <row r="179">
      <c r="A179" s="201">
        <v>178.0</v>
      </c>
      <c r="B179" s="202" t="s">
        <v>1853</v>
      </c>
      <c r="C179" s="203"/>
      <c r="D179" s="204" t="str">
        <f>IFERROR(__xludf.DUMMYFUNCTION("ARRAYFORMULA(LET( converted, SUBSTITUTE( SUBSTITUTE( SUBSTITUTE( SUBSTITUTE( SUBSTITUTE( SUBSTITUTE( SUBSTITUTE( SUBSTITUTE( SUBSTITUTE( SUBSTITUTE( C179, ""۰"", ""0""), ""۱"", ""1""), ""۲"", ""2""), ""۳"", ""3""), ""۴"", ""4""), ""۵"", ""5""), ""۶"", ""6"&amp;"""), ""۷"", ""7""), ""۸"", ""8""), ""۹"", ""9""), IF(LEFT(converted,3)=""+98"", ""0"" &amp; RIGHT(converted, LEN(converted)-3), IF(LEFT(converted,2)=""98"", ""0"" &amp; RIGHT(converted, LEN(converted)-2), IF(LEFT(converted,1)&lt;&gt;""0"", ""0"" &amp; converted, REGEXREPLA"&amp;"CE(converted , ""\s"", """")) ) ) ) )"),"0")</f>
        <v>0</v>
      </c>
      <c r="E179" s="205" t="s">
        <v>17</v>
      </c>
      <c r="F179" s="206">
        <v>1.0</v>
      </c>
      <c r="G179" s="202" t="s">
        <v>746</v>
      </c>
      <c r="H179" s="202"/>
      <c r="I179" s="203"/>
      <c r="J179" s="203"/>
      <c r="K179" s="207" t="s">
        <v>1854</v>
      </c>
      <c r="L179" s="207" t="s">
        <v>1855</v>
      </c>
      <c r="M179" s="202"/>
      <c r="N179" s="202"/>
      <c r="O179" s="202"/>
      <c r="P179" s="202"/>
      <c r="Q179" s="208"/>
      <c r="R179" s="86"/>
      <c r="S179" s="114">
        <f t="shared" ref="S179:T179" si="180">A179</f>
        <v>178</v>
      </c>
      <c r="T179" s="114" t="str">
        <f t="shared" si="180"/>
        <v>ریحانه ذوالفقاری</v>
      </c>
      <c r="U179" s="86" t="str">
        <f t="shared" si="3"/>
        <v>0</v>
      </c>
      <c r="V179" s="86" t="str">
        <f t="shared" si="4"/>
        <v>پیش‌وایی 1</v>
      </c>
      <c r="W179" s="86"/>
      <c r="X179" s="86"/>
    </row>
    <row r="180">
      <c r="A180" s="192">
        <v>179.0</v>
      </c>
      <c r="B180" s="193" t="s">
        <v>1856</v>
      </c>
      <c r="C180" s="194"/>
      <c r="D180" s="195" t="str">
        <f>IFERROR(__xludf.DUMMYFUNCTION("ARRAYFORMULA(LET( converted, SUBSTITUTE( SUBSTITUTE( SUBSTITUTE( SUBSTITUTE( SUBSTITUTE( SUBSTITUTE( SUBSTITUTE( SUBSTITUTE( SUBSTITUTE( SUBSTITUTE( C180, ""۰"", ""0""), ""۱"", ""1""), ""۲"", ""2""), ""۳"", ""3""), ""۴"", ""4""), ""۵"", ""5""), ""۶"", ""6"&amp;"""), ""۷"", ""7""), ""۸"", ""8""), ""۹"", ""9""), IF(LEFT(converted,3)=""+98"", ""0"" &amp; RIGHT(converted, LEN(converted)-3), IF(LEFT(converted,2)=""98"", ""0"" &amp; RIGHT(converted, LEN(converted)-2), IF(LEFT(converted,1)&lt;&gt;""0"", ""0"" &amp; converted, REGEXREPLA"&amp;"CE(converted , ""\s"", """")) ) ) ) )"),"0")</f>
        <v>0</v>
      </c>
      <c r="E180" s="196" t="s">
        <v>17</v>
      </c>
      <c r="F180" s="197">
        <v>1.0</v>
      </c>
      <c r="G180" s="193" t="s">
        <v>730</v>
      </c>
      <c r="H180" s="193"/>
      <c r="I180" s="194"/>
      <c r="J180" s="194"/>
      <c r="K180" s="199" t="s">
        <v>1320</v>
      </c>
      <c r="L180" s="199" t="s">
        <v>1857</v>
      </c>
      <c r="M180" s="193"/>
      <c r="N180" s="193"/>
      <c r="O180" s="193"/>
      <c r="P180" s="193"/>
      <c r="Q180" s="200"/>
      <c r="R180" s="86"/>
      <c r="S180" s="114">
        <f t="shared" ref="S180:T180" si="181">A180</f>
        <v>179</v>
      </c>
      <c r="T180" s="114" t="str">
        <f t="shared" si="181"/>
        <v>کامران فرنیان</v>
      </c>
      <c r="U180" s="86" t="str">
        <f t="shared" si="3"/>
        <v>0</v>
      </c>
      <c r="V180" s="86" t="str">
        <f t="shared" si="4"/>
        <v>پیش‌وایی 1</v>
      </c>
      <c r="W180" s="86"/>
      <c r="X180" s="86"/>
    </row>
    <row r="181">
      <c r="A181" s="201">
        <v>180.0</v>
      </c>
      <c r="B181" s="202" t="s">
        <v>1858</v>
      </c>
      <c r="C181" s="203"/>
      <c r="D181" s="204" t="str">
        <f>IFERROR(__xludf.DUMMYFUNCTION("ARRAYFORMULA(LET( converted, SUBSTITUTE( SUBSTITUTE( SUBSTITUTE( SUBSTITUTE( SUBSTITUTE( SUBSTITUTE( SUBSTITUTE( SUBSTITUTE( SUBSTITUTE( SUBSTITUTE( C181, ""۰"", ""0""), ""۱"", ""1""), ""۲"", ""2""), ""۳"", ""3""), ""۴"", ""4""), ""۵"", ""5""), ""۶"", ""6"&amp;"""), ""۷"", ""7""), ""۸"", ""8""), ""۹"", ""9""), IF(LEFT(converted,3)=""+98"", ""0"" &amp; RIGHT(converted, LEN(converted)-3), IF(LEFT(converted,2)=""98"", ""0"" &amp; RIGHT(converted, LEN(converted)-2), IF(LEFT(converted,1)&lt;&gt;""0"", ""0"" &amp; converted, REGEXREPLA"&amp;"CE(converted , ""\s"", """")) ) ) ) )"),"0")</f>
        <v>0</v>
      </c>
      <c r="E181" s="205" t="s">
        <v>17</v>
      </c>
      <c r="F181" s="206">
        <v>1.0</v>
      </c>
      <c r="G181" s="202" t="s">
        <v>730</v>
      </c>
      <c r="H181" s="202"/>
      <c r="I181" s="203"/>
      <c r="J181" s="203"/>
      <c r="K181" s="207" t="s">
        <v>1018</v>
      </c>
      <c r="L181" s="207" t="s">
        <v>1859</v>
      </c>
      <c r="M181" s="202" t="s">
        <v>1860</v>
      </c>
      <c r="N181" s="202" t="s">
        <v>1020</v>
      </c>
      <c r="O181" s="202"/>
      <c r="P181" s="202"/>
      <c r="Q181" s="208"/>
      <c r="R181" s="86"/>
      <c r="S181" s="114">
        <f t="shared" ref="S181:T181" si="182">A181</f>
        <v>180</v>
      </c>
      <c r="T181" s="114" t="str">
        <f t="shared" si="182"/>
        <v>علی داد</v>
      </c>
      <c r="U181" s="86" t="str">
        <f t="shared" si="3"/>
        <v>0</v>
      </c>
      <c r="V181" s="86" t="str">
        <f t="shared" si="4"/>
        <v>پیش‌وایی 1</v>
      </c>
      <c r="W181" s="86"/>
      <c r="X181" s="86"/>
    </row>
    <row r="182">
      <c r="A182" s="192">
        <v>181.0</v>
      </c>
      <c r="B182" s="193" t="s">
        <v>1861</v>
      </c>
      <c r="C182" s="194"/>
      <c r="D182" s="195" t="str">
        <f>IFERROR(__xludf.DUMMYFUNCTION("ARRAYFORMULA(LET( converted, SUBSTITUTE( SUBSTITUTE( SUBSTITUTE( SUBSTITUTE( SUBSTITUTE( SUBSTITUTE( SUBSTITUTE( SUBSTITUTE( SUBSTITUTE( SUBSTITUTE( C182, ""۰"", ""0""), ""۱"", ""1""), ""۲"", ""2""), ""۳"", ""3""), ""۴"", ""4""), ""۵"", ""5""), ""۶"", ""6"&amp;"""), ""۷"", ""7""), ""۸"", ""8""), ""۹"", ""9""), IF(LEFT(converted,3)=""+98"", ""0"" &amp; RIGHT(converted, LEN(converted)-3), IF(LEFT(converted,2)=""98"", ""0"" &amp; RIGHT(converted, LEN(converted)-2), IF(LEFT(converted,1)&lt;&gt;""0"", ""0"" &amp; converted, REGEXREPLA"&amp;"CE(converted , ""\s"", """")) ) ) ) )"),"0")</f>
        <v>0</v>
      </c>
      <c r="E182" s="196" t="s">
        <v>17</v>
      </c>
      <c r="F182" s="197">
        <v>1.0</v>
      </c>
      <c r="G182" s="193" t="s">
        <v>746</v>
      </c>
      <c r="H182" s="193" t="s">
        <v>1862</v>
      </c>
      <c r="I182" s="194"/>
      <c r="J182" s="194"/>
      <c r="K182" s="199" t="s">
        <v>1810</v>
      </c>
      <c r="L182" s="199" t="s">
        <v>1863</v>
      </c>
      <c r="M182" s="193" t="s">
        <v>1864</v>
      </c>
      <c r="N182" s="193" t="s">
        <v>1865</v>
      </c>
      <c r="O182" s="193"/>
      <c r="P182" s="193"/>
      <c r="Q182" s="200"/>
      <c r="R182" s="86"/>
      <c r="S182" s="114">
        <f t="shared" ref="S182:T182" si="183">A182</f>
        <v>181</v>
      </c>
      <c r="T182" s="114" t="str">
        <f t="shared" si="183"/>
        <v>سمیه یوسفی</v>
      </c>
      <c r="U182" s="86" t="str">
        <f t="shared" si="3"/>
        <v>0</v>
      </c>
      <c r="V182" s="86" t="str">
        <f t="shared" si="4"/>
        <v>پیش‌وایی 1</v>
      </c>
      <c r="W182" s="86"/>
      <c r="X182" s="86"/>
    </row>
    <row r="183">
      <c r="A183" s="201">
        <v>182.0</v>
      </c>
      <c r="B183" s="202" t="s">
        <v>1866</v>
      </c>
      <c r="C183" s="203"/>
      <c r="D183" s="204" t="str">
        <f>IFERROR(__xludf.DUMMYFUNCTION("ARRAYFORMULA(LET( converted, SUBSTITUTE( SUBSTITUTE( SUBSTITUTE( SUBSTITUTE( SUBSTITUTE( SUBSTITUTE( SUBSTITUTE( SUBSTITUTE( SUBSTITUTE( SUBSTITUTE( C183, ""۰"", ""0""), ""۱"", ""1""), ""۲"", ""2""), ""۳"", ""3""), ""۴"", ""4""), ""۵"", ""5""), ""۶"", ""6"&amp;"""), ""۷"", ""7""), ""۸"", ""8""), ""۹"", ""9""), IF(LEFT(converted,3)=""+98"", ""0"" &amp; RIGHT(converted, LEN(converted)-3), IF(LEFT(converted,2)=""98"", ""0"" &amp; RIGHT(converted, LEN(converted)-2), IF(LEFT(converted,1)&lt;&gt;""0"", ""0"" &amp; converted, REGEXREPLA"&amp;"CE(converted , ""\s"", """")) ) ) ) )"),"0")</f>
        <v>0</v>
      </c>
      <c r="E183" s="205" t="s">
        <v>17</v>
      </c>
      <c r="F183" s="206">
        <v>1.0</v>
      </c>
      <c r="G183" s="202" t="s">
        <v>730</v>
      </c>
      <c r="H183" s="202" t="s">
        <v>1867</v>
      </c>
      <c r="I183" s="203"/>
      <c r="J183" s="203"/>
      <c r="K183" s="207" t="s">
        <v>1868</v>
      </c>
      <c r="L183" s="207" t="s">
        <v>1869</v>
      </c>
      <c r="M183" s="202" t="s">
        <v>1870</v>
      </c>
      <c r="N183" s="202" t="s">
        <v>1871</v>
      </c>
      <c r="O183" s="202"/>
      <c r="P183" s="202"/>
      <c r="Q183" s="208"/>
      <c r="R183" s="86"/>
      <c r="S183" s="114">
        <f t="shared" ref="S183:T183" si="184">A183</f>
        <v>182</v>
      </c>
      <c r="T183" s="114" t="str">
        <f t="shared" si="184"/>
        <v>ابوالفضل شرافت</v>
      </c>
      <c r="U183" s="86" t="str">
        <f t="shared" si="3"/>
        <v>0</v>
      </c>
      <c r="V183" s="86" t="str">
        <f t="shared" si="4"/>
        <v>پیش‌وایی 1</v>
      </c>
      <c r="W183" s="86"/>
      <c r="X183" s="86"/>
    </row>
    <row r="184">
      <c r="A184" s="192">
        <v>183.0</v>
      </c>
      <c r="B184" s="193" t="s">
        <v>1872</v>
      </c>
      <c r="C184" s="194" t="s">
        <v>1873</v>
      </c>
      <c r="D184" s="195" t="str">
        <f>IFERROR(__xludf.DUMMYFUNCTION("ARRAYFORMULA(LET( converted, SUBSTITUTE( SUBSTITUTE( SUBSTITUTE( SUBSTITUTE( SUBSTITUTE( SUBSTITUTE( SUBSTITUTE( SUBSTITUTE( SUBSTITUTE( SUBSTITUTE( C184, ""۰"", ""0""), ""۱"", ""1""), ""۲"", ""2""), ""۳"", ""3""), ""۴"", ""4""), ""۵"", ""5""), ""۶"", ""6"&amp;"""), ""۷"", ""7""), ""۸"", ""8""), ""۹"", ""9""), IF(LEFT(converted,3)=""+98"", ""0"" &amp; RIGHT(converted, LEN(converted)-3), IF(LEFT(converted,2)=""98"", ""0"" &amp; RIGHT(converted, LEN(converted)-2), IF(LEFT(converted,1)&lt;&gt;""0"", ""0"" &amp; converted, REGEXREPLA"&amp;"CE(converted , ""\s"", """")) ) ) ) )"),"09188787615")</f>
        <v>09188787615</v>
      </c>
      <c r="E184" s="196" t="s">
        <v>17</v>
      </c>
      <c r="F184" s="197">
        <v>2.0</v>
      </c>
      <c r="G184" s="193"/>
      <c r="H184" s="193" t="s">
        <v>1874</v>
      </c>
      <c r="I184" s="194"/>
      <c r="J184" s="194" t="s">
        <v>1875</v>
      </c>
      <c r="K184" s="199" t="s">
        <v>1876</v>
      </c>
      <c r="L184" s="199" t="s">
        <v>1877</v>
      </c>
      <c r="M184" s="193"/>
      <c r="N184" s="193"/>
      <c r="O184" s="193"/>
      <c r="P184" s="193"/>
      <c r="Q184" s="200"/>
      <c r="R184" s="86"/>
      <c r="S184" s="114">
        <f t="shared" ref="S184:T184" si="185">A184</f>
        <v>183</v>
      </c>
      <c r="T184" s="114" t="str">
        <f t="shared" si="185"/>
        <v>آیدا آریانژاد</v>
      </c>
      <c r="U184" s="86" t="str">
        <f t="shared" si="3"/>
        <v>09188787615</v>
      </c>
      <c r="V184" s="86" t="str">
        <f t="shared" si="4"/>
        <v>پیش‌وایی 2</v>
      </c>
      <c r="W184" s="86"/>
      <c r="X184" s="86"/>
    </row>
    <row r="185">
      <c r="A185" s="201">
        <v>184.0</v>
      </c>
      <c r="B185" s="202" t="s">
        <v>1878</v>
      </c>
      <c r="C185" s="203" t="s">
        <v>1221</v>
      </c>
      <c r="D185" s="204" t="str">
        <f>IFERROR(__xludf.DUMMYFUNCTION("ARRAYFORMULA(LET( converted, SUBSTITUTE( SUBSTITUTE( SUBSTITUTE( SUBSTITUTE( SUBSTITUTE( SUBSTITUTE( SUBSTITUTE( SUBSTITUTE( SUBSTITUTE( SUBSTITUTE( C185, ""۰"", ""0""), ""۱"", ""1""), ""۲"", ""2""), ""۳"", ""3""), ""۴"", ""4""), ""۵"", ""5""), ""۶"", ""6"&amp;"""), ""۷"", ""7""), ""۸"", ""8""), ""۹"", ""9""), IF(LEFT(converted,3)=""+98"", ""0"" &amp; RIGHT(converted, LEN(converted)-3), IF(LEFT(converted,2)=""98"", ""0"" &amp; RIGHT(converted, LEN(converted)-2), IF(LEFT(converted,1)&lt;&gt;""0"", ""0"" &amp; converted, REGEXREPLA"&amp;"CE(converted , ""\s"", """")) ) ) ) )"),"09122822695")</f>
        <v>09122822695</v>
      </c>
      <c r="E185" s="205" t="s">
        <v>17</v>
      </c>
      <c r="F185" s="206">
        <v>2.0</v>
      </c>
      <c r="G185" s="202"/>
      <c r="H185" s="202" t="s">
        <v>1222</v>
      </c>
      <c r="I185" s="203"/>
      <c r="J185" s="203" t="s">
        <v>1223</v>
      </c>
      <c r="K185" s="207" t="s">
        <v>1224</v>
      </c>
      <c r="L185" s="207" t="s">
        <v>1225</v>
      </c>
      <c r="M185" s="202"/>
      <c r="N185" s="202"/>
      <c r="O185" s="202"/>
      <c r="P185" s="202"/>
      <c r="Q185" s="208"/>
      <c r="R185" s="86"/>
      <c r="S185" s="114">
        <f t="shared" ref="S185:T185" si="186">A185</f>
        <v>184</v>
      </c>
      <c r="T185" s="114" t="str">
        <f t="shared" si="186"/>
        <v>علی اکبر سلطان لو</v>
      </c>
      <c r="U185" s="86" t="str">
        <f t="shared" si="3"/>
        <v>09122822695</v>
      </c>
      <c r="V185" s="86" t="str">
        <f t="shared" si="4"/>
        <v>پیش‌وایی 2</v>
      </c>
      <c r="W185" s="86"/>
      <c r="X185" s="86"/>
    </row>
    <row r="186">
      <c r="A186" s="192">
        <v>185.0</v>
      </c>
      <c r="B186" s="193" t="s">
        <v>1879</v>
      </c>
      <c r="C186" s="194" t="s">
        <v>1675</v>
      </c>
      <c r="D186" s="195" t="str">
        <f>IFERROR(__xludf.DUMMYFUNCTION("ARRAYFORMULA(LET( converted, SUBSTITUTE( SUBSTITUTE( SUBSTITUTE( SUBSTITUTE( SUBSTITUTE( SUBSTITUTE( SUBSTITUTE( SUBSTITUTE( SUBSTITUTE( SUBSTITUTE( C186, ""۰"", ""0""), ""۱"", ""1""), ""۲"", ""2""), ""۳"", ""3""), ""۴"", ""4""), ""۵"", ""5""), ""۶"", ""6"&amp;"""), ""۷"", ""7""), ""۸"", ""8""), ""۹"", ""9""), IF(LEFT(converted,3)=""+98"", ""0"" &amp; RIGHT(converted, LEN(converted)-3), IF(LEFT(converted,2)=""98"", ""0"" &amp; RIGHT(converted, LEN(converted)-2), IF(LEFT(converted,1)&lt;&gt;""0"", ""0"" &amp; converted, REGEXREPLA"&amp;"CE(converted , ""\s"", """")) ) ) ) )"),"09126798943")</f>
        <v>09126798943</v>
      </c>
      <c r="E186" s="196" t="s">
        <v>17</v>
      </c>
      <c r="F186" s="197">
        <v>2.0</v>
      </c>
      <c r="G186" s="193"/>
      <c r="H186" s="193" t="s">
        <v>1676</v>
      </c>
      <c r="I186" s="194"/>
      <c r="J186" s="194" t="s">
        <v>1677</v>
      </c>
      <c r="K186" s="199" t="s">
        <v>1678</v>
      </c>
      <c r="L186" s="199" t="s">
        <v>1679</v>
      </c>
      <c r="M186" s="193"/>
      <c r="N186" s="193"/>
      <c r="O186" s="193"/>
      <c r="P186" s="193"/>
      <c r="Q186" s="200"/>
      <c r="R186" s="86"/>
      <c r="S186" s="114">
        <f t="shared" ref="S186:T186" si="187">A186</f>
        <v>185</v>
      </c>
      <c r="T186" s="114" t="str">
        <f t="shared" si="187"/>
        <v>امین عارف</v>
      </c>
      <c r="U186" s="86" t="str">
        <f t="shared" si="3"/>
        <v>09126798943</v>
      </c>
      <c r="V186" s="86" t="str">
        <f t="shared" si="4"/>
        <v>پیش‌وایی 2</v>
      </c>
      <c r="W186" s="86"/>
      <c r="X186" s="86"/>
    </row>
    <row r="187">
      <c r="A187" s="201">
        <v>186.0</v>
      </c>
      <c r="B187" s="202" t="s">
        <v>1880</v>
      </c>
      <c r="C187" s="203" t="s">
        <v>1881</v>
      </c>
      <c r="D187" s="204" t="str">
        <f>IFERROR(__xludf.DUMMYFUNCTION("ARRAYFORMULA(LET( converted, SUBSTITUTE( SUBSTITUTE( SUBSTITUTE( SUBSTITUTE( SUBSTITUTE( SUBSTITUTE( SUBSTITUTE( SUBSTITUTE( SUBSTITUTE( SUBSTITUTE( C187, ""۰"", ""0""), ""۱"", ""1""), ""۲"", ""2""), ""۳"", ""3""), ""۴"", ""4""), ""۵"", ""5""), ""۶"", ""6"&amp;"""), ""۷"", ""7""), ""۸"", ""8""), ""۹"", ""9""), IF(LEFT(converted,3)=""+98"", ""0"" &amp; RIGHT(converted, LEN(converted)-3), IF(LEFT(converted,2)=""98"", ""0"" &amp; RIGHT(converted, LEN(converted)-2), IF(LEFT(converted,1)&lt;&gt;""0"", ""0"" &amp; converted, REGEXREPLA"&amp;"CE(converted , ""\s"", """")) ) ) ) )"),"09354205407")</f>
        <v>09354205407</v>
      </c>
      <c r="E187" s="205" t="s">
        <v>17</v>
      </c>
      <c r="F187" s="206">
        <v>2.0</v>
      </c>
      <c r="G187" s="202"/>
      <c r="H187" s="202" t="s">
        <v>1882</v>
      </c>
      <c r="I187" s="203"/>
      <c r="J187" s="203" t="s">
        <v>1883</v>
      </c>
      <c r="K187" s="207" t="s">
        <v>1374</v>
      </c>
      <c r="L187" s="207" t="s">
        <v>1303</v>
      </c>
      <c r="M187" s="202"/>
      <c r="N187" s="202"/>
      <c r="O187" s="202"/>
      <c r="P187" s="202"/>
      <c r="Q187" s="208"/>
      <c r="R187" s="86"/>
      <c r="S187" s="114">
        <f t="shared" ref="S187:T187" si="188">A187</f>
        <v>186</v>
      </c>
      <c r="T187" s="114" t="str">
        <f t="shared" si="188"/>
        <v>امیر حسینی</v>
      </c>
      <c r="U187" s="86" t="str">
        <f t="shared" si="3"/>
        <v>09354205407</v>
      </c>
      <c r="V187" s="86" t="str">
        <f t="shared" si="4"/>
        <v>پیش‌وایی 2</v>
      </c>
      <c r="W187" s="86"/>
      <c r="X187" s="86"/>
    </row>
    <row r="188">
      <c r="A188" s="192">
        <v>187.0</v>
      </c>
      <c r="B188" s="193" t="s">
        <v>1884</v>
      </c>
      <c r="C188" s="194" t="s">
        <v>1885</v>
      </c>
      <c r="D188" s="195" t="str">
        <f>IFERROR(__xludf.DUMMYFUNCTION("ARRAYFORMULA(LET( converted, SUBSTITUTE( SUBSTITUTE( SUBSTITUTE( SUBSTITUTE( SUBSTITUTE( SUBSTITUTE( SUBSTITUTE( SUBSTITUTE( SUBSTITUTE( SUBSTITUTE( C188, ""۰"", ""0""), ""۱"", ""1""), ""۲"", ""2""), ""۳"", ""3""), ""۴"", ""4""), ""۵"", ""5""), ""۶"", ""6"&amp;"""), ""۷"", ""7""), ""۸"", ""8""), ""۹"", ""9""), IF(LEFT(converted,3)=""+98"", ""0"" &amp; RIGHT(converted, LEN(converted)-3), IF(LEFT(converted,2)=""98"", ""0"" &amp; RIGHT(converted, LEN(converted)-2), IF(LEFT(converted,1)&lt;&gt;""0"", ""0"" &amp; converted, REGEXREPLA"&amp;"CE(converted , ""\s"", """")) ) ) ) )"),"09122840846")</f>
        <v>09122840846</v>
      </c>
      <c r="E188" s="196" t="s">
        <v>17</v>
      </c>
      <c r="F188" s="197">
        <v>2.0</v>
      </c>
      <c r="G188" s="193"/>
      <c r="H188" s="193" t="s">
        <v>1886</v>
      </c>
      <c r="I188" s="194"/>
      <c r="J188" s="194" t="s">
        <v>1887</v>
      </c>
      <c r="K188" s="199" t="s">
        <v>1888</v>
      </c>
      <c r="L188" s="199" t="s">
        <v>1889</v>
      </c>
      <c r="M188" s="193"/>
      <c r="N188" s="193"/>
      <c r="O188" s="193"/>
      <c r="P188" s="193"/>
      <c r="Q188" s="200"/>
      <c r="R188" s="86"/>
      <c r="S188" s="114">
        <f t="shared" ref="S188:T188" si="189">A188</f>
        <v>187</v>
      </c>
      <c r="T188" s="114" t="str">
        <f t="shared" si="189"/>
        <v>انیس امیر ارجمند</v>
      </c>
      <c r="U188" s="86" t="str">
        <f t="shared" si="3"/>
        <v>09122840846</v>
      </c>
      <c r="V188" s="86" t="str">
        <f t="shared" si="4"/>
        <v>پیش‌وایی 2</v>
      </c>
      <c r="W188" s="86"/>
      <c r="X188" s="86"/>
    </row>
    <row r="189">
      <c r="A189" s="201">
        <v>188.0</v>
      </c>
      <c r="B189" s="202" t="s">
        <v>1520</v>
      </c>
      <c r="C189" s="203" t="s">
        <v>1521</v>
      </c>
      <c r="D189" s="204" t="str">
        <f>IFERROR(__xludf.DUMMYFUNCTION("ARRAYFORMULA(LET( converted, SUBSTITUTE( SUBSTITUTE( SUBSTITUTE( SUBSTITUTE( SUBSTITUTE( SUBSTITUTE( SUBSTITUTE( SUBSTITUTE( SUBSTITUTE( SUBSTITUTE( C189, ""۰"", ""0""), ""۱"", ""1""), ""۲"", ""2""), ""۳"", ""3""), ""۴"", ""4""), ""۵"", ""5""), ""۶"", ""6"&amp;"""), ""۷"", ""7""), ""۸"", ""8""), ""۹"", ""9""), IF(LEFT(converted,3)=""+98"", ""0"" &amp; RIGHT(converted, LEN(converted)-3), IF(LEFT(converted,2)=""98"", ""0"" &amp; RIGHT(converted, LEN(converted)-2), IF(LEFT(converted,1)&lt;&gt;""0"", ""0"" &amp; converted, REGEXREPLA"&amp;"CE(converted , ""\s"", """")) ) ) ) )"),"09125991914")</f>
        <v>09125991914</v>
      </c>
      <c r="E189" s="205" t="s">
        <v>17</v>
      </c>
      <c r="F189" s="206">
        <v>2.0</v>
      </c>
      <c r="G189" s="202"/>
      <c r="H189" s="202" t="s">
        <v>1522</v>
      </c>
      <c r="I189" s="203"/>
      <c r="J189" s="203" t="s">
        <v>1523</v>
      </c>
      <c r="K189" s="207" t="s">
        <v>1524</v>
      </c>
      <c r="L189" s="207" t="s">
        <v>1525</v>
      </c>
      <c r="M189" s="202"/>
      <c r="N189" s="202"/>
      <c r="O189" s="202"/>
      <c r="P189" s="202"/>
      <c r="Q189" s="208"/>
      <c r="R189" s="86"/>
      <c r="S189" s="114">
        <f t="shared" ref="S189:T189" si="190">A189</f>
        <v>188</v>
      </c>
      <c r="T189" s="114" t="str">
        <f t="shared" si="190"/>
        <v>سهراب بهروزیان</v>
      </c>
      <c r="U189" s="86" t="str">
        <f t="shared" si="3"/>
        <v>09125991914</v>
      </c>
      <c r="V189" s="86" t="str">
        <f t="shared" si="4"/>
        <v>پیش‌وایی 2</v>
      </c>
      <c r="W189" s="86"/>
      <c r="X189" s="86"/>
    </row>
    <row r="190">
      <c r="A190" s="192">
        <v>189.0</v>
      </c>
      <c r="B190" s="193" t="s">
        <v>1528</v>
      </c>
      <c r="C190" s="194"/>
      <c r="D190" s="195" t="str">
        <f>IFERROR(__xludf.DUMMYFUNCTION("ARRAYFORMULA(LET( converted, SUBSTITUTE( SUBSTITUTE( SUBSTITUTE( SUBSTITUTE( SUBSTITUTE( SUBSTITUTE( SUBSTITUTE( SUBSTITUTE( SUBSTITUTE( SUBSTITUTE( C190, ""۰"", ""0""), ""۱"", ""1""), ""۲"", ""2""), ""۳"", ""3""), ""۴"", ""4""), ""۵"", ""5""), ""۶"", ""6"&amp;"""), ""۷"", ""7""), ""۸"", ""8""), ""۹"", ""9""), IF(LEFT(converted,3)=""+98"", ""0"" &amp; RIGHT(converted, LEN(converted)-3), IF(LEFT(converted,2)=""98"", ""0"" &amp; RIGHT(converted, LEN(converted)-2), IF(LEFT(converted,1)&lt;&gt;""0"", ""0"" &amp; converted, REGEXREPLA"&amp;"CE(converted , ""\s"", """")) ) ) ) )"),"0")</f>
        <v>0</v>
      </c>
      <c r="E190" s="196" t="s">
        <v>17</v>
      </c>
      <c r="F190" s="197">
        <v>2.0</v>
      </c>
      <c r="G190" s="193"/>
      <c r="H190" s="198" t="s">
        <v>1529</v>
      </c>
      <c r="I190" s="194"/>
      <c r="J190" s="194" t="s">
        <v>1530</v>
      </c>
      <c r="K190" s="199" t="s">
        <v>1232</v>
      </c>
      <c r="L190" s="199" t="s">
        <v>1531</v>
      </c>
      <c r="M190" s="193"/>
      <c r="N190" s="193"/>
      <c r="O190" s="193"/>
      <c r="P190" s="193"/>
      <c r="Q190" s="200"/>
      <c r="R190" s="86"/>
      <c r="S190" s="114">
        <f t="shared" ref="S190:T190" si="191">A190</f>
        <v>189</v>
      </c>
      <c r="T190" s="114" t="str">
        <f t="shared" si="191"/>
        <v>معصومه معتقدی بارفروشی</v>
      </c>
      <c r="U190" s="86" t="str">
        <f t="shared" si="3"/>
        <v>0</v>
      </c>
      <c r="V190" s="86" t="str">
        <f t="shared" si="4"/>
        <v>پیش‌وایی 2</v>
      </c>
      <c r="W190" s="86"/>
      <c r="X190" s="86"/>
    </row>
    <row r="191">
      <c r="A191" s="201">
        <v>190.0</v>
      </c>
      <c r="B191" s="202" t="s">
        <v>1890</v>
      </c>
      <c r="C191" s="203" t="s">
        <v>1891</v>
      </c>
      <c r="D191" s="204" t="str">
        <f>IFERROR(__xludf.DUMMYFUNCTION("ARRAYFORMULA(LET( converted, SUBSTITUTE( SUBSTITUTE( SUBSTITUTE( SUBSTITUTE( SUBSTITUTE( SUBSTITUTE( SUBSTITUTE( SUBSTITUTE( SUBSTITUTE( SUBSTITUTE( C191, ""۰"", ""0""), ""۱"", ""1""), ""۲"", ""2""), ""۳"", ""3""), ""۴"", ""4""), ""۵"", ""5""), ""۶"", ""6"&amp;"""), ""۷"", ""7""), ""۸"", ""8""), ""۹"", ""9""), IF(LEFT(converted,3)=""+98"", ""0"" &amp; RIGHT(converted, LEN(converted)-3), IF(LEFT(converted,2)=""98"", ""0"" &amp; RIGHT(converted, LEN(converted)-2), IF(LEFT(converted,1)&lt;&gt;""0"", ""0"" &amp; converted, REGEXREPLA"&amp;"CE(converted , ""\s"", """")) ) ) ) )"),"09128908388")</f>
        <v>09128908388</v>
      </c>
      <c r="E191" s="205" t="s">
        <v>17</v>
      </c>
      <c r="F191" s="206">
        <v>2.0</v>
      </c>
      <c r="G191" s="202"/>
      <c r="H191" s="202" t="s">
        <v>1892</v>
      </c>
      <c r="I191" s="203"/>
      <c r="J191" s="203" t="s">
        <v>1893</v>
      </c>
      <c r="K191" s="207" t="s">
        <v>307</v>
      </c>
      <c r="L191" s="207" t="s">
        <v>1019</v>
      </c>
      <c r="M191" s="202"/>
      <c r="N191" s="202"/>
      <c r="O191" s="202"/>
      <c r="P191" s="202"/>
      <c r="Q191" s="208"/>
      <c r="R191" s="86"/>
      <c r="S191" s="114">
        <f t="shared" ref="S191:T191" si="192">A191</f>
        <v>190</v>
      </c>
      <c r="T191" s="114" t="str">
        <f t="shared" si="192"/>
        <v>محمدرضا احمدی</v>
      </c>
      <c r="U191" s="86" t="str">
        <f t="shared" si="3"/>
        <v>09128908388</v>
      </c>
      <c r="V191" s="86" t="str">
        <f t="shared" si="4"/>
        <v>پیش‌وایی 2</v>
      </c>
      <c r="W191" s="86"/>
      <c r="X191" s="86"/>
    </row>
    <row r="192">
      <c r="A192" s="192">
        <v>191.0</v>
      </c>
      <c r="B192" s="193" t="s">
        <v>833</v>
      </c>
      <c r="C192" s="194" t="s">
        <v>834</v>
      </c>
      <c r="D192" s="195" t="str">
        <f>IFERROR(__xludf.DUMMYFUNCTION("ARRAYFORMULA(LET( converted, SUBSTITUTE( SUBSTITUTE( SUBSTITUTE( SUBSTITUTE( SUBSTITUTE( SUBSTITUTE( SUBSTITUTE( SUBSTITUTE( SUBSTITUTE( SUBSTITUTE( C192, ""۰"", ""0""), ""۱"", ""1""), ""۲"", ""2""), ""۳"", ""3""), ""۴"", ""4""), ""۵"", ""5""), ""۶"", ""6"&amp;"""), ""۷"", ""7""), ""۸"", ""8""), ""۹"", ""9""), IF(LEFT(converted,3)=""+98"", ""0"" &amp; RIGHT(converted, LEN(converted)-3), IF(LEFT(converted,2)=""98"", ""0"" &amp; RIGHT(converted, LEN(converted)-2), IF(LEFT(converted,1)&lt;&gt;""0"", ""0"" &amp; converted, REGEXREPLA"&amp;"CE(converted , ""\s"", """")) ) ) ) )"),"09192386071")</f>
        <v>09192386071</v>
      </c>
      <c r="E192" s="196" t="s">
        <v>17</v>
      </c>
      <c r="F192" s="197">
        <v>2.0</v>
      </c>
      <c r="G192" s="193"/>
      <c r="H192" s="193" t="s">
        <v>835</v>
      </c>
      <c r="I192" s="194"/>
      <c r="J192" s="194" t="s">
        <v>836</v>
      </c>
      <c r="K192" s="199" t="s">
        <v>180</v>
      </c>
      <c r="L192" s="199" t="s">
        <v>837</v>
      </c>
      <c r="M192" s="193"/>
      <c r="N192" s="193"/>
      <c r="O192" s="193"/>
      <c r="P192" s="193"/>
      <c r="Q192" s="200"/>
      <c r="R192" s="86"/>
      <c r="S192" s="114">
        <f t="shared" ref="S192:T192" si="193">A192</f>
        <v>191</v>
      </c>
      <c r="T192" s="114" t="str">
        <f t="shared" si="193"/>
        <v>آزاده اعتصامی</v>
      </c>
      <c r="U192" s="86" t="str">
        <f t="shared" si="3"/>
        <v>09192386071</v>
      </c>
      <c r="V192" s="86" t="str">
        <f t="shared" si="4"/>
        <v>پیش‌وایی 2</v>
      </c>
      <c r="W192" s="86"/>
      <c r="X192" s="86"/>
    </row>
    <row r="193">
      <c r="A193" s="201">
        <v>192.0</v>
      </c>
      <c r="B193" s="202" t="s">
        <v>1894</v>
      </c>
      <c r="C193" s="203" t="s">
        <v>1895</v>
      </c>
      <c r="D193" s="204" t="str">
        <f>IFERROR(__xludf.DUMMYFUNCTION("ARRAYFORMULA(LET( converted, SUBSTITUTE( SUBSTITUTE( SUBSTITUTE( SUBSTITUTE( SUBSTITUTE( SUBSTITUTE( SUBSTITUTE( SUBSTITUTE( SUBSTITUTE( SUBSTITUTE( C193, ""۰"", ""0""), ""۱"", ""1""), ""۲"", ""2""), ""۳"", ""3""), ""۴"", ""4""), ""۵"", ""5""), ""۶"", ""6"&amp;"""), ""۷"", ""7""), ""۸"", ""8""), ""۹"", ""9""), IF(LEFT(converted,3)=""+98"", ""0"" &amp; RIGHT(converted, LEN(converted)-3), IF(LEFT(converted,2)=""98"", ""0"" &amp; RIGHT(converted, LEN(converted)-2), IF(LEFT(converted,1)&lt;&gt;""0"", ""0"" &amp; converted, REGEXREPLA"&amp;"CE(converted , ""\s"", """")) ) ) ) )"),"09386888384")</f>
        <v>09386888384</v>
      </c>
      <c r="E193" s="205" t="s">
        <v>17</v>
      </c>
      <c r="F193" s="206">
        <v>2.0</v>
      </c>
      <c r="G193" s="202"/>
      <c r="H193" s="202" t="s">
        <v>1896</v>
      </c>
      <c r="I193" s="203"/>
      <c r="J193" s="203" t="s">
        <v>1897</v>
      </c>
      <c r="K193" s="207" t="s">
        <v>274</v>
      </c>
      <c r="L193" s="207" t="s">
        <v>1898</v>
      </c>
      <c r="M193" s="202"/>
      <c r="N193" s="202"/>
      <c r="O193" s="202"/>
      <c r="P193" s="202"/>
      <c r="Q193" s="208"/>
      <c r="R193" s="86"/>
      <c r="S193" s="114">
        <f t="shared" ref="S193:T193" si="194">A193</f>
        <v>192</v>
      </c>
      <c r="T193" s="114" t="str">
        <f t="shared" si="194"/>
        <v>فاطمه اسکندرزاده</v>
      </c>
      <c r="U193" s="86" t="str">
        <f t="shared" si="3"/>
        <v>09386888384</v>
      </c>
      <c r="V193" s="86" t="str">
        <f t="shared" si="4"/>
        <v>پیش‌وایی 2</v>
      </c>
      <c r="W193" s="86"/>
      <c r="X193" s="86"/>
    </row>
    <row r="194">
      <c r="A194" s="192">
        <v>193.0</v>
      </c>
      <c r="B194" s="193" t="s">
        <v>992</v>
      </c>
      <c r="C194" s="194" t="s">
        <v>993</v>
      </c>
      <c r="D194" s="195" t="str">
        <f>IFERROR(__xludf.DUMMYFUNCTION("ARRAYFORMULA(LET( converted, SUBSTITUTE( SUBSTITUTE( SUBSTITUTE( SUBSTITUTE( SUBSTITUTE( SUBSTITUTE( SUBSTITUTE( SUBSTITUTE( SUBSTITUTE( SUBSTITUTE( C194, ""۰"", ""0""), ""۱"", ""1""), ""۲"", ""2""), ""۳"", ""3""), ""۴"", ""4""), ""۵"", ""5""), ""۶"", ""6"&amp;"""), ""۷"", ""7""), ""۸"", ""8""), ""۹"", ""9""), IF(LEFT(converted,3)=""+98"", ""0"" &amp; RIGHT(converted, LEN(converted)-3), IF(LEFT(converted,2)=""98"", ""0"" &amp; RIGHT(converted, LEN(converted)-2), IF(LEFT(converted,1)&lt;&gt;""0"", ""0"" &amp; converted, REGEXREPLA"&amp;"CE(converted , ""\s"", """")) ) ) ) )"),"09123865374")</f>
        <v>09123865374</v>
      </c>
      <c r="E194" s="196" t="s">
        <v>17</v>
      </c>
      <c r="F194" s="197">
        <v>2.0</v>
      </c>
      <c r="G194" s="193"/>
      <c r="H194" s="193" t="s">
        <v>994</v>
      </c>
      <c r="I194" s="194"/>
      <c r="J194" s="194" t="s">
        <v>995</v>
      </c>
      <c r="K194" s="199" t="s">
        <v>996</v>
      </c>
      <c r="L194" s="199" t="s">
        <v>997</v>
      </c>
      <c r="M194" s="193"/>
      <c r="N194" s="193"/>
      <c r="O194" s="193"/>
      <c r="P194" s="193"/>
      <c r="Q194" s="200"/>
      <c r="R194" s="86"/>
      <c r="S194" s="114">
        <f t="shared" ref="S194:T194" si="195">A194</f>
        <v>193</v>
      </c>
      <c r="T194" s="114" t="str">
        <f t="shared" si="195"/>
        <v>حسام بادامی</v>
      </c>
      <c r="U194" s="86" t="str">
        <f t="shared" si="3"/>
        <v>09123865374</v>
      </c>
      <c r="V194" s="86" t="str">
        <f t="shared" si="4"/>
        <v>پیش‌وایی 2</v>
      </c>
      <c r="W194" s="86"/>
      <c r="X194" s="86"/>
    </row>
    <row r="195">
      <c r="A195" s="201">
        <v>194.0</v>
      </c>
      <c r="B195" s="202" t="s">
        <v>942</v>
      </c>
      <c r="C195" s="203" t="s">
        <v>943</v>
      </c>
      <c r="D195" s="204" t="str">
        <f>IFERROR(__xludf.DUMMYFUNCTION("ARRAYFORMULA(LET( converted, SUBSTITUTE( SUBSTITUTE( SUBSTITUTE( SUBSTITUTE( SUBSTITUTE( SUBSTITUTE( SUBSTITUTE( SUBSTITUTE( SUBSTITUTE( SUBSTITUTE( C195, ""۰"", ""0""), ""۱"", ""1""), ""۲"", ""2""), ""۳"", ""3""), ""۴"", ""4""), ""۵"", ""5""), ""۶"", ""6"&amp;"""), ""۷"", ""7""), ""۸"", ""8""), ""۹"", ""9""), IF(LEFT(converted,3)=""+98"", ""0"" &amp; RIGHT(converted, LEN(converted)-3), IF(LEFT(converted,2)=""98"", ""0"" &amp; RIGHT(converted, LEN(converted)-2), IF(LEFT(converted,1)&lt;&gt;""0"", ""0"" &amp; converted, REGEXREPLA"&amp;"CE(converted , ""\s"", """")) ) ) ) )"),"09128145230")</f>
        <v>09128145230</v>
      </c>
      <c r="E195" s="205" t="s">
        <v>17</v>
      </c>
      <c r="F195" s="206">
        <v>2.0</v>
      </c>
      <c r="G195" s="202"/>
      <c r="H195" s="202" t="s">
        <v>1899</v>
      </c>
      <c r="I195" s="203"/>
      <c r="J195" s="203" t="s">
        <v>945</v>
      </c>
      <c r="K195" s="207" t="s">
        <v>946</v>
      </c>
      <c r="L195" s="207" t="s">
        <v>947</v>
      </c>
      <c r="M195" s="202"/>
      <c r="N195" s="202"/>
      <c r="O195" s="202"/>
      <c r="P195" s="202"/>
      <c r="Q195" s="208"/>
      <c r="R195" s="86"/>
      <c r="S195" s="114">
        <f t="shared" ref="S195:T195" si="196">A195</f>
        <v>194</v>
      </c>
      <c r="T195" s="114" t="str">
        <f t="shared" si="196"/>
        <v>جلال احمدیان</v>
      </c>
      <c r="U195" s="86" t="str">
        <f t="shared" si="3"/>
        <v>09128145230</v>
      </c>
      <c r="V195" s="86" t="str">
        <f t="shared" si="4"/>
        <v>پیش‌وایی 2</v>
      </c>
      <c r="W195" s="86"/>
      <c r="X195" s="86"/>
    </row>
    <row r="196">
      <c r="A196" s="192">
        <v>195.0</v>
      </c>
      <c r="B196" s="193" t="s">
        <v>728</v>
      </c>
      <c r="C196" s="194" t="s">
        <v>729</v>
      </c>
      <c r="D196" s="195" t="str">
        <f>IFERROR(__xludf.DUMMYFUNCTION("ARRAYFORMULA(LET( converted, SUBSTITUTE( SUBSTITUTE( SUBSTITUTE( SUBSTITUTE( SUBSTITUTE( SUBSTITUTE( SUBSTITUTE( SUBSTITUTE( SUBSTITUTE( SUBSTITUTE( C196, ""۰"", ""0""), ""۱"", ""1""), ""۲"", ""2""), ""۳"", ""3""), ""۴"", ""4""), ""۵"", ""5""), ""۶"", ""6"&amp;"""), ""۷"", ""7""), ""۸"", ""8""), ""۹"", ""9""), IF(LEFT(converted,3)=""+98"", ""0"" &amp; RIGHT(converted, LEN(converted)-3), IF(LEFT(converted,2)=""98"", ""0"" &amp; RIGHT(converted, LEN(converted)-2), IF(LEFT(converted,1)&lt;&gt;""0"", ""0"" &amp; converted, REGEXREPLA"&amp;"CE(converted , ""\s"", """")) ) ) ) )"),"09125269321")</f>
        <v>09125269321</v>
      </c>
      <c r="E196" s="196" t="s">
        <v>17</v>
      </c>
      <c r="F196" s="197">
        <v>2.0</v>
      </c>
      <c r="G196" s="193"/>
      <c r="H196" s="193" t="s">
        <v>731</v>
      </c>
      <c r="I196" s="194"/>
      <c r="J196" s="194" t="s">
        <v>732</v>
      </c>
      <c r="K196" s="199" t="s">
        <v>733</v>
      </c>
      <c r="L196" s="199" t="s">
        <v>734</v>
      </c>
      <c r="M196" s="193"/>
      <c r="N196" s="193"/>
      <c r="O196" s="193"/>
      <c r="P196" s="193"/>
      <c r="Q196" s="200"/>
      <c r="R196" s="86"/>
      <c r="S196" s="114">
        <f t="shared" ref="S196:T196" si="197">A196</f>
        <v>195</v>
      </c>
      <c r="T196" s="114" t="str">
        <f t="shared" si="197"/>
        <v>کیوان پوریاور</v>
      </c>
      <c r="U196" s="86" t="str">
        <f t="shared" si="3"/>
        <v>09125269321</v>
      </c>
      <c r="V196" s="86" t="str">
        <f t="shared" si="4"/>
        <v>پیش‌وایی 2</v>
      </c>
      <c r="W196" s="86"/>
      <c r="X196" s="86"/>
    </row>
    <row r="197">
      <c r="A197" s="201">
        <v>196.0</v>
      </c>
      <c r="B197" s="202" t="s">
        <v>1900</v>
      </c>
      <c r="C197" s="203" t="s">
        <v>1901</v>
      </c>
      <c r="D197" s="204" t="str">
        <f>IFERROR(__xludf.DUMMYFUNCTION("ARRAYFORMULA(LET( converted, SUBSTITUTE( SUBSTITUTE( SUBSTITUTE( SUBSTITUTE( SUBSTITUTE( SUBSTITUTE( SUBSTITUTE( SUBSTITUTE( SUBSTITUTE( SUBSTITUTE( C197, ""۰"", ""0""), ""۱"", ""1""), ""۲"", ""2""), ""۳"", ""3""), ""۴"", ""4""), ""۵"", ""5""), ""۶"", ""6"&amp;"""), ""۷"", ""7""), ""۸"", ""8""), ""۹"", ""9""), IF(LEFT(converted,3)=""+98"", ""0"" &amp; RIGHT(converted, LEN(converted)-3), IF(LEFT(converted,2)=""98"", ""0"" &amp; RIGHT(converted, LEN(converted)-2), IF(LEFT(converted,1)&lt;&gt;""0"", ""0"" &amp; converted, REGEXREPLA"&amp;"CE(converted , ""\s"", """")) ) ) ) )"),"09124024683")</f>
        <v>09124024683</v>
      </c>
      <c r="E197" s="205" t="s">
        <v>17</v>
      </c>
      <c r="F197" s="206">
        <v>2.0</v>
      </c>
      <c r="G197" s="202"/>
      <c r="H197" s="202" t="s">
        <v>1902</v>
      </c>
      <c r="I197" s="203"/>
      <c r="J197" s="203" t="s">
        <v>1903</v>
      </c>
      <c r="K197" s="207" t="s">
        <v>1269</v>
      </c>
      <c r="L197" s="207" t="s">
        <v>1904</v>
      </c>
      <c r="M197" s="202"/>
      <c r="N197" s="202"/>
      <c r="O197" s="202"/>
      <c r="P197" s="202"/>
      <c r="Q197" s="208"/>
      <c r="R197" s="86"/>
      <c r="S197" s="114">
        <f t="shared" ref="S197:T197" si="198">A197</f>
        <v>196</v>
      </c>
      <c r="T197" s="114" t="str">
        <f t="shared" si="198"/>
        <v>محمدعلی نیک‌سجل</v>
      </c>
      <c r="U197" s="86" t="str">
        <f t="shared" si="3"/>
        <v>09124024683</v>
      </c>
      <c r="V197" s="86" t="str">
        <f t="shared" si="4"/>
        <v>پیش‌وایی 2</v>
      </c>
      <c r="W197" s="86"/>
      <c r="X197" s="86"/>
    </row>
    <row r="198">
      <c r="A198" s="192">
        <v>197.0</v>
      </c>
      <c r="B198" s="193" t="s">
        <v>1905</v>
      </c>
      <c r="C198" s="194" t="s">
        <v>1906</v>
      </c>
      <c r="D198" s="195" t="str">
        <f>IFERROR(__xludf.DUMMYFUNCTION("ARRAYFORMULA(LET( converted, SUBSTITUTE( SUBSTITUTE( SUBSTITUTE( SUBSTITUTE( SUBSTITUTE( SUBSTITUTE( SUBSTITUTE( SUBSTITUTE( SUBSTITUTE( SUBSTITUTE( C198, ""۰"", ""0""), ""۱"", ""1""), ""۲"", ""2""), ""۳"", ""3""), ""۴"", ""4""), ""۵"", ""5""), ""۶"", ""6"&amp;"""), ""۷"", ""7""), ""۸"", ""8""), ""۹"", ""9""), IF(LEFT(converted,3)=""+98"", ""0"" &amp; RIGHT(converted, LEN(converted)-3), IF(LEFT(converted,2)=""98"", ""0"" &amp; RIGHT(converted, LEN(converted)-2), IF(LEFT(converted,1)&lt;&gt;""0"", ""0"" &amp; converted, REGEXREPLA"&amp;"CE(converted , ""\s"", """")) ) ) ) )"),"09125904837")</f>
        <v>09125904837</v>
      </c>
      <c r="E198" s="196" t="s">
        <v>17</v>
      </c>
      <c r="F198" s="197">
        <v>2.0</v>
      </c>
      <c r="G198" s="193"/>
      <c r="H198" s="193" t="s">
        <v>1907</v>
      </c>
      <c r="I198" s="194"/>
      <c r="J198" s="194" t="s">
        <v>1908</v>
      </c>
      <c r="K198" s="199" t="s">
        <v>1269</v>
      </c>
      <c r="L198" s="199" t="s">
        <v>180</v>
      </c>
      <c r="M198" s="193"/>
      <c r="N198" s="193"/>
      <c r="O198" s="193"/>
      <c r="P198" s="193"/>
      <c r="Q198" s="200"/>
      <c r="R198" s="86"/>
      <c r="S198" s="114">
        <f t="shared" ref="S198:T198" si="199">A198</f>
        <v>197</v>
      </c>
      <c r="T198" s="114" t="str">
        <f t="shared" si="199"/>
        <v>محمدعلی آزاده</v>
      </c>
      <c r="U198" s="86" t="str">
        <f t="shared" si="3"/>
        <v>09125904837</v>
      </c>
      <c r="V198" s="86" t="str">
        <f t="shared" si="4"/>
        <v>پیش‌وایی 2</v>
      </c>
      <c r="W198" s="86"/>
      <c r="X198" s="86"/>
    </row>
    <row r="199">
      <c r="A199" s="201">
        <v>198.0</v>
      </c>
      <c r="B199" s="202" t="s">
        <v>1909</v>
      </c>
      <c r="C199" s="203" t="s">
        <v>1910</v>
      </c>
      <c r="D199" s="204" t="str">
        <f>IFERROR(__xludf.DUMMYFUNCTION("ARRAYFORMULA(LET( converted, SUBSTITUTE( SUBSTITUTE( SUBSTITUTE( SUBSTITUTE( SUBSTITUTE( SUBSTITUTE( SUBSTITUTE( SUBSTITUTE( SUBSTITUTE( SUBSTITUTE( C199, ""۰"", ""0""), ""۱"", ""1""), ""۲"", ""2""), ""۳"", ""3""), ""۴"", ""4""), ""۵"", ""5""), ""۶"", ""6"&amp;"""), ""۷"", ""7""), ""۸"", ""8""), ""۹"", ""9""), IF(LEFT(converted,3)=""+98"", ""0"" &amp; RIGHT(converted, LEN(converted)-3), IF(LEFT(converted,2)=""98"", ""0"" &amp; RIGHT(converted, LEN(converted)-2), IF(LEFT(converted,1)&lt;&gt;""0"", ""0"" &amp; converted, REGEXREPLA"&amp;"CE(converted , ""\s"", """")) ) ) ) )"),"09123611874")</f>
        <v>09123611874</v>
      </c>
      <c r="E199" s="205" t="s">
        <v>17</v>
      </c>
      <c r="F199" s="206">
        <v>2.0</v>
      </c>
      <c r="G199" s="202"/>
      <c r="H199" s="202" t="s">
        <v>1911</v>
      </c>
      <c r="I199" s="203"/>
      <c r="J199" s="203" t="s">
        <v>1912</v>
      </c>
      <c r="K199" s="207" t="s">
        <v>303</v>
      </c>
      <c r="L199" s="207" t="s">
        <v>1913</v>
      </c>
      <c r="M199" s="202"/>
      <c r="N199" s="202"/>
      <c r="O199" s="202"/>
      <c r="P199" s="202"/>
      <c r="Q199" s="208"/>
      <c r="R199" s="86"/>
      <c r="S199" s="114">
        <f t="shared" ref="S199:T199" si="200">A199</f>
        <v>198</v>
      </c>
      <c r="T199" s="114" t="str">
        <f t="shared" si="200"/>
        <v>محمد مرادی</v>
      </c>
      <c r="U199" s="86" t="str">
        <f t="shared" si="3"/>
        <v>09123611874</v>
      </c>
      <c r="V199" s="86" t="str">
        <f t="shared" si="4"/>
        <v>پیش‌وایی 2</v>
      </c>
      <c r="W199" s="86"/>
      <c r="X199" s="86"/>
    </row>
    <row r="200">
      <c r="A200" s="192">
        <v>199.0</v>
      </c>
      <c r="B200" s="193" t="s">
        <v>1914</v>
      </c>
      <c r="C200" s="194" t="s">
        <v>1915</v>
      </c>
      <c r="D200" s="195" t="str">
        <f>IFERROR(__xludf.DUMMYFUNCTION("ARRAYFORMULA(LET( converted, SUBSTITUTE( SUBSTITUTE( SUBSTITUTE( SUBSTITUTE( SUBSTITUTE( SUBSTITUTE( SUBSTITUTE( SUBSTITUTE( SUBSTITUTE( SUBSTITUTE( C200, ""۰"", ""0""), ""۱"", ""1""), ""۲"", ""2""), ""۳"", ""3""), ""۴"", ""4""), ""۵"", ""5""), ""۶"", ""6"&amp;"""), ""۷"", ""7""), ""۸"", ""8""), ""۹"", ""9""), IF(LEFT(converted,3)=""+98"", ""0"" &amp; RIGHT(converted, LEN(converted)-3), IF(LEFT(converted,2)=""98"", ""0"" &amp; RIGHT(converted, LEN(converted)-2), IF(LEFT(converted,1)&lt;&gt;""0"", ""0"" &amp; converted, REGEXREPLA"&amp;"CE(converted , ""\s"", """")) ) ) ) )"),"09125147559")</f>
        <v>09125147559</v>
      </c>
      <c r="E200" s="196" t="s">
        <v>17</v>
      </c>
      <c r="F200" s="197">
        <v>2.0</v>
      </c>
      <c r="G200" s="193"/>
      <c r="H200" s="198" t="s">
        <v>1916</v>
      </c>
      <c r="I200" s="194"/>
      <c r="J200" s="194" t="s">
        <v>1917</v>
      </c>
      <c r="K200" s="199" t="s">
        <v>211</v>
      </c>
      <c r="L200" s="199" t="s">
        <v>1918</v>
      </c>
      <c r="M200" s="193"/>
      <c r="N200" s="193"/>
      <c r="O200" s="193"/>
      <c r="P200" s="193"/>
      <c r="Q200" s="200"/>
      <c r="R200" s="86"/>
      <c r="S200" s="114">
        <f t="shared" ref="S200:T200" si="201">A200</f>
        <v>199</v>
      </c>
      <c r="T200" s="114" t="str">
        <f t="shared" si="201"/>
        <v>مرجان روستا</v>
      </c>
      <c r="U200" s="86" t="str">
        <f t="shared" si="3"/>
        <v>09125147559</v>
      </c>
      <c r="V200" s="86" t="str">
        <f t="shared" si="4"/>
        <v>پیش‌وایی 2</v>
      </c>
      <c r="W200" s="86"/>
      <c r="X200" s="86"/>
    </row>
    <row r="201">
      <c r="A201" s="201">
        <v>200.0</v>
      </c>
      <c r="B201" s="202" t="s">
        <v>1919</v>
      </c>
      <c r="C201" s="203" t="s">
        <v>1920</v>
      </c>
      <c r="D201" s="204" t="str">
        <f>IFERROR(__xludf.DUMMYFUNCTION("ARRAYFORMULA(LET( converted, SUBSTITUTE( SUBSTITUTE( SUBSTITUTE( SUBSTITUTE( SUBSTITUTE( SUBSTITUTE( SUBSTITUTE( SUBSTITUTE( SUBSTITUTE( SUBSTITUTE( C201, ""۰"", ""0""), ""۱"", ""1""), ""۲"", ""2""), ""۳"", ""3""), ""۴"", ""4""), ""۵"", ""5""), ""۶"", ""6"&amp;"""), ""۷"", ""7""), ""۸"", ""8""), ""۹"", ""9""), IF(LEFT(converted,3)=""+98"", ""0"" &amp; RIGHT(converted, LEN(converted)-3), IF(LEFT(converted,2)=""98"", ""0"" &amp; RIGHT(converted, LEN(converted)-2), IF(LEFT(converted,1)&lt;&gt;""0"", ""0"" &amp; converted, REGEXREPLA"&amp;"CE(converted , ""\s"", """")) ) ) ) )"),"0NA")</f>
        <v>0NA</v>
      </c>
      <c r="E201" s="205" t="s">
        <v>17</v>
      </c>
      <c r="F201" s="206">
        <v>2.0</v>
      </c>
      <c r="G201" s="202"/>
      <c r="H201" s="202" t="s">
        <v>1920</v>
      </c>
      <c r="I201" s="203"/>
      <c r="J201" s="203" t="s">
        <v>1921</v>
      </c>
      <c r="K201" s="207" t="s">
        <v>1922</v>
      </c>
      <c r="L201" s="207" t="s">
        <v>1913</v>
      </c>
      <c r="M201" s="202"/>
      <c r="N201" s="202"/>
      <c r="O201" s="202"/>
      <c r="P201" s="202"/>
      <c r="Q201" s="208"/>
      <c r="R201" s="86"/>
      <c r="S201" s="114">
        <f t="shared" ref="S201:T201" si="202">A201</f>
        <v>200</v>
      </c>
      <c r="T201" s="114" t="str">
        <f t="shared" si="202"/>
        <v>ملورین مرادی</v>
      </c>
      <c r="U201" s="86" t="str">
        <f t="shared" si="3"/>
        <v>0NA</v>
      </c>
      <c r="V201" s="86" t="str">
        <f t="shared" si="4"/>
        <v>پیش‌وایی 2</v>
      </c>
      <c r="W201" s="86"/>
      <c r="X201" s="86"/>
    </row>
    <row r="202">
      <c r="A202" s="192">
        <v>201.0</v>
      </c>
      <c r="B202" s="193" t="s">
        <v>1923</v>
      </c>
      <c r="C202" s="194" t="s">
        <v>807</v>
      </c>
      <c r="D202" s="195" t="str">
        <f>IFERROR(__xludf.DUMMYFUNCTION("ARRAYFORMULA(LET( converted, SUBSTITUTE( SUBSTITUTE( SUBSTITUTE( SUBSTITUTE( SUBSTITUTE( SUBSTITUTE( SUBSTITUTE( SUBSTITUTE( SUBSTITUTE( SUBSTITUTE( C202, ""۰"", ""0""), ""۱"", ""1""), ""۲"", ""2""), ""۳"", ""3""), ""۴"", ""4""), ""۵"", ""5""), ""۶"", ""6"&amp;"""), ""۷"", ""7""), ""۸"", ""8""), ""۹"", ""9""), IF(LEFT(converted,3)=""+98"", ""0"" &amp; RIGHT(converted, LEN(converted)-3), IF(LEFT(converted,2)=""98"", ""0"" &amp; RIGHT(converted, LEN(converted)-2), IF(LEFT(converted,1)&lt;&gt;""0"", ""0"" &amp; converted, REGEXREPLA"&amp;"CE(converted , ""\s"", """")) ) ) ) )"),"09122091903")</f>
        <v>09122091903</v>
      </c>
      <c r="E202" s="196" t="s">
        <v>17</v>
      </c>
      <c r="F202" s="197">
        <v>2.0</v>
      </c>
      <c r="G202" s="193"/>
      <c r="H202" s="193" t="s">
        <v>808</v>
      </c>
      <c r="I202" s="194"/>
      <c r="J202" s="194" t="s">
        <v>809</v>
      </c>
      <c r="K202" s="199" t="s">
        <v>1269</v>
      </c>
      <c r="L202" s="199" t="s">
        <v>811</v>
      </c>
      <c r="M202" s="193"/>
      <c r="N202" s="193"/>
      <c r="O202" s="193"/>
      <c r="P202" s="193"/>
      <c r="Q202" s="200"/>
      <c r="R202" s="86"/>
      <c r="S202" s="114">
        <f t="shared" ref="S202:T202" si="203">A202</f>
        <v>201</v>
      </c>
      <c r="T202" s="114" t="str">
        <f t="shared" si="203"/>
        <v>محمدعلی صابری</v>
      </c>
      <c r="U202" s="86" t="str">
        <f t="shared" si="3"/>
        <v>09122091903</v>
      </c>
      <c r="V202" s="86" t="str">
        <f t="shared" si="4"/>
        <v>پیش‌وایی 2</v>
      </c>
      <c r="W202" s="86"/>
      <c r="X202" s="86"/>
    </row>
    <row r="203">
      <c r="A203" s="201">
        <v>202.0</v>
      </c>
      <c r="B203" s="202" t="s">
        <v>1924</v>
      </c>
      <c r="C203" s="203" t="s">
        <v>1925</v>
      </c>
      <c r="D203" s="204" t="str">
        <f>IFERROR(__xludf.DUMMYFUNCTION("ARRAYFORMULA(LET( converted, SUBSTITUTE( SUBSTITUTE( SUBSTITUTE( SUBSTITUTE( SUBSTITUTE( SUBSTITUTE( SUBSTITUTE( SUBSTITUTE( SUBSTITUTE( SUBSTITUTE( C203, ""۰"", ""0""), ""۱"", ""1""), ""۲"", ""2""), ""۳"", ""3""), ""۴"", ""4""), ""۵"", ""5""), ""۶"", ""6"&amp;"""), ""۷"", ""7""), ""۸"", ""8""), ""۹"", ""9""), IF(LEFT(converted,3)=""+98"", ""0"" &amp; RIGHT(converted, LEN(converted)-3), IF(LEFT(converted,2)=""98"", ""0"" &amp; RIGHT(converted, LEN(converted)-2), IF(LEFT(converted,1)&lt;&gt;""0"", ""0"" &amp; converted, REGEXREPLA"&amp;"CE(converted , ""\s"", """")) ) ) ) )"),"09127987968")</f>
        <v>09127987968</v>
      </c>
      <c r="E203" s="205" t="s">
        <v>17</v>
      </c>
      <c r="F203" s="206">
        <v>2.0</v>
      </c>
      <c r="G203" s="202"/>
      <c r="H203" s="202" t="s">
        <v>1926</v>
      </c>
      <c r="I203" s="203"/>
      <c r="J203" s="203" t="s">
        <v>1927</v>
      </c>
      <c r="K203" s="207" t="s">
        <v>1928</v>
      </c>
      <c r="L203" s="207" t="s">
        <v>1929</v>
      </c>
      <c r="M203" s="202"/>
      <c r="N203" s="202"/>
      <c r="O203" s="202"/>
      <c r="P203" s="202"/>
      <c r="Q203" s="208"/>
      <c r="R203" s="86"/>
      <c r="S203" s="114">
        <f t="shared" ref="S203:T203" si="204">A203</f>
        <v>202</v>
      </c>
      <c r="T203" s="114" t="str">
        <f t="shared" si="204"/>
        <v>نیکو شاکری</v>
      </c>
      <c r="U203" s="86" t="str">
        <f t="shared" si="3"/>
        <v>09127987968</v>
      </c>
      <c r="V203" s="86" t="str">
        <f t="shared" si="4"/>
        <v>پیش‌وایی 2</v>
      </c>
      <c r="W203" s="86"/>
      <c r="X203" s="86"/>
    </row>
    <row r="204">
      <c r="A204" s="192">
        <v>203.0</v>
      </c>
      <c r="B204" s="193" t="s">
        <v>1930</v>
      </c>
      <c r="C204" s="194" t="s">
        <v>1931</v>
      </c>
      <c r="D204" s="195" t="str">
        <f>IFERROR(__xludf.DUMMYFUNCTION("ARRAYFORMULA(LET( converted, SUBSTITUTE( SUBSTITUTE( SUBSTITUTE( SUBSTITUTE( SUBSTITUTE( SUBSTITUTE( SUBSTITUTE( SUBSTITUTE( SUBSTITUTE( SUBSTITUTE( C204, ""۰"", ""0""), ""۱"", ""1""), ""۲"", ""2""), ""۳"", ""3""), ""۴"", ""4""), ""۵"", ""5""), ""۶"", ""6"&amp;"""), ""۷"", ""7""), ""۸"", ""8""), ""۹"", ""9""), IF(LEFT(converted,3)=""+98"", ""0"" &amp; RIGHT(converted, LEN(converted)-3), IF(LEFT(converted,2)=""98"", ""0"" &amp; RIGHT(converted, LEN(converted)-2), IF(LEFT(converted,1)&lt;&gt;""0"", ""0"" &amp; converted, REGEXREPLA"&amp;"CE(converted , ""\s"", """")) ) ) ) )"),"09102383352")</f>
        <v>09102383352</v>
      </c>
      <c r="E204" s="196" t="s">
        <v>17</v>
      </c>
      <c r="F204" s="197">
        <v>2.0</v>
      </c>
      <c r="G204" s="193"/>
      <c r="H204" s="193" t="s">
        <v>1932</v>
      </c>
      <c r="I204" s="194"/>
      <c r="J204" s="194" t="s">
        <v>1933</v>
      </c>
      <c r="K204" s="199" t="s">
        <v>1425</v>
      </c>
      <c r="L204" s="199" t="s">
        <v>1934</v>
      </c>
      <c r="M204" s="193"/>
      <c r="N204" s="193"/>
      <c r="O204" s="193"/>
      <c r="P204" s="193"/>
      <c r="Q204" s="200"/>
      <c r="R204" s="86"/>
      <c r="S204" s="114">
        <f t="shared" ref="S204:T204" si="205">A204</f>
        <v>203</v>
      </c>
      <c r="T204" s="114" t="str">
        <f t="shared" si="205"/>
        <v>پگاه نجفی</v>
      </c>
      <c r="U204" s="86" t="str">
        <f t="shared" si="3"/>
        <v>09102383352</v>
      </c>
      <c r="V204" s="86" t="str">
        <f t="shared" si="4"/>
        <v>پیش‌وایی 2</v>
      </c>
      <c r="W204" s="86"/>
      <c r="X204" s="86"/>
    </row>
    <row r="205">
      <c r="A205" s="201">
        <v>204.0</v>
      </c>
      <c r="B205" s="202" t="s">
        <v>1935</v>
      </c>
      <c r="C205" s="203" t="s">
        <v>1936</v>
      </c>
      <c r="D205" s="204" t="str">
        <f>IFERROR(__xludf.DUMMYFUNCTION("ARRAYFORMULA(LET( converted, SUBSTITUTE( SUBSTITUTE( SUBSTITUTE( SUBSTITUTE( SUBSTITUTE( SUBSTITUTE( SUBSTITUTE( SUBSTITUTE( SUBSTITUTE( SUBSTITUTE( C205, ""۰"", ""0""), ""۱"", ""1""), ""۲"", ""2""), ""۳"", ""3""), ""۴"", ""4""), ""۵"", ""5""), ""۶"", ""6"&amp;"""), ""۷"", ""7""), ""۸"", ""8""), ""۹"", ""9""), IF(LEFT(converted,3)=""+98"", ""0"" &amp; RIGHT(converted, LEN(converted)-3), IF(LEFT(converted,2)=""98"", ""0"" &amp; RIGHT(converted, LEN(converted)-2), IF(LEFT(converted,1)&lt;&gt;""0"", ""0"" &amp; converted, REGEXREPLA"&amp;"CE(converted , ""\s"", """")) ) ) ) )"),"09102107976")</f>
        <v>09102107976</v>
      </c>
      <c r="E205" s="205" t="s">
        <v>17</v>
      </c>
      <c r="F205" s="206">
        <v>2.0</v>
      </c>
      <c r="G205" s="202"/>
      <c r="H205" s="202" t="s">
        <v>1937</v>
      </c>
      <c r="I205" s="203"/>
      <c r="J205" s="203" t="s">
        <v>1938</v>
      </c>
      <c r="K205" s="207" t="s">
        <v>1459</v>
      </c>
      <c r="L205" s="207" t="s">
        <v>1939</v>
      </c>
      <c r="M205" s="202"/>
      <c r="N205" s="202"/>
      <c r="O205" s="202"/>
      <c r="P205" s="202"/>
      <c r="Q205" s="208"/>
      <c r="R205" s="86"/>
      <c r="S205" s="114">
        <f t="shared" ref="S205:T205" si="206">A205</f>
        <v>204</v>
      </c>
      <c r="T205" s="114" t="str">
        <f t="shared" si="206"/>
        <v>رضا آقایی</v>
      </c>
      <c r="U205" s="86" t="str">
        <f t="shared" si="3"/>
        <v>09102107976</v>
      </c>
      <c r="V205" s="86" t="str">
        <f t="shared" si="4"/>
        <v>پیش‌وایی 2</v>
      </c>
      <c r="W205" s="86"/>
      <c r="X205" s="86"/>
    </row>
    <row r="206">
      <c r="A206" s="192">
        <v>205.0</v>
      </c>
      <c r="B206" s="193" t="s">
        <v>1940</v>
      </c>
      <c r="C206" s="194" t="s">
        <v>1941</v>
      </c>
      <c r="D206" s="195" t="str">
        <f>IFERROR(__xludf.DUMMYFUNCTION("ARRAYFORMULA(LET( converted, SUBSTITUTE( SUBSTITUTE( SUBSTITUTE( SUBSTITUTE( SUBSTITUTE( SUBSTITUTE( SUBSTITUTE( SUBSTITUTE( SUBSTITUTE( SUBSTITUTE( C206, ""۰"", ""0""), ""۱"", ""1""), ""۲"", ""2""), ""۳"", ""3""), ""۴"", ""4""), ""۵"", ""5""), ""۶"", ""6"&amp;"""), ""۷"", ""7""), ""۸"", ""8""), ""۹"", ""9""), IF(LEFT(converted,3)=""+98"", ""0"" &amp; RIGHT(converted, LEN(converted)-3), IF(LEFT(converted,2)=""98"", ""0"" &amp; RIGHT(converted, LEN(converted)-2), IF(LEFT(converted,1)&lt;&gt;""0"", ""0"" &amp; converted, REGEXREPLA"&amp;"CE(converted , ""\s"", """")) ) ) ) )"),"09351413277")</f>
        <v>09351413277</v>
      </c>
      <c r="E206" s="196" t="s">
        <v>17</v>
      </c>
      <c r="F206" s="197">
        <v>2.0</v>
      </c>
      <c r="G206" s="193"/>
      <c r="H206" s="193" t="s">
        <v>1942</v>
      </c>
      <c r="I206" s="194"/>
      <c r="J206" s="194" t="s">
        <v>1943</v>
      </c>
      <c r="K206" s="199" t="s">
        <v>1944</v>
      </c>
      <c r="L206" s="199" t="s">
        <v>1945</v>
      </c>
      <c r="M206" s="193"/>
      <c r="N206" s="193"/>
      <c r="O206" s="193"/>
      <c r="P206" s="193"/>
      <c r="Q206" s="200"/>
      <c r="R206" s="86"/>
      <c r="S206" s="114">
        <f t="shared" ref="S206:T206" si="207">A206</f>
        <v>205</v>
      </c>
      <c r="T206" s="114" t="str">
        <f t="shared" si="207"/>
        <v>شقایق سرمست</v>
      </c>
      <c r="U206" s="86" t="str">
        <f t="shared" si="3"/>
        <v>09351413277</v>
      </c>
      <c r="V206" s="86" t="str">
        <f t="shared" si="4"/>
        <v>پیش‌وایی 2</v>
      </c>
      <c r="W206" s="86"/>
      <c r="X206" s="86"/>
    </row>
    <row r="207">
      <c r="A207" s="201">
        <v>206.0</v>
      </c>
      <c r="B207" s="202" t="s">
        <v>1421</v>
      </c>
      <c r="C207" s="210" t="s">
        <v>1422</v>
      </c>
      <c r="D207" s="204" t="str">
        <f>IFERROR(__xludf.DUMMYFUNCTION("ARRAYFORMULA(LET( converted, SUBSTITUTE( SUBSTITUTE( SUBSTITUTE( SUBSTITUTE( SUBSTITUTE( SUBSTITUTE( SUBSTITUTE( SUBSTITUTE( SUBSTITUTE( SUBSTITUTE( C207, ""۰"", ""0""), ""۱"", ""1""), ""۲"", ""2""), ""۳"", ""3""), ""۴"", ""4""), ""۵"", ""5""), ""۶"", ""6"&amp;"""), ""۷"", ""7""), ""۸"", ""8""), ""۹"", ""9""), IF(LEFT(converted,3)=""+98"", ""0"" &amp; RIGHT(converted, LEN(converted)-3), IF(LEFT(converted,2)=""98"", ""0"" &amp; RIGHT(converted, LEN(converted)-2), IF(LEFT(converted,1)&lt;&gt;""0"", ""0"" &amp; converted, REGEXREPLA"&amp;"CE(converted , ""\s"", """")) ) ) ) )"),"09331009972")</f>
        <v>09331009972</v>
      </c>
      <c r="E207" s="205" t="s">
        <v>17</v>
      </c>
      <c r="F207" s="206">
        <v>2.0</v>
      </c>
      <c r="G207" s="202"/>
      <c r="H207" s="202" t="s">
        <v>1423</v>
      </c>
      <c r="I207" s="203"/>
      <c r="J207" s="203" t="s">
        <v>1946</v>
      </c>
      <c r="K207" s="207" t="s">
        <v>1425</v>
      </c>
      <c r="L207" s="207" t="s">
        <v>1426</v>
      </c>
      <c r="M207" s="202"/>
      <c r="N207" s="202"/>
      <c r="O207" s="202"/>
      <c r="P207" s="202"/>
      <c r="Q207" s="208"/>
      <c r="R207" s="86"/>
      <c r="S207" s="114">
        <f t="shared" ref="S207:T207" si="208">A207</f>
        <v>206</v>
      </c>
      <c r="T207" s="114" t="str">
        <f t="shared" si="208"/>
        <v>پگاه تربتی</v>
      </c>
      <c r="U207" s="86" t="str">
        <f t="shared" si="3"/>
        <v>09331009972</v>
      </c>
      <c r="V207" s="86" t="str">
        <f t="shared" si="4"/>
        <v>پیش‌وایی 2</v>
      </c>
      <c r="W207" s="86"/>
      <c r="X207" s="86"/>
    </row>
    <row r="208">
      <c r="A208" s="192">
        <v>207.0</v>
      </c>
      <c r="B208" s="193" t="s">
        <v>1947</v>
      </c>
      <c r="C208" s="194" t="s">
        <v>1948</v>
      </c>
      <c r="D208" s="195" t="str">
        <f>IFERROR(__xludf.DUMMYFUNCTION("ARRAYFORMULA(LET( converted, SUBSTITUTE( SUBSTITUTE( SUBSTITUTE( SUBSTITUTE( SUBSTITUTE( SUBSTITUTE( SUBSTITUTE( SUBSTITUTE( SUBSTITUTE( SUBSTITUTE( C208, ""۰"", ""0""), ""۱"", ""1""), ""۲"", ""2""), ""۳"", ""3""), ""۴"", ""4""), ""۵"", ""5""), ""۶"", ""6"&amp;"""), ""۷"", ""7""), ""۸"", ""8""), ""۹"", ""9""), IF(LEFT(converted,3)=""+98"", ""0"" &amp; RIGHT(converted, LEN(converted)-3), IF(LEFT(converted,2)=""98"", ""0"" &amp; RIGHT(converted, LEN(converted)-2), IF(LEFT(converted,1)&lt;&gt;""0"", ""0"" &amp; converted, REGEXREPLA"&amp;"CE(converted , ""\s"", """")) ) ) ) )"),"09128837331")</f>
        <v>09128837331</v>
      </c>
      <c r="E208" s="196" t="s">
        <v>17</v>
      </c>
      <c r="F208" s="197">
        <v>2.0</v>
      </c>
      <c r="G208" s="193"/>
      <c r="H208" s="193" t="s">
        <v>1949</v>
      </c>
      <c r="I208" s="194"/>
      <c r="J208" s="194" t="s">
        <v>1950</v>
      </c>
      <c r="K208" s="199" t="s">
        <v>1459</v>
      </c>
      <c r="L208" s="199" t="s">
        <v>1951</v>
      </c>
      <c r="M208" s="193"/>
      <c r="N208" s="193"/>
      <c r="O208" s="193"/>
      <c r="P208" s="193"/>
      <c r="Q208" s="200"/>
      <c r="R208" s="86"/>
      <c r="S208" s="114">
        <f t="shared" ref="S208:T208" si="209">A208</f>
        <v>207</v>
      </c>
      <c r="T208" s="114" t="str">
        <f t="shared" si="209"/>
        <v>رضا نامجو</v>
      </c>
      <c r="U208" s="86" t="str">
        <f t="shared" si="3"/>
        <v>09128837331</v>
      </c>
      <c r="V208" s="86" t="str">
        <f t="shared" si="4"/>
        <v>پیش‌وایی 2</v>
      </c>
      <c r="W208" s="86"/>
      <c r="X208" s="86"/>
    </row>
    <row r="209">
      <c r="A209" s="201">
        <v>208.0</v>
      </c>
      <c r="B209" s="202" t="s">
        <v>1952</v>
      </c>
      <c r="C209" s="203" t="s">
        <v>1953</v>
      </c>
      <c r="D209" s="204" t="str">
        <f>IFERROR(__xludf.DUMMYFUNCTION("ARRAYFORMULA(LET( converted, SUBSTITUTE( SUBSTITUTE( SUBSTITUTE( SUBSTITUTE( SUBSTITUTE( SUBSTITUTE( SUBSTITUTE( SUBSTITUTE( SUBSTITUTE( SUBSTITUTE( C209, ""۰"", ""0""), ""۱"", ""1""), ""۲"", ""2""), ""۳"", ""3""), ""۴"", ""4""), ""۵"", ""5""), ""۶"", ""6"&amp;"""), ""۷"", ""7""), ""۸"", ""8""), ""۹"", ""9""), IF(LEFT(converted,3)=""+98"", ""0"" &amp; RIGHT(converted, LEN(converted)-3), IF(LEFT(converted,2)=""98"", ""0"" &amp; RIGHT(converted, LEN(converted)-2), IF(LEFT(converted,1)&lt;&gt;""0"", ""0"" &amp; converted, REGEXREPLA"&amp;"CE(converted , ""\s"", """")) ) ) ) )"),"09120375156")</f>
        <v>09120375156</v>
      </c>
      <c r="E209" s="205" t="s">
        <v>17</v>
      </c>
      <c r="F209" s="206">
        <v>2.0</v>
      </c>
      <c r="G209" s="202"/>
      <c r="H209" s="202" t="s">
        <v>1954</v>
      </c>
      <c r="I209" s="203"/>
      <c r="J209" s="203" t="s">
        <v>1955</v>
      </c>
      <c r="K209" s="207" t="s">
        <v>1956</v>
      </c>
      <c r="L209" s="207" t="s">
        <v>1303</v>
      </c>
      <c r="M209" s="202"/>
      <c r="N209" s="202"/>
      <c r="O209" s="202"/>
      <c r="P209" s="202"/>
      <c r="Q209" s="208"/>
      <c r="R209" s="86"/>
      <c r="S209" s="114">
        <f t="shared" ref="S209:T209" si="210">A209</f>
        <v>208</v>
      </c>
      <c r="T209" s="114" t="str">
        <f t="shared" si="210"/>
        <v>سید مهدی حسینی</v>
      </c>
      <c r="U209" s="86" t="str">
        <f t="shared" si="3"/>
        <v>09120375156</v>
      </c>
      <c r="V209" s="86" t="str">
        <f t="shared" si="4"/>
        <v>پیش‌وایی 2</v>
      </c>
      <c r="W209" s="86"/>
      <c r="X209" s="86"/>
    </row>
    <row r="210">
      <c r="A210" s="192">
        <v>209.0</v>
      </c>
      <c r="B210" s="193" t="s">
        <v>1957</v>
      </c>
      <c r="C210" s="194" t="s">
        <v>1958</v>
      </c>
      <c r="D210" s="195" t="str">
        <f>IFERROR(__xludf.DUMMYFUNCTION("ARRAYFORMULA(LET( converted, SUBSTITUTE( SUBSTITUTE( SUBSTITUTE( SUBSTITUTE( SUBSTITUTE( SUBSTITUTE( SUBSTITUTE( SUBSTITUTE( SUBSTITUTE( SUBSTITUTE( C210, ""۰"", ""0""), ""۱"", ""1""), ""۲"", ""2""), ""۳"", ""3""), ""۴"", ""4""), ""۵"", ""5""), ""۶"", ""6"&amp;"""), ""۷"", ""7""), ""۸"", ""8""), ""۹"", ""9""), IF(LEFT(converted,3)=""+98"", ""0"" &amp; RIGHT(converted, LEN(converted)-3), IF(LEFT(converted,2)=""98"", ""0"" &amp; RIGHT(converted, LEN(converted)-2), IF(LEFT(converted,1)&lt;&gt;""0"", ""0"" &amp; converted, REGEXREPLA"&amp;"CE(converted , ""\s"", """")) ) ) ) )"),"09391347201")</f>
        <v>09391347201</v>
      </c>
      <c r="E210" s="196" t="s">
        <v>17</v>
      </c>
      <c r="F210" s="197">
        <v>2.0</v>
      </c>
      <c r="G210" s="193"/>
      <c r="H210" s="193" t="s">
        <v>1959</v>
      </c>
      <c r="I210" s="194"/>
      <c r="J210" s="194" t="s">
        <v>1960</v>
      </c>
      <c r="K210" s="199" t="s">
        <v>1167</v>
      </c>
      <c r="L210" s="199" t="s">
        <v>1961</v>
      </c>
      <c r="M210" s="193"/>
      <c r="N210" s="193"/>
      <c r="O210" s="193"/>
      <c r="P210" s="193"/>
      <c r="Q210" s="200"/>
      <c r="R210" s="86"/>
      <c r="S210" s="114">
        <f t="shared" ref="S210:T210" si="211">A210</f>
        <v>209</v>
      </c>
      <c r="T210" s="114" t="str">
        <f t="shared" si="211"/>
        <v>میثم پیریایی</v>
      </c>
      <c r="U210" s="86" t="str">
        <f t="shared" si="3"/>
        <v>09391347201</v>
      </c>
      <c r="V210" s="86" t="str">
        <f t="shared" si="4"/>
        <v>پیش‌وایی 2</v>
      </c>
      <c r="W210" s="86"/>
      <c r="X210" s="86"/>
    </row>
    <row r="211">
      <c r="A211" s="201">
        <v>210.0</v>
      </c>
      <c r="B211" s="202" t="s">
        <v>929</v>
      </c>
      <c r="C211" s="203" t="s">
        <v>930</v>
      </c>
      <c r="D211" s="204" t="str">
        <f>IFERROR(__xludf.DUMMYFUNCTION("ARRAYFORMULA(LET( converted, SUBSTITUTE( SUBSTITUTE( SUBSTITUTE( SUBSTITUTE( SUBSTITUTE( SUBSTITUTE( SUBSTITUTE( SUBSTITUTE( SUBSTITUTE( SUBSTITUTE( C211, ""۰"", ""0""), ""۱"", ""1""), ""۲"", ""2""), ""۳"", ""3""), ""۴"", ""4""), ""۵"", ""5""), ""۶"", ""6"&amp;"""), ""۷"", ""7""), ""۸"", ""8""), ""۹"", ""9""), IF(LEFT(converted,3)=""+98"", ""0"" &amp; RIGHT(converted, LEN(converted)-3), IF(LEFT(converted,2)=""98"", ""0"" &amp; RIGHT(converted, LEN(converted)-2), IF(LEFT(converted,1)&lt;&gt;""0"", ""0"" &amp; converted, REGEXREPLA"&amp;"CE(converted , ""\s"", """")) ) ) ) )"),"09011837978")</f>
        <v>09011837978</v>
      </c>
      <c r="E211" s="205" t="s">
        <v>17</v>
      </c>
      <c r="F211" s="206">
        <v>2.0</v>
      </c>
      <c r="G211" s="202"/>
      <c r="H211" s="202" t="s">
        <v>931</v>
      </c>
      <c r="I211" s="203"/>
      <c r="J211" s="203"/>
      <c r="K211" s="207" t="s">
        <v>296</v>
      </c>
      <c r="L211" s="207" t="s">
        <v>933</v>
      </c>
      <c r="M211" s="202"/>
      <c r="N211" s="202"/>
      <c r="O211" s="202"/>
      <c r="P211" s="202"/>
      <c r="Q211" s="208"/>
      <c r="R211" s="86"/>
      <c r="S211" s="114">
        <f t="shared" ref="S211:T211" si="212">A211</f>
        <v>210</v>
      </c>
      <c r="T211" s="114" t="str">
        <f t="shared" si="212"/>
        <v>جاوید ایزدفر</v>
      </c>
      <c r="U211" s="86" t="str">
        <f t="shared" si="3"/>
        <v>09011837978</v>
      </c>
      <c r="V211" s="86" t="str">
        <f t="shared" si="4"/>
        <v>پیش‌وایی 2</v>
      </c>
      <c r="W211" s="86"/>
      <c r="X211" s="86"/>
    </row>
    <row r="212">
      <c r="A212" s="192">
        <v>211.0</v>
      </c>
      <c r="B212" s="193" t="s">
        <v>936</v>
      </c>
      <c r="C212" s="194" t="s">
        <v>937</v>
      </c>
      <c r="D212" s="195" t="str">
        <f>IFERROR(__xludf.DUMMYFUNCTION("ARRAYFORMULA(LET( converted, SUBSTITUTE( SUBSTITUTE( SUBSTITUTE( SUBSTITUTE( SUBSTITUTE( SUBSTITUTE( SUBSTITUTE( SUBSTITUTE( SUBSTITUTE( SUBSTITUTE( C212, ""۰"", ""0""), ""۱"", ""1""), ""۲"", ""2""), ""۳"", ""3""), ""۴"", ""4""), ""۵"", ""5""), ""۶"", ""6"&amp;"""), ""۷"", ""7""), ""۸"", ""8""), ""۹"", ""9""), IF(LEFT(converted,3)=""+98"", ""0"" &amp; RIGHT(converted, LEN(converted)-3), IF(LEFT(converted,2)=""98"", ""0"" &amp; RIGHT(converted, LEN(converted)-2), IF(LEFT(converted,1)&lt;&gt;""0"", ""0"" &amp; converted, REGEXREPLA"&amp;"CE(converted , ""\s"", """")) ) ) ) )"),"09361070325")</f>
        <v>09361070325</v>
      </c>
      <c r="E212" s="196" t="s">
        <v>17</v>
      </c>
      <c r="F212" s="197">
        <v>2.0</v>
      </c>
      <c r="G212" s="193"/>
      <c r="H212" s="193" t="s">
        <v>938</v>
      </c>
      <c r="I212" s="194"/>
      <c r="J212" s="194" t="s">
        <v>939</v>
      </c>
      <c r="K212" s="199" t="s">
        <v>202</v>
      </c>
      <c r="L212" s="199" t="s">
        <v>940</v>
      </c>
      <c r="M212" s="193"/>
      <c r="N212" s="193"/>
      <c r="O212" s="193"/>
      <c r="P212" s="193"/>
      <c r="Q212" s="200"/>
      <c r="R212" s="86"/>
      <c r="S212" s="114">
        <f t="shared" ref="S212:T212" si="213">A212</f>
        <v>211</v>
      </c>
      <c r="T212" s="114" t="str">
        <f t="shared" si="213"/>
        <v>ستاره کریمی</v>
      </c>
      <c r="U212" s="86" t="str">
        <f t="shared" si="3"/>
        <v>09361070325</v>
      </c>
      <c r="V212" s="86" t="str">
        <f t="shared" si="4"/>
        <v>پیش‌وایی 2</v>
      </c>
      <c r="W212" s="86"/>
      <c r="X212" s="86"/>
    </row>
    <row r="213">
      <c r="A213" s="201">
        <v>212.0</v>
      </c>
      <c r="B213" s="202" t="s">
        <v>1962</v>
      </c>
      <c r="C213" s="203" t="s">
        <v>1963</v>
      </c>
      <c r="D213" s="204" t="str">
        <f>IFERROR(__xludf.DUMMYFUNCTION("ARRAYFORMULA(LET( converted, SUBSTITUTE( SUBSTITUTE( SUBSTITUTE( SUBSTITUTE( SUBSTITUTE( SUBSTITUTE( SUBSTITUTE( SUBSTITUTE( SUBSTITUTE( SUBSTITUTE( C213, ""۰"", ""0""), ""۱"", ""1""), ""۲"", ""2""), ""۳"", ""3""), ""۴"", ""4""), ""۵"", ""5""), ""۶"", ""6"&amp;"""), ""۷"", ""7""), ""۸"", ""8""), ""۹"", ""9""), IF(LEFT(converted,3)=""+98"", ""0"" &amp; RIGHT(converted, LEN(converted)-3), IF(LEFT(converted,2)=""98"", ""0"" &amp; RIGHT(converted, LEN(converted)-2), IF(LEFT(converted,1)&lt;&gt;""0"", ""0"" &amp; converted, REGEXREPLA"&amp;"CE(converted , ""\s"", """")) ) ) ) )"),"09353282218")</f>
        <v>09353282218</v>
      </c>
      <c r="E213" s="205" t="s">
        <v>17</v>
      </c>
      <c r="F213" s="206">
        <v>2.0</v>
      </c>
      <c r="G213" s="202"/>
      <c r="H213" s="202" t="s">
        <v>1964</v>
      </c>
      <c r="I213" s="203"/>
      <c r="J213" s="203" t="s">
        <v>1965</v>
      </c>
      <c r="K213" s="207" t="s">
        <v>286</v>
      </c>
      <c r="L213" s="207" t="s">
        <v>1966</v>
      </c>
      <c r="M213" s="202"/>
      <c r="N213" s="202"/>
      <c r="O213" s="202"/>
      <c r="P213" s="202"/>
      <c r="Q213" s="208"/>
      <c r="R213" s="86"/>
      <c r="S213" s="114">
        <f t="shared" ref="S213:T213" si="214">A213</f>
        <v>212</v>
      </c>
      <c r="T213" s="114" t="str">
        <f t="shared" si="214"/>
        <v>مهدی راد</v>
      </c>
      <c r="U213" s="86" t="str">
        <f t="shared" si="3"/>
        <v>09353282218</v>
      </c>
      <c r="V213" s="86" t="str">
        <f t="shared" si="4"/>
        <v>پیش‌وایی 2</v>
      </c>
      <c r="W213" s="86"/>
      <c r="X213" s="86"/>
    </row>
    <row r="214">
      <c r="A214" s="192">
        <v>213.0</v>
      </c>
      <c r="B214" s="199" t="s">
        <v>1385</v>
      </c>
      <c r="C214" s="194" t="s">
        <v>1386</v>
      </c>
      <c r="D214" s="195" t="str">
        <f>IFERROR(__xludf.DUMMYFUNCTION("ARRAYFORMULA(LET( converted, SUBSTITUTE( SUBSTITUTE( SUBSTITUTE( SUBSTITUTE( SUBSTITUTE( SUBSTITUTE( SUBSTITUTE( SUBSTITUTE( SUBSTITUTE( SUBSTITUTE( C214, ""۰"", ""0""), ""۱"", ""1""), ""۲"", ""2""), ""۳"", ""3""), ""۴"", ""4""), ""۵"", ""5""), ""۶"", ""6"&amp;"""), ""۷"", ""7""), ""۸"", ""8""), ""۹"", ""9""), IF(LEFT(converted,3)=""+98"", ""0"" &amp; RIGHT(converted, LEN(converted)-3), IF(LEFT(converted,2)=""98"", ""0"" &amp; RIGHT(converted, LEN(converted)-2), IF(LEFT(converted,1)&lt;&gt;""0"", ""0"" &amp; converted, REGEXREPLA"&amp;"CE(converted , ""\s"", """")) ) ) ) )"),"09124493681")</f>
        <v>09124493681</v>
      </c>
      <c r="E214" s="196" t="s">
        <v>17</v>
      </c>
      <c r="F214" s="197">
        <v>2.0</v>
      </c>
      <c r="G214" s="193"/>
      <c r="H214" s="193" t="s">
        <v>1967</v>
      </c>
      <c r="I214" s="194"/>
      <c r="J214" s="194" t="s">
        <v>1388</v>
      </c>
      <c r="K214" s="199" t="s">
        <v>844</v>
      </c>
      <c r="L214" s="199" t="s">
        <v>312</v>
      </c>
      <c r="M214" s="193"/>
      <c r="N214" s="193"/>
      <c r="O214" s="193"/>
      <c r="P214" s="193"/>
      <c r="Q214" s="200"/>
      <c r="R214" s="86"/>
      <c r="S214" s="114">
        <f t="shared" ref="S214:T214" si="215">A214</f>
        <v>213</v>
      </c>
      <c r="T214" s="114" t="str">
        <f t="shared" si="215"/>
        <v>مسعود ملک محمدی</v>
      </c>
      <c r="U214" s="86" t="str">
        <f t="shared" si="3"/>
        <v>09124493681</v>
      </c>
      <c r="V214" s="86" t="str">
        <f t="shared" si="4"/>
        <v>پیش‌وایی 2</v>
      </c>
      <c r="W214" s="86"/>
      <c r="X214" s="86"/>
    </row>
    <row r="215">
      <c r="A215" s="201">
        <v>214.0</v>
      </c>
      <c r="B215" s="202" t="s">
        <v>1968</v>
      </c>
      <c r="C215" s="203" t="s">
        <v>1969</v>
      </c>
      <c r="D215" s="204" t="str">
        <f>IFERROR(__xludf.DUMMYFUNCTION("ARRAYFORMULA(LET( converted, SUBSTITUTE( SUBSTITUTE( SUBSTITUTE( SUBSTITUTE( SUBSTITUTE( SUBSTITUTE( SUBSTITUTE( SUBSTITUTE( SUBSTITUTE( SUBSTITUTE( C215, ""۰"", ""0""), ""۱"", ""1""), ""۲"", ""2""), ""۳"", ""3""), ""۴"", ""4""), ""۵"", ""5""), ""۶"", ""6"&amp;"""), ""۷"", ""7""), ""۸"", ""8""), ""۹"", ""9""), IF(LEFT(converted,3)=""+98"", ""0"" &amp; RIGHT(converted, LEN(converted)-3), IF(LEFT(converted,2)=""98"", ""0"" &amp; RIGHT(converted, LEN(converted)-2), IF(LEFT(converted,1)&lt;&gt;""0"", ""0"" &amp; converted, REGEXREPLA"&amp;"CE(converted , ""\s"", """")) ) ) ) )"),"09364005357")</f>
        <v>09364005357</v>
      </c>
      <c r="E215" s="205" t="s">
        <v>17</v>
      </c>
      <c r="F215" s="206">
        <v>2.0</v>
      </c>
      <c r="G215" s="202"/>
      <c r="H215" s="202" t="s">
        <v>1970</v>
      </c>
      <c r="I215" s="203"/>
      <c r="J215" s="203" t="s">
        <v>1971</v>
      </c>
      <c r="K215" s="207" t="s">
        <v>1633</v>
      </c>
      <c r="L215" s="207" t="s">
        <v>1972</v>
      </c>
      <c r="M215" s="202"/>
      <c r="N215" s="202"/>
      <c r="O215" s="202"/>
      <c r="P215" s="202"/>
      <c r="Q215" s="208"/>
      <c r="R215" s="86"/>
      <c r="S215" s="114">
        <f t="shared" ref="S215:T215" si="216">A215</f>
        <v>214</v>
      </c>
      <c r="T215" s="114" t="str">
        <f t="shared" si="216"/>
        <v>یاسمن حکیمی</v>
      </c>
      <c r="U215" s="86" t="str">
        <f t="shared" si="3"/>
        <v>09364005357</v>
      </c>
      <c r="V215" s="86" t="str">
        <f t="shared" si="4"/>
        <v>پیش‌وایی 2</v>
      </c>
      <c r="W215" s="86"/>
      <c r="X215" s="86"/>
    </row>
    <row r="216">
      <c r="A216" s="192">
        <v>215.0</v>
      </c>
      <c r="B216" s="193" t="s">
        <v>1973</v>
      </c>
      <c r="C216" s="194" t="s">
        <v>1747</v>
      </c>
      <c r="D216" s="195" t="str">
        <f>IFERROR(__xludf.DUMMYFUNCTION("ARRAYFORMULA(LET( converted, SUBSTITUTE( SUBSTITUTE( SUBSTITUTE( SUBSTITUTE( SUBSTITUTE( SUBSTITUTE( SUBSTITUTE( SUBSTITUTE( SUBSTITUTE( SUBSTITUTE( C216, ""۰"", ""0""), ""۱"", ""1""), ""۲"", ""2""), ""۳"", ""3""), ""۴"", ""4""), ""۵"", ""5""), ""۶"", ""6"&amp;"""), ""۷"", ""7""), ""۸"", ""8""), ""۹"", ""9""), IF(LEFT(converted,3)=""+98"", ""0"" &amp; RIGHT(converted, LEN(converted)-3), IF(LEFT(converted,2)=""98"", ""0"" &amp; RIGHT(converted, LEN(converted)-2), IF(LEFT(converted,1)&lt;&gt;""0"", ""0"" &amp; converted, REGEXREPLA"&amp;"CE(converted , ""\s"", """")) ) ) ) )"),"09203109686")</f>
        <v>09203109686</v>
      </c>
      <c r="E216" s="196" t="s">
        <v>17</v>
      </c>
      <c r="F216" s="197">
        <v>2.0</v>
      </c>
      <c r="G216" s="193"/>
      <c r="H216" s="193" t="s">
        <v>1974</v>
      </c>
      <c r="I216" s="194"/>
      <c r="J216" s="194" t="s">
        <v>1975</v>
      </c>
      <c r="K216" s="199" t="s">
        <v>1269</v>
      </c>
      <c r="L216" s="199" t="s">
        <v>1976</v>
      </c>
      <c r="M216" s="193"/>
      <c r="N216" s="193"/>
      <c r="O216" s="193"/>
      <c r="P216" s="193"/>
      <c r="Q216" s="200"/>
      <c r="R216" s="86"/>
      <c r="S216" s="114">
        <f t="shared" ref="S216:T216" si="217">A216</f>
        <v>215</v>
      </c>
      <c r="T216" s="114" t="str">
        <f t="shared" si="217"/>
        <v>محمدعلی طائبی</v>
      </c>
      <c r="U216" s="86" t="str">
        <f t="shared" si="3"/>
        <v>09203109686</v>
      </c>
      <c r="V216" s="86" t="str">
        <f t="shared" si="4"/>
        <v>پیش‌وایی 2</v>
      </c>
      <c r="W216" s="86"/>
      <c r="X216" s="86"/>
    </row>
    <row r="217">
      <c r="A217" s="201">
        <v>216.0</v>
      </c>
      <c r="B217" s="202" t="s">
        <v>1977</v>
      </c>
      <c r="C217" s="203"/>
      <c r="D217" s="204" t="str">
        <f>IFERROR(__xludf.DUMMYFUNCTION("ARRAYFORMULA(LET( converted, SUBSTITUTE( SUBSTITUTE( SUBSTITUTE( SUBSTITUTE( SUBSTITUTE( SUBSTITUTE( SUBSTITUTE( SUBSTITUTE( SUBSTITUTE( SUBSTITUTE( C217, ""۰"", ""0""), ""۱"", ""1""), ""۲"", ""2""), ""۳"", ""3""), ""۴"", ""4""), ""۵"", ""5""), ""۶"", ""6"&amp;"""), ""۷"", ""7""), ""۸"", ""8""), ""۹"", ""9""), IF(LEFT(converted,3)=""+98"", ""0"" &amp; RIGHT(converted, LEN(converted)-3), IF(LEFT(converted,2)=""98"", ""0"" &amp; RIGHT(converted, LEN(converted)-2), IF(LEFT(converted,1)&lt;&gt;""0"", ""0"" &amp; converted, REGEXREPLA"&amp;"CE(converted , ""\s"", """")) ) ) ) )"),"0")</f>
        <v>0</v>
      </c>
      <c r="E217" s="205" t="s">
        <v>17</v>
      </c>
      <c r="F217" s="206">
        <v>2.0</v>
      </c>
      <c r="G217" s="202"/>
      <c r="H217" s="209" t="s">
        <v>1978</v>
      </c>
      <c r="I217" s="203"/>
      <c r="J217" s="203" t="s">
        <v>1979</v>
      </c>
      <c r="K217" s="207" t="s">
        <v>292</v>
      </c>
      <c r="L217" s="207" t="s">
        <v>940</v>
      </c>
      <c r="M217" s="202"/>
      <c r="N217" s="202"/>
      <c r="O217" s="202"/>
      <c r="P217" s="202"/>
      <c r="Q217" s="208"/>
      <c r="R217" s="86"/>
      <c r="S217" s="114">
        <f t="shared" ref="S217:T217" si="218">A217</f>
        <v>216</v>
      </c>
      <c r="T217" s="114" t="str">
        <f t="shared" si="218"/>
        <v>مریم کریمی</v>
      </c>
      <c r="U217" s="86" t="str">
        <f t="shared" si="3"/>
        <v>0</v>
      </c>
      <c r="V217" s="86" t="str">
        <f t="shared" si="4"/>
        <v>پیش‌وایی 2</v>
      </c>
      <c r="W217" s="86"/>
      <c r="X217" s="86"/>
    </row>
    <row r="218">
      <c r="A218" s="192">
        <v>217.0</v>
      </c>
      <c r="B218" s="193" t="s">
        <v>1980</v>
      </c>
      <c r="C218" s="194" t="s">
        <v>1920</v>
      </c>
      <c r="D218" s="195" t="str">
        <f>IFERROR(__xludf.DUMMYFUNCTION("ARRAYFORMULA(LET( converted, SUBSTITUTE( SUBSTITUTE( SUBSTITUTE( SUBSTITUTE( SUBSTITUTE( SUBSTITUTE( SUBSTITUTE( SUBSTITUTE( SUBSTITUTE( SUBSTITUTE( C218, ""۰"", ""0""), ""۱"", ""1""), ""۲"", ""2""), ""۳"", ""3""), ""۴"", ""4""), ""۵"", ""5""), ""۶"", ""6"&amp;"""), ""۷"", ""7""), ""۸"", ""8""), ""۹"", ""9""), IF(LEFT(converted,3)=""+98"", ""0"" &amp; RIGHT(converted, LEN(converted)-3), IF(LEFT(converted,2)=""98"", ""0"" &amp; RIGHT(converted, LEN(converted)-2), IF(LEFT(converted,1)&lt;&gt;""0"", ""0"" &amp; converted, REGEXREPLA"&amp;"CE(converted , ""\s"", """")) ) ) ) )"),"0NA")</f>
        <v>0NA</v>
      </c>
      <c r="E218" s="196" t="s">
        <v>17</v>
      </c>
      <c r="F218" s="197">
        <v>2.0</v>
      </c>
      <c r="G218" s="193"/>
      <c r="H218" s="193" t="s">
        <v>1920</v>
      </c>
      <c r="I218" s="194"/>
      <c r="J218" s="194" t="s">
        <v>1981</v>
      </c>
      <c r="K218" s="199" t="s">
        <v>1982</v>
      </c>
      <c r="L218" s="199" t="s">
        <v>1976</v>
      </c>
      <c r="M218" s="193"/>
      <c r="N218" s="193"/>
      <c r="O218" s="193"/>
      <c r="P218" s="193"/>
      <c r="Q218" s="200"/>
      <c r="R218" s="86"/>
      <c r="S218" s="114">
        <f t="shared" ref="S218:T218" si="219">A218</f>
        <v>217</v>
      </c>
      <c r="T218" s="114" t="str">
        <f t="shared" si="219"/>
        <v>سهند طائبی</v>
      </c>
      <c r="U218" s="86" t="str">
        <f t="shared" si="3"/>
        <v>0NA</v>
      </c>
      <c r="V218" s="86" t="str">
        <f t="shared" si="4"/>
        <v>پیش‌وایی 2</v>
      </c>
      <c r="W218" s="86"/>
      <c r="X218" s="86"/>
    </row>
    <row r="219">
      <c r="A219" s="201">
        <v>218.0</v>
      </c>
      <c r="B219" s="202" t="s">
        <v>1983</v>
      </c>
      <c r="C219" s="203" t="s">
        <v>1920</v>
      </c>
      <c r="D219" s="204" t="str">
        <f>IFERROR(__xludf.DUMMYFUNCTION("ARRAYFORMULA(LET( converted, SUBSTITUTE( SUBSTITUTE( SUBSTITUTE( SUBSTITUTE( SUBSTITUTE( SUBSTITUTE( SUBSTITUTE( SUBSTITUTE( SUBSTITUTE( SUBSTITUTE( C219, ""۰"", ""0""), ""۱"", ""1""), ""۲"", ""2""), ""۳"", ""3""), ""۴"", ""4""), ""۵"", ""5""), ""۶"", ""6"&amp;"""), ""۷"", ""7""), ""۸"", ""8""), ""۹"", ""9""), IF(LEFT(converted,3)=""+98"", ""0"" &amp; RIGHT(converted, LEN(converted)-3), IF(LEFT(converted,2)=""98"", ""0"" &amp; RIGHT(converted, LEN(converted)-2), IF(LEFT(converted,1)&lt;&gt;""0"", ""0"" &amp; converted, REGEXREPLA"&amp;"CE(converted , ""\s"", """")) ) ) ) )"),"0NA")</f>
        <v>0NA</v>
      </c>
      <c r="E219" s="205" t="s">
        <v>17</v>
      </c>
      <c r="F219" s="206">
        <v>2.0</v>
      </c>
      <c r="G219" s="202"/>
      <c r="H219" s="202" t="s">
        <v>1920</v>
      </c>
      <c r="I219" s="203"/>
      <c r="J219" s="203" t="s">
        <v>1984</v>
      </c>
      <c r="K219" s="207" t="s">
        <v>1985</v>
      </c>
      <c r="L219" s="207" t="s">
        <v>1976</v>
      </c>
      <c r="M219" s="202"/>
      <c r="N219" s="202"/>
      <c r="O219" s="202"/>
      <c r="P219" s="202"/>
      <c r="Q219" s="208"/>
      <c r="R219" s="86"/>
      <c r="S219" s="114">
        <f t="shared" ref="S219:T219" si="220">A219</f>
        <v>218</v>
      </c>
      <c r="T219" s="114" t="str">
        <f t="shared" si="220"/>
        <v>هامون طائبی</v>
      </c>
      <c r="U219" s="86" t="str">
        <f t="shared" si="3"/>
        <v>0NA</v>
      </c>
      <c r="V219" s="86" t="str">
        <f t="shared" si="4"/>
        <v>پیش‌وایی 2</v>
      </c>
      <c r="W219" s="86"/>
      <c r="X219" s="86"/>
    </row>
    <row r="220">
      <c r="A220" s="192">
        <v>219.0</v>
      </c>
      <c r="B220" s="193" t="s">
        <v>1539</v>
      </c>
      <c r="C220" s="194" t="s">
        <v>1540</v>
      </c>
      <c r="D220" s="195" t="str">
        <f>IFERROR(__xludf.DUMMYFUNCTION("ARRAYFORMULA(LET( converted, SUBSTITUTE( SUBSTITUTE( SUBSTITUTE( SUBSTITUTE( SUBSTITUTE( SUBSTITUTE( SUBSTITUTE( SUBSTITUTE( SUBSTITUTE( SUBSTITUTE( C220, ""۰"", ""0""), ""۱"", ""1""), ""۲"", ""2""), ""۳"", ""3""), ""۴"", ""4""), ""۵"", ""5""), ""۶"", ""6"&amp;"""), ""۷"", ""7""), ""۸"", ""8""), ""۹"", ""9""), IF(LEFT(converted,3)=""+98"", ""0"" &amp; RIGHT(converted, LEN(converted)-3), IF(LEFT(converted,2)=""98"", ""0"" &amp; RIGHT(converted, LEN(converted)-2), IF(LEFT(converted,1)&lt;&gt;""0"", ""0"" &amp; converted, REGEXREPLA"&amp;"CE(converted , ""\s"", """")) ) ) ) )"),"09125549247")</f>
        <v>09125549247</v>
      </c>
      <c r="E220" s="196" t="s">
        <v>17</v>
      </c>
      <c r="F220" s="197">
        <v>2.0</v>
      </c>
      <c r="G220" s="193"/>
      <c r="H220" s="193" t="s">
        <v>1541</v>
      </c>
      <c r="I220" s="194"/>
      <c r="J220" s="194" t="s">
        <v>1542</v>
      </c>
      <c r="K220" s="199" t="s">
        <v>1543</v>
      </c>
      <c r="L220" s="199" t="s">
        <v>1544</v>
      </c>
      <c r="M220" s="193"/>
      <c r="N220" s="193"/>
      <c r="O220" s="193"/>
      <c r="P220" s="193"/>
      <c r="Q220" s="200"/>
      <c r="R220" s="86"/>
      <c r="S220" s="114">
        <f t="shared" ref="S220:T220" si="221">A220</f>
        <v>219</v>
      </c>
      <c r="T220" s="114" t="str">
        <f t="shared" si="221"/>
        <v>مجتبی سجودی</v>
      </c>
      <c r="U220" s="86" t="str">
        <f t="shared" si="3"/>
        <v>09125549247</v>
      </c>
      <c r="V220" s="86" t="str">
        <f t="shared" si="4"/>
        <v>پیش‌وایی 2</v>
      </c>
      <c r="W220" s="86"/>
      <c r="X220" s="86"/>
    </row>
    <row r="221">
      <c r="A221" s="201">
        <v>220.0</v>
      </c>
      <c r="B221" s="202" t="s">
        <v>1547</v>
      </c>
      <c r="C221" s="203" t="s">
        <v>1986</v>
      </c>
      <c r="D221" s="204" t="str">
        <f>IFERROR(__xludf.DUMMYFUNCTION("ARRAYFORMULA(LET( converted, SUBSTITUTE( SUBSTITUTE( SUBSTITUTE( SUBSTITUTE( SUBSTITUTE( SUBSTITUTE( SUBSTITUTE( SUBSTITUTE( SUBSTITUTE( SUBSTITUTE( C221, ""۰"", ""0""), ""۱"", ""1""), ""۲"", ""2""), ""۳"", ""3""), ""۴"", ""4""), ""۵"", ""5""), ""۶"", ""6"&amp;"""), ""۷"", ""7""), ""۸"", ""8""), ""۹"", ""9""), IF(LEFT(converted,3)=""+98"", ""0"" &amp; RIGHT(converted, LEN(converted)-3), IF(LEFT(converted,2)=""98"", ""0"" &amp; RIGHT(converted, LEN(converted)-2), IF(LEFT(converted,1)&lt;&gt;""0"", ""0"" &amp; converted, REGEXREPLA"&amp;"CE(converted , ""\s"", """")) ) ) ) )"),"09127876736")</f>
        <v>09127876736</v>
      </c>
      <c r="E221" s="205" t="s">
        <v>17</v>
      </c>
      <c r="F221" s="206">
        <v>2.0</v>
      </c>
      <c r="G221" s="202"/>
      <c r="H221" s="209" t="s">
        <v>1987</v>
      </c>
      <c r="I221" s="203"/>
      <c r="J221" s="203"/>
      <c r="K221" s="207" t="s">
        <v>349</v>
      </c>
      <c r="L221" s="207" t="s">
        <v>1086</v>
      </c>
      <c r="M221" s="202"/>
      <c r="N221" s="202"/>
      <c r="O221" s="202"/>
      <c r="P221" s="202"/>
      <c r="Q221" s="208"/>
      <c r="R221" s="86"/>
      <c r="S221" s="114">
        <f t="shared" ref="S221:T221" si="222">A221</f>
        <v>220</v>
      </c>
      <c r="T221" s="114" t="str">
        <f t="shared" si="222"/>
        <v>راحله رجبی</v>
      </c>
      <c r="U221" s="86" t="str">
        <f t="shared" si="3"/>
        <v>09127876736</v>
      </c>
      <c r="V221" s="86" t="str">
        <f t="shared" si="4"/>
        <v>پیش‌وایی 2</v>
      </c>
      <c r="W221" s="86"/>
      <c r="X221" s="86"/>
    </row>
    <row r="222">
      <c r="A222" s="192">
        <v>221.0</v>
      </c>
      <c r="B222" s="193" t="s">
        <v>1988</v>
      </c>
      <c r="C222" s="194" t="s">
        <v>1989</v>
      </c>
      <c r="D222" s="195" t="str">
        <f>IFERROR(__xludf.DUMMYFUNCTION("ARRAYFORMULA(LET( converted, SUBSTITUTE( SUBSTITUTE( SUBSTITUTE( SUBSTITUTE( SUBSTITUTE( SUBSTITUTE( SUBSTITUTE( SUBSTITUTE( SUBSTITUTE( SUBSTITUTE( C222, ""۰"", ""0""), ""۱"", ""1""), ""۲"", ""2""), ""۳"", ""3""), ""۴"", ""4""), ""۵"", ""5""), ""۶"", ""6"&amp;"""), ""۷"", ""7""), ""۸"", ""8""), ""۹"", ""9""), IF(LEFT(converted,3)=""+98"", ""0"" &amp; RIGHT(converted, LEN(converted)-3), IF(LEFT(converted,2)=""98"", ""0"" &amp; RIGHT(converted, LEN(converted)-2), IF(LEFT(converted,1)&lt;&gt;""0"", ""0"" &amp; converted, REGEXREPLA"&amp;"CE(converted , ""\s"", """")) ) ) ) )"),"09375566608")</f>
        <v>09375566608</v>
      </c>
      <c r="E222" s="196" t="s">
        <v>17</v>
      </c>
      <c r="F222" s="197">
        <v>2.0</v>
      </c>
      <c r="G222" s="193"/>
      <c r="H222" s="193" t="s">
        <v>1990</v>
      </c>
      <c r="I222" s="194"/>
      <c r="J222" s="194" t="s">
        <v>1991</v>
      </c>
      <c r="K222" s="199" t="s">
        <v>1992</v>
      </c>
      <c r="L222" s="199" t="s">
        <v>1993</v>
      </c>
      <c r="M222" s="193"/>
      <c r="N222" s="193"/>
      <c r="O222" s="193"/>
      <c r="P222" s="193"/>
      <c r="Q222" s="200"/>
      <c r="R222" s="86"/>
      <c r="S222" s="114">
        <f t="shared" ref="S222:T222" si="223">A222</f>
        <v>221</v>
      </c>
      <c r="T222" s="114" t="str">
        <f t="shared" si="223"/>
        <v>تینا اسلامی زاده</v>
      </c>
      <c r="U222" s="86" t="str">
        <f t="shared" si="3"/>
        <v>09375566608</v>
      </c>
      <c r="V222" s="86" t="str">
        <f t="shared" si="4"/>
        <v>پیش‌وایی 2</v>
      </c>
      <c r="W222" s="86"/>
      <c r="X222" s="86"/>
    </row>
    <row r="223">
      <c r="A223" s="201">
        <v>222.0</v>
      </c>
      <c r="B223" s="202" t="s">
        <v>1994</v>
      </c>
      <c r="C223" s="203" t="s">
        <v>1995</v>
      </c>
      <c r="D223" s="204" t="str">
        <f>IFERROR(__xludf.DUMMYFUNCTION("ARRAYFORMULA(LET( converted, SUBSTITUTE( SUBSTITUTE( SUBSTITUTE( SUBSTITUTE( SUBSTITUTE( SUBSTITUTE( SUBSTITUTE( SUBSTITUTE( SUBSTITUTE( SUBSTITUTE( C223, ""۰"", ""0""), ""۱"", ""1""), ""۲"", ""2""), ""۳"", ""3""), ""۴"", ""4""), ""۵"", ""5""), ""۶"", ""6"&amp;"""), ""۷"", ""7""), ""۸"", ""8""), ""۹"", ""9""), IF(LEFT(converted,3)=""+98"", ""0"" &amp; RIGHT(converted, LEN(converted)-3), IF(LEFT(converted,2)=""98"", ""0"" &amp; RIGHT(converted, LEN(converted)-2), IF(LEFT(converted,1)&lt;&gt;""0"", ""0"" &amp; converted, REGEXREPLA"&amp;"CE(converted , ""\s"", """")) ) ) ) )"),"09359966652")</f>
        <v>09359966652</v>
      </c>
      <c r="E223" s="205" t="s">
        <v>17</v>
      </c>
      <c r="F223" s="206">
        <v>2.0</v>
      </c>
      <c r="G223" s="202"/>
      <c r="H223" s="209" t="s">
        <v>1996</v>
      </c>
      <c r="I223" s="203"/>
      <c r="J223" s="203" t="s">
        <v>1997</v>
      </c>
      <c r="K223" s="207" t="s">
        <v>1998</v>
      </c>
      <c r="L223" s="207" t="s">
        <v>1999</v>
      </c>
      <c r="M223" s="202"/>
      <c r="N223" s="202"/>
      <c r="O223" s="202"/>
      <c r="P223" s="202"/>
      <c r="Q223" s="208"/>
      <c r="R223" s="86"/>
      <c r="S223" s="114">
        <f t="shared" ref="S223:T223" si="224">A223</f>
        <v>222</v>
      </c>
      <c r="T223" s="114" t="str">
        <f t="shared" si="224"/>
        <v>علی زین دارباشی</v>
      </c>
      <c r="U223" s="86" t="str">
        <f t="shared" si="3"/>
        <v>09359966652</v>
      </c>
      <c r="V223" s="86" t="str">
        <f t="shared" si="4"/>
        <v>پیش‌وایی 2</v>
      </c>
      <c r="W223" s="86"/>
      <c r="X223" s="86"/>
    </row>
    <row r="224">
      <c r="A224" s="192">
        <v>223.0</v>
      </c>
      <c r="B224" s="193" t="s">
        <v>2000</v>
      </c>
      <c r="C224" s="194" t="s">
        <v>2001</v>
      </c>
      <c r="D224" s="195" t="str">
        <f>IFERROR(__xludf.DUMMYFUNCTION("ARRAYFORMULA(LET( converted, SUBSTITUTE( SUBSTITUTE( SUBSTITUTE( SUBSTITUTE( SUBSTITUTE( SUBSTITUTE( SUBSTITUTE( SUBSTITUTE( SUBSTITUTE( SUBSTITUTE( C224, ""۰"", ""0""), ""۱"", ""1""), ""۲"", ""2""), ""۳"", ""3""), ""۴"", ""4""), ""۵"", ""5""), ""۶"", ""6"&amp;"""), ""۷"", ""7""), ""۸"", ""8""), ""۹"", ""9""), IF(LEFT(converted,3)=""+98"", ""0"" &amp; RIGHT(converted, LEN(converted)-3), IF(LEFT(converted,2)=""98"", ""0"" &amp; RIGHT(converted, LEN(converted)-2), IF(LEFT(converted,1)&lt;&gt;""0"", ""0"" &amp; converted, REGEXREPLA"&amp;"CE(converted , ""\s"", """")) ) ) ) )"),"09125041081")</f>
        <v>09125041081</v>
      </c>
      <c r="E224" s="196" t="s">
        <v>17</v>
      </c>
      <c r="F224" s="197">
        <v>2.0</v>
      </c>
      <c r="G224" s="193"/>
      <c r="H224" s="193" t="s">
        <v>2002</v>
      </c>
      <c r="I224" s="194"/>
      <c r="J224" s="194" t="s">
        <v>2003</v>
      </c>
      <c r="K224" s="199" t="s">
        <v>2004</v>
      </c>
      <c r="L224" s="199" t="s">
        <v>1993</v>
      </c>
      <c r="M224" s="193"/>
      <c r="N224" s="193"/>
      <c r="O224" s="193"/>
      <c r="P224" s="193"/>
      <c r="Q224" s="200"/>
      <c r="R224" s="86"/>
      <c r="S224" s="114">
        <f t="shared" ref="S224:T224" si="225">A224</f>
        <v>223</v>
      </c>
      <c r="T224" s="114" t="str">
        <f t="shared" si="225"/>
        <v>ملیسا اسلامی زاده</v>
      </c>
      <c r="U224" s="86" t="str">
        <f t="shared" si="3"/>
        <v>09125041081</v>
      </c>
      <c r="V224" s="86" t="str">
        <f t="shared" si="4"/>
        <v>پیش‌وایی 2</v>
      </c>
      <c r="W224" s="86"/>
      <c r="X224" s="86"/>
    </row>
    <row r="225">
      <c r="A225" s="201">
        <v>224.0</v>
      </c>
      <c r="B225" s="202" t="s">
        <v>900</v>
      </c>
      <c r="C225" s="203" t="s">
        <v>901</v>
      </c>
      <c r="D225" s="204" t="str">
        <f>IFERROR(__xludf.DUMMYFUNCTION("ARRAYFORMULA(LET( converted, SUBSTITUTE( SUBSTITUTE( SUBSTITUTE( SUBSTITUTE( SUBSTITUTE( SUBSTITUTE( SUBSTITUTE( SUBSTITUTE( SUBSTITUTE( SUBSTITUTE( C225, ""۰"", ""0""), ""۱"", ""1""), ""۲"", ""2""), ""۳"", ""3""), ""۴"", ""4""), ""۵"", ""5""), ""۶"", ""6"&amp;"""), ""۷"", ""7""), ""۸"", ""8""), ""۹"", ""9""), IF(LEFT(converted,3)=""+98"", ""0"" &amp; RIGHT(converted, LEN(converted)-3), IF(LEFT(converted,2)=""98"", ""0"" &amp; RIGHT(converted, LEN(converted)-2), IF(LEFT(converted,1)&lt;&gt;""0"", ""0"" &amp; converted, REGEXREPLA"&amp;"CE(converted , ""\s"", """")) ) ) ) )"),"09192441792")</f>
        <v>09192441792</v>
      </c>
      <c r="E225" s="205" t="s">
        <v>17</v>
      </c>
      <c r="F225" s="206">
        <v>2.0</v>
      </c>
      <c r="G225" s="202"/>
      <c r="H225" s="202" t="s">
        <v>2005</v>
      </c>
      <c r="I225" s="203"/>
      <c r="J225" s="203" t="s">
        <v>903</v>
      </c>
      <c r="K225" s="207" t="s">
        <v>102</v>
      </c>
      <c r="L225" s="207" t="s">
        <v>904</v>
      </c>
      <c r="M225" s="202"/>
      <c r="N225" s="202"/>
      <c r="O225" s="202"/>
      <c r="P225" s="202"/>
      <c r="Q225" s="208"/>
      <c r="R225" s="86"/>
      <c r="S225" s="114">
        <f t="shared" ref="S225:T225" si="226">A225</f>
        <v>224</v>
      </c>
      <c r="T225" s="114" t="str">
        <f t="shared" si="226"/>
        <v>نیما ابراهیمی</v>
      </c>
      <c r="U225" s="86" t="str">
        <f t="shared" si="3"/>
        <v>09192441792</v>
      </c>
      <c r="V225" s="86" t="str">
        <f t="shared" si="4"/>
        <v>پیش‌وایی 2</v>
      </c>
      <c r="W225" s="86"/>
      <c r="X225" s="86"/>
    </row>
    <row r="226">
      <c r="A226" s="192">
        <v>225.0</v>
      </c>
      <c r="B226" s="193" t="s">
        <v>907</v>
      </c>
      <c r="C226" s="194" t="s">
        <v>908</v>
      </c>
      <c r="D226" s="195" t="str">
        <f>IFERROR(__xludf.DUMMYFUNCTION("ARRAYFORMULA(LET( converted, SUBSTITUTE( SUBSTITUTE( SUBSTITUTE( SUBSTITUTE( SUBSTITUTE( SUBSTITUTE( SUBSTITUTE( SUBSTITUTE( SUBSTITUTE( SUBSTITUTE( C226, ""۰"", ""0""), ""۱"", ""1""), ""۲"", ""2""), ""۳"", ""3""), ""۴"", ""4""), ""۵"", ""5""), ""۶"", ""6"&amp;"""), ""۷"", ""7""), ""۸"", ""8""), ""۹"", ""9""), IF(LEFT(converted,3)=""+98"", ""0"" &amp; RIGHT(converted, LEN(converted)-3), IF(LEFT(converted,2)=""98"", ""0"" &amp; RIGHT(converted, LEN(converted)-2), IF(LEFT(converted,1)&lt;&gt;""0"", ""0"" &amp; converted, REGEXREPLA"&amp;"CE(converted , ""\s"", """")) ) ) ) )"),"09122982045")</f>
        <v>09122982045</v>
      </c>
      <c r="E226" s="196" t="s">
        <v>17</v>
      </c>
      <c r="F226" s="197">
        <v>2.0</v>
      </c>
      <c r="G226" s="193"/>
      <c r="H226" s="193" t="s">
        <v>909</v>
      </c>
      <c r="I226" s="194"/>
      <c r="J226" s="194" t="s">
        <v>903</v>
      </c>
      <c r="K226" s="199" t="s">
        <v>911</v>
      </c>
      <c r="L226" s="199" t="s">
        <v>912</v>
      </c>
      <c r="M226" s="193"/>
      <c r="N226" s="193"/>
      <c r="O226" s="193"/>
      <c r="P226" s="193"/>
      <c r="Q226" s="200"/>
      <c r="R226" s="86"/>
      <c r="S226" s="114">
        <f t="shared" ref="S226:T226" si="227">A226</f>
        <v>225</v>
      </c>
      <c r="T226" s="114" t="str">
        <f t="shared" si="227"/>
        <v>سپیده کلاته سیفری</v>
      </c>
      <c r="U226" s="86" t="str">
        <f t="shared" si="3"/>
        <v>09122982045</v>
      </c>
      <c r="V226" s="86" t="str">
        <f t="shared" si="4"/>
        <v>پیش‌وایی 2</v>
      </c>
      <c r="W226" s="86"/>
      <c r="X226" s="86"/>
    </row>
    <row r="227">
      <c r="A227" s="201">
        <v>226.0</v>
      </c>
      <c r="B227" s="202" t="s">
        <v>2006</v>
      </c>
      <c r="C227" s="203" t="s">
        <v>2007</v>
      </c>
      <c r="D227" s="204" t="str">
        <f>IFERROR(__xludf.DUMMYFUNCTION("ARRAYFORMULA(LET( converted, SUBSTITUTE( SUBSTITUTE( SUBSTITUTE( SUBSTITUTE( SUBSTITUTE( SUBSTITUTE( SUBSTITUTE( SUBSTITUTE( SUBSTITUTE( SUBSTITUTE( C227, ""۰"", ""0""), ""۱"", ""1""), ""۲"", ""2""), ""۳"", ""3""), ""۴"", ""4""), ""۵"", ""5""), ""۶"", ""6"&amp;"""), ""۷"", ""7""), ""۸"", ""8""), ""۹"", ""9""), IF(LEFT(converted,3)=""+98"", ""0"" &amp; RIGHT(converted, LEN(converted)-3), IF(LEFT(converted,2)=""98"", ""0"" &amp; RIGHT(converted, LEN(converted)-2), IF(LEFT(converted,1)&lt;&gt;""0"", ""0"" &amp; converted, REGEXREPLA"&amp;"CE(converted , ""\s"", """")) ) ) ) )"),"09121009490")</f>
        <v>09121009490</v>
      </c>
      <c r="E227" s="205" t="s">
        <v>17</v>
      </c>
      <c r="F227" s="206">
        <v>2.0</v>
      </c>
      <c r="G227" s="202"/>
      <c r="H227" s="202" t="s">
        <v>2008</v>
      </c>
      <c r="I227" s="203"/>
      <c r="J227" s="203"/>
      <c r="K227" s="207" t="s">
        <v>307</v>
      </c>
      <c r="L227" s="207" t="s">
        <v>2009</v>
      </c>
      <c r="M227" s="202"/>
      <c r="N227" s="202"/>
      <c r="O227" s="202"/>
      <c r="P227" s="202"/>
      <c r="Q227" s="208"/>
      <c r="R227" s="86"/>
      <c r="S227" s="114">
        <f t="shared" ref="S227:T227" si="228">A227</f>
        <v>226</v>
      </c>
      <c r="T227" s="114" t="str">
        <f t="shared" si="228"/>
        <v>محمدرضا زمردی</v>
      </c>
      <c r="U227" s="86" t="str">
        <f t="shared" si="3"/>
        <v>09121009490</v>
      </c>
      <c r="V227" s="86" t="str">
        <f t="shared" si="4"/>
        <v>پیش‌وایی 2</v>
      </c>
      <c r="W227" s="86"/>
      <c r="X227" s="86"/>
    </row>
    <row r="228">
      <c r="A228" s="192">
        <v>227.0</v>
      </c>
      <c r="B228" s="193" t="s">
        <v>2010</v>
      </c>
      <c r="C228" s="194" t="s">
        <v>2011</v>
      </c>
      <c r="D228" s="195" t="str">
        <f>IFERROR(__xludf.DUMMYFUNCTION("ARRAYFORMULA(LET( converted, SUBSTITUTE( SUBSTITUTE( SUBSTITUTE( SUBSTITUTE( SUBSTITUTE( SUBSTITUTE( SUBSTITUTE( SUBSTITUTE( SUBSTITUTE( SUBSTITUTE( C228, ""۰"", ""0""), ""۱"", ""1""), ""۲"", ""2""), ""۳"", ""3""), ""۴"", ""4""), ""۵"", ""5""), ""۶"", ""6"&amp;"""), ""۷"", ""7""), ""۸"", ""8""), ""۹"", ""9""), IF(LEFT(converted,3)=""+98"", ""0"" &amp; RIGHT(converted, LEN(converted)-3), IF(LEFT(converted,2)=""98"", ""0"" &amp; RIGHT(converted, LEN(converted)-2), IF(LEFT(converted,1)&lt;&gt;""0"", ""0"" &amp; converted, REGEXREPLA"&amp;"CE(converted , ""\s"", """")) ) ) ) )"),"09124337301")</f>
        <v>09124337301</v>
      </c>
      <c r="E228" s="196" t="s">
        <v>17</v>
      </c>
      <c r="F228" s="197">
        <v>2.0</v>
      </c>
      <c r="G228" s="193"/>
      <c r="H228" s="193" t="s">
        <v>2012</v>
      </c>
      <c r="I228" s="194"/>
      <c r="J228" s="194"/>
      <c r="K228" s="199" t="s">
        <v>102</v>
      </c>
      <c r="L228" s="199" t="s">
        <v>2013</v>
      </c>
      <c r="M228" s="193"/>
      <c r="N228" s="193"/>
      <c r="O228" s="193"/>
      <c r="P228" s="193"/>
      <c r="Q228" s="200"/>
      <c r="R228" s="86"/>
      <c r="S228" s="114">
        <f t="shared" ref="S228:T228" si="229">A228</f>
        <v>227</v>
      </c>
      <c r="T228" s="114" t="str">
        <f t="shared" si="229"/>
        <v>نیما نعیمی‌خواه</v>
      </c>
      <c r="U228" s="86" t="str">
        <f t="shared" si="3"/>
        <v>09124337301</v>
      </c>
      <c r="V228" s="86" t="str">
        <f t="shared" si="4"/>
        <v>پیش‌وایی 2</v>
      </c>
      <c r="W228" s="86"/>
      <c r="X228" s="86"/>
    </row>
    <row r="229">
      <c r="A229" s="201">
        <v>228.0</v>
      </c>
      <c r="B229" s="202" t="s">
        <v>2014</v>
      </c>
      <c r="C229" s="203" t="s">
        <v>2015</v>
      </c>
      <c r="D229" s="204" t="str">
        <f>IFERROR(__xludf.DUMMYFUNCTION("ARRAYFORMULA(LET( converted, SUBSTITUTE( SUBSTITUTE( SUBSTITUTE( SUBSTITUTE( SUBSTITUTE( SUBSTITUTE( SUBSTITUTE( SUBSTITUTE( SUBSTITUTE( SUBSTITUTE( C229, ""۰"", ""0""), ""۱"", ""1""), ""۲"", ""2""), ""۳"", ""3""), ""۴"", ""4""), ""۵"", ""5""), ""۶"", ""6"&amp;"""), ""۷"", ""7""), ""۸"", ""8""), ""۹"", ""9""), IF(LEFT(converted,3)=""+98"", ""0"" &amp; RIGHT(converted, LEN(converted)-3), IF(LEFT(converted,2)=""98"", ""0"" &amp; RIGHT(converted, LEN(converted)-2), IF(LEFT(converted,1)&lt;&gt;""0"", ""0"" &amp; converted, REGEXREPLA"&amp;"CE(converted , ""\s"", """")) ) ) ) )"),"09192065596")</f>
        <v>09192065596</v>
      </c>
      <c r="E229" s="205" t="s">
        <v>17</v>
      </c>
      <c r="F229" s="206">
        <v>2.0</v>
      </c>
      <c r="G229" s="202"/>
      <c r="H229" s="209" t="s">
        <v>2016</v>
      </c>
      <c r="I229" s="203"/>
      <c r="J229" s="203" t="s">
        <v>2017</v>
      </c>
      <c r="K229" s="207" t="s">
        <v>2018</v>
      </c>
      <c r="L229" s="207" t="s">
        <v>2019</v>
      </c>
      <c r="M229" s="202"/>
      <c r="N229" s="202"/>
      <c r="O229" s="202"/>
      <c r="P229" s="202"/>
      <c r="Q229" s="208"/>
      <c r="R229" s="86"/>
      <c r="S229" s="114">
        <f t="shared" ref="S229:T229" si="230">A229</f>
        <v>228</v>
      </c>
      <c r="T229" s="114" t="str">
        <f t="shared" si="230"/>
        <v>آذین بی همتا</v>
      </c>
      <c r="U229" s="86" t="str">
        <f t="shared" si="3"/>
        <v>09192065596</v>
      </c>
      <c r="V229" s="86" t="str">
        <f t="shared" si="4"/>
        <v>پیش‌وایی 2</v>
      </c>
      <c r="W229" s="86"/>
      <c r="X229" s="86"/>
    </row>
    <row r="230">
      <c r="A230" s="192">
        <v>229.0</v>
      </c>
      <c r="B230" s="193" t="s">
        <v>2020</v>
      </c>
      <c r="C230" s="194" t="s">
        <v>2021</v>
      </c>
      <c r="D230" s="195" t="str">
        <f>IFERROR(__xludf.DUMMYFUNCTION("ARRAYFORMULA(LET( converted, SUBSTITUTE( SUBSTITUTE( SUBSTITUTE( SUBSTITUTE( SUBSTITUTE( SUBSTITUTE( SUBSTITUTE( SUBSTITUTE( SUBSTITUTE( SUBSTITUTE( C230, ""۰"", ""0""), ""۱"", ""1""), ""۲"", ""2""), ""۳"", ""3""), ""۴"", ""4""), ""۵"", ""5""), ""۶"", ""6"&amp;"""), ""۷"", ""7""), ""۸"", ""8""), ""۹"", ""9""), IF(LEFT(converted,3)=""+98"", ""0"" &amp; RIGHT(converted, LEN(converted)-3), IF(LEFT(converted,2)=""98"", ""0"" &amp; RIGHT(converted, LEN(converted)-2), IF(LEFT(converted,1)&lt;&gt;""0"", ""0"" &amp; converted, REGEXREPLA"&amp;"CE(converted , ""\s"", """")) ) ) ) )"),"09122487256")</f>
        <v>09122487256</v>
      </c>
      <c r="E230" s="196" t="s">
        <v>17</v>
      </c>
      <c r="F230" s="197">
        <v>2.0</v>
      </c>
      <c r="G230" s="193"/>
      <c r="H230" s="193" t="s">
        <v>2008</v>
      </c>
      <c r="I230" s="194"/>
      <c r="J230" s="194"/>
      <c r="K230" s="199" t="s">
        <v>2022</v>
      </c>
      <c r="L230" s="199" t="s">
        <v>2023</v>
      </c>
      <c r="M230" s="193"/>
      <c r="N230" s="193"/>
      <c r="O230" s="193"/>
      <c r="P230" s="193"/>
      <c r="Q230" s="200"/>
      <c r="R230" s="86"/>
      <c r="S230" s="114">
        <f t="shared" ref="S230:T230" si="231">A230</f>
        <v>229</v>
      </c>
      <c r="T230" s="114" t="str">
        <f t="shared" si="231"/>
        <v>افشین حدیدی</v>
      </c>
      <c r="U230" s="86" t="str">
        <f t="shared" si="3"/>
        <v>09122487256</v>
      </c>
      <c r="V230" s="86" t="str">
        <f t="shared" si="4"/>
        <v>پیش‌وایی 2</v>
      </c>
      <c r="W230" s="86"/>
      <c r="X230" s="86"/>
    </row>
    <row r="231">
      <c r="A231" s="201">
        <v>230.0</v>
      </c>
      <c r="B231" s="202" t="s">
        <v>2024</v>
      </c>
      <c r="C231" s="203" t="s">
        <v>2025</v>
      </c>
      <c r="D231" s="204" t="str">
        <f>IFERROR(__xludf.DUMMYFUNCTION("ARRAYFORMULA(LET( converted, SUBSTITUTE( SUBSTITUTE( SUBSTITUTE( SUBSTITUTE( SUBSTITUTE( SUBSTITUTE( SUBSTITUTE( SUBSTITUTE( SUBSTITUTE( SUBSTITUTE( C231, ""۰"", ""0""), ""۱"", ""1""), ""۲"", ""2""), ""۳"", ""3""), ""۴"", ""4""), ""۵"", ""5""), ""۶"", ""6"&amp;"""), ""۷"", ""7""), ""۸"", ""8""), ""۹"", ""9""), IF(LEFT(converted,3)=""+98"", ""0"" &amp; RIGHT(converted, LEN(converted)-3), IF(LEFT(converted,2)=""98"", ""0"" &amp; RIGHT(converted, LEN(converted)-2), IF(LEFT(converted,1)&lt;&gt;""0"", ""0"" &amp; converted, REGEXREPLA"&amp;"CE(converted , ""\s"", """")) ) ) ) )"),"09124147140")</f>
        <v>09124147140</v>
      </c>
      <c r="E231" s="205" t="s">
        <v>17</v>
      </c>
      <c r="F231" s="206">
        <v>2.0</v>
      </c>
      <c r="G231" s="202"/>
      <c r="H231" s="202" t="s">
        <v>2026</v>
      </c>
      <c r="I231" s="203"/>
      <c r="J231" s="203"/>
      <c r="K231" s="207" t="s">
        <v>1248</v>
      </c>
      <c r="L231" s="207" t="s">
        <v>2027</v>
      </c>
      <c r="M231" s="202"/>
      <c r="N231" s="202"/>
      <c r="O231" s="202"/>
      <c r="P231" s="202"/>
      <c r="Q231" s="208"/>
      <c r="R231" s="86"/>
      <c r="S231" s="114">
        <f t="shared" ref="S231:T231" si="232">A231</f>
        <v>230</v>
      </c>
      <c r="T231" s="114" t="str">
        <f t="shared" si="232"/>
        <v>جواد پاکدامن</v>
      </c>
      <c r="U231" s="86" t="str">
        <f t="shared" si="3"/>
        <v>09124147140</v>
      </c>
      <c r="V231" s="86" t="str">
        <f t="shared" si="4"/>
        <v>پیش‌وایی 2</v>
      </c>
      <c r="W231" s="86"/>
      <c r="X231" s="86"/>
    </row>
    <row r="232">
      <c r="A232" s="192">
        <v>231.0</v>
      </c>
      <c r="B232" s="193" t="s">
        <v>2028</v>
      </c>
      <c r="C232" s="194" t="s">
        <v>2029</v>
      </c>
      <c r="D232" s="195" t="str">
        <f>IFERROR(__xludf.DUMMYFUNCTION("ARRAYFORMULA(LET( converted, SUBSTITUTE( SUBSTITUTE( SUBSTITUTE( SUBSTITUTE( SUBSTITUTE( SUBSTITUTE( SUBSTITUTE( SUBSTITUTE( SUBSTITUTE( SUBSTITUTE( C232, ""۰"", ""0""), ""۱"", ""1""), ""۲"", ""2""), ""۳"", ""3""), ""۴"", ""4""), ""۵"", ""5""), ""۶"", ""6"&amp;"""), ""۷"", ""7""), ""۸"", ""8""), ""۹"", ""9""), IF(LEFT(converted,3)=""+98"", ""0"" &amp; RIGHT(converted, LEN(converted)-3), IF(LEFT(converted,2)=""98"", ""0"" &amp; RIGHT(converted, LEN(converted)-2), IF(LEFT(converted,1)&lt;&gt;""0"", ""0"" &amp; converted, REGEXREPLA"&amp;"CE(converted , ""\s"", """")) ) ) ) )"),"09364658668")</f>
        <v>09364658668</v>
      </c>
      <c r="E232" s="196" t="s">
        <v>17</v>
      </c>
      <c r="F232" s="197">
        <v>2.0</v>
      </c>
      <c r="G232" s="193"/>
      <c r="H232" s="193" t="s">
        <v>2030</v>
      </c>
      <c r="I232" s="194"/>
      <c r="J232" s="194"/>
      <c r="K232" s="199" t="s">
        <v>1704</v>
      </c>
      <c r="L232" s="199" t="s">
        <v>2031</v>
      </c>
      <c r="M232" s="193"/>
      <c r="N232" s="193"/>
      <c r="O232" s="193"/>
      <c r="P232" s="193"/>
      <c r="Q232" s="200"/>
      <c r="R232" s="86"/>
      <c r="S232" s="114">
        <f t="shared" ref="S232:T232" si="233">A232</f>
        <v>231</v>
      </c>
      <c r="T232" s="114" t="str">
        <f t="shared" si="233"/>
        <v>امید رحمتی</v>
      </c>
      <c r="U232" s="86" t="str">
        <f t="shared" si="3"/>
        <v>09364658668</v>
      </c>
      <c r="V232" s="86" t="str">
        <f t="shared" si="4"/>
        <v>پیش‌وایی 2</v>
      </c>
      <c r="W232" s="86"/>
      <c r="X232" s="86"/>
    </row>
    <row r="233">
      <c r="A233" s="201">
        <v>232.0</v>
      </c>
      <c r="B233" s="202" t="s">
        <v>2032</v>
      </c>
      <c r="C233" s="203" t="s">
        <v>2033</v>
      </c>
      <c r="D233" s="204" t="str">
        <f>IFERROR(__xludf.DUMMYFUNCTION("ARRAYFORMULA(LET( converted, SUBSTITUTE( SUBSTITUTE( SUBSTITUTE( SUBSTITUTE( SUBSTITUTE( SUBSTITUTE( SUBSTITUTE( SUBSTITUTE( SUBSTITUTE( SUBSTITUTE( C233, ""۰"", ""0""), ""۱"", ""1""), ""۲"", ""2""), ""۳"", ""3""), ""۴"", ""4""), ""۵"", ""5""), ""۶"", ""6"&amp;"""), ""۷"", ""7""), ""۸"", ""8""), ""۹"", ""9""), IF(LEFT(converted,3)=""+98"", ""0"" &amp; RIGHT(converted, LEN(converted)-3), IF(LEFT(converted,2)=""98"", ""0"" &amp; RIGHT(converted, LEN(converted)-2), IF(LEFT(converted,1)&lt;&gt;""0"", ""0"" &amp; converted, REGEXREPLA"&amp;"CE(converted , ""\s"", """")) ) ) ) )"),"09124843386")</f>
        <v>09124843386</v>
      </c>
      <c r="E233" s="205" t="s">
        <v>17</v>
      </c>
      <c r="F233" s="206">
        <v>2.0</v>
      </c>
      <c r="G233" s="202"/>
      <c r="H233" s="202" t="s">
        <v>2034</v>
      </c>
      <c r="I233" s="203"/>
      <c r="J233" s="203"/>
      <c r="K233" s="207" t="s">
        <v>2035</v>
      </c>
      <c r="L233" s="207" t="s">
        <v>1600</v>
      </c>
      <c r="M233" s="202"/>
      <c r="N233" s="202"/>
      <c r="O233" s="202"/>
      <c r="P233" s="202"/>
      <c r="Q233" s="208"/>
      <c r="R233" s="86"/>
      <c r="S233" s="114">
        <f t="shared" ref="S233:T233" si="234">A233</f>
        <v>232</v>
      </c>
      <c r="T233" s="114" t="str">
        <f t="shared" si="234"/>
        <v>نرگس شریفی</v>
      </c>
      <c r="U233" s="86" t="str">
        <f t="shared" si="3"/>
        <v>09124843386</v>
      </c>
      <c r="V233" s="86" t="str">
        <f t="shared" si="4"/>
        <v>پیش‌وایی 2</v>
      </c>
      <c r="W233" s="86"/>
      <c r="X233" s="86"/>
    </row>
    <row r="234">
      <c r="A234" s="192">
        <v>233.0</v>
      </c>
      <c r="B234" s="193" t="s">
        <v>2036</v>
      </c>
      <c r="C234" s="194" t="s">
        <v>2037</v>
      </c>
      <c r="D234" s="195" t="str">
        <f>IFERROR(__xludf.DUMMYFUNCTION("ARRAYFORMULA(LET( converted, SUBSTITUTE( SUBSTITUTE( SUBSTITUTE( SUBSTITUTE( SUBSTITUTE( SUBSTITUTE( SUBSTITUTE( SUBSTITUTE( SUBSTITUTE( SUBSTITUTE( C234, ""۰"", ""0""), ""۱"", ""1""), ""۲"", ""2""), ""۳"", ""3""), ""۴"", ""4""), ""۵"", ""5""), ""۶"", ""6"&amp;"""), ""۷"", ""7""), ""۸"", ""8""), ""۹"", ""9""), IF(LEFT(converted,3)=""+98"", ""0"" &amp; RIGHT(converted, LEN(converted)-3), IF(LEFT(converted,2)=""98"", ""0"" &amp; RIGHT(converted, LEN(converted)-2), IF(LEFT(converted,1)&lt;&gt;""0"", ""0"" &amp; converted, REGEXREPLA"&amp;"CE(converted , ""\s"", """")) ) ) ) )"),"09122623715")</f>
        <v>09122623715</v>
      </c>
      <c r="E234" s="196" t="s">
        <v>17</v>
      </c>
      <c r="F234" s="197">
        <v>2.0</v>
      </c>
      <c r="G234" s="193"/>
      <c r="H234" s="193" t="s">
        <v>2038</v>
      </c>
      <c r="I234" s="194"/>
      <c r="J234" s="194" t="s">
        <v>2039</v>
      </c>
      <c r="K234" s="199" t="s">
        <v>1248</v>
      </c>
      <c r="L234" s="199" t="s">
        <v>2040</v>
      </c>
      <c r="M234" s="193"/>
      <c r="N234" s="193"/>
      <c r="O234" s="193"/>
      <c r="P234" s="193"/>
      <c r="Q234" s="200"/>
      <c r="R234" s="86"/>
      <c r="S234" s="114">
        <f t="shared" ref="S234:T234" si="235">A234</f>
        <v>233</v>
      </c>
      <c r="T234" s="114" t="str">
        <f t="shared" si="235"/>
        <v>جواد عربلو</v>
      </c>
      <c r="U234" s="86" t="str">
        <f t="shared" si="3"/>
        <v>09122623715</v>
      </c>
      <c r="V234" s="86" t="str">
        <f t="shared" si="4"/>
        <v>پیش‌وایی 2</v>
      </c>
      <c r="W234" s="86"/>
      <c r="X234" s="86"/>
    </row>
    <row r="235">
      <c r="A235" s="201">
        <v>234.0</v>
      </c>
      <c r="B235" s="202" t="s">
        <v>2041</v>
      </c>
      <c r="C235" s="203" t="s">
        <v>2042</v>
      </c>
      <c r="D235" s="204" t="str">
        <f>IFERROR(__xludf.DUMMYFUNCTION("ARRAYFORMULA(LET( converted, SUBSTITUTE( SUBSTITUTE( SUBSTITUTE( SUBSTITUTE( SUBSTITUTE( SUBSTITUTE( SUBSTITUTE( SUBSTITUTE( SUBSTITUTE( SUBSTITUTE( C235, ""۰"", ""0""), ""۱"", ""1""), ""۲"", ""2""), ""۳"", ""3""), ""۴"", ""4""), ""۵"", ""5""), ""۶"", ""6"&amp;"""), ""۷"", ""7""), ""۸"", ""8""), ""۹"", ""9""), IF(LEFT(converted,3)=""+98"", ""0"" &amp; RIGHT(converted, LEN(converted)-3), IF(LEFT(converted,2)=""98"", ""0"" &amp; RIGHT(converted, LEN(converted)-2), IF(LEFT(converted,1)&lt;&gt;""0"", ""0"" &amp; converted, REGEXREPLA"&amp;"CE(converted , ""\s"", """")) ) ) ) )"),"09123685485")</f>
        <v>09123685485</v>
      </c>
      <c r="E235" s="205" t="s">
        <v>17</v>
      </c>
      <c r="F235" s="206">
        <v>2.0</v>
      </c>
      <c r="G235" s="202"/>
      <c r="H235" s="202" t="s">
        <v>2043</v>
      </c>
      <c r="I235" s="203"/>
      <c r="J235" s="203"/>
      <c r="K235" s="207" t="s">
        <v>2044</v>
      </c>
      <c r="L235" s="207" t="s">
        <v>2045</v>
      </c>
      <c r="M235" s="202"/>
      <c r="N235" s="202"/>
      <c r="O235" s="202"/>
      <c r="P235" s="202"/>
      <c r="Q235" s="208"/>
      <c r="R235" s="86"/>
      <c r="S235" s="114">
        <f t="shared" ref="S235:T235" si="236">A235</f>
        <v>234</v>
      </c>
      <c r="T235" s="114" t="str">
        <f t="shared" si="236"/>
        <v>نسرین منوری</v>
      </c>
      <c r="U235" s="86" t="str">
        <f t="shared" si="3"/>
        <v>09123685485</v>
      </c>
      <c r="V235" s="86" t="str">
        <f t="shared" si="4"/>
        <v>پیش‌وایی 2</v>
      </c>
      <c r="W235" s="86"/>
      <c r="X235" s="86"/>
    </row>
    <row r="236">
      <c r="A236" s="192">
        <v>235.0</v>
      </c>
      <c r="B236" s="193" t="s">
        <v>2046</v>
      </c>
      <c r="C236" s="194" t="s">
        <v>2047</v>
      </c>
      <c r="D236" s="195" t="str">
        <f>IFERROR(__xludf.DUMMYFUNCTION("ARRAYFORMULA(LET( converted, SUBSTITUTE( SUBSTITUTE( SUBSTITUTE( SUBSTITUTE( SUBSTITUTE( SUBSTITUTE( SUBSTITUTE( SUBSTITUTE( SUBSTITUTE( SUBSTITUTE( C236, ""۰"", ""0""), ""۱"", ""1""), ""۲"", ""2""), ""۳"", ""3""), ""۴"", ""4""), ""۵"", ""5""), ""۶"", ""6"&amp;"""), ""۷"", ""7""), ""۸"", ""8""), ""۹"", ""9""), IF(LEFT(converted,3)=""+98"", ""0"" &amp; RIGHT(converted, LEN(converted)-3), IF(LEFT(converted,2)=""98"", ""0"" &amp; RIGHT(converted, LEN(converted)-2), IF(LEFT(converted,1)&lt;&gt;""0"", ""0"" &amp; converted, REGEXREPLA"&amp;"CE(converted , ""\s"", """")) ) ) ) )"),"09352449300")</f>
        <v>09352449300</v>
      </c>
      <c r="E236" s="196" t="s">
        <v>17</v>
      </c>
      <c r="F236" s="197">
        <v>2.0</v>
      </c>
      <c r="G236" s="193"/>
      <c r="H236" s="193" t="s">
        <v>2048</v>
      </c>
      <c r="I236" s="194"/>
      <c r="J236" s="194"/>
      <c r="K236" s="199" t="s">
        <v>2049</v>
      </c>
      <c r="L236" s="199" t="s">
        <v>2050</v>
      </c>
      <c r="M236" s="193"/>
      <c r="N236" s="193"/>
      <c r="O236" s="193"/>
      <c r="P236" s="193"/>
      <c r="Q236" s="200"/>
      <c r="R236" s="86"/>
      <c r="S236" s="114">
        <f t="shared" ref="S236:T236" si="237">A236</f>
        <v>235</v>
      </c>
      <c r="T236" s="114" t="str">
        <f t="shared" si="237"/>
        <v>سلیمه محفوظی</v>
      </c>
      <c r="U236" s="86" t="str">
        <f t="shared" si="3"/>
        <v>09352449300</v>
      </c>
      <c r="V236" s="86" t="str">
        <f t="shared" si="4"/>
        <v>پیش‌وایی 2</v>
      </c>
      <c r="W236" s="86"/>
      <c r="X236" s="86"/>
    </row>
    <row r="237">
      <c r="A237" s="201">
        <v>236.0</v>
      </c>
      <c r="B237" s="202" t="s">
        <v>1192</v>
      </c>
      <c r="C237" s="203" t="s">
        <v>1193</v>
      </c>
      <c r="D237" s="204" t="str">
        <f>IFERROR(__xludf.DUMMYFUNCTION("ARRAYFORMULA(LET( converted, SUBSTITUTE( SUBSTITUTE( SUBSTITUTE( SUBSTITUTE( SUBSTITUTE( SUBSTITUTE( SUBSTITUTE( SUBSTITUTE( SUBSTITUTE( SUBSTITUTE( C237, ""۰"", ""0""), ""۱"", ""1""), ""۲"", ""2""), ""۳"", ""3""), ""۴"", ""4""), ""۵"", ""5""), ""۶"", ""6"&amp;"""), ""۷"", ""7""), ""۸"", ""8""), ""۹"", ""9""), IF(LEFT(converted,3)=""+98"", ""0"" &amp; RIGHT(converted, LEN(converted)-3), IF(LEFT(converted,2)=""98"", ""0"" &amp; RIGHT(converted, LEN(converted)-2), IF(LEFT(converted,1)&lt;&gt;""0"", ""0"" &amp; converted, REGEXREPLA"&amp;"CE(converted , ""\s"", """")) ) ) ) )"),"09124109104")</f>
        <v>09124109104</v>
      </c>
      <c r="E237" s="205" t="s">
        <v>17</v>
      </c>
      <c r="F237" s="206">
        <v>2.0</v>
      </c>
      <c r="G237" s="202"/>
      <c r="H237" s="202" t="s">
        <v>1194</v>
      </c>
      <c r="I237" s="203"/>
      <c r="J237" s="203" t="s">
        <v>1195</v>
      </c>
      <c r="K237" s="207" t="s">
        <v>896</v>
      </c>
      <c r="L237" s="207" t="s">
        <v>1196</v>
      </c>
      <c r="M237" s="202"/>
      <c r="N237" s="202"/>
      <c r="O237" s="202"/>
      <c r="P237" s="202"/>
      <c r="Q237" s="208"/>
      <c r="R237" s="86"/>
      <c r="S237" s="114">
        <f t="shared" ref="S237:T237" si="238">A237</f>
        <v>236</v>
      </c>
      <c r="T237" s="114" t="str">
        <f t="shared" si="238"/>
        <v>حسین اخباریه</v>
      </c>
      <c r="U237" s="86" t="str">
        <f t="shared" si="3"/>
        <v>09124109104</v>
      </c>
      <c r="V237" s="86" t="str">
        <f t="shared" si="4"/>
        <v>پیش‌وایی 2</v>
      </c>
      <c r="W237" s="86"/>
      <c r="X237" s="86"/>
    </row>
    <row r="238">
      <c r="A238" s="192">
        <v>237.0</v>
      </c>
      <c r="B238" s="193" t="s">
        <v>2051</v>
      </c>
      <c r="C238" s="194" t="s">
        <v>2052</v>
      </c>
      <c r="D238" s="195" t="str">
        <f>IFERROR(__xludf.DUMMYFUNCTION("ARRAYFORMULA(LET( converted, SUBSTITUTE( SUBSTITUTE( SUBSTITUTE( SUBSTITUTE( SUBSTITUTE( SUBSTITUTE( SUBSTITUTE( SUBSTITUTE( SUBSTITUTE( SUBSTITUTE( C238, ""۰"", ""0""), ""۱"", ""1""), ""۲"", ""2""), ""۳"", ""3""), ""۴"", ""4""), ""۵"", ""5""), ""۶"", ""6"&amp;"""), ""۷"", ""7""), ""۸"", ""8""), ""۹"", ""9""), IF(LEFT(converted,3)=""+98"", ""0"" &amp; RIGHT(converted, LEN(converted)-3), IF(LEFT(converted,2)=""98"", ""0"" &amp; RIGHT(converted, LEN(converted)-2), IF(LEFT(converted,1)&lt;&gt;""0"", ""0"" &amp; converted, REGEXREPLA"&amp;"CE(converted , ""\s"", """")) ) ) ) )"),"09373358797")</f>
        <v>09373358797</v>
      </c>
      <c r="E238" s="196" t="s">
        <v>17</v>
      </c>
      <c r="F238" s="197">
        <v>2.0</v>
      </c>
      <c r="G238" s="193"/>
      <c r="H238" s="193" t="s">
        <v>2053</v>
      </c>
      <c r="I238" s="194"/>
      <c r="J238" s="194" t="s">
        <v>2054</v>
      </c>
      <c r="K238" s="199" t="s">
        <v>1543</v>
      </c>
      <c r="L238" s="199" t="s">
        <v>2055</v>
      </c>
      <c r="M238" s="193"/>
      <c r="N238" s="193"/>
      <c r="O238" s="193"/>
      <c r="P238" s="193"/>
      <c r="Q238" s="200"/>
      <c r="R238" s="86"/>
      <c r="S238" s="114">
        <f t="shared" ref="S238:T238" si="239">A238</f>
        <v>237</v>
      </c>
      <c r="T238" s="114" t="str">
        <f t="shared" si="239"/>
        <v>مجتبی چنانی</v>
      </c>
      <c r="U238" s="86" t="str">
        <f t="shared" si="3"/>
        <v>09373358797</v>
      </c>
      <c r="V238" s="86" t="str">
        <f t="shared" si="4"/>
        <v>پیش‌وایی 2</v>
      </c>
      <c r="W238" s="86"/>
      <c r="X238" s="86"/>
    </row>
    <row r="239">
      <c r="A239" s="201">
        <v>238.0</v>
      </c>
      <c r="B239" s="202" t="s">
        <v>2056</v>
      </c>
      <c r="C239" s="210" t="s">
        <v>2057</v>
      </c>
      <c r="D239" s="204" t="str">
        <f>IFERROR(__xludf.DUMMYFUNCTION("ARRAYFORMULA(LET( converted, SUBSTITUTE( SUBSTITUTE( SUBSTITUTE( SUBSTITUTE( SUBSTITUTE( SUBSTITUTE( SUBSTITUTE( SUBSTITUTE( SUBSTITUTE( SUBSTITUTE( C239, ""۰"", ""0""), ""۱"", ""1""), ""۲"", ""2""), ""۳"", ""3""), ""۴"", ""4""), ""۵"", ""5""), ""۶"", ""6"&amp;"""), ""۷"", ""7""), ""۸"", ""8""), ""۹"", ""9""), IF(LEFT(converted,3)=""+98"", ""0"" &amp; RIGHT(converted, LEN(converted)-3), IF(LEFT(converted,2)=""98"", ""0"" &amp; RIGHT(converted, LEN(converted)-2), IF(LEFT(converted,1)&lt;&gt;""0"", ""0"" &amp; converted, REGEXREPLA"&amp;"CE(converted , ""\s"", """")) ) ) ) )"),"09398465449")</f>
        <v>09398465449</v>
      </c>
      <c r="E239" s="205" t="s">
        <v>17</v>
      </c>
      <c r="F239" s="206">
        <v>2.0</v>
      </c>
      <c r="G239" s="202"/>
      <c r="H239" s="202"/>
      <c r="I239" s="203"/>
      <c r="J239" s="203"/>
      <c r="K239" s="207" t="s">
        <v>2058</v>
      </c>
      <c r="L239" s="207" t="s">
        <v>2059</v>
      </c>
      <c r="M239" s="202"/>
      <c r="N239" s="202"/>
      <c r="O239" s="202"/>
      <c r="P239" s="202"/>
      <c r="Q239" s="208"/>
      <c r="R239" s="86"/>
      <c r="S239" s="114">
        <f t="shared" ref="S239:T239" si="240">A239</f>
        <v>238</v>
      </c>
      <c r="T239" s="114" t="str">
        <f t="shared" si="240"/>
        <v>حیفا دورقی</v>
      </c>
      <c r="U239" s="86" t="str">
        <f t="shared" si="3"/>
        <v>09398465449</v>
      </c>
      <c r="V239" s="86" t="str">
        <f t="shared" si="4"/>
        <v>پیش‌وایی 2</v>
      </c>
      <c r="W239" s="86"/>
      <c r="X239" s="86"/>
    </row>
    <row r="240">
      <c r="A240" s="192">
        <v>239.0</v>
      </c>
      <c r="B240" s="193" t="s">
        <v>2060</v>
      </c>
      <c r="C240" s="194" t="s">
        <v>2061</v>
      </c>
      <c r="D240" s="195" t="str">
        <f>IFERROR(__xludf.DUMMYFUNCTION("ARRAYFORMULA(LET( converted, SUBSTITUTE( SUBSTITUTE( SUBSTITUTE( SUBSTITUTE( SUBSTITUTE( SUBSTITUTE( SUBSTITUTE( SUBSTITUTE( SUBSTITUTE( SUBSTITUTE( C240, ""۰"", ""0""), ""۱"", ""1""), ""۲"", ""2""), ""۳"", ""3""), ""۴"", ""4""), ""۵"", ""5""), ""۶"", ""6"&amp;"""), ""۷"", ""7""), ""۸"", ""8""), ""۹"", ""9""), IF(LEFT(converted,3)=""+98"", ""0"" &amp; RIGHT(converted, LEN(converted)-3), IF(LEFT(converted,2)=""98"", ""0"" &amp; RIGHT(converted, LEN(converted)-2), IF(LEFT(converted,1)&lt;&gt;""0"", ""0"" &amp; converted, REGEXREPLA"&amp;"CE(converted , ""\s"", """")) ) ) ) )"),"09120218166")</f>
        <v>09120218166</v>
      </c>
      <c r="E240" s="196" t="s">
        <v>17</v>
      </c>
      <c r="F240" s="197">
        <v>2.0</v>
      </c>
      <c r="G240" s="193"/>
      <c r="H240" s="193" t="s">
        <v>2062</v>
      </c>
      <c r="I240" s="194"/>
      <c r="J240" s="194" t="s">
        <v>2063</v>
      </c>
      <c r="K240" s="199" t="s">
        <v>202</v>
      </c>
      <c r="L240" s="199" t="s">
        <v>2064</v>
      </c>
      <c r="M240" s="193"/>
      <c r="N240" s="193"/>
      <c r="O240" s="193"/>
      <c r="P240" s="193"/>
      <c r="Q240" s="200"/>
      <c r="R240" s="86"/>
      <c r="S240" s="114">
        <f t="shared" ref="S240:T240" si="241">A240</f>
        <v>239</v>
      </c>
      <c r="T240" s="114" t="str">
        <f t="shared" si="241"/>
        <v>ستاره هاشمی علیا</v>
      </c>
      <c r="U240" s="86" t="str">
        <f t="shared" si="3"/>
        <v>09120218166</v>
      </c>
      <c r="V240" s="86" t="str">
        <f t="shared" si="4"/>
        <v>پیش‌وایی 2</v>
      </c>
      <c r="W240" s="86"/>
      <c r="X240" s="86"/>
    </row>
    <row r="241">
      <c r="A241" s="201">
        <v>240.0</v>
      </c>
      <c r="B241" s="202" t="s">
        <v>2065</v>
      </c>
      <c r="C241" s="203" t="s">
        <v>1464</v>
      </c>
      <c r="D241" s="204" t="str">
        <f>IFERROR(__xludf.DUMMYFUNCTION("ARRAYFORMULA(LET( converted, SUBSTITUTE( SUBSTITUTE( SUBSTITUTE( SUBSTITUTE( SUBSTITUTE( SUBSTITUTE( SUBSTITUTE( SUBSTITUTE( SUBSTITUTE( SUBSTITUTE( C241, ""۰"", ""0""), ""۱"", ""1""), ""۲"", ""2""), ""۳"", ""3""), ""۴"", ""4""), ""۵"", ""5""), ""۶"", ""6"&amp;"""), ""۷"", ""7""), ""۸"", ""8""), ""۹"", ""9""), IF(LEFT(converted,3)=""+98"", ""0"" &amp; RIGHT(converted, LEN(converted)-3), IF(LEFT(converted,2)=""98"", ""0"" &amp; RIGHT(converted, LEN(converted)-2), IF(LEFT(converted,1)&lt;&gt;""0"", ""0"" &amp; converted, REGEXREPLA"&amp;"CE(converted , ""\s"", """")) ) ) ) )"),"09123441962")</f>
        <v>09123441962</v>
      </c>
      <c r="E241" s="205" t="s">
        <v>17</v>
      </c>
      <c r="F241" s="206">
        <v>2.0</v>
      </c>
      <c r="G241" s="202"/>
      <c r="H241" s="202" t="s">
        <v>1465</v>
      </c>
      <c r="I241" s="203"/>
      <c r="J241" s="203" t="s">
        <v>2066</v>
      </c>
      <c r="K241" s="207" t="s">
        <v>1466</v>
      </c>
      <c r="L241" s="207" t="s">
        <v>2067</v>
      </c>
      <c r="M241" s="202"/>
      <c r="N241" s="202"/>
      <c r="O241" s="202"/>
      <c r="P241" s="202"/>
      <c r="Q241" s="208"/>
      <c r="R241" s="86"/>
      <c r="S241" s="114">
        <f t="shared" ref="S241:T241" si="242">A241</f>
        <v>240</v>
      </c>
      <c r="T241" s="114" t="str">
        <f t="shared" si="242"/>
        <v>امیرعلی حسین‌خان</v>
      </c>
      <c r="U241" s="86" t="str">
        <f t="shared" si="3"/>
        <v>09123441962</v>
      </c>
      <c r="V241" s="86" t="str">
        <f t="shared" si="4"/>
        <v>پیش‌وایی 2</v>
      </c>
      <c r="W241" s="86"/>
      <c r="X241" s="86"/>
    </row>
    <row r="242">
      <c r="A242" s="192">
        <v>241.0</v>
      </c>
      <c r="B242" s="193" t="s">
        <v>2068</v>
      </c>
      <c r="C242" s="194" t="s">
        <v>2069</v>
      </c>
      <c r="D242" s="195" t="str">
        <f>IFERROR(__xludf.DUMMYFUNCTION("ARRAYFORMULA(LET( converted, SUBSTITUTE( SUBSTITUTE( SUBSTITUTE( SUBSTITUTE( SUBSTITUTE( SUBSTITUTE( SUBSTITUTE( SUBSTITUTE( SUBSTITUTE( SUBSTITUTE( C242, ""۰"", ""0""), ""۱"", ""1""), ""۲"", ""2""), ""۳"", ""3""), ""۴"", ""4""), ""۵"", ""5""), ""۶"", ""6"&amp;"""), ""۷"", ""7""), ""۸"", ""8""), ""۹"", ""9""), IF(LEFT(converted,3)=""+98"", ""0"" &amp; RIGHT(converted, LEN(converted)-3), IF(LEFT(converted,2)=""98"", ""0"" &amp; RIGHT(converted, LEN(converted)-2), IF(LEFT(converted,1)&lt;&gt;""0"", ""0"" &amp; converted, REGEXREPLA"&amp;"CE(converted , ""\s"", """")) ) ) ) )"),"09199355646")</f>
        <v>09199355646</v>
      </c>
      <c r="E242" s="196" t="s">
        <v>17</v>
      </c>
      <c r="F242" s="197">
        <v>2.0</v>
      </c>
      <c r="G242" s="193"/>
      <c r="H242" s="193" t="s">
        <v>2070</v>
      </c>
      <c r="I242" s="194"/>
      <c r="J242" s="194" t="s">
        <v>2071</v>
      </c>
      <c r="K242" s="199" t="s">
        <v>214</v>
      </c>
      <c r="L242" s="199" t="s">
        <v>1559</v>
      </c>
      <c r="M242" s="193"/>
      <c r="N242" s="193"/>
      <c r="O242" s="193"/>
      <c r="P242" s="193"/>
      <c r="Q242" s="200"/>
      <c r="R242" s="86"/>
      <c r="S242" s="114">
        <f t="shared" ref="S242:T242" si="243">A242</f>
        <v>241</v>
      </c>
      <c r="T242" s="114" t="str">
        <f t="shared" si="243"/>
        <v>بهاره اشرفی</v>
      </c>
      <c r="U242" s="86" t="str">
        <f t="shared" si="3"/>
        <v>09199355646</v>
      </c>
      <c r="V242" s="86" t="str">
        <f t="shared" si="4"/>
        <v>پیش‌وایی 2</v>
      </c>
      <c r="W242" s="86"/>
      <c r="X242" s="86"/>
    </row>
    <row r="243">
      <c r="A243" s="201">
        <v>242.0</v>
      </c>
      <c r="B243" s="202" t="s">
        <v>2072</v>
      </c>
      <c r="C243" s="210" t="s">
        <v>2073</v>
      </c>
      <c r="D243" s="204" t="str">
        <f>IFERROR(__xludf.DUMMYFUNCTION("ARRAYFORMULA(LET( converted, SUBSTITUTE( SUBSTITUTE( SUBSTITUTE( SUBSTITUTE( SUBSTITUTE( SUBSTITUTE( SUBSTITUTE( SUBSTITUTE( SUBSTITUTE( SUBSTITUTE( C243, ""۰"", ""0""), ""۱"", ""1""), ""۲"", ""2""), ""۳"", ""3""), ""۴"", ""4""), ""۵"", ""5""), ""۶"", ""6"&amp;"""), ""۷"", ""7""), ""۸"", ""8""), ""۹"", ""9""), IF(LEFT(converted,3)=""+98"", ""0"" &amp; RIGHT(converted, LEN(converted)-3), IF(LEFT(converted,2)=""98"", ""0"" &amp; RIGHT(converted, LEN(converted)-2), IF(LEFT(converted,1)&lt;&gt;""0"", ""0"" &amp; converted, REGEXREPLA"&amp;"CE(converted , ""\s"", """")) ) ) ) )"),"09121323741")</f>
        <v>09121323741</v>
      </c>
      <c r="E243" s="205" t="s">
        <v>17</v>
      </c>
      <c r="F243" s="206">
        <v>2.0</v>
      </c>
      <c r="G243" s="202"/>
      <c r="H243" s="202" t="s">
        <v>2074</v>
      </c>
      <c r="I243" s="203"/>
      <c r="J243" s="203" t="s">
        <v>2075</v>
      </c>
      <c r="K243" s="207" t="s">
        <v>2076</v>
      </c>
      <c r="L243" s="207" t="s">
        <v>2077</v>
      </c>
      <c r="M243" s="202"/>
      <c r="N243" s="202"/>
      <c r="O243" s="202"/>
      <c r="P243" s="202"/>
      <c r="Q243" s="208"/>
      <c r="R243" s="86"/>
      <c r="S243" s="114">
        <f t="shared" ref="S243:T243" si="244">A243</f>
        <v>242</v>
      </c>
      <c r="T243" s="114" t="str">
        <f t="shared" si="244"/>
        <v>مژگان نوری</v>
      </c>
      <c r="U243" s="86" t="str">
        <f t="shared" si="3"/>
        <v>09121323741</v>
      </c>
      <c r="V243" s="86" t="str">
        <f t="shared" si="4"/>
        <v>پیش‌وایی 2</v>
      </c>
      <c r="W243" s="86"/>
      <c r="X243" s="86"/>
    </row>
    <row r="244">
      <c r="A244" s="192">
        <v>243.0</v>
      </c>
      <c r="B244" s="193" t="s">
        <v>1130</v>
      </c>
      <c r="C244" s="194" t="s">
        <v>1131</v>
      </c>
      <c r="D244" s="195" t="str">
        <f>IFERROR(__xludf.DUMMYFUNCTION("ARRAYFORMULA(LET( converted, SUBSTITUTE( SUBSTITUTE( SUBSTITUTE( SUBSTITUTE( SUBSTITUTE( SUBSTITUTE( SUBSTITUTE( SUBSTITUTE( SUBSTITUTE( SUBSTITUTE( C244, ""۰"", ""0""), ""۱"", ""1""), ""۲"", ""2""), ""۳"", ""3""), ""۴"", ""4""), ""۵"", ""5""), ""۶"", ""6"&amp;"""), ""۷"", ""7""), ""۸"", ""8""), ""۹"", ""9""), IF(LEFT(converted,3)=""+98"", ""0"" &amp; RIGHT(converted, LEN(converted)-3), IF(LEFT(converted,2)=""98"", ""0"" &amp; RIGHT(converted, LEN(converted)-2), IF(LEFT(converted,1)&lt;&gt;""0"", ""0"" &amp; converted, REGEXREPLA"&amp;"CE(converted , ""\s"", """")) ) ) ) )"),"09120659108")</f>
        <v>09120659108</v>
      </c>
      <c r="E244" s="196" t="s">
        <v>17</v>
      </c>
      <c r="F244" s="197">
        <v>2.0</v>
      </c>
      <c r="G244" s="193"/>
      <c r="H244" s="193" t="s">
        <v>1132</v>
      </c>
      <c r="I244" s="194"/>
      <c r="J244" s="194" t="s">
        <v>1133</v>
      </c>
      <c r="K244" s="199" t="s">
        <v>1134</v>
      </c>
      <c r="L244" s="199" t="s">
        <v>1135</v>
      </c>
      <c r="M244" s="193"/>
      <c r="N244" s="193"/>
      <c r="O244" s="193"/>
      <c r="P244" s="193"/>
      <c r="Q244" s="200"/>
      <c r="R244" s="86"/>
      <c r="S244" s="114">
        <f t="shared" ref="S244:T244" si="245">A244</f>
        <v>243</v>
      </c>
      <c r="T244" s="114" t="str">
        <f t="shared" si="245"/>
        <v>پرنیان سیفی</v>
      </c>
      <c r="U244" s="86" t="str">
        <f t="shared" si="3"/>
        <v>09120659108</v>
      </c>
      <c r="V244" s="86" t="str">
        <f t="shared" si="4"/>
        <v>پیش‌وایی 2</v>
      </c>
      <c r="W244" s="86"/>
      <c r="X244" s="86"/>
    </row>
    <row r="245">
      <c r="A245" s="201">
        <v>244.0</v>
      </c>
      <c r="B245" s="202" t="s">
        <v>2078</v>
      </c>
      <c r="C245" s="203" t="s">
        <v>2079</v>
      </c>
      <c r="D245" s="204" t="str">
        <f>IFERROR(__xludf.DUMMYFUNCTION("ARRAYFORMULA(LET( converted, SUBSTITUTE( SUBSTITUTE( SUBSTITUTE( SUBSTITUTE( SUBSTITUTE( SUBSTITUTE( SUBSTITUTE( SUBSTITUTE( SUBSTITUTE( SUBSTITUTE( C245, ""۰"", ""0""), ""۱"", ""1""), ""۲"", ""2""), ""۳"", ""3""), ""۴"", ""4""), ""۵"", ""5""), ""۶"", ""6"&amp;"""), ""۷"", ""7""), ""۸"", ""8""), ""۹"", ""9""), IF(LEFT(converted,3)=""+98"", ""0"" &amp; RIGHT(converted, LEN(converted)-3), IF(LEFT(converted,2)=""98"", ""0"" &amp; RIGHT(converted, LEN(converted)-2), IF(LEFT(converted,1)&lt;&gt;""0"", ""0"" &amp; converted, REGEXREPLA"&amp;"CE(converted , ""\s"", """")) ) ) ) )"),"09121328677")</f>
        <v>09121328677</v>
      </c>
      <c r="E245" s="205" t="s">
        <v>17</v>
      </c>
      <c r="F245" s="206">
        <v>2.0</v>
      </c>
      <c r="G245" s="202"/>
      <c r="H245" s="202" t="s">
        <v>2080</v>
      </c>
      <c r="I245" s="203"/>
      <c r="J245" s="203" t="s">
        <v>2081</v>
      </c>
      <c r="K245" s="207" t="s">
        <v>1018</v>
      </c>
      <c r="L245" s="207" t="s">
        <v>2082</v>
      </c>
      <c r="M245" s="202"/>
      <c r="N245" s="202"/>
      <c r="O245" s="202"/>
      <c r="P245" s="202"/>
      <c r="Q245" s="208"/>
      <c r="R245" s="86"/>
      <c r="S245" s="114">
        <f t="shared" ref="S245:T245" si="246">A245</f>
        <v>244</v>
      </c>
      <c r="T245" s="114" t="str">
        <f t="shared" si="246"/>
        <v>علی روشن</v>
      </c>
      <c r="U245" s="86" t="str">
        <f t="shared" si="3"/>
        <v>09121328677</v>
      </c>
      <c r="V245" s="86" t="str">
        <f t="shared" si="4"/>
        <v>پیش‌وایی 2</v>
      </c>
      <c r="W245" s="86"/>
      <c r="X245" s="86"/>
    </row>
    <row r="246">
      <c r="A246" s="192">
        <v>245.0</v>
      </c>
      <c r="B246" s="193" t="s">
        <v>2083</v>
      </c>
      <c r="C246" s="194" t="s">
        <v>878</v>
      </c>
      <c r="D246" s="195" t="str">
        <f>IFERROR(__xludf.DUMMYFUNCTION("ARRAYFORMULA(LET( converted, SUBSTITUTE( SUBSTITUTE( SUBSTITUTE( SUBSTITUTE( SUBSTITUTE( SUBSTITUTE( SUBSTITUTE( SUBSTITUTE( SUBSTITUTE( SUBSTITUTE( C246, ""۰"", ""0""), ""۱"", ""1""), ""۲"", ""2""), ""۳"", ""3""), ""۴"", ""4""), ""۵"", ""5""), ""۶"", ""6"&amp;"""), ""۷"", ""7""), ""۸"", ""8""), ""۹"", ""9""), IF(LEFT(converted,3)=""+98"", ""0"" &amp; RIGHT(converted, LEN(converted)-3), IF(LEFT(converted,2)=""98"", ""0"" &amp; RIGHT(converted, LEN(converted)-2), IF(LEFT(converted,1)&lt;&gt;""0"", ""0"" &amp; converted, REGEXREPLA"&amp;"CE(converted , ""\s"", """")) ) ) ) )"),"09390372267")</f>
        <v>09390372267</v>
      </c>
      <c r="E246" s="196" t="s">
        <v>17</v>
      </c>
      <c r="F246" s="197">
        <v>2.0</v>
      </c>
      <c r="G246" s="193"/>
      <c r="H246" s="193" t="s">
        <v>2084</v>
      </c>
      <c r="I246" s="194"/>
      <c r="J246" s="194" t="s">
        <v>880</v>
      </c>
      <c r="K246" s="199" t="s">
        <v>342</v>
      </c>
      <c r="L246" s="199" t="s">
        <v>2085</v>
      </c>
      <c r="M246" s="193"/>
      <c r="N246" s="193"/>
      <c r="O246" s="193"/>
      <c r="P246" s="193"/>
      <c r="Q246" s="200"/>
      <c r="R246" s="86"/>
      <c r="S246" s="114">
        <f t="shared" ref="S246:T246" si="247">A246</f>
        <v>245</v>
      </c>
      <c r="T246" s="114" t="str">
        <f t="shared" si="247"/>
        <v>آرش آل‌بیگی</v>
      </c>
      <c r="U246" s="86" t="str">
        <f t="shared" si="3"/>
        <v>09390372267</v>
      </c>
      <c r="V246" s="86" t="str">
        <f t="shared" si="4"/>
        <v>پیش‌وایی 2</v>
      </c>
      <c r="W246" s="86"/>
      <c r="X246" s="86"/>
    </row>
    <row r="247">
      <c r="A247" s="201">
        <v>246.0</v>
      </c>
      <c r="B247" s="202" t="s">
        <v>1828</v>
      </c>
      <c r="C247" s="203" t="s">
        <v>1829</v>
      </c>
      <c r="D247" s="204" t="str">
        <f>IFERROR(__xludf.DUMMYFUNCTION("ARRAYFORMULA(LET( converted, SUBSTITUTE( SUBSTITUTE( SUBSTITUTE( SUBSTITUTE( SUBSTITUTE( SUBSTITUTE( SUBSTITUTE( SUBSTITUTE( SUBSTITUTE( SUBSTITUTE( C247, ""۰"", ""0""), ""۱"", ""1""), ""۲"", ""2""), ""۳"", ""3""), ""۴"", ""4""), ""۵"", ""5""), ""۶"", ""6"&amp;"""), ""۷"", ""7""), ""۸"", ""8""), ""۹"", ""9""), IF(LEFT(converted,3)=""+98"", ""0"" &amp; RIGHT(converted, LEN(converted)-3), IF(LEFT(converted,2)=""98"", ""0"" &amp; RIGHT(converted, LEN(converted)-2), IF(LEFT(converted,1)&lt;&gt;""0"", ""0"" &amp; converted, REGEXREPLA"&amp;"CE(converted , ""\s"", """")) ) ) ) )"),"09122409384")</f>
        <v>09122409384</v>
      </c>
      <c r="E247" s="205" t="s">
        <v>17</v>
      </c>
      <c r="F247" s="206">
        <v>2.0</v>
      </c>
      <c r="G247" s="202"/>
      <c r="H247" s="202" t="s">
        <v>1830</v>
      </c>
      <c r="I247" s="203"/>
      <c r="J247" s="203" t="s">
        <v>2086</v>
      </c>
      <c r="K247" s="207" t="s">
        <v>1831</v>
      </c>
      <c r="L247" s="207" t="s">
        <v>1832</v>
      </c>
      <c r="M247" s="202"/>
      <c r="N247" s="202"/>
      <c r="O247" s="202"/>
      <c r="P247" s="202"/>
      <c r="Q247" s="208"/>
      <c r="R247" s="86"/>
      <c r="S247" s="114">
        <f t="shared" ref="S247:T247" si="248">A247</f>
        <v>246</v>
      </c>
      <c r="T247" s="114" t="str">
        <f t="shared" si="248"/>
        <v>فرشته کسرایی</v>
      </c>
      <c r="U247" s="86" t="str">
        <f t="shared" si="3"/>
        <v>09122409384</v>
      </c>
      <c r="V247" s="86" t="str">
        <f t="shared" si="4"/>
        <v>پیش‌وایی 2</v>
      </c>
      <c r="W247" s="86"/>
      <c r="X247" s="86"/>
    </row>
    <row r="248">
      <c r="A248" s="192">
        <v>247.0</v>
      </c>
      <c r="B248" s="193" t="s">
        <v>2087</v>
      </c>
      <c r="C248" s="194" t="s">
        <v>2088</v>
      </c>
      <c r="D248" s="195" t="str">
        <f>IFERROR(__xludf.DUMMYFUNCTION("ARRAYFORMULA(LET( converted, SUBSTITUTE( SUBSTITUTE( SUBSTITUTE( SUBSTITUTE( SUBSTITUTE( SUBSTITUTE( SUBSTITUTE( SUBSTITUTE( SUBSTITUTE( SUBSTITUTE( C248, ""۰"", ""0""), ""۱"", ""1""), ""۲"", ""2""), ""۳"", ""3""), ""۴"", ""4""), ""۵"", ""5""), ""۶"", ""6"&amp;"""), ""۷"", ""7""), ""۸"", ""8""), ""۹"", ""9""), IF(LEFT(converted,3)=""+98"", ""0"" &amp; RIGHT(converted, LEN(converted)-3), IF(LEFT(converted,2)=""98"", ""0"" &amp; RIGHT(converted, LEN(converted)-2), IF(LEFT(converted,1)&lt;&gt;""0"", ""0"" &amp; converted, REGEXREPLA"&amp;"CE(converted , ""\s"", """")) ) ) ) )"),"09358306041")</f>
        <v>09358306041</v>
      </c>
      <c r="E248" s="196" t="s">
        <v>17</v>
      </c>
      <c r="F248" s="197">
        <v>2.0</v>
      </c>
      <c r="G248" s="193"/>
      <c r="H248" s="193" t="s">
        <v>2089</v>
      </c>
      <c r="I248" s="194"/>
      <c r="J248" s="194" t="s">
        <v>2090</v>
      </c>
      <c r="K248" s="199" t="s">
        <v>946</v>
      </c>
      <c r="L248" s="199" t="s">
        <v>2091</v>
      </c>
      <c r="M248" s="193"/>
      <c r="N248" s="193"/>
      <c r="O248" s="193"/>
      <c r="P248" s="193"/>
      <c r="Q248" s="200"/>
      <c r="R248" s="86"/>
      <c r="S248" s="114">
        <f t="shared" ref="S248:T248" si="249">A248</f>
        <v>247</v>
      </c>
      <c r="T248" s="114" t="str">
        <f t="shared" si="249"/>
        <v>جلال آقازاده</v>
      </c>
      <c r="U248" s="86" t="str">
        <f t="shared" si="3"/>
        <v>09358306041</v>
      </c>
      <c r="V248" s="86" t="str">
        <f t="shared" si="4"/>
        <v>پیش‌وایی 2</v>
      </c>
      <c r="W248" s="86"/>
      <c r="X248" s="86"/>
    </row>
    <row r="249">
      <c r="A249" s="201">
        <v>248.0</v>
      </c>
      <c r="B249" s="202" t="s">
        <v>2092</v>
      </c>
      <c r="C249" s="203" t="s">
        <v>2093</v>
      </c>
      <c r="D249" s="204" t="str">
        <f>IFERROR(__xludf.DUMMYFUNCTION("ARRAYFORMULA(LET( converted, SUBSTITUTE( SUBSTITUTE( SUBSTITUTE( SUBSTITUTE( SUBSTITUTE( SUBSTITUTE( SUBSTITUTE( SUBSTITUTE( SUBSTITUTE( SUBSTITUTE( C249, ""۰"", ""0""), ""۱"", ""1""), ""۲"", ""2""), ""۳"", ""3""), ""۴"", ""4""), ""۵"", ""5""), ""۶"", ""6"&amp;"""), ""۷"", ""7""), ""۸"", ""8""), ""۹"", ""9""), IF(LEFT(converted,3)=""+98"", ""0"" &amp; RIGHT(converted, LEN(converted)-3), IF(LEFT(converted,2)=""98"", ""0"" &amp; RIGHT(converted, LEN(converted)-2), IF(LEFT(converted,1)&lt;&gt;""0"", ""0"" &amp; converted, REGEXREPLA"&amp;"CE(converted , ""\s"", """")) ) ) ) )"),"09124900132")</f>
        <v>09124900132</v>
      </c>
      <c r="E249" s="205" t="s">
        <v>17</v>
      </c>
      <c r="F249" s="206">
        <v>2.0</v>
      </c>
      <c r="G249" s="202"/>
      <c r="H249" s="202" t="s">
        <v>2094</v>
      </c>
      <c r="I249" s="203"/>
      <c r="J249" s="203" t="s">
        <v>2095</v>
      </c>
      <c r="K249" s="207" t="s">
        <v>211</v>
      </c>
      <c r="L249" s="207" t="s">
        <v>2096</v>
      </c>
      <c r="M249" s="202"/>
      <c r="N249" s="202"/>
      <c r="O249" s="202"/>
      <c r="P249" s="202"/>
      <c r="Q249" s="208"/>
      <c r="R249" s="86"/>
      <c r="S249" s="114">
        <f t="shared" ref="S249:T249" si="250">A249</f>
        <v>248</v>
      </c>
      <c r="T249" s="114" t="str">
        <f t="shared" si="250"/>
        <v>مرجان دژیاب</v>
      </c>
      <c r="U249" s="86" t="str">
        <f t="shared" si="3"/>
        <v>09124900132</v>
      </c>
      <c r="V249" s="86" t="str">
        <f t="shared" si="4"/>
        <v>پیش‌وایی 2</v>
      </c>
      <c r="W249" s="86"/>
      <c r="X249" s="86"/>
    </row>
    <row r="250">
      <c r="A250" s="192">
        <v>249.0</v>
      </c>
      <c r="B250" s="193" t="s">
        <v>2097</v>
      </c>
      <c r="C250" s="194" t="s">
        <v>2098</v>
      </c>
      <c r="D250" s="195" t="str">
        <f>IFERROR(__xludf.DUMMYFUNCTION("ARRAYFORMULA(LET( converted, SUBSTITUTE( SUBSTITUTE( SUBSTITUTE( SUBSTITUTE( SUBSTITUTE( SUBSTITUTE( SUBSTITUTE( SUBSTITUTE( SUBSTITUTE( SUBSTITUTE( C250, ""۰"", ""0""), ""۱"", ""1""), ""۲"", ""2""), ""۳"", ""3""), ""۴"", ""4""), ""۵"", ""5""), ""۶"", ""6"&amp;"""), ""۷"", ""7""), ""۸"", ""8""), ""۹"", ""9""), IF(LEFT(converted,3)=""+98"", ""0"" &amp; RIGHT(converted, LEN(converted)-3), IF(LEFT(converted,2)=""98"", ""0"" &amp; RIGHT(converted, LEN(converted)-2), IF(LEFT(converted,1)&lt;&gt;""0"", ""0"" &amp; converted, REGEXREPLA"&amp;"CE(converted , ""\s"", """")) ) ) ) )"),"09122769645")</f>
        <v>09122769645</v>
      </c>
      <c r="E250" s="196" t="s">
        <v>17</v>
      </c>
      <c r="F250" s="197">
        <v>2.0</v>
      </c>
      <c r="G250" s="193"/>
      <c r="H250" s="193" t="s">
        <v>2099</v>
      </c>
      <c r="I250" s="194"/>
      <c r="J250" s="194" t="s">
        <v>2100</v>
      </c>
      <c r="K250" s="199" t="s">
        <v>292</v>
      </c>
      <c r="L250" s="199" t="s">
        <v>2101</v>
      </c>
      <c r="M250" s="193"/>
      <c r="N250" s="193"/>
      <c r="O250" s="193"/>
      <c r="P250" s="193"/>
      <c r="Q250" s="200"/>
      <c r="R250" s="86"/>
      <c r="S250" s="114">
        <f t="shared" ref="S250:T250" si="251">A250</f>
        <v>249</v>
      </c>
      <c r="T250" s="114" t="str">
        <f t="shared" si="251"/>
        <v>مریم مسیح آبادی</v>
      </c>
      <c r="U250" s="86" t="str">
        <f t="shared" si="3"/>
        <v>09122769645</v>
      </c>
      <c r="V250" s="86" t="str">
        <f t="shared" si="4"/>
        <v>پیش‌وایی 2</v>
      </c>
      <c r="W250" s="86"/>
      <c r="X250" s="86"/>
    </row>
    <row r="251">
      <c r="A251" s="201">
        <v>250.0</v>
      </c>
      <c r="B251" s="202" t="s">
        <v>2102</v>
      </c>
      <c r="C251" s="203" t="s">
        <v>2103</v>
      </c>
      <c r="D251" s="204" t="str">
        <f>IFERROR(__xludf.DUMMYFUNCTION("ARRAYFORMULA(LET( converted, SUBSTITUTE( SUBSTITUTE( SUBSTITUTE( SUBSTITUTE( SUBSTITUTE( SUBSTITUTE( SUBSTITUTE( SUBSTITUTE( SUBSTITUTE( SUBSTITUTE( C251, ""۰"", ""0""), ""۱"", ""1""), ""۲"", ""2""), ""۳"", ""3""), ""۴"", ""4""), ""۵"", ""5""), ""۶"", ""6"&amp;"""), ""۷"", ""7""), ""۸"", ""8""), ""۹"", ""9""), IF(LEFT(converted,3)=""+98"", ""0"" &amp; RIGHT(converted, LEN(converted)-3), IF(LEFT(converted,2)=""98"", ""0"" &amp; RIGHT(converted, LEN(converted)-2), IF(LEFT(converted,1)&lt;&gt;""0"", ""0"" &amp; converted, REGEXREPLA"&amp;"CE(converted , ""\s"", """")) ) ) ) )"),"09124968165")</f>
        <v>09124968165</v>
      </c>
      <c r="E251" s="205" t="s">
        <v>17</v>
      </c>
      <c r="F251" s="206">
        <v>2.0</v>
      </c>
      <c r="G251" s="202"/>
      <c r="H251" s="202" t="s">
        <v>2104</v>
      </c>
      <c r="I251" s="203"/>
      <c r="J251" s="203" t="s">
        <v>2105</v>
      </c>
      <c r="K251" s="207" t="s">
        <v>844</v>
      </c>
      <c r="L251" s="207" t="s">
        <v>2106</v>
      </c>
      <c r="M251" s="202"/>
      <c r="N251" s="202"/>
      <c r="O251" s="202"/>
      <c r="P251" s="202"/>
      <c r="Q251" s="208"/>
      <c r="R251" s="86"/>
      <c r="S251" s="114">
        <f t="shared" ref="S251:T251" si="252">A251</f>
        <v>250</v>
      </c>
      <c r="T251" s="114" t="str">
        <f t="shared" si="252"/>
        <v>مسعود الیاسی</v>
      </c>
      <c r="U251" s="86" t="str">
        <f t="shared" si="3"/>
        <v>09124968165</v>
      </c>
      <c r="V251" s="86" t="str">
        <f t="shared" si="4"/>
        <v>پیش‌وایی 2</v>
      </c>
      <c r="W251" s="86"/>
      <c r="X251" s="86"/>
    </row>
    <row r="252">
      <c r="A252" s="192">
        <v>251.0</v>
      </c>
      <c r="B252" s="193" t="s">
        <v>2107</v>
      </c>
      <c r="C252" s="194" t="s">
        <v>755</v>
      </c>
      <c r="D252" s="195" t="str">
        <f>IFERROR(__xludf.DUMMYFUNCTION("ARRAYFORMULA(LET( converted, SUBSTITUTE( SUBSTITUTE( SUBSTITUTE( SUBSTITUTE( SUBSTITUTE( SUBSTITUTE( SUBSTITUTE( SUBSTITUTE( SUBSTITUTE( SUBSTITUTE( C252, ""۰"", ""0""), ""۱"", ""1""), ""۲"", ""2""), ""۳"", ""3""), ""۴"", ""4""), ""۵"", ""5""), ""۶"", ""6"&amp;"""), ""۷"", ""7""), ""۸"", ""8""), ""۹"", ""9""), IF(LEFT(converted,3)=""+98"", ""0"" &amp; RIGHT(converted, LEN(converted)-3), IF(LEFT(converted,2)=""98"", ""0"" &amp; RIGHT(converted, LEN(converted)-2), IF(LEFT(converted,1)&lt;&gt;""0"", ""0"" &amp; converted, REGEXREPLA"&amp;"CE(converted , ""\s"", """")) ) ) ) )"),"09366205771")</f>
        <v>09366205771</v>
      </c>
      <c r="E252" s="196" t="s">
        <v>17</v>
      </c>
      <c r="F252" s="197">
        <v>2.0</v>
      </c>
      <c r="G252" s="193"/>
      <c r="H252" s="193" t="s">
        <v>756</v>
      </c>
      <c r="I252" s="194"/>
      <c r="J252" s="194" t="s">
        <v>757</v>
      </c>
      <c r="K252" s="199" t="s">
        <v>758</v>
      </c>
      <c r="L252" s="199" t="s">
        <v>2108</v>
      </c>
      <c r="M252" s="193"/>
      <c r="N252" s="193"/>
      <c r="O252" s="193"/>
      <c r="P252" s="193"/>
      <c r="Q252" s="200"/>
      <c r="R252" s="86"/>
      <c r="S252" s="114">
        <f t="shared" ref="S252:T252" si="253">A252</f>
        <v>251</v>
      </c>
      <c r="T252" s="114" t="str">
        <f t="shared" si="253"/>
        <v>سعید عالم</v>
      </c>
      <c r="U252" s="86" t="str">
        <f t="shared" si="3"/>
        <v>09366205771</v>
      </c>
      <c r="V252" s="86" t="str">
        <f t="shared" si="4"/>
        <v>پیش‌وایی 2</v>
      </c>
      <c r="W252" s="86"/>
      <c r="X252" s="86"/>
    </row>
    <row r="253">
      <c r="A253" s="201">
        <v>252.0</v>
      </c>
      <c r="B253" s="202" t="s">
        <v>871</v>
      </c>
      <c r="C253" s="203" t="s">
        <v>872</v>
      </c>
      <c r="D253" s="204" t="str">
        <f>IFERROR(__xludf.DUMMYFUNCTION("ARRAYFORMULA(LET( converted, SUBSTITUTE( SUBSTITUTE( SUBSTITUTE( SUBSTITUTE( SUBSTITUTE( SUBSTITUTE( SUBSTITUTE( SUBSTITUTE( SUBSTITUTE( SUBSTITUTE( C253, ""۰"", ""0""), ""۱"", ""1""), ""۲"", ""2""), ""۳"", ""3""), ""۴"", ""4""), ""۵"", ""5""), ""۶"", ""6"&amp;"""), ""۷"", ""7""), ""۸"", ""8""), ""۹"", ""9""), IF(LEFT(converted,3)=""+98"", ""0"" &amp; RIGHT(converted, LEN(converted)-3), IF(LEFT(converted,2)=""98"", ""0"" &amp; RIGHT(converted, LEN(converted)-2), IF(LEFT(converted,1)&lt;&gt;""0"", ""0"" &amp; converted, REGEXREPLA"&amp;"CE(converted , ""\s"", """")) ) ) ) )"),"09122683744")</f>
        <v>09122683744</v>
      </c>
      <c r="E253" s="205" t="s">
        <v>17</v>
      </c>
      <c r="F253" s="206">
        <v>2.0</v>
      </c>
      <c r="G253" s="202"/>
      <c r="H253" s="202" t="s">
        <v>2109</v>
      </c>
      <c r="I253" s="203"/>
      <c r="J253" s="203" t="s">
        <v>874</v>
      </c>
      <c r="K253" s="207" t="s">
        <v>774</v>
      </c>
      <c r="L253" s="207" t="s">
        <v>875</v>
      </c>
      <c r="M253" s="202"/>
      <c r="N253" s="202"/>
      <c r="O253" s="202"/>
      <c r="P253" s="202"/>
      <c r="Q253" s="208"/>
      <c r="R253" s="86"/>
      <c r="S253" s="114">
        <f t="shared" ref="S253:T253" si="254">A253</f>
        <v>252</v>
      </c>
      <c r="T253" s="114" t="str">
        <f t="shared" si="254"/>
        <v>سیاوش رحمانی</v>
      </c>
      <c r="U253" s="86" t="str">
        <f t="shared" si="3"/>
        <v>09122683744</v>
      </c>
      <c r="V253" s="86" t="str">
        <f t="shared" si="4"/>
        <v>پیش‌وایی 2</v>
      </c>
      <c r="W253" s="86"/>
      <c r="X253" s="86"/>
    </row>
    <row r="254">
      <c r="A254" s="192">
        <v>253.0</v>
      </c>
      <c r="B254" s="193" t="s">
        <v>2110</v>
      </c>
      <c r="C254" s="194" t="s">
        <v>2111</v>
      </c>
      <c r="D254" s="195" t="str">
        <f>IFERROR(__xludf.DUMMYFUNCTION("ARRAYFORMULA(LET( converted, SUBSTITUTE( SUBSTITUTE( SUBSTITUTE( SUBSTITUTE( SUBSTITUTE( SUBSTITUTE( SUBSTITUTE( SUBSTITUTE( SUBSTITUTE( SUBSTITUTE( C254, ""۰"", ""0""), ""۱"", ""1""), ""۲"", ""2""), ""۳"", ""3""), ""۴"", ""4""), ""۵"", ""5""), ""۶"", ""6"&amp;"""), ""۷"", ""7""), ""۸"", ""8""), ""۹"", ""9""), IF(LEFT(converted,3)=""+98"", ""0"" &amp; RIGHT(converted, LEN(converted)-3), IF(LEFT(converted,2)=""98"", ""0"" &amp; RIGHT(converted, LEN(converted)-2), IF(LEFT(converted,1)&lt;&gt;""0"", ""0"" &amp; converted, REGEXREPLA"&amp;"CE(converted , ""\s"", """")) ) ) ) )"),"09143457756")</f>
        <v>09143457756</v>
      </c>
      <c r="E254" s="196" t="s">
        <v>17</v>
      </c>
      <c r="F254" s="197">
        <v>2.0</v>
      </c>
      <c r="G254" s="193"/>
      <c r="H254" s="193" t="s">
        <v>2112</v>
      </c>
      <c r="I254" s="194"/>
      <c r="J254" s="194" t="s">
        <v>2113</v>
      </c>
      <c r="K254" s="199" t="s">
        <v>2114</v>
      </c>
      <c r="L254" s="199" t="s">
        <v>2115</v>
      </c>
      <c r="M254" s="193"/>
      <c r="N254" s="193"/>
      <c r="O254" s="193"/>
      <c r="P254" s="193"/>
      <c r="Q254" s="200"/>
      <c r="R254" s="86"/>
      <c r="S254" s="114">
        <f t="shared" ref="S254:T254" si="255">A254</f>
        <v>253</v>
      </c>
      <c r="T254" s="114" t="str">
        <f t="shared" si="255"/>
        <v>یاسر نظریانی</v>
      </c>
      <c r="U254" s="86" t="str">
        <f t="shared" si="3"/>
        <v>09143457756</v>
      </c>
      <c r="V254" s="86" t="str">
        <f t="shared" si="4"/>
        <v>پیش‌وایی 2</v>
      </c>
      <c r="W254" s="86"/>
      <c r="X254" s="86"/>
    </row>
    <row r="255">
      <c r="A255" s="201">
        <v>254.0</v>
      </c>
      <c r="B255" s="202" t="s">
        <v>2116</v>
      </c>
      <c r="C255" s="203" t="s">
        <v>2117</v>
      </c>
      <c r="D255" s="204" t="str">
        <f>IFERROR(__xludf.DUMMYFUNCTION("ARRAYFORMULA(LET( converted, SUBSTITUTE( SUBSTITUTE( SUBSTITUTE( SUBSTITUTE( SUBSTITUTE( SUBSTITUTE( SUBSTITUTE( SUBSTITUTE( SUBSTITUTE( SUBSTITUTE( C255, ""۰"", ""0""), ""۱"", ""1""), ""۲"", ""2""), ""۳"", ""3""), ""۴"", ""4""), ""۵"", ""5""), ""۶"", ""6"&amp;"""), ""۷"", ""7""), ""۸"", ""8""), ""۹"", ""9""), IF(LEFT(converted,3)=""+98"", ""0"" &amp; RIGHT(converted, LEN(converted)-3), IF(LEFT(converted,2)=""98"", ""0"" &amp; RIGHT(converted, LEN(converted)-2), IF(LEFT(converted,1)&lt;&gt;""0"", ""0"" &amp; converted, REGEXREPLA"&amp;"CE(converted , ""\s"", """")) ) ) ) )"),"09125970461")</f>
        <v>09125970461</v>
      </c>
      <c r="E255" s="205" t="s">
        <v>17</v>
      </c>
      <c r="F255" s="206">
        <v>2.0</v>
      </c>
      <c r="G255" s="202"/>
      <c r="H255" s="202" t="s">
        <v>2118</v>
      </c>
      <c r="I255" s="203"/>
      <c r="J255" s="203" t="s">
        <v>2119</v>
      </c>
      <c r="K255" s="207" t="s">
        <v>27</v>
      </c>
      <c r="L255" s="207" t="s">
        <v>2120</v>
      </c>
      <c r="M255" s="202"/>
      <c r="N255" s="202"/>
      <c r="O255" s="202"/>
      <c r="P255" s="202"/>
      <c r="Q255" s="208"/>
      <c r="R255" s="86"/>
      <c r="S255" s="114">
        <f t="shared" ref="S255:T255" si="256">A255</f>
        <v>254</v>
      </c>
      <c r="T255" s="114" t="str">
        <f t="shared" si="256"/>
        <v>مجید مادی</v>
      </c>
      <c r="U255" s="86" t="str">
        <f t="shared" si="3"/>
        <v>09125970461</v>
      </c>
      <c r="V255" s="86" t="str">
        <f t="shared" si="4"/>
        <v>پیش‌وایی 2</v>
      </c>
      <c r="W255" s="86"/>
      <c r="X255" s="86"/>
    </row>
    <row r="256">
      <c r="A256" s="192">
        <v>255.0</v>
      </c>
      <c r="B256" s="193" t="s">
        <v>2121</v>
      </c>
      <c r="C256" s="194" t="s">
        <v>2122</v>
      </c>
      <c r="D256" s="195" t="str">
        <f>IFERROR(__xludf.DUMMYFUNCTION("ARRAYFORMULA(LET( converted, SUBSTITUTE( SUBSTITUTE( SUBSTITUTE( SUBSTITUTE( SUBSTITUTE( SUBSTITUTE( SUBSTITUTE( SUBSTITUTE( SUBSTITUTE( SUBSTITUTE( C256, ""۰"", ""0""), ""۱"", ""1""), ""۲"", ""2""), ""۳"", ""3""), ""۴"", ""4""), ""۵"", ""5""), ""۶"", ""6"&amp;"""), ""۷"", ""7""), ""۸"", ""8""), ""۹"", ""9""), IF(LEFT(converted,3)=""+98"", ""0"" &amp; RIGHT(converted, LEN(converted)-3), IF(LEFT(converted,2)=""98"", ""0"" &amp; RIGHT(converted, LEN(converted)-2), IF(LEFT(converted,1)&lt;&gt;""0"", ""0"" &amp; converted, REGEXREPLA"&amp;"CE(converted , ""\s"", """")) ) ) ) )"),"09127221674")</f>
        <v>09127221674</v>
      </c>
      <c r="E256" s="196" t="s">
        <v>17</v>
      </c>
      <c r="F256" s="197">
        <v>2.0</v>
      </c>
      <c r="G256" s="193"/>
      <c r="H256" s="193" t="s">
        <v>2118</v>
      </c>
      <c r="I256" s="194"/>
      <c r="J256" s="194" t="s">
        <v>2123</v>
      </c>
      <c r="K256" s="199" t="s">
        <v>274</v>
      </c>
      <c r="L256" s="199" t="s">
        <v>2124</v>
      </c>
      <c r="M256" s="193"/>
      <c r="N256" s="193"/>
      <c r="O256" s="193"/>
      <c r="P256" s="193"/>
      <c r="Q256" s="200"/>
      <c r="R256" s="86"/>
      <c r="S256" s="114">
        <f t="shared" ref="S256:T256" si="257">A256</f>
        <v>255</v>
      </c>
      <c r="T256" s="114" t="str">
        <f t="shared" si="257"/>
        <v>فاطمه شعاعی فرد خامش</v>
      </c>
      <c r="U256" s="86" t="str">
        <f t="shared" si="3"/>
        <v>09127221674</v>
      </c>
      <c r="V256" s="86" t="str">
        <f t="shared" si="4"/>
        <v>پیش‌وایی 2</v>
      </c>
      <c r="W256" s="86"/>
      <c r="X256" s="86"/>
    </row>
    <row r="257">
      <c r="A257" s="201">
        <v>256.0</v>
      </c>
      <c r="B257" s="202" t="s">
        <v>2125</v>
      </c>
      <c r="C257" s="203" t="s">
        <v>1920</v>
      </c>
      <c r="D257" s="204" t="str">
        <f>IFERROR(__xludf.DUMMYFUNCTION("ARRAYFORMULA(LET( converted, SUBSTITUTE( SUBSTITUTE( SUBSTITUTE( SUBSTITUTE( SUBSTITUTE( SUBSTITUTE( SUBSTITUTE( SUBSTITUTE( SUBSTITUTE( SUBSTITUTE( C257, ""۰"", ""0""), ""۱"", ""1""), ""۲"", ""2""), ""۳"", ""3""), ""۴"", ""4""), ""۵"", ""5""), ""۶"", ""6"&amp;"""), ""۷"", ""7""), ""۸"", ""8""), ""۹"", ""9""), IF(LEFT(converted,3)=""+98"", ""0"" &amp; RIGHT(converted, LEN(converted)-3), IF(LEFT(converted,2)=""98"", ""0"" &amp; RIGHT(converted, LEN(converted)-2), IF(LEFT(converted,1)&lt;&gt;""0"", ""0"" &amp; converted, REGEXREPLA"&amp;"CE(converted , ""\s"", """")) ) ) ) )"),"0NA")</f>
        <v>0NA</v>
      </c>
      <c r="E257" s="205" t="s">
        <v>17</v>
      </c>
      <c r="F257" s="206">
        <v>2.0</v>
      </c>
      <c r="G257" s="202"/>
      <c r="H257" s="202" t="s">
        <v>1920</v>
      </c>
      <c r="I257" s="203"/>
      <c r="J257" s="203" t="s">
        <v>2126</v>
      </c>
      <c r="K257" s="207" t="s">
        <v>1466</v>
      </c>
      <c r="L257" s="207" t="s">
        <v>2127</v>
      </c>
      <c r="M257" s="202"/>
      <c r="N257" s="202"/>
      <c r="O257" s="202"/>
      <c r="P257" s="202"/>
      <c r="Q257" s="208"/>
      <c r="R257" s="86"/>
      <c r="S257" s="114">
        <f t="shared" ref="S257:T257" si="258">A257</f>
        <v>256</v>
      </c>
      <c r="T257" s="114" t="str">
        <f t="shared" si="258"/>
        <v>امیرعلی معادی</v>
      </c>
      <c r="U257" s="86" t="str">
        <f t="shared" si="3"/>
        <v>0NA</v>
      </c>
      <c r="V257" s="86" t="str">
        <f t="shared" si="4"/>
        <v>پیش‌وایی 2</v>
      </c>
      <c r="W257" s="86"/>
      <c r="X257" s="86"/>
    </row>
    <row r="258">
      <c r="A258" s="192">
        <v>257.0</v>
      </c>
      <c r="B258" s="193" t="s">
        <v>1258</v>
      </c>
      <c r="C258" s="194" t="s">
        <v>1259</v>
      </c>
      <c r="D258" s="195" t="str">
        <f>IFERROR(__xludf.DUMMYFUNCTION("ARRAYFORMULA(LET( converted, SUBSTITUTE( SUBSTITUTE( SUBSTITUTE( SUBSTITUTE( SUBSTITUTE( SUBSTITUTE( SUBSTITUTE( SUBSTITUTE( SUBSTITUTE( SUBSTITUTE( C258, ""۰"", ""0""), ""۱"", ""1""), ""۲"", ""2""), ""۳"", ""3""), ""۴"", ""4""), ""۵"", ""5""), ""۶"", ""6"&amp;"""), ""۷"", ""7""), ""۸"", ""8""), ""۹"", ""9""), IF(LEFT(converted,3)=""+98"", ""0"" &amp; RIGHT(converted, LEN(converted)-3), IF(LEFT(converted,2)=""98"", ""0"" &amp; RIGHT(converted, LEN(converted)-2), IF(LEFT(converted,1)&lt;&gt;""0"", ""0"" &amp; converted, REGEXREPLA"&amp;"CE(converted , ""\s"", """")) ) ) ) )"),"09334860672")</f>
        <v>09334860672</v>
      </c>
      <c r="E258" s="196" t="s">
        <v>17</v>
      </c>
      <c r="F258" s="197">
        <v>2.0</v>
      </c>
      <c r="G258" s="193"/>
      <c r="H258" s="193" t="s">
        <v>1260</v>
      </c>
      <c r="I258" s="194"/>
      <c r="J258" s="194" t="s">
        <v>1261</v>
      </c>
      <c r="K258" s="199" t="s">
        <v>1262</v>
      </c>
      <c r="L258" s="199" t="s">
        <v>1263</v>
      </c>
      <c r="M258" s="193"/>
      <c r="N258" s="193"/>
      <c r="O258" s="193"/>
      <c r="P258" s="193"/>
      <c r="Q258" s="200"/>
      <c r="R258" s="86"/>
      <c r="S258" s="114">
        <f t="shared" ref="S258:T258" si="259">A258</f>
        <v>257</v>
      </c>
      <c r="T258" s="114" t="str">
        <f t="shared" si="259"/>
        <v>میترا مسعودی</v>
      </c>
      <c r="U258" s="86" t="str">
        <f t="shared" si="3"/>
        <v>09334860672</v>
      </c>
      <c r="V258" s="86" t="str">
        <f t="shared" si="4"/>
        <v>پیش‌وایی 2</v>
      </c>
      <c r="W258" s="86"/>
      <c r="X258" s="86"/>
    </row>
    <row r="259">
      <c r="A259" s="201">
        <v>258.0</v>
      </c>
      <c r="B259" s="202" t="s">
        <v>2128</v>
      </c>
      <c r="C259" s="203" t="s">
        <v>2129</v>
      </c>
      <c r="D259" s="204" t="str">
        <f>IFERROR(__xludf.DUMMYFUNCTION("ARRAYFORMULA(LET( converted, SUBSTITUTE( SUBSTITUTE( SUBSTITUTE( SUBSTITUTE( SUBSTITUTE( SUBSTITUTE( SUBSTITUTE( SUBSTITUTE( SUBSTITUTE( SUBSTITUTE( C259, ""۰"", ""0""), ""۱"", ""1""), ""۲"", ""2""), ""۳"", ""3""), ""۴"", ""4""), ""۵"", ""5""), ""۶"", ""6"&amp;"""), ""۷"", ""7""), ""۸"", ""8""), ""۹"", ""9""), IF(LEFT(converted,3)=""+98"", ""0"" &amp; RIGHT(converted, LEN(converted)-3), IF(LEFT(converted,2)=""98"", ""0"" &amp; RIGHT(converted, LEN(converted)-2), IF(LEFT(converted,1)&lt;&gt;""0"", ""0"" &amp; converted, REGEXREPLA"&amp;"CE(converted , ""\s"", """")) ) ) ) )"),"09351850366")</f>
        <v>09351850366</v>
      </c>
      <c r="E259" s="205" t="s">
        <v>17</v>
      </c>
      <c r="F259" s="206">
        <v>2.0</v>
      </c>
      <c r="G259" s="202"/>
      <c r="H259" s="202" t="s">
        <v>1267</v>
      </c>
      <c r="I259" s="203"/>
      <c r="J259" s="203" t="s">
        <v>1268</v>
      </c>
      <c r="K259" s="207" t="s">
        <v>1269</v>
      </c>
      <c r="L259" s="207" t="s">
        <v>2130</v>
      </c>
      <c r="M259" s="202"/>
      <c r="N259" s="202"/>
      <c r="O259" s="202"/>
      <c r="P259" s="202"/>
      <c r="Q259" s="208"/>
      <c r="R259" s="86"/>
      <c r="S259" s="114">
        <f t="shared" ref="S259:T259" si="260">A259</f>
        <v>258</v>
      </c>
      <c r="T259" s="114" t="str">
        <f t="shared" si="260"/>
        <v>محمدعلی سماک‌مقدم</v>
      </c>
      <c r="U259" s="86" t="str">
        <f t="shared" si="3"/>
        <v>09351850366</v>
      </c>
      <c r="V259" s="86" t="str">
        <f t="shared" si="4"/>
        <v>پیش‌وایی 2</v>
      </c>
      <c r="W259" s="86"/>
      <c r="X259" s="86"/>
    </row>
    <row r="260">
      <c r="A260" s="192">
        <v>259.0</v>
      </c>
      <c r="B260" s="193" t="s">
        <v>915</v>
      </c>
      <c r="C260" s="194" t="s">
        <v>916</v>
      </c>
      <c r="D260" s="195" t="str">
        <f>IFERROR(__xludf.DUMMYFUNCTION("ARRAYFORMULA(LET( converted, SUBSTITUTE( SUBSTITUTE( SUBSTITUTE( SUBSTITUTE( SUBSTITUTE( SUBSTITUTE( SUBSTITUTE( SUBSTITUTE( SUBSTITUTE( SUBSTITUTE( C260, ""۰"", ""0""), ""۱"", ""1""), ""۲"", ""2""), ""۳"", ""3""), ""۴"", ""4""), ""۵"", ""5""), ""۶"", ""6"&amp;"""), ""۷"", ""7""), ""۸"", ""8""), ""۹"", ""9""), IF(LEFT(converted,3)=""+98"", ""0"" &amp; RIGHT(converted, LEN(converted)-3), IF(LEFT(converted,2)=""98"", ""0"" &amp; RIGHT(converted, LEN(converted)-2), IF(LEFT(converted,1)&lt;&gt;""0"", ""0"" &amp; converted, REGEXREPLA"&amp;"CE(converted , ""\s"", """")) ) ) ) )"),"09123711752")</f>
        <v>09123711752</v>
      </c>
      <c r="E260" s="196" t="s">
        <v>17</v>
      </c>
      <c r="F260" s="197">
        <v>2.0</v>
      </c>
      <c r="G260" s="193"/>
      <c r="H260" s="193" t="s">
        <v>917</v>
      </c>
      <c r="I260" s="194"/>
      <c r="J260" s="194" t="s">
        <v>2131</v>
      </c>
      <c r="K260" s="199" t="s">
        <v>919</v>
      </c>
      <c r="L260" s="199" t="s">
        <v>920</v>
      </c>
      <c r="M260" s="193"/>
      <c r="N260" s="193"/>
      <c r="O260" s="193"/>
      <c r="P260" s="193"/>
      <c r="Q260" s="200"/>
      <c r="R260" s="86"/>
      <c r="S260" s="114">
        <f t="shared" ref="S260:T260" si="261">A260</f>
        <v>259</v>
      </c>
      <c r="T260" s="114" t="str">
        <f t="shared" si="261"/>
        <v>وحیدرضا سلیمانی</v>
      </c>
      <c r="U260" s="86" t="str">
        <f t="shared" si="3"/>
        <v>09123711752</v>
      </c>
      <c r="V260" s="86" t="str">
        <f t="shared" si="4"/>
        <v>پیش‌وایی 2</v>
      </c>
      <c r="W260" s="86"/>
      <c r="X260" s="86"/>
    </row>
    <row r="261">
      <c r="A261" s="201">
        <v>260.0</v>
      </c>
      <c r="B261" s="202" t="s">
        <v>2132</v>
      </c>
      <c r="C261" s="203"/>
      <c r="D261" s="204" t="str">
        <f>IFERROR(__xludf.DUMMYFUNCTION("ARRAYFORMULA(LET( converted, SUBSTITUTE( SUBSTITUTE( SUBSTITUTE( SUBSTITUTE( SUBSTITUTE( SUBSTITUTE( SUBSTITUTE( SUBSTITUTE( SUBSTITUTE( SUBSTITUTE( C261, ""۰"", ""0""), ""۱"", ""1""), ""۲"", ""2""), ""۳"", ""3""), ""۴"", ""4""), ""۵"", ""5""), ""۶"", ""6"&amp;"""), ""۷"", ""7""), ""۸"", ""8""), ""۹"", ""9""), IF(LEFT(converted,3)=""+98"", ""0"" &amp; RIGHT(converted, LEN(converted)-3), IF(LEFT(converted,2)=""98"", ""0"" &amp; RIGHT(converted, LEN(converted)-2), IF(LEFT(converted,1)&lt;&gt;""0"", ""0"" &amp; converted, REGEXREPLA"&amp;"CE(converted , ""\s"", """")) ) ) ) )"),"0")</f>
        <v>0</v>
      </c>
      <c r="E261" s="205" t="s">
        <v>17</v>
      </c>
      <c r="F261" s="206">
        <v>2.0</v>
      </c>
      <c r="G261" s="202"/>
      <c r="H261" s="202"/>
      <c r="I261" s="203"/>
      <c r="J261" s="203"/>
      <c r="K261" s="207" t="s">
        <v>2133</v>
      </c>
      <c r="L261" s="207" t="s">
        <v>2134</v>
      </c>
      <c r="M261" s="202"/>
      <c r="N261" s="202"/>
      <c r="O261" s="202"/>
      <c r="P261" s="202"/>
      <c r="Q261" s="208"/>
      <c r="R261" s="86"/>
      <c r="S261" s="114">
        <f t="shared" ref="S261:T261" si="262">A261</f>
        <v>260</v>
      </c>
      <c r="T261" s="114" t="str">
        <f t="shared" si="262"/>
        <v>عرفانه ابوالقاسم</v>
      </c>
      <c r="U261" s="86" t="str">
        <f t="shared" si="3"/>
        <v>0</v>
      </c>
      <c r="V261" s="86" t="str">
        <f t="shared" si="4"/>
        <v>پیش‌وایی 2</v>
      </c>
      <c r="W261" s="86"/>
      <c r="X261" s="86"/>
    </row>
    <row r="262">
      <c r="A262" s="192">
        <v>261.0</v>
      </c>
      <c r="B262" s="193" t="s">
        <v>2135</v>
      </c>
      <c r="C262" s="194" t="s">
        <v>2136</v>
      </c>
      <c r="D262" s="195" t="str">
        <f>IFERROR(__xludf.DUMMYFUNCTION("ARRAYFORMULA(LET( converted, SUBSTITUTE( SUBSTITUTE( SUBSTITUTE( SUBSTITUTE( SUBSTITUTE( SUBSTITUTE( SUBSTITUTE( SUBSTITUTE( SUBSTITUTE( SUBSTITUTE( C262, ""۰"", ""0""), ""۱"", ""1""), ""۲"", ""2""), ""۳"", ""3""), ""۴"", ""4""), ""۵"", ""5""), ""۶"", ""6"&amp;"""), ""۷"", ""7""), ""۸"", ""8""), ""۹"", ""9""), IF(LEFT(converted,3)=""+98"", ""0"" &amp; RIGHT(converted, LEN(converted)-3), IF(LEFT(converted,2)=""98"", ""0"" &amp; RIGHT(converted, LEN(converted)-2), IF(LEFT(converted,1)&lt;&gt;""0"", ""0"" &amp; converted, REGEXREPLA"&amp;"CE(converted , ""\s"", """")) ) ) ) )"),"09122093788")</f>
        <v>09122093788</v>
      </c>
      <c r="E262" s="196" t="s">
        <v>17</v>
      </c>
      <c r="F262" s="197">
        <v>2.0</v>
      </c>
      <c r="G262" s="193"/>
      <c r="H262" s="193" t="s">
        <v>2137</v>
      </c>
      <c r="I262" s="194"/>
      <c r="J262" s="194" t="s">
        <v>2138</v>
      </c>
      <c r="K262" s="199" t="s">
        <v>2022</v>
      </c>
      <c r="L262" s="199" t="s">
        <v>2139</v>
      </c>
      <c r="M262" s="193"/>
      <c r="N262" s="193"/>
      <c r="O262" s="193"/>
      <c r="P262" s="193"/>
      <c r="Q262" s="200"/>
      <c r="R262" s="86"/>
      <c r="S262" s="114">
        <f t="shared" ref="S262:T262" si="263">A262</f>
        <v>261</v>
      </c>
      <c r="T262" s="114" t="str">
        <f t="shared" si="263"/>
        <v>افشین فارغی علمداری</v>
      </c>
      <c r="U262" s="86" t="str">
        <f t="shared" si="3"/>
        <v>09122093788</v>
      </c>
      <c r="V262" s="86" t="str">
        <f t="shared" si="4"/>
        <v>پیش‌وایی 2</v>
      </c>
      <c r="W262" s="86"/>
      <c r="X262" s="86"/>
    </row>
    <row r="263">
      <c r="A263" s="201">
        <v>262.0</v>
      </c>
      <c r="B263" s="202" t="s">
        <v>2140</v>
      </c>
      <c r="C263" s="203"/>
      <c r="D263" s="204" t="str">
        <f>IFERROR(__xludf.DUMMYFUNCTION("ARRAYFORMULA(LET( converted, SUBSTITUTE( SUBSTITUTE( SUBSTITUTE( SUBSTITUTE( SUBSTITUTE( SUBSTITUTE( SUBSTITUTE( SUBSTITUTE( SUBSTITUTE( SUBSTITUTE( C263, ""۰"", ""0""), ""۱"", ""1""), ""۲"", ""2""), ""۳"", ""3""), ""۴"", ""4""), ""۵"", ""5""), ""۶"", ""6"&amp;"""), ""۷"", ""7""), ""۸"", ""8""), ""۹"", ""9""), IF(LEFT(converted,3)=""+98"", ""0"" &amp; RIGHT(converted, LEN(converted)-3), IF(LEFT(converted,2)=""98"", ""0"" &amp; RIGHT(converted, LEN(converted)-2), IF(LEFT(converted,1)&lt;&gt;""0"", ""0"" &amp; converted, REGEXREPLA"&amp;"CE(converted , ""\s"", """")) ) ) ) )"),"0")</f>
        <v>0</v>
      </c>
      <c r="E263" s="205" t="s">
        <v>17</v>
      </c>
      <c r="F263" s="206">
        <v>2.0</v>
      </c>
      <c r="G263" s="202"/>
      <c r="H263" s="202"/>
      <c r="I263" s="203"/>
      <c r="J263" s="203" t="s">
        <v>2141</v>
      </c>
      <c r="K263" s="207" t="s">
        <v>180</v>
      </c>
      <c r="L263" s="207" t="s">
        <v>1929</v>
      </c>
      <c r="M263" s="202"/>
      <c r="N263" s="202"/>
      <c r="O263" s="202"/>
      <c r="P263" s="202"/>
      <c r="Q263" s="208"/>
      <c r="R263" s="86"/>
      <c r="S263" s="114">
        <f t="shared" ref="S263:T263" si="264">A263</f>
        <v>262</v>
      </c>
      <c r="T263" s="114" t="str">
        <f t="shared" si="264"/>
        <v>آزاده شاکری</v>
      </c>
      <c r="U263" s="86" t="str">
        <f t="shared" si="3"/>
        <v>0</v>
      </c>
      <c r="V263" s="86" t="str">
        <f t="shared" si="4"/>
        <v>پیش‌وایی 2</v>
      </c>
      <c r="W263" s="86"/>
      <c r="X263" s="86"/>
    </row>
    <row r="264">
      <c r="A264" s="192">
        <v>263.0</v>
      </c>
      <c r="B264" s="193" t="s">
        <v>2142</v>
      </c>
      <c r="C264" s="194" t="s">
        <v>2143</v>
      </c>
      <c r="D264" s="195" t="str">
        <f>IFERROR(__xludf.DUMMYFUNCTION("ARRAYFORMULA(LET( converted, SUBSTITUTE( SUBSTITUTE( SUBSTITUTE( SUBSTITUTE( SUBSTITUTE( SUBSTITUTE( SUBSTITUTE( SUBSTITUTE( SUBSTITUTE( SUBSTITUTE( C264, ""۰"", ""0""), ""۱"", ""1""), ""۲"", ""2""), ""۳"", ""3""), ""۴"", ""4""), ""۵"", ""5""), ""۶"", ""6"&amp;"""), ""۷"", ""7""), ""۸"", ""8""), ""۹"", ""9""), IF(LEFT(converted,3)=""+98"", ""0"" &amp; RIGHT(converted, LEN(converted)-3), IF(LEFT(converted,2)=""98"", ""0"" &amp; RIGHT(converted, LEN(converted)-2), IF(LEFT(converted,1)&lt;&gt;""0"", ""0"" &amp; converted, REGEXREPLA"&amp;"CE(converted , ""\s"", """")) ) ) ) )"),"09122209406")</f>
        <v>09122209406</v>
      </c>
      <c r="E264" s="196" t="s">
        <v>17</v>
      </c>
      <c r="F264" s="197">
        <v>2.0</v>
      </c>
      <c r="G264" s="193"/>
      <c r="H264" s="193" t="s">
        <v>2144</v>
      </c>
      <c r="I264" s="194"/>
      <c r="J264" s="194" t="s">
        <v>2145</v>
      </c>
      <c r="K264" s="199" t="s">
        <v>2146</v>
      </c>
      <c r="L264" s="199" t="s">
        <v>2147</v>
      </c>
      <c r="M264" s="193"/>
      <c r="N264" s="193"/>
      <c r="O264" s="193"/>
      <c r="P264" s="193"/>
      <c r="Q264" s="200"/>
      <c r="R264" s="86"/>
      <c r="S264" s="114">
        <f t="shared" ref="S264:T264" si="265">A264</f>
        <v>263</v>
      </c>
      <c r="T264" s="114" t="str">
        <f t="shared" si="265"/>
        <v>بابک محمدی اصل</v>
      </c>
      <c r="U264" s="86" t="str">
        <f t="shared" si="3"/>
        <v>09122209406</v>
      </c>
      <c r="V264" s="86" t="str">
        <f t="shared" si="4"/>
        <v>پیش‌وایی 2</v>
      </c>
      <c r="W264" s="86"/>
      <c r="X264" s="86"/>
    </row>
    <row r="265">
      <c r="A265" s="201">
        <v>264.0</v>
      </c>
      <c r="B265" s="202" t="s">
        <v>2148</v>
      </c>
      <c r="C265" s="203" t="s">
        <v>2149</v>
      </c>
      <c r="D265" s="204" t="str">
        <f>IFERROR(__xludf.DUMMYFUNCTION("ARRAYFORMULA(LET( converted, SUBSTITUTE( SUBSTITUTE( SUBSTITUTE( SUBSTITUTE( SUBSTITUTE( SUBSTITUTE( SUBSTITUTE( SUBSTITUTE( SUBSTITUTE( SUBSTITUTE( C265, ""۰"", ""0""), ""۱"", ""1""), ""۲"", ""2""), ""۳"", ""3""), ""۴"", ""4""), ""۵"", ""5""), ""۶"", ""6"&amp;"""), ""۷"", ""7""), ""۸"", ""8""), ""۹"", ""9""), IF(LEFT(converted,3)=""+98"", ""0"" &amp; RIGHT(converted, LEN(converted)-3), IF(LEFT(converted,2)=""98"", ""0"" &amp; RIGHT(converted, LEN(converted)-2), IF(LEFT(converted,1)&lt;&gt;""0"", ""0"" &amp; converted, REGEXREPLA"&amp;"CE(converted , ""\s"", """")) ) ) ) )"),"09192180514")</f>
        <v>09192180514</v>
      </c>
      <c r="E265" s="205" t="s">
        <v>17</v>
      </c>
      <c r="F265" s="206">
        <v>2.0</v>
      </c>
      <c r="G265" s="202"/>
      <c r="H265" s="202" t="s">
        <v>2150</v>
      </c>
      <c r="I265" s="203"/>
      <c r="J265" s="203" t="s">
        <v>2151</v>
      </c>
      <c r="K265" s="207" t="s">
        <v>259</v>
      </c>
      <c r="L265" s="207" t="s">
        <v>2152</v>
      </c>
      <c r="M265" s="202"/>
      <c r="N265" s="202"/>
      <c r="O265" s="202"/>
      <c r="P265" s="202"/>
      <c r="Q265" s="208"/>
      <c r="R265" s="86"/>
      <c r="S265" s="114">
        <f t="shared" ref="S265:T265" si="266">A265</f>
        <v>264</v>
      </c>
      <c r="T265" s="114" t="str">
        <f t="shared" si="266"/>
        <v>علیرضا سعادتمند</v>
      </c>
      <c r="U265" s="86" t="str">
        <f t="shared" si="3"/>
        <v>09192180514</v>
      </c>
      <c r="V265" s="86" t="str">
        <f t="shared" si="4"/>
        <v>پیش‌وایی 2</v>
      </c>
      <c r="W265" s="86"/>
      <c r="X265" s="86"/>
    </row>
    <row r="266">
      <c r="A266" s="192">
        <v>265.0</v>
      </c>
      <c r="B266" s="193" t="s">
        <v>2153</v>
      </c>
      <c r="C266" s="194" t="s">
        <v>2154</v>
      </c>
      <c r="D266" s="195" t="str">
        <f>IFERROR(__xludf.DUMMYFUNCTION("ARRAYFORMULA(LET( converted, SUBSTITUTE( SUBSTITUTE( SUBSTITUTE( SUBSTITUTE( SUBSTITUTE( SUBSTITUTE( SUBSTITUTE( SUBSTITUTE( SUBSTITUTE( SUBSTITUTE( C266, ""۰"", ""0""), ""۱"", ""1""), ""۲"", ""2""), ""۳"", ""3""), ""۴"", ""4""), ""۵"", ""5""), ""۶"", ""6"&amp;"""), ""۷"", ""7""), ""۸"", ""8""), ""۹"", ""9""), IF(LEFT(converted,3)=""+98"", ""0"" &amp; RIGHT(converted, LEN(converted)-3), IF(LEFT(converted,2)=""98"", ""0"" &amp; RIGHT(converted, LEN(converted)-2), IF(LEFT(converted,1)&lt;&gt;""0"", ""0"" &amp; converted, REGEXREPLA"&amp;"CE(converted , ""\s"", """")) ) ) ) )"),"09387967905")</f>
        <v>09387967905</v>
      </c>
      <c r="E266" s="196" t="s">
        <v>17</v>
      </c>
      <c r="F266" s="197">
        <v>2.0</v>
      </c>
      <c r="G266" s="193"/>
      <c r="H266" s="193" t="s">
        <v>2155</v>
      </c>
      <c r="I266" s="194"/>
      <c r="J266" s="194" t="s">
        <v>2156</v>
      </c>
      <c r="K266" s="199" t="s">
        <v>200</v>
      </c>
      <c r="L266" s="199" t="s">
        <v>2157</v>
      </c>
      <c r="M266" s="193"/>
      <c r="N266" s="193"/>
      <c r="O266" s="193"/>
      <c r="P266" s="193"/>
      <c r="Q266" s="200"/>
      <c r="R266" s="86"/>
      <c r="S266" s="114">
        <f t="shared" ref="S266:T266" si="267">A266</f>
        <v>265</v>
      </c>
      <c r="T266" s="114" t="str">
        <f t="shared" si="267"/>
        <v>احسان فرهی</v>
      </c>
      <c r="U266" s="86" t="str">
        <f t="shared" si="3"/>
        <v>09387967905</v>
      </c>
      <c r="V266" s="86" t="str">
        <f t="shared" si="4"/>
        <v>پیش‌وایی 2</v>
      </c>
      <c r="W266" s="86"/>
      <c r="X266" s="86"/>
    </row>
    <row r="267">
      <c r="A267" s="201">
        <v>266.0</v>
      </c>
      <c r="B267" s="202" t="s">
        <v>2158</v>
      </c>
      <c r="C267" s="203" t="s">
        <v>2159</v>
      </c>
      <c r="D267" s="204" t="str">
        <f>IFERROR(__xludf.DUMMYFUNCTION("ARRAYFORMULA(LET( converted, SUBSTITUTE( SUBSTITUTE( SUBSTITUTE( SUBSTITUTE( SUBSTITUTE( SUBSTITUTE( SUBSTITUTE( SUBSTITUTE( SUBSTITUTE( SUBSTITUTE( C267, ""۰"", ""0""), ""۱"", ""1""), ""۲"", ""2""), ""۳"", ""3""), ""۴"", ""4""), ""۵"", ""5""), ""۶"", ""6"&amp;"""), ""۷"", ""7""), ""۸"", ""8""), ""۹"", ""9""), IF(LEFT(converted,3)=""+98"", ""0"" &amp; RIGHT(converted, LEN(converted)-3), IF(LEFT(converted,2)=""98"", ""0"" &amp; RIGHT(converted, LEN(converted)-2), IF(LEFT(converted,1)&lt;&gt;""0"", ""0"" &amp; converted, REGEXREPLA"&amp;"CE(converted , ""\s"", """")) ) ) ) )"),"09128665530")</f>
        <v>09128665530</v>
      </c>
      <c r="E267" s="205" t="s">
        <v>17</v>
      </c>
      <c r="F267" s="206">
        <v>2.0</v>
      </c>
      <c r="G267" s="202"/>
      <c r="H267" s="202" t="s">
        <v>2160</v>
      </c>
      <c r="I267" s="203"/>
      <c r="J267" s="203" t="s">
        <v>2161</v>
      </c>
      <c r="K267" s="207" t="s">
        <v>200</v>
      </c>
      <c r="L267" s="207" t="s">
        <v>2162</v>
      </c>
      <c r="M267" s="202"/>
      <c r="N267" s="202"/>
      <c r="O267" s="202"/>
      <c r="P267" s="202"/>
      <c r="Q267" s="208"/>
      <c r="R267" s="86"/>
      <c r="S267" s="114">
        <f t="shared" ref="S267:T267" si="268">A267</f>
        <v>266</v>
      </c>
      <c r="T267" s="114" t="str">
        <f t="shared" si="268"/>
        <v>احسان ساری اصلانی</v>
      </c>
      <c r="U267" s="86" t="str">
        <f t="shared" si="3"/>
        <v>09128665530</v>
      </c>
      <c r="V267" s="86" t="str">
        <f t="shared" si="4"/>
        <v>پیش‌وایی 2</v>
      </c>
      <c r="W267" s="86"/>
      <c r="X267" s="86"/>
    </row>
    <row r="268">
      <c r="A268" s="192">
        <v>267.0</v>
      </c>
      <c r="B268" s="193" t="s">
        <v>2163</v>
      </c>
      <c r="C268" s="194" t="s">
        <v>2164</v>
      </c>
      <c r="D268" s="195" t="str">
        <f>IFERROR(__xludf.DUMMYFUNCTION("ARRAYFORMULA(LET( converted, SUBSTITUTE( SUBSTITUTE( SUBSTITUTE( SUBSTITUTE( SUBSTITUTE( SUBSTITUTE( SUBSTITUTE( SUBSTITUTE( SUBSTITUTE( SUBSTITUTE( C268, ""۰"", ""0""), ""۱"", ""1""), ""۲"", ""2""), ""۳"", ""3""), ""۴"", ""4""), ""۵"", ""5""), ""۶"", ""6"&amp;"""), ""۷"", ""7""), ""۸"", ""8""), ""۹"", ""9""), IF(LEFT(converted,3)=""+98"", ""0"" &amp; RIGHT(converted, LEN(converted)-3), IF(LEFT(converted,2)=""98"", ""0"" &amp; RIGHT(converted, LEN(converted)-2), IF(LEFT(converted,1)&lt;&gt;""0"", ""0"" &amp; converted, REGEXREPLA"&amp;"CE(converted , ""\s"", """")) ) ) ) )"),"09395209689")</f>
        <v>09395209689</v>
      </c>
      <c r="E268" s="196" t="s">
        <v>17</v>
      </c>
      <c r="F268" s="197">
        <v>2.0</v>
      </c>
      <c r="G268" s="193"/>
      <c r="H268" s="193" t="s">
        <v>2165</v>
      </c>
      <c r="I268" s="194"/>
      <c r="J268" s="194" t="s">
        <v>2166</v>
      </c>
      <c r="K268" s="199" t="s">
        <v>2146</v>
      </c>
      <c r="L268" s="199" t="s">
        <v>2167</v>
      </c>
      <c r="M268" s="193"/>
      <c r="N268" s="193"/>
      <c r="O268" s="193"/>
      <c r="P268" s="193"/>
      <c r="Q268" s="200"/>
      <c r="R268" s="86"/>
      <c r="S268" s="114">
        <f t="shared" ref="S268:T268" si="269">A268</f>
        <v>267</v>
      </c>
      <c r="T268" s="114" t="str">
        <f t="shared" si="269"/>
        <v>بابک برزگر</v>
      </c>
      <c r="U268" s="86" t="str">
        <f t="shared" si="3"/>
        <v>09395209689</v>
      </c>
      <c r="V268" s="86" t="str">
        <f t="shared" si="4"/>
        <v>پیش‌وایی 2</v>
      </c>
      <c r="W268" s="86"/>
      <c r="X268" s="86"/>
    </row>
    <row r="269">
      <c r="A269" s="201">
        <v>268.0</v>
      </c>
      <c r="B269" s="202" t="s">
        <v>2168</v>
      </c>
      <c r="C269" s="203" t="s">
        <v>2169</v>
      </c>
      <c r="D269" s="204" t="str">
        <f>IFERROR(__xludf.DUMMYFUNCTION("ARRAYFORMULA(LET( converted, SUBSTITUTE( SUBSTITUTE( SUBSTITUTE( SUBSTITUTE( SUBSTITUTE( SUBSTITUTE( SUBSTITUTE( SUBSTITUTE( SUBSTITUTE( SUBSTITUTE( C269, ""۰"", ""0""), ""۱"", ""1""), ""۲"", ""2""), ""۳"", ""3""), ""۴"", ""4""), ""۵"", ""5""), ""۶"", ""6"&amp;"""), ""۷"", ""7""), ""۸"", ""8""), ""۹"", ""9""), IF(LEFT(converted,3)=""+98"", ""0"" &amp; RIGHT(converted, LEN(converted)-3), IF(LEFT(converted,2)=""98"", ""0"" &amp; RIGHT(converted, LEN(converted)-2), IF(LEFT(converted,1)&lt;&gt;""0"", ""0"" &amp; converted, REGEXREPLA"&amp;"CE(converted , ""\s"", """")) ) ) ) )"),"09363134423")</f>
        <v>09363134423</v>
      </c>
      <c r="E269" s="205" t="s">
        <v>17</v>
      </c>
      <c r="F269" s="206">
        <v>2.0</v>
      </c>
      <c r="G269" s="202"/>
      <c r="H269" s="202" t="s">
        <v>2170</v>
      </c>
      <c r="I269" s="203"/>
      <c r="J269" s="203" t="s">
        <v>2171</v>
      </c>
      <c r="K269" s="207" t="s">
        <v>1504</v>
      </c>
      <c r="L269" s="207" t="s">
        <v>2172</v>
      </c>
      <c r="M269" s="202"/>
      <c r="N269" s="202"/>
      <c r="O269" s="202"/>
      <c r="P269" s="202"/>
      <c r="Q269" s="208"/>
      <c r="R269" s="86"/>
      <c r="S269" s="114">
        <f t="shared" ref="S269:T269" si="270">A269</f>
        <v>268</v>
      </c>
      <c r="T269" s="114" t="str">
        <f t="shared" si="270"/>
        <v>مهسا فرشادی نیا</v>
      </c>
      <c r="U269" s="86" t="str">
        <f t="shared" si="3"/>
        <v>09363134423</v>
      </c>
      <c r="V269" s="86" t="str">
        <f t="shared" si="4"/>
        <v>پیش‌وایی 2</v>
      </c>
      <c r="W269" s="86"/>
      <c r="X269" s="86"/>
    </row>
    <row r="270">
      <c r="A270" s="192">
        <v>269.0</v>
      </c>
      <c r="B270" s="193" t="s">
        <v>2173</v>
      </c>
      <c r="C270" s="194" t="s">
        <v>2174</v>
      </c>
      <c r="D270" s="195" t="str">
        <f>IFERROR(__xludf.DUMMYFUNCTION("ARRAYFORMULA(LET( converted, SUBSTITUTE( SUBSTITUTE( SUBSTITUTE( SUBSTITUTE( SUBSTITUTE( SUBSTITUTE( SUBSTITUTE( SUBSTITUTE( SUBSTITUTE( SUBSTITUTE( C270, ""۰"", ""0""), ""۱"", ""1""), ""۲"", ""2""), ""۳"", ""3""), ""۴"", ""4""), ""۵"", ""5""), ""۶"", ""6"&amp;"""), ""۷"", ""7""), ""۸"", ""8""), ""۹"", ""9""), IF(LEFT(converted,3)=""+98"", ""0"" &amp; RIGHT(converted, LEN(converted)-3), IF(LEFT(converted,2)=""98"", ""0"" &amp; RIGHT(converted, LEN(converted)-2), IF(LEFT(converted,1)&lt;&gt;""0"", ""0"" &amp; converted, REGEXREPLA"&amp;"CE(converted , ""\s"", """")) ) ) ) )"),"09124805019")</f>
        <v>09124805019</v>
      </c>
      <c r="E270" s="196" t="s">
        <v>17</v>
      </c>
      <c r="F270" s="197">
        <v>2.0</v>
      </c>
      <c r="G270" s="193"/>
      <c r="H270" s="193" t="s">
        <v>2175</v>
      </c>
      <c r="I270" s="194"/>
      <c r="J270" s="194" t="s">
        <v>2176</v>
      </c>
      <c r="K270" s="199" t="s">
        <v>259</v>
      </c>
      <c r="L270" s="199" t="s">
        <v>2177</v>
      </c>
      <c r="M270" s="193"/>
      <c r="N270" s="193"/>
      <c r="O270" s="193"/>
      <c r="P270" s="193"/>
      <c r="Q270" s="200"/>
      <c r="R270" s="86"/>
      <c r="S270" s="114">
        <f t="shared" ref="S270:T270" si="271">A270</f>
        <v>269</v>
      </c>
      <c r="T270" s="114" t="str">
        <f t="shared" si="271"/>
        <v>علیرضا گل زاده</v>
      </c>
      <c r="U270" s="86" t="str">
        <f t="shared" si="3"/>
        <v>09124805019</v>
      </c>
      <c r="V270" s="86" t="str">
        <f t="shared" si="4"/>
        <v>پیش‌وایی 2</v>
      </c>
      <c r="W270" s="86"/>
      <c r="X270" s="86"/>
    </row>
    <row r="271">
      <c r="A271" s="201">
        <v>270.0</v>
      </c>
      <c r="B271" s="202" t="s">
        <v>2178</v>
      </c>
      <c r="C271" s="203" t="s">
        <v>1311</v>
      </c>
      <c r="D271" s="204" t="str">
        <f>IFERROR(__xludf.DUMMYFUNCTION("ARRAYFORMULA(LET( converted, SUBSTITUTE( SUBSTITUTE( SUBSTITUTE( SUBSTITUTE( SUBSTITUTE( SUBSTITUTE( SUBSTITUTE( SUBSTITUTE( SUBSTITUTE( SUBSTITUTE( C271, ""۰"", ""0""), ""۱"", ""1""), ""۲"", ""2""), ""۳"", ""3""), ""۴"", ""4""), ""۵"", ""5""), ""۶"", ""6"&amp;"""), ""۷"", ""7""), ""۸"", ""8""), ""۹"", ""9""), IF(LEFT(converted,3)=""+98"", ""0"" &amp; RIGHT(converted, LEN(converted)-3), IF(LEFT(converted,2)=""98"", ""0"" &amp; RIGHT(converted, LEN(converted)-2), IF(LEFT(converted,1)&lt;&gt;""0"", ""0"" &amp; converted, REGEXREPLA"&amp;"CE(converted , ""\s"", """")) ) ) ) )"),"09194203646")</f>
        <v>09194203646</v>
      </c>
      <c r="E271" s="205" t="s">
        <v>17</v>
      </c>
      <c r="F271" s="206">
        <v>2.0</v>
      </c>
      <c r="G271" s="202"/>
      <c r="H271" s="202" t="s">
        <v>1312</v>
      </c>
      <c r="I271" s="203"/>
      <c r="J271" s="203" t="s">
        <v>1313</v>
      </c>
      <c r="K271" s="207" t="s">
        <v>2179</v>
      </c>
      <c r="L271" s="207" t="s">
        <v>1303</v>
      </c>
      <c r="M271" s="202"/>
      <c r="N271" s="202"/>
      <c r="O271" s="202"/>
      <c r="P271" s="202"/>
      <c r="Q271" s="208"/>
      <c r="R271" s="86"/>
      <c r="S271" s="114">
        <f t="shared" ref="S271:T271" si="272">A271</f>
        <v>270</v>
      </c>
      <c r="T271" s="114" t="str">
        <f t="shared" si="272"/>
        <v>سیده زینب حسینی</v>
      </c>
      <c r="U271" s="86" t="str">
        <f t="shared" si="3"/>
        <v>09194203646</v>
      </c>
      <c r="V271" s="86" t="str">
        <f t="shared" si="4"/>
        <v>پیش‌وایی 2</v>
      </c>
      <c r="W271" s="86"/>
      <c r="X271" s="86"/>
    </row>
    <row r="272">
      <c r="A272" s="192">
        <v>271.0</v>
      </c>
      <c r="B272" s="193" t="s">
        <v>2180</v>
      </c>
      <c r="C272" s="194" t="s">
        <v>2181</v>
      </c>
      <c r="D272" s="195" t="str">
        <f>IFERROR(__xludf.DUMMYFUNCTION("ARRAYFORMULA(LET( converted, SUBSTITUTE( SUBSTITUTE( SUBSTITUTE( SUBSTITUTE( SUBSTITUTE( SUBSTITUTE( SUBSTITUTE( SUBSTITUTE( SUBSTITUTE( SUBSTITUTE( C272, ""۰"", ""0""), ""۱"", ""1""), ""۲"", ""2""), ""۳"", ""3""), ""۴"", ""4""), ""۵"", ""5""), ""۶"", ""6"&amp;"""), ""۷"", ""7""), ""۸"", ""8""), ""۹"", ""9""), IF(LEFT(converted,3)=""+98"", ""0"" &amp; RIGHT(converted, LEN(converted)-3), IF(LEFT(converted,2)=""98"", ""0"" &amp; RIGHT(converted, LEN(converted)-2), IF(LEFT(converted,1)&lt;&gt;""0"", ""0"" &amp; converted, REGEXREPLA"&amp;"CE(converted , ""\s"", """")) ) ) ) )"),"09129452968")</f>
        <v>09129452968</v>
      </c>
      <c r="E272" s="196" t="s">
        <v>17</v>
      </c>
      <c r="F272" s="197">
        <v>2.0</v>
      </c>
      <c r="G272" s="193"/>
      <c r="H272" s="193" t="s">
        <v>2182</v>
      </c>
      <c r="I272" s="194"/>
      <c r="J272" s="194" t="s">
        <v>2183</v>
      </c>
      <c r="K272" s="199" t="s">
        <v>1018</v>
      </c>
      <c r="L272" s="199" t="s">
        <v>2184</v>
      </c>
      <c r="M272" s="193"/>
      <c r="N272" s="193"/>
      <c r="O272" s="193"/>
      <c r="P272" s="193"/>
      <c r="Q272" s="200"/>
      <c r="R272" s="86"/>
      <c r="S272" s="114">
        <f t="shared" ref="S272:T272" si="273">A272</f>
        <v>271</v>
      </c>
      <c r="T272" s="114" t="str">
        <f t="shared" si="273"/>
        <v>علی میرزایی</v>
      </c>
      <c r="U272" s="86" t="str">
        <f t="shared" si="3"/>
        <v>09129452968</v>
      </c>
      <c r="V272" s="86" t="str">
        <f t="shared" si="4"/>
        <v>پیش‌وایی 2</v>
      </c>
      <c r="W272" s="86"/>
      <c r="X272" s="86"/>
    </row>
    <row r="273">
      <c r="A273" s="201">
        <v>272.0</v>
      </c>
      <c r="B273" s="202" t="s">
        <v>778</v>
      </c>
      <c r="C273" s="203" t="s">
        <v>779</v>
      </c>
      <c r="D273" s="204" t="str">
        <f>IFERROR(__xludf.DUMMYFUNCTION("ARRAYFORMULA(LET( converted, SUBSTITUTE( SUBSTITUTE( SUBSTITUTE( SUBSTITUTE( SUBSTITUTE( SUBSTITUTE( SUBSTITUTE( SUBSTITUTE( SUBSTITUTE( SUBSTITUTE( C273, ""۰"", ""0""), ""۱"", ""1""), ""۲"", ""2""), ""۳"", ""3""), ""۴"", ""4""), ""۵"", ""5""), ""۶"", ""6"&amp;"""), ""۷"", ""7""), ""۸"", ""8""), ""۹"", ""9""), IF(LEFT(converted,3)=""+98"", ""0"" &amp; RIGHT(converted, LEN(converted)-3), IF(LEFT(converted,2)=""98"", ""0"" &amp; RIGHT(converted, LEN(converted)-2), IF(LEFT(converted,1)&lt;&gt;""0"", ""0"" &amp; converted, REGEXREPLA"&amp;"CE(converted , ""\s"", """")) ) ) ) )"),"09101963046")</f>
        <v>09101963046</v>
      </c>
      <c r="E273" s="205" t="s">
        <v>17</v>
      </c>
      <c r="F273" s="206">
        <v>2.0</v>
      </c>
      <c r="G273" s="202"/>
      <c r="H273" s="202" t="s">
        <v>2185</v>
      </c>
      <c r="I273" s="203"/>
      <c r="J273" s="203" t="s">
        <v>781</v>
      </c>
      <c r="K273" s="207" t="s">
        <v>782</v>
      </c>
      <c r="L273" s="207" t="s">
        <v>783</v>
      </c>
      <c r="M273" s="202"/>
      <c r="N273" s="202"/>
      <c r="O273" s="202"/>
      <c r="P273" s="202"/>
      <c r="Q273" s="208"/>
      <c r="R273" s="86"/>
      <c r="S273" s="114">
        <f t="shared" ref="S273:T273" si="274">A273</f>
        <v>272</v>
      </c>
      <c r="T273" s="114" t="str">
        <f t="shared" si="274"/>
        <v>انوش شفیعی</v>
      </c>
      <c r="U273" s="86" t="str">
        <f t="shared" si="3"/>
        <v>09101963046</v>
      </c>
      <c r="V273" s="86" t="str">
        <f t="shared" si="4"/>
        <v>پیش‌وایی 2</v>
      </c>
      <c r="W273" s="86"/>
      <c r="X273" s="86"/>
    </row>
    <row r="274">
      <c r="A274" s="192">
        <v>273.0</v>
      </c>
      <c r="B274" s="193" t="s">
        <v>1342</v>
      </c>
      <c r="C274" s="194" t="s">
        <v>1343</v>
      </c>
      <c r="D274" s="195" t="str">
        <f>IFERROR(__xludf.DUMMYFUNCTION("ARRAYFORMULA(LET( converted, SUBSTITUTE( SUBSTITUTE( SUBSTITUTE( SUBSTITUTE( SUBSTITUTE( SUBSTITUTE( SUBSTITUTE( SUBSTITUTE( SUBSTITUTE( SUBSTITUTE( C274, ""۰"", ""0""), ""۱"", ""1""), ""۲"", ""2""), ""۳"", ""3""), ""۴"", ""4""), ""۵"", ""5""), ""۶"", ""6"&amp;"""), ""۷"", ""7""), ""۸"", ""8""), ""۹"", ""9""), IF(LEFT(converted,3)=""+98"", ""0"" &amp; RIGHT(converted, LEN(converted)-3), IF(LEFT(converted,2)=""98"", ""0"" &amp; RIGHT(converted, LEN(converted)-2), IF(LEFT(converted,1)&lt;&gt;""0"", ""0"" &amp; converted, REGEXREPLA"&amp;"CE(converted , ""\s"", """")) ) ) ) )"),"09224830197")</f>
        <v>09224830197</v>
      </c>
      <c r="E274" s="196" t="s">
        <v>17</v>
      </c>
      <c r="F274" s="197">
        <v>2.0</v>
      </c>
      <c r="G274" s="193"/>
      <c r="H274" s="193" t="s">
        <v>2186</v>
      </c>
      <c r="I274" s="194"/>
      <c r="J274" s="194" t="s">
        <v>1345</v>
      </c>
      <c r="K274" s="199" t="s">
        <v>196</v>
      </c>
      <c r="L274" s="199" t="s">
        <v>242</v>
      </c>
      <c r="M274" s="193"/>
      <c r="N274" s="193"/>
      <c r="O274" s="193"/>
      <c r="P274" s="193"/>
      <c r="Q274" s="200"/>
      <c r="R274" s="86"/>
      <c r="S274" s="114">
        <f t="shared" ref="S274:T274" si="275">A274</f>
        <v>273</v>
      </c>
      <c r="T274" s="114" t="str">
        <f t="shared" si="275"/>
        <v>سایه زارعی</v>
      </c>
      <c r="U274" s="86" t="str">
        <f t="shared" si="3"/>
        <v>09224830197</v>
      </c>
      <c r="V274" s="86" t="str">
        <f t="shared" si="4"/>
        <v>پیش‌وایی 2</v>
      </c>
      <c r="W274" s="86"/>
      <c r="X274" s="86"/>
    </row>
    <row r="275">
      <c r="A275" s="201">
        <v>274.0</v>
      </c>
      <c r="B275" s="202" t="s">
        <v>1348</v>
      </c>
      <c r="C275" s="203"/>
      <c r="D275" s="204" t="str">
        <f>IFERROR(__xludf.DUMMYFUNCTION("ARRAYFORMULA(LET( converted, SUBSTITUTE( SUBSTITUTE( SUBSTITUTE( SUBSTITUTE( SUBSTITUTE( SUBSTITUTE( SUBSTITUTE( SUBSTITUTE( SUBSTITUTE( SUBSTITUTE( C275, ""۰"", ""0""), ""۱"", ""1""), ""۲"", ""2""), ""۳"", ""3""), ""۴"", ""4""), ""۵"", ""5""), ""۶"", ""6"&amp;"""), ""۷"", ""7""), ""۸"", ""8""), ""۹"", ""9""), IF(LEFT(converted,3)=""+98"", ""0"" &amp; RIGHT(converted, LEN(converted)-3), IF(LEFT(converted,2)=""98"", ""0"" &amp; RIGHT(converted, LEN(converted)-2), IF(LEFT(converted,1)&lt;&gt;""0"", ""0"" &amp; converted, REGEXREPLA"&amp;"CE(converted , ""\s"", """")) ) ) ) )"),"0")</f>
        <v>0</v>
      </c>
      <c r="E275" s="205" t="s">
        <v>17</v>
      </c>
      <c r="F275" s="206">
        <v>2.0</v>
      </c>
      <c r="G275" s="202"/>
      <c r="H275" s="202" t="s">
        <v>2187</v>
      </c>
      <c r="I275" s="203"/>
      <c r="J275" s="203"/>
      <c r="K275" s="207" t="s">
        <v>1351</v>
      </c>
      <c r="L275" s="207" t="s">
        <v>1352</v>
      </c>
      <c r="M275" s="202"/>
      <c r="N275" s="202"/>
      <c r="O275" s="202"/>
      <c r="P275" s="202"/>
      <c r="Q275" s="208"/>
      <c r="R275" s="86"/>
      <c r="S275" s="114">
        <f t="shared" ref="S275:T275" si="276">A275</f>
        <v>274</v>
      </c>
      <c r="T275" s="114" t="str">
        <f t="shared" si="276"/>
        <v>حمید طاهری</v>
      </c>
      <c r="U275" s="86" t="str">
        <f t="shared" si="3"/>
        <v>0</v>
      </c>
      <c r="V275" s="86" t="str">
        <f t="shared" si="4"/>
        <v>پیش‌وایی 2</v>
      </c>
      <c r="W275" s="86"/>
      <c r="X275" s="86"/>
    </row>
    <row r="276">
      <c r="A276" s="192">
        <v>275.0</v>
      </c>
      <c r="B276" s="193" t="s">
        <v>1533</v>
      </c>
      <c r="C276" s="194" t="s">
        <v>2188</v>
      </c>
      <c r="D276" s="195" t="str">
        <f>IFERROR(__xludf.DUMMYFUNCTION("ARRAYFORMULA(LET( converted, SUBSTITUTE( SUBSTITUTE( SUBSTITUTE( SUBSTITUTE( SUBSTITUTE( SUBSTITUTE( SUBSTITUTE( SUBSTITUTE( SUBSTITUTE( SUBSTITUTE( C276, ""۰"", ""0""), ""۱"", ""1""), ""۲"", ""2""), ""۳"", ""3""), ""۴"", ""4""), ""۵"", ""5""), ""۶"", ""6"&amp;"""), ""۷"", ""7""), ""۸"", ""8""), ""۹"", ""9""), IF(LEFT(converted,3)=""+98"", ""0"" &amp; RIGHT(converted, LEN(converted)-3), IF(LEFT(converted,2)=""98"", ""0"" &amp; RIGHT(converted, LEN(converted)-2), IF(LEFT(converted,1)&lt;&gt;""0"", ""0"" &amp; converted, REGEXREPLA"&amp;"CE(converted , ""\s"", """")) ) ) ) )"),"09353373473")</f>
        <v>09353373473</v>
      </c>
      <c r="E276" s="196" t="s">
        <v>17</v>
      </c>
      <c r="F276" s="197">
        <v>2.0</v>
      </c>
      <c r="G276" s="193"/>
      <c r="H276" s="193" t="s">
        <v>2189</v>
      </c>
      <c r="I276" s="194"/>
      <c r="J276" s="194" t="s">
        <v>2190</v>
      </c>
      <c r="K276" s="199" t="s">
        <v>1535</v>
      </c>
      <c r="L276" s="199" t="s">
        <v>1536</v>
      </c>
      <c r="M276" s="193"/>
      <c r="N276" s="193"/>
      <c r="O276" s="193"/>
      <c r="P276" s="193"/>
      <c r="Q276" s="200"/>
      <c r="R276" s="86"/>
      <c r="S276" s="114">
        <f t="shared" ref="S276:T276" si="277">A276</f>
        <v>275</v>
      </c>
      <c r="T276" s="114" t="str">
        <f t="shared" si="277"/>
        <v>خشایار پاکفر</v>
      </c>
      <c r="U276" s="86" t="str">
        <f t="shared" si="3"/>
        <v>09353373473</v>
      </c>
      <c r="V276" s="86" t="str">
        <f t="shared" si="4"/>
        <v>پیش‌وایی 2</v>
      </c>
      <c r="W276" s="86"/>
      <c r="X276" s="86"/>
    </row>
    <row r="277">
      <c r="A277" s="201">
        <v>276.0</v>
      </c>
      <c r="B277" s="202" t="s">
        <v>1400</v>
      </c>
      <c r="C277" s="203" t="s">
        <v>1401</v>
      </c>
      <c r="D277" s="204" t="str">
        <f>IFERROR(__xludf.DUMMYFUNCTION("ARRAYFORMULA(LET( converted, SUBSTITUTE( SUBSTITUTE( SUBSTITUTE( SUBSTITUTE( SUBSTITUTE( SUBSTITUTE( SUBSTITUTE( SUBSTITUTE( SUBSTITUTE( SUBSTITUTE( C277, ""۰"", ""0""), ""۱"", ""1""), ""۲"", ""2""), ""۳"", ""3""), ""۴"", ""4""), ""۵"", ""5""), ""۶"", ""6"&amp;"""), ""۷"", ""7""), ""۸"", ""8""), ""۹"", ""9""), IF(LEFT(converted,3)=""+98"", ""0"" &amp; RIGHT(converted, LEN(converted)-3), IF(LEFT(converted,2)=""98"", ""0"" &amp; RIGHT(converted, LEN(converted)-2), IF(LEFT(converted,1)&lt;&gt;""0"", ""0"" &amp; converted, REGEXREPLA"&amp;"CE(converted , ""\s"", """")) ) ) ) )"),"09123377910")</f>
        <v>09123377910</v>
      </c>
      <c r="E277" s="205" t="s">
        <v>17</v>
      </c>
      <c r="F277" s="206">
        <v>2.0</v>
      </c>
      <c r="G277" s="202"/>
      <c r="H277" s="202" t="s">
        <v>2191</v>
      </c>
      <c r="I277" s="203"/>
      <c r="J277" s="203" t="s">
        <v>1403</v>
      </c>
      <c r="K277" s="207" t="s">
        <v>27</v>
      </c>
      <c r="L277" s="207" t="s">
        <v>315</v>
      </c>
      <c r="M277" s="202"/>
      <c r="N277" s="202"/>
      <c r="O277" s="202"/>
      <c r="P277" s="202"/>
      <c r="Q277" s="208"/>
      <c r="R277" s="86"/>
      <c r="S277" s="114">
        <f t="shared" ref="S277:T277" si="278">A277</f>
        <v>276</v>
      </c>
      <c r="T277" s="114" t="str">
        <f t="shared" si="278"/>
        <v>مجید حسینی نژاد</v>
      </c>
      <c r="U277" s="86" t="str">
        <f t="shared" si="3"/>
        <v>09123377910</v>
      </c>
      <c r="V277" s="86" t="str">
        <f t="shared" si="4"/>
        <v>پیش‌وایی 2</v>
      </c>
      <c r="W277" s="86"/>
      <c r="X277" s="86"/>
    </row>
    <row r="278">
      <c r="A278" s="192">
        <v>277.0</v>
      </c>
      <c r="B278" s="193" t="s">
        <v>1853</v>
      </c>
      <c r="C278" s="194"/>
      <c r="D278" s="195" t="str">
        <f>IFERROR(__xludf.DUMMYFUNCTION("ARRAYFORMULA(LET( converted, SUBSTITUTE( SUBSTITUTE( SUBSTITUTE( SUBSTITUTE( SUBSTITUTE( SUBSTITUTE( SUBSTITUTE( SUBSTITUTE( SUBSTITUTE( SUBSTITUTE( C278, ""۰"", ""0""), ""۱"", ""1""), ""۲"", ""2""), ""۳"", ""3""), ""۴"", ""4""), ""۵"", ""5""), ""۶"", ""6"&amp;"""), ""۷"", ""7""), ""۸"", ""8""), ""۹"", ""9""), IF(LEFT(converted,3)=""+98"", ""0"" &amp; RIGHT(converted, LEN(converted)-3), IF(LEFT(converted,2)=""98"", ""0"" &amp; RIGHT(converted, LEN(converted)-2), IF(LEFT(converted,1)&lt;&gt;""0"", ""0"" &amp; converted, REGEXREPLA"&amp;"CE(converted , ""\s"", """")) ) ) ) )"),"0")</f>
        <v>0</v>
      </c>
      <c r="E278" s="196" t="s">
        <v>17</v>
      </c>
      <c r="F278" s="197">
        <v>2.0</v>
      </c>
      <c r="G278" s="193"/>
      <c r="H278" s="193"/>
      <c r="I278" s="194"/>
      <c r="J278" s="194"/>
      <c r="K278" s="199" t="s">
        <v>1854</v>
      </c>
      <c r="L278" s="199" t="s">
        <v>1855</v>
      </c>
      <c r="M278" s="193"/>
      <c r="N278" s="193"/>
      <c r="O278" s="193"/>
      <c r="P278" s="193"/>
      <c r="Q278" s="200"/>
      <c r="R278" s="86"/>
      <c r="S278" s="114">
        <f t="shared" ref="S278:T278" si="279">A278</f>
        <v>277</v>
      </c>
      <c r="T278" s="114" t="str">
        <f t="shared" si="279"/>
        <v>ریحانه ذوالفقاری</v>
      </c>
      <c r="U278" s="86" t="str">
        <f t="shared" si="3"/>
        <v>0</v>
      </c>
      <c r="V278" s="86" t="str">
        <f t="shared" si="4"/>
        <v>پیش‌وایی 2</v>
      </c>
      <c r="W278" s="86"/>
      <c r="X278" s="86"/>
    </row>
    <row r="279">
      <c r="A279" s="201">
        <v>278.0</v>
      </c>
      <c r="B279" s="202" t="s">
        <v>2192</v>
      </c>
      <c r="C279" s="203"/>
      <c r="D279" s="204" t="str">
        <f>IFERROR(__xludf.DUMMYFUNCTION("ARRAYFORMULA(LET( converted, SUBSTITUTE( SUBSTITUTE( SUBSTITUTE( SUBSTITUTE( SUBSTITUTE( SUBSTITUTE( SUBSTITUTE( SUBSTITUTE( SUBSTITUTE( SUBSTITUTE( C279, ""۰"", ""0""), ""۱"", ""1""), ""۲"", ""2""), ""۳"", ""3""), ""۴"", ""4""), ""۵"", ""5""), ""۶"", ""6"&amp;"""), ""۷"", ""7""), ""۸"", ""8""), ""۹"", ""9""), IF(LEFT(converted,3)=""+98"", ""0"" &amp; RIGHT(converted, LEN(converted)-3), IF(LEFT(converted,2)=""98"", ""0"" &amp; RIGHT(converted, LEN(converted)-2), IF(LEFT(converted,1)&lt;&gt;""0"", ""0"" &amp; converted, REGEXREPLA"&amp;"CE(converted , ""\s"", """")) ) ) ) )"),"0")</f>
        <v>0</v>
      </c>
      <c r="E279" s="205" t="s">
        <v>17</v>
      </c>
      <c r="F279" s="206">
        <v>2.0</v>
      </c>
      <c r="G279" s="202"/>
      <c r="H279" s="202" t="s">
        <v>1920</v>
      </c>
      <c r="I279" s="203"/>
      <c r="J279" s="203"/>
      <c r="K279" s="207" t="s">
        <v>1218</v>
      </c>
      <c r="L279" s="207" t="s">
        <v>315</v>
      </c>
      <c r="M279" s="202"/>
      <c r="N279" s="202"/>
      <c r="O279" s="202"/>
      <c r="P279" s="202"/>
      <c r="Q279" s="208"/>
      <c r="R279" s="86"/>
      <c r="S279" s="114">
        <f t="shared" ref="S279:T279" si="280">A279</f>
        <v>278</v>
      </c>
      <c r="T279" s="114" t="str">
        <f t="shared" si="280"/>
        <v>تارا حسینی نژاد</v>
      </c>
      <c r="U279" s="86" t="str">
        <f t="shared" si="3"/>
        <v>0</v>
      </c>
      <c r="V279" s="86" t="str">
        <f t="shared" si="4"/>
        <v>پیش‌وایی 2</v>
      </c>
      <c r="W279" s="86"/>
      <c r="X279" s="86"/>
    </row>
    <row r="280">
      <c r="A280" s="192">
        <v>279.0</v>
      </c>
      <c r="B280" s="193" t="s">
        <v>2193</v>
      </c>
      <c r="C280" s="194"/>
      <c r="D280" s="195" t="str">
        <f>IFERROR(__xludf.DUMMYFUNCTION("ARRAYFORMULA(LET( converted, SUBSTITUTE( SUBSTITUTE( SUBSTITUTE( SUBSTITUTE( SUBSTITUTE( SUBSTITUTE( SUBSTITUTE( SUBSTITUTE( SUBSTITUTE( SUBSTITUTE( C280, ""۰"", ""0""), ""۱"", ""1""), ""۲"", ""2""), ""۳"", ""3""), ""۴"", ""4""), ""۵"", ""5""), ""۶"", ""6"&amp;"""), ""۷"", ""7""), ""۸"", ""8""), ""۹"", ""9""), IF(LEFT(converted,3)=""+98"", ""0"" &amp; RIGHT(converted, LEN(converted)-3), IF(LEFT(converted,2)=""98"", ""0"" &amp; RIGHT(converted, LEN(converted)-2), IF(LEFT(converted,1)&lt;&gt;""0"", ""0"" &amp; converted, REGEXREPLA"&amp;"CE(converted , ""\s"", """")) ) ) ) )"),"0")</f>
        <v>0</v>
      </c>
      <c r="E280" s="196" t="s">
        <v>17</v>
      </c>
      <c r="F280" s="197">
        <v>2.0</v>
      </c>
      <c r="G280" s="193"/>
      <c r="H280" s="193" t="s">
        <v>1920</v>
      </c>
      <c r="I280" s="194"/>
      <c r="J280" s="194"/>
      <c r="K280" s="199" t="s">
        <v>2194</v>
      </c>
      <c r="L280" s="199" t="s">
        <v>315</v>
      </c>
      <c r="M280" s="193"/>
      <c r="N280" s="193"/>
      <c r="O280" s="193"/>
      <c r="P280" s="193"/>
      <c r="Q280" s="200"/>
      <c r="R280" s="86"/>
      <c r="S280" s="114">
        <f t="shared" ref="S280:T280" si="281">A280</f>
        <v>279</v>
      </c>
      <c r="T280" s="114" t="str">
        <f t="shared" si="281"/>
        <v>رایان حسینی نژاد</v>
      </c>
      <c r="U280" s="86" t="str">
        <f t="shared" si="3"/>
        <v>0</v>
      </c>
      <c r="V280" s="86" t="str">
        <f t="shared" si="4"/>
        <v>پیش‌وایی 2</v>
      </c>
      <c r="W280" s="86"/>
      <c r="X280" s="86"/>
    </row>
    <row r="281">
      <c r="A281" s="201">
        <v>280.0</v>
      </c>
      <c r="B281" s="202" t="s">
        <v>77</v>
      </c>
      <c r="C281" s="203" t="s">
        <v>1389</v>
      </c>
      <c r="D281" s="204" t="str">
        <f>IFERROR(__xludf.DUMMYFUNCTION("ARRAYFORMULA(LET( converted, SUBSTITUTE( SUBSTITUTE( SUBSTITUTE( SUBSTITUTE( SUBSTITUTE( SUBSTITUTE( SUBSTITUTE( SUBSTITUTE( SUBSTITUTE( SUBSTITUTE( C281, ""۰"", ""0""), ""۱"", ""1""), ""۲"", ""2""), ""۳"", ""3""), ""۴"", ""4""), ""۵"", ""5""), ""۶"", ""6"&amp;"""), ""۷"", ""7""), ""۸"", ""8""), ""۹"", ""9""), IF(LEFT(converted,3)=""+98"", ""0"" &amp; RIGHT(converted, LEN(converted)-3), IF(LEFT(converted,2)=""98"", ""0"" &amp; RIGHT(converted, LEN(converted)-2), IF(LEFT(converted,1)&lt;&gt;""0"", ""0"" &amp; converted, REGEXREPLA"&amp;"CE(converted , ""\s"", """")) ) ) ) )"),"09122037453")</f>
        <v>09122037453</v>
      </c>
      <c r="E281" s="205" t="s">
        <v>17</v>
      </c>
      <c r="F281" s="206">
        <v>2.0</v>
      </c>
      <c r="G281" s="202"/>
      <c r="H281" s="202" t="s">
        <v>2195</v>
      </c>
      <c r="I281" s="203"/>
      <c r="J281" s="203" t="s">
        <v>1391</v>
      </c>
      <c r="K281" s="207" t="s">
        <v>844</v>
      </c>
      <c r="L281" s="207" t="s">
        <v>1392</v>
      </c>
      <c r="M281" s="202"/>
      <c r="N281" s="202"/>
      <c r="O281" s="202"/>
      <c r="P281" s="202"/>
      <c r="Q281" s="208"/>
      <c r="R281" s="86"/>
      <c r="S281" s="114">
        <f t="shared" ref="S281:T281" si="282">A281</f>
        <v>280</v>
      </c>
      <c r="T281" s="114" t="str">
        <f t="shared" si="282"/>
        <v>مسعود طباطبایی</v>
      </c>
      <c r="U281" s="86" t="str">
        <f t="shared" si="3"/>
        <v>09122037453</v>
      </c>
      <c r="V281" s="86" t="str">
        <f t="shared" si="4"/>
        <v>پیش‌وایی 2</v>
      </c>
      <c r="W281" s="86"/>
      <c r="X281" s="86"/>
    </row>
    <row r="282">
      <c r="A282" s="192">
        <v>281.0</v>
      </c>
      <c r="B282" s="193" t="s">
        <v>864</v>
      </c>
      <c r="C282" s="194" t="s">
        <v>893</v>
      </c>
      <c r="D282" s="195" t="str">
        <f>IFERROR(__xludf.DUMMYFUNCTION("ARRAYFORMULA(LET( converted, SUBSTITUTE( SUBSTITUTE( SUBSTITUTE( SUBSTITUTE( SUBSTITUTE( SUBSTITUTE( SUBSTITUTE( SUBSTITUTE( SUBSTITUTE( SUBSTITUTE( C282, ""۰"", ""0""), ""۱"", ""1""), ""۲"", ""2""), ""۳"", ""3""), ""۴"", ""4""), ""۵"", ""5""), ""۶"", ""6"&amp;"""), ""۷"", ""7""), ""۸"", ""8""), ""۹"", ""9""), IF(LEFT(converted,3)=""+98"", ""0"" &amp; RIGHT(converted, LEN(converted)-3), IF(LEFT(converted,2)=""98"", ""0"" &amp; RIGHT(converted, LEN(converted)-2), IF(LEFT(converted,1)&lt;&gt;""0"", ""0"" &amp; converted, REGEXREPLA"&amp;"CE(converted , ""\s"", """")) ) ) ) )"),"0")</f>
        <v>0</v>
      </c>
      <c r="E282" s="196" t="s">
        <v>17</v>
      </c>
      <c r="F282" s="197">
        <v>2.0</v>
      </c>
      <c r="G282" s="193"/>
      <c r="H282" s="198" t="s">
        <v>2196</v>
      </c>
      <c r="I282" s="194"/>
      <c r="J282" s="194" t="s">
        <v>2063</v>
      </c>
      <c r="K282" s="199" t="s">
        <v>202</v>
      </c>
      <c r="L282" s="199" t="s">
        <v>868</v>
      </c>
      <c r="M282" s="193"/>
      <c r="N282" s="193"/>
      <c r="O282" s="193"/>
      <c r="P282" s="193"/>
      <c r="Q282" s="200"/>
      <c r="R282" s="86"/>
      <c r="S282" s="114">
        <f t="shared" ref="S282:T282" si="283">A282</f>
        <v>281</v>
      </c>
      <c r="T282" s="114" t="str">
        <f t="shared" si="283"/>
        <v>ستاره نیک نژاد</v>
      </c>
      <c r="U282" s="86" t="str">
        <f t="shared" si="3"/>
        <v>0</v>
      </c>
      <c r="V282" s="86" t="str">
        <f t="shared" si="4"/>
        <v>پیش‌وایی 2</v>
      </c>
      <c r="W282" s="86"/>
      <c r="X282" s="86"/>
    </row>
    <row r="283">
      <c r="A283" s="201">
        <v>282.0</v>
      </c>
      <c r="B283" s="202" t="s">
        <v>2197</v>
      </c>
      <c r="C283" s="203" t="s">
        <v>2198</v>
      </c>
      <c r="D283" s="204" t="str">
        <f>IFERROR(__xludf.DUMMYFUNCTION("ARRAYFORMULA(LET( converted, SUBSTITUTE( SUBSTITUTE( SUBSTITUTE( SUBSTITUTE( SUBSTITUTE( SUBSTITUTE( SUBSTITUTE( SUBSTITUTE( SUBSTITUTE( SUBSTITUTE( C283, ""۰"", ""0""), ""۱"", ""1""), ""۲"", ""2""), ""۳"", ""3""), ""۴"", ""4""), ""۵"", ""5""), ""۶"", ""6"&amp;"""), ""۷"", ""7""), ""۸"", ""8""), ""۹"", ""9""), IF(LEFT(converted,3)=""+98"", ""0"" &amp; RIGHT(converted, LEN(converted)-3), IF(LEFT(converted,2)=""98"", ""0"" &amp; RIGHT(converted, LEN(converted)-2), IF(LEFT(converted,1)&lt;&gt;""0"", ""0"" &amp; converted, REGEXREPLA"&amp;"CE(converted , ""\s"", """")) ) ) ) )"),"09127202144")</f>
        <v>09127202144</v>
      </c>
      <c r="E283" s="205" t="s">
        <v>17</v>
      </c>
      <c r="F283" s="206">
        <v>2.0</v>
      </c>
      <c r="G283" s="202"/>
      <c r="H283" s="202" t="s">
        <v>2199</v>
      </c>
      <c r="I283" s="203"/>
      <c r="J283" s="203"/>
      <c r="K283" s="207" t="s">
        <v>2200</v>
      </c>
      <c r="L283" s="207" t="s">
        <v>2201</v>
      </c>
      <c r="M283" s="202"/>
      <c r="N283" s="202"/>
      <c r="O283" s="202"/>
      <c r="P283" s="202"/>
      <c r="Q283" s="208"/>
      <c r="R283" s="86"/>
      <c r="S283" s="114">
        <f t="shared" ref="S283:T283" si="284">A283</f>
        <v>282</v>
      </c>
      <c r="T283" s="114" t="str">
        <f t="shared" si="284"/>
        <v>اکبر هاشمی</v>
      </c>
      <c r="U283" s="86" t="str">
        <f t="shared" si="3"/>
        <v>09127202144</v>
      </c>
      <c r="V283" s="86" t="str">
        <f t="shared" si="4"/>
        <v>پیش‌وایی 2</v>
      </c>
      <c r="W283" s="86"/>
      <c r="X283" s="86"/>
    </row>
    <row r="284">
      <c r="A284" s="192">
        <v>283.0</v>
      </c>
      <c r="B284" s="193" t="s">
        <v>2202</v>
      </c>
      <c r="C284" s="194" t="s">
        <v>2203</v>
      </c>
      <c r="D284" s="195" t="str">
        <f>IFERROR(__xludf.DUMMYFUNCTION("ARRAYFORMULA(LET( converted, SUBSTITUTE( SUBSTITUTE( SUBSTITUTE( SUBSTITUTE( SUBSTITUTE( SUBSTITUTE( SUBSTITUTE( SUBSTITUTE( SUBSTITUTE( SUBSTITUTE( C284, ""۰"", ""0""), ""۱"", ""1""), ""۲"", ""2""), ""۳"", ""3""), ""۴"", ""4""), ""۵"", ""5""), ""۶"", ""6"&amp;"""), ""۷"", ""7""), ""۸"", ""8""), ""۹"", ""9""), IF(LEFT(converted,3)=""+98"", ""0"" &amp; RIGHT(converted, LEN(converted)-3), IF(LEFT(converted,2)=""98"", ""0"" &amp; RIGHT(converted, LEN(converted)-2), IF(LEFT(converted,1)&lt;&gt;""0"", ""0"" &amp; converted, REGEXREPLA"&amp;"CE(converted , ""\s"", """")) ) ) ) )"),"09126330975")</f>
        <v>09126330975</v>
      </c>
      <c r="E284" s="196" t="s">
        <v>17</v>
      </c>
      <c r="F284" s="197">
        <v>2.0</v>
      </c>
      <c r="G284" s="193"/>
      <c r="H284" s="193" t="s">
        <v>2204</v>
      </c>
      <c r="I284" s="194"/>
      <c r="J284" s="194"/>
      <c r="K284" s="199" t="s">
        <v>1473</v>
      </c>
      <c r="L284" s="199" t="s">
        <v>2205</v>
      </c>
      <c r="M284" s="193"/>
      <c r="N284" s="193"/>
      <c r="O284" s="193"/>
      <c r="P284" s="193"/>
      <c r="Q284" s="200"/>
      <c r="R284" s="86"/>
      <c r="S284" s="114">
        <f t="shared" ref="S284:T284" si="285">A284</f>
        <v>283</v>
      </c>
      <c r="T284" s="114" t="str">
        <f t="shared" si="285"/>
        <v>مصطفی داودی</v>
      </c>
      <c r="U284" s="86" t="str">
        <f t="shared" si="3"/>
        <v>09126330975</v>
      </c>
      <c r="V284" s="86" t="str">
        <f t="shared" si="4"/>
        <v>پیش‌وایی 2</v>
      </c>
      <c r="W284" s="86"/>
      <c r="X284" s="86"/>
    </row>
    <row r="285">
      <c r="A285" s="201">
        <v>284.0</v>
      </c>
      <c r="B285" s="202" t="s">
        <v>2206</v>
      </c>
      <c r="C285" s="203" t="s">
        <v>1631</v>
      </c>
      <c r="D285" s="204" t="str">
        <f>IFERROR(__xludf.DUMMYFUNCTION("ARRAYFORMULA(LET( converted, SUBSTITUTE( SUBSTITUTE( SUBSTITUTE( SUBSTITUTE( SUBSTITUTE( SUBSTITUTE( SUBSTITUTE( SUBSTITUTE( SUBSTITUTE( SUBSTITUTE( C285, ""۰"", ""0""), ""۱"", ""1""), ""۲"", ""2""), ""۳"", ""3""), ""۴"", ""4""), ""۵"", ""5""), ""۶"", ""6"&amp;"""), ""۷"", ""7""), ""۸"", ""8""), ""۹"", ""9""), IF(LEFT(converted,3)=""+98"", ""0"" &amp; RIGHT(converted, LEN(converted)-3), IF(LEFT(converted,2)=""98"", ""0"" &amp; RIGHT(converted, LEN(converted)-2), IF(LEFT(converted,1)&lt;&gt;""0"", ""0"" &amp; converted, REGEXREPLA"&amp;"CE(converted , ""\s"", """")) ) ) ) )"),"09124386498")</f>
        <v>09124386498</v>
      </c>
      <c r="E285" s="205" t="s">
        <v>17</v>
      </c>
      <c r="F285" s="206">
        <v>2.0</v>
      </c>
      <c r="G285" s="202"/>
      <c r="H285" s="202" t="s">
        <v>2207</v>
      </c>
      <c r="I285" s="203"/>
      <c r="J285" s="203"/>
      <c r="K285" s="207" t="s">
        <v>1633</v>
      </c>
      <c r="L285" s="207" t="s">
        <v>2208</v>
      </c>
      <c r="M285" s="202"/>
      <c r="N285" s="202"/>
      <c r="O285" s="202"/>
      <c r="P285" s="202"/>
      <c r="Q285" s="208"/>
      <c r="R285" s="86"/>
      <c r="S285" s="114">
        <f t="shared" ref="S285:T285" si="286">A285</f>
        <v>284</v>
      </c>
      <c r="T285" s="114" t="str">
        <f t="shared" si="286"/>
        <v>یاسمن یقینی</v>
      </c>
      <c r="U285" s="86" t="str">
        <f t="shared" si="3"/>
        <v>09124386498</v>
      </c>
      <c r="V285" s="86" t="str">
        <f t="shared" si="4"/>
        <v>پیش‌وایی 2</v>
      </c>
      <c r="W285" s="86"/>
      <c r="X285" s="86"/>
    </row>
    <row r="286">
      <c r="A286" s="192">
        <v>285.0</v>
      </c>
      <c r="B286" s="193" t="s">
        <v>2209</v>
      </c>
      <c r="C286" s="194" t="s">
        <v>2210</v>
      </c>
      <c r="D286" s="195" t="str">
        <f>IFERROR(__xludf.DUMMYFUNCTION("ARRAYFORMULA(LET( converted, SUBSTITUTE( SUBSTITUTE( SUBSTITUTE( SUBSTITUTE( SUBSTITUTE( SUBSTITUTE( SUBSTITUTE( SUBSTITUTE( SUBSTITUTE( SUBSTITUTE( C286, ""۰"", ""0""), ""۱"", ""1""), ""۲"", ""2""), ""۳"", ""3""), ""۴"", ""4""), ""۵"", ""5""), ""۶"", ""6"&amp;"""), ""۷"", ""7""), ""۸"", ""8""), ""۹"", ""9""), IF(LEFT(converted,3)=""+98"", ""0"" &amp; RIGHT(converted, LEN(converted)-3), IF(LEFT(converted,2)=""98"", ""0"" &amp; RIGHT(converted, LEN(converted)-2), IF(LEFT(converted,1)&lt;&gt;""0"", ""0"" &amp; converted, REGEXREPLA"&amp;"CE(converted , ""\s"", """")) ) ) ) )"),"09197050074")</f>
        <v>09197050074</v>
      </c>
      <c r="E286" s="196" t="s">
        <v>17</v>
      </c>
      <c r="F286" s="197">
        <v>2.0</v>
      </c>
      <c r="G286" s="193"/>
      <c r="H286" s="193" t="s">
        <v>2211</v>
      </c>
      <c r="I286" s="194"/>
      <c r="J286" s="194" t="s">
        <v>2212</v>
      </c>
      <c r="K286" s="199" t="s">
        <v>1766</v>
      </c>
      <c r="L286" s="199" t="s">
        <v>1256</v>
      </c>
      <c r="M286" s="193"/>
      <c r="N286" s="193"/>
      <c r="O286" s="193"/>
      <c r="P286" s="193"/>
      <c r="Q286" s="200"/>
      <c r="R286" s="86"/>
      <c r="S286" s="114">
        <f t="shared" ref="S286:T286" si="287">A286</f>
        <v>285</v>
      </c>
      <c r="T286" s="114" t="str">
        <f t="shared" si="287"/>
        <v>زینب سلطانی</v>
      </c>
      <c r="U286" s="86" t="str">
        <f t="shared" si="3"/>
        <v>09197050074</v>
      </c>
      <c r="V286" s="86" t="str">
        <f t="shared" si="4"/>
        <v>پیش‌وایی 2</v>
      </c>
      <c r="W286" s="86"/>
      <c r="X286" s="86"/>
    </row>
    <row r="287">
      <c r="A287" s="201">
        <v>286.0</v>
      </c>
      <c r="B287" s="202" t="s">
        <v>2213</v>
      </c>
      <c r="C287" s="203" t="s">
        <v>2214</v>
      </c>
      <c r="D287" s="204" t="str">
        <f>IFERROR(__xludf.DUMMYFUNCTION("ARRAYFORMULA(LET( converted, SUBSTITUTE( SUBSTITUTE( SUBSTITUTE( SUBSTITUTE( SUBSTITUTE( SUBSTITUTE( SUBSTITUTE( SUBSTITUTE( SUBSTITUTE( SUBSTITUTE( C287, ""۰"", ""0""), ""۱"", ""1""), ""۲"", ""2""), ""۳"", ""3""), ""۴"", ""4""), ""۵"", ""5""), ""۶"", ""6"&amp;"""), ""۷"", ""7""), ""۸"", ""8""), ""۹"", ""9""), IF(LEFT(converted,3)=""+98"", ""0"" &amp; RIGHT(converted, LEN(converted)-3), IF(LEFT(converted,2)=""98"", ""0"" &amp; RIGHT(converted, LEN(converted)-2), IF(LEFT(converted,1)&lt;&gt;""0"", ""0"" &amp; converted, REGEXREPLA"&amp;"CE(converted , ""\s"", """")) ) ) ) )"),"09037199579")</f>
        <v>09037199579</v>
      </c>
      <c r="E287" s="205" t="s">
        <v>17</v>
      </c>
      <c r="F287" s="206">
        <v>2.0</v>
      </c>
      <c r="G287" s="202"/>
      <c r="H287" s="202" t="s">
        <v>2215</v>
      </c>
      <c r="I287" s="203"/>
      <c r="J287" s="203" t="s">
        <v>2216</v>
      </c>
      <c r="K287" s="207" t="s">
        <v>1269</v>
      </c>
      <c r="L287" s="207" t="s">
        <v>2217</v>
      </c>
      <c r="M287" s="202"/>
      <c r="N287" s="202"/>
      <c r="O287" s="202"/>
      <c r="P287" s="202"/>
      <c r="Q287" s="208"/>
      <c r="R287" s="86"/>
      <c r="S287" s="114">
        <f t="shared" ref="S287:T287" si="288">A287</f>
        <v>286</v>
      </c>
      <c r="T287" s="114" t="str">
        <f t="shared" si="288"/>
        <v>محمدعلی بابازادگان</v>
      </c>
      <c r="U287" s="86" t="str">
        <f t="shared" si="3"/>
        <v>09037199579</v>
      </c>
      <c r="V287" s="86" t="str">
        <f t="shared" si="4"/>
        <v>پیش‌وایی 2</v>
      </c>
      <c r="W287" s="86"/>
      <c r="X287" s="86"/>
    </row>
    <row r="288">
      <c r="A288" s="192">
        <v>287.0</v>
      </c>
      <c r="B288" s="193" t="s">
        <v>2218</v>
      </c>
      <c r="C288" s="194" t="s">
        <v>2219</v>
      </c>
      <c r="D288" s="195" t="str">
        <f>IFERROR(__xludf.DUMMYFUNCTION("ARRAYFORMULA(LET( converted, SUBSTITUTE( SUBSTITUTE( SUBSTITUTE( SUBSTITUTE( SUBSTITUTE( SUBSTITUTE( SUBSTITUTE( SUBSTITUTE( SUBSTITUTE( SUBSTITUTE( C288, ""۰"", ""0""), ""۱"", ""1""), ""۲"", ""2""), ""۳"", ""3""), ""۴"", ""4""), ""۵"", ""5""), ""۶"", ""6"&amp;"""), ""۷"", ""7""), ""۸"", ""8""), ""۹"", ""9""), IF(LEFT(converted,3)=""+98"", ""0"" &amp; RIGHT(converted, LEN(converted)-3), IF(LEFT(converted,2)=""98"", ""0"" &amp; RIGHT(converted, LEN(converted)-2), IF(LEFT(converted,1)&lt;&gt;""0"", ""0"" &amp; converted, REGEXREPLA"&amp;"CE(converted , ""\s"", """")) ) ) ) )"),"09163077757")</f>
        <v>09163077757</v>
      </c>
      <c r="E288" s="196" t="s">
        <v>17</v>
      </c>
      <c r="F288" s="197">
        <v>2.0</v>
      </c>
      <c r="G288" s="193"/>
      <c r="H288" s="193" t="s">
        <v>2220</v>
      </c>
      <c r="I288" s="194"/>
      <c r="J288" s="194" t="s">
        <v>2221</v>
      </c>
      <c r="K288" s="199" t="s">
        <v>2222</v>
      </c>
      <c r="L288" s="199" t="s">
        <v>2223</v>
      </c>
      <c r="M288" s="193"/>
      <c r="N288" s="193"/>
      <c r="O288" s="193"/>
      <c r="P288" s="193"/>
      <c r="Q288" s="200"/>
      <c r="R288" s="86"/>
      <c r="S288" s="114">
        <f t="shared" ref="S288:T288" si="289">A288</f>
        <v>287</v>
      </c>
      <c r="T288" s="114" t="str">
        <f t="shared" si="289"/>
        <v>نازنین سلیمانیان میرحاجی</v>
      </c>
      <c r="U288" s="86" t="str">
        <f t="shared" si="3"/>
        <v>09163077757</v>
      </c>
      <c r="V288" s="86" t="str">
        <f t="shared" si="4"/>
        <v>پیش‌وایی 2</v>
      </c>
      <c r="W288" s="86"/>
      <c r="X288" s="86"/>
    </row>
    <row r="289">
      <c r="A289" s="201">
        <v>288.0</v>
      </c>
      <c r="B289" s="202" t="s">
        <v>2224</v>
      </c>
      <c r="C289" s="203" t="s">
        <v>2225</v>
      </c>
      <c r="D289" s="204" t="str">
        <f>IFERROR(__xludf.DUMMYFUNCTION("ARRAYFORMULA(LET( converted, SUBSTITUTE( SUBSTITUTE( SUBSTITUTE( SUBSTITUTE( SUBSTITUTE( SUBSTITUTE( SUBSTITUTE( SUBSTITUTE( SUBSTITUTE( SUBSTITUTE( C289, ""۰"", ""0""), ""۱"", ""1""), ""۲"", ""2""), ""۳"", ""3""), ""۴"", ""4""), ""۵"", ""5""), ""۶"", ""6"&amp;"""), ""۷"", ""7""), ""۸"", ""8""), ""۹"", ""9""), IF(LEFT(converted,3)=""+98"", ""0"" &amp; RIGHT(converted, LEN(converted)-3), IF(LEFT(converted,2)=""98"", ""0"" &amp; RIGHT(converted, LEN(converted)-2), IF(LEFT(converted,1)&lt;&gt;""0"", ""0"" &amp; converted, REGEXREPLA"&amp;"CE(converted , ""\s"", """")) ) ) ) )"),"09128881277")</f>
        <v>09128881277</v>
      </c>
      <c r="E289" s="205" t="s">
        <v>17</v>
      </c>
      <c r="F289" s="206">
        <v>2.0</v>
      </c>
      <c r="G289" s="202"/>
      <c r="H289" s="202" t="s">
        <v>2226</v>
      </c>
      <c r="I289" s="203"/>
      <c r="J289" s="203" t="s">
        <v>2227</v>
      </c>
      <c r="K289" s="207" t="s">
        <v>192</v>
      </c>
      <c r="L289" s="207" t="s">
        <v>2228</v>
      </c>
      <c r="M289" s="202"/>
      <c r="N289" s="202"/>
      <c r="O289" s="202"/>
      <c r="P289" s="202"/>
      <c r="Q289" s="208"/>
      <c r="R289" s="86"/>
      <c r="S289" s="114">
        <f t="shared" ref="S289:T289" si="290">A289</f>
        <v>288</v>
      </c>
      <c r="T289" s="114" t="str">
        <f t="shared" si="290"/>
        <v>امیرحسین فقیهی</v>
      </c>
      <c r="U289" s="86" t="str">
        <f t="shared" si="3"/>
        <v>09128881277</v>
      </c>
      <c r="V289" s="86" t="str">
        <f t="shared" si="4"/>
        <v>پیش‌وایی 2</v>
      </c>
      <c r="W289" s="86"/>
      <c r="X289" s="86"/>
    </row>
    <row r="290">
      <c r="A290" s="192">
        <v>289.0</v>
      </c>
      <c r="B290" s="193" t="s">
        <v>1329</v>
      </c>
      <c r="C290" s="194" t="s">
        <v>1330</v>
      </c>
      <c r="D290" s="195" t="str">
        <f>IFERROR(__xludf.DUMMYFUNCTION("ARRAYFORMULA(LET( converted, SUBSTITUTE( SUBSTITUTE( SUBSTITUTE( SUBSTITUTE( SUBSTITUTE( SUBSTITUTE( SUBSTITUTE( SUBSTITUTE( SUBSTITUTE( SUBSTITUTE( C290, ""۰"", ""0""), ""۱"", ""1""), ""۲"", ""2""), ""۳"", ""3""), ""۴"", ""4""), ""۵"", ""5""), ""۶"", ""6"&amp;"""), ""۷"", ""7""), ""۸"", ""8""), ""۹"", ""9""), IF(LEFT(converted,3)=""+98"", ""0"" &amp; RIGHT(converted, LEN(converted)-3), IF(LEFT(converted,2)=""98"", ""0"" &amp; RIGHT(converted, LEN(converted)-2), IF(LEFT(converted,1)&lt;&gt;""0"", ""0"" &amp; converted, REGEXREPLA"&amp;"CE(converted , ""\s"", """")) ) ) ) )"),"09122115049")</f>
        <v>09122115049</v>
      </c>
      <c r="E290" s="196" t="s">
        <v>17</v>
      </c>
      <c r="F290" s="197">
        <v>2.0</v>
      </c>
      <c r="G290" s="193"/>
      <c r="H290" s="198" t="s">
        <v>2229</v>
      </c>
      <c r="I290" s="194"/>
      <c r="J290" s="194" t="s">
        <v>1332</v>
      </c>
      <c r="K290" s="199" t="s">
        <v>774</v>
      </c>
      <c r="L290" s="199" t="s">
        <v>1333</v>
      </c>
      <c r="M290" s="193"/>
      <c r="N290" s="193"/>
      <c r="O290" s="193"/>
      <c r="P290" s="193"/>
      <c r="Q290" s="200"/>
      <c r="R290" s="86"/>
      <c r="S290" s="114">
        <f t="shared" ref="S290:T290" si="291">A290</f>
        <v>289</v>
      </c>
      <c r="T290" s="114" t="str">
        <f t="shared" si="291"/>
        <v>سیاوش فرهمند</v>
      </c>
      <c r="U290" s="86" t="str">
        <f t="shared" si="3"/>
        <v>09122115049</v>
      </c>
      <c r="V290" s="86" t="str">
        <f t="shared" si="4"/>
        <v>پیش‌وایی 2</v>
      </c>
      <c r="W290" s="86"/>
      <c r="X290" s="86"/>
    </row>
    <row r="291">
      <c r="A291" s="201">
        <v>290.0</v>
      </c>
      <c r="B291" s="202" t="s">
        <v>950</v>
      </c>
      <c r="C291" s="203" t="s">
        <v>951</v>
      </c>
      <c r="D291" s="204" t="str">
        <f>IFERROR(__xludf.DUMMYFUNCTION("ARRAYFORMULA(LET( converted, SUBSTITUTE( SUBSTITUTE( SUBSTITUTE( SUBSTITUTE( SUBSTITUTE( SUBSTITUTE( SUBSTITUTE( SUBSTITUTE( SUBSTITUTE( SUBSTITUTE( C291, ""۰"", ""0""), ""۱"", ""1""), ""۲"", ""2""), ""۳"", ""3""), ""۴"", ""4""), ""۵"", ""5""), ""۶"", ""6"&amp;"""), ""۷"", ""7""), ""۸"", ""8""), ""۹"", ""9""), IF(LEFT(converted,3)=""+98"", ""0"" &amp; RIGHT(converted, LEN(converted)-3), IF(LEFT(converted,2)=""98"", ""0"" &amp; RIGHT(converted, LEN(converted)-2), IF(LEFT(converted,1)&lt;&gt;""0"", ""0"" &amp; converted, REGEXREPLA"&amp;"CE(converted , ""\s"", """")) ) ) ) )"),"09126975602")</f>
        <v>09126975602</v>
      </c>
      <c r="E291" s="205" t="s">
        <v>17</v>
      </c>
      <c r="F291" s="206">
        <v>2.0</v>
      </c>
      <c r="G291" s="202"/>
      <c r="H291" s="202" t="s">
        <v>952</v>
      </c>
      <c r="I291" s="203"/>
      <c r="J291" s="203" t="s">
        <v>953</v>
      </c>
      <c r="K291" s="207" t="s">
        <v>209</v>
      </c>
      <c r="L291" s="207" t="s">
        <v>954</v>
      </c>
      <c r="M291" s="202"/>
      <c r="N291" s="202"/>
      <c r="O291" s="202"/>
      <c r="P291" s="202"/>
      <c r="Q291" s="208"/>
      <c r="R291" s="86"/>
      <c r="S291" s="114">
        <f t="shared" ref="S291:T291" si="292">A291</f>
        <v>290</v>
      </c>
      <c r="T291" s="114" t="str">
        <f t="shared" si="292"/>
        <v>بهروز بختیاری</v>
      </c>
      <c r="U291" s="86" t="str">
        <f t="shared" si="3"/>
        <v>09126975602</v>
      </c>
      <c r="V291" s="86" t="str">
        <f t="shared" si="4"/>
        <v>پیش‌وایی 2</v>
      </c>
      <c r="W291" s="86"/>
      <c r="X291" s="86"/>
    </row>
    <row r="292">
      <c r="A292" s="192">
        <v>291.0</v>
      </c>
      <c r="B292" s="193" t="s">
        <v>2230</v>
      </c>
      <c r="C292" s="194" t="s">
        <v>2231</v>
      </c>
      <c r="D292" s="195" t="str">
        <f>IFERROR(__xludf.DUMMYFUNCTION("ARRAYFORMULA(LET( converted, SUBSTITUTE( SUBSTITUTE( SUBSTITUTE( SUBSTITUTE( SUBSTITUTE( SUBSTITUTE( SUBSTITUTE( SUBSTITUTE( SUBSTITUTE( SUBSTITUTE( C292, ""۰"", ""0""), ""۱"", ""1""), ""۲"", ""2""), ""۳"", ""3""), ""۴"", ""4""), ""۵"", ""5""), ""۶"", ""6"&amp;"""), ""۷"", ""7""), ""۸"", ""8""), ""۹"", ""9""), IF(LEFT(converted,3)=""+98"", ""0"" &amp; RIGHT(converted, LEN(converted)-3), IF(LEFT(converted,2)=""98"", ""0"" &amp; RIGHT(converted, LEN(converted)-2), IF(LEFT(converted,1)&lt;&gt;""0"", ""0"" &amp; converted, REGEXREPLA"&amp;"CE(converted , ""\s"", """")) ) ) ) )"),"09125715934")</f>
        <v>09125715934</v>
      </c>
      <c r="E292" s="196" t="s">
        <v>17</v>
      </c>
      <c r="F292" s="197">
        <v>2.0</v>
      </c>
      <c r="G292" s="193"/>
      <c r="H292" s="193" t="s">
        <v>2232</v>
      </c>
      <c r="I292" s="194"/>
      <c r="J292" s="194"/>
      <c r="K292" s="199" t="s">
        <v>2233</v>
      </c>
      <c r="L292" s="199" t="s">
        <v>2234</v>
      </c>
      <c r="M292" s="193"/>
      <c r="N292" s="193"/>
      <c r="O292" s="193"/>
      <c r="P292" s="193"/>
      <c r="Q292" s="200"/>
      <c r="R292" s="86"/>
      <c r="S292" s="114">
        <f t="shared" ref="S292:T292" si="293">A292</f>
        <v>291</v>
      </c>
      <c r="T292" s="114" t="str">
        <f t="shared" si="293"/>
        <v>الهه عظیمی اول</v>
      </c>
      <c r="U292" s="86" t="str">
        <f t="shared" si="3"/>
        <v>09125715934</v>
      </c>
      <c r="V292" s="86" t="str">
        <f t="shared" si="4"/>
        <v>پیش‌وایی 2</v>
      </c>
      <c r="W292" s="86"/>
      <c r="X292" s="86"/>
    </row>
    <row r="293">
      <c r="A293" s="201">
        <v>292.0</v>
      </c>
      <c r="B293" s="202" t="s">
        <v>2235</v>
      </c>
      <c r="C293" s="203" t="s">
        <v>2236</v>
      </c>
      <c r="D293" s="204" t="str">
        <f>IFERROR(__xludf.DUMMYFUNCTION("ARRAYFORMULA(LET( converted, SUBSTITUTE( SUBSTITUTE( SUBSTITUTE( SUBSTITUTE( SUBSTITUTE( SUBSTITUTE( SUBSTITUTE( SUBSTITUTE( SUBSTITUTE( SUBSTITUTE( C293, ""۰"", ""0""), ""۱"", ""1""), ""۲"", ""2""), ""۳"", ""3""), ""۴"", ""4""), ""۵"", ""5""), ""۶"", ""6"&amp;"""), ""۷"", ""7""), ""۸"", ""8""), ""۹"", ""9""), IF(LEFT(converted,3)=""+98"", ""0"" &amp; RIGHT(converted, LEN(converted)-3), IF(LEFT(converted,2)=""98"", ""0"" &amp; RIGHT(converted, LEN(converted)-2), IF(LEFT(converted,1)&lt;&gt;""0"", ""0"" &amp; converted, REGEXREPLA"&amp;"CE(converted , ""\s"", """")) ) ) ) )"),"09395490277")</f>
        <v>09395490277</v>
      </c>
      <c r="E293" s="205" t="s">
        <v>17</v>
      </c>
      <c r="F293" s="206">
        <v>2.0</v>
      </c>
      <c r="G293" s="202"/>
      <c r="H293" s="202" t="s">
        <v>2232</v>
      </c>
      <c r="I293" s="203"/>
      <c r="J293" s="203"/>
      <c r="K293" s="207" t="s">
        <v>1511</v>
      </c>
      <c r="L293" s="207" t="s">
        <v>2237</v>
      </c>
      <c r="M293" s="202"/>
      <c r="N293" s="202"/>
      <c r="O293" s="202"/>
      <c r="P293" s="202"/>
      <c r="Q293" s="208"/>
      <c r="R293" s="86"/>
      <c r="S293" s="114">
        <f t="shared" ref="S293:T293" si="294">A293</f>
        <v>292</v>
      </c>
      <c r="T293" s="114" t="str">
        <f t="shared" si="294"/>
        <v>فرهاد عظیمی نیک</v>
      </c>
      <c r="U293" s="86" t="str">
        <f t="shared" si="3"/>
        <v>09395490277</v>
      </c>
      <c r="V293" s="86" t="str">
        <f t="shared" si="4"/>
        <v>پیش‌وایی 2</v>
      </c>
      <c r="W293" s="86"/>
      <c r="X293" s="86"/>
    </row>
    <row r="294">
      <c r="A294" s="192">
        <v>293.0</v>
      </c>
      <c r="B294" s="193" t="s">
        <v>2238</v>
      </c>
      <c r="C294" s="194" t="s">
        <v>2239</v>
      </c>
      <c r="D294" s="195" t="str">
        <f>IFERROR(__xludf.DUMMYFUNCTION("ARRAYFORMULA(LET( converted, SUBSTITUTE( SUBSTITUTE( SUBSTITUTE( SUBSTITUTE( SUBSTITUTE( SUBSTITUTE( SUBSTITUTE( SUBSTITUTE( SUBSTITUTE( SUBSTITUTE( C294, ""۰"", ""0""), ""۱"", ""1""), ""۲"", ""2""), ""۳"", ""3""), ""۴"", ""4""), ""۵"", ""5""), ""۶"", ""6"&amp;"""), ""۷"", ""7""), ""۸"", ""8""), ""۹"", ""9""), IF(LEFT(converted,3)=""+98"", ""0"" &amp; RIGHT(converted, LEN(converted)-3), IF(LEFT(converted,2)=""98"", ""0"" &amp; RIGHT(converted, LEN(converted)-2), IF(LEFT(converted,1)&lt;&gt;""0"", ""0"" &amp; converted, REGEXREPLA"&amp;"CE(converted , ""\s"", """")) ) ) ) )"),"09194964516")</f>
        <v>09194964516</v>
      </c>
      <c r="E294" s="196" t="s">
        <v>17</v>
      </c>
      <c r="F294" s="197">
        <v>2.0</v>
      </c>
      <c r="G294" s="193"/>
      <c r="H294" s="193" t="s">
        <v>2240</v>
      </c>
      <c r="I294" s="194"/>
      <c r="J294" s="194"/>
      <c r="K294" s="199" t="s">
        <v>804</v>
      </c>
      <c r="L294" s="199" t="s">
        <v>2241</v>
      </c>
      <c r="M294" s="193"/>
      <c r="N294" s="193"/>
      <c r="O294" s="193"/>
      <c r="P294" s="193"/>
      <c r="Q294" s="200"/>
      <c r="R294" s="86"/>
      <c r="S294" s="114">
        <f t="shared" ref="S294:T294" si="295">A294</f>
        <v>293</v>
      </c>
      <c r="T294" s="114" t="str">
        <f t="shared" si="295"/>
        <v>نیلوفر آصفی پور</v>
      </c>
      <c r="U294" s="86" t="str">
        <f t="shared" si="3"/>
        <v>09194964516</v>
      </c>
      <c r="V294" s="86" t="str">
        <f t="shared" si="4"/>
        <v>پیش‌وایی 2</v>
      </c>
      <c r="W294" s="86"/>
      <c r="X294" s="86"/>
    </row>
    <row r="295">
      <c r="A295" s="201">
        <v>294.0</v>
      </c>
      <c r="B295" s="202" t="s">
        <v>2242</v>
      </c>
      <c r="C295" s="203" t="s">
        <v>2243</v>
      </c>
      <c r="D295" s="204" t="str">
        <f>IFERROR(__xludf.DUMMYFUNCTION("ARRAYFORMULA(LET( converted, SUBSTITUTE( SUBSTITUTE( SUBSTITUTE( SUBSTITUTE( SUBSTITUTE( SUBSTITUTE( SUBSTITUTE( SUBSTITUTE( SUBSTITUTE( SUBSTITUTE( C295, ""۰"", ""0""), ""۱"", ""1""), ""۲"", ""2""), ""۳"", ""3""), ""۴"", ""4""), ""۵"", ""5""), ""۶"", ""6"&amp;"""), ""۷"", ""7""), ""۸"", ""8""), ""۹"", ""9""), IF(LEFT(converted,3)=""+98"", ""0"" &amp; RIGHT(converted, LEN(converted)-3), IF(LEFT(converted,2)=""98"", ""0"" &amp; RIGHT(converted, LEN(converted)-2), IF(LEFT(converted,1)&lt;&gt;""0"", ""0"" &amp; converted, REGEXREPLA"&amp;"CE(converted , ""\s"", """")) ) ) ) )"),"09125431920")</f>
        <v>09125431920</v>
      </c>
      <c r="E295" s="205" t="s">
        <v>17</v>
      </c>
      <c r="F295" s="206">
        <v>2.0</v>
      </c>
      <c r="G295" s="202"/>
      <c r="H295" s="202" t="s">
        <v>2244</v>
      </c>
      <c r="I295" s="203"/>
      <c r="J295" s="203"/>
      <c r="K295" s="207" t="s">
        <v>292</v>
      </c>
      <c r="L295" s="207" t="s">
        <v>2245</v>
      </c>
      <c r="M295" s="202"/>
      <c r="N295" s="202"/>
      <c r="O295" s="202"/>
      <c r="P295" s="202"/>
      <c r="Q295" s="208"/>
      <c r="R295" s="86"/>
      <c r="S295" s="114">
        <f t="shared" ref="S295:T295" si="296">A295</f>
        <v>294</v>
      </c>
      <c r="T295" s="114" t="str">
        <f t="shared" si="296"/>
        <v>مریم آزادی</v>
      </c>
      <c r="U295" s="86" t="str">
        <f t="shared" si="3"/>
        <v>09125431920</v>
      </c>
      <c r="V295" s="86" t="str">
        <f t="shared" si="4"/>
        <v>پیش‌وایی 2</v>
      </c>
      <c r="W295" s="86"/>
      <c r="X295" s="86"/>
    </row>
    <row r="296">
      <c r="A296" s="192">
        <v>295.0</v>
      </c>
      <c r="B296" s="193" t="s">
        <v>1566</v>
      </c>
      <c r="C296" s="194" t="s">
        <v>1567</v>
      </c>
      <c r="D296" s="195" t="str">
        <f>IFERROR(__xludf.DUMMYFUNCTION("ARRAYFORMULA(LET( converted, SUBSTITUTE( SUBSTITUTE( SUBSTITUTE( SUBSTITUTE( SUBSTITUTE( SUBSTITUTE( SUBSTITUTE( SUBSTITUTE( SUBSTITUTE( SUBSTITUTE( C296, ""۰"", ""0""), ""۱"", ""1""), ""۲"", ""2""), ""۳"", ""3""), ""۴"", ""4""), ""۵"", ""5""), ""۶"", ""6"&amp;"""), ""۷"", ""7""), ""۸"", ""8""), ""۹"", ""9""), IF(LEFT(converted,3)=""+98"", ""0"" &amp; RIGHT(converted, LEN(converted)-3), IF(LEFT(converted,2)=""98"", ""0"" &amp; RIGHT(converted, LEN(converted)-2), IF(LEFT(converted,1)&lt;&gt;""0"", ""0"" &amp; converted, REGEXREPLA"&amp;"CE(converted , ""\s"", """")) ) ) ) )"),"09121039590")</f>
        <v>09121039590</v>
      </c>
      <c r="E296" s="196" t="s">
        <v>17</v>
      </c>
      <c r="F296" s="197">
        <v>2.0</v>
      </c>
      <c r="G296" s="193"/>
      <c r="H296" s="193" t="s">
        <v>2246</v>
      </c>
      <c r="I296" s="194"/>
      <c r="J296" s="194"/>
      <c r="K296" s="199" t="s">
        <v>1569</v>
      </c>
      <c r="L296" s="199" t="s">
        <v>1570</v>
      </c>
      <c r="M296" s="193"/>
      <c r="N296" s="193"/>
      <c r="O296" s="193"/>
      <c r="P296" s="193"/>
      <c r="Q296" s="200"/>
      <c r="R296" s="86"/>
      <c r="S296" s="114">
        <f t="shared" ref="S296:T296" si="297">A296</f>
        <v>295</v>
      </c>
      <c r="T296" s="114" t="str">
        <f t="shared" si="297"/>
        <v>حسن روشن روان</v>
      </c>
      <c r="U296" s="86" t="str">
        <f t="shared" si="3"/>
        <v>09121039590</v>
      </c>
      <c r="V296" s="86" t="str">
        <f t="shared" si="4"/>
        <v>پیش‌وایی 2</v>
      </c>
      <c r="W296" s="86"/>
      <c r="X296" s="86"/>
    </row>
    <row r="297">
      <c r="A297" s="201">
        <v>296.0</v>
      </c>
      <c r="B297" s="202" t="s">
        <v>2247</v>
      </c>
      <c r="C297" s="203"/>
      <c r="D297" s="204" t="str">
        <f>IFERROR(__xludf.DUMMYFUNCTION("ARRAYFORMULA(LET( converted, SUBSTITUTE( SUBSTITUTE( SUBSTITUTE( SUBSTITUTE( SUBSTITUTE( SUBSTITUTE( SUBSTITUTE( SUBSTITUTE( SUBSTITUTE( SUBSTITUTE( C297, ""۰"", ""0""), ""۱"", ""1""), ""۲"", ""2""), ""۳"", ""3""), ""۴"", ""4""), ""۵"", ""5""), ""۶"", ""6"&amp;"""), ""۷"", ""7""), ""۸"", ""8""), ""۹"", ""9""), IF(LEFT(converted,3)=""+98"", ""0"" &amp; RIGHT(converted, LEN(converted)-3), IF(LEFT(converted,2)=""98"", ""0"" &amp; RIGHT(converted, LEN(converted)-2), IF(LEFT(converted,1)&lt;&gt;""0"", ""0"" &amp; converted, REGEXREPLA"&amp;"CE(converted , ""\s"", """")) ) ) ) )"),"0")</f>
        <v>0</v>
      </c>
      <c r="E297" s="205" t="s">
        <v>17</v>
      </c>
      <c r="F297" s="206">
        <v>2.0</v>
      </c>
      <c r="G297" s="202"/>
      <c r="H297" s="202" t="s">
        <v>1920</v>
      </c>
      <c r="I297" s="203"/>
      <c r="J297" s="203"/>
      <c r="K297" s="207" t="s">
        <v>2248</v>
      </c>
      <c r="L297" s="207" t="s">
        <v>1570</v>
      </c>
      <c r="M297" s="202"/>
      <c r="N297" s="202"/>
      <c r="O297" s="202"/>
      <c r="P297" s="202"/>
      <c r="Q297" s="208"/>
      <c r="R297" s="86"/>
      <c r="S297" s="114">
        <f t="shared" ref="S297:T297" si="298">A297</f>
        <v>296</v>
      </c>
      <c r="T297" s="114" t="str">
        <f t="shared" si="298"/>
        <v>سپنتا روشن روان</v>
      </c>
      <c r="U297" s="86" t="str">
        <f t="shared" si="3"/>
        <v>0</v>
      </c>
      <c r="V297" s="86" t="str">
        <f t="shared" si="4"/>
        <v>پیش‌وایی 2</v>
      </c>
      <c r="W297" s="86"/>
      <c r="X297" s="86"/>
    </row>
    <row r="298">
      <c r="A298" s="192">
        <v>297.0</v>
      </c>
      <c r="B298" s="193" t="s">
        <v>1482</v>
      </c>
      <c r="C298" s="194" t="s">
        <v>1483</v>
      </c>
      <c r="D298" s="195" t="str">
        <f>IFERROR(__xludf.DUMMYFUNCTION("ARRAYFORMULA(LET( converted, SUBSTITUTE( SUBSTITUTE( SUBSTITUTE( SUBSTITUTE( SUBSTITUTE( SUBSTITUTE( SUBSTITUTE( SUBSTITUTE( SUBSTITUTE( SUBSTITUTE( C298, ""۰"", ""0""), ""۱"", ""1""), ""۲"", ""2""), ""۳"", ""3""), ""۴"", ""4""), ""۵"", ""5""), ""۶"", ""6"&amp;"""), ""۷"", ""7""), ""۸"", ""8""), ""۹"", ""9""), IF(LEFT(converted,3)=""+98"", ""0"" &amp; RIGHT(converted, LEN(converted)-3), IF(LEFT(converted,2)=""98"", ""0"" &amp; RIGHT(converted, LEN(converted)-2), IF(LEFT(converted,1)&lt;&gt;""0"", ""0"" &amp; converted, REGEXREPLA"&amp;"CE(converted , ""\s"", """")) ) ) ) )"),"09355907971")</f>
        <v>09355907971</v>
      </c>
      <c r="E298" s="196" t="s">
        <v>17</v>
      </c>
      <c r="F298" s="197">
        <v>2.0</v>
      </c>
      <c r="G298" s="193"/>
      <c r="H298" s="193" t="s">
        <v>1484</v>
      </c>
      <c r="I298" s="194"/>
      <c r="J298" s="194" t="s">
        <v>2249</v>
      </c>
      <c r="K298" s="199" t="s">
        <v>1018</v>
      </c>
      <c r="L298" s="199" t="s">
        <v>940</v>
      </c>
      <c r="M298" s="193"/>
      <c r="N298" s="193"/>
      <c r="O298" s="193"/>
      <c r="P298" s="193"/>
      <c r="Q298" s="200"/>
      <c r="R298" s="86"/>
      <c r="S298" s="114">
        <f t="shared" ref="S298:T298" si="299">A298</f>
        <v>297</v>
      </c>
      <c r="T298" s="114" t="str">
        <f t="shared" si="299"/>
        <v>علی کریمی</v>
      </c>
      <c r="U298" s="86" t="str">
        <f t="shared" si="3"/>
        <v>09355907971</v>
      </c>
      <c r="V298" s="86" t="str">
        <f t="shared" si="4"/>
        <v>پیش‌وایی 2</v>
      </c>
      <c r="W298" s="86"/>
      <c r="X298" s="86"/>
    </row>
    <row r="299">
      <c r="A299" s="201">
        <v>298.0</v>
      </c>
      <c r="B299" s="202" t="s">
        <v>2250</v>
      </c>
      <c r="C299" s="203" t="s">
        <v>2251</v>
      </c>
      <c r="D299" s="204" t="str">
        <f>IFERROR(__xludf.DUMMYFUNCTION("ARRAYFORMULA(LET( converted, SUBSTITUTE( SUBSTITUTE( SUBSTITUTE( SUBSTITUTE( SUBSTITUTE( SUBSTITUTE( SUBSTITUTE( SUBSTITUTE( SUBSTITUTE( SUBSTITUTE( C299, ""۰"", ""0""), ""۱"", ""1""), ""۲"", ""2""), ""۳"", ""3""), ""۴"", ""4""), ""۵"", ""5""), ""۶"", ""6"&amp;"""), ""۷"", ""7""), ""۸"", ""8""), ""۹"", ""9""), IF(LEFT(converted,3)=""+98"", ""0"" &amp; RIGHT(converted, LEN(converted)-3), IF(LEFT(converted,2)=""98"", ""0"" &amp; RIGHT(converted, LEN(converted)-2), IF(LEFT(converted,1)&lt;&gt;""0"", ""0"" &amp; converted, REGEXREPLA"&amp;"CE(converted , ""\s"", """")) ) ) ) )"),"09361425985")</f>
        <v>09361425985</v>
      </c>
      <c r="E299" s="205" t="s">
        <v>17</v>
      </c>
      <c r="F299" s="206">
        <v>2.0</v>
      </c>
      <c r="G299" s="202"/>
      <c r="H299" s="202" t="s">
        <v>2252</v>
      </c>
      <c r="I299" s="203"/>
      <c r="J299" s="203" t="s">
        <v>2253</v>
      </c>
      <c r="K299" s="207" t="s">
        <v>2254</v>
      </c>
      <c r="L299" s="207" t="s">
        <v>2255</v>
      </c>
      <c r="M299" s="202"/>
      <c r="N299" s="202"/>
      <c r="O299" s="202"/>
      <c r="P299" s="202"/>
      <c r="Q299" s="208"/>
      <c r="R299" s="86"/>
      <c r="S299" s="114">
        <f t="shared" ref="S299:T299" si="300">A299</f>
        <v>298</v>
      </c>
      <c r="T299" s="114" t="str">
        <f t="shared" si="300"/>
        <v>ویدا حیدریان</v>
      </c>
      <c r="U299" s="86" t="str">
        <f t="shared" si="3"/>
        <v>09361425985</v>
      </c>
      <c r="V299" s="86" t="str">
        <f t="shared" si="4"/>
        <v>پیش‌وایی 2</v>
      </c>
      <c r="W299" s="86"/>
      <c r="X299" s="86"/>
    </row>
    <row r="300">
      <c r="A300" s="192">
        <v>299.0</v>
      </c>
      <c r="B300" s="193" t="s">
        <v>2256</v>
      </c>
      <c r="C300" s="194" t="s">
        <v>2257</v>
      </c>
      <c r="D300" s="195" t="str">
        <f>IFERROR(__xludf.DUMMYFUNCTION("ARRAYFORMULA(LET( converted, SUBSTITUTE( SUBSTITUTE( SUBSTITUTE( SUBSTITUTE( SUBSTITUTE( SUBSTITUTE( SUBSTITUTE( SUBSTITUTE( SUBSTITUTE( SUBSTITUTE( C300, ""۰"", ""0""), ""۱"", ""1""), ""۲"", ""2""), ""۳"", ""3""), ""۴"", ""4""), ""۵"", ""5""), ""۶"", ""6"&amp;"""), ""۷"", ""7""), ""۸"", ""8""), ""۹"", ""9""), IF(LEFT(converted,3)=""+98"", ""0"" &amp; RIGHT(converted, LEN(converted)-3), IF(LEFT(converted,2)=""98"", ""0"" &amp; RIGHT(converted, LEN(converted)-2), IF(LEFT(converted,1)&lt;&gt;""0"", ""0"" &amp; converted, REGEXREPLA"&amp;"CE(converted , ""\s"", """")) ) ) ) )"),"09125961343")</f>
        <v>09125961343</v>
      </c>
      <c r="E300" s="196" t="s">
        <v>17</v>
      </c>
      <c r="F300" s="197">
        <v>2.0</v>
      </c>
      <c r="G300" s="193"/>
      <c r="H300" s="193" t="s">
        <v>2258</v>
      </c>
      <c r="I300" s="194"/>
      <c r="J300" s="194"/>
      <c r="K300" s="199" t="s">
        <v>2259</v>
      </c>
      <c r="L300" s="199" t="s">
        <v>1392</v>
      </c>
      <c r="M300" s="193"/>
      <c r="N300" s="199"/>
      <c r="O300" s="193"/>
      <c r="P300" s="193"/>
      <c r="Q300" s="200"/>
      <c r="R300" s="86"/>
      <c r="S300" s="114">
        <f t="shared" ref="S300:T300" si="301">A300</f>
        <v>299</v>
      </c>
      <c r="T300" s="114" t="str">
        <f t="shared" si="301"/>
        <v>سیدصادق طباطبایی</v>
      </c>
      <c r="U300" s="86" t="str">
        <f t="shared" si="3"/>
        <v>09125961343</v>
      </c>
      <c r="V300" s="86" t="str">
        <f t="shared" si="4"/>
        <v>پیش‌وایی 2</v>
      </c>
      <c r="W300" s="86"/>
      <c r="X300" s="86"/>
    </row>
    <row r="301">
      <c r="A301" s="201">
        <v>300.0</v>
      </c>
      <c r="B301" s="202" t="s">
        <v>2260</v>
      </c>
      <c r="C301" s="203" t="s">
        <v>2261</v>
      </c>
      <c r="D301" s="204" t="str">
        <f>IFERROR(__xludf.DUMMYFUNCTION("ARRAYFORMULA(LET( converted, SUBSTITUTE( SUBSTITUTE( SUBSTITUTE( SUBSTITUTE( SUBSTITUTE( SUBSTITUTE( SUBSTITUTE( SUBSTITUTE( SUBSTITUTE( SUBSTITUTE( C301, ""۰"", ""0""), ""۱"", ""1""), ""۲"", ""2""), ""۳"", ""3""), ""۴"", ""4""), ""۵"", ""5""), ""۶"", ""6"&amp;"""), ""۷"", ""7""), ""۸"", ""8""), ""۹"", ""9""), IF(LEFT(converted,3)=""+98"", ""0"" &amp; RIGHT(converted, LEN(converted)-3), IF(LEFT(converted,2)=""98"", ""0"" &amp; RIGHT(converted, LEN(converted)-2), IF(LEFT(converted,1)&lt;&gt;""0"", ""0"" &amp; converted, REGEXREPLA"&amp;"CE(converted , ""\s"", """")) ) ) ) )"),"09128355965")</f>
        <v>09128355965</v>
      </c>
      <c r="E301" s="205" t="s">
        <v>17</v>
      </c>
      <c r="F301" s="206">
        <v>2.0</v>
      </c>
      <c r="G301" s="202"/>
      <c r="H301" s="202" t="s">
        <v>2262</v>
      </c>
      <c r="I301" s="203"/>
      <c r="J301" s="203" t="s">
        <v>2263</v>
      </c>
      <c r="K301" s="207" t="s">
        <v>2264</v>
      </c>
      <c r="L301" s="207" t="s">
        <v>1743</v>
      </c>
      <c r="M301" s="202"/>
      <c r="N301" s="202"/>
      <c r="O301" s="202"/>
      <c r="P301" s="202"/>
      <c r="Q301" s="208"/>
      <c r="R301" s="86"/>
      <c r="S301" s="114">
        <f t="shared" ref="S301:T301" si="302">A301</f>
        <v>300</v>
      </c>
      <c r="T301" s="114" t="str">
        <f t="shared" si="302"/>
        <v>یوسف نظری</v>
      </c>
      <c r="U301" s="86" t="str">
        <f t="shared" si="3"/>
        <v>09128355965</v>
      </c>
      <c r="V301" s="86" t="str">
        <f t="shared" si="4"/>
        <v>پیش‌وایی 2</v>
      </c>
      <c r="W301" s="86"/>
      <c r="X301" s="86"/>
    </row>
    <row r="302">
      <c r="A302" s="192">
        <v>301.0</v>
      </c>
      <c r="B302" s="193" t="s">
        <v>2265</v>
      </c>
      <c r="C302" s="194" t="s">
        <v>2266</v>
      </c>
      <c r="D302" s="195" t="str">
        <f>IFERROR(__xludf.DUMMYFUNCTION("ARRAYFORMULA(LET( converted, SUBSTITUTE( SUBSTITUTE( SUBSTITUTE( SUBSTITUTE( SUBSTITUTE( SUBSTITUTE( SUBSTITUTE( SUBSTITUTE( SUBSTITUTE( SUBSTITUTE( C302, ""۰"", ""0""), ""۱"", ""1""), ""۲"", ""2""), ""۳"", ""3""), ""۴"", ""4""), ""۵"", ""5""), ""۶"", ""6"&amp;"""), ""۷"", ""7""), ""۸"", ""8""), ""۹"", ""9""), IF(LEFT(converted,3)=""+98"", ""0"" &amp; RIGHT(converted, LEN(converted)-3), IF(LEFT(converted,2)=""98"", ""0"" &amp; RIGHT(converted, LEN(converted)-2), IF(LEFT(converted,1)&lt;&gt;""0"", ""0"" &amp; converted, REGEXREPLA"&amp;"CE(converted , ""\s"", """")) ) ) ) )"),"09121259786")</f>
        <v>09121259786</v>
      </c>
      <c r="E302" s="196" t="s">
        <v>17</v>
      </c>
      <c r="F302" s="197">
        <v>2.0</v>
      </c>
      <c r="G302" s="193"/>
      <c r="H302" s="193" t="s">
        <v>2267</v>
      </c>
      <c r="I302" s="194"/>
      <c r="J302" s="194" t="s">
        <v>2268</v>
      </c>
      <c r="K302" s="199" t="s">
        <v>274</v>
      </c>
      <c r="L302" s="199" t="s">
        <v>2269</v>
      </c>
      <c r="M302" s="193"/>
      <c r="N302" s="199"/>
      <c r="O302" s="199"/>
      <c r="P302" s="193"/>
      <c r="Q302" s="200"/>
      <c r="R302" s="86"/>
      <c r="S302" s="114">
        <f t="shared" ref="S302:T302" si="303">A302</f>
        <v>301</v>
      </c>
      <c r="T302" s="114" t="str">
        <f t="shared" si="303"/>
        <v>فاطمه بابایی صادق</v>
      </c>
      <c r="U302" s="86" t="str">
        <f t="shared" si="3"/>
        <v>09121259786</v>
      </c>
      <c r="V302" s="86" t="str">
        <f t="shared" si="4"/>
        <v>پیش‌وایی 2</v>
      </c>
      <c r="W302" s="86"/>
      <c r="X302" s="86"/>
    </row>
    <row r="303">
      <c r="A303" s="201">
        <v>302.0</v>
      </c>
      <c r="B303" s="202" t="s">
        <v>1597</v>
      </c>
      <c r="C303" s="203" t="s">
        <v>2270</v>
      </c>
      <c r="D303" s="204" t="str">
        <f>IFERROR(__xludf.DUMMYFUNCTION("ARRAYFORMULA(LET( converted, SUBSTITUTE( SUBSTITUTE( SUBSTITUTE( SUBSTITUTE( SUBSTITUTE( SUBSTITUTE( SUBSTITUTE( SUBSTITUTE( SUBSTITUTE( SUBSTITUTE( C303, ""۰"", ""0""), ""۱"", ""1""), ""۲"", ""2""), ""۳"", ""3""), ""۴"", ""4""), ""۵"", ""5""), ""۶"", ""6"&amp;"""), ""۷"", ""7""), ""۸"", ""8""), ""۹"", ""9""), IF(LEFT(converted,3)=""+98"", ""0"" &amp; RIGHT(converted, LEN(converted)-3), IF(LEFT(converted,2)=""98"", ""0"" &amp; RIGHT(converted, LEN(converted)-2), IF(LEFT(converted,1)&lt;&gt;""0"", ""0"" &amp; converted, REGEXREPLA"&amp;"CE(converted , ""\s"", """")) ) ) ) )"),"09120199974")</f>
        <v>09120199974</v>
      </c>
      <c r="E303" s="205" t="s">
        <v>17</v>
      </c>
      <c r="F303" s="206">
        <v>2.0</v>
      </c>
      <c r="G303" s="202"/>
      <c r="H303" s="202" t="s">
        <v>2271</v>
      </c>
      <c r="I303" s="203"/>
      <c r="J303" s="203" t="s">
        <v>2272</v>
      </c>
      <c r="K303" s="207" t="s">
        <v>334</v>
      </c>
      <c r="L303" s="207" t="s">
        <v>1600</v>
      </c>
      <c r="M303" s="202"/>
      <c r="N303" s="207"/>
      <c r="O303" s="207"/>
      <c r="P303" s="202"/>
      <c r="Q303" s="208"/>
      <c r="R303" s="86"/>
      <c r="S303" s="114">
        <f t="shared" ref="S303:T303" si="304">A303</f>
        <v>302</v>
      </c>
      <c r="T303" s="114" t="str">
        <f t="shared" si="304"/>
        <v>شایان شریفی</v>
      </c>
      <c r="U303" s="86" t="str">
        <f t="shared" si="3"/>
        <v>09120199974</v>
      </c>
      <c r="V303" s="86" t="str">
        <f t="shared" si="4"/>
        <v>پیش‌وایی 2</v>
      </c>
      <c r="W303" s="86"/>
      <c r="X303" s="86"/>
    </row>
    <row r="304">
      <c r="A304" s="192">
        <v>303.0</v>
      </c>
      <c r="B304" s="193" t="s">
        <v>1592</v>
      </c>
      <c r="C304" s="194" t="s">
        <v>2273</v>
      </c>
      <c r="D304" s="195" t="str">
        <f>IFERROR(__xludf.DUMMYFUNCTION("ARRAYFORMULA(LET( converted, SUBSTITUTE( SUBSTITUTE( SUBSTITUTE( SUBSTITUTE( SUBSTITUTE( SUBSTITUTE( SUBSTITUTE( SUBSTITUTE( SUBSTITUTE( SUBSTITUTE( C304, ""۰"", ""0""), ""۱"", ""1""), ""۲"", ""2""), ""۳"", ""3""), ""۴"", ""4""), ""۵"", ""5""), ""۶"", ""6"&amp;"""), ""۷"", ""7""), ""۸"", ""8""), ""۹"", ""9""), IF(LEFT(converted,3)=""+98"", ""0"" &amp; RIGHT(converted, LEN(converted)-3), IF(LEFT(converted,2)=""98"", ""0"" &amp; RIGHT(converted, LEN(converted)-2), IF(LEFT(converted,1)&lt;&gt;""0"", ""0"" &amp; converted, REGEXREPLA"&amp;"CE(converted , ""\s"", """")) ) ) ) )"),"09120555019")</f>
        <v>09120555019</v>
      </c>
      <c r="E304" s="196" t="s">
        <v>17</v>
      </c>
      <c r="F304" s="197">
        <v>2.0</v>
      </c>
      <c r="G304" s="193"/>
      <c r="H304" s="193" t="s">
        <v>1594</v>
      </c>
      <c r="I304" s="194"/>
      <c r="J304" s="194"/>
      <c r="K304" s="199" t="s">
        <v>1085</v>
      </c>
      <c r="L304" s="199" t="s">
        <v>1595</v>
      </c>
      <c r="M304" s="193"/>
      <c r="N304" s="199"/>
      <c r="O304" s="199"/>
      <c r="P304" s="193"/>
      <c r="Q304" s="200"/>
      <c r="R304" s="86"/>
      <c r="S304" s="114">
        <f t="shared" ref="S304:T304" si="305">A304</f>
        <v>303</v>
      </c>
      <c r="T304" s="114" t="str">
        <f t="shared" si="305"/>
        <v>امیررضا فتحی</v>
      </c>
      <c r="U304" s="86" t="str">
        <f t="shared" si="3"/>
        <v>09120555019</v>
      </c>
      <c r="V304" s="86" t="str">
        <f t="shared" si="4"/>
        <v>پیش‌وایی 2</v>
      </c>
      <c r="W304" s="86"/>
      <c r="X304" s="86"/>
    </row>
    <row r="305">
      <c r="A305" s="201">
        <v>304.0</v>
      </c>
      <c r="B305" s="202" t="s">
        <v>1515</v>
      </c>
      <c r="C305" s="203" t="s">
        <v>1516</v>
      </c>
      <c r="D305" s="204" t="str">
        <f>IFERROR(__xludf.DUMMYFUNCTION("ARRAYFORMULA(LET( converted, SUBSTITUTE( SUBSTITUTE( SUBSTITUTE( SUBSTITUTE( SUBSTITUTE( SUBSTITUTE( SUBSTITUTE( SUBSTITUTE( SUBSTITUTE( SUBSTITUTE( C305, ""۰"", ""0""), ""۱"", ""1""), ""۲"", ""2""), ""۳"", ""3""), ""۴"", ""4""), ""۵"", ""5""), ""۶"", ""6"&amp;"""), ""۷"", ""7""), ""۸"", ""8""), ""۹"", ""9""), IF(LEFT(converted,3)=""+98"", ""0"" &amp; RIGHT(converted, LEN(converted)-3), IF(LEFT(converted,2)=""98"", ""0"" &amp; RIGHT(converted, LEN(converted)-2), IF(LEFT(converted,1)&lt;&gt;""0"", ""0"" &amp; converted, REGEXREPLA"&amp;"CE(converted , ""\s"", """")) ) ) ) )"),"09120840040")</f>
        <v>09120840040</v>
      </c>
      <c r="E305" s="205" t="s">
        <v>17</v>
      </c>
      <c r="F305" s="206">
        <v>2.0</v>
      </c>
      <c r="G305" s="202"/>
      <c r="H305" s="202" t="s">
        <v>2274</v>
      </c>
      <c r="I305" s="203"/>
      <c r="J305" s="203"/>
      <c r="K305" s="207" t="s">
        <v>1518</v>
      </c>
      <c r="L305" s="207" t="s">
        <v>1505</v>
      </c>
      <c r="M305" s="202"/>
      <c r="N305" s="207"/>
      <c r="O305" s="207"/>
      <c r="P305" s="202"/>
      <c r="Q305" s="208"/>
      <c r="R305" s="86"/>
      <c r="S305" s="114">
        <f t="shared" ref="S305:T305" si="306">A305</f>
        <v>304</v>
      </c>
      <c r="T305" s="114" t="str">
        <f t="shared" si="306"/>
        <v>ماهان خالوباقری</v>
      </c>
      <c r="U305" s="86" t="str">
        <f t="shared" si="3"/>
        <v>09120840040</v>
      </c>
      <c r="V305" s="86" t="str">
        <f t="shared" si="4"/>
        <v>پیش‌وایی 2</v>
      </c>
      <c r="W305" s="86"/>
      <c r="X305" s="86"/>
    </row>
    <row r="306">
      <c r="A306" s="192">
        <v>305.0</v>
      </c>
      <c r="B306" s="193" t="s">
        <v>1625</v>
      </c>
      <c r="C306" s="194" t="s">
        <v>1626</v>
      </c>
      <c r="D306" s="195" t="str">
        <f>IFERROR(__xludf.DUMMYFUNCTION("ARRAYFORMULA(LET( converted, SUBSTITUTE( SUBSTITUTE( SUBSTITUTE( SUBSTITUTE( SUBSTITUTE( SUBSTITUTE( SUBSTITUTE( SUBSTITUTE( SUBSTITUTE( SUBSTITUTE( C306, ""۰"", ""0""), ""۱"", ""1""), ""۲"", ""2""), ""۳"", ""3""), ""۴"", ""4""), ""۵"", ""5""), ""۶"", ""6"&amp;"""), ""۷"", ""7""), ""۸"", ""8""), ""۹"", ""9""), IF(LEFT(converted,3)=""+98"", ""0"" &amp; RIGHT(converted, LEN(converted)-3), IF(LEFT(converted,2)=""98"", ""0"" &amp; RIGHT(converted, LEN(converted)-2), IF(LEFT(converted,1)&lt;&gt;""0"", ""0"" &amp; converted, REGEXREPLA"&amp;"CE(converted , ""\s"", """")) ) ) ) )"),"09364046101")</f>
        <v>09364046101</v>
      </c>
      <c r="E306" s="196" t="s">
        <v>17</v>
      </c>
      <c r="F306" s="197">
        <v>2.0</v>
      </c>
      <c r="G306" s="193"/>
      <c r="H306" s="193" t="s">
        <v>1627</v>
      </c>
      <c r="I306" s="194"/>
      <c r="J306" s="194" t="s">
        <v>2275</v>
      </c>
      <c r="K306" s="199" t="s">
        <v>292</v>
      </c>
      <c r="L306" s="199" t="s">
        <v>1628</v>
      </c>
      <c r="M306" s="193"/>
      <c r="N306" s="199"/>
      <c r="O306" s="199"/>
      <c r="P306" s="193"/>
      <c r="Q306" s="200"/>
      <c r="R306" s="86"/>
      <c r="S306" s="114">
        <f t="shared" ref="S306:T306" si="307">A306</f>
        <v>305</v>
      </c>
      <c r="T306" s="114" t="str">
        <f t="shared" si="307"/>
        <v>مریم جاشی</v>
      </c>
      <c r="U306" s="86" t="str">
        <f t="shared" si="3"/>
        <v>09364046101</v>
      </c>
      <c r="V306" s="86" t="str">
        <f t="shared" si="4"/>
        <v>پیش‌وایی 2</v>
      </c>
      <c r="W306" s="86"/>
      <c r="X306" s="86"/>
    </row>
    <row r="307">
      <c r="A307" s="201">
        <v>306.0</v>
      </c>
      <c r="B307" s="202" t="s">
        <v>2276</v>
      </c>
      <c r="C307" s="203" t="s">
        <v>2277</v>
      </c>
      <c r="D307" s="204" t="str">
        <f>IFERROR(__xludf.DUMMYFUNCTION("ARRAYFORMULA(LET( converted, SUBSTITUTE( SUBSTITUTE( SUBSTITUTE( SUBSTITUTE( SUBSTITUTE( SUBSTITUTE( SUBSTITUTE( SUBSTITUTE( SUBSTITUTE( SUBSTITUTE( C307, ""۰"", ""0""), ""۱"", ""1""), ""۲"", ""2""), ""۳"", ""3""), ""۴"", ""4""), ""۵"", ""5""), ""۶"", ""6"&amp;"""), ""۷"", ""7""), ""۸"", ""8""), ""۹"", ""9""), IF(LEFT(converted,3)=""+98"", ""0"" &amp; RIGHT(converted, LEN(converted)-3), IF(LEFT(converted,2)=""98"", ""0"" &amp; RIGHT(converted, LEN(converted)-2), IF(LEFT(converted,1)&lt;&gt;""0"", ""0"" &amp; converted, REGEXREPLA"&amp;"CE(converted , ""\s"", """")) ) ) ) )"),"09366673711")</f>
        <v>09366673711</v>
      </c>
      <c r="E307" s="205" t="s">
        <v>17</v>
      </c>
      <c r="F307" s="206">
        <v>2.0</v>
      </c>
      <c r="G307" s="202"/>
      <c r="H307" s="202" t="s">
        <v>2278</v>
      </c>
      <c r="I307" s="203"/>
      <c r="J307" s="203" t="s">
        <v>2279</v>
      </c>
      <c r="K307" s="207" t="s">
        <v>2280</v>
      </c>
      <c r="L307" s="207" t="s">
        <v>2281</v>
      </c>
      <c r="M307" s="202"/>
      <c r="N307" s="207"/>
      <c r="O307" s="207"/>
      <c r="P307" s="202"/>
      <c r="Q307" s="208"/>
      <c r="R307" s="86"/>
      <c r="S307" s="114">
        <f t="shared" ref="S307:T307" si="308">A307</f>
        <v>306</v>
      </c>
      <c r="T307" s="114" t="str">
        <f t="shared" si="308"/>
        <v>حمیدرضا لاچین</v>
      </c>
      <c r="U307" s="86" t="str">
        <f t="shared" si="3"/>
        <v>09366673711</v>
      </c>
      <c r="V307" s="86" t="str">
        <f t="shared" si="4"/>
        <v>پیش‌وایی 2</v>
      </c>
      <c r="W307" s="86"/>
      <c r="X307" s="86"/>
    </row>
    <row r="308">
      <c r="A308" s="192">
        <v>307.0</v>
      </c>
      <c r="B308" s="193" t="s">
        <v>2282</v>
      </c>
      <c r="C308" s="194" t="s">
        <v>2283</v>
      </c>
      <c r="D308" s="195" t="str">
        <f>IFERROR(__xludf.DUMMYFUNCTION("ARRAYFORMULA(LET( converted, SUBSTITUTE( SUBSTITUTE( SUBSTITUTE( SUBSTITUTE( SUBSTITUTE( SUBSTITUTE( SUBSTITUTE( SUBSTITUTE( SUBSTITUTE( SUBSTITUTE( C308, ""۰"", ""0""), ""۱"", ""1""), ""۲"", ""2""), ""۳"", ""3""), ""۴"", ""4""), ""۵"", ""5""), ""۶"", ""6"&amp;"""), ""۷"", ""7""), ""۸"", ""8""), ""۹"", ""9""), IF(LEFT(converted,3)=""+98"", ""0"" &amp; RIGHT(converted, LEN(converted)-3), IF(LEFT(converted,2)=""98"", ""0"" &amp; RIGHT(converted, LEN(converted)-2), IF(LEFT(converted,1)&lt;&gt;""0"", ""0"" &amp; converted, REGEXREPLA"&amp;"CE(converted , ""\s"", """")) ) ) ) )"),"09918859951")</f>
        <v>09918859951</v>
      </c>
      <c r="E308" s="196" t="s">
        <v>17</v>
      </c>
      <c r="F308" s="197">
        <v>2.0</v>
      </c>
      <c r="G308" s="193"/>
      <c r="H308" s="193" t="s">
        <v>2284</v>
      </c>
      <c r="I308" s="194"/>
      <c r="J308" s="194" t="s">
        <v>2285</v>
      </c>
      <c r="K308" s="199" t="s">
        <v>307</v>
      </c>
      <c r="L308" s="199" t="s">
        <v>2286</v>
      </c>
      <c r="M308" s="193"/>
      <c r="N308" s="199"/>
      <c r="O308" s="199"/>
      <c r="P308" s="193"/>
      <c r="Q308" s="200"/>
      <c r="R308" s="86"/>
      <c r="S308" s="114">
        <f t="shared" ref="S308:T308" si="309">A308</f>
        <v>307</v>
      </c>
      <c r="T308" s="114" t="str">
        <f t="shared" si="309"/>
        <v>محمدرضا تقی پور</v>
      </c>
      <c r="U308" s="86" t="str">
        <f t="shared" si="3"/>
        <v>09918859951</v>
      </c>
      <c r="V308" s="86" t="str">
        <f t="shared" si="4"/>
        <v>پیش‌وایی 2</v>
      </c>
      <c r="W308" s="86"/>
      <c r="X308" s="86"/>
    </row>
    <row r="309">
      <c r="A309" s="201">
        <v>308.0</v>
      </c>
      <c r="B309" s="202" t="s">
        <v>2287</v>
      </c>
      <c r="C309" s="203" t="s">
        <v>2288</v>
      </c>
      <c r="D309" s="204" t="str">
        <f>IFERROR(__xludf.DUMMYFUNCTION("ARRAYFORMULA(LET( converted, SUBSTITUTE( SUBSTITUTE( SUBSTITUTE( SUBSTITUTE( SUBSTITUTE( SUBSTITUTE( SUBSTITUTE( SUBSTITUTE( SUBSTITUTE( SUBSTITUTE( C309, ""۰"", ""0""), ""۱"", ""1""), ""۲"", ""2""), ""۳"", ""3""), ""۴"", ""4""), ""۵"", ""5""), ""۶"", ""6"&amp;"""), ""۷"", ""7""), ""۸"", ""8""), ""۹"", ""9""), IF(LEFT(converted,3)=""+98"", ""0"" &amp; RIGHT(converted, LEN(converted)-3), IF(LEFT(converted,2)=""98"", ""0"" &amp; RIGHT(converted, LEN(converted)-2), IF(LEFT(converted,1)&lt;&gt;""0"", ""0"" &amp; converted, REGEXREPLA"&amp;"CE(converted , ""\s"", """")) ) ) ) )"),"09129580296")</f>
        <v>09129580296</v>
      </c>
      <c r="E309" s="205" t="s">
        <v>17</v>
      </c>
      <c r="F309" s="206">
        <v>2.0</v>
      </c>
      <c r="G309" s="202"/>
      <c r="H309" s="202" t="s">
        <v>2289</v>
      </c>
      <c r="I309" s="203"/>
      <c r="J309" s="203" t="s">
        <v>2290</v>
      </c>
      <c r="K309" s="207" t="s">
        <v>2291</v>
      </c>
      <c r="L309" s="207" t="s">
        <v>1698</v>
      </c>
      <c r="M309" s="202"/>
      <c r="N309" s="207"/>
      <c r="O309" s="207"/>
      <c r="P309" s="202"/>
      <c r="Q309" s="208"/>
      <c r="R309" s="86"/>
      <c r="S309" s="114">
        <f t="shared" ref="S309:T309" si="310">A309</f>
        <v>308</v>
      </c>
      <c r="T309" s="114" t="str">
        <f t="shared" si="310"/>
        <v>شهلا طالبی</v>
      </c>
      <c r="U309" s="86" t="str">
        <f t="shared" si="3"/>
        <v>09129580296</v>
      </c>
      <c r="V309" s="86" t="str">
        <f t="shared" si="4"/>
        <v>پیش‌وایی 2</v>
      </c>
      <c r="W309" s="86"/>
      <c r="X309" s="86"/>
    </row>
    <row r="310">
      <c r="A310" s="192">
        <v>309.0</v>
      </c>
      <c r="B310" s="193" t="s">
        <v>2292</v>
      </c>
      <c r="C310" s="194" t="s">
        <v>2293</v>
      </c>
      <c r="D310" s="195" t="str">
        <f>IFERROR(__xludf.DUMMYFUNCTION("ARRAYFORMULA(LET( converted, SUBSTITUTE( SUBSTITUTE( SUBSTITUTE( SUBSTITUTE( SUBSTITUTE( SUBSTITUTE( SUBSTITUTE( SUBSTITUTE( SUBSTITUTE( SUBSTITUTE( C310, ""۰"", ""0""), ""۱"", ""1""), ""۲"", ""2""), ""۳"", ""3""), ""۴"", ""4""), ""۵"", ""5""), ""۶"", ""6"&amp;"""), ""۷"", ""7""), ""۸"", ""8""), ""۹"", ""9""), IF(LEFT(converted,3)=""+98"", ""0"" &amp; RIGHT(converted, LEN(converted)-3), IF(LEFT(converted,2)=""98"", ""0"" &amp; RIGHT(converted, LEN(converted)-2), IF(LEFT(converted,1)&lt;&gt;""0"", ""0"" &amp; converted, REGEXREPLA"&amp;"CE(converted , ""\s"", """")) ) ) ) )"),"09125277216")</f>
        <v>09125277216</v>
      </c>
      <c r="E310" s="196" t="s">
        <v>17</v>
      </c>
      <c r="F310" s="197">
        <v>2.0</v>
      </c>
      <c r="G310" s="193"/>
      <c r="H310" s="193" t="s">
        <v>2294</v>
      </c>
      <c r="I310" s="194"/>
      <c r="J310" s="194" t="s">
        <v>2295</v>
      </c>
      <c r="K310" s="199" t="s">
        <v>1569</v>
      </c>
      <c r="L310" s="199" t="s">
        <v>2296</v>
      </c>
      <c r="M310" s="193"/>
      <c r="N310" s="199"/>
      <c r="O310" s="199"/>
      <c r="P310" s="193"/>
      <c r="Q310" s="200"/>
      <c r="R310" s="86"/>
      <c r="S310" s="114">
        <f t="shared" ref="S310:T310" si="311">A310</f>
        <v>309</v>
      </c>
      <c r="T310" s="114" t="str">
        <f t="shared" si="311"/>
        <v>حسن قاسمی نژاد</v>
      </c>
      <c r="U310" s="86" t="str">
        <f t="shared" si="3"/>
        <v>09125277216</v>
      </c>
      <c r="V310" s="86" t="str">
        <f t="shared" si="4"/>
        <v>پیش‌وایی 2</v>
      </c>
      <c r="W310" s="86"/>
      <c r="X310" s="86"/>
    </row>
    <row r="311">
      <c r="A311" s="201">
        <v>310.0</v>
      </c>
      <c r="B311" s="202" t="s">
        <v>2297</v>
      </c>
      <c r="C311" s="203" t="s">
        <v>2298</v>
      </c>
      <c r="D311" s="204" t="str">
        <f>IFERROR(__xludf.DUMMYFUNCTION("ARRAYFORMULA(LET( converted, SUBSTITUTE( SUBSTITUTE( SUBSTITUTE( SUBSTITUTE( SUBSTITUTE( SUBSTITUTE( SUBSTITUTE( SUBSTITUTE( SUBSTITUTE( SUBSTITUTE( C311, ""۰"", ""0""), ""۱"", ""1""), ""۲"", ""2""), ""۳"", ""3""), ""۴"", ""4""), ""۵"", ""5""), ""۶"", ""6"&amp;"""), ""۷"", ""7""), ""۸"", ""8""), ""۹"", ""9""), IF(LEFT(converted,3)=""+98"", ""0"" &amp; RIGHT(converted, LEN(converted)-3), IF(LEFT(converted,2)=""98"", ""0"" &amp; RIGHT(converted, LEN(converted)-2), IF(LEFT(converted,1)&lt;&gt;""0"", ""0"" &amp; converted, REGEXREPLA"&amp;"CE(converted , ""\s"", """")) ) ) ) )"),"09127129074")</f>
        <v>09127129074</v>
      </c>
      <c r="E311" s="205" t="s">
        <v>17</v>
      </c>
      <c r="F311" s="206">
        <v>2.0</v>
      </c>
      <c r="G311" s="202"/>
      <c r="H311" s="202"/>
      <c r="I311" s="203"/>
      <c r="J311" s="203"/>
      <c r="K311" s="207" t="s">
        <v>2299</v>
      </c>
      <c r="L311" s="207" t="s">
        <v>2300</v>
      </c>
      <c r="M311" s="202"/>
      <c r="N311" s="207"/>
      <c r="O311" s="207"/>
      <c r="P311" s="202"/>
      <c r="Q311" s="208"/>
      <c r="R311" s="86"/>
      <c r="S311" s="114">
        <f t="shared" ref="S311:T311" si="312">A311</f>
        <v>310</v>
      </c>
      <c r="T311" s="114" t="str">
        <f t="shared" si="312"/>
        <v>وحیده مالکی</v>
      </c>
      <c r="U311" s="86" t="str">
        <f t="shared" si="3"/>
        <v>09127129074</v>
      </c>
      <c r="V311" s="86" t="str">
        <f t="shared" si="4"/>
        <v>پیش‌وایی 2</v>
      </c>
      <c r="W311" s="86"/>
      <c r="X311" s="86"/>
    </row>
    <row r="312">
      <c r="A312" s="192">
        <v>311.0</v>
      </c>
      <c r="B312" s="193" t="s">
        <v>2301</v>
      </c>
      <c r="C312" s="194"/>
      <c r="D312" s="195" t="str">
        <f>IFERROR(__xludf.DUMMYFUNCTION("ARRAYFORMULA(LET( converted, SUBSTITUTE( SUBSTITUTE( SUBSTITUTE( SUBSTITUTE( SUBSTITUTE( SUBSTITUTE( SUBSTITUTE( SUBSTITUTE( SUBSTITUTE( SUBSTITUTE( C312, ""۰"", ""0""), ""۱"", ""1""), ""۲"", ""2""), ""۳"", ""3""), ""۴"", ""4""), ""۵"", ""5""), ""۶"", ""6"&amp;"""), ""۷"", ""7""), ""۸"", ""8""), ""۹"", ""9""), IF(LEFT(converted,3)=""+98"", ""0"" &amp; RIGHT(converted, LEN(converted)-3), IF(LEFT(converted,2)=""98"", ""0"" &amp; RIGHT(converted, LEN(converted)-2), IF(LEFT(converted,1)&lt;&gt;""0"", ""0"" &amp; converted, REGEXREPLA"&amp;"CE(converted , ""\s"", """")) ) ) ) )"),"0")</f>
        <v>0</v>
      </c>
      <c r="E312" s="196" t="s">
        <v>17</v>
      </c>
      <c r="F312" s="197">
        <v>2.0</v>
      </c>
      <c r="G312" s="193"/>
      <c r="H312" s="193" t="s">
        <v>1920</v>
      </c>
      <c r="I312" s="194"/>
      <c r="J312" s="194"/>
      <c r="K312" s="199" t="s">
        <v>2302</v>
      </c>
      <c r="L312" s="199" t="s">
        <v>2296</v>
      </c>
      <c r="M312" s="193"/>
      <c r="N312" s="199"/>
      <c r="O312" s="199"/>
      <c r="P312" s="193"/>
      <c r="Q312" s="200"/>
      <c r="R312" s="86"/>
      <c r="S312" s="114">
        <f t="shared" ref="S312:T312" si="313">A312</f>
        <v>311</v>
      </c>
      <c r="T312" s="114" t="str">
        <f t="shared" si="313"/>
        <v>هیراد قاسمی نژاد</v>
      </c>
      <c r="U312" s="86" t="str">
        <f t="shared" si="3"/>
        <v>0</v>
      </c>
      <c r="V312" s="86" t="str">
        <f t="shared" si="4"/>
        <v>پیش‌وایی 2</v>
      </c>
      <c r="W312" s="86"/>
      <c r="X312" s="86"/>
    </row>
    <row r="313">
      <c r="A313" s="201">
        <v>312.0</v>
      </c>
      <c r="B313" s="202" t="s">
        <v>2303</v>
      </c>
      <c r="C313" s="203" t="s">
        <v>2304</v>
      </c>
      <c r="D313" s="204" t="str">
        <f>IFERROR(__xludf.DUMMYFUNCTION("ARRAYFORMULA(LET( converted, SUBSTITUTE( SUBSTITUTE( SUBSTITUTE( SUBSTITUTE( SUBSTITUTE( SUBSTITUTE( SUBSTITUTE( SUBSTITUTE( SUBSTITUTE( SUBSTITUTE( C313, ""۰"", ""0""), ""۱"", ""1""), ""۲"", ""2""), ""۳"", ""3""), ""۴"", ""4""), ""۵"", ""5""), ""۶"", ""6"&amp;"""), ""۷"", ""7""), ""۸"", ""8""), ""۹"", ""9""), IF(LEFT(converted,3)=""+98"", ""0"" &amp; RIGHT(converted, LEN(converted)-3), IF(LEFT(converted,2)=""98"", ""0"" &amp; RIGHT(converted, LEN(converted)-2), IF(LEFT(converted,1)&lt;&gt;""0"", ""0"" &amp; converted, REGEXREPLA"&amp;"CE(converted , ""\s"", """")) ) ) ) )"),"09121501411")</f>
        <v>09121501411</v>
      </c>
      <c r="E313" s="205" t="s">
        <v>17</v>
      </c>
      <c r="F313" s="206">
        <v>2.0</v>
      </c>
      <c r="G313" s="202"/>
      <c r="H313" s="202" t="s">
        <v>2305</v>
      </c>
      <c r="I313" s="203"/>
      <c r="J313" s="203"/>
      <c r="K313" s="207" t="s">
        <v>2306</v>
      </c>
      <c r="L313" s="207" t="s">
        <v>2307</v>
      </c>
      <c r="M313" s="202"/>
      <c r="N313" s="207"/>
      <c r="O313" s="207"/>
      <c r="P313" s="202"/>
      <c r="Q313" s="208"/>
      <c r="R313" s="86"/>
      <c r="S313" s="114">
        <f t="shared" ref="S313:T313" si="314">A313</f>
        <v>312</v>
      </c>
      <c r="T313" s="114" t="str">
        <f t="shared" si="314"/>
        <v>مرتضی رستگار</v>
      </c>
      <c r="U313" s="86" t="str">
        <f t="shared" si="3"/>
        <v>09121501411</v>
      </c>
      <c r="V313" s="86" t="str">
        <f t="shared" si="4"/>
        <v>پیش‌وایی 2</v>
      </c>
      <c r="W313" s="86"/>
      <c r="X313" s="86"/>
    </row>
    <row r="314">
      <c r="A314" s="192">
        <v>313.0</v>
      </c>
      <c r="B314" s="193" t="s">
        <v>2308</v>
      </c>
      <c r="C314" s="194" t="s">
        <v>2309</v>
      </c>
      <c r="D314" s="195" t="str">
        <f>IFERROR(__xludf.DUMMYFUNCTION("ARRAYFORMULA(LET( converted, SUBSTITUTE( SUBSTITUTE( SUBSTITUTE( SUBSTITUTE( SUBSTITUTE( SUBSTITUTE( SUBSTITUTE( SUBSTITUTE( SUBSTITUTE( SUBSTITUTE( C314, ""۰"", ""0""), ""۱"", ""1""), ""۲"", ""2""), ""۳"", ""3""), ""۴"", ""4""), ""۵"", ""5""), ""۶"", ""6"&amp;"""), ""۷"", ""7""), ""۸"", ""8""), ""۹"", ""9""), IF(LEFT(converted,3)=""+98"", ""0"" &amp; RIGHT(converted, LEN(converted)-3), IF(LEFT(converted,2)=""98"", ""0"" &amp; RIGHT(converted, LEN(converted)-2), IF(LEFT(converted,1)&lt;&gt;""0"", ""0"" &amp; converted, REGEXREPLA"&amp;"CE(converted , ""\s"", """")) ) ) ) )"),"09129464843")</f>
        <v>09129464843</v>
      </c>
      <c r="E314" s="196" t="s">
        <v>17</v>
      </c>
      <c r="F314" s="197">
        <v>2.0</v>
      </c>
      <c r="G314" s="193"/>
      <c r="H314" s="193" t="s">
        <v>2310</v>
      </c>
      <c r="I314" s="194"/>
      <c r="J314" s="194" t="s">
        <v>2311</v>
      </c>
      <c r="K314" s="199" t="s">
        <v>274</v>
      </c>
      <c r="L314" s="199" t="s">
        <v>2312</v>
      </c>
      <c r="M314" s="193"/>
      <c r="N314" s="199"/>
      <c r="O314" s="199"/>
      <c r="P314" s="193"/>
      <c r="Q314" s="200"/>
      <c r="R314" s="86"/>
      <c r="S314" s="114">
        <f t="shared" ref="S314:T314" si="315">A314</f>
        <v>313</v>
      </c>
      <c r="T314" s="114" t="str">
        <f t="shared" si="315"/>
        <v>فاطمه فتاحی</v>
      </c>
      <c r="U314" s="86" t="str">
        <f t="shared" si="3"/>
        <v>09129464843</v>
      </c>
      <c r="V314" s="86" t="str">
        <f t="shared" si="4"/>
        <v>پیش‌وایی 2</v>
      </c>
      <c r="W314" s="86"/>
      <c r="X314" s="86"/>
    </row>
    <row r="315">
      <c r="A315" s="201">
        <v>314.0</v>
      </c>
      <c r="B315" s="202" t="s">
        <v>2313</v>
      </c>
      <c r="C315" s="203" t="s">
        <v>2314</v>
      </c>
      <c r="D315" s="204" t="str">
        <f>IFERROR(__xludf.DUMMYFUNCTION("ARRAYFORMULA(LET( converted, SUBSTITUTE( SUBSTITUTE( SUBSTITUTE( SUBSTITUTE( SUBSTITUTE( SUBSTITUTE( SUBSTITUTE( SUBSTITUTE( SUBSTITUTE( SUBSTITUTE( C315, ""۰"", ""0""), ""۱"", ""1""), ""۲"", ""2""), ""۳"", ""3""), ""۴"", ""4""), ""۵"", ""5""), ""۶"", ""6"&amp;"""), ""۷"", ""7""), ""۸"", ""8""), ""۹"", ""9""), IF(LEFT(converted,3)=""+98"", ""0"" &amp; RIGHT(converted, LEN(converted)-3), IF(LEFT(converted,2)=""98"", ""0"" &amp; RIGHT(converted, LEN(converted)-2), IF(LEFT(converted,1)&lt;&gt;""0"", ""0"" &amp; converted, REGEXREPLA"&amp;"CE(converted , ""\s"", """")) ) ) ) )"),"09367704992")</f>
        <v>09367704992</v>
      </c>
      <c r="E315" s="205" t="s">
        <v>17</v>
      </c>
      <c r="F315" s="206">
        <v>2.0</v>
      </c>
      <c r="G315" s="202"/>
      <c r="H315" s="202" t="s">
        <v>2315</v>
      </c>
      <c r="I315" s="203"/>
      <c r="J315" s="203" t="s">
        <v>2316</v>
      </c>
      <c r="K315" s="207" t="s">
        <v>2280</v>
      </c>
      <c r="L315" s="207" t="s">
        <v>2317</v>
      </c>
      <c r="M315" s="202"/>
      <c r="N315" s="207"/>
      <c r="O315" s="207"/>
      <c r="P315" s="202"/>
      <c r="Q315" s="208"/>
      <c r="R315" s="86"/>
      <c r="S315" s="114">
        <f t="shared" ref="S315:T315" si="316">A315</f>
        <v>314</v>
      </c>
      <c r="T315" s="114" t="str">
        <f t="shared" si="316"/>
        <v>حمیدرضا حر</v>
      </c>
      <c r="U315" s="86" t="str">
        <f t="shared" si="3"/>
        <v>09367704992</v>
      </c>
      <c r="V315" s="86" t="str">
        <f t="shared" si="4"/>
        <v>پیش‌وایی 2</v>
      </c>
      <c r="W315" s="86"/>
      <c r="X315" s="86"/>
    </row>
    <row r="316">
      <c r="A316" s="192">
        <v>315.0</v>
      </c>
      <c r="B316" s="193" t="s">
        <v>984</v>
      </c>
      <c r="C316" s="194" t="s">
        <v>2318</v>
      </c>
      <c r="D316" s="195" t="str">
        <f>IFERROR(__xludf.DUMMYFUNCTION("ARRAYFORMULA(LET( converted, SUBSTITUTE( SUBSTITUTE( SUBSTITUTE( SUBSTITUTE( SUBSTITUTE( SUBSTITUTE( SUBSTITUTE( SUBSTITUTE( SUBSTITUTE( SUBSTITUTE( C316, ""۰"", ""0""), ""۱"", ""1""), ""۲"", ""2""), ""۳"", ""3""), ""۴"", ""4""), ""۵"", ""5""), ""۶"", ""6"&amp;"""), ""۷"", ""7""), ""۸"", ""8""), ""۹"", ""9""), IF(LEFT(converted,3)=""+98"", ""0"" &amp; RIGHT(converted, LEN(converted)-3), IF(LEFT(converted,2)=""98"", ""0"" &amp; RIGHT(converted, LEN(converted)-2), IF(LEFT(converted,1)&lt;&gt;""0"", ""0"" &amp; converted, REGEXREPLA"&amp;"CE(converted , ""\s"", """")) ) ) ) )"),"09127146258")</f>
        <v>09127146258</v>
      </c>
      <c r="E316" s="196" t="s">
        <v>17</v>
      </c>
      <c r="F316" s="197">
        <v>2.0</v>
      </c>
      <c r="G316" s="193"/>
      <c r="H316" s="193" t="s">
        <v>986</v>
      </c>
      <c r="I316" s="194"/>
      <c r="J316" s="194" t="s">
        <v>987</v>
      </c>
      <c r="K316" s="199" t="s">
        <v>988</v>
      </c>
      <c r="L316" s="199" t="s">
        <v>989</v>
      </c>
      <c r="M316" s="193"/>
      <c r="N316" s="199"/>
      <c r="O316" s="199"/>
      <c r="P316" s="193"/>
      <c r="Q316" s="200"/>
      <c r="R316" s="86"/>
      <c r="S316" s="114">
        <f t="shared" ref="S316:T316" si="317">A316</f>
        <v>315</v>
      </c>
      <c r="T316" s="114" t="str">
        <f t="shared" si="317"/>
        <v>طناز منتظر</v>
      </c>
      <c r="U316" s="86" t="str">
        <f t="shared" si="3"/>
        <v>09127146258</v>
      </c>
      <c r="V316" s="86" t="str">
        <f t="shared" si="4"/>
        <v>پیش‌وایی 2</v>
      </c>
      <c r="W316" s="86"/>
      <c r="X316" s="86"/>
    </row>
    <row r="317">
      <c r="A317" s="201">
        <v>316.0</v>
      </c>
      <c r="B317" s="202" t="s">
        <v>2319</v>
      </c>
      <c r="C317" s="203" t="s">
        <v>2320</v>
      </c>
      <c r="D317" s="204" t="str">
        <f>IFERROR(__xludf.DUMMYFUNCTION("ARRAYFORMULA(LET( converted, SUBSTITUTE( SUBSTITUTE( SUBSTITUTE( SUBSTITUTE( SUBSTITUTE( SUBSTITUTE( SUBSTITUTE( SUBSTITUTE( SUBSTITUTE( SUBSTITUTE( C317, ""۰"", ""0""), ""۱"", ""1""), ""۲"", ""2""), ""۳"", ""3""), ""۴"", ""4""), ""۵"", ""5""), ""۶"", ""6"&amp;"""), ""۷"", ""7""), ""۸"", ""8""), ""۹"", ""9""), IF(LEFT(converted,3)=""+98"", ""0"" &amp; RIGHT(converted, LEN(converted)-3), IF(LEFT(converted,2)=""98"", ""0"" &amp; RIGHT(converted, LEN(converted)-2), IF(LEFT(converted,1)&lt;&gt;""0"", ""0"" &amp; converted, REGEXREPLA"&amp;"CE(converted , ""\s"", """")) ) ) ) )"),"09125905693")</f>
        <v>09125905693</v>
      </c>
      <c r="E317" s="205" t="s">
        <v>17</v>
      </c>
      <c r="F317" s="206">
        <v>2.0</v>
      </c>
      <c r="G317" s="202"/>
      <c r="H317" s="202" t="s">
        <v>2321</v>
      </c>
      <c r="I317" s="203"/>
      <c r="J317" s="203" t="s">
        <v>2322</v>
      </c>
      <c r="K317" s="207" t="s">
        <v>2114</v>
      </c>
      <c r="L317" s="207" t="s">
        <v>2323</v>
      </c>
      <c r="M317" s="202"/>
      <c r="N317" s="207"/>
      <c r="O317" s="207"/>
      <c r="P317" s="202"/>
      <c r="Q317" s="208"/>
      <c r="R317" s="86"/>
      <c r="S317" s="114">
        <f t="shared" ref="S317:T317" si="318">A317</f>
        <v>316</v>
      </c>
      <c r="T317" s="114" t="str">
        <f t="shared" si="318"/>
        <v>یاسر فاضلی فرسانی</v>
      </c>
      <c r="U317" s="86" t="str">
        <f t="shared" si="3"/>
        <v>09125905693</v>
      </c>
      <c r="V317" s="86" t="str">
        <f t="shared" si="4"/>
        <v>پیش‌وایی 2</v>
      </c>
      <c r="W317" s="86"/>
      <c r="X317" s="86"/>
    </row>
    <row r="318">
      <c r="A318" s="192">
        <v>317.0</v>
      </c>
      <c r="B318" s="193" t="s">
        <v>1731</v>
      </c>
      <c r="C318" s="194" t="s">
        <v>1732</v>
      </c>
      <c r="D318" s="195" t="str">
        <f>IFERROR(__xludf.DUMMYFUNCTION("ARRAYFORMULA(LET( converted, SUBSTITUTE( SUBSTITUTE( SUBSTITUTE( SUBSTITUTE( SUBSTITUTE( SUBSTITUTE( SUBSTITUTE( SUBSTITUTE( SUBSTITUTE( SUBSTITUTE( C318, ""۰"", ""0""), ""۱"", ""1""), ""۲"", ""2""), ""۳"", ""3""), ""۴"", ""4""), ""۵"", ""5""), ""۶"", ""6"&amp;"""), ""۷"", ""7""), ""۸"", ""8""), ""۹"", ""9""), IF(LEFT(converted,3)=""+98"", ""0"" &amp; RIGHT(converted, LEN(converted)-3), IF(LEFT(converted,2)=""98"", ""0"" &amp; RIGHT(converted, LEN(converted)-2), IF(LEFT(converted,1)&lt;&gt;""0"", ""0"" &amp; converted, REGEXREPLA"&amp;"CE(converted , ""\s"", """")) ) ) ) )"),"09129306678")</f>
        <v>09129306678</v>
      </c>
      <c r="E318" s="196" t="s">
        <v>17</v>
      </c>
      <c r="F318" s="197">
        <v>2.0</v>
      </c>
      <c r="G318" s="193"/>
      <c r="H318" s="193" t="s">
        <v>2324</v>
      </c>
      <c r="I318" s="194"/>
      <c r="J318" s="194"/>
      <c r="K318" s="199" t="s">
        <v>758</v>
      </c>
      <c r="L318" s="199" t="s">
        <v>1734</v>
      </c>
      <c r="M318" s="193"/>
      <c r="N318" s="199"/>
      <c r="O318" s="199"/>
      <c r="P318" s="193"/>
      <c r="Q318" s="200"/>
      <c r="R318" s="86"/>
      <c r="S318" s="114">
        <f t="shared" ref="S318:T318" si="319">A318</f>
        <v>317</v>
      </c>
      <c r="T318" s="114" t="str">
        <f t="shared" si="319"/>
        <v>سعید شفیعی سرارودی</v>
      </c>
      <c r="U318" s="86" t="str">
        <f t="shared" si="3"/>
        <v>09129306678</v>
      </c>
      <c r="V318" s="86" t="str">
        <f t="shared" si="4"/>
        <v>پیش‌وایی 2</v>
      </c>
      <c r="W318" s="86"/>
      <c r="X318" s="86"/>
    </row>
    <row r="319">
      <c r="A319" s="201">
        <v>318.0</v>
      </c>
      <c r="B319" s="202" t="s">
        <v>2325</v>
      </c>
      <c r="C319" s="203" t="s">
        <v>2326</v>
      </c>
      <c r="D319" s="204" t="str">
        <f>IFERROR(__xludf.DUMMYFUNCTION("ARRAYFORMULA(LET( converted, SUBSTITUTE( SUBSTITUTE( SUBSTITUTE( SUBSTITUTE( SUBSTITUTE( SUBSTITUTE( SUBSTITUTE( SUBSTITUTE( SUBSTITUTE( SUBSTITUTE( C319, ""۰"", ""0""), ""۱"", ""1""), ""۲"", ""2""), ""۳"", ""3""), ""۴"", ""4""), ""۵"", ""5""), ""۶"", ""6"&amp;"""), ""۷"", ""7""), ""۸"", ""8""), ""۹"", ""9""), IF(LEFT(converted,3)=""+98"", ""0"" &amp; RIGHT(converted, LEN(converted)-3), IF(LEFT(converted,2)=""98"", ""0"" &amp; RIGHT(converted, LEN(converted)-2), IF(LEFT(converted,1)&lt;&gt;""0"", ""0"" &amp; converted, REGEXREPLA"&amp;"CE(converted , ""\s"", """")) ) ) ) )"),"09126335887")</f>
        <v>09126335887</v>
      </c>
      <c r="E319" s="205" t="s">
        <v>17</v>
      </c>
      <c r="F319" s="206">
        <v>2.0</v>
      </c>
      <c r="G319" s="202"/>
      <c r="H319" s="202" t="s">
        <v>2327</v>
      </c>
      <c r="I319" s="203"/>
      <c r="J319" s="203" t="s">
        <v>2328</v>
      </c>
      <c r="K319" s="207" t="s">
        <v>749</v>
      </c>
      <c r="L319" s="207" t="s">
        <v>2329</v>
      </c>
      <c r="M319" s="202"/>
      <c r="N319" s="207"/>
      <c r="O319" s="207"/>
      <c r="P319" s="202"/>
      <c r="Q319" s="208"/>
      <c r="R319" s="86"/>
      <c r="S319" s="114">
        <f t="shared" ref="S319:T319" si="320">A319</f>
        <v>318</v>
      </c>
      <c r="T319" s="114" t="str">
        <f t="shared" si="320"/>
        <v>لیلا برنگی</v>
      </c>
      <c r="U319" s="86" t="str">
        <f t="shared" si="3"/>
        <v>09126335887</v>
      </c>
      <c r="V319" s="86" t="str">
        <f t="shared" si="4"/>
        <v>پیش‌وایی 2</v>
      </c>
      <c r="W319" s="86"/>
      <c r="X319" s="86"/>
    </row>
    <row r="320">
      <c r="A320" s="192">
        <v>319.0</v>
      </c>
      <c r="B320" s="193" t="s">
        <v>2330</v>
      </c>
      <c r="C320" s="194" t="s">
        <v>1920</v>
      </c>
      <c r="D320" s="195" t="str">
        <f>IFERROR(__xludf.DUMMYFUNCTION("ARRAYFORMULA(LET( converted, SUBSTITUTE( SUBSTITUTE( SUBSTITUTE( SUBSTITUTE( SUBSTITUTE( SUBSTITUTE( SUBSTITUTE( SUBSTITUTE( SUBSTITUTE( SUBSTITUTE( C320, ""۰"", ""0""), ""۱"", ""1""), ""۲"", ""2""), ""۳"", ""3""), ""۴"", ""4""), ""۵"", ""5""), ""۶"", ""6"&amp;"""), ""۷"", ""7""), ""۸"", ""8""), ""۹"", ""9""), IF(LEFT(converted,3)=""+98"", ""0"" &amp; RIGHT(converted, LEN(converted)-3), IF(LEFT(converted,2)=""98"", ""0"" &amp; RIGHT(converted, LEN(converted)-2), IF(LEFT(converted,1)&lt;&gt;""0"", ""0"" &amp; converted, REGEXREPLA"&amp;"CE(converted , ""\s"", """")) ) ) ) )"),"0NA")</f>
        <v>0NA</v>
      </c>
      <c r="E320" s="196" t="s">
        <v>17</v>
      </c>
      <c r="F320" s="197">
        <v>2.0</v>
      </c>
      <c r="G320" s="193"/>
      <c r="H320" s="193" t="s">
        <v>1920</v>
      </c>
      <c r="I320" s="194"/>
      <c r="J320" s="194"/>
      <c r="K320" s="199" t="s">
        <v>2331</v>
      </c>
      <c r="L320" s="199" t="s">
        <v>1734</v>
      </c>
      <c r="M320" s="193"/>
      <c r="N320" s="199"/>
      <c r="O320" s="199"/>
      <c r="P320" s="193"/>
      <c r="Q320" s="200"/>
      <c r="R320" s="86"/>
      <c r="S320" s="114">
        <f t="shared" ref="S320:T320" si="321">A320</f>
        <v>319</v>
      </c>
      <c r="T320" s="114" t="str">
        <f t="shared" si="321"/>
        <v>نیکا شفیعی سرارودی</v>
      </c>
      <c r="U320" s="86" t="str">
        <f t="shared" si="3"/>
        <v>0NA</v>
      </c>
      <c r="V320" s="86" t="str">
        <f t="shared" si="4"/>
        <v>پیش‌وایی 2</v>
      </c>
      <c r="W320" s="86"/>
      <c r="X320" s="86"/>
    </row>
    <row r="321">
      <c r="A321" s="201">
        <v>320.0</v>
      </c>
      <c r="B321" s="202" t="s">
        <v>2332</v>
      </c>
      <c r="C321" s="203" t="s">
        <v>1920</v>
      </c>
      <c r="D321" s="204" t="str">
        <f>IFERROR(__xludf.DUMMYFUNCTION("ARRAYFORMULA(LET( converted, SUBSTITUTE( SUBSTITUTE( SUBSTITUTE( SUBSTITUTE( SUBSTITUTE( SUBSTITUTE( SUBSTITUTE( SUBSTITUTE( SUBSTITUTE( SUBSTITUTE( C321, ""۰"", ""0""), ""۱"", ""1""), ""۲"", ""2""), ""۳"", ""3""), ""۴"", ""4""), ""۵"", ""5""), ""۶"", ""6"&amp;"""), ""۷"", ""7""), ""۸"", ""8""), ""۹"", ""9""), IF(LEFT(converted,3)=""+98"", ""0"" &amp; RIGHT(converted, LEN(converted)-3), IF(LEFT(converted,2)=""98"", ""0"" &amp; RIGHT(converted, LEN(converted)-2), IF(LEFT(converted,1)&lt;&gt;""0"", ""0"" &amp; converted, REGEXREPLA"&amp;"CE(converted , ""\s"", """")) ) ) ) )"),"0NA")</f>
        <v>0NA</v>
      </c>
      <c r="E321" s="205" t="s">
        <v>17</v>
      </c>
      <c r="F321" s="206">
        <v>2.0</v>
      </c>
      <c r="G321" s="202"/>
      <c r="H321" s="202" t="s">
        <v>1920</v>
      </c>
      <c r="I321" s="203"/>
      <c r="J321" s="203"/>
      <c r="K321" s="207" t="s">
        <v>2333</v>
      </c>
      <c r="L321" s="207" t="s">
        <v>1734</v>
      </c>
      <c r="M321" s="202"/>
      <c r="N321" s="207"/>
      <c r="O321" s="207"/>
      <c r="P321" s="202"/>
      <c r="Q321" s="208"/>
      <c r="R321" s="86"/>
      <c r="S321" s="114">
        <f t="shared" ref="S321:T321" si="322">A321</f>
        <v>320</v>
      </c>
      <c r="T321" s="114" t="str">
        <f t="shared" si="322"/>
        <v>نیکی شفیعی سرارودی</v>
      </c>
      <c r="U321" s="86" t="str">
        <f t="shared" si="3"/>
        <v>0NA</v>
      </c>
      <c r="V321" s="86" t="str">
        <f t="shared" si="4"/>
        <v>پیش‌وایی 2</v>
      </c>
      <c r="W321" s="86"/>
      <c r="X321" s="86"/>
    </row>
    <row r="322">
      <c r="A322" s="192">
        <v>321.0</v>
      </c>
      <c r="B322" s="193" t="s">
        <v>2334</v>
      </c>
      <c r="C322" s="194" t="s">
        <v>2335</v>
      </c>
      <c r="D322" s="195" t="str">
        <f>IFERROR(__xludf.DUMMYFUNCTION("ARRAYFORMULA(LET( converted, SUBSTITUTE( SUBSTITUTE( SUBSTITUTE( SUBSTITUTE( SUBSTITUTE( SUBSTITUTE( SUBSTITUTE( SUBSTITUTE( SUBSTITUTE( SUBSTITUTE( C322, ""۰"", ""0""), ""۱"", ""1""), ""۲"", ""2""), ""۳"", ""3""), ""۴"", ""4""), ""۵"", ""5""), ""۶"", ""6"&amp;"""), ""۷"", ""7""), ""۸"", ""8""), ""۹"", ""9""), IF(LEFT(converted,3)=""+98"", ""0"" &amp; RIGHT(converted, LEN(converted)-3), IF(LEFT(converted,2)=""98"", ""0"" &amp; RIGHT(converted, LEN(converted)-2), IF(LEFT(converted,1)&lt;&gt;""0"", ""0"" &amp; converted, REGEXREPLA"&amp;"CE(converted , ""\s"", """")) ) ) ) )"),"09126861091")</f>
        <v>09126861091</v>
      </c>
      <c r="E322" s="196" t="s">
        <v>17</v>
      </c>
      <c r="F322" s="197">
        <v>2.0</v>
      </c>
      <c r="G322" s="193"/>
      <c r="H322" s="193" t="s">
        <v>2336</v>
      </c>
      <c r="I322" s="194"/>
      <c r="J322" s="194"/>
      <c r="K322" s="199" t="s">
        <v>286</v>
      </c>
      <c r="L322" s="199" t="s">
        <v>2337</v>
      </c>
      <c r="M322" s="193"/>
      <c r="N322" s="199"/>
      <c r="O322" s="199"/>
      <c r="P322" s="193"/>
      <c r="Q322" s="200"/>
      <c r="R322" s="86"/>
      <c r="S322" s="114">
        <f t="shared" ref="S322:T322" si="323">A322</f>
        <v>321</v>
      </c>
      <c r="T322" s="114" t="str">
        <f t="shared" si="323"/>
        <v>مهدی خدادادی</v>
      </c>
      <c r="U322" s="86" t="str">
        <f t="shared" si="3"/>
        <v>09126861091</v>
      </c>
      <c r="V322" s="86" t="str">
        <f t="shared" si="4"/>
        <v>پیش‌وایی 2</v>
      </c>
      <c r="W322" s="86"/>
      <c r="X322" s="86"/>
    </row>
    <row r="323">
      <c r="A323" s="201">
        <v>322.0</v>
      </c>
      <c r="B323" s="207" t="s">
        <v>2338</v>
      </c>
      <c r="C323" s="203" t="s">
        <v>2339</v>
      </c>
      <c r="D323" s="204" t="str">
        <f>IFERROR(__xludf.DUMMYFUNCTION("ARRAYFORMULA(LET( converted, SUBSTITUTE( SUBSTITUTE( SUBSTITUTE( SUBSTITUTE( SUBSTITUTE( SUBSTITUTE( SUBSTITUTE( SUBSTITUTE( SUBSTITUTE( SUBSTITUTE( C323, ""۰"", ""0""), ""۱"", ""1""), ""۲"", ""2""), ""۳"", ""3""), ""۴"", ""4""), ""۵"", ""5""), ""۶"", ""6"&amp;"""), ""۷"", ""7""), ""۸"", ""8""), ""۹"", ""9""), IF(LEFT(converted,3)=""+98"", ""0"" &amp; RIGHT(converted, LEN(converted)-3), IF(LEFT(converted,2)=""98"", ""0"" &amp; RIGHT(converted, LEN(converted)-2), IF(LEFT(converted,1)&lt;&gt;""0"", ""0"" &amp; converted, REGEXREPLA"&amp;"CE(converted , ""\s"", """")) ) ) ) )"),"09141594478")</f>
        <v>09141594478</v>
      </c>
      <c r="E323" s="205" t="s">
        <v>17</v>
      </c>
      <c r="F323" s="206">
        <v>2.0</v>
      </c>
      <c r="G323" s="202"/>
      <c r="H323" s="202" t="s">
        <v>2340</v>
      </c>
      <c r="I323" s="203"/>
      <c r="J323" s="203" t="s">
        <v>2341</v>
      </c>
      <c r="K323" s="207" t="s">
        <v>329</v>
      </c>
      <c r="L323" s="207" t="s">
        <v>2342</v>
      </c>
      <c r="M323" s="202"/>
      <c r="N323" s="207"/>
      <c r="O323" s="207"/>
      <c r="P323" s="202"/>
      <c r="Q323" s="208"/>
      <c r="R323" s="86"/>
      <c r="S323" s="114">
        <f t="shared" ref="S323:T323" si="324">A323</f>
        <v>322</v>
      </c>
      <c r="T323" s="114" t="str">
        <f t="shared" si="324"/>
        <v>نگین اسكندری</v>
      </c>
      <c r="U323" s="86" t="str">
        <f t="shared" si="3"/>
        <v>09141594478</v>
      </c>
      <c r="V323" s="86" t="str">
        <f t="shared" si="4"/>
        <v>پیش‌وایی 2</v>
      </c>
      <c r="W323" s="86"/>
      <c r="X323" s="86"/>
    </row>
    <row r="324">
      <c r="A324" s="192">
        <v>323.0</v>
      </c>
      <c r="B324" s="193" t="s">
        <v>2343</v>
      </c>
      <c r="C324" s="194" t="s">
        <v>2344</v>
      </c>
      <c r="D324" s="195" t="str">
        <f>IFERROR(__xludf.DUMMYFUNCTION("ARRAYFORMULA(LET( converted, SUBSTITUTE( SUBSTITUTE( SUBSTITUTE( SUBSTITUTE( SUBSTITUTE( SUBSTITUTE( SUBSTITUTE( SUBSTITUTE( SUBSTITUTE( SUBSTITUTE( C324, ""۰"", ""0""), ""۱"", ""1""), ""۲"", ""2""), ""۳"", ""3""), ""۴"", ""4""), ""۵"", ""5""), ""۶"", ""6"&amp;"""), ""۷"", ""7""), ""۸"", ""8""), ""۹"", ""9""), IF(LEFT(converted,3)=""+98"", ""0"" &amp; RIGHT(converted, LEN(converted)-3), IF(LEFT(converted,2)=""98"", ""0"" &amp; RIGHT(converted, LEN(converted)-2), IF(LEFT(converted,1)&lt;&gt;""0"", ""0"" &amp; converted, REGEXREPLA"&amp;"CE(converted , ""\s"", """")) ) ) ) )"),"09127646953")</f>
        <v>09127646953</v>
      </c>
      <c r="E324" s="196" t="s">
        <v>17</v>
      </c>
      <c r="F324" s="197">
        <v>2.0</v>
      </c>
      <c r="G324" s="193"/>
      <c r="H324" s="193" t="s">
        <v>2345</v>
      </c>
      <c r="I324" s="194"/>
      <c r="J324" s="194" t="s">
        <v>2346</v>
      </c>
      <c r="K324" s="199" t="s">
        <v>2347</v>
      </c>
      <c r="L324" s="199" t="s">
        <v>2348</v>
      </c>
      <c r="M324" s="193"/>
      <c r="N324" s="199"/>
      <c r="O324" s="199"/>
      <c r="P324" s="193"/>
      <c r="Q324" s="200"/>
      <c r="R324" s="86"/>
      <c r="S324" s="114">
        <f t="shared" ref="S324:T324" si="325">A324</f>
        <v>323</v>
      </c>
      <c r="T324" s="114" t="str">
        <f t="shared" si="325"/>
        <v>هادی شجری</v>
      </c>
      <c r="U324" s="86" t="str">
        <f t="shared" si="3"/>
        <v>09127646953</v>
      </c>
      <c r="V324" s="86" t="str">
        <f t="shared" si="4"/>
        <v>پیش‌وایی 2</v>
      </c>
      <c r="W324" s="86"/>
      <c r="X324" s="86"/>
    </row>
    <row r="325">
      <c r="A325" s="201">
        <v>324.0</v>
      </c>
      <c r="B325" s="202" t="s">
        <v>2349</v>
      </c>
      <c r="C325" s="203" t="s">
        <v>2350</v>
      </c>
      <c r="D325" s="204" t="str">
        <f>IFERROR(__xludf.DUMMYFUNCTION("ARRAYFORMULA(LET( converted, SUBSTITUTE( SUBSTITUTE( SUBSTITUTE( SUBSTITUTE( SUBSTITUTE( SUBSTITUTE( SUBSTITUTE( SUBSTITUTE( SUBSTITUTE( SUBSTITUTE( C325, ""۰"", ""0""), ""۱"", ""1""), ""۲"", ""2""), ""۳"", ""3""), ""۴"", ""4""), ""۵"", ""5""), ""۶"", ""6"&amp;"""), ""۷"", ""7""), ""۸"", ""8""), ""۹"", ""9""), IF(LEFT(converted,3)=""+98"", ""0"" &amp; RIGHT(converted, LEN(converted)-3), IF(LEFT(converted,2)=""98"", ""0"" &amp; RIGHT(converted, LEN(converted)-2), IF(LEFT(converted,1)&lt;&gt;""0"", ""0"" &amp; converted, REGEXREPLA"&amp;"CE(converted , ""\s"", """")) ) ) ) )"),"09124582691")</f>
        <v>09124582691</v>
      </c>
      <c r="E325" s="205" t="s">
        <v>17</v>
      </c>
      <c r="F325" s="206">
        <v>2.0</v>
      </c>
      <c r="G325" s="202"/>
      <c r="H325" s="202" t="s">
        <v>2351</v>
      </c>
      <c r="I325" s="203"/>
      <c r="J325" s="203" t="s">
        <v>2352</v>
      </c>
      <c r="K325" s="207" t="s">
        <v>187</v>
      </c>
      <c r="L325" s="207" t="s">
        <v>2353</v>
      </c>
      <c r="M325" s="202"/>
      <c r="N325" s="207"/>
      <c r="O325" s="207"/>
      <c r="P325" s="202"/>
      <c r="Q325" s="208"/>
      <c r="R325" s="86"/>
      <c r="S325" s="114">
        <f t="shared" ref="S325:T325" si="326">A325</f>
        <v>324</v>
      </c>
      <c r="T325" s="114" t="str">
        <f t="shared" si="326"/>
        <v>نفیسه خیراندیش</v>
      </c>
      <c r="U325" s="86" t="str">
        <f t="shared" si="3"/>
        <v>09124582691</v>
      </c>
      <c r="V325" s="86" t="str">
        <f t="shared" si="4"/>
        <v>پیش‌وایی 2</v>
      </c>
      <c r="W325" s="86"/>
      <c r="X325" s="86"/>
    </row>
    <row r="326">
      <c r="A326" s="192">
        <v>325.0</v>
      </c>
      <c r="B326" s="193" t="s">
        <v>2354</v>
      </c>
      <c r="C326" s="194"/>
      <c r="D326" s="195" t="str">
        <f>IFERROR(__xludf.DUMMYFUNCTION("ARRAYFORMULA(LET( converted, SUBSTITUTE( SUBSTITUTE( SUBSTITUTE( SUBSTITUTE( SUBSTITUTE( SUBSTITUTE( SUBSTITUTE( SUBSTITUTE( SUBSTITUTE( SUBSTITUTE( C326, ""۰"", ""0""), ""۱"", ""1""), ""۲"", ""2""), ""۳"", ""3""), ""۴"", ""4""), ""۵"", ""5""), ""۶"", ""6"&amp;"""), ""۷"", ""7""), ""۸"", ""8""), ""۹"", ""9""), IF(LEFT(converted,3)=""+98"", ""0"" &amp; RIGHT(converted, LEN(converted)-3), IF(LEFT(converted,2)=""98"", ""0"" &amp; RIGHT(converted, LEN(converted)-2), IF(LEFT(converted,1)&lt;&gt;""0"", ""0"" &amp; converted, REGEXREPLA"&amp;"CE(converted , ""\s"", """")) ) ) ) )"),"0")</f>
        <v>0</v>
      </c>
      <c r="E326" s="196" t="s">
        <v>17</v>
      </c>
      <c r="F326" s="197">
        <v>2.0</v>
      </c>
      <c r="G326" s="193"/>
      <c r="H326" s="193" t="s">
        <v>1920</v>
      </c>
      <c r="I326" s="194"/>
      <c r="J326" s="194"/>
      <c r="K326" s="199" t="s">
        <v>2355</v>
      </c>
      <c r="L326" s="199" t="s">
        <v>2356</v>
      </c>
      <c r="M326" s="193"/>
      <c r="N326" s="199"/>
      <c r="O326" s="199"/>
      <c r="P326" s="193"/>
      <c r="Q326" s="200"/>
      <c r="R326" s="86"/>
      <c r="S326" s="114">
        <f t="shared" ref="S326:T326" si="327">A326</f>
        <v>325</v>
      </c>
      <c r="T326" s="114" t="str">
        <f t="shared" si="327"/>
        <v>مربی مهد</v>
      </c>
      <c r="U326" s="86" t="str">
        <f t="shared" si="3"/>
        <v>0</v>
      </c>
      <c r="V326" s="86" t="str">
        <f t="shared" si="4"/>
        <v>پیش‌وایی 2</v>
      </c>
      <c r="W326" s="86"/>
      <c r="X326" s="86"/>
    </row>
    <row r="327">
      <c r="A327" s="201">
        <v>326.0</v>
      </c>
      <c r="B327" s="202" t="s">
        <v>2354</v>
      </c>
      <c r="C327" s="203"/>
      <c r="D327" s="204" t="str">
        <f>IFERROR(__xludf.DUMMYFUNCTION("ARRAYFORMULA(LET( converted, SUBSTITUTE( SUBSTITUTE( SUBSTITUTE( SUBSTITUTE( SUBSTITUTE( SUBSTITUTE( SUBSTITUTE( SUBSTITUTE( SUBSTITUTE( SUBSTITUTE( C327, ""۰"", ""0""), ""۱"", ""1""), ""۲"", ""2""), ""۳"", ""3""), ""۴"", ""4""), ""۵"", ""5""), ""۶"", ""6"&amp;"""), ""۷"", ""7""), ""۸"", ""8""), ""۹"", ""9""), IF(LEFT(converted,3)=""+98"", ""0"" &amp; RIGHT(converted, LEN(converted)-3), IF(LEFT(converted,2)=""98"", ""0"" &amp; RIGHT(converted, LEN(converted)-2), IF(LEFT(converted,1)&lt;&gt;""0"", ""0"" &amp; converted, REGEXREPLA"&amp;"CE(converted , ""\s"", """")) ) ) ) )"),"0")</f>
        <v>0</v>
      </c>
      <c r="E327" s="205" t="s">
        <v>17</v>
      </c>
      <c r="F327" s="206">
        <v>2.0</v>
      </c>
      <c r="G327" s="202"/>
      <c r="H327" s="202" t="s">
        <v>1920</v>
      </c>
      <c r="I327" s="203"/>
      <c r="J327" s="203"/>
      <c r="K327" s="207" t="s">
        <v>2355</v>
      </c>
      <c r="L327" s="207" t="s">
        <v>2356</v>
      </c>
      <c r="M327" s="202"/>
      <c r="N327" s="207"/>
      <c r="O327" s="207"/>
      <c r="P327" s="202"/>
      <c r="Q327" s="208"/>
      <c r="R327" s="86"/>
      <c r="S327" s="114">
        <f t="shared" ref="S327:T327" si="328">A327</f>
        <v>326</v>
      </c>
      <c r="T327" s="114" t="str">
        <f t="shared" si="328"/>
        <v>مربی مهد</v>
      </c>
      <c r="U327" s="86" t="str">
        <f t="shared" si="3"/>
        <v>0</v>
      </c>
      <c r="V327" s="86" t="str">
        <f t="shared" si="4"/>
        <v>پیش‌وایی 2</v>
      </c>
      <c r="W327" s="86"/>
      <c r="X327" s="86"/>
    </row>
    <row r="328">
      <c r="A328" s="192">
        <v>327.0</v>
      </c>
      <c r="B328" s="199" t="s">
        <v>2357</v>
      </c>
      <c r="C328" s="194" t="s">
        <v>2358</v>
      </c>
      <c r="D328" s="195" t="str">
        <f>IFERROR(__xludf.DUMMYFUNCTION("ARRAYFORMULA(LET( converted, SUBSTITUTE( SUBSTITUTE( SUBSTITUTE( SUBSTITUTE( SUBSTITUTE( SUBSTITUTE( SUBSTITUTE( SUBSTITUTE( SUBSTITUTE( SUBSTITUTE( C328, ""۰"", ""0""), ""۱"", ""1""), ""۲"", ""2""), ""۳"", ""3""), ""۴"", ""4""), ""۵"", ""5""), ""۶"", ""6"&amp;"""), ""۷"", ""7""), ""۸"", ""8""), ""۹"", ""9""), IF(LEFT(converted,3)=""+98"", ""0"" &amp; RIGHT(converted, LEN(converted)-3), IF(LEFT(converted,2)=""98"", ""0"" &amp; RIGHT(converted, LEN(converted)-2), IF(LEFT(converted,1)&lt;&gt;""0"", ""0"" &amp; converted, REGEXREPLA"&amp;"CE(converted , ""\s"", """")) ) ) ) )"),"09122102955")</f>
        <v>09122102955</v>
      </c>
      <c r="E328" s="196" t="s">
        <v>17</v>
      </c>
      <c r="F328" s="197">
        <v>2.0</v>
      </c>
      <c r="G328" s="193"/>
      <c r="H328" s="193" t="s">
        <v>2359</v>
      </c>
      <c r="I328" s="194"/>
      <c r="J328" s="194"/>
      <c r="K328" s="199" t="s">
        <v>274</v>
      </c>
      <c r="L328" s="199" t="s">
        <v>2360</v>
      </c>
      <c r="M328" s="193"/>
      <c r="N328" s="199"/>
      <c r="O328" s="199"/>
      <c r="P328" s="193"/>
      <c r="Q328" s="200"/>
      <c r="R328" s="86"/>
      <c r="S328" s="114">
        <f t="shared" ref="S328:T328" si="329">A328</f>
        <v>327</v>
      </c>
      <c r="T328" s="114" t="str">
        <f t="shared" si="329"/>
        <v>فاطمه حیدر</v>
      </c>
      <c r="U328" s="86" t="str">
        <f t="shared" si="3"/>
        <v>09122102955</v>
      </c>
      <c r="V328" s="86" t="str">
        <f t="shared" si="4"/>
        <v>پیش‌وایی 2</v>
      </c>
      <c r="W328" s="86"/>
      <c r="X328" s="86"/>
    </row>
    <row r="329">
      <c r="A329" s="201">
        <v>328.0</v>
      </c>
      <c r="B329" s="202" t="s">
        <v>2361</v>
      </c>
      <c r="C329" s="203" t="s">
        <v>2362</v>
      </c>
      <c r="D329" s="204" t="str">
        <f>IFERROR(__xludf.DUMMYFUNCTION("ARRAYFORMULA(LET( converted, SUBSTITUTE( SUBSTITUTE( SUBSTITUTE( SUBSTITUTE( SUBSTITUTE( SUBSTITUTE( SUBSTITUTE( SUBSTITUTE( SUBSTITUTE( SUBSTITUTE( C329, ""۰"", ""0""), ""۱"", ""1""), ""۲"", ""2""), ""۳"", ""3""), ""۴"", ""4""), ""۵"", ""5""), ""۶"", ""6"&amp;"""), ""۷"", ""7""), ""۸"", ""8""), ""۹"", ""9""), IF(LEFT(converted,3)=""+98"", ""0"" &amp; RIGHT(converted, LEN(converted)-3), IF(LEFT(converted,2)=""98"", ""0"" &amp; RIGHT(converted, LEN(converted)-2), IF(LEFT(converted,1)&lt;&gt;""0"", ""0"" &amp; converted, REGEXREPLA"&amp;"CE(converted , ""\s"", """")) ) ) ) )"),"09121473921")</f>
        <v>09121473921</v>
      </c>
      <c r="E329" s="205" t="s">
        <v>17</v>
      </c>
      <c r="F329" s="206">
        <v>2.0</v>
      </c>
      <c r="G329" s="202"/>
      <c r="H329" s="202" t="s">
        <v>2363</v>
      </c>
      <c r="I329" s="203"/>
      <c r="J329" s="203"/>
      <c r="K329" s="207" t="s">
        <v>2364</v>
      </c>
      <c r="L329" s="207" t="s">
        <v>2365</v>
      </c>
      <c r="M329" s="202"/>
      <c r="N329" s="207"/>
      <c r="O329" s="207"/>
      <c r="P329" s="202"/>
      <c r="Q329" s="208"/>
      <c r="R329" s="86"/>
      <c r="S329" s="114">
        <f t="shared" ref="S329:T329" si="330">A329</f>
        <v>328</v>
      </c>
      <c r="T329" s="114" t="str">
        <f t="shared" si="330"/>
        <v>فواد قمرزاد</v>
      </c>
      <c r="U329" s="86" t="str">
        <f t="shared" si="3"/>
        <v>09121473921</v>
      </c>
      <c r="V329" s="86" t="str">
        <f t="shared" si="4"/>
        <v>پیش‌وایی 2</v>
      </c>
      <c r="W329" s="86"/>
      <c r="X329" s="86"/>
    </row>
    <row r="330">
      <c r="A330" s="192">
        <v>329.0</v>
      </c>
      <c r="B330" s="193" t="s">
        <v>2366</v>
      </c>
      <c r="C330" s="194" t="s">
        <v>1920</v>
      </c>
      <c r="D330" s="195" t="str">
        <f>IFERROR(__xludf.DUMMYFUNCTION("ARRAYFORMULA(LET( converted, SUBSTITUTE( SUBSTITUTE( SUBSTITUTE( SUBSTITUTE( SUBSTITUTE( SUBSTITUTE( SUBSTITUTE( SUBSTITUTE( SUBSTITUTE( SUBSTITUTE( C330, ""۰"", ""0""), ""۱"", ""1""), ""۲"", ""2""), ""۳"", ""3""), ""۴"", ""4""), ""۵"", ""5""), ""۶"", ""6"&amp;"""), ""۷"", ""7""), ""۸"", ""8""), ""۹"", ""9""), IF(LEFT(converted,3)=""+98"", ""0"" &amp; RIGHT(converted, LEN(converted)-3), IF(LEFT(converted,2)=""98"", ""0"" &amp; RIGHT(converted, LEN(converted)-2), IF(LEFT(converted,1)&lt;&gt;""0"", ""0"" &amp; converted, REGEXREPLA"&amp;"CE(converted , ""\s"", """")) ) ) ) )"),"0NA")</f>
        <v>0NA</v>
      </c>
      <c r="E330" s="196" t="s">
        <v>17</v>
      </c>
      <c r="F330" s="197">
        <v>2.0</v>
      </c>
      <c r="G330" s="193"/>
      <c r="H330" s="193" t="s">
        <v>1920</v>
      </c>
      <c r="I330" s="194"/>
      <c r="J330" s="194"/>
      <c r="K330" s="199" t="s">
        <v>2367</v>
      </c>
      <c r="L330" s="199" t="s">
        <v>2365</v>
      </c>
      <c r="M330" s="193"/>
      <c r="N330" s="199"/>
      <c r="O330" s="199"/>
      <c r="P330" s="193"/>
      <c r="Q330" s="200"/>
      <c r="R330" s="86"/>
      <c r="S330" s="114">
        <f t="shared" ref="S330:T330" si="331">A330</f>
        <v>329</v>
      </c>
      <c r="T330" s="114" t="str">
        <f t="shared" si="331"/>
        <v>سروش قمرزاد</v>
      </c>
      <c r="U330" s="86" t="str">
        <f t="shared" si="3"/>
        <v>0NA</v>
      </c>
      <c r="V330" s="86" t="str">
        <f t="shared" si="4"/>
        <v>پیش‌وایی 2</v>
      </c>
      <c r="W330" s="86"/>
      <c r="X330" s="86"/>
    </row>
    <row r="331">
      <c r="A331" s="201">
        <v>330.0</v>
      </c>
      <c r="B331" s="202" t="s">
        <v>2368</v>
      </c>
      <c r="C331" s="203" t="s">
        <v>1920</v>
      </c>
      <c r="D331" s="204" t="str">
        <f>IFERROR(__xludf.DUMMYFUNCTION("ARRAYFORMULA(LET( converted, SUBSTITUTE( SUBSTITUTE( SUBSTITUTE( SUBSTITUTE( SUBSTITUTE( SUBSTITUTE( SUBSTITUTE( SUBSTITUTE( SUBSTITUTE( SUBSTITUTE( C331, ""۰"", ""0""), ""۱"", ""1""), ""۲"", ""2""), ""۳"", ""3""), ""۴"", ""4""), ""۵"", ""5""), ""۶"", ""6"&amp;"""), ""۷"", ""7""), ""۸"", ""8""), ""۹"", ""9""), IF(LEFT(converted,3)=""+98"", ""0"" &amp; RIGHT(converted, LEN(converted)-3), IF(LEFT(converted,2)=""98"", ""0"" &amp; RIGHT(converted, LEN(converted)-2), IF(LEFT(converted,1)&lt;&gt;""0"", ""0"" &amp; converted, REGEXREPLA"&amp;"CE(converted , ""\s"", """")) ) ) ) )"),"0NA")</f>
        <v>0NA</v>
      </c>
      <c r="E331" s="205" t="s">
        <v>17</v>
      </c>
      <c r="F331" s="206">
        <v>2.0</v>
      </c>
      <c r="G331" s="202"/>
      <c r="H331" s="202" t="s">
        <v>1920</v>
      </c>
      <c r="I331" s="203"/>
      <c r="J331" s="203"/>
      <c r="K331" s="207" t="s">
        <v>2369</v>
      </c>
      <c r="L331" s="207" t="s">
        <v>2365</v>
      </c>
      <c r="M331" s="202"/>
      <c r="N331" s="207"/>
      <c r="O331" s="207"/>
      <c r="P331" s="202"/>
      <c r="Q331" s="208"/>
      <c r="R331" s="86"/>
      <c r="S331" s="114">
        <f t="shared" ref="S331:T331" si="332">A331</f>
        <v>330</v>
      </c>
      <c r="T331" s="114" t="str">
        <f t="shared" si="332"/>
        <v>بیتا قمرزاد</v>
      </c>
      <c r="U331" s="86" t="str">
        <f t="shared" si="3"/>
        <v>0NA</v>
      </c>
      <c r="V331" s="86" t="str">
        <f t="shared" si="4"/>
        <v>پیش‌وایی 2</v>
      </c>
      <c r="W331" s="86"/>
      <c r="X331" s="86"/>
    </row>
    <row r="332">
      <c r="A332" s="192">
        <v>331.0</v>
      </c>
      <c r="B332" s="199" t="s">
        <v>2370</v>
      </c>
      <c r="C332" s="194" t="s">
        <v>2371</v>
      </c>
      <c r="D332" s="195" t="str">
        <f>IFERROR(__xludf.DUMMYFUNCTION("ARRAYFORMULA(LET( converted, SUBSTITUTE( SUBSTITUTE( SUBSTITUTE( SUBSTITUTE( SUBSTITUTE( SUBSTITUTE( SUBSTITUTE( SUBSTITUTE( SUBSTITUTE( SUBSTITUTE( C332, ""۰"", ""0""), ""۱"", ""1""), ""۲"", ""2""), ""۳"", ""3""), ""۴"", ""4""), ""۵"", ""5""), ""۶"", ""6"&amp;"""), ""۷"", ""7""), ""۸"", ""8""), ""۹"", ""9""), IF(LEFT(converted,3)=""+98"", ""0"" &amp; RIGHT(converted, LEN(converted)-3), IF(LEFT(converted,2)=""98"", ""0"" &amp; RIGHT(converted, LEN(converted)-2), IF(LEFT(converted,1)&lt;&gt;""0"", ""0"" &amp; converted, REGEXREPLA"&amp;"CE(converted , ""\s"", """")) ) ) ) )"),"09126101060")</f>
        <v>09126101060</v>
      </c>
      <c r="E332" s="196" t="s">
        <v>17</v>
      </c>
      <c r="F332" s="197">
        <v>2.0</v>
      </c>
      <c r="G332" s="193"/>
      <c r="H332" s="193" t="s">
        <v>2372</v>
      </c>
      <c r="I332" s="194"/>
      <c r="J332" s="194"/>
      <c r="K332" s="199" t="s">
        <v>259</v>
      </c>
      <c r="L332" s="199" t="s">
        <v>2373</v>
      </c>
      <c r="M332" s="193"/>
      <c r="N332" s="199"/>
      <c r="O332" s="199"/>
      <c r="P332" s="193"/>
      <c r="Q332" s="200"/>
      <c r="R332" s="86"/>
      <c r="S332" s="114">
        <f t="shared" ref="S332:T332" si="333">A332</f>
        <v>331</v>
      </c>
      <c r="T332" s="114" t="str">
        <f t="shared" si="333"/>
        <v>علیرضا عظیمی</v>
      </c>
      <c r="U332" s="86" t="str">
        <f t="shared" si="3"/>
        <v>09126101060</v>
      </c>
      <c r="V332" s="86" t="str">
        <f t="shared" si="4"/>
        <v>پیش‌وایی 2</v>
      </c>
      <c r="W332" s="86"/>
      <c r="X332" s="86"/>
    </row>
    <row r="333">
      <c r="A333" s="201">
        <v>332.0</v>
      </c>
      <c r="B333" s="207" t="s">
        <v>2374</v>
      </c>
      <c r="C333" s="203" t="s">
        <v>2375</v>
      </c>
      <c r="D333" s="204" t="str">
        <f>IFERROR(__xludf.DUMMYFUNCTION("ARRAYFORMULA(LET( converted, SUBSTITUTE( SUBSTITUTE( SUBSTITUTE( SUBSTITUTE( SUBSTITUTE( SUBSTITUTE( SUBSTITUTE( SUBSTITUTE( SUBSTITUTE( SUBSTITUTE( C333, ""۰"", ""0""), ""۱"", ""1""), ""۲"", ""2""), ""۳"", ""3""), ""۴"", ""4""), ""۵"", ""5""), ""۶"", ""6"&amp;"""), ""۷"", ""7""), ""۸"", ""8""), ""۹"", ""9""), IF(LEFT(converted,3)=""+98"", ""0"" &amp; RIGHT(converted, LEN(converted)-3), IF(LEFT(converted,2)=""98"", ""0"" &amp; RIGHT(converted, LEN(converted)-2), IF(LEFT(converted,1)&lt;&gt;""0"", ""0"" &amp; converted, REGEXREPLA"&amp;"CE(converted , ""\s"", """")) ) ) ) )"),"09126351076")</f>
        <v>09126351076</v>
      </c>
      <c r="E333" s="205" t="s">
        <v>17</v>
      </c>
      <c r="F333" s="206">
        <v>2.0</v>
      </c>
      <c r="G333" s="202"/>
      <c r="H333" s="202" t="s">
        <v>2376</v>
      </c>
      <c r="I333" s="203"/>
      <c r="J333" s="203"/>
      <c r="K333" s="207" t="s">
        <v>286</v>
      </c>
      <c r="L333" s="207" t="s">
        <v>2377</v>
      </c>
      <c r="M333" s="202"/>
      <c r="N333" s="207"/>
      <c r="O333" s="207"/>
      <c r="P333" s="202"/>
      <c r="Q333" s="208"/>
      <c r="R333" s="86"/>
      <c r="S333" s="114">
        <f t="shared" ref="S333:T333" si="334">A333</f>
        <v>332</v>
      </c>
      <c r="T333" s="114" t="str">
        <f t="shared" si="334"/>
        <v>مهدی مستوری</v>
      </c>
      <c r="U333" s="86" t="str">
        <f t="shared" si="3"/>
        <v>09126351076</v>
      </c>
      <c r="V333" s="86" t="str">
        <f t="shared" si="4"/>
        <v>پیش‌وایی 2</v>
      </c>
      <c r="W333" s="86"/>
      <c r="X333" s="86"/>
    </row>
    <row r="334">
      <c r="A334" s="192">
        <v>333.0</v>
      </c>
      <c r="B334" s="193" t="s">
        <v>2378</v>
      </c>
      <c r="C334" s="194"/>
      <c r="D334" s="195" t="str">
        <f>IFERROR(__xludf.DUMMYFUNCTION("ARRAYFORMULA(LET( converted, SUBSTITUTE( SUBSTITUTE( SUBSTITUTE( SUBSTITUTE( SUBSTITUTE( SUBSTITUTE( SUBSTITUTE( SUBSTITUTE( SUBSTITUTE( SUBSTITUTE( C334, ""۰"", ""0""), ""۱"", ""1""), ""۲"", ""2""), ""۳"", ""3""), ""۴"", ""4""), ""۵"", ""5""), ""۶"", ""6"&amp;"""), ""۷"", ""7""), ""۸"", ""8""), ""۹"", ""9""), IF(LEFT(converted,3)=""+98"", ""0"" &amp; RIGHT(converted, LEN(converted)-3), IF(LEFT(converted,2)=""98"", ""0"" &amp; RIGHT(converted, LEN(converted)-2), IF(LEFT(converted,1)&lt;&gt;""0"", ""0"" &amp; converted, REGEXREPLA"&amp;"CE(converted , ""\s"", """")) ) ) ) )"),"0")</f>
        <v>0</v>
      </c>
      <c r="E334" s="196" t="s">
        <v>17</v>
      </c>
      <c r="F334" s="197">
        <v>2.0</v>
      </c>
      <c r="G334" s="193"/>
      <c r="H334" s="193"/>
      <c r="I334" s="194"/>
      <c r="J334" s="194"/>
      <c r="K334" s="199" t="s">
        <v>749</v>
      </c>
      <c r="L334" s="199" t="s">
        <v>2379</v>
      </c>
      <c r="M334" s="193"/>
      <c r="N334" s="199"/>
      <c r="O334" s="199"/>
      <c r="P334" s="193"/>
      <c r="Q334" s="200"/>
      <c r="R334" s="86"/>
      <c r="S334" s="114">
        <f t="shared" ref="S334:T334" si="335">A334</f>
        <v>333</v>
      </c>
      <c r="T334" s="114" t="str">
        <f t="shared" si="335"/>
        <v>لیلا اسدپور</v>
      </c>
      <c r="U334" s="86" t="str">
        <f t="shared" si="3"/>
        <v>0</v>
      </c>
      <c r="V334" s="86" t="str">
        <f t="shared" si="4"/>
        <v>پیش‌وایی 2</v>
      </c>
      <c r="W334" s="86"/>
      <c r="X334" s="86"/>
    </row>
    <row r="335">
      <c r="A335" s="201">
        <v>334.0</v>
      </c>
      <c r="B335" s="202" t="s">
        <v>2380</v>
      </c>
      <c r="C335" s="203"/>
      <c r="D335" s="204" t="str">
        <f>IFERROR(__xludf.DUMMYFUNCTION("ARRAYFORMULA(LET( converted, SUBSTITUTE( SUBSTITUTE( SUBSTITUTE( SUBSTITUTE( SUBSTITUTE( SUBSTITUTE( SUBSTITUTE( SUBSTITUTE( SUBSTITUTE( SUBSTITUTE( C335, ""۰"", ""0""), ""۱"", ""1""), ""۲"", ""2""), ""۳"", ""3""), ""۴"", ""4""), ""۵"", ""5""), ""۶"", ""6"&amp;"""), ""۷"", ""7""), ""۸"", ""8""), ""۹"", ""9""), IF(LEFT(converted,3)=""+98"", ""0"" &amp; RIGHT(converted, LEN(converted)-3), IF(LEFT(converted,2)=""98"", ""0"" &amp; RIGHT(converted, LEN(converted)-2), IF(LEFT(converted,1)&lt;&gt;""0"", ""0"" &amp; converted, REGEXREPLA"&amp;"CE(converted , ""\s"", """")) ) ) ) )"),"0")</f>
        <v>0</v>
      </c>
      <c r="E335" s="205" t="s">
        <v>17</v>
      </c>
      <c r="F335" s="206">
        <v>2.0</v>
      </c>
      <c r="G335" s="202"/>
      <c r="H335" s="202" t="s">
        <v>1920</v>
      </c>
      <c r="I335" s="203"/>
      <c r="J335" s="203"/>
      <c r="K335" s="207" t="s">
        <v>2381</v>
      </c>
      <c r="L335" s="207" t="s">
        <v>2377</v>
      </c>
      <c r="M335" s="202"/>
      <c r="N335" s="207"/>
      <c r="O335" s="207"/>
      <c r="P335" s="202"/>
      <c r="Q335" s="208"/>
      <c r="R335" s="86"/>
      <c r="S335" s="114">
        <f t="shared" ref="S335:T335" si="336">A335</f>
        <v>334</v>
      </c>
      <c r="T335" s="114" t="str">
        <f t="shared" si="336"/>
        <v>مهدیار مستوری</v>
      </c>
      <c r="U335" s="86" t="str">
        <f t="shared" si="3"/>
        <v>0</v>
      </c>
      <c r="V335" s="86" t="str">
        <f t="shared" si="4"/>
        <v>پیش‌وایی 2</v>
      </c>
      <c r="W335" s="86"/>
      <c r="X335" s="86"/>
    </row>
    <row r="336">
      <c r="A336" s="192">
        <v>335.0</v>
      </c>
      <c r="B336" s="193" t="s">
        <v>2382</v>
      </c>
      <c r="C336" s="194" t="s">
        <v>2383</v>
      </c>
      <c r="D336" s="195" t="str">
        <f>IFERROR(__xludf.DUMMYFUNCTION("ARRAYFORMULA(LET( converted, SUBSTITUTE( SUBSTITUTE( SUBSTITUTE( SUBSTITUTE( SUBSTITUTE( SUBSTITUTE( SUBSTITUTE( SUBSTITUTE( SUBSTITUTE( SUBSTITUTE( C336, ""۰"", ""0""), ""۱"", ""1""), ""۲"", ""2""), ""۳"", ""3""), ""۴"", ""4""), ""۵"", ""5""), ""۶"", ""6"&amp;"""), ""۷"", ""7""), ""۸"", ""8""), ""۹"", ""9""), IF(LEFT(converted,3)=""+98"", ""0"" &amp; RIGHT(converted, LEN(converted)-3), IF(LEFT(converted,2)=""98"", ""0"" &amp; RIGHT(converted, LEN(converted)-2), IF(LEFT(converted,1)&lt;&gt;""0"", ""0"" &amp; converted, REGEXREPLA"&amp;"CE(converted , ""\s"", """")) ) ) ) )"),"09354200350")</f>
        <v>09354200350</v>
      </c>
      <c r="E336" s="196" t="s">
        <v>17</v>
      </c>
      <c r="F336" s="197">
        <v>2.0</v>
      </c>
      <c r="G336" s="193"/>
      <c r="H336" s="193" t="s">
        <v>2384</v>
      </c>
      <c r="I336" s="194"/>
      <c r="J336" s="194" t="s">
        <v>2385</v>
      </c>
      <c r="K336" s="199" t="s">
        <v>311</v>
      </c>
      <c r="L336" s="199" t="s">
        <v>2386</v>
      </c>
      <c r="M336" s="193"/>
      <c r="N336" s="199"/>
      <c r="O336" s="199"/>
      <c r="P336" s="193"/>
      <c r="Q336" s="200"/>
      <c r="R336" s="86"/>
      <c r="S336" s="114">
        <f t="shared" ref="S336:T336" si="337">A336</f>
        <v>335</v>
      </c>
      <c r="T336" s="114" t="str">
        <f t="shared" si="337"/>
        <v>محسن عبدالهی پور</v>
      </c>
      <c r="U336" s="86" t="str">
        <f t="shared" si="3"/>
        <v>09354200350</v>
      </c>
      <c r="V336" s="86" t="str">
        <f t="shared" si="4"/>
        <v>پیش‌وایی 2</v>
      </c>
      <c r="W336" s="86"/>
      <c r="X336" s="86"/>
    </row>
    <row r="337">
      <c r="A337" s="201">
        <v>336.0</v>
      </c>
      <c r="B337" s="202" t="s">
        <v>2387</v>
      </c>
      <c r="C337" s="203" t="s">
        <v>2388</v>
      </c>
      <c r="D337" s="204" t="str">
        <f>IFERROR(__xludf.DUMMYFUNCTION("ARRAYFORMULA(LET( converted, SUBSTITUTE( SUBSTITUTE( SUBSTITUTE( SUBSTITUTE( SUBSTITUTE( SUBSTITUTE( SUBSTITUTE( SUBSTITUTE( SUBSTITUTE( SUBSTITUTE( C337, ""۰"", ""0""), ""۱"", ""1""), ""۲"", ""2""), ""۳"", ""3""), ""۴"", ""4""), ""۵"", ""5""), ""۶"", ""6"&amp;"""), ""۷"", ""7""), ""۸"", ""8""), ""۹"", ""9""), IF(LEFT(converted,3)=""+98"", ""0"" &amp; RIGHT(converted, LEN(converted)-3), IF(LEFT(converted,2)=""98"", ""0"" &amp; RIGHT(converted, LEN(converted)-2), IF(LEFT(converted,1)&lt;&gt;""0"", ""0"" &amp; converted, REGEXREPLA"&amp;"CE(converted , ""\s"", """")) ) ) ) )"),"09122613400")</f>
        <v>09122613400</v>
      </c>
      <c r="E337" s="205" t="s">
        <v>17</v>
      </c>
      <c r="F337" s="206">
        <v>2.0</v>
      </c>
      <c r="G337" s="202"/>
      <c r="H337" s="202" t="s">
        <v>2389</v>
      </c>
      <c r="I337" s="203"/>
      <c r="J337" s="203" t="s">
        <v>2390</v>
      </c>
      <c r="K337" s="207" t="s">
        <v>214</v>
      </c>
      <c r="L337" s="207" t="s">
        <v>1121</v>
      </c>
      <c r="M337" s="202"/>
      <c r="N337" s="207"/>
      <c r="O337" s="207"/>
      <c r="P337" s="202"/>
      <c r="Q337" s="208"/>
      <c r="R337" s="86"/>
      <c r="S337" s="114">
        <f t="shared" ref="S337:T337" si="338">A337</f>
        <v>336</v>
      </c>
      <c r="T337" s="114" t="str">
        <f t="shared" si="338"/>
        <v>بهاره حاتمی</v>
      </c>
      <c r="U337" s="86" t="str">
        <f t="shared" si="3"/>
        <v>09122613400</v>
      </c>
      <c r="V337" s="86" t="str">
        <f t="shared" si="4"/>
        <v>پیش‌وایی 2</v>
      </c>
      <c r="W337" s="86"/>
      <c r="X337" s="86"/>
    </row>
    <row r="338">
      <c r="A338" s="192">
        <v>337.0</v>
      </c>
      <c r="B338" s="193" t="s">
        <v>2391</v>
      </c>
      <c r="C338" s="194" t="s">
        <v>2392</v>
      </c>
      <c r="D338" s="195" t="str">
        <f>IFERROR(__xludf.DUMMYFUNCTION("ARRAYFORMULA(LET( converted, SUBSTITUTE( SUBSTITUTE( SUBSTITUTE( SUBSTITUTE( SUBSTITUTE( SUBSTITUTE( SUBSTITUTE( SUBSTITUTE( SUBSTITUTE( SUBSTITUTE( C338, ""۰"", ""0""), ""۱"", ""1""), ""۲"", ""2""), ""۳"", ""3""), ""۴"", ""4""), ""۵"", ""5""), ""۶"", ""6"&amp;"""), ""۷"", ""7""), ""۸"", ""8""), ""۹"", ""9""), IF(LEFT(converted,3)=""+98"", ""0"" &amp; RIGHT(converted, LEN(converted)-3), IF(LEFT(converted,2)=""98"", ""0"" &amp; RIGHT(converted, LEN(converted)-2), IF(LEFT(converted,1)&lt;&gt;""0"", ""0"" &amp; converted, REGEXREPLA"&amp;"CE(converted , ""\s"", """")) ) ) ) )"),"09122834309")</f>
        <v>09122834309</v>
      </c>
      <c r="E338" s="196" t="s">
        <v>17</v>
      </c>
      <c r="F338" s="197">
        <v>2.0</v>
      </c>
      <c r="G338" s="193"/>
      <c r="H338" s="193" t="s">
        <v>2393</v>
      </c>
      <c r="I338" s="194"/>
      <c r="J338" s="194"/>
      <c r="K338" s="199" t="s">
        <v>197</v>
      </c>
      <c r="L338" s="199" t="s">
        <v>2394</v>
      </c>
      <c r="M338" s="193"/>
      <c r="N338" s="199"/>
      <c r="O338" s="199"/>
      <c r="P338" s="193"/>
      <c r="Q338" s="200"/>
      <c r="R338" s="86"/>
      <c r="S338" s="114">
        <f t="shared" ref="S338:T338" si="339">A338</f>
        <v>337</v>
      </c>
      <c r="T338" s="114" t="str">
        <f t="shared" si="339"/>
        <v>اصغر مزارعی</v>
      </c>
      <c r="U338" s="86" t="str">
        <f t="shared" si="3"/>
        <v>09122834309</v>
      </c>
      <c r="V338" s="86" t="str">
        <f t="shared" si="4"/>
        <v>پیش‌وایی 2</v>
      </c>
      <c r="W338" s="86"/>
      <c r="X338" s="86"/>
    </row>
    <row r="339">
      <c r="A339" s="201">
        <v>338.0</v>
      </c>
      <c r="B339" s="202" t="s">
        <v>2395</v>
      </c>
      <c r="C339" s="203" t="s">
        <v>1920</v>
      </c>
      <c r="D339" s="204" t="str">
        <f>IFERROR(__xludf.DUMMYFUNCTION("ARRAYFORMULA(LET( converted, SUBSTITUTE( SUBSTITUTE( SUBSTITUTE( SUBSTITUTE( SUBSTITUTE( SUBSTITUTE( SUBSTITUTE( SUBSTITUTE( SUBSTITUTE( SUBSTITUTE( C339, ""۰"", ""0""), ""۱"", ""1""), ""۲"", ""2""), ""۳"", ""3""), ""۴"", ""4""), ""۵"", ""5""), ""۶"", ""6"&amp;"""), ""۷"", ""7""), ""۸"", ""8""), ""۹"", ""9""), IF(LEFT(converted,3)=""+98"", ""0"" &amp; RIGHT(converted, LEN(converted)-3), IF(LEFT(converted,2)=""98"", ""0"" &amp; RIGHT(converted, LEN(converted)-2), IF(LEFT(converted,1)&lt;&gt;""0"", ""0"" &amp; converted, REGEXREPLA"&amp;"CE(converted , ""\s"", """")) ) ) ) )"),"0NA")</f>
        <v>0NA</v>
      </c>
      <c r="E339" s="205" t="s">
        <v>17</v>
      </c>
      <c r="F339" s="206">
        <v>2.0</v>
      </c>
      <c r="G339" s="202"/>
      <c r="H339" s="202" t="s">
        <v>1920</v>
      </c>
      <c r="I339" s="203"/>
      <c r="J339" s="203"/>
      <c r="K339" s="207" t="s">
        <v>2396</v>
      </c>
      <c r="L339" s="207" t="s">
        <v>2394</v>
      </c>
      <c r="M339" s="202"/>
      <c r="N339" s="207"/>
      <c r="O339" s="207"/>
      <c r="P339" s="202"/>
      <c r="Q339" s="208"/>
      <c r="R339" s="86"/>
      <c r="S339" s="114">
        <f t="shared" ref="S339:T339" si="340">A339</f>
        <v>338</v>
      </c>
      <c r="T339" s="114" t="str">
        <f t="shared" si="340"/>
        <v>صدرا مزارعی</v>
      </c>
      <c r="U339" s="86" t="str">
        <f t="shared" si="3"/>
        <v>0NA</v>
      </c>
      <c r="V339" s="86" t="str">
        <f t="shared" si="4"/>
        <v>پیش‌وایی 2</v>
      </c>
      <c r="W339" s="86"/>
      <c r="X339" s="86"/>
    </row>
    <row r="340">
      <c r="A340" s="192">
        <v>339.0</v>
      </c>
      <c r="B340" s="193" t="s">
        <v>856</v>
      </c>
      <c r="C340" s="194" t="s">
        <v>857</v>
      </c>
      <c r="D340" s="195" t="str">
        <f>IFERROR(__xludf.DUMMYFUNCTION("ARRAYFORMULA(LET( converted, SUBSTITUTE( SUBSTITUTE( SUBSTITUTE( SUBSTITUTE( SUBSTITUTE( SUBSTITUTE( SUBSTITUTE( SUBSTITUTE( SUBSTITUTE( SUBSTITUTE( C340, ""۰"", ""0""), ""۱"", ""1""), ""۲"", ""2""), ""۳"", ""3""), ""۴"", ""4""), ""۵"", ""5""), ""۶"", ""6"&amp;"""), ""۷"", ""7""), ""۸"", ""8""), ""۹"", ""9""), IF(LEFT(converted,3)=""+98"", ""0"" &amp; RIGHT(converted, LEN(converted)-3), IF(LEFT(converted,2)=""98"", ""0"" &amp; RIGHT(converted, LEN(converted)-2), IF(LEFT(converted,1)&lt;&gt;""0"", ""0"" &amp; converted, REGEXREPLA"&amp;"CE(converted , ""\s"", """")) ) ) ) )"),"09178810797")</f>
        <v>09178810797</v>
      </c>
      <c r="E340" s="196" t="s">
        <v>17</v>
      </c>
      <c r="F340" s="197">
        <v>2.0</v>
      </c>
      <c r="G340" s="193"/>
      <c r="H340" s="193" t="s">
        <v>2397</v>
      </c>
      <c r="I340" s="194"/>
      <c r="J340" s="194" t="s">
        <v>859</v>
      </c>
      <c r="K340" s="199" t="s">
        <v>860</v>
      </c>
      <c r="L340" s="199" t="s">
        <v>861</v>
      </c>
      <c r="M340" s="193"/>
      <c r="N340" s="199"/>
      <c r="O340" s="199"/>
      <c r="P340" s="193"/>
      <c r="Q340" s="200"/>
      <c r="R340" s="86"/>
      <c r="S340" s="114">
        <f t="shared" ref="S340:T340" si="341">A340</f>
        <v>339</v>
      </c>
      <c r="T340" s="114" t="str">
        <f t="shared" si="341"/>
        <v>حفصه احراری</v>
      </c>
      <c r="U340" s="86" t="str">
        <f t="shared" si="3"/>
        <v>09178810797</v>
      </c>
      <c r="V340" s="86" t="str">
        <f t="shared" si="4"/>
        <v>پیش‌وایی 2</v>
      </c>
      <c r="W340" s="86"/>
      <c r="X340" s="86"/>
    </row>
    <row r="341">
      <c r="A341" s="201">
        <v>340.0</v>
      </c>
      <c r="B341" s="202" t="s">
        <v>2398</v>
      </c>
      <c r="C341" s="203" t="s">
        <v>1650</v>
      </c>
      <c r="D341" s="204" t="str">
        <f>IFERROR(__xludf.DUMMYFUNCTION("ARRAYFORMULA(LET( converted, SUBSTITUTE( SUBSTITUTE( SUBSTITUTE( SUBSTITUTE( SUBSTITUTE( SUBSTITUTE( SUBSTITUTE( SUBSTITUTE( SUBSTITUTE( SUBSTITUTE( C341, ""۰"", ""0""), ""۱"", ""1""), ""۲"", ""2""), ""۳"", ""3""), ""۴"", ""4""), ""۵"", ""5""), ""۶"", ""6"&amp;"""), ""۷"", ""7""), ""۸"", ""8""), ""۹"", ""9""), IF(LEFT(converted,3)=""+98"", ""0"" &amp; RIGHT(converted, LEN(converted)-3), IF(LEFT(converted,2)=""98"", ""0"" &amp; RIGHT(converted, LEN(converted)-2), IF(LEFT(converted,1)&lt;&gt;""0"", ""0"" &amp; converted, REGEXREPLA"&amp;"CE(converted , ""\s"", """")) ) ) ) )"),"09128300124")</f>
        <v>09128300124</v>
      </c>
      <c r="E341" s="205" t="s">
        <v>17</v>
      </c>
      <c r="F341" s="206">
        <v>2.0</v>
      </c>
      <c r="G341" s="202"/>
      <c r="H341" s="202" t="s">
        <v>1651</v>
      </c>
      <c r="I341" s="203"/>
      <c r="J341" s="203" t="s">
        <v>2399</v>
      </c>
      <c r="K341" s="207" t="s">
        <v>2400</v>
      </c>
      <c r="L341" s="207" t="s">
        <v>1653</v>
      </c>
      <c r="M341" s="202"/>
      <c r="N341" s="207"/>
      <c r="O341" s="207"/>
      <c r="P341" s="202"/>
      <c r="Q341" s="208"/>
      <c r="R341" s="86"/>
      <c r="S341" s="114">
        <f t="shared" ref="S341:T341" si="342">A341</f>
        <v>340</v>
      </c>
      <c r="T341" s="114" t="str">
        <f t="shared" si="342"/>
        <v>هانی امام جمعه</v>
      </c>
      <c r="U341" s="86" t="str">
        <f t="shared" si="3"/>
        <v>09128300124</v>
      </c>
      <c r="V341" s="86" t="str">
        <f t="shared" si="4"/>
        <v>پیش‌وایی 2</v>
      </c>
      <c r="W341" s="86"/>
      <c r="X341" s="86"/>
    </row>
    <row r="342">
      <c r="A342" s="192">
        <v>341.0</v>
      </c>
      <c r="B342" s="193" t="s">
        <v>2401</v>
      </c>
      <c r="C342" s="194"/>
      <c r="D342" s="195" t="str">
        <f>IFERROR(__xludf.DUMMYFUNCTION("ARRAYFORMULA(LET( converted, SUBSTITUTE( SUBSTITUTE( SUBSTITUTE( SUBSTITUTE( SUBSTITUTE( SUBSTITUTE( SUBSTITUTE( SUBSTITUTE( SUBSTITUTE( SUBSTITUTE( C342, ""۰"", ""0""), ""۱"", ""1""), ""۲"", ""2""), ""۳"", ""3""), ""۴"", ""4""), ""۵"", ""5""), ""۶"", ""6"&amp;"""), ""۷"", ""7""), ""۸"", ""8""), ""۹"", ""9""), IF(LEFT(converted,3)=""+98"", ""0"" &amp; RIGHT(converted, LEN(converted)-3), IF(LEFT(converted,2)=""98"", ""0"" &amp; RIGHT(converted, LEN(converted)-2), IF(LEFT(converted,1)&lt;&gt;""0"", ""0"" &amp; converted, REGEXREPLA"&amp;"CE(converted , ""\s"", """")) ) ) ) )"),"0")</f>
        <v>0</v>
      </c>
      <c r="E342" s="196" t="s">
        <v>17</v>
      </c>
      <c r="F342" s="197">
        <v>2.0</v>
      </c>
      <c r="G342" s="193"/>
      <c r="H342" s="193" t="s">
        <v>1920</v>
      </c>
      <c r="I342" s="194"/>
      <c r="J342" s="194"/>
      <c r="K342" s="199" t="s">
        <v>2402</v>
      </c>
      <c r="L342" s="199" t="s">
        <v>2398</v>
      </c>
      <c r="M342" s="193"/>
      <c r="N342" s="199"/>
      <c r="O342" s="199"/>
      <c r="P342" s="193"/>
      <c r="Q342" s="200"/>
      <c r="R342" s="86"/>
      <c r="S342" s="114">
        <f t="shared" ref="S342:T342" si="343">A342</f>
        <v>341</v>
      </c>
      <c r="T342" s="114" t="str">
        <f t="shared" si="343"/>
        <v>فرزند هانی امام جمعه</v>
      </c>
      <c r="U342" s="86" t="str">
        <f t="shared" si="3"/>
        <v>0</v>
      </c>
      <c r="V342" s="86" t="str">
        <f t="shared" si="4"/>
        <v>پیش‌وایی 2</v>
      </c>
      <c r="W342" s="86"/>
      <c r="X342" s="86"/>
    </row>
    <row r="343">
      <c r="A343" s="201">
        <v>342.0</v>
      </c>
      <c r="B343" s="202" t="s">
        <v>2403</v>
      </c>
      <c r="C343" s="203" t="s">
        <v>2404</v>
      </c>
      <c r="D343" s="204" t="str">
        <f>IFERROR(__xludf.DUMMYFUNCTION("ARRAYFORMULA(LET( converted, SUBSTITUTE( SUBSTITUTE( SUBSTITUTE( SUBSTITUTE( SUBSTITUTE( SUBSTITUTE( SUBSTITUTE( SUBSTITUTE( SUBSTITUTE( SUBSTITUTE( C343, ""۰"", ""0""), ""۱"", ""1""), ""۲"", ""2""), ""۳"", ""3""), ""۴"", ""4""), ""۵"", ""5""), ""۶"", ""6"&amp;"""), ""۷"", ""7""), ""۸"", ""8""), ""۹"", ""9""), IF(LEFT(converted,3)=""+98"", ""0"" &amp; RIGHT(converted, LEN(converted)-3), IF(LEFT(converted,2)=""98"", ""0"" &amp; RIGHT(converted, LEN(converted)-2), IF(LEFT(converted,1)&lt;&gt;""0"", ""0"" &amp; converted, REGEXREPLA"&amp;"CE(converted , ""\s"", """")) ) ) ) )"),"09121168744")</f>
        <v>09121168744</v>
      </c>
      <c r="E343" s="205" t="s">
        <v>17</v>
      </c>
      <c r="F343" s="206">
        <v>2.0</v>
      </c>
      <c r="G343" s="202"/>
      <c r="H343" s="202" t="s">
        <v>2405</v>
      </c>
      <c r="I343" s="203"/>
      <c r="J343" s="203" t="s">
        <v>2406</v>
      </c>
      <c r="K343" s="207" t="s">
        <v>2407</v>
      </c>
      <c r="L343" s="207" t="s">
        <v>2408</v>
      </c>
      <c r="M343" s="202"/>
      <c r="N343" s="207"/>
      <c r="O343" s="207"/>
      <c r="P343" s="202"/>
      <c r="Q343" s="208"/>
      <c r="R343" s="86"/>
      <c r="S343" s="114">
        <f t="shared" ref="S343:T343" si="344">A343</f>
        <v>342</v>
      </c>
      <c r="T343" s="114" t="str">
        <f t="shared" si="344"/>
        <v>سیامک ملکی</v>
      </c>
      <c r="U343" s="86" t="str">
        <f t="shared" si="3"/>
        <v>09121168744</v>
      </c>
      <c r="V343" s="86" t="str">
        <f t="shared" si="4"/>
        <v>پیش‌وایی 2</v>
      </c>
      <c r="W343" s="86"/>
      <c r="X343" s="86"/>
    </row>
    <row r="344">
      <c r="A344" s="192">
        <v>343.0</v>
      </c>
      <c r="B344" s="199" t="s">
        <v>2409</v>
      </c>
      <c r="C344" s="194" t="s">
        <v>2410</v>
      </c>
      <c r="D344" s="195" t="str">
        <f>IFERROR(__xludf.DUMMYFUNCTION("ARRAYFORMULA(LET( converted, SUBSTITUTE( SUBSTITUTE( SUBSTITUTE( SUBSTITUTE( SUBSTITUTE( SUBSTITUTE( SUBSTITUTE( SUBSTITUTE( SUBSTITUTE( SUBSTITUTE( C344, ""۰"", ""0""), ""۱"", ""1""), ""۲"", ""2""), ""۳"", ""3""), ""۴"", ""4""), ""۵"", ""5""), ""۶"", ""6"&amp;"""), ""۷"", ""7""), ""۸"", ""8""), ""۹"", ""9""), IF(LEFT(converted,3)=""+98"", ""0"" &amp; RIGHT(converted, LEN(converted)-3), IF(LEFT(converted,2)=""98"", ""0"" &amp; RIGHT(converted, LEN(converted)-2), IF(LEFT(converted,1)&lt;&gt;""0"", ""0"" &amp; converted, REGEXREPLA"&amp;"CE(converted , ""\s"", """")) ) ) ) )"),"09124943107")</f>
        <v>09124943107</v>
      </c>
      <c r="E344" s="196" t="s">
        <v>17</v>
      </c>
      <c r="F344" s="197">
        <v>2.0</v>
      </c>
      <c r="G344" s="193"/>
      <c r="H344" s="193" t="s">
        <v>2411</v>
      </c>
      <c r="I344" s="194"/>
      <c r="J344" s="194" t="s">
        <v>2412</v>
      </c>
      <c r="K344" s="199" t="s">
        <v>200</v>
      </c>
      <c r="L344" s="199" t="s">
        <v>2413</v>
      </c>
      <c r="M344" s="193"/>
      <c r="N344" s="199"/>
      <c r="O344" s="199"/>
      <c r="P344" s="193"/>
      <c r="Q344" s="200"/>
      <c r="R344" s="86"/>
      <c r="S344" s="114">
        <f t="shared" ref="S344:T344" si="345">A344</f>
        <v>343</v>
      </c>
      <c r="T344" s="114" t="str">
        <f t="shared" si="345"/>
        <v>احسان افشاری</v>
      </c>
      <c r="U344" s="86" t="str">
        <f t="shared" si="3"/>
        <v>09124943107</v>
      </c>
      <c r="V344" s="86" t="str">
        <f t="shared" si="4"/>
        <v>پیش‌وایی 2</v>
      </c>
      <c r="W344" s="86"/>
      <c r="X344" s="86"/>
    </row>
    <row r="345">
      <c r="A345" s="201">
        <v>344.0</v>
      </c>
      <c r="B345" s="202" t="s">
        <v>2414</v>
      </c>
      <c r="C345" s="203" t="s">
        <v>2415</v>
      </c>
      <c r="D345" s="204" t="str">
        <f>IFERROR(__xludf.DUMMYFUNCTION("ARRAYFORMULA(LET( converted, SUBSTITUTE( SUBSTITUTE( SUBSTITUTE( SUBSTITUTE( SUBSTITUTE( SUBSTITUTE( SUBSTITUTE( SUBSTITUTE( SUBSTITUTE( SUBSTITUTE( C345, ""۰"", ""0""), ""۱"", ""1""), ""۲"", ""2""), ""۳"", ""3""), ""۴"", ""4""), ""۵"", ""5""), ""۶"", ""6"&amp;"""), ""۷"", ""7""), ""۸"", ""8""), ""۹"", ""9""), IF(LEFT(converted,3)=""+98"", ""0"" &amp; RIGHT(converted, LEN(converted)-3), IF(LEFT(converted,2)=""98"", ""0"" &amp; RIGHT(converted, LEN(converted)-2), IF(LEFT(converted,1)&lt;&gt;""0"", ""0"" &amp; converted, REGEXREPLA"&amp;"CE(converted , ""\s"", """")) ) ) ) )"),"09122659154")</f>
        <v>09122659154</v>
      </c>
      <c r="E345" s="205" t="s">
        <v>17</v>
      </c>
      <c r="F345" s="206">
        <v>2.0</v>
      </c>
      <c r="G345" s="202"/>
      <c r="H345" s="202" t="s">
        <v>2416</v>
      </c>
      <c r="I345" s="203"/>
      <c r="J345" s="203"/>
      <c r="K345" s="207" t="s">
        <v>2264</v>
      </c>
      <c r="L345" s="207" t="s">
        <v>1086</v>
      </c>
      <c r="M345" s="202"/>
      <c r="N345" s="207"/>
      <c r="O345" s="207"/>
      <c r="P345" s="202"/>
      <c r="Q345" s="208"/>
      <c r="R345" s="86"/>
      <c r="S345" s="114">
        <f t="shared" ref="S345:T345" si="346">A345</f>
        <v>344</v>
      </c>
      <c r="T345" s="114" t="str">
        <f t="shared" si="346"/>
        <v>یوسف رجبی</v>
      </c>
      <c r="U345" s="86" t="str">
        <f t="shared" si="3"/>
        <v>09122659154</v>
      </c>
      <c r="V345" s="86" t="str">
        <f t="shared" si="4"/>
        <v>پیش‌وایی 2</v>
      </c>
      <c r="W345" s="86"/>
      <c r="X345" s="86"/>
    </row>
    <row r="346">
      <c r="A346" s="192">
        <v>345.0</v>
      </c>
      <c r="B346" s="193" t="s">
        <v>2417</v>
      </c>
      <c r="C346" s="194" t="s">
        <v>2418</v>
      </c>
      <c r="D346" s="195" t="str">
        <f>IFERROR(__xludf.DUMMYFUNCTION("ARRAYFORMULA(LET( converted, SUBSTITUTE( SUBSTITUTE( SUBSTITUTE( SUBSTITUTE( SUBSTITUTE( SUBSTITUTE( SUBSTITUTE( SUBSTITUTE( SUBSTITUTE( SUBSTITUTE( C346, ""۰"", ""0""), ""۱"", ""1""), ""۲"", ""2""), ""۳"", ""3""), ""۴"", ""4""), ""۵"", ""5""), ""۶"", ""6"&amp;"""), ""۷"", ""7""), ""۸"", ""8""), ""۹"", ""9""), IF(LEFT(converted,3)=""+98"", ""0"" &amp; RIGHT(converted, LEN(converted)-3), IF(LEFT(converted,2)=""98"", ""0"" &amp; RIGHT(converted, LEN(converted)-2), IF(LEFT(converted,1)&lt;&gt;""0"", ""0"" &amp; converted, REGEXREPLA"&amp;"CE(converted , ""\s"", """")) ) ) ) )"),"09122211132")</f>
        <v>09122211132</v>
      </c>
      <c r="E346" s="196" t="s">
        <v>17</v>
      </c>
      <c r="F346" s="197">
        <v>2.0</v>
      </c>
      <c r="G346" s="193"/>
      <c r="H346" s="193" t="s">
        <v>2419</v>
      </c>
      <c r="I346" s="194"/>
      <c r="J346" s="194" t="s">
        <v>2420</v>
      </c>
      <c r="K346" s="199" t="s">
        <v>2421</v>
      </c>
      <c r="L346" s="199" t="s">
        <v>2422</v>
      </c>
      <c r="M346" s="193"/>
      <c r="N346" s="199"/>
      <c r="O346" s="199"/>
      <c r="P346" s="193"/>
      <c r="Q346" s="200"/>
      <c r="R346" s="86"/>
      <c r="S346" s="114">
        <f t="shared" ref="S346:T346" si="347">A346</f>
        <v>345</v>
      </c>
      <c r="T346" s="114" t="str">
        <f t="shared" si="347"/>
        <v>داود ایمانی</v>
      </c>
      <c r="U346" s="86" t="str">
        <f t="shared" si="3"/>
        <v>09122211132</v>
      </c>
      <c r="V346" s="86" t="str">
        <f t="shared" si="4"/>
        <v>پیش‌وایی 2</v>
      </c>
      <c r="W346" s="86"/>
      <c r="X346" s="86"/>
    </row>
    <row r="347">
      <c r="A347" s="201">
        <v>346.0</v>
      </c>
      <c r="B347" s="202" t="s">
        <v>2423</v>
      </c>
      <c r="C347" s="203" t="s">
        <v>2424</v>
      </c>
      <c r="D347" s="204" t="str">
        <f>IFERROR(__xludf.DUMMYFUNCTION("ARRAYFORMULA(LET( converted, SUBSTITUTE( SUBSTITUTE( SUBSTITUTE( SUBSTITUTE( SUBSTITUTE( SUBSTITUTE( SUBSTITUTE( SUBSTITUTE( SUBSTITUTE( SUBSTITUTE( C347, ""۰"", ""0""), ""۱"", ""1""), ""۲"", ""2""), ""۳"", ""3""), ""۴"", ""4""), ""۵"", ""5""), ""۶"", ""6"&amp;"""), ""۷"", ""7""), ""۸"", ""8""), ""۹"", ""9""), IF(LEFT(converted,3)=""+98"", ""0"" &amp; RIGHT(converted, LEN(converted)-3), IF(LEFT(converted,2)=""98"", ""0"" &amp; RIGHT(converted, LEN(converted)-2), IF(LEFT(converted,1)&lt;&gt;""0"", ""0"" &amp; converted, REGEXREPLA"&amp;"CE(converted , ""\s"", """")) ) ) ) )"),"09122333878")</f>
        <v>09122333878</v>
      </c>
      <c r="E347" s="205" t="s">
        <v>17</v>
      </c>
      <c r="F347" s="206">
        <v>2.0</v>
      </c>
      <c r="G347" s="202"/>
      <c r="H347" s="202" t="s">
        <v>2425</v>
      </c>
      <c r="I347" s="203"/>
      <c r="J347" s="203" t="s">
        <v>2426</v>
      </c>
      <c r="K347" s="207" t="s">
        <v>311</v>
      </c>
      <c r="L347" s="207" t="s">
        <v>2427</v>
      </c>
      <c r="M347" s="202"/>
      <c r="N347" s="207"/>
      <c r="O347" s="207"/>
      <c r="P347" s="202"/>
      <c r="Q347" s="208"/>
      <c r="R347" s="86"/>
      <c r="S347" s="114">
        <f t="shared" ref="S347:T347" si="348">A347</f>
        <v>346</v>
      </c>
      <c r="T347" s="114" t="str">
        <f t="shared" si="348"/>
        <v>محسن میرزاده</v>
      </c>
      <c r="U347" s="86" t="str">
        <f t="shared" si="3"/>
        <v>09122333878</v>
      </c>
      <c r="V347" s="86" t="str">
        <f t="shared" si="4"/>
        <v>پیش‌وایی 2</v>
      </c>
      <c r="W347" s="86"/>
      <c r="X347" s="86"/>
    </row>
    <row r="348">
      <c r="A348" s="192">
        <v>347.0</v>
      </c>
      <c r="B348" s="193" t="s">
        <v>2428</v>
      </c>
      <c r="C348" s="194" t="s">
        <v>2429</v>
      </c>
      <c r="D348" s="195" t="str">
        <f>IFERROR(__xludf.DUMMYFUNCTION("ARRAYFORMULA(LET( converted, SUBSTITUTE( SUBSTITUTE( SUBSTITUTE( SUBSTITUTE( SUBSTITUTE( SUBSTITUTE( SUBSTITUTE( SUBSTITUTE( SUBSTITUTE( SUBSTITUTE( C348, ""۰"", ""0""), ""۱"", ""1""), ""۲"", ""2""), ""۳"", ""3""), ""۴"", ""4""), ""۵"", ""5""), ""۶"", ""6"&amp;"""), ""۷"", ""7""), ""۸"", ""8""), ""۹"", ""9""), IF(LEFT(converted,3)=""+98"", ""0"" &amp; RIGHT(converted, LEN(converted)-3), IF(LEFT(converted,2)=""98"", ""0"" &amp; RIGHT(converted, LEN(converted)-2), IF(LEFT(converted,1)&lt;&gt;""0"", ""0"" &amp; converted, REGEXREPLA"&amp;"CE(converted , ""\s"", """")) ) ) ) )"),"09351527313")</f>
        <v>09351527313</v>
      </c>
      <c r="E348" s="196" t="s">
        <v>17</v>
      </c>
      <c r="F348" s="197">
        <v>2.0</v>
      </c>
      <c r="G348" s="193"/>
      <c r="H348" s="193" t="s">
        <v>2430</v>
      </c>
      <c r="I348" s="194"/>
      <c r="J348" s="194" t="s">
        <v>2431</v>
      </c>
      <c r="K348" s="199" t="s">
        <v>1374</v>
      </c>
      <c r="L348" s="199" t="s">
        <v>2432</v>
      </c>
      <c r="M348" s="193"/>
      <c r="N348" s="199"/>
      <c r="O348" s="199"/>
      <c r="P348" s="193"/>
      <c r="Q348" s="200"/>
      <c r="R348" s="86"/>
      <c r="S348" s="114">
        <f t="shared" ref="S348:T348" si="349">A348</f>
        <v>347</v>
      </c>
      <c r="T348" s="114" t="str">
        <f t="shared" si="349"/>
        <v>امیر نورالدین</v>
      </c>
      <c r="U348" s="86" t="str">
        <f t="shared" si="3"/>
        <v>09351527313</v>
      </c>
      <c r="V348" s="86" t="str">
        <f t="shared" si="4"/>
        <v>پیش‌وایی 2</v>
      </c>
      <c r="W348" s="86"/>
      <c r="X348" s="86"/>
    </row>
    <row r="349">
      <c r="A349" s="201">
        <v>348.0</v>
      </c>
      <c r="B349" s="202" t="s">
        <v>2433</v>
      </c>
      <c r="C349" s="203" t="s">
        <v>2434</v>
      </c>
      <c r="D349" s="204" t="str">
        <f>IFERROR(__xludf.DUMMYFUNCTION("ARRAYFORMULA(LET( converted, SUBSTITUTE( SUBSTITUTE( SUBSTITUTE( SUBSTITUTE( SUBSTITUTE( SUBSTITUTE( SUBSTITUTE( SUBSTITUTE( SUBSTITUTE( SUBSTITUTE( C349, ""۰"", ""0""), ""۱"", ""1""), ""۲"", ""2""), ""۳"", ""3""), ""۴"", ""4""), ""۵"", ""5""), ""۶"", ""6"&amp;"""), ""۷"", ""7""), ""۸"", ""8""), ""۹"", ""9""), IF(LEFT(converted,3)=""+98"", ""0"" &amp; RIGHT(converted, LEN(converted)-3), IF(LEFT(converted,2)=""98"", ""0"" &amp; RIGHT(converted, LEN(converted)-2), IF(LEFT(converted,1)&lt;&gt;""0"", ""0"" &amp; converted, REGEXREPLA"&amp;"CE(converted , ""\s"", """")) ) ) ) )"),"09199928832")</f>
        <v>09199928832</v>
      </c>
      <c r="E349" s="205" t="s">
        <v>17</v>
      </c>
      <c r="F349" s="206">
        <v>2.0</v>
      </c>
      <c r="G349" s="202"/>
      <c r="H349" s="202" t="s">
        <v>2435</v>
      </c>
      <c r="I349" s="203"/>
      <c r="J349" s="203" t="s">
        <v>2436</v>
      </c>
      <c r="K349" s="207" t="s">
        <v>222</v>
      </c>
      <c r="L349" s="207" t="s">
        <v>223</v>
      </c>
      <c r="M349" s="202"/>
      <c r="N349" s="207"/>
      <c r="O349" s="207"/>
      <c r="P349" s="202"/>
      <c r="Q349" s="208"/>
      <c r="R349" s="86"/>
      <c r="S349" s="114">
        <f t="shared" ref="S349:T349" si="350">A349</f>
        <v>348</v>
      </c>
      <c r="T349" s="114" t="str">
        <f t="shared" si="350"/>
        <v>بهنام کبیری</v>
      </c>
      <c r="U349" s="86" t="str">
        <f t="shared" si="3"/>
        <v>09199928832</v>
      </c>
      <c r="V349" s="86" t="str">
        <f t="shared" si="4"/>
        <v>پیش‌وایی 2</v>
      </c>
      <c r="W349" s="86"/>
      <c r="X349" s="86"/>
    </row>
    <row r="350">
      <c r="A350" s="192">
        <v>349.0</v>
      </c>
      <c r="B350" s="193" t="s">
        <v>2437</v>
      </c>
      <c r="C350" s="194" t="s">
        <v>2438</v>
      </c>
      <c r="D350" s="195" t="str">
        <f>IFERROR(__xludf.DUMMYFUNCTION("ARRAYFORMULA(LET( converted, SUBSTITUTE( SUBSTITUTE( SUBSTITUTE( SUBSTITUTE( SUBSTITUTE( SUBSTITUTE( SUBSTITUTE( SUBSTITUTE( SUBSTITUTE( SUBSTITUTE( C350, ""۰"", ""0""), ""۱"", ""1""), ""۲"", ""2""), ""۳"", ""3""), ""۴"", ""4""), ""۵"", ""5""), ""۶"", ""6"&amp;"""), ""۷"", ""7""), ""۸"", ""8""), ""۹"", ""9""), IF(LEFT(converted,3)=""+98"", ""0"" &amp; RIGHT(converted, LEN(converted)-3), IF(LEFT(converted,2)=""98"", ""0"" &amp; RIGHT(converted, LEN(converted)-2), IF(LEFT(converted,1)&lt;&gt;""0"", ""0"" &amp; converted, REGEXREPLA"&amp;"CE(converted , ""\s"", """")) ) ) ) )"),"09121385290")</f>
        <v>09121385290</v>
      </c>
      <c r="E350" s="196" t="s">
        <v>17</v>
      </c>
      <c r="F350" s="197">
        <v>2.0</v>
      </c>
      <c r="G350" s="193"/>
      <c r="H350" s="193" t="s">
        <v>2439</v>
      </c>
      <c r="I350" s="194"/>
      <c r="J350" s="194" t="s">
        <v>2440</v>
      </c>
      <c r="K350" s="199" t="s">
        <v>209</v>
      </c>
      <c r="L350" s="199" t="s">
        <v>1743</v>
      </c>
      <c r="M350" s="193"/>
      <c r="N350" s="199"/>
      <c r="O350" s="199"/>
      <c r="P350" s="193"/>
      <c r="Q350" s="200"/>
      <c r="R350" s="86"/>
      <c r="S350" s="114">
        <f t="shared" ref="S350:T350" si="351">A350</f>
        <v>349</v>
      </c>
      <c r="T350" s="114" t="str">
        <f t="shared" si="351"/>
        <v>بهروز نظری</v>
      </c>
      <c r="U350" s="86" t="str">
        <f t="shared" si="3"/>
        <v>09121385290</v>
      </c>
      <c r="V350" s="86" t="str">
        <f t="shared" si="4"/>
        <v>پیش‌وایی 2</v>
      </c>
      <c r="W350" s="86"/>
      <c r="X350" s="86"/>
    </row>
    <row r="351">
      <c r="A351" s="201">
        <v>350.0</v>
      </c>
      <c r="B351" s="202" t="s">
        <v>2441</v>
      </c>
      <c r="C351" s="203" t="s">
        <v>2442</v>
      </c>
      <c r="D351" s="204" t="str">
        <f>IFERROR(__xludf.DUMMYFUNCTION("ARRAYFORMULA(LET( converted, SUBSTITUTE( SUBSTITUTE( SUBSTITUTE( SUBSTITUTE( SUBSTITUTE( SUBSTITUTE( SUBSTITUTE( SUBSTITUTE( SUBSTITUTE( SUBSTITUTE( C351, ""۰"", ""0""), ""۱"", ""1""), ""۲"", ""2""), ""۳"", ""3""), ""۴"", ""4""), ""۵"", ""5""), ""۶"", ""6"&amp;"""), ""۷"", ""7""), ""۸"", ""8""), ""۹"", ""9""), IF(LEFT(converted,3)=""+98"", ""0"" &amp; RIGHT(converted, LEN(converted)-3), IF(LEFT(converted,2)=""98"", ""0"" &amp; RIGHT(converted, LEN(converted)-2), IF(LEFT(converted,1)&lt;&gt;""0"", ""0"" &amp; converted, REGEXREPLA"&amp;"CE(converted , ""\s"", """")) ) ) ) )"),"09365245121")</f>
        <v>09365245121</v>
      </c>
      <c r="E351" s="205" t="s">
        <v>17</v>
      </c>
      <c r="F351" s="206">
        <v>2.0</v>
      </c>
      <c r="G351" s="202"/>
      <c r="H351" s="202" t="s">
        <v>2443</v>
      </c>
      <c r="I351" s="203"/>
      <c r="J351" s="203" t="s">
        <v>2444</v>
      </c>
      <c r="K351" s="207" t="s">
        <v>1004</v>
      </c>
      <c r="L351" s="207" t="s">
        <v>2445</v>
      </c>
      <c r="M351" s="202"/>
      <c r="N351" s="207"/>
      <c r="O351" s="207"/>
      <c r="P351" s="202"/>
      <c r="Q351" s="208"/>
      <c r="R351" s="86"/>
      <c r="S351" s="114">
        <f t="shared" ref="S351:T351" si="352">A351</f>
        <v>350</v>
      </c>
      <c r="T351" s="114" t="str">
        <f t="shared" si="352"/>
        <v>حامد آسترکی</v>
      </c>
      <c r="U351" s="86" t="str">
        <f t="shared" si="3"/>
        <v>09365245121</v>
      </c>
      <c r="V351" s="86" t="str">
        <f t="shared" si="4"/>
        <v>پیش‌وایی 2</v>
      </c>
      <c r="W351" s="86"/>
      <c r="X351" s="86"/>
    </row>
    <row r="352">
      <c r="A352" s="192">
        <v>351.0</v>
      </c>
      <c r="B352" s="193" t="s">
        <v>2446</v>
      </c>
      <c r="C352" s="194" t="s">
        <v>2447</v>
      </c>
      <c r="D352" s="195" t="str">
        <f>IFERROR(__xludf.DUMMYFUNCTION("ARRAYFORMULA(LET( converted, SUBSTITUTE( SUBSTITUTE( SUBSTITUTE( SUBSTITUTE( SUBSTITUTE( SUBSTITUTE( SUBSTITUTE( SUBSTITUTE( SUBSTITUTE( SUBSTITUTE( C352, ""۰"", ""0""), ""۱"", ""1""), ""۲"", ""2""), ""۳"", ""3""), ""۴"", ""4""), ""۵"", ""5""), ""۶"", ""6"&amp;"""), ""۷"", ""7""), ""۸"", ""8""), ""۹"", ""9""), IF(LEFT(converted,3)=""+98"", ""0"" &amp; RIGHT(converted, LEN(converted)-3), IF(LEFT(converted,2)=""98"", ""0"" &amp; RIGHT(converted, LEN(converted)-2), IF(LEFT(converted,1)&lt;&gt;""0"", ""0"" &amp; converted, REGEXREPLA"&amp;"CE(converted , ""\s"", """")) ) ) ) )"),"09122967627")</f>
        <v>09122967627</v>
      </c>
      <c r="E352" s="196" t="s">
        <v>17</v>
      </c>
      <c r="F352" s="197">
        <v>2.0</v>
      </c>
      <c r="G352" s="193"/>
      <c r="H352" s="193" t="s">
        <v>2448</v>
      </c>
      <c r="I352" s="194"/>
      <c r="J352" s="194" t="s">
        <v>2449</v>
      </c>
      <c r="K352" s="199" t="s">
        <v>2450</v>
      </c>
      <c r="L352" s="199" t="s">
        <v>2451</v>
      </c>
      <c r="M352" s="193"/>
      <c r="N352" s="199"/>
      <c r="O352" s="199"/>
      <c r="P352" s="193"/>
      <c r="Q352" s="200"/>
      <c r="R352" s="86"/>
      <c r="S352" s="114">
        <f t="shared" ref="S352:T352" si="353">A352</f>
        <v>351</v>
      </c>
      <c r="T352" s="114" t="str">
        <f t="shared" si="353"/>
        <v>ارسطو جلالی</v>
      </c>
      <c r="U352" s="86" t="str">
        <f t="shared" si="3"/>
        <v>09122967627</v>
      </c>
      <c r="V352" s="86" t="str">
        <f t="shared" si="4"/>
        <v>پیش‌وایی 2</v>
      </c>
      <c r="W352" s="86"/>
      <c r="X352" s="86"/>
    </row>
    <row r="353">
      <c r="A353" s="201">
        <v>352.0</v>
      </c>
      <c r="B353" s="202" t="s">
        <v>2452</v>
      </c>
      <c r="C353" s="203" t="s">
        <v>2453</v>
      </c>
      <c r="D353" s="204" t="str">
        <f>IFERROR(__xludf.DUMMYFUNCTION("ARRAYFORMULA(LET( converted, SUBSTITUTE( SUBSTITUTE( SUBSTITUTE( SUBSTITUTE( SUBSTITUTE( SUBSTITUTE( SUBSTITUTE( SUBSTITUTE( SUBSTITUTE( SUBSTITUTE( C353, ""۰"", ""0""), ""۱"", ""1""), ""۲"", ""2""), ""۳"", ""3""), ""۴"", ""4""), ""۵"", ""5""), ""۶"", ""6"&amp;"""), ""۷"", ""7""), ""۸"", ""8""), ""۹"", ""9""), IF(LEFT(converted,3)=""+98"", ""0"" &amp; RIGHT(converted, LEN(converted)-3), IF(LEFT(converted,2)=""98"", ""0"" &amp; RIGHT(converted, LEN(converted)-2), IF(LEFT(converted,1)&lt;&gt;""0"", ""0"" &amp; converted, REGEXREPLA"&amp;"CE(converted , ""\s"", """")) ) ) ) )"),"09126158197")</f>
        <v>09126158197</v>
      </c>
      <c r="E353" s="205" t="s">
        <v>17</v>
      </c>
      <c r="F353" s="206">
        <v>2.0</v>
      </c>
      <c r="G353" s="202"/>
      <c r="H353" s="209" t="s">
        <v>2454</v>
      </c>
      <c r="I353" s="203"/>
      <c r="J353" s="203"/>
      <c r="K353" s="207" t="s">
        <v>292</v>
      </c>
      <c r="L353" s="207" t="s">
        <v>2455</v>
      </c>
      <c r="M353" s="202"/>
      <c r="N353" s="207"/>
      <c r="O353" s="207"/>
      <c r="P353" s="202"/>
      <c r="Q353" s="208"/>
      <c r="R353" s="86"/>
      <c r="S353" s="114">
        <f t="shared" ref="S353:T353" si="354">A353</f>
        <v>352</v>
      </c>
      <c r="T353" s="114" t="str">
        <f t="shared" si="354"/>
        <v>مریم نامغ</v>
      </c>
      <c r="U353" s="86" t="str">
        <f t="shared" si="3"/>
        <v>09126158197</v>
      </c>
      <c r="V353" s="86" t="str">
        <f t="shared" si="4"/>
        <v>پیش‌وایی 2</v>
      </c>
      <c r="W353" s="86"/>
      <c r="X353" s="86"/>
    </row>
    <row r="354">
      <c r="A354" s="192">
        <v>353.0</v>
      </c>
      <c r="B354" s="193" t="s">
        <v>2456</v>
      </c>
      <c r="C354" s="194" t="s">
        <v>2457</v>
      </c>
      <c r="D354" s="195" t="str">
        <f>IFERROR(__xludf.DUMMYFUNCTION("ARRAYFORMULA(LET( converted, SUBSTITUTE( SUBSTITUTE( SUBSTITUTE( SUBSTITUTE( SUBSTITUTE( SUBSTITUTE( SUBSTITUTE( SUBSTITUTE( SUBSTITUTE( SUBSTITUTE( C354, ""۰"", ""0""), ""۱"", ""1""), ""۲"", ""2""), ""۳"", ""3""), ""۴"", ""4""), ""۵"", ""5""), ""۶"", ""6"&amp;"""), ""۷"", ""7""), ""۸"", ""8""), ""۹"", ""9""), IF(LEFT(converted,3)=""+98"", ""0"" &amp; RIGHT(converted, LEN(converted)-3), IF(LEFT(converted,2)=""98"", ""0"" &amp; RIGHT(converted, LEN(converted)-2), IF(LEFT(converted,1)&lt;&gt;""0"", ""0"" &amp; converted, REGEXREPLA"&amp;"CE(converted , ""\s"", """")) ) ) ) )"),"09122089386")</f>
        <v>09122089386</v>
      </c>
      <c r="E354" s="196" t="s">
        <v>17</v>
      </c>
      <c r="F354" s="197">
        <v>2.0</v>
      </c>
      <c r="G354" s="193"/>
      <c r="H354" s="198" t="s">
        <v>2458</v>
      </c>
      <c r="I354" s="194"/>
      <c r="J354" s="194"/>
      <c r="K354" s="199" t="s">
        <v>2459</v>
      </c>
      <c r="L354" s="199" t="s">
        <v>2460</v>
      </c>
      <c r="M354" s="193"/>
      <c r="N354" s="199"/>
      <c r="O354" s="199"/>
      <c r="P354" s="193"/>
      <c r="Q354" s="200"/>
      <c r="R354" s="86"/>
      <c r="S354" s="114">
        <f t="shared" ref="S354:T354" si="355">A354</f>
        <v>353</v>
      </c>
      <c r="T354" s="114" t="str">
        <f t="shared" si="355"/>
        <v>یاسمین کنعانی</v>
      </c>
      <c r="U354" s="86" t="str">
        <f t="shared" si="3"/>
        <v>09122089386</v>
      </c>
      <c r="V354" s="86" t="str">
        <f t="shared" si="4"/>
        <v>پیش‌وایی 2</v>
      </c>
      <c r="W354" s="86"/>
      <c r="X354" s="86"/>
    </row>
    <row r="355">
      <c r="A355" s="201">
        <v>354.0</v>
      </c>
      <c r="B355" s="202" t="s">
        <v>2461</v>
      </c>
      <c r="C355" s="203" t="s">
        <v>2462</v>
      </c>
      <c r="D355" s="204" t="str">
        <f>IFERROR(__xludf.DUMMYFUNCTION("ARRAYFORMULA(LET( converted, SUBSTITUTE( SUBSTITUTE( SUBSTITUTE( SUBSTITUTE( SUBSTITUTE( SUBSTITUTE( SUBSTITUTE( SUBSTITUTE( SUBSTITUTE( SUBSTITUTE( C355, ""۰"", ""0""), ""۱"", ""1""), ""۲"", ""2""), ""۳"", ""3""), ""۴"", ""4""), ""۵"", ""5""), ""۶"", ""6"&amp;"""), ""۷"", ""7""), ""۸"", ""8""), ""۹"", ""9""), IF(LEFT(converted,3)=""+98"", ""0"" &amp; RIGHT(converted, LEN(converted)-3), IF(LEFT(converted,2)=""98"", ""0"" &amp; RIGHT(converted, LEN(converted)-2), IF(LEFT(converted,1)&lt;&gt;""0"", ""0"" &amp; converted, REGEXREPLA"&amp;"CE(converted , ""\s"", """")) ) ) ) )"),"09125936532")</f>
        <v>09125936532</v>
      </c>
      <c r="E355" s="205" t="s">
        <v>17</v>
      </c>
      <c r="F355" s="206">
        <v>2.0</v>
      </c>
      <c r="G355" s="202"/>
      <c r="H355" s="202" t="s">
        <v>2463</v>
      </c>
      <c r="I355" s="203"/>
      <c r="J355" s="203" t="s">
        <v>2464</v>
      </c>
      <c r="K355" s="207" t="s">
        <v>186</v>
      </c>
      <c r="L355" s="207" t="s">
        <v>283</v>
      </c>
      <c r="M355" s="202"/>
      <c r="N355" s="207"/>
      <c r="O355" s="207"/>
      <c r="P355" s="202"/>
      <c r="Q355" s="208"/>
      <c r="R355" s="86"/>
      <c r="S355" s="114">
        <f t="shared" ref="S355:T355" si="356">A355</f>
        <v>354</v>
      </c>
      <c r="T355" s="114" t="str">
        <f t="shared" si="356"/>
        <v>فرزاد سلطان آبادی</v>
      </c>
      <c r="U355" s="86" t="str">
        <f t="shared" si="3"/>
        <v>09125936532</v>
      </c>
      <c r="V355" s="86" t="str">
        <f t="shared" si="4"/>
        <v>پیش‌وایی 2</v>
      </c>
      <c r="W355" s="86"/>
      <c r="X355" s="86"/>
    </row>
    <row r="356">
      <c r="A356" s="192">
        <v>355.0</v>
      </c>
      <c r="B356" s="193" t="s">
        <v>2465</v>
      </c>
      <c r="C356" s="194" t="s">
        <v>2466</v>
      </c>
      <c r="D356" s="195" t="str">
        <f>IFERROR(__xludf.DUMMYFUNCTION("ARRAYFORMULA(LET( converted, SUBSTITUTE( SUBSTITUTE( SUBSTITUTE( SUBSTITUTE( SUBSTITUTE( SUBSTITUTE( SUBSTITUTE( SUBSTITUTE( SUBSTITUTE( SUBSTITUTE( C356, ""۰"", ""0""), ""۱"", ""1""), ""۲"", ""2""), ""۳"", ""3""), ""۴"", ""4""), ""۵"", ""5""), ""۶"", ""6"&amp;"""), ""۷"", ""7""), ""۸"", ""8""), ""۹"", ""9""), IF(LEFT(converted,3)=""+98"", ""0"" &amp; RIGHT(converted, LEN(converted)-3), IF(LEFT(converted,2)=""98"", ""0"" &amp; RIGHT(converted, LEN(converted)-2), IF(LEFT(converted,1)&lt;&gt;""0"", ""0"" &amp; converted, REGEXREPLA"&amp;"CE(converted , ""\s"", """")) ) ) ) )"),"09128844083")</f>
        <v>09128844083</v>
      </c>
      <c r="E356" s="196" t="s">
        <v>17</v>
      </c>
      <c r="F356" s="197">
        <v>2.0</v>
      </c>
      <c r="G356" s="193"/>
      <c r="H356" s="193" t="s">
        <v>2467</v>
      </c>
      <c r="I356" s="194"/>
      <c r="J356" s="194" t="s">
        <v>2468</v>
      </c>
      <c r="K356" s="199" t="s">
        <v>2469</v>
      </c>
      <c r="L356" s="199" t="s">
        <v>2470</v>
      </c>
      <c r="M356" s="193"/>
      <c r="N356" s="199"/>
      <c r="O356" s="199"/>
      <c r="P356" s="193"/>
      <c r="Q356" s="200"/>
      <c r="R356" s="86"/>
      <c r="S356" s="114">
        <f t="shared" ref="S356:T356" si="357">A356</f>
        <v>355</v>
      </c>
      <c r="T356" s="114" t="str">
        <f t="shared" si="357"/>
        <v>فریده صمدی</v>
      </c>
      <c r="U356" s="86" t="str">
        <f t="shared" si="3"/>
        <v>09128844083</v>
      </c>
      <c r="V356" s="86" t="str">
        <f t="shared" si="4"/>
        <v>پیش‌وایی 2</v>
      </c>
      <c r="W356" s="86"/>
      <c r="X356" s="86"/>
    </row>
    <row r="357">
      <c r="A357" s="201">
        <v>356.0</v>
      </c>
      <c r="B357" s="202" t="s">
        <v>2471</v>
      </c>
      <c r="C357" s="203" t="s">
        <v>2472</v>
      </c>
      <c r="D357" s="204" t="str">
        <f>IFERROR(__xludf.DUMMYFUNCTION("ARRAYFORMULA(LET( converted, SUBSTITUTE( SUBSTITUTE( SUBSTITUTE( SUBSTITUTE( SUBSTITUTE( SUBSTITUTE( SUBSTITUTE( SUBSTITUTE( SUBSTITUTE( SUBSTITUTE( C357, ""۰"", ""0""), ""۱"", ""1""), ""۲"", ""2""), ""۳"", ""3""), ""۴"", ""4""), ""۵"", ""5""), ""۶"", ""6"&amp;"""), ""۷"", ""7""), ""۸"", ""8""), ""۹"", ""9""), IF(LEFT(converted,3)=""+98"", ""0"" &amp; RIGHT(converted, LEN(converted)-3), IF(LEFT(converted,2)=""98"", ""0"" &amp; RIGHT(converted, LEN(converted)-2), IF(LEFT(converted,1)&lt;&gt;""0"", ""0"" &amp; converted, REGEXREPLA"&amp;"CE(converted , ""\s"", """")) ) ) ) )"),"09125330742")</f>
        <v>09125330742</v>
      </c>
      <c r="E357" s="205" t="s">
        <v>17</v>
      </c>
      <c r="F357" s="206">
        <v>2.0</v>
      </c>
      <c r="G357" s="202"/>
      <c r="H357" s="202" t="s">
        <v>2473</v>
      </c>
      <c r="I357" s="203"/>
      <c r="J357" s="203" t="s">
        <v>2474</v>
      </c>
      <c r="K357" s="207" t="s">
        <v>1692</v>
      </c>
      <c r="L357" s="207" t="s">
        <v>2475</v>
      </c>
      <c r="M357" s="202"/>
      <c r="N357" s="207"/>
      <c r="O357" s="207"/>
      <c r="P357" s="202"/>
      <c r="Q357" s="208"/>
      <c r="R357" s="86"/>
      <c r="S357" s="114">
        <f t="shared" ref="S357:T357" si="358">A357</f>
        <v>356</v>
      </c>
      <c r="T357" s="114" t="str">
        <f t="shared" si="358"/>
        <v>الهام سنبلی</v>
      </c>
      <c r="U357" s="86" t="str">
        <f t="shared" si="3"/>
        <v>09125330742</v>
      </c>
      <c r="V357" s="86" t="str">
        <f t="shared" si="4"/>
        <v>پیش‌وایی 2</v>
      </c>
      <c r="W357" s="86"/>
      <c r="X357" s="86"/>
    </row>
    <row r="358">
      <c r="A358" s="192">
        <v>357.0</v>
      </c>
      <c r="B358" s="193" t="s">
        <v>2476</v>
      </c>
      <c r="C358" s="194" t="s">
        <v>2477</v>
      </c>
      <c r="D358" s="195" t="str">
        <f>IFERROR(__xludf.DUMMYFUNCTION("ARRAYFORMULA(LET( converted, SUBSTITUTE( SUBSTITUTE( SUBSTITUTE( SUBSTITUTE( SUBSTITUTE( SUBSTITUTE( SUBSTITUTE( SUBSTITUTE( SUBSTITUTE( SUBSTITUTE( C358, ""۰"", ""0""), ""۱"", ""1""), ""۲"", ""2""), ""۳"", ""3""), ""۴"", ""4""), ""۵"", ""5""), ""۶"", ""6"&amp;"""), ""۷"", ""7""), ""۸"", ""8""), ""۹"", ""9""), IF(LEFT(converted,3)=""+98"", ""0"" &amp; RIGHT(converted, LEN(converted)-3), IF(LEFT(converted,2)=""98"", ""0"" &amp; RIGHT(converted, LEN(converted)-2), IF(LEFT(converted,1)&lt;&gt;""0"", ""0"" &amp; converted, REGEXREPLA"&amp;"CE(converted , ""\s"", """")) ) ) ) )"),"09355578192")</f>
        <v>09355578192</v>
      </c>
      <c r="E358" s="196" t="s">
        <v>17</v>
      </c>
      <c r="F358" s="197">
        <v>2.0</v>
      </c>
      <c r="G358" s="193"/>
      <c r="H358" s="193" t="s">
        <v>2478</v>
      </c>
      <c r="I358" s="194"/>
      <c r="J358" s="194" t="s">
        <v>2479</v>
      </c>
      <c r="K358" s="199" t="s">
        <v>2035</v>
      </c>
      <c r="L358" s="199" t="s">
        <v>2480</v>
      </c>
      <c r="M358" s="193"/>
      <c r="N358" s="199"/>
      <c r="O358" s="199"/>
      <c r="P358" s="193"/>
      <c r="Q358" s="200"/>
      <c r="R358" s="86"/>
      <c r="S358" s="114">
        <f t="shared" ref="S358:T358" si="359">A358</f>
        <v>357</v>
      </c>
      <c r="T358" s="114" t="str">
        <f t="shared" si="359"/>
        <v>نرگس ذوالقدری</v>
      </c>
      <c r="U358" s="86" t="str">
        <f t="shared" si="3"/>
        <v>09355578192</v>
      </c>
      <c r="V358" s="86" t="str">
        <f t="shared" si="4"/>
        <v>پیش‌وایی 2</v>
      </c>
      <c r="W358" s="86"/>
      <c r="X358" s="86"/>
    </row>
    <row r="359">
      <c r="A359" s="201">
        <v>358.0</v>
      </c>
      <c r="B359" s="202" t="s">
        <v>2481</v>
      </c>
      <c r="C359" s="203" t="s">
        <v>2482</v>
      </c>
      <c r="D359" s="204" t="str">
        <f>IFERROR(__xludf.DUMMYFUNCTION("ARRAYFORMULA(LET( converted, SUBSTITUTE( SUBSTITUTE( SUBSTITUTE( SUBSTITUTE( SUBSTITUTE( SUBSTITUTE( SUBSTITUTE( SUBSTITUTE( SUBSTITUTE( SUBSTITUTE( C359, ""۰"", ""0""), ""۱"", ""1""), ""۲"", ""2""), ""۳"", ""3""), ""۴"", ""4""), ""۵"", ""5""), ""۶"", ""6"&amp;"""), ""۷"", ""7""), ""۸"", ""8""), ""۹"", ""9""), IF(LEFT(converted,3)=""+98"", ""0"" &amp; RIGHT(converted, LEN(converted)-3), IF(LEFT(converted,2)=""98"", ""0"" &amp; RIGHT(converted, LEN(converted)-2), IF(LEFT(converted,1)&lt;&gt;""0"", ""0"" &amp; converted, REGEXREPLA"&amp;"CE(converted , ""\s"", """")) ) ) ) )"),"09122723063")</f>
        <v>09122723063</v>
      </c>
      <c r="E359" s="205" t="s">
        <v>17</v>
      </c>
      <c r="F359" s="206">
        <v>2.0</v>
      </c>
      <c r="G359" s="202"/>
      <c r="H359" s="202" t="s">
        <v>2483</v>
      </c>
      <c r="I359" s="203"/>
      <c r="J359" s="203" t="s">
        <v>2484</v>
      </c>
      <c r="K359" s="207" t="s">
        <v>200</v>
      </c>
      <c r="L359" s="207" t="s">
        <v>2485</v>
      </c>
      <c r="M359" s="202"/>
      <c r="N359" s="207"/>
      <c r="O359" s="207"/>
      <c r="P359" s="202"/>
      <c r="Q359" s="208"/>
      <c r="R359" s="86"/>
      <c r="S359" s="114">
        <f t="shared" ref="S359:T359" si="360">A359</f>
        <v>358</v>
      </c>
      <c r="T359" s="114" t="str">
        <f t="shared" si="360"/>
        <v>احسان اسماعیلی</v>
      </c>
      <c r="U359" s="86" t="str">
        <f t="shared" si="3"/>
        <v>09122723063</v>
      </c>
      <c r="V359" s="86" t="str">
        <f t="shared" si="4"/>
        <v>پیش‌وایی 2</v>
      </c>
      <c r="W359" s="86"/>
      <c r="X359" s="86"/>
    </row>
    <row r="360">
      <c r="A360" s="192">
        <v>359.0</v>
      </c>
      <c r="B360" s="193" t="s">
        <v>2486</v>
      </c>
      <c r="C360" s="194" t="s">
        <v>2487</v>
      </c>
      <c r="D360" s="195" t="str">
        <f>IFERROR(__xludf.DUMMYFUNCTION("ARRAYFORMULA(LET( converted, SUBSTITUTE( SUBSTITUTE( SUBSTITUTE( SUBSTITUTE( SUBSTITUTE( SUBSTITUTE( SUBSTITUTE( SUBSTITUTE( SUBSTITUTE( SUBSTITUTE( C360, ""۰"", ""0""), ""۱"", ""1""), ""۲"", ""2""), ""۳"", ""3""), ""۴"", ""4""), ""۵"", ""5""), ""۶"", ""6"&amp;"""), ""۷"", ""7""), ""۸"", ""8""), ""۹"", ""9""), IF(LEFT(converted,3)=""+98"", ""0"" &amp; RIGHT(converted, LEN(converted)-3), IF(LEFT(converted,2)=""98"", ""0"" &amp; RIGHT(converted, LEN(converted)-2), IF(LEFT(converted,1)&lt;&gt;""0"", ""0"" &amp; converted, REGEXREPLA"&amp;"CE(converted , ""\s"", """")) ) ) ) )"),"09125141965")</f>
        <v>09125141965</v>
      </c>
      <c r="E360" s="196" t="s">
        <v>17</v>
      </c>
      <c r="F360" s="197">
        <v>2.0</v>
      </c>
      <c r="G360" s="193"/>
      <c r="H360" s="193" t="s">
        <v>2488</v>
      </c>
      <c r="I360" s="194"/>
      <c r="J360" s="194" t="s">
        <v>2489</v>
      </c>
      <c r="K360" s="199" t="s">
        <v>2490</v>
      </c>
      <c r="L360" s="199" t="s">
        <v>2491</v>
      </c>
      <c r="M360" s="193"/>
      <c r="N360" s="199"/>
      <c r="O360" s="199"/>
      <c r="P360" s="193"/>
      <c r="Q360" s="200"/>
      <c r="R360" s="86"/>
      <c r="S360" s="114">
        <f t="shared" ref="S360:T360" si="361">A360</f>
        <v>359</v>
      </c>
      <c r="T360" s="114" t="str">
        <f t="shared" si="361"/>
        <v>المیرا رسول امینی</v>
      </c>
      <c r="U360" s="86" t="str">
        <f t="shared" si="3"/>
        <v>09125141965</v>
      </c>
      <c r="V360" s="86" t="str">
        <f t="shared" si="4"/>
        <v>پیش‌وایی 2</v>
      </c>
      <c r="W360" s="86"/>
      <c r="X360" s="86"/>
    </row>
    <row r="361">
      <c r="A361" s="201">
        <v>360.0</v>
      </c>
      <c r="B361" s="202" t="s">
        <v>2492</v>
      </c>
      <c r="C361" s="203"/>
      <c r="D361" s="204" t="str">
        <f>IFERROR(__xludf.DUMMYFUNCTION("ARRAYFORMULA(LET( converted, SUBSTITUTE( SUBSTITUTE( SUBSTITUTE( SUBSTITUTE( SUBSTITUTE( SUBSTITUTE( SUBSTITUTE( SUBSTITUTE( SUBSTITUTE( SUBSTITUTE( C361, ""۰"", ""0""), ""۱"", ""1""), ""۲"", ""2""), ""۳"", ""3""), ""۴"", ""4""), ""۵"", ""5""), ""۶"", ""6"&amp;"""), ""۷"", ""7""), ""۸"", ""8""), ""۹"", ""9""), IF(LEFT(converted,3)=""+98"", ""0"" &amp; RIGHT(converted, LEN(converted)-3), IF(LEFT(converted,2)=""98"", ""0"" &amp; RIGHT(converted, LEN(converted)-2), IF(LEFT(converted,1)&lt;&gt;""0"", ""0"" &amp; converted, REGEXREPLA"&amp;"CE(converted , ""\s"", """")) ) ) ) )"),"0")</f>
        <v>0</v>
      </c>
      <c r="E361" s="205" t="s">
        <v>17</v>
      </c>
      <c r="F361" s="206">
        <v>2.0</v>
      </c>
      <c r="G361" s="202"/>
      <c r="H361" s="202" t="s">
        <v>2493</v>
      </c>
      <c r="I361" s="203"/>
      <c r="J361" s="203" t="s">
        <v>2494</v>
      </c>
      <c r="K361" s="207" t="s">
        <v>2495</v>
      </c>
      <c r="L361" s="207" t="s">
        <v>347</v>
      </c>
      <c r="M361" s="202"/>
      <c r="N361" s="207"/>
      <c r="O361" s="207"/>
      <c r="P361" s="202"/>
      <c r="Q361" s="208"/>
      <c r="R361" s="86"/>
      <c r="S361" s="114">
        <f t="shared" ref="S361:T361" si="362">A361</f>
        <v>360</v>
      </c>
      <c r="T361" s="114" t="str">
        <f t="shared" si="362"/>
        <v>میعاد توکلی</v>
      </c>
      <c r="U361" s="86" t="str">
        <f t="shared" si="3"/>
        <v>0</v>
      </c>
      <c r="V361" s="86" t="str">
        <f t="shared" si="4"/>
        <v>پیش‌وایی 2</v>
      </c>
      <c r="W361" s="86"/>
      <c r="X361" s="86"/>
    </row>
    <row r="362">
      <c r="A362" s="192">
        <v>361.0</v>
      </c>
      <c r="B362" s="193" t="s">
        <v>2496</v>
      </c>
      <c r="C362" s="194"/>
      <c r="D362" s="195" t="str">
        <f>IFERROR(__xludf.DUMMYFUNCTION("ARRAYFORMULA(LET( converted, SUBSTITUTE( SUBSTITUTE( SUBSTITUTE( SUBSTITUTE( SUBSTITUTE( SUBSTITUTE( SUBSTITUTE( SUBSTITUTE( SUBSTITUTE( SUBSTITUTE( C362, ""۰"", ""0""), ""۱"", ""1""), ""۲"", ""2""), ""۳"", ""3""), ""۴"", ""4""), ""۵"", ""5""), ""۶"", ""6"&amp;"""), ""۷"", ""7""), ""۸"", ""8""), ""۹"", ""9""), IF(LEFT(converted,3)=""+98"", ""0"" &amp; RIGHT(converted, LEN(converted)-3), IF(LEFT(converted,2)=""98"", ""0"" &amp; RIGHT(converted, LEN(converted)-2), IF(LEFT(converted,1)&lt;&gt;""0"", ""0"" &amp; converted, REGEXREPLA"&amp;"CE(converted , ""\s"", """")) ) ) ) )"),"0")</f>
        <v>0</v>
      </c>
      <c r="E362" s="196" t="s">
        <v>17</v>
      </c>
      <c r="F362" s="197">
        <v>2.0</v>
      </c>
      <c r="G362" s="193"/>
      <c r="H362" s="193" t="s">
        <v>2497</v>
      </c>
      <c r="I362" s="194"/>
      <c r="J362" s="194" t="s">
        <v>2498</v>
      </c>
      <c r="K362" s="199" t="s">
        <v>2499</v>
      </c>
      <c r="L362" s="199" t="s">
        <v>2500</v>
      </c>
      <c r="M362" s="193"/>
      <c r="N362" s="199"/>
      <c r="O362" s="199"/>
      <c r="P362" s="193"/>
      <c r="Q362" s="200"/>
      <c r="R362" s="86"/>
      <c r="S362" s="114">
        <f t="shared" ref="S362:T362" si="363">A362</f>
        <v>361</v>
      </c>
      <c r="T362" s="114" t="str">
        <f t="shared" si="363"/>
        <v>شروین شمس</v>
      </c>
      <c r="U362" s="86" t="str">
        <f t="shared" si="3"/>
        <v>0</v>
      </c>
      <c r="V362" s="86" t="str">
        <f t="shared" si="4"/>
        <v>پیش‌وایی 2</v>
      </c>
      <c r="W362" s="86"/>
      <c r="X362" s="86"/>
    </row>
    <row r="363">
      <c r="A363" s="201">
        <v>362.0</v>
      </c>
      <c r="B363" s="202" t="s">
        <v>2501</v>
      </c>
      <c r="C363" s="203" t="s">
        <v>2502</v>
      </c>
      <c r="D363" s="204" t="str">
        <f>IFERROR(__xludf.DUMMYFUNCTION("ARRAYFORMULA(LET( converted, SUBSTITUTE( SUBSTITUTE( SUBSTITUTE( SUBSTITUTE( SUBSTITUTE( SUBSTITUTE( SUBSTITUTE( SUBSTITUTE( SUBSTITUTE( SUBSTITUTE( C363, ""۰"", ""0""), ""۱"", ""1""), ""۲"", ""2""), ""۳"", ""3""), ""۴"", ""4""), ""۵"", ""5""), ""۶"", ""6"&amp;"""), ""۷"", ""7""), ""۸"", ""8""), ""۹"", ""9""), IF(LEFT(converted,3)=""+98"", ""0"" &amp; RIGHT(converted, LEN(converted)-3), IF(LEFT(converted,2)=""98"", ""0"" &amp; RIGHT(converted, LEN(converted)-2), IF(LEFT(converted,1)&lt;&gt;""0"", ""0"" &amp; converted, REGEXREPLA"&amp;"CE(converted , ""\s"", """")) ) ) ) )"),"09125575325")</f>
        <v>09125575325</v>
      </c>
      <c r="E363" s="205" t="s">
        <v>17</v>
      </c>
      <c r="F363" s="206">
        <v>2.0</v>
      </c>
      <c r="G363" s="202"/>
      <c r="H363" s="202"/>
      <c r="I363" s="203"/>
      <c r="J363" s="203" t="s">
        <v>2503</v>
      </c>
      <c r="K363" s="207" t="s">
        <v>2504</v>
      </c>
      <c r="L363" s="207" t="s">
        <v>2505</v>
      </c>
      <c r="M363" s="202"/>
      <c r="N363" s="207"/>
      <c r="O363" s="207"/>
      <c r="P363" s="202"/>
      <c r="Q363" s="208"/>
      <c r="R363" s="86"/>
      <c r="S363" s="114">
        <f t="shared" ref="S363:T363" si="364">A363</f>
        <v>362</v>
      </c>
      <c r="T363" s="114" t="str">
        <f t="shared" si="364"/>
        <v>منصوره محمدیان</v>
      </c>
      <c r="U363" s="86" t="str">
        <f t="shared" si="3"/>
        <v>09125575325</v>
      </c>
      <c r="V363" s="86" t="str">
        <f t="shared" si="4"/>
        <v>پیش‌وایی 2</v>
      </c>
      <c r="W363" s="86"/>
      <c r="X363" s="86"/>
    </row>
    <row r="364">
      <c r="A364" s="192">
        <v>363.0</v>
      </c>
      <c r="B364" s="193" t="s">
        <v>2506</v>
      </c>
      <c r="C364" s="194"/>
      <c r="D364" s="195" t="str">
        <f>IFERROR(__xludf.DUMMYFUNCTION("ARRAYFORMULA(LET( converted, SUBSTITUTE( SUBSTITUTE( SUBSTITUTE( SUBSTITUTE( SUBSTITUTE( SUBSTITUTE( SUBSTITUTE( SUBSTITUTE( SUBSTITUTE( SUBSTITUTE( C364, ""۰"", ""0""), ""۱"", ""1""), ""۲"", ""2""), ""۳"", ""3""), ""۴"", ""4""), ""۵"", ""5""), ""۶"", ""6"&amp;"""), ""۷"", ""7""), ""۸"", ""8""), ""۹"", ""9""), IF(LEFT(converted,3)=""+98"", ""0"" &amp; RIGHT(converted, LEN(converted)-3), IF(LEFT(converted,2)=""98"", ""0"" &amp; RIGHT(converted, LEN(converted)-2), IF(LEFT(converted,1)&lt;&gt;""0"", ""0"" &amp; converted, REGEXREPLA"&amp;"CE(converted , ""\s"", """")) ) ) ) )"),"0")</f>
        <v>0</v>
      </c>
      <c r="E364" s="196" t="s">
        <v>17</v>
      </c>
      <c r="F364" s="197">
        <v>2.0</v>
      </c>
      <c r="G364" s="193"/>
      <c r="H364" s="193" t="s">
        <v>1920</v>
      </c>
      <c r="I364" s="194"/>
      <c r="J364" s="194"/>
      <c r="K364" s="199" t="s">
        <v>2331</v>
      </c>
      <c r="L364" s="199" t="s">
        <v>2500</v>
      </c>
      <c r="M364" s="193"/>
      <c r="N364" s="199"/>
      <c r="O364" s="199"/>
      <c r="P364" s="193"/>
      <c r="Q364" s="200"/>
      <c r="R364" s="86"/>
      <c r="S364" s="114">
        <f t="shared" ref="S364:T364" si="365">A364</f>
        <v>363</v>
      </c>
      <c r="T364" s="114" t="str">
        <f t="shared" si="365"/>
        <v>نیکا شمس</v>
      </c>
      <c r="U364" s="86" t="str">
        <f t="shared" si="3"/>
        <v>0</v>
      </c>
      <c r="V364" s="86" t="str">
        <f t="shared" si="4"/>
        <v>پیش‌وایی 2</v>
      </c>
      <c r="W364" s="86"/>
      <c r="X364" s="86"/>
    </row>
    <row r="365">
      <c r="A365" s="201">
        <v>364.0</v>
      </c>
      <c r="B365" s="202" t="s">
        <v>2507</v>
      </c>
      <c r="C365" s="203"/>
      <c r="D365" s="204" t="str">
        <f>IFERROR(__xludf.DUMMYFUNCTION("ARRAYFORMULA(LET( converted, SUBSTITUTE( SUBSTITUTE( SUBSTITUTE( SUBSTITUTE( SUBSTITUTE( SUBSTITUTE( SUBSTITUTE( SUBSTITUTE( SUBSTITUTE( SUBSTITUTE( C365, ""۰"", ""0""), ""۱"", ""1""), ""۲"", ""2""), ""۳"", ""3""), ""۴"", ""4""), ""۵"", ""5""), ""۶"", ""6"&amp;"""), ""۷"", ""7""), ""۸"", ""8""), ""۹"", ""9""), IF(LEFT(converted,3)=""+98"", ""0"" &amp; RIGHT(converted, LEN(converted)-3), IF(LEFT(converted,2)=""98"", ""0"" &amp; RIGHT(converted, LEN(converted)-2), IF(LEFT(converted,1)&lt;&gt;""0"", ""0"" &amp; converted, REGEXREPLA"&amp;"CE(converted , ""\s"", """")) ) ) ) )"),"0")</f>
        <v>0</v>
      </c>
      <c r="E365" s="205" t="s">
        <v>17</v>
      </c>
      <c r="F365" s="206">
        <v>2.0</v>
      </c>
      <c r="G365" s="202"/>
      <c r="H365" s="202" t="s">
        <v>1920</v>
      </c>
      <c r="I365" s="203"/>
      <c r="J365" s="203"/>
      <c r="K365" s="207" t="s">
        <v>219</v>
      </c>
      <c r="L365" s="207" t="s">
        <v>2500</v>
      </c>
      <c r="M365" s="202"/>
      <c r="N365" s="207"/>
      <c r="O365" s="207"/>
      <c r="P365" s="202"/>
      <c r="Q365" s="208"/>
      <c r="R365" s="86"/>
      <c r="S365" s="114">
        <f t="shared" ref="S365:T365" si="366">A365</f>
        <v>364</v>
      </c>
      <c r="T365" s="114" t="str">
        <f t="shared" si="366"/>
        <v>دیبا شمس</v>
      </c>
      <c r="U365" s="86" t="str">
        <f t="shared" si="3"/>
        <v>0</v>
      </c>
      <c r="V365" s="86" t="str">
        <f t="shared" si="4"/>
        <v>پیش‌وایی 2</v>
      </c>
      <c r="W365" s="86"/>
      <c r="X365" s="86"/>
    </row>
    <row r="366">
      <c r="A366" s="192">
        <v>365.0</v>
      </c>
      <c r="B366" s="193" t="s">
        <v>2508</v>
      </c>
      <c r="C366" s="194" t="s">
        <v>2509</v>
      </c>
      <c r="D366" s="195" t="str">
        <f>IFERROR(__xludf.DUMMYFUNCTION("ARRAYFORMULA(LET( converted, SUBSTITUTE( SUBSTITUTE( SUBSTITUTE( SUBSTITUTE( SUBSTITUTE( SUBSTITUTE( SUBSTITUTE( SUBSTITUTE( SUBSTITUTE( SUBSTITUTE( C366, ""۰"", ""0""), ""۱"", ""1""), ""۲"", ""2""), ""۳"", ""3""), ""۴"", ""4""), ""۵"", ""5""), ""۶"", ""6"&amp;"""), ""۷"", ""7""), ""۸"", ""8""), ""۹"", ""9""), IF(LEFT(converted,3)=""+98"", ""0"" &amp; RIGHT(converted, LEN(converted)-3), IF(LEFT(converted,2)=""98"", ""0"" &amp; RIGHT(converted, LEN(converted)-2), IF(LEFT(converted,1)&lt;&gt;""0"", ""0"" &amp; converted, REGEXREPLA"&amp;"CE(converted , ""\s"", """")) ) ) ) )"),"09121857390")</f>
        <v>09121857390</v>
      </c>
      <c r="E366" s="196" t="s">
        <v>17</v>
      </c>
      <c r="F366" s="197">
        <v>2.0</v>
      </c>
      <c r="G366" s="193"/>
      <c r="H366" s="193" t="s">
        <v>2510</v>
      </c>
      <c r="I366" s="194"/>
      <c r="J366" s="194" t="s">
        <v>2511</v>
      </c>
      <c r="K366" s="199" t="s">
        <v>2512</v>
      </c>
      <c r="L366" s="199" t="s">
        <v>2513</v>
      </c>
      <c r="M366" s="193"/>
      <c r="N366" s="199"/>
      <c r="O366" s="199"/>
      <c r="P366" s="193"/>
      <c r="Q366" s="200"/>
      <c r="R366" s="86"/>
      <c r="S366" s="114">
        <f t="shared" ref="S366:T366" si="367">A366</f>
        <v>365</v>
      </c>
      <c r="T366" s="114" t="str">
        <f t="shared" si="367"/>
        <v>نگار خلج</v>
      </c>
      <c r="U366" s="86" t="str">
        <f t="shared" si="3"/>
        <v>09121857390</v>
      </c>
      <c r="V366" s="86" t="str">
        <f t="shared" si="4"/>
        <v>پیش‌وایی 2</v>
      </c>
      <c r="W366" s="86"/>
      <c r="X366" s="86"/>
    </row>
    <row r="367">
      <c r="A367" s="201">
        <v>366.0</v>
      </c>
      <c r="B367" s="202" t="s">
        <v>2514</v>
      </c>
      <c r="C367" s="203"/>
      <c r="D367" s="204" t="str">
        <f>IFERROR(__xludf.DUMMYFUNCTION("ARRAYFORMULA(LET( converted, SUBSTITUTE( SUBSTITUTE( SUBSTITUTE( SUBSTITUTE( SUBSTITUTE( SUBSTITUTE( SUBSTITUTE( SUBSTITUTE( SUBSTITUTE( SUBSTITUTE( C367, ""۰"", ""0""), ""۱"", ""1""), ""۲"", ""2""), ""۳"", ""3""), ""۴"", ""4""), ""۵"", ""5""), ""۶"", ""6"&amp;"""), ""۷"", ""7""), ""۸"", ""8""), ""۹"", ""9""), IF(LEFT(converted,3)=""+98"", ""0"" &amp; RIGHT(converted, LEN(converted)-3), IF(LEFT(converted,2)=""98"", ""0"" &amp; RIGHT(converted, LEN(converted)-2), IF(LEFT(converted,1)&lt;&gt;""0"", ""0"" &amp; converted, REGEXREPLA"&amp;"CE(converted , ""\s"", """")) ) ) ) )"),"0")</f>
        <v>0</v>
      </c>
      <c r="E367" s="205" t="s">
        <v>17</v>
      </c>
      <c r="F367" s="206">
        <v>2.0</v>
      </c>
      <c r="G367" s="202"/>
      <c r="H367" s="209" t="s">
        <v>2515</v>
      </c>
      <c r="I367" s="203"/>
      <c r="J367" s="203" t="s">
        <v>2516</v>
      </c>
      <c r="K367" s="207" t="s">
        <v>2517</v>
      </c>
      <c r="L367" s="207" t="s">
        <v>2518</v>
      </c>
      <c r="M367" s="202"/>
      <c r="N367" s="207"/>
      <c r="O367" s="207"/>
      <c r="P367" s="202"/>
      <c r="Q367" s="208"/>
      <c r="R367" s="86"/>
      <c r="S367" s="114">
        <f t="shared" ref="S367:T367" si="368">A367</f>
        <v>366</v>
      </c>
      <c r="T367" s="114" t="str">
        <f t="shared" si="368"/>
        <v>شبنم مرتضوی</v>
      </c>
      <c r="U367" s="86" t="str">
        <f t="shared" si="3"/>
        <v>0</v>
      </c>
      <c r="V367" s="86" t="str">
        <f t="shared" si="4"/>
        <v>پیش‌وایی 2</v>
      </c>
      <c r="W367" s="86"/>
      <c r="X367" s="86"/>
    </row>
    <row r="368">
      <c r="A368" s="192">
        <v>367.0</v>
      </c>
      <c r="B368" s="193" t="s">
        <v>2519</v>
      </c>
      <c r="C368" s="194" t="s">
        <v>2520</v>
      </c>
      <c r="D368" s="195" t="str">
        <f>IFERROR(__xludf.DUMMYFUNCTION("ARRAYFORMULA(LET( converted, SUBSTITUTE( SUBSTITUTE( SUBSTITUTE( SUBSTITUTE( SUBSTITUTE( SUBSTITUTE( SUBSTITUTE( SUBSTITUTE( SUBSTITUTE( SUBSTITUTE( C368, ""۰"", ""0""), ""۱"", ""1""), ""۲"", ""2""), ""۳"", ""3""), ""۴"", ""4""), ""۵"", ""5""), ""۶"", ""6"&amp;"""), ""۷"", ""7""), ""۸"", ""8""), ""۹"", ""9""), IF(LEFT(converted,3)=""+98"", ""0"" &amp; RIGHT(converted, LEN(converted)-3), IF(LEFT(converted,2)=""98"", ""0"" &amp; RIGHT(converted, LEN(converted)-2), IF(LEFT(converted,1)&lt;&gt;""0"", ""0"" &amp; converted, REGEXREPLA"&amp;"CE(converted , ""\s"", """")) ) ) ) )"),"09126482972")</f>
        <v>09126482972</v>
      </c>
      <c r="E368" s="196" t="s">
        <v>17</v>
      </c>
      <c r="F368" s="197">
        <v>2.0</v>
      </c>
      <c r="G368" s="193"/>
      <c r="H368" s="198" t="s">
        <v>2521</v>
      </c>
      <c r="I368" s="194"/>
      <c r="J368" s="194"/>
      <c r="K368" s="199" t="s">
        <v>1018</v>
      </c>
      <c r="L368" s="199" t="s">
        <v>381</v>
      </c>
      <c r="M368" s="193"/>
      <c r="N368" s="199"/>
      <c r="O368" s="199"/>
      <c r="P368" s="193"/>
      <c r="Q368" s="200"/>
      <c r="R368" s="86"/>
      <c r="S368" s="114">
        <f t="shared" ref="S368:T368" si="369">A368</f>
        <v>367</v>
      </c>
      <c r="T368" s="114" t="str">
        <f t="shared" si="369"/>
        <v>علی منصور</v>
      </c>
      <c r="U368" s="86" t="str">
        <f t="shared" si="3"/>
        <v>09126482972</v>
      </c>
      <c r="V368" s="86" t="str">
        <f t="shared" si="4"/>
        <v>پیش‌وایی 2</v>
      </c>
      <c r="W368" s="86"/>
      <c r="X368" s="86"/>
    </row>
    <row r="369">
      <c r="A369" s="201">
        <v>368.0</v>
      </c>
      <c r="B369" s="202" t="s">
        <v>2522</v>
      </c>
      <c r="C369" s="203" t="s">
        <v>2523</v>
      </c>
      <c r="D369" s="204" t="str">
        <f>IFERROR(__xludf.DUMMYFUNCTION("ARRAYFORMULA(LET( converted, SUBSTITUTE( SUBSTITUTE( SUBSTITUTE( SUBSTITUTE( SUBSTITUTE( SUBSTITUTE( SUBSTITUTE( SUBSTITUTE( SUBSTITUTE( SUBSTITUTE( C369, ""۰"", ""0""), ""۱"", ""1""), ""۲"", ""2""), ""۳"", ""3""), ""۴"", ""4""), ""۵"", ""5""), ""۶"", ""6"&amp;"""), ""۷"", ""7""), ""۸"", ""8""), ""۹"", ""9""), IF(LEFT(converted,3)=""+98"", ""0"" &amp; RIGHT(converted, LEN(converted)-3), IF(LEFT(converted,2)=""98"", ""0"" &amp; RIGHT(converted, LEN(converted)-2), IF(LEFT(converted,1)&lt;&gt;""0"", ""0"" &amp; converted, REGEXREPLA"&amp;"CE(converted , ""\s"", """")) ) ) ) )"),"09124301448")</f>
        <v>09124301448</v>
      </c>
      <c r="E369" s="205" t="s">
        <v>17</v>
      </c>
      <c r="F369" s="206">
        <v>2.0</v>
      </c>
      <c r="G369" s="202"/>
      <c r="H369" s="202" t="s">
        <v>2524</v>
      </c>
      <c r="I369" s="203"/>
      <c r="J369" s="203" t="s">
        <v>2525</v>
      </c>
      <c r="K369" s="207" t="s">
        <v>2526</v>
      </c>
      <c r="L369" s="207" t="s">
        <v>2527</v>
      </c>
      <c r="M369" s="202"/>
      <c r="N369" s="207"/>
      <c r="O369" s="207"/>
      <c r="P369" s="202"/>
      <c r="Q369" s="208"/>
      <c r="R369" s="86"/>
      <c r="S369" s="114">
        <f t="shared" ref="S369:T369" si="370">A369</f>
        <v>368</v>
      </c>
      <c r="T369" s="114" t="str">
        <f t="shared" si="370"/>
        <v>ماریا دیاری علمداری</v>
      </c>
      <c r="U369" s="86" t="str">
        <f t="shared" si="3"/>
        <v>09124301448</v>
      </c>
      <c r="V369" s="86" t="str">
        <f t="shared" si="4"/>
        <v>پیش‌وایی 2</v>
      </c>
      <c r="W369" s="86"/>
      <c r="X369" s="86"/>
    </row>
    <row r="370">
      <c r="A370" s="192">
        <v>369.0</v>
      </c>
      <c r="B370" s="193" t="s">
        <v>2528</v>
      </c>
      <c r="C370" s="194" t="s">
        <v>2529</v>
      </c>
      <c r="D370" s="195" t="str">
        <f>IFERROR(__xludf.DUMMYFUNCTION("ARRAYFORMULA(LET( converted, SUBSTITUTE( SUBSTITUTE( SUBSTITUTE( SUBSTITUTE( SUBSTITUTE( SUBSTITUTE( SUBSTITUTE( SUBSTITUTE( SUBSTITUTE( SUBSTITUTE( C370, ""۰"", ""0""), ""۱"", ""1""), ""۲"", ""2""), ""۳"", ""3""), ""۴"", ""4""), ""۵"", ""5""), ""۶"", ""6"&amp;"""), ""۷"", ""7""), ""۸"", ""8""), ""۹"", ""9""), IF(LEFT(converted,3)=""+98"", ""0"" &amp; RIGHT(converted, LEN(converted)-3), IF(LEFT(converted,2)=""98"", ""0"" &amp; RIGHT(converted, LEN(converted)-2), IF(LEFT(converted,1)&lt;&gt;""0"", ""0"" &amp; converted, REGEXREPLA"&amp;"CE(converted , ""\s"", """")) ) ) ) )"),"09125041990")</f>
        <v>09125041990</v>
      </c>
      <c r="E370" s="196" t="s">
        <v>17</v>
      </c>
      <c r="F370" s="197">
        <v>2.0</v>
      </c>
      <c r="G370" s="193"/>
      <c r="H370" s="193" t="s">
        <v>2530</v>
      </c>
      <c r="I370" s="194"/>
      <c r="J370" s="194" t="s">
        <v>2531</v>
      </c>
      <c r="K370" s="199" t="s">
        <v>2532</v>
      </c>
      <c r="L370" s="199" t="s">
        <v>2533</v>
      </c>
      <c r="M370" s="193"/>
      <c r="N370" s="199"/>
      <c r="O370" s="199"/>
      <c r="P370" s="193"/>
      <c r="Q370" s="200"/>
      <c r="R370" s="86"/>
      <c r="S370" s="114">
        <f t="shared" ref="S370:T370" si="371">A370</f>
        <v>369</v>
      </c>
      <c r="T370" s="114" t="str">
        <f t="shared" si="371"/>
        <v>شهرام مظفری اناری</v>
      </c>
      <c r="U370" s="86" t="str">
        <f t="shared" si="3"/>
        <v>09125041990</v>
      </c>
      <c r="V370" s="86" t="str">
        <f t="shared" si="4"/>
        <v>پیش‌وایی 2</v>
      </c>
      <c r="W370" s="86"/>
      <c r="X370" s="86"/>
    </row>
    <row r="371">
      <c r="A371" s="201">
        <v>370.0</v>
      </c>
      <c r="B371" s="202" t="s">
        <v>2534</v>
      </c>
      <c r="C371" s="203" t="s">
        <v>2535</v>
      </c>
      <c r="D371" s="204" t="str">
        <f>IFERROR(__xludf.DUMMYFUNCTION("ARRAYFORMULA(LET( converted, SUBSTITUTE( SUBSTITUTE( SUBSTITUTE( SUBSTITUTE( SUBSTITUTE( SUBSTITUTE( SUBSTITUTE( SUBSTITUTE( SUBSTITUTE( SUBSTITUTE( C371, ""۰"", ""0""), ""۱"", ""1""), ""۲"", ""2""), ""۳"", ""3""), ""۴"", ""4""), ""۵"", ""5""), ""۶"", ""6"&amp;"""), ""۷"", ""7""), ""۸"", ""8""), ""۹"", ""9""), IF(LEFT(converted,3)=""+98"", ""0"" &amp; RIGHT(converted, LEN(converted)-3), IF(LEFT(converted,2)=""98"", ""0"" &amp; RIGHT(converted, LEN(converted)-2), IF(LEFT(converted,1)&lt;&gt;""0"", ""0"" &amp; converted, REGEXREPLA"&amp;"CE(converted , ""\s"", """")) ) ) ) )"),"09123816727")</f>
        <v>09123816727</v>
      </c>
      <c r="E371" s="205" t="s">
        <v>17</v>
      </c>
      <c r="F371" s="206">
        <v>2.0</v>
      </c>
      <c r="G371" s="202"/>
      <c r="H371" s="202" t="s">
        <v>2536</v>
      </c>
      <c r="I371" s="203"/>
      <c r="J371" s="203" t="s">
        <v>2537</v>
      </c>
      <c r="K371" s="207" t="s">
        <v>2538</v>
      </c>
      <c r="L371" s="207" t="s">
        <v>1705</v>
      </c>
      <c r="M371" s="202"/>
      <c r="N371" s="207"/>
      <c r="O371" s="207"/>
      <c r="P371" s="202"/>
      <c r="Q371" s="208"/>
      <c r="R371" s="86"/>
      <c r="S371" s="114">
        <f t="shared" ref="S371:T371" si="372">A371</f>
        <v>370</v>
      </c>
      <c r="T371" s="114" t="str">
        <f t="shared" si="372"/>
        <v>کاوه گودرزی</v>
      </c>
      <c r="U371" s="86" t="str">
        <f t="shared" si="3"/>
        <v>09123816727</v>
      </c>
      <c r="V371" s="86" t="str">
        <f t="shared" si="4"/>
        <v>پیش‌وایی 2</v>
      </c>
      <c r="W371" s="86"/>
      <c r="X371" s="86"/>
    </row>
    <row r="372">
      <c r="A372" s="192">
        <v>371.0</v>
      </c>
      <c r="B372" s="193" t="s">
        <v>2539</v>
      </c>
      <c r="C372" s="194" t="s">
        <v>2540</v>
      </c>
      <c r="D372" s="195" t="str">
        <f>IFERROR(__xludf.DUMMYFUNCTION("ARRAYFORMULA(LET( converted, SUBSTITUTE( SUBSTITUTE( SUBSTITUTE( SUBSTITUTE( SUBSTITUTE( SUBSTITUTE( SUBSTITUTE( SUBSTITUTE( SUBSTITUTE( SUBSTITUTE( C372, ""۰"", ""0""), ""۱"", ""1""), ""۲"", ""2""), ""۳"", ""3""), ""۴"", ""4""), ""۵"", ""5""), ""۶"", ""6"&amp;"""), ""۷"", ""7""), ""۸"", ""8""), ""۹"", ""9""), IF(LEFT(converted,3)=""+98"", ""0"" &amp; RIGHT(converted, LEN(converted)-3), IF(LEFT(converted,2)=""98"", ""0"" &amp; RIGHT(converted, LEN(converted)-2), IF(LEFT(converted,1)&lt;&gt;""0"", ""0"" &amp; converted, REGEXREPLA"&amp;"CE(converted , ""\s"", """")) ) ) ) )"),"09123241798")</f>
        <v>09123241798</v>
      </c>
      <c r="E372" s="196" t="s">
        <v>17</v>
      </c>
      <c r="F372" s="197">
        <v>2.0</v>
      </c>
      <c r="G372" s="193"/>
      <c r="H372" s="193" t="s">
        <v>2541</v>
      </c>
      <c r="I372" s="194"/>
      <c r="J372" s="194" t="s">
        <v>2542</v>
      </c>
      <c r="K372" s="199" t="s">
        <v>2543</v>
      </c>
      <c r="L372" s="199" t="s">
        <v>2544</v>
      </c>
      <c r="M372" s="193"/>
      <c r="N372" s="199"/>
      <c r="O372" s="199"/>
      <c r="P372" s="193"/>
      <c r="Q372" s="200"/>
      <c r="R372" s="86"/>
      <c r="S372" s="114">
        <f t="shared" ref="S372:T372" si="373">A372</f>
        <v>371</v>
      </c>
      <c r="T372" s="114" t="str">
        <f t="shared" si="373"/>
        <v>مازیار معانی</v>
      </c>
      <c r="U372" s="86" t="str">
        <f t="shared" si="3"/>
        <v>09123241798</v>
      </c>
      <c r="V372" s="86" t="str">
        <f t="shared" si="4"/>
        <v>پیش‌وایی 2</v>
      </c>
      <c r="W372" s="86"/>
      <c r="X372" s="86"/>
    </row>
    <row r="373">
      <c r="A373" s="201">
        <v>372.0</v>
      </c>
      <c r="B373" s="202" t="s">
        <v>2545</v>
      </c>
      <c r="C373" s="203" t="s">
        <v>2546</v>
      </c>
      <c r="D373" s="204" t="str">
        <f>IFERROR(__xludf.DUMMYFUNCTION("ARRAYFORMULA(LET( converted, SUBSTITUTE( SUBSTITUTE( SUBSTITUTE( SUBSTITUTE( SUBSTITUTE( SUBSTITUTE( SUBSTITUTE( SUBSTITUTE( SUBSTITUTE( SUBSTITUTE( C373, ""۰"", ""0""), ""۱"", ""1""), ""۲"", ""2""), ""۳"", ""3""), ""۴"", ""4""), ""۵"", ""5""), ""۶"", ""6"&amp;"""), ""۷"", ""7""), ""۸"", ""8""), ""۹"", ""9""), IF(LEFT(converted,3)=""+98"", ""0"" &amp; RIGHT(converted, LEN(converted)-3), IF(LEFT(converted,2)=""98"", ""0"" &amp; RIGHT(converted, LEN(converted)-2), IF(LEFT(converted,1)&lt;&gt;""0"", ""0"" &amp; converted, REGEXREPLA"&amp;"CE(converted , ""\s"", """")) ) ) ) )"),"09130216071")</f>
        <v>09130216071</v>
      </c>
      <c r="E373" s="205" t="s">
        <v>17</v>
      </c>
      <c r="F373" s="206">
        <v>2.0</v>
      </c>
      <c r="G373" s="202"/>
      <c r="H373" s="202" t="s">
        <v>2547</v>
      </c>
      <c r="I373" s="203"/>
      <c r="J373" s="203" t="s">
        <v>2548</v>
      </c>
      <c r="K373" s="207" t="s">
        <v>2549</v>
      </c>
      <c r="L373" s="207" t="s">
        <v>2550</v>
      </c>
      <c r="M373" s="202"/>
      <c r="N373" s="207"/>
      <c r="O373" s="207"/>
      <c r="P373" s="202"/>
      <c r="Q373" s="208"/>
      <c r="R373" s="86"/>
      <c r="S373" s="114">
        <f t="shared" ref="S373:T373" si="374">A373</f>
        <v>372</v>
      </c>
      <c r="T373" s="114" t="str">
        <f t="shared" si="374"/>
        <v>سید همام الدین جوادزاده</v>
      </c>
      <c r="U373" s="86" t="str">
        <f t="shared" si="3"/>
        <v>09130216071</v>
      </c>
      <c r="V373" s="86" t="str">
        <f t="shared" si="4"/>
        <v>پیش‌وایی 2</v>
      </c>
      <c r="W373" s="86"/>
      <c r="X373" s="86"/>
    </row>
    <row r="374">
      <c r="A374" s="192">
        <v>373.0</v>
      </c>
      <c r="B374" s="193" t="s">
        <v>2551</v>
      </c>
      <c r="C374" s="194" t="s">
        <v>2552</v>
      </c>
      <c r="D374" s="195" t="str">
        <f>IFERROR(__xludf.DUMMYFUNCTION("ARRAYFORMULA(LET( converted, SUBSTITUTE( SUBSTITUTE( SUBSTITUTE( SUBSTITUTE( SUBSTITUTE( SUBSTITUTE( SUBSTITUTE( SUBSTITUTE( SUBSTITUTE( SUBSTITUTE( C374, ""۰"", ""0""), ""۱"", ""1""), ""۲"", ""2""), ""۳"", ""3""), ""۴"", ""4""), ""۵"", ""5""), ""۶"", ""6"&amp;"""), ""۷"", ""7""), ""۸"", ""8""), ""۹"", ""9""), IF(LEFT(converted,3)=""+98"", ""0"" &amp; RIGHT(converted, LEN(converted)-3), IF(LEFT(converted,2)=""98"", ""0"" &amp; RIGHT(converted, LEN(converted)-2), IF(LEFT(converted,1)&lt;&gt;""0"", ""0"" &amp; converted, REGEXREPLA"&amp;"CE(converted , ""\s"", """")) ) ) ) )"),"09121155875")</f>
        <v>09121155875</v>
      </c>
      <c r="E374" s="196" t="s">
        <v>17</v>
      </c>
      <c r="F374" s="197">
        <v>2.0</v>
      </c>
      <c r="G374" s="193"/>
      <c r="H374" s="193" t="s">
        <v>2553</v>
      </c>
      <c r="I374" s="194"/>
      <c r="J374" s="194"/>
      <c r="K374" s="199" t="s">
        <v>1018</v>
      </c>
      <c r="L374" s="199" t="s">
        <v>2554</v>
      </c>
      <c r="M374" s="193"/>
      <c r="N374" s="199"/>
      <c r="O374" s="199"/>
      <c r="P374" s="193"/>
      <c r="Q374" s="200"/>
      <c r="R374" s="86"/>
      <c r="S374" s="114">
        <f t="shared" ref="S374:T374" si="375">A374</f>
        <v>373</v>
      </c>
      <c r="T374" s="114" t="str">
        <f t="shared" si="375"/>
        <v>علی اقدم</v>
      </c>
      <c r="U374" s="86" t="str">
        <f t="shared" si="3"/>
        <v>09121155875</v>
      </c>
      <c r="V374" s="86" t="str">
        <f t="shared" si="4"/>
        <v>پیش‌وایی 2</v>
      </c>
      <c r="W374" s="86"/>
      <c r="X374" s="86"/>
    </row>
    <row r="375">
      <c r="A375" s="201">
        <v>374.0</v>
      </c>
      <c r="B375" s="202" t="s">
        <v>884</v>
      </c>
      <c r="C375" s="203" t="s">
        <v>2555</v>
      </c>
      <c r="D375" s="204" t="str">
        <f>IFERROR(__xludf.DUMMYFUNCTION("ARRAYFORMULA(LET( converted, SUBSTITUTE( SUBSTITUTE( SUBSTITUTE( SUBSTITUTE( SUBSTITUTE( SUBSTITUTE( SUBSTITUTE( SUBSTITUTE( SUBSTITUTE( SUBSTITUTE( C375, ""۰"", ""0""), ""۱"", ""1""), ""۲"", ""2""), ""۳"", ""3""), ""۴"", ""4""), ""۵"", ""5""), ""۶"", ""6"&amp;"""), ""۷"", ""7""), ""۸"", ""8""), ""۹"", ""9""), IF(LEFT(converted,3)=""+98"", ""0"" &amp; RIGHT(converted, LEN(converted)-3), IF(LEFT(converted,2)=""98"", ""0"" &amp; RIGHT(converted, LEN(converted)-2), IF(LEFT(converted,1)&lt;&gt;""0"", ""0"" &amp; converted, REGEXREPLA"&amp;"CE(converted , ""\s"", """")) ) ) ) )"),"09193900036")</f>
        <v>09193900036</v>
      </c>
      <c r="E375" s="205" t="s">
        <v>17</v>
      </c>
      <c r="F375" s="206">
        <v>2.0</v>
      </c>
      <c r="G375" s="202"/>
      <c r="H375" s="209" t="s">
        <v>886</v>
      </c>
      <c r="I375" s="203"/>
      <c r="J375" s="203" t="s">
        <v>887</v>
      </c>
      <c r="K375" s="207" t="s">
        <v>888</v>
      </c>
      <c r="L375" s="207" t="s">
        <v>889</v>
      </c>
      <c r="M375" s="202"/>
      <c r="N375" s="207"/>
      <c r="O375" s="207"/>
      <c r="P375" s="202"/>
      <c r="Q375" s="208"/>
      <c r="R375" s="86"/>
      <c r="S375" s="114">
        <f t="shared" ref="S375:T375" si="376">A375</f>
        <v>374</v>
      </c>
      <c r="T375" s="114" t="str">
        <f t="shared" si="376"/>
        <v>آیدین کاظمی</v>
      </c>
      <c r="U375" s="86" t="str">
        <f t="shared" si="3"/>
        <v>09193900036</v>
      </c>
      <c r="V375" s="86" t="str">
        <f t="shared" si="4"/>
        <v>پیش‌وایی 2</v>
      </c>
      <c r="W375" s="86"/>
      <c r="X375" s="86"/>
    </row>
    <row r="376">
      <c r="A376" s="192">
        <v>375.0</v>
      </c>
      <c r="B376" s="193" t="s">
        <v>2556</v>
      </c>
      <c r="C376" s="194" t="s">
        <v>2557</v>
      </c>
      <c r="D376" s="195" t="str">
        <f>IFERROR(__xludf.DUMMYFUNCTION("ARRAYFORMULA(LET( converted, SUBSTITUTE( SUBSTITUTE( SUBSTITUTE( SUBSTITUTE( SUBSTITUTE( SUBSTITUTE( SUBSTITUTE( SUBSTITUTE( SUBSTITUTE( SUBSTITUTE( C376, ""۰"", ""0""), ""۱"", ""1""), ""۲"", ""2""), ""۳"", ""3""), ""۴"", ""4""), ""۵"", ""5""), ""۶"", ""6"&amp;"""), ""۷"", ""7""), ""۸"", ""8""), ""۹"", ""9""), IF(LEFT(converted,3)=""+98"", ""0"" &amp; RIGHT(converted, LEN(converted)-3), IF(LEFT(converted,2)=""98"", ""0"" &amp; RIGHT(converted, LEN(converted)-2), IF(LEFT(converted,1)&lt;&gt;""0"", ""0"" &amp; converted, REGEXREPLA"&amp;"CE(converted , ""\s"", """")) ) ) ) )"),"09912378478")</f>
        <v>09912378478</v>
      </c>
      <c r="E376" s="196" t="s">
        <v>17</v>
      </c>
      <c r="F376" s="197">
        <v>2.0</v>
      </c>
      <c r="G376" s="193"/>
      <c r="H376" s="193" t="s">
        <v>2558</v>
      </c>
      <c r="I376" s="194"/>
      <c r="J376" s="194" t="s">
        <v>2559</v>
      </c>
      <c r="K376" s="199" t="s">
        <v>2222</v>
      </c>
      <c r="L376" s="199" t="s">
        <v>1934</v>
      </c>
      <c r="M376" s="193"/>
      <c r="N376" s="199"/>
      <c r="O376" s="199"/>
      <c r="P376" s="193"/>
      <c r="Q376" s="200"/>
      <c r="R376" s="86"/>
      <c r="S376" s="114">
        <f t="shared" ref="S376:T376" si="377">A376</f>
        <v>375</v>
      </c>
      <c r="T376" s="114" t="str">
        <f t="shared" si="377"/>
        <v>نازنین نجفی</v>
      </c>
      <c r="U376" s="86" t="str">
        <f t="shared" si="3"/>
        <v>09912378478</v>
      </c>
      <c r="V376" s="86" t="str">
        <f t="shared" si="4"/>
        <v>پیش‌وایی 2</v>
      </c>
      <c r="W376" s="86"/>
      <c r="X376" s="86"/>
    </row>
    <row r="377">
      <c r="A377" s="201">
        <v>376.0</v>
      </c>
      <c r="B377" s="202" t="s">
        <v>2560</v>
      </c>
      <c r="C377" s="203" t="s">
        <v>2561</v>
      </c>
      <c r="D377" s="204" t="str">
        <f>IFERROR(__xludf.DUMMYFUNCTION("ARRAYFORMULA(LET( converted, SUBSTITUTE( SUBSTITUTE( SUBSTITUTE( SUBSTITUTE( SUBSTITUTE( SUBSTITUTE( SUBSTITUTE( SUBSTITUTE( SUBSTITUTE( SUBSTITUTE( C377, ""۰"", ""0""), ""۱"", ""1""), ""۲"", ""2""), ""۳"", ""3""), ""۴"", ""4""), ""۵"", ""5""), ""۶"", ""6"&amp;"""), ""۷"", ""7""), ""۸"", ""8""), ""۹"", ""9""), IF(LEFT(converted,3)=""+98"", ""0"" &amp; RIGHT(converted, LEN(converted)-3), IF(LEFT(converted,2)=""98"", ""0"" &amp; RIGHT(converted, LEN(converted)-2), IF(LEFT(converted,1)&lt;&gt;""0"", ""0"" &amp; converted, REGEXREPLA"&amp;"CE(converted , ""\s"", """")) ) ) ) )"),"09122071294")</f>
        <v>09122071294</v>
      </c>
      <c r="E377" s="205" t="s">
        <v>17</v>
      </c>
      <c r="F377" s="206">
        <v>2.0</v>
      </c>
      <c r="G377" s="202"/>
      <c r="H377" s="202" t="s">
        <v>2562</v>
      </c>
      <c r="I377" s="203"/>
      <c r="J377" s="203"/>
      <c r="K377" s="207" t="s">
        <v>758</v>
      </c>
      <c r="L377" s="207" t="s">
        <v>335</v>
      </c>
      <c r="M377" s="202"/>
      <c r="N377" s="207"/>
      <c r="O377" s="207"/>
      <c r="P377" s="202"/>
      <c r="Q377" s="208"/>
      <c r="R377" s="86"/>
      <c r="S377" s="114">
        <f t="shared" ref="S377:T377" si="378">A377</f>
        <v>376</v>
      </c>
      <c r="T377" s="114" t="str">
        <f t="shared" si="378"/>
        <v>سعید حدادی</v>
      </c>
      <c r="U377" s="86" t="str">
        <f t="shared" si="3"/>
        <v>09122071294</v>
      </c>
      <c r="V377" s="86" t="str">
        <f t="shared" si="4"/>
        <v>پیش‌وایی 2</v>
      </c>
      <c r="W377" s="86"/>
      <c r="X377" s="86"/>
    </row>
    <row r="378">
      <c r="A378" s="192">
        <v>377.0</v>
      </c>
      <c r="B378" s="193" t="s">
        <v>2563</v>
      </c>
      <c r="C378" s="194" t="s">
        <v>2564</v>
      </c>
      <c r="D378" s="195" t="str">
        <f>IFERROR(__xludf.DUMMYFUNCTION("ARRAYFORMULA(LET( converted, SUBSTITUTE( SUBSTITUTE( SUBSTITUTE( SUBSTITUTE( SUBSTITUTE( SUBSTITUTE( SUBSTITUTE( SUBSTITUTE( SUBSTITUTE( SUBSTITUTE( C378, ""۰"", ""0""), ""۱"", ""1""), ""۲"", ""2""), ""۳"", ""3""), ""۴"", ""4""), ""۵"", ""5""), ""۶"", ""6"&amp;"""), ""۷"", ""7""), ""۸"", ""8""), ""۹"", ""9""), IF(LEFT(converted,3)=""+98"", ""0"" &amp; RIGHT(converted, LEN(converted)-3), IF(LEFT(converted,2)=""98"", ""0"" &amp; RIGHT(converted, LEN(converted)-2), IF(LEFT(converted,1)&lt;&gt;""0"", ""0"" &amp; converted, REGEXREPLA"&amp;"CE(converted , ""\s"", """")) ) ) ) )"),"09126274623")</f>
        <v>09126274623</v>
      </c>
      <c r="E378" s="196" t="s">
        <v>17</v>
      </c>
      <c r="F378" s="197">
        <v>2.0</v>
      </c>
      <c r="G378" s="193"/>
      <c r="H378" s="193" t="s">
        <v>2565</v>
      </c>
      <c r="I378" s="194"/>
      <c r="J378" s="194" t="s">
        <v>2566</v>
      </c>
      <c r="K378" s="199" t="s">
        <v>2567</v>
      </c>
      <c r="L378" s="199" t="s">
        <v>2568</v>
      </c>
      <c r="M378" s="193"/>
      <c r="N378" s="199"/>
      <c r="O378" s="199"/>
      <c r="P378" s="193"/>
      <c r="Q378" s="200"/>
      <c r="R378" s="86"/>
      <c r="S378" s="114">
        <f t="shared" ref="S378:T378" si="379">A378</f>
        <v>377</v>
      </c>
      <c r="T378" s="114" t="str">
        <f t="shared" si="379"/>
        <v>آتنا غلامی فارسی</v>
      </c>
      <c r="U378" s="86" t="str">
        <f t="shared" si="3"/>
        <v>09126274623</v>
      </c>
      <c r="V378" s="86" t="str">
        <f t="shared" si="4"/>
        <v>پیش‌وایی 2</v>
      </c>
      <c r="W378" s="86"/>
      <c r="X378" s="86"/>
    </row>
    <row r="379">
      <c r="A379" s="201">
        <v>378.0</v>
      </c>
      <c r="B379" s="202" t="s">
        <v>2569</v>
      </c>
      <c r="C379" s="203" t="s">
        <v>2570</v>
      </c>
      <c r="D379" s="204" t="str">
        <f>IFERROR(__xludf.DUMMYFUNCTION("ARRAYFORMULA(LET( converted, SUBSTITUTE( SUBSTITUTE( SUBSTITUTE( SUBSTITUTE( SUBSTITUTE( SUBSTITUTE( SUBSTITUTE( SUBSTITUTE( SUBSTITUTE( SUBSTITUTE( C379, ""۰"", ""0""), ""۱"", ""1""), ""۲"", ""2""), ""۳"", ""3""), ""۴"", ""4""), ""۵"", ""5""), ""۶"", ""6"&amp;"""), ""۷"", ""7""), ""۸"", ""8""), ""۹"", ""9""), IF(LEFT(converted,3)=""+98"", ""0"" &amp; RIGHT(converted, LEN(converted)-3), IF(LEFT(converted,2)=""98"", ""0"" &amp; RIGHT(converted, LEN(converted)-2), IF(LEFT(converted,1)&lt;&gt;""0"", ""0"" &amp; converted, REGEXREPLA"&amp;"CE(converted , ""\s"", """")) ) ) ) )"),"09126931988")</f>
        <v>09126931988</v>
      </c>
      <c r="E379" s="205" t="s">
        <v>17</v>
      </c>
      <c r="F379" s="206">
        <v>2.0</v>
      </c>
      <c r="G379" s="202"/>
      <c r="H379" s="202" t="s">
        <v>2571</v>
      </c>
      <c r="I379" s="203"/>
      <c r="J379" s="203" t="s">
        <v>2572</v>
      </c>
      <c r="K379" s="207" t="s">
        <v>303</v>
      </c>
      <c r="L379" s="207" t="s">
        <v>2573</v>
      </c>
      <c r="M379" s="202"/>
      <c r="N379" s="207"/>
      <c r="O379" s="207"/>
      <c r="P379" s="202"/>
      <c r="Q379" s="208"/>
      <c r="R379" s="86"/>
      <c r="S379" s="114">
        <f t="shared" ref="S379:T379" si="380">A379</f>
        <v>378</v>
      </c>
      <c r="T379" s="114" t="str">
        <f t="shared" si="380"/>
        <v>محمد جعفری</v>
      </c>
      <c r="U379" s="86" t="str">
        <f t="shared" si="3"/>
        <v>09126931988</v>
      </c>
      <c r="V379" s="86" t="str">
        <f t="shared" si="4"/>
        <v>پیش‌وایی 2</v>
      </c>
      <c r="W379" s="86"/>
      <c r="X379" s="86"/>
    </row>
    <row r="380">
      <c r="A380" s="192">
        <v>379.0</v>
      </c>
      <c r="B380" s="193" t="s">
        <v>2574</v>
      </c>
      <c r="C380" s="194" t="s">
        <v>2575</v>
      </c>
      <c r="D380" s="195" t="str">
        <f>IFERROR(__xludf.DUMMYFUNCTION("ARRAYFORMULA(LET( converted, SUBSTITUTE( SUBSTITUTE( SUBSTITUTE( SUBSTITUTE( SUBSTITUTE( SUBSTITUTE( SUBSTITUTE( SUBSTITUTE( SUBSTITUTE( SUBSTITUTE( C380, ""۰"", ""0""), ""۱"", ""1""), ""۲"", ""2""), ""۳"", ""3""), ""۴"", ""4""), ""۵"", ""5""), ""۶"", ""6"&amp;"""), ""۷"", ""7""), ""۸"", ""8""), ""۹"", ""9""), IF(LEFT(converted,3)=""+98"", ""0"" &amp; RIGHT(converted, LEN(converted)-3), IF(LEFT(converted,2)=""98"", ""0"" &amp; RIGHT(converted, LEN(converted)-2), IF(LEFT(converted,1)&lt;&gt;""0"", ""0"" &amp; converted, REGEXREPLA"&amp;"CE(converted , ""\s"", """")) ) ) ) )"),"09131798395")</f>
        <v>09131798395</v>
      </c>
      <c r="E380" s="196" t="s">
        <v>17</v>
      </c>
      <c r="F380" s="197">
        <v>2.0</v>
      </c>
      <c r="G380" s="193"/>
      <c r="H380" s="193" t="s">
        <v>2576</v>
      </c>
      <c r="I380" s="194"/>
      <c r="J380" s="194"/>
      <c r="K380" s="199" t="s">
        <v>303</v>
      </c>
      <c r="L380" s="199" t="s">
        <v>2577</v>
      </c>
      <c r="M380" s="193"/>
      <c r="N380" s="199"/>
      <c r="O380" s="199"/>
      <c r="P380" s="193"/>
      <c r="Q380" s="200"/>
      <c r="R380" s="86"/>
      <c r="S380" s="114">
        <f t="shared" ref="S380:T380" si="381">A380</f>
        <v>379</v>
      </c>
      <c r="T380" s="114" t="str">
        <f t="shared" si="381"/>
        <v>محمد ملکشاهی</v>
      </c>
      <c r="U380" s="86" t="str">
        <f t="shared" si="3"/>
        <v>09131798395</v>
      </c>
      <c r="V380" s="86" t="str">
        <f t="shared" si="4"/>
        <v>پیش‌وایی 2</v>
      </c>
      <c r="W380" s="86"/>
      <c r="X380" s="86"/>
    </row>
    <row r="381">
      <c r="A381" s="201">
        <v>380.0</v>
      </c>
      <c r="B381" s="202" t="s">
        <v>2578</v>
      </c>
      <c r="C381" s="203" t="s">
        <v>2575</v>
      </c>
      <c r="D381" s="204" t="str">
        <f>IFERROR(__xludf.DUMMYFUNCTION("ARRAYFORMULA(LET( converted, SUBSTITUTE( SUBSTITUTE( SUBSTITUTE( SUBSTITUTE( SUBSTITUTE( SUBSTITUTE( SUBSTITUTE( SUBSTITUTE( SUBSTITUTE( SUBSTITUTE( C381, ""۰"", ""0""), ""۱"", ""1""), ""۲"", ""2""), ""۳"", ""3""), ""۴"", ""4""), ""۵"", ""5""), ""۶"", ""6"&amp;"""), ""۷"", ""7""), ""۸"", ""8""), ""۹"", ""9""), IF(LEFT(converted,3)=""+98"", ""0"" &amp; RIGHT(converted, LEN(converted)-3), IF(LEFT(converted,2)=""98"", ""0"" &amp; RIGHT(converted, LEN(converted)-2), IF(LEFT(converted,1)&lt;&gt;""0"", ""0"" &amp; converted, REGEXREPLA"&amp;"CE(converted , ""\s"", """")) ) ) ) )"),"09131798395")</f>
        <v>09131798395</v>
      </c>
      <c r="E381" s="205" t="s">
        <v>17</v>
      </c>
      <c r="F381" s="206">
        <v>2.0</v>
      </c>
      <c r="G381" s="202"/>
      <c r="H381" s="202" t="s">
        <v>2576</v>
      </c>
      <c r="I381" s="203"/>
      <c r="J381" s="203"/>
      <c r="K381" s="207" t="s">
        <v>2579</v>
      </c>
      <c r="L381" s="207" t="s">
        <v>2580</v>
      </c>
      <c r="M381" s="202"/>
      <c r="N381" s="207"/>
      <c r="O381" s="207"/>
      <c r="P381" s="202"/>
      <c r="Q381" s="208"/>
      <c r="R381" s="86"/>
      <c r="S381" s="114">
        <f t="shared" ref="S381:T381" si="382">A381</f>
        <v>380</v>
      </c>
      <c r="T381" s="114" t="str">
        <f t="shared" si="382"/>
        <v>رعنا نظیفی</v>
      </c>
      <c r="U381" s="86" t="str">
        <f t="shared" si="3"/>
        <v>09131798395</v>
      </c>
      <c r="V381" s="86" t="str">
        <f t="shared" si="4"/>
        <v>پیش‌وایی 2</v>
      </c>
      <c r="W381" s="86"/>
      <c r="X381" s="86"/>
    </row>
    <row r="382">
      <c r="A382" s="192">
        <v>381.0</v>
      </c>
      <c r="B382" s="193" t="s">
        <v>2581</v>
      </c>
      <c r="C382" s="194" t="s">
        <v>2582</v>
      </c>
      <c r="D382" s="195" t="str">
        <f>IFERROR(__xludf.DUMMYFUNCTION("ARRAYFORMULA(LET( converted, SUBSTITUTE( SUBSTITUTE( SUBSTITUTE( SUBSTITUTE( SUBSTITUTE( SUBSTITUTE( SUBSTITUTE( SUBSTITUTE( SUBSTITUTE( SUBSTITUTE( C382, ""۰"", ""0""), ""۱"", ""1""), ""۲"", ""2""), ""۳"", ""3""), ""۴"", ""4""), ""۵"", ""5""), ""۶"", ""6"&amp;"""), ""۷"", ""7""), ""۸"", ""8""), ""۹"", ""9""), IF(LEFT(converted,3)=""+98"", ""0"" &amp; RIGHT(converted, LEN(converted)-3), IF(LEFT(converted,2)=""98"", ""0"" &amp; RIGHT(converted, LEN(converted)-2), IF(LEFT(converted,1)&lt;&gt;""0"", ""0"" &amp; converted, REGEXREPLA"&amp;"CE(converted , ""\s"", """")) ) ) ) )"),"09125983840")</f>
        <v>09125983840</v>
      </c>
      <c r="E382" s="196" t="s">
        <v>17</v>
      </c>
      <c r="F382" s="197">
        <v>2.0</v>
      </c>
      <c r="G382" s="193"/>
      <c r="H382" s="193" t="s">
        <v>2583</v>
      </c>
      <c r="I382" s="194"/>
      <c r="J382" s="194" t="s">
        <v>2584</v>
      </c>
      <c r="K382" s="199" t="s">
        <v>2585</v>
      </c>
      <c r="L382" s="199" t="s">
        <v>2586</v>
      </c>
      <c r="M382" s="193"/>
      <c r="N382" s="199"/>
      <c r="O382" s="199"/>
      <c r="P382" s="193"/>
      <c r="Q382" s="200"/>
      <c r="R382" s="86"/>
      <c r="S382" s="114">
        <f t="shared" ref="S382:T382" si="383">A382</f>
        <v>381</v>
      </c>
      <c r="T382" s="114" t="str">
        <f t="shared" si="383"/>
        <v>سید علی هاشمی فشارکی</v>
      </c>
      <c r="U382" s="86" t="str">
        <f t="shared" si="3"/>
        <v>09125983840</v>
      </c>
      <c r="V382" s="86" t="str">
        <f t="shared" si="4"/>
        <v>پیش‌وایی 2</v>
      </c>
      <c r="W382" s="86"/>
      <c r="X382" s="86"/>
    </row>
    <row r="383">
      <c r="A383" s="201">
        <v>382.0</v>
      </c>
      <c r="B383" s="202" t="s">
        <v>2587</v>
      </c>
      <c r="C383" s="203" t="s">
        <v>2588</v>
      </c>
      <c r="D383" s="204" t="str">
        <f>IFERROR(__xludf.DUMMYFUNCTION("ARRAYFORMULA(LET( converted, SUBSTITUTE( SUBSTITUTE( SUBSTITUTE( SUBSTITUTE( SUBSTITUTE( SUBSTITUTE( SUBSTITUTE( SUBSTITUTE( SUBSTITUTE( SUBSTITUTE( C383, ""۰"", ""0""), ""۱"", ""1""), ""۲"", ""2""), ""۳"", ""3""), ""۴"", ""4""), ""۵"", ""5""), ""۶"", ""6"&amp;"""), ""۷"", ""7""), ""۸"", ""8""), ""۹"", ""9""), IF(LEFT(converted,3)=""+98"", ""0"" &amp; RIGHT(converted, LEN(converted)-3), IF(LEFT(converted,2)=""98"", ""0"" &amp; RIGHT(converted, LEN(converted)-2), IF(LEFT(converted,1)&lt;&gt;""0"", ""0"" &amp; converted, REGEXREPLA"&amp;"CE(converted , ""\s"", """")) ) ) ) )"),"09123206425")</f>
        <v>09123206425</v>
      </c>
      <c r="E383" s="205" t="s">
        <v>17</v>
      </c>
      <c r="F383" s="206">
        <v>2.0</v>
      </c>
      <c r="G383" s="202"/>
      <c r="H383" s="202" t="s">
        <v>2589</v>
      </c>
      <c r="I383" s="203"/>
      <c r="J383" s="203"/>
      <c r="K383" s="207" t="s">
        <v>2590</v>
      </c>
      <c r="L383" s="207" t="s">
        <v>2591</v>
      </c>
      <c r="M383" s="202"/>
      <c r="N383" s="207"/>
      <c r="O383" s="207"/>
      <c r="P383" s="202"/>
      <c r="Q383" s="208"/>
      <c r="R383" s="86"/>
      <c r="S383" s="114">
        <f t="shared" ref="S383:T383" si="384">A383</f>
        <v>382</v>
      </c>
      <c r="T383" s="114" t="str">
        <f t="shared" si="384"/>
        <v>مسیح مقدم</v>
      </c>
      <c r="U383" s="86" t="str">
        <f t="shared" si="3"/>
        <v>09123206425</v>
      </c>
      <c r="V383" s="86" t="str">
        <f t="shared" si="4"/>
        <v>پیش‌وایی 2</v>
      </c>
      <c r="W383" s="86"/>
      <c r="X383" s="86"/>
    </row>
    <row r="384">
      <c r="A384" s="192">
        <v>383.0</v>
      </c>
      <c r="B384" s="193" t="s">
        <v>2592</v>
      </c>
      <c r="C384" s="194" t="s">
        <v>1471</v>
      </c>
      <c r="D384" s="195" t="str">
        <f>IFERROR(__xludf.DUMMYFUNCTION("ARRAYFORMULA(LET( converted, SUBSTITUTE( SUBSTITUTE( SUBSTITUTE( SUBSTITUTE( SUBSTITUTE( SUBSTITUTE( SUBSTITUTE( SUBSTITUTE( SUBSTITUTE( SUBSTITUTE( C384, ""۰"", ""0""), ""۱"", ""1""), ""۲"", ""2""), ""۳"", ""3""), ""۴"", ""4""), ""۵"", ""5""), ""۶"", ""6"&amp;"""), ""۷"", ""7""), ""۸"", ""8""), ""۹"", ""9""), IF(LEFT(converted,3)=""+98"", ""0"" &amp; RIGHT(converted, LEN(converted)-3), IF(LEFT(converted,2)=""98"", ""0"" &amp; RIGHT(converted, LEN(converted)-2), IF(LEFT(converted,1)&lt;&gt;""0"", ""0"" &amp; converted, REGEXREPLA"&amp;"CE(converted , ""\s"", """")) ) ) ) )"),"09355408007")</f>
        <v>09355408007</v>
      </c>
      <c r="E384" s="196" t="s">
        <v>17</v>
      </c>
      <c r="F384" s="197">
        <v>2.0</v>
      </c>
      <c r="G384" s="193"/>
      <c r="H384" s="193" t="s">
        <v>2593</v>
      </c>
      <c r="I384" s="194"/>
      <c r="J384" s="194"/>
      <c r="K384" s="199" t="s">
        <v>1473</v>
      </c>
      <c r="L384" s="199" t="s">
        <v>2594</v>
      </c>
      <c r="M384" s="193"/>
      <c r="N384" s="199"/>
      <c r="O384" s="199"/>
      <c r="P384" s="193"/>
      <c r="Q384" s="200"/>
      <c r="R384" s="86"/>
      <c r="S384" s="114">
        <f t="shared" ref="S384:T384" si="385">A384</f>
        <v>383</v>
      </c>
      <c r="T384" s="114" t="str">
        <f t="shared" si="385"/>
        <v>مصطفی حصامی</v>
      </c>
      <c r="U384" s="86" t="str">
        <f t="shared" si="3"/>
        <v>09355408007</v>
      </c>
      <c r="V384" s="86" t="str">
        <f t="shared" si="4"/>
        <v>پیش‌وایی 2</v>
      </c>
      <c r="W384" s="86"/>
      <c r="X384" s="86"/>
    </row>
    <row r="385">
      <c r="A385" s="201">
        <v>384.0</v>
      </c>
      <c r="B385" s="202" t="s">
        <v>2595</v>
      </c>
      <c r="C385" s="203" t="s">
        <v>2596</v>
      </c>
      <c r="D385" s="204" t="str">
        <f>IFERROR(__xludf.DUMMYFUNCTION("ARRAYFORMULA(LET( converted, SUBSTITUTE( SUBSTITUTE( SUBSTITUTE( SUBSTITUTE( SUBSTITUTE( SUBSTITUTE( SUBSTITUTE( SUBSTITUTE( SUBSTITUTE( SUBSTITUTE( C385, ""۰"", ""0""), ""۱"", ""1""), ""۲"", ""2""), ""۳"", ""3""), ""۴"", ""4""), ""۵"", ""5""), ""۶"", ""6"&amp;"""), ""۷"", ""7""), ""۸"", ""8""), ""۹"", ""9""), IF(LEFT(converted,3)=""+98"", ""0"" &amp; RIGHT(converted, LEN(converted)-3), IF(LEFT(converted,2)=""98"", ""0"" &amp; RIGHT(converted, LEN(converted)-2), IF(LEFT(converted,1)&lt;&gt;""0"", ""0"" &amp; converted, REGEXREPLA"&amp;"CE(converted , ""\s"", """")) ) ) ) )"),"09361549229")</f>
        <v>09361549229</v>
      </c>
      <c r="E385" s="205" t="s">
        <v>17</v>
      </c>
      <c r="F385" s="206">
        <v>2.0</v>
      </c>
      <c r="G385" s="202"/>
      <c r="H385" s="202" t="s">
        <v>2597</v>
      </c>
      <c r="I385" s="203"/>
      <c r="J385" s="203"/>
      <c r="K385" s="207" t="s">
        <v>1071</v>
      </c>
      <c r="L385" s="207" t="s">
        <v>2598</v>
      </c>
      <c r="M385" s="202"/>
      <c r="N385" s="207"/>
      <c r="O385" s="207"/>
      <c r="P385" s="202"/>
      <c r="Q385" s="208"/>
      <c r="R385" s="86"/>
      <c r="S385" s="114">
        <f t="shared" ref="S385:T385" si="386">A385</f>
        <v>384</v>
      </c>
      <c r="T385" s="114" t="str">
        <f t="shared" si="386"/>
        <v>سحر المعی</v>
      </c>
      <c r="U385" s="86" t="str">
        <f t="shared" si="3"/>
        <v>09361549229</v>
      </c>
      <c r="V385" s="86" t="str">
        <f t="shared" si="4"/>
        <v>پیش‌وایی 2</v>
      </c>
      <c r="W385" s="86"/>
      <c r="X385" s="86"/>
    </row>
    <row r="386">
      <c r="A386" s="192">
        <v>385.0</v>
      </c>
      <c r="B386" s="193" t="s">
        <v>2599</v>
      </c>
      <c r="C386" s="194" t="s">
        <v>2600</v>
      </c>
      <c r="D386" s="195" t="str">
        <f>IFERROR(__xludf.DUMMYFUNCTION("ARRAYFORMULA(LET( converted, SUBSTITUTE( SUBSTITUTE( SUBSTITUTE( SUBSTITUTE( SUBSTITUTE( SUBSTITUTE( SUBSTITUTE( SUBSTITUTE( SUBSTITUTE( SUBSTITUTE( C386, ""۰"", ""0""), ""۱"", ""1""), ""۲"", ""2""), ""۳"", ""3""), ""۴"", ""4""), ""۵"", ""5""), ""۶"", ""6"&amp;"""), ""۷"", ""7""), ""۸"", ""8""), ""۹"", ""9""), IF(LEFT(converted,3)=""+98"", ""0"" &amp; RIGHT(converted, LEN(converted)-3), IF(LEFT(converted,2)=""98"", ""0"" &amp; RIGHT(converted, LEN(converted)-2), IF(LEFT(converted,1)&lt;&gt;""0"", ""0"" &amp; converted, REGEXREPLA"&amp;"CE(converted , ""\s"", """")) ) ) ) )"),"09193350810")</f>
        <v>09193350810</v>
      </c>
      <c r="E386" s="196" t="s">
        <v>17</v>
      </c>
      <c r="F386" s="197">
        <v>2.0</v>
      </c>
      <c r="G386" s="193"/>
      <c r="H386" s="193" t="s">
        <v>2601</v>
      </c>
      <c r="I386" s="194"/>
      <c r="J386" s="194" t="s">
        <v>2602</v>
      </c>
      <c r="K386" s="199" t="s">
        <v>2603</v>
      </c>
      <c r="L386" s="199" t="s">
        <v>2604</v>
      </c>
      <c r="M386" s="193"/>
      <c r="N386" s="199"/>
      <c r="O386" s="199"/>
      <c r="P386" s="193"/>
      <c r="Q386" s="200"/>
      <c r="R386" s="86"/>
      <c r="S386" s="114">
        <f t="shared" ref="S386:T386" si="387">A386</f>
        <v>385</v>
      </c>
      <c r="T386" s="114" t="str">
        <f t="shared" si="387"/>
        <v>ناصر صفری نیا</v>
      </c>
      <c r="U386" s="86" t="str">
        <f t="shared" si="3"/>
        <v>09193350810</v>
      </c>
      <c r="V386" s="86" t="str">
        <f t="shared" si="4"/>
        <v>پیش‌وایی 2</v>
      </c>
      <c r="W386" s="86"/>
      <c r="X386" s="86"/>
    </row>
    <row r="387">
      <c r="A387" s="201">
        <v>386.0</v>
      </c>
      <c r="B387" s="202" t="s">
        <v>2605</v>
      </c>
      <c r="C387" s="203"/>
      <c r="D387" s="204" t="str">
        <f>IFERROR(__xludf.DUMMYFUNCTION("ARRAYFORMULA(LET( converted, SUBSTITUTE( SUBSTITUTE( SUBSTITUTE( SUBSTITUTE( SUBSTITUTE( SUBSTITUTE( SUBSTITUTE( SUBSTITUTE( SUBSTITUTE( SUBSTITUTE( C387, ""۰"", ""0""), ""۱"", ""1""), ""۲"", ""2""), ""۳"", ""3""), ""۴"", ""4""), ""۵"", ""5""), ""۶"", ""6"&amp;"""), ""۷"", ""7""), ""۸"", ""8""), ""۹"", ""9""), IF(LEFT(converted,3)=""+98"", ""0"" &amp; RIGHT(converted, LEN(converted)-3), IF(LEFT(converted,2)=""98"", ""0"" &amp; RIGHT(converted, LEN(converted)-2), IF(LEFT(converted,1)&lt;&gt;""0"", ""0"" &amp; converted, REGEXREPLA"&amp;"CE(converted , ""\s"", """")) ) ) ) )"),"0")</f>
        <v>0</v>
      </c>
      <c r="E387" s="205" t="s">
        <v>17</v>
      </c>
      <c r="F387" s="206">
        <v>2.0</v>
      </c>
      <c r="G387" s="202"/>
      <c r="H387" s="202"/>
      <c r="I387" s="203"/>
      <c r="J387" s="203"/>
      <c r="K387" s="207" t="s">
        <v>274</v>
      </c>
      <c r="L387" s="207" t="s">
        <v>2606</v>
      </c>
      <c r="M387" s="202"/>
      <c r="N387" s="207"/>
      <c r="O387" s="207"/>
      <c r="P387" s="202"/>
      <c r="Q387" s="208"/>
      <c r="R387" s="86"/>
      <c r="S387" s="114">
        <f t="shared" ref="S387:T387" si="388">A387</f>
        <v>386</v>
      </c>
      <c r="T387" s="114" t="str">
        <f t="shared" si="388"/>
        <v>فاطمه منصوری</v>
      </c>
      <c r="U387" s="86" t="str">
        <f t="shared" si="3"/>
        <v>0</v>
      </c>
      <c r="V387" s="86" t="str">
        <f t="shared" si="4"/>
        <v>پیش‌وایی 2</v>
      </c>
      <c r="W387" s="86"/>
      <c r="X387" s="86"/>
    </row>
    <row r="388">
      <c r="A388" s="192">
        <v>387.0</v>
      </c>
      <c r="B388" s="193" t="s">
        <v>2607</v>
      </c>
      <c r="C388" s="194"/>
      <c r="D388" s="195" t="str">
        <f>IFERROR(__xludf.DUMMYFUNCTION("ARRAYFORMULA(LET( converted, SUBSTITUTE( SUBSTITUTE( SUBSTITUTE( SUBSTITUTE( SUBSTITUTE( SUBSTITUTE( SUBSTITUTE( SUBSTITUTE( SUBSTITUTE( SUBSTITUTE( C388, ""۰"", ""0""), ""۱"", ""1""), ""۲"", ""2""), ""۳"", ""3""), ""۴"", ""4""), ""۵"", ""5""), ""۶"", ""6"&amp;"""), ""۷"", ""7""), ""۸"", ""8""), ""۹"", ""9""), IF(LEFT(converted,3)=""+98"", ""0"" &amp; RIGHT(converted, LEN(converted)-3), IF(LEFT(converted,2)=""98"", ""0"" &amp; RIGHT(converted, LEN(converted)-2), IF(LEFT(converted,1)&lt;&gt;""0"", ""0"" &amp; converted, REGEXREPLA"&amp;"CE(converted , ""\s"", """")) ) ) ) )"),"0")</f>
        <v>0</v>
      </c>
      <c r="E388" s="196" t="s">
        <v>17</v>
      </c>
      <c r="F388" s="197">
        <v>2.0</v>
      </c>
      <c r="G388" s="193"/>
      <c r="H388" s="193" t="s">
        <v>1920</v>
      </c>
      <c r="I388" s="194"/>
      <c r="J388" s="194"/>
      <c r="K388" s="199" t="s">
        <v>2608</v>
      </c>
      <c r="L388" s="199" t="s">
        <v>2604</v>
      </c>
      <c r="M388" s="193"/>
      <c r="N388" s="199"/>
      <c r="O388" s="199"/>
      <c r="P388" s="193"/>
      <c r="Q388" s="200"/>
      <c r="R388" s="86"/>
      <c r="S388" s="114">
        <f t="shared" ref="S388:T388" si="389">A388</f>
        <v>387</v>
      </c>
      <c r="T388" s="114" t="str">
        <f t="shared" si="389"/>
        <v>طهورا صفری نیا</v>
      </c>
      <c r="U388" s="86" t="str">
        <f t="shared" si="3"/>
        <v>0</v>
      </c>
      <c r="V388" s="86" t="str">
        <f t="shared" si="4"/>
        <v>پیش‌وایی 2</v>
      </c>
      <c r="W388" s="86"/>
      <c r="X388" s="86"/>
    </row>
    <row r="389">
      <c r="A389" s="201">
        <v>388.0</v>
      </c>
      <c r="B389" s="202" t="s">
        <v>2609</v>
      </c>
      <c r="C389" s="203"/>
      <c r="D389" s="204" t="str">
        <f>IFERROR(__xludf.DUMMYFUNCTION("ARRAYFORMULA(LET( converted, SUBSTITUTE( SUBSTITUTE( SUBSTITUTE( SUBSTITUTE( SUBSTITUTE( SUBSTITUTE( SUBSTITUTE( SUBSTITUTE( SUBSTITUTE( SUBSTITUTE( C389, ""۰"", ""0""), ""۱"", ""1""), ""۲"", ""2""), ""۳"", ""3""), ""۴"", ""4""), ""۵"", ""5""), ""۶"", ""6"&amp;"""), ""۷"", ""7""), ""۸"", ""8""), ""۹"", ""9""), IF(LEFT(converted,3)=""+98"", ""0"" &amp; RIGHT(converted, LEN(converted)-3), IF(LEFT(converted,2)=""98"", ""0"" &amp; RIGHT(converted, LEN(converted)-2), IF(LEFT(converted,1)&lt;&gt;""0"", ""0"" &amp; converted, REGEXREPLA"&amp;"CE(converted , ""\s"", """")) ) ) ) )"),"0")</f>
        <v>0</v>
      </c>
      <c r="E389" s="205" t="s">
        <v>17</v>
      </c>
      <c r="F389" s="206">
        <v>2.0</v>
      </c>
      <c r="G389" s="202"/>
      <c r="H389" s="202" t="s">
        <v>1920</v>
      </c>
      <c r="I389" s="203"/>
      <c r="J389" s="203"/>
      <c r="K389" s="207" t="s">
        <v>2610</v>
      </c>
      <c r="L389" s="207" t="s">
        <v>2604</v>
      </c>
      <c r="M389" s="202"/>
      <c r="N389" s="207"/>
      <c r="O389" s="207"/>
      <c r="P389" s="202"/>
      <c r="Q389" s="208"/>
      <c r="R389" s="86"/>
      <c r="S389" s="114">
        <f t="shared" ref="S389:T389" si="390">A389</f>
        <v>388</v>
      </c>
      <c r="T389" s="114" t="str">
        <f t="shared" si="390"/>
        <v>نورا صفری نیا</v>
      </c>
      <c r="U389" s="86" t="str">
        <f t="shared" si="3"/>
        <v>0</v>
      </c>
      <c r="V389" s="86" t="str">
        <f t="shared" si="4"/>
        <v>پیش‌وایی 2</v>
      </c>
      <c r="W389" s="86"/>
      <c r="X389" s="86"/>
    </row>
    <row r="390">
      <c r="A390" s="192">
        <v>389.0</v>
      </c>
      <c r="B390" s="193" t="s">
        <v>972</v>
      </c>
      <c r="C390" s="194" t="s">
        <v>973</v>
      </c>
      <c r="D390" s="195" t="str">
        <f>IFERROR(__xludf.DUMMYFUNCTION("ARRAYFORMULA(LET( converted, SUBSTITUTE( SUBSTITUTE( SUBSTITUTE( SUBSTITUTE( SUBSTITUTE( SUBSTITUTE( SUBSTITUTE( SUBSTITUTE( SUBSTITUTE( SUBSTITUTE( C390, ""۰"", ""0""), ""۱"", ""1""), ""۲"", ""2""), ""۳"", ""3""), ""۴"", ""4""), ""۵"", ""5""), ""۶"", ""6"&amp;"""), ""۷"", ""7""), ""۸"", ""8""), ""۹"", ""9""), IF(LEFT(converted,3)=""+98"", ""0"" &amp; RIGHT(converted, LEN(converted)-3), IF(LEFT(converted,2)=""98"", ""0"" &amp; RIGHT(converted, LEN(converted)-2), IF(LEFT(converted,1)&lt;&gt;""0"", ""0"" &amp; converted, REGEXREPLA"&amp;"CE(converted , ""\s"", """")) ) ) ) )"),"09125063294")</f>
        <v>09125063294</v>
      </c>
      <c r="E390" s="196" t="s">
        <v>17</v>
      </c>
      <c r="F390" s="197">
        <v>2.0</v>
      </c>
      <c r="G390" s="193"/>
      <c r="H390" s="193" t="s">
        <v>974</v>
      </c>
      <c r="I390" s="194"/>
      <c r="J390" s="194" t="s">
        <v>975</v>
      </c>
      <c r="K390" s="199" t="s">
        <v>292</v>
      </c>
      <c r="L390" s="199" t="s">
        <v>976</v>
      </c>
      <c r="M390" s="193"/>
      <c r="N390" s="199"/>
      <c r="O390" s="199"/>
      <c r="P390" s="193"/>
      <c r="Q390" s="200"/>
      <c r="R390" s="86"/>
      <c r="S390" s="114">
        <f t="shared" ref="S390:T390" si="391">A390</f>
        <v>389</v>
      </c>
      <c r="T390" s="114" t="str">
        <f t="shared" si="391"/>
        <v>مریم عبدپور</v>
      </c>
      <c r="U390" s="86" t="str">
        <f t="shared" si="3"/>
        <v>09125063294</v>
      </c>
      <c r="V390" s="86" t="str">
        <f t="shared" si="4"/>
        <v>پیش‌وایی 2</v>
      </c>
      <c r="W390" s="86"/>
      <c r="X390" s="86"/>
    </row>
    <row r="391">
      <c r="A391" s="201">
        <v>390.0</v>
      </c>
      <c r="B391" s="202" t="s">
        <v>2611</v>
      </c>
      <c r="C391" s="203" t="s">
        <v>2612</v>
      </c>
      <c r="D391" s="204" t="str">
        <f>IFERROR(__xludf.DUMMYFUNCTION("ARRAYFORMULA(LET( converted, SUBSTITUTE( SUBSTITUTE( SUBSTITUTE( SUBSTITUTE( SUBSTITUTE( SUBSTITUTE( SUBSTITUTE( SUBSTITUTE( SUBSTITUTE( SUBSTITUTE( C391, ""۰"", ""0""), ""۱"", ""1""), ""۲"", ""2""), ""۳"", ""3""), ""۴"", ""4""), ""۵"", ""5""), ""۶"", ""6"&amp;"""), ""۷"", ""7""), ""۸"", ""8""), ""۹"", ""9""), IF(LEFT(converted,3)=""+98"", ""0"" &amp; RIGHT(converted, LEN(converted)-3), IF(LEFT(converted,2)=""98"", ""0"" &amp; RIGHT(converted, LEN(converted)-2), IF(LEFT(converted,1)&lt;&gt;""0"", ""0"" &amp; converted, REGEXREPLA"&amp;"CE(converted , ""\s"", """")) ) ) ) )"),"09198942822")</f>
        <v>09198942822</v>
      </c>
      <c r="E391" s="205" t="s">
        <v>17</v>
      </c>
      <c r="F391" s="206">
        <v>2.0</v>
      </c>
      <c r="G391" s="202"/>
      <c r="H391" s="202" t="s">
        <v>2613</v>
      </c>
      <c r="I391" s="203"/>
      <c r="J391" s="203" t="s">
        <v>2614</v>
      </c>
      <c r="K391" s="207" t="s">
        <v>292</v>
      </c>
      <c r="L391" s="207" t="s">
        <v>1743</v>
      </c>
      <c r="M391" s="202"/>
      <c r="N391" s="207"/>
      <c r="O391" s="207"/>
      <c r="P391" s="202"/>
      <c r="Q391" s="208"/>
      <c r="R391" s="86"/>
      <c r="S391" s="114">
        <f t="shared" ref="S391:T391" si="392">A391</f>
        <v>390</v>
      </c>
      <c r="T391" s="114" t="str">
        <f t="shared" si="392"/>
        <v>مریم نظری</v>
      </c>
      <c r="U391" s="86" t="str">
        <f t="shared" si="3"/>
        <v>09198942822</v>
      </c>
      <c r="V391" s="86" t="str">
        <f t="shared" si="4"/>
        <v>پیش‌وایی 2</v>
      </c>
      <c r="W391" s="86"/>
      <c r="X391" s="86"/>
    </row>
    <row r="392">
      <c r="A392" s="192">
        <v>391.0</v>
      </c>
      <c r="B392" s="193" t="s">
        <v>2615</v>
      </c>
      <c r="C392" s="194" t="s">
        <v>2616</v>
      </c>
      <c r="D392" s="195" t="str">
        <f>IFERROR(__xludf.DUMMYFUNCTION("ARRAYFORMULA(LET( converted, SUBSTITUTE( SUBSTITUTE( SUBSTITUTE( SUBSTITUTE( SUBSTITUTE( SUBSTITUTE( SUBSTITUTE( SUBSTITUTE( SUBSTITUTE( SUBSTITUTE( C392, ""۰"", ""0""), ""۱"", ""1""), ""۲"", ""2""), ""۳"", ""3""), ""۴"", ""4""), ""۵"", ""5""), ""۶"", ""6"&amp;"""), ""۷"", ""7""), ""۸"", ""8""), ""۹"", ""9""), IF(LEFT(converted,3)=""+98"", ""0"" &amp; RIGHT(converted, LEN(converted)-3), IF(LEFT(converted,2)=""98"", ""0"" &amp; RIGHT(converted, LEN(converted)-2), IF(LEFT(converted,1)&lt;&gt;""0"", ""0"" &amp; converted, REGEXREPLA"&amp;"CE(converted , ""\s"", """")) ) ) ) )"),"09124351938")</f>
        <v>09124351938</v>
      </c>
      <c r="E392" s="196" t="s">
        <v>17</v>
      </c>
      <c r="F392" s="197">
        <v>2.0</v>
      </c>
      <c r="G392" s="193"/>
      <c r="H392" s="193" t="s">
        <v>2617</v>
      </c>
      <c r="I392" s="194"/>
      <c r="J392" s="194"/>
      <c r="K392" s="199" t="s">
        <v>303</v>
      </c>
      <c r="L392" s="199" t="s">
        <v>2618</v>
      </c>
      <c r="M392" s="193"/>
      <c r="N392" s="199"/>
      <c r="O392" s="199"/>
      <c r="P392" s="193"/>
      <c r="Q392" s="200"/>
      <c r="R392" s="86"/>
      <c r="S392" s="114">
        <f t="shared" ref="S392:T392" si="393">A392</f>
        <v>391</v>
      </c>
      <c r="T392" s="114" t="str">
        <f t="shared" si="393"/>
        <v>محمد اژدری</v>
      </c>
      <c r="U392" s="86" t="str">
        <f t="shared" si="3"/>
        <v>09124351938</v>
      </c>
      <c r="V392" s="86" t="str">
        <f t="shared" si="4"/>
        <v>پیش‌وایی 2</v>
      </c>
      <c r="W392" s="86"/>
      <c r="X392" s="86"/>
    </row>
    <row r="393">
      <c r="A393" s="201">
        <v>392.0</v>
      </c>
      <c r="B393" s="202" t="s">
        <v>2619</v>
      </c>
      <c r="C393" s="203" t="s">
        <v>2620</v>
      </c>
      <c r="D393" s="204" t="str">
        <f>IFERROR(__xludf.DUMMYFUNCTION("ARRAYFORMULA(LET( converted, SUBSTITUTE( SUBSTITUTE( SUBSTITUTE( SUBSTITUTE( SUBSTITUTE( SUBSTITUTE( SUBSTITUTE( SUBSTITUTE( SUBSTITUTE( SUBSTITUTE( C393, ""۰"", ""0""), ""۱"", ""1""), ""۲"", ""2""), ""۳"", ""3""), ""۴"", ""4""), ""۵"", ""5""), ""۶"", ""6"&amp;"""), ""۷"", ""7""), ""۸"", ""8""), ""۹"", ""9""), IF(LEFT(converted,3)=""+98"", ""0"" &amp; RIGHT(converted, LEN(converted)-3), IF(LEFT(converted,2)=""98"", ""0"" &amp; RIGHT(converted, LEN(converted)-2), IF(LEFT(converted,1)&lt;&gt;""0"", ""0"" &amp; converted, REGEXREPLA"&amp;"CE(converted , ""\s"", """")) ) ) ) )"),"09195300603")</f>
        <v>09195300603</v>
      </c>
      <c r="E393" s="205" t="s">
        <v>17</v>
      </c>
      <c r="F393" s="206">
        <v>2.0</v>
      </c>
      <c r="G393" s="202"/>
      <c r="H393" s="202" t="s">
        <v>2621</v>
      </c>
      <c r="I393" s="203"/>
      <c r="J393" s="203" t="s">
        <v>2622</v>
      </c>
      <c r="K393" s="207" t="s">
        <v>2623</v>
      </c>
      <c r="L393" s="207" t="s">
        <v>2624</v>
      </c>
      <c r="M393" s="202"/>
      <c r="N393" s="207"/>
      <c r="O393" s="207"/>
      <c r="P393" s="202"/>
      <c r="Q393" s="208"/>
      <c r="R393" s="86"/>
      <c r="S393" s="114">
        <f t="shared" ref="S393:T393" si="394">A393</f>
        <v>392</v>
      </c>
      <c r="T393" s="114" t="str">
        <f t="shared" si="394"/>
        <v>پریا قاسمی</v>
      </c>
      <c r="U393" s="86" t="str">
        <f t="shared" si="3"/>
        <v>09195300603</v>
      </c>
      <c r="V393" s="86" t="str">
        <f t="shared" si="4"/>
        <v>پیش‌وایی 2</v>
      </c>
      <c r="W393" s="86"/>
      <c r="X393" s="86"/>
    </row>
    <row r="394">
      <c r="A394" s="192">
        <v>393.0</v>
      </c>
      <c r="B394" s="193" t="s">
        <v>2625</v>
      </c>
      <c r="C394" s="194" t="s">
        <v>2626</v>
      </c>
      <c r="D394" s="195" t="str">
        <f>IFERROR(__xludf.DUMMYFUNCTION("ARRAYFORMULA(LET( converted, SUBSTITUTE( SUBSTITUTE( SUBSTITUTE( SUBSTITUTE( SUBSTITUTE( SUBSTITUTE( SUBSTITUTE( SUBSTITUTE( SUBSTITUTE( SUBSTITUTE( C394, ""۰"", ""0""), ""۱"", ""1""), ""۲"", ""2""), ""۳"", ""3""), ""۴"", ""4""), ""۵"", ""5""), ""۶"", ""6"&amp;"""), ""۷"", ""7""), ""۸"", ""8""), ""۹"", ""9""), IF(LEFT(converted,3)=""+98"", ""0"" &amp; RIGHT(converted, LEN(converted)-3), IF(LEFT(converted,2)=""98"", ""0"" &amp; RIGHT(converted, LEN(converted)-2), IF(LEFT(converted,1)&lt;&gt;""0"", ""0"" &amp; converted, REGEXREPLA"&amp;"CE(converted , ""\s"", """")) ) ) ) )"),"09125228467")</f>
        <v>09125228467</v>
      </c>
      <c r="E394" s="196" t="s">
        <v>17</v>
      </c>
      <c r="F394" s="197">
        <v>2.0</v>
      </c>
      <c r="G394" s="193"/>
      <c r="H394" s="193" t="s">
        <v>2627</v>
      </c>
      <c r="I394" s="194"/>
      <c r="J394" s="194" t="s">
        <v>2628</v>
      </c>
      <c r="K394" s="199" t="s">
        <v>2044</v>
      </c>
      <c r="L394" s="199" t="s">
        <v>2629</v>
      </c>
      <c r="M394" s="193"/>
      <c r="N394" s="199"/>
      <c r="O394" s="199"/>
      <c r="P394" s="193"/>
      <c r="Q394" s="200"/>
      <c r="R394" s="86"/>
      <c r="S394" s="114">
        <f t="shared" ref="S394:T394" si="395">A394</f>
        <v>393</v>
      </c>
      <c r="T394" s="114" t="str">
        <f t="shared" si="395"/>
        <v>نسرین معین</v>
      </c>
      <c r="U394" s="86" t="str">
        <f t="shared" si="3"/>
        <v>09125228467</v>
      </c>
      <c r="V394" s="86" t="str">
        <f t="shared" si="4"/>
        <v>پیش‌وایی 2</v>
      </c>
      <c r="W394" s="86"/>
      <c r="X394" s="86"/>
    </row>
    <row r="395">
      <c r="A395" s="201">
        <v>394.0</v>
      </c>
      <c r="B395" s="202" t="s">
        <v>2630</v>
      </c>
      <c r="C395" s="203" t="s">
        <v>2552</v>
      </c>
      <c r="D395" s="204" t="str">
        <f>IFERROR(__xludf.DUMMYFUNCTION("ARRAYFORMULA(LET( converted, SUBSTITUTE( SUBSTITUTE( SUBSTITUTE( SUBSTITUTE( SUBSTITUTE( SUBSTITUTE( SUBSTITUTE( SUBSTITUTE( SUBSTITUTE( SUBSTITUTE( C395, ""۰"", ""0""), ""۱"", ""1""), ""۲"", ""2""), ""۳"", ""3""), ""۴"", ""4""), ""۵"", ""5""), ""۶"", ""6"&amp;"""), ""۷"", ""7""), ""۸"", ""8""), ""۹"", ""9""), IF(LEFT(converted,3)=""+98"", ""0"" &amp; RIGHT(converted, LEN(converted)-3), IF(LEFT(converted,2)=""98"", ""0"" &amp; RIGHT(converted, LEN(converted)-2), IF(LEFT(converted,1)&lt;&gt;""0"", ""0"" &amp; converted, REGEXREPLA"&amp;"CE(converted , ""\s"", """")) ) ) ) )"),"09121155875")</f>
        <v>09121155875</v>
      </c>
      <c r="E395" s="205" t="s">
        <v>17</v>
      </c>
      <c r="F395" s="206">
        <v>2.0</v>
      </c>
      <c r="G395" s="202"/>
      <c r="H395" s="202" t="s">
        <v>2553</v>
      </c>
      <c r="I395" s="203"/>
      <c r="J395" s="203"/>
      <c r="K395" s="207" t="s">
        <v>303</v>
      </c>
      <c r="L395" s="207" t="s">
        <v>2631</v>
      </c>
      <c r="M395" s="202"/>
      <c r="N395" s="207"/>
      <c r="O395" s="207"/>
      <c r="P395" s="202"/>
      <c r="Q395" s="208"/>
      <c r="R395" s="86"/>
      <c r="S395" s="114">
        <f t="shared" ref="S395:T395" si="396">A395</f>
        <v>394</v>
      </c>
      <c r="T395" s="114" t="str">
        <f t="shared" si="396"/>
        <v>محمد سبحانی</v>
      </c>
      <c r="U395" s="86" t="str">
        <f t="shared" si="3"/>
        <v>09121155875</v>
      </c>
      <c r="V395" s="86" t="str">
        <f t="shared" si="4"/>
        <v>پیش‌وایی 2</v>
      </c>
      <c r="W395" s="86"/>
      <c r="X395" s="86"/>
    </row>
    <row r="396">
      <c r="A396" s="192">
        <v>395.0</v>
      </c>
      <c r="B396" s="193" t="s">
        <v>2632</v>
      </c>
      <c r="C396" s="194" t="s">
        <v>2633</v>
      </c>
      <c r="D396" s="195" t="str">
        <f>IFERROR(__xludf.DUMMYFUNCTION("ARRAYFORMULA(LET( converted, SUBSTITUTE( SUBSTITUTE( SUBSTITUTE( SUBSTITUTE( SUBSTITUTE( SUBSTITUTE( SUBSTITUTE( SUBSTITUTE( SUBSTITUTE( SUBSTITUTE( C396, ""۰"", ""0""), ""۱"", ""1""), ""۲"", ""2""), ""۳"", ""3""), ""۴"", ""4""), ""۵"", ""5""), ""۶"", ""6"&amp;"""), ""۷"", ""7""), ""۸"", ""8""), ""۹"", ""9""), IF(LEFT(converted,3)=""+98"", ""0"" &amp; RIGHT(converted, LEN(converted)-3), IF(LEFT(converted,2)=""98"", ""0"" &amp; RIGHT(converted, LEN(converted)-2), IF(LEFT(converted,1)&lt;&gt;""0"", ""0"" &amp; converted, REGEXREPLA"&amp;"CE(converted , ""\s"", """")) ) ) ) )"),"09121576410")</f>
        <v>09121576410</v>
      </c>
      <c r="E396" s="196" t="s">
        <v>17</v>
      </c>
      <c r="F396" s="197">
        <v>2.0</v>
      </c>
      <c r="G396" s="193"/>
      <c r="H396" s="193" t="s">
        <v>2634</v>
      </c>
      <c r="I396" s="194"/>
      <c r="J396" s="194" t="s">
        <v>2635</v>
      </c>
      <c r="K396" s="199" t="s">
        <v>303</v>
      </c>
      <c r="L396" s="199" t="s">
        <v>2636</v>
      </c>
      <c r="M396" s="193"/>
      <c r="N396" s="199"/>
      <c r="O396" s="199"/>
      <c r="P396" s="193"/>
      <c r="Q396" s="200"/>
      <c r="R396" s="86"/>
      <c r="S396" s="114">
        <f t="shared" ref="S396:T396" si="397">A396</f>
        <v>395</v>
      </c>
      <c r="T396" s="114" t="str">
        <f t="shared" si="397"/>
        <v>محمد شعبانی</v>
      </c>
      <c r="U396" s="86" t="str">
        <f t="shared" si="3"/>
        <v>09121576410</v>
      </c>
      <c r="V396" s="86" t="str">
        <f t="shared" si="4"/>
        <v>پیش‌وایی 2</v>
      </c>
      <c r="W396" s="86"/>
      <c r="X396" s="86"/>
    </row>
    <row r="397">
      <c r="A397" s="201">
        <v>396.0</v>
      </c>
      <c r="B397" s="202" t="s">
        <v>2637</v>
      </c>
      <c r="C397" s="203" t="s">
        <v>2638</v>
      </c>
      <c r="D397" s="204" t="str">
        <f>IFERROR(__xludf.DUMMYFUNCTION("ARRAYFORMULA(LET( converted, SUBSTITUTE( SUBSTITUTE( SUBSTITUTE( SUBSTITUTE( SUBSTITUTE( SUBSTITUTE( SUBSTITUTE( SUBSTITUTE( SUBSTITUTE( SUBSTITUTE( C397, ""۰"", ""0""), ""۱"", ""1""), ""۲"", ""2""), ""۳"", ""3""), ""۴"", ""4""), ""۵"", ""5""), ""۶"", ""6"&amp;"""), ""۷"", ""7""), ""۸"", ""8""), ""۹"", ""9""), IF(LEFT(converted,3)=""+98"", ""0"" &amp; RIGHT(converted, LEN(converted)-3), IF(LEFT(converted,2)=""98"", ""0"" &amp; RIGHT(converted, LEN(converted)-2), IF(LEFT(converted,1)&lt;&gt;""0"", ""0"" &amp; converted, REGEXREPLA"&amp;"CE(converted , ""\s"", """")) ) ) ) )"),"09120212441")</f>
        <v>09120212441</v>
      </c>
      <c r="E397" s="205" t="s">
        <v>17</v>
      </c>
      <c r="F397" s="206">
        <v>2.0</v>
      </c>
      <c r="G397" s="202"/>
      <c r="H397" s="202" t="s">
        <v>2639</v>
      </c>
      <c r="I397" s="203"/>
      <c r="J397" s="203" t="s">
        <v>2640</v>
      </c>
      <c r="K397" s="207" t="s">
        <v>1459</v>
      </c>
      <c r="L397" s="207" t="s">
        <v>2641</v>
      </c>
      <c r="M397" s="202"/>
      <c r="N397" s="207"/>
      <c r="O397" s="207"/>
      <c r="P397" s="202"/>
      <c r="Q397" s="208"/>
      <c r="R397" s="86"/>
      <c r="S397" s="114">
        <f t="shared" ref="S397:T397" si="398">A397</f>
        <v>396</v>
      </c>
      <c r="T397" s="114" t="str">
        <f t="shared" si="398"/>
        <v>رضا آزاد</v>
      </c>
      <c r="U397" s="86" t="str">
        <f t="shared" si="3"/>
        <v>09120212441</v>
      </c>
      <c r="V397" s="86" t="str">
        <f t="shared" si="4"/>
        <v>پیش‌وایی 2</v>
      </c>
      <c r="W397" s="86"/>
      <c r="X397" s="86"/>
    </row>
    <row r="398">
      <c r="A398" s="192">
        <v>397.0</v>
      </c>
      <c r="B398" s="193" t="s">
        <v>2642</v>
      </c>
      <c r="C398" s="194" t="s">
        <v>2643</v>
      </c>
      <c r="D398" s="195" t="str">
        <f>IFERROR(__xludf.DUMMYFUNCTION("ARRAYFORMULA(LET( converted, SUBSTITUTE( SUBSTITUTE( SUBSTITUTE( SUBSTITUTE( SUBSTITUTE( SUBSTITUTE( SUBSTITUTE( SUBSTITUTE( SUBSTITUTE( SUBSTITUTE( C398, ""۰"", ""0""), ""۱"", ""1""), ""۲"", ""2""), ""۳"", ""3""), ""۴"", ""4""), ""۵"", ""5""), ""۶"", ""6"&amp;"""), ""۷"", ""7""), ""۸"", ""8""), ""۹"", ""9""), IF(LEFT(converted,3)=""+98"", ""0"" &amp; RIGHT(converted, LEN(converted)-3), IF(LEFT(converted,2)=""98"", ""0"" &amp; RIGHT(converted, LEN(converted)-2), IF(LEFT(converted,1)&lt;&gt;""0"", ""0"" &amp; converted, REGEXREPLA"&amp;"CE(converted , ""\s"", """")) ) ) ) )"),"09125873623")</f>
        <v>09125873623</v>
      </c>
      <c r="E398" s="196" t="s">
        <v>17</v>
      </c>
      <c r="F398" s="197">
        <v>2.0</v>
      </c>
      <c r="G398" s="193"/>
      <c r="H398" s="193" t="s">
        <v>2644</v>
      </c>
      <c r="I398" s="194"/>
      <c r="J398" s="194" t="s">
        <v>2645</v>
      </c>
      <c r="K398" s="199" t="s">
        <v>766</v>
      </c>
      <c r="L398" s="199" t="s">
        <v>2646</v>
      </c>
      <c r="M398" s="193"/>
      <c r="N398" s="199"/>
      <c r="O398" s="199"/>
      <c r="P398" s="193"/>
      <c r="Q398" s="200"/>
      <c r="R398" s="86"/>
      <c r="S398" s="114">
        <f t="shared" ref="S398:T398" si="399">A398</f>
        <v>397</v>
      </c>
      <c r="T398" s="114" t="str">
        <f t="shared" si="399"/>
        <v>ندا خفری</v>
      </c>
      <c r="U398" s="86" t="str">
        <f t="shared" si="3"/>
        <v>09125873623</v>
      </c>
      <c r="V398" s="86" t="str">
        <f t="shared" si="4"/>
        <v>پیش‌وایی 2</v>
      </c>
      <c r="W398" s="86"/>
      <c r="X398" s="86"/>
    </row>
    <row r="399">
      <c r="A399" s="201">
        <v>398.0</v>
      </c>
      <c r="B399" s="207" t="s">
        <v>2647</v>
      </c>
      <c r="C399" s="203" t="s">
        <v>2648</v>
      </c>
      <c r="D399" s="204" t="str">
        <f>IFERROR(__xludf.DUMMYFUNCTION("ARRAYFORMULA(LET( converted, SUBSTITUTE( SUBSTITUTE( SUBSTITUTE( SUBSTITUTE( SUBSTITUTE( SUBSTITUTE( SUBSTITUTE( SUBSTITUTE( SUBSTITUTE( SUBSTITUTE( C399, ""۰"", ""0""), ""۱"", ""1""), ""۲"", ""2""), ""۳"", ""3""), ""۴"", ""4""), ""۵"", ""5""), ""۶"", ""6"&amp;"""), ""۷"", ""7""), ""۸"", ""8""), ""۹"", ""9""), IF(LEFT(converted,3)=""+98"", ""0"" &amp; RIGHT(converted, LEN(converted)-3), IF(LEFT(converted,2)=""98"", ""0"" &amp; RIGHT(converted, LEN(converted)-2), IF(LEFT(converted,1)&lt;&gt;""0"", ""0"" &amp; converted, REGEXREPLA"&amp;"CE(converted , ""\s"", """")) ) ) ) )"),"09122263600")</f>
        <v>09122263600</v>
      </c>
      <c r="E399" s="205" t="s">
        <v>17</v>
      </c>
      <c r="F399" s="206">
        <v>2.0</v>
      </c>
      <c r="G399" s="202"/>
      <c r="H399" s="202" t="s">
        <v>2649</v>
      </c>
      <c r="I399" s="203"/>
      <c r="J399" s="203"/>
      <c r="K399" s="207" t="s">
        <v>2233</v>
      </c>
      <c r="L399" s="207" t="s">
        <v>2650</v>
      </c>
      <c r="M399" s="202"/>
      <c r="N399" s="207"/>
      <c r="O399" s="207"/>
      <c r="P399" s="202"/>
      <c r="Q399" s="208"/>
      <c r="R399" s="86"/>
      <c r="S399" s="114">
        <f t="shared" ref="S399:T399" si="400">A399</f>
        <v>398</v>
      </c>
      <c r="T399" s="114" t="str">
        <f t="shared" si="400"/>
        <v>الهه مهریان</v>
      </c>
      <c r="U399" s="86" t="str">
        <f t="shared" si="3"/>
        <v>09122263600</v>
      </c>
      <c r="V399" s="86" t="str">
        <f t="shared" si="4"/>
        <v>پیش‌وایی 2</v>
      </c>
      <c r="W399" s="86"/>
      <c r="X399" s="86"/>
    </row>
    <row r="400">
      <c r="A400" s="192">
        <v>399.0</v>
      </c>
      <c r="B400" s="199" t="s">
        <v>2651</v>
      </c>
      <c r="C400" s="194" t="s">
        <v>2652</v>
      </c>
      <c r="D400" s="195" t="str">
        <f>IFERROR(__xludf.DUMMYFUNCTION("ARRAYFORMULA(LET( converted, SUBSTITUTE( SUBSTITUTE( SUBSTITUTE( SUBSTITUTE( SUBSTITUTE( SUBSTITUTE( SUBSTITUTE( SUBSTITUTE( SUBSTITUTE( SUBSTITUTE( C400, ""۰"", ""0""), ""۱"", ""1""), ""۲"", ""2""), ""۳"", ""3""), ""۴"", ""4""), ""۵"", ""5""), ""۶"", ""6"&amp;"""), ""۷"", ""7""), ""۸"", ""8""), ""۹"", ""9""), IF(LEFT(converted,3)=""+98"", ""0"" &amp; RIGHT(converted, LEN(converted)-3), IF(LEFT(converted,2)=""98"", ""0"" &amp; RIGHT(converted, LEN(converted)-2), IF(LEFT(converted,1)&lt;&gt;""0"", ""0"" &amp; converted, REGEXREPLA"&amp;"CE(converted , ""\s"", """")) ) ) ) )"),"09125141952")</f>
        <v>09125141952</v>
      </c>
      <c r="E400" s="196" t="s">
        <v>17</v>
      </c>
      <c r="F400" s="197">
        <v>2.0</v>
      </c>
      <c r="G400" s="193"/>
      <c r="H400" s="193" t="s">
        <v>2653</v>
      </c>
      <c r="I400" s="194"/>
      <c r="J400" s="194"/>
      <c r="K400" s="199" t="s">
        <v>804</v>
      </c>
      <c r="L400" s="199" t="s">
        <v>2654</v>
      </c>
      <c r="M400" s="193"/>
      <c r="N400" s="199"/>
      <c r="O400" s="199"/>
      <c r="P400" s="193"/>
      <c r="Q400" s="200"/>
      <c r="R400" s="86"/>
      <c r="S400" s="114">
        <f t="shared" ref="S400:T400" si="401">A400</f>
        <v>399</v>
      </c>
      <c r="T400" s="114" t="str">
        <f t="shared" si="401"/>
        <v>نیلوفر زینعلی</v>
      </c>
      <c r="U400" s="86" t="str">
        <f t="shared" si="3"/>
        <v>09125141952</v>
      </c>
      <c r="V400" s="86" t="str">
        <f t="shared" si="4"/>
        <v>پیش‌وایی 2</v>
      </c>
      <c r="W400" s="86"/>
      <c r="X400" s="86"/>
    </row>
    <row r="401">
      <c r="A401" s="201">
        <v>400.0</v>
      </c>
      <c r="B401" s="202" t="s">
        <v>2655</v>
      </c>
      <c r="C401" s="203" t="s">
        <v>2656</v>
      </c>
      <c r="D401" s="204" t="str">
        <f>IFERROR(__xludf.DUMMYFUNCTION("ARRAYFORMULA(LET( converted, SUBSTITUTE( SUBSTITUTE( SUBSTITUTE( SUBSTITUTE( SUBSTITUTE( SUBSTITUTE( SUBSTITUTE( SUBSTITUTE( SUBSTITUTE( SUBSTITUTE( C401, ""۰"", ""0""), ""۱"", ""1""), ""۲"", ""2""), ""۳"", ""3""), ""۴"", ""4""), ""۵"", ""5""), ""۶"", ""6"&amp;"""), ""۷"", ""7""), ""۸"", ""8""), ""۹"", ""9""), IF(LEFT(converted,3)=""+98"", ""0"" &amp; RIGHT(converted, LEN(converted)-3), IF(LEFT(converted,2)=""98"", ""0"" &amp; RIGHT(converted, LEN(converted)-2), IF(LEFT(converted,1)&lt;&gt;""0"", ""0"" &amp; converted, REGEXREPLA"&amp;"CE(converted , ""\s"", """")) ) ) ) )"),"09122986445")</f>
        <v>09122986445</v>
      </c>
      <c r="E401" s="205" t="s">
        <v>17</v>
      </c>
      <c r="F401" s="206">
        <v>2.0</v>
      </c>
      <c r="G401" s="202"/>
      <c r="H401" s="202" t="s">
        <v>2657</v>
      </c>
      <c r="I401" s="203"/>
      <c r="J401" s="203" t="s">
        <v>2658</v>
      </c>
      <c r="K401" s="207" t="s">
        <v>2659</v>
      </c>
      <c r="L401" s="207" t="s">
        <v>2660</v>
      </c>
      <c r="M401" s="202"/>
      <c r="N401" s="207"/>
      <c r="O401" s="207"/>
      <c r="P401" s="202"/>
      <c r="Q401" s="208"/>
      <c r="R401" s="86"/>
      <c r="S401" s="114">
        <f t="shared" ref="S401:T401" si="402">A401</f>
        <v>400</v>
      </c>
      <c r="T401" s="114" t="str">
        <f t="shared" si="402"/>
        <v>روشنک خبازی</v>
      </c>
      <c r="U401" s="86" t="str">
        <f t="shared" si="3"/>
        <v>09122986445</v>
      </c>
      <c r="V401" s="86" t="str">
        <f t="shared" si="4"/>
        <v>پیش‌وایی 2</v>
      </c>
      <c r="W401" s="86"/>
      <c r="X401" s="86"/>
    </row>
    <row r="402">
      <c r="A402" s="192">
        <v>401.0</v>
      </c>
      <c r="B402" s="193" t="s">
        <v>2661</v>
      </c>
      <c r="C402" s="194" t="s">
        <v>2662</v>
      </c>
      <c r="D402" s="195" t="str">
        <f>IFERROR(__xludf.DUMMYFUNCTION("ARRAYFORMULA(LET( converted, SUBSTITUTE( SUBSTITUTE( SUBSTITUTE( SUBSTITUTE( SUBSTITUTE( SUBSTITUTE( SUBSTITUTE( SUBSTITUTE( SUBSTITUTE( SUBSTITUTE( C402, ""۰"", ""0""), ""۱"", ""1""), ""۲"", ""2""), ""۳"", ""3""), ""۴"", ""4""), ""۵"", ""5""), ""۶"", ""6"&amp;"""), ""۷"", ""7""), ""۸"", ""8""), ""۹"", ""9""), IF(LEFT(converted,3)=""+98"", ""0"" &amp; RIGHT(converted, LEN(converted)-3), IF(LEFT(converted,2)=""98"", ""0"" &amp; RIGHT(converted, LEN(converted)-2), IF(LEFT(converted,1)&lt;&gt;""0"", ""0"" &amp; converted, REGEXREPLA"&amp;"CE(converted , ""\s"", """")) ) ) ) )"),"09191147416")</f>
        <v>09191147416</v>
      </c>
      <c r="E402" s="196" t="s">
        <v>17</v>
      </c>
      <c r="F402" s="197">
        <v>2.0</v>
      </c>
      <c r="G402" s="193"/>
      <c r="H402" s="193" t="s">
        <v>2663</v>
      </c>
      <c r="I402" s="194"/>
      <c r="J402" s="194"/>
      <c r="K402" s="199" t="s">
        <v>2664</v>
      </c>
      <c r="L402" s="199" t="s">
        <v>2665</v>
      </c>
      <c r="M402" s="193"/>
      <c r="N402" s="199"/>
      <c r="O402" s="199"/>
      <c r="P402" s="193"/>
      <c r="Q402" s="200"/>
      <c r="R402" s="86"/>
      <c r="S402" s="114">
        <f t="shared" ref="S402:T402" si="403">A402</f>
        <v>401</v>
      </c>
      <c r="T402" s="114" t="str">
        <f t="shared" si="403"/>
        <v>پرنیان السادات صفاپور</v>
      </c>
      <c r="U402" s="86" t="str">
        <f t="shared" si="3"/>
        <v>09191147416</v>
      </c>
      <c r="V402" s="86" t="str">
        <f t="shared" si="4"/>
        <v>پیش‌وایی 2</v>
      </c>
      <c r="W402" s="86"/>
      <c r="X402" s="86"/>
    </row>
    <row r="403">
      <c r="A403" s="201">
        <v>402.0</v>
      </c>
      <c r="B403" s="207" t="s">
        <v>2666</v>
      </c>
      <c r="C403" s="203" t="s">
        <v>2667</v>
      </c>
      <c r="D403" s="204" t="str">
        <f>IFERROR(__xludf.DUMMYFUNCTION("ARRAYFORMULA(LET( converted, SUBSTITUTE( SUBSTITUTE( SUBSTITUTE( SUBSTITUTE( SUBSTITUTE( SUBSTITUTE( SUBSTITUTE( SUBSTITUTE( SUBSTITUTE( SUBSTITUTE( C403, ""۰"", ""0""), ""۱"", ""1""), ""۲"", ""2""), ""۳"", ""3""), ""۴"", ""4""), ""۵"", ""5""), ""۶"", ""6"&amp;"""), ""۷"", ""7""), ""۸"", ""8""), ""۹"", ""9""), IF(LEFT(converted,3)=""+98"", ""0"" &amp; RIGHT(converted, LEN(converted)-3), IF(LEFT(converted,2)=""98"", ""0"" &amp; RIGHT(converted, LEN(converted)-2), IF(LEFT(converted,1)&lt;&gt;""0"", ""0"" &amp; converted, REGEXREPLA"&amp;"CE(converted , ""\s"", """")) ) ) ) )"),"09122498488")</f>
        <v>09122498488</v>
      </c>
      <c r="E403" s="205" t="s">
        <v>17</v>
      </c>
      <c r="F403" s="206">
        <v>2.0</v>
      </c>
      <c r="G403" s="202"/>
      <c r="H403" s="202" t="s">
        <v>2668</v>
      </c>
      <c r="I403" s="203"/>
      <c r="J403" s="203" t="s">
        <v>2669</v>
      </c>
      <c r="K403" s="207" t="s">
        <v>2670</v>
      </c>
      <c r="L403" s="207" t="s">
        <v>2671</v>
      </c>
      <c r="M403" s="202"/>
      <c r="N403" s="207"/>
      <c r="O403" s="207"/>
      <c r="P403" s="202"/>
      <c r="Q403" s="208"/>
      <c r="R403" s="86"/>
      <c r="S403" s="114">
        <f t="shared" ref="S403:T403" si="404">A403</f>
        <v>402</v>
      </c>
      <c r="T403" s="114" t="str">
        <f t="shared" si="404"/>
        <v>فرزانه هراتی</v>
      </c>
      <c r="U403" s="86" t="str">
        <f t="shared" si="3"/>
        <v>09122498488</v>
      </c>
      <c r="V403" s="86" t="str">
        <f t="shared" si="4"/>
        <v>پیش‌وایی 2</v>
      </c>
      <c r="W403" s="86"/>
      <c r="X403" s="86"/>
    </row>
    <row r="404">
      <c r="A404" s="192">
        <v>403.0</v>
      </c>
      <c r="B404" s="193" t="s">
        <v>2672</v>
      </c>
      <c r="C404" s="194" t="s">
        <v>2673</v>
      </c>
      <c r="D404" s="195" t="str">
        <f>IFERROR(__xludf.DUMMYFUNCTION("ARRAYFORMULA(LET( converted, SUBSTITUTE( SUBSTITUTE( SUBSTITUTE( SUBSTITUTE( SUBSTITUTE( SUBSTITUTE( SUBSTITUTE( SUBSTITUTE( SUBSTITUTE( SUBSTITUTE( C404, ""۰"", ""0""), ""۱"", ""1""), ""۲"", ""2""), ""۳"", ""3""), ""۴"", ""4""), ""۵"", ""5""), ""۶"", ""6"&amp;"""), ""۷"", ""7""), ""۸"", ""8""), ""۹"", ""9""), IF(LEFT(converted,3)=""+98"", ""0"" &amp; RIGHT(converted, LEN(converted)-3), IF(LEFT(converted,2)=""98"", ""0"" &amp; RIGHT(converted, LEN(converted)-2), IF(LEFT(converted,1)&lt;&gt;""0"", ""0"" &amp; converted, REGEXREPLA"&amp;"CE(converted , ""\s"", """")) ) ) ) )"),"09124992941")</f>
        <v>09124992941</v>
      </c>
      <c r="E404" s="196" t="s">
        <v>17</v>
      </c>
      <c r="F404" s="197">
        <v>2.0</v>
      </c>
      <c r="G404" s="193"/>
      <c r="H404" s="193" t="s">
        <v>2674</v>
      </c>
      <c r="I404" s="194"/>
      <c r="J404" s="194" t="s">
        <v>2675</v>
      </c>
      <c r="K404" s="199" t="s">
        <v>342</v>
      </c>
      <c r="L404" s="199" t="s">
        <v>2676</v>
      </c>
      <c r="M404" s="193"/>
      <c r="N404" s="199"/>
      <c r="O404" s="199"/>
      <c r="P404" s="193"/>
      <c r="Q404" s="200"/>
      <c r="R404" s="86"/>
      <c r="S404" s="114">
        <f t="shared" ref="S404:T404" si="405">A404</f>
        <v>403</v>
      </c>
      <c r="T404" s="114" t="str">
        <f t="shared" si="405"/>
        <v>آرش کرمی</v>
      </c>
      <c r="U404" s="86" t="str">
        <f t="shared" si="3"/>
        <v>09124992941</v>
      </c>
      <c r="V404" s="86" t="str">
        <f t="shared" si="4"/>
        <v>پیش‌وایی 2</v>
      </c>
      <c r="W404" s="86"/>
      <c r="X404" s="86"/>
    </row>
    <row r="405">
      <c r="A405" s="201">
        <v>404.0</v>
      </c>
      <c r="B405" s="202" t="s">
        <v>1008</v>
      </c>
      <c r="C405" s="203" t="s">
        <v>2677</v>
      </c>
      <c r="D405" s="204" t="str">
        <f>IFERROR(__xludf.DUMMYFUNCTION("ARRAYFORMULA(LET( converted, SUBSTITUTE( SUBSTITUTE( SUBSTITUTE( SUBSTITUTE( SUBSTITUTE( SUBSTITUTE( SUBSTITUTE( SUBSTITUTE( SUBSTITUTE( SUBSTITUTE( C405, ""۰"", ""0""), ""۱"", ""1""), ""۲"", ""2""), ""۳"", ""3""), ""۴"", ""4""), ""۵"", ""5""), ""۶"", ""6"&amp;"""), ""۷"", ""7""), ""۸"", ""8""), ""۹"", ""9""), IF(LEFT(converted,3)=""+98"", ""0"" &amp; RIGHT(converted, LEN(converted)-3), IF(LEFT(converted,2)=""98"", ""0"" &amp; RIGHT(converted, LEN(converted)-2), IF(LEFT(converted,1)&lt;&gt;""0"", ""0"" &amp; converted, REGEXREPLA"&amp;"CE(converted , ""\s"", """")) ) ) ) )"),"09177516316")</f>
        <v>09177516316</v>
      </c>
      <c r="E405" s="205" t="s">
        <v>17</v>
      </c>
      <c r="F405" s="206">
        <v>2.0</v>
      </c>
      <c r="G405" s="202"/>
      <c r="H405" s="202" t="s">
        <v>2678</v>
      </c>
      <c r="I405" s="203"/>
      <c r="J405" s="203"/>
      <c r="K405" s="207" t="s">
        <v>274</v>
      </c>
      <c r="L405" s="207" t="s">
        <v>1012</v>
      </c>
      <c r="M405" s="202"/>
      <c r="N405" s="207"/>
      <c r="O405" s="207"/>
      <c r="P405" s="202"/>
      <c r="Q405" s="208"/>
      <c r="R405" s="86"/>
      <c r="S405" s="114">
        <f t="shared" ref="S405:T405" si="406">A405</f>
        <v>404</v>
      </c>
      <c r="T405" s="114" t="str">
        <f t="shared" si="406"/>
        <v>فاطمه محمدی</v>
      </c>
      <c r="U405" s="86" t="str">
        <f t="shared" si="3"/>
        <v>09177516316</v>
      </c>
      <c r="V405" s="86" t="str">
        <f t="shared" si="4"/>
        <v>پیش‌وایی 2</v>
      </c>
      <c r="W405" s="86"/>
      <c r="X405" s="86"/>
    </row>
    <row r="406">
      <c r="A406" s="192">
        <v>405.0</v>
      </c>
      <c r="B406" s="193" t="s">
        <v>371</v>
      </c>
      <c r="C406" s="194" t="s">
        <v>978</v>
      </c>
      <c r="D406" s="195" t="str">
        <f>IFERROR(__xludf.DUMMYFUNCTION("ARRAYFORMULA(LET( converted, SUBSTITUTE( SUBSTITUTE( SUBSTITUTE( SUBSTITUTE( SUBSTITUTE( SUBSTITUTE( SUBSTITUTE( SUBSTITUTE( SUBSTITUTE( SUBSTITUTE( C406, ""۰"", ""0""), ""۱"", ""1""), ""۲"", ""2""), ""۳"", ""3""), ""۴"", ""4""), ""۵"", ""5""), ""۶"", ""6"&amp;"""), ""۷"", ""7""), ""۸"", ""8""), ""۹"", ""9""), IF(LEFT(converted,3)=""+98"", ""0"" &amp; RIGHT(converted, LEN(converted)-3), IF(LEFT(converted,2)=""98"", ""0"" &amp; RIGHT(converted, LEN(converted)-2), IF(LEFT(converted,1)&lt;&gt;""0"", ""0"" &amp; converted, REGEXREPLA"&amp;"CE(converted , ""\s"", """")) ) ) ) )"),"09120323882")</f>
        <v>09120323882</v>
      </c>
      <c r="E406" s="196" t="s">
        <v>17</v>
      </c>
      <c r="F406" s="197">
        <v>2.0</v>
      </c>
      <c r="G406" s="193"/>
      <c r="H406" s="193" t="s">
        <v>979</v>
      </c>
      <c r="I406" s="194"/>
      <c r="J406" s="194" t="s">
        <v>980</v>
      </c>
      <c r="K406" s="199" t="s">
        <v>192</v>
      </c>
      <c r="L406" s="199" t="s">
        <v>981</v>
      </c>
      <c r="M406" s="193"/>
      <c r="N406" s="199"/>
      <c r="O406" s="199"/>
      <c r="P406" s="193"/>
      <c r="Q406" s="200"/>
      <c r="R406" s="86"/>
      <c r="S406" s="114">
        <f t="shared" ref="S406:T406" si="407">A406</f>
        <v>405</v>
      </c>
      <c r="T406" s="114" t="str">
        <f t="shared" si="407"/>
        <v>امیرحسین قربانی</v>
      </c>
      <c r="U406" s="86" t="str">
        <f t="shared" si="3"/>
        <v>09120323882</v>
      </c>
      <c r="V406" s="86" t="str">
        <f t="shared" si="4"/>
        <v>پیش‌وایی 2</v>
      </c>
      <c r="W406" s="86"/>
      <c r="X406" s="86"/>
    </row>
    <row r="407">
      <c r="A407" s="201">
        <v>406.0</v>
      </c>
      <c r="B407" s="202" t="s">
        <v>1244</v>
      </c>
      <c r="C407" s="203" t="s">
        <v>1245</v>
      </c>
      <c r="D407" s="204" t="str">
        <f>IFERROR(__xludf.DUMMYFUNCTION("ARRAYFORMULA(LET( converted, SUBSTITUTE( SUBSTITUTE( SUBSTITUTE( SUBSTITUTE( SUBSTITUTE( SUBSTITUTE( SUBSTITUTE( SUBSTITUTE( SUBSTITUTE( SUBSTITUTE( C407, ""۰"", ""0""), ""۱"", ""1""), ""۲"", ""2""), ""۳"", ""3""), ""۴"", ""4""), ""۵"", ""5""), ""۶"", ""6"&amp;"""), ""۷"", ""7""), ""۸"", ""8""), ""۹"", ""9""), IF(LEFT(converted,3)=""+98"", ""0"" &amp; RIGHT(converted, LEN(converted)-3), IF(LEFT(converted,2)=""98"", ""0"" &amp; RIGHT(converted, LEN(converted)-2), IF(LEFT(converted,1)&lt;&gt;""0"", ""0"" &amp; converted, REGEXREPLA"&amp;"CE(converted , ""\s"", """")) ) ) ) )"),"09123375316")</f>
        <v>09123375316</v>
      </c>
      <c r="E407" s="205" t="s">
        <v>17</v>
      </c>
      <c r="F407" s="206">
        <v>2.0</v>
      </c>
      <c r="G407" s="202"/>
      <c r="H407" s="202" t="s">
        <v>1246</v>
      </c>
      <c r="I407" s="203"/>
      <c r="J407" s="203" t="s">
        <v>1247</v>
      </c>
      <c r="K407" s="207" t="s">
        <v>1248</v>
      </c>
      <c r="L407" s="207" t="s">
        <v>1249</v>
      </c>
      <c r="M407" s="202"/>
      <c r="N407" s="207"/>
      <c r="O407" s="207"/>
      <c r="P407" s="202"/>
      <c r="Q407" s="208"/>
      <c r="R407" s="86"/>
      <c r="S407" s="114">
        <f t="shared" ref="S407:T407" si="408">A407</f>
        <v>406</v>
      </c>
      <c r="T407" s="114" t="str">
        <f t="shared" si="408"/>
        <v>جواد خسروی مقدم</v>
      </c>
      <c r="U407" s="86" t="str">
        <f t="shared" si="3"/>
        <v>09123375316</v>
      </c>
      <c r="V407" s="86" t="str">
        <f t="shared" si="4"/>
        <v>پیش‌وایی 2</v>
      </c>
      <c r="W407" s="86"/>
      <c r="X407" s="86"/>
    </row>
    <row r="408">
      <c r="A408" s="192">
        <v>407.0</v>
      </c>
      <c r="B408" s="193" t="s">
        <v>2679</v>
      </c>
      <c r="C408" s="194" t="s">
        <v>2680</v>
      </c>
      <c r="D408" s="195" t="str">
        <f>IFERROR(__xludf.DUMMYFUNCTION("ARRAYFORMULA(LET( converted, SUBSTITUTE( SUBSTITUTE( SUBSTITUTE( SUBSTITUTE( SUBSTITUTE( SUBSTITUTE( SUBSTITUTE( SUBSTITUTE( SUBSTITUTE( SUBSTITUTE( C408, ""۰"", ""0""), ""۱"", ""1""), ""۲"", ""2""), ""۳"", ""3""), ""۴"", ""4""), ""۵"", ""5""), ""۶"", ""6"&amp;"""), ""۷"", ""7""), ""۸"", ""8""), ""۹"", ""9""), IF(LEFT(converted,3)=""+98"", ""0"" &amp; RIGHT(converted, LEN(converted)-3), IF(LEFT(converted,2)=""98"", ""0"" &amp; RIGHT(converted, LEN(converted)-2), IF(LEFT(converted,1)&lt;&gt;""0"", ""0"" &amp; converted, REGEXREPLA"&amp;"CE(converted , ""\s"", """")) ) ) ) )"),"09372733220")</f>
        <v>09372733220</v>
      </c>
      <c r="E408" s="196" t="s">
        <v>17</v>
      </c>
      <c r="F408" s="197">
        <v>2.0</v>
      </c>
      <c r="G408" s="193"/>
      <c r="H408" s="193" t="s">
        <v>2681</v>
      </c>
      <c r="I408" s="194"/>
      <c r="J408" s="194" t="s">
        <v>2682</v>
      </c>
      <c r="K408" s="199" t="s">
        <v>2683</v>
      </c>
      <c r="L408" s="199" t="s">
        <v>2684</v>
      </c>
      <c r="M408" s="193"/>
      <c r="N408" s="199"/>
      <c r="O408" s="199"/>
      <c r="P408" s="193"/>
      <c r="Q408" s="200"/>
      <c r="R408" s="86"/>
      <c r="S408" s="114">
        <f t="shared" ref="S408:T408" si="409">A408</f>
        <v>407</v>
      </c>
      <c r="T408" s="114" t="str">
        <f t="shared" si="409"/>
        <v>مهدیه نانکلی</v>
      </c>
      <c r="U408" s="86" t="str">
        <f t="shared" si="3"/>
        <v>09372733220</v>
      </c>
      <c r="V408" s="86" t="str">
        <f t="shared" si="4"/>
        <v>پیش‌وایی 2</v>
      </c>
      <c r="W408" s="86"/>
      <c r="X408" s="86"/>
    </row>
    <row r="409">
      <c r="A409" s="201">
        <v>408.0</v>
      </c>
      <c r="B409" s="202" t="s">
        <v>2685</v>
      </c>
      <c r="C409" s="203" t="s">
        <v>2686</v>
      </c>
      <c r="D409" s="204" t="str">
        <f>IFERROR(__xludf.DUMMYFUNCTION("ARRAYFORMULA(LET( converted, SUBSTITUTE( SUBSTITUTE( SUBSTITUTE( SUBSTITUTE( SUBSTITUTE( SUBSTITUTE( SUBSTITUTE( SUBSTITUTE( SUBSTITUTE( SUBSTITUTE( C409, ""۰"", ""0""), ""۱"", ""1""), ""۲"", ""2""), ""۳"", ""3""), ""۴"", ""4""), ""۵"", ""5""), ""۶"", ""6"&amp;"""), ""۷"", ""7""), ""۸"", ""8""), ""۹"", ""9""), IF(LEFT(converted,3)=""+98"", ""0"" &amp; RIGHT(converted, LEN(converted)-3), IF(LEFT(converted,2)=""98"", ""0"" &amp; RIGHT(converted, LEN(converted)-2), IF(LEFT(converted,1)&lt;&gt;""0"", ""0"" &amp; converted, REGEXREPLA"&amp;"CE(converted , ""\s"", """")) ) ) ) )"),"09369625520")</f>
        <v>09369625520</v>
      </c>
      <c r="E409" s="205" t="s">
        <v>17</v>
      </c>
      <c r="F409" s="206">
        <v>2.0</v>
      </c>
      <c r="G409" s="202"/>
      <c r="H409" s="202" t="s">
        <v>2687</v>
      </c>
      <c r="I409" s="203"/>
      <c r="J409" s="203"/>
      <c r="K409" s="207" t="s">
        <v>2517</v>
      </c>
      <c r="L409" s="207" t="s">
        <v>2688</v>
      </c>
      <c r="M409" s="202"/>
      <c r="N409" s="207"/>
      <c r="O409" s="207"/>
      <c r="P409" s="202"/>
      <c r="Q409" s="208"/>
      <c r="R409" s="86"/>
      <c r="S409" s="114">
        <f t="shared" ref="S409:T409" si="410">A409</f>
        <v>408</v>
      </c>
      <c r="T409" s="114" t="str">
        <f t="shared" si="410"/>
        <v>شبنم فاروقی</v>
      </c>
      <c r="U409" s="86" t="str">
        <f t="shared" si="3"/>
        <v>09369625520</v>
      </c>
      <c r="V409" s="86" t="str">
        <f t="shared" si="4"/>
        <v>پیش‌وایی 2</v>
      </c>
      <c r="W409" s="86"/>
      <c r="X409" s="86"/>
    </row>
    <row r="410">
      <c r="A410" s="192">
        <v>409.0</v>
      </c>
      <c r="B410" s="193" t="s">
        <v>2689</v>
      </c>
      <c r="C410" s="194" t="s">
        <v>2690</v>
      </c>
      <c r="D410" s="195" t="str">
        <f>IFERROR(__xludf.DUMMYFUNCTION("ARRAYFORMULA(LET( converted, SUBSTITUTE( SUBSTITUTE( SUBSTITUTE( SUBSTITUTE( SUBSTITUTE( SUBSTITUTE( SUBSTITUTE( SUBSTITUTE( SUBSTITUTE( SUBSTITUTE( C410, ""۰"", ""0""), ""۱"", ""1""), ""۲"", ""2""), ""۳"", ""3""), ""۴"", ""4""), ""۵"", ""5""), ""۶"", ""6"&amp;"""), ""۷"", ""7""), ""۸"", ""8""), ""۹"", ""9""), IF(LEFT(converted,3)=""+98"", ""0"" &amp; RIGHT(converted, LEN(converted)-3), IF(LEFT(converted,2)=""98"", ""0"" &amp; RIGHT(converted, LEN(converted)-2), IF(LEFT(converted,1)&lt;&gt;""0"", ""0"" &amp; converted, REGEXREPLA"&amp;"CE(converted , ""\s"", """")) ) ) ) )"),"09122830456")</f>
        <v>09122830456</v>
      </c>
      <c r="E410" s="196" t="s">
        <v>17</v>
      </c>
      <c r="F410" s="197">
        <v>2.0</v>
      </c>
      <c r="G410" s="193"/>
      <c r="H410" s="193" t="s">
        <v>2691</v>
      </c>
      <c r="I410" s="194"/>
      <c r="J410" s="194"/>
      <c r="K410" s="199" t="s">
        <v>1351</v>
      </c>
      <c r="L410" s="199" t="s">
        <v>2692</v>
      </c>
      <c r="M410" s="193"/>
      <c r="N410" s="199"/>
      <c r="O410" s="199"/>
      <c r="P410" s="193"/>
      <c r="Q410" s="200"/>
      <c r="R410" s="86"/>
      <c r="S410" s="114">
        <f t="shared" ref="S410:T410" si="411">A410</f>
        <v>409</v>
      </c>
      <c r="T410" s="114" t="str">
        <f t="shared" si="411"/>
        <v>حمید آهنگری</v>
      </c>
      <c r="U410" s="86" t="str">
        <f t="shared" si="3"/>
        <v>09122830456</v>
      </c>
      <c r="V410" s="86" t="str">
        <f t="shared" si="4"/>
        <v>پیش‌وایی 2</v>
      </c>
      <c r="W410" s="86"/>
      <c r="X410" s="86"/>
    </row>
    <row r="411">
      <c r="A411" s="201">
        <v>410.0</v>
      </c>
      <c r="B411" s="202" t="s">
        <v>2693</v>
      </c>
      <c r="C411" s="203" t="s">
        <v>2694</v>
      </c>
      <c r="D411" s="204" t="str">
        <f>IFERROR(__xludf.DUMMYFUNCTION("ARRAYFORMULA(LET( converted, SUBSTITUTE( SUBSTITUTE( SUBSTITUTE( SUBSTITUTE( SUBSTITUTE( SUBSTITUTE( SUBSTITUTE( SUBSTITUTE( SUBSTITUTE( SUBSTITUTE( C411, ""۰"", ""0""), ""۱"", ""1""), ""۲"", ""2""), ""۳"", ""3""), ""۴"", ""4""), ""۵"", ""5""), ""۶"", ""6"&amp;"""), ""۷"", ""7""), ""۸"", ""8""), ""۹"", ""9""), IF(LEFT(converted,3)=""+98"", ""0"" &amp; RIGHT(converted, LEN(converted)-3), IF(LEFT(converted,2)=""98"", ""0"" &amp; RIGHT(converted, LEN(converted)-2), IF(LEFT(converted,1)&lt;&gt;""0"", ""0"" &amp; converted, REGEXREPLA"&amp;"CE(converted , ""\s"", """")) ) ) ) )"),"09121785020")</f>
        <v>09121785020</v>
      </c>
      <c r="E411" s="205" t="s">
        <v>17</v>
      </c>
      <c r="F411" s="206">
        <v>2.0</v>
      </c>
      <c r="G411" s="202"/>
      <c r="H411" s="202" t="s">
        <v>2695</v>
      </c>
      <c r="I411" s="203"/>
      <c r="J411" s="203" t="s">
        <v>2696</v>
      </c>
      <c r="K411" s="207" t="s">
        <v>1569</v>
      </c>
      <c r="L411" s="207" t="s">
        <v>242</v>
      </c>
      <c r="M411" s="202"/>
      <c r="N411" s="207"/>
      <c r="O411" s="207"/>
      <c r="P411" s="202"/>
      <c r="Q411" s="208"/>
      <c r="R411" s="86"/>
      <c r="S411" s="114">
        <f t="shared" ref="S411:T411" si="412">A411</f>
        <v>410</v>
      </c>
      <c r="T411" s="114" t="str">
        <f t="shared" si="412"/>
        <v>حسن زارعی</v>
      </c>
      <c r="U411" s="86" t="str">
        <f t="shared" si="3"/>
        <v>09121785020</v>
      </c>
      <c r="V411" s="86" t="str">
        <f t="shared" si="4"/>
        <v>پیش‌وایی 2</v>
      </c>
      <c r="W411" s="86"/>
      <c r="X411" s="86"/>
    </row>
    <row r="412">
      <c r="A412" s="192">
        <v>411.0</v>
      </c>
      <c r="B412" s="193" t="s">
        <v>2697</v>
      </c>
      <c r="C412" s="211" t="s">
        <v>2698</v>
      </c>
      <c r="D412" s="195" t="str">
        <f>IFERROR(__xludf.DUMMYFUNCTION("ARRAYFORMULA(LET( converted, SUBSTITUTE( SUBSTITUTE( SUBSTITUTE( SUBSTITUTE( SUBSTITUTE( SUBSTITUTE( SUBSTITUTE( SUBSTITUTE( SUBSTITUTE( SUBSTITUTE( C412, ""۰"", ""0""), ""۱"", ""1""), ""۲"", ""2""), ""۳"", ""3""), ""۴"", ""4""), ""۵"", ""5""), ""۶"", ""6"&amp;"""), ""۷"", ""7""), ""۸"", ""8""), ""۹"", ""9""), IF(LEFT(converted,3)=""+98"", ""0"" &amp; RIGHT(converted, LEN(converted)-3), IF(LEFT(converted,2)=""98"", ""0"" &amp; RIGHT(converted, LEN(converted)-2), IF(LEFT(converted,1)&lt;&gt;""0"", ""0"" &amp; converted, REGEXREPLA"&amp;"CE(converted , ""\s"", """")) ) ) ) )"),"09111352374")</f>
        <v>09111352374</v>
      </c>
      <c r="E412" s="196" t="s">
        <v>17</v>
      </c>
      <c r="F412" s="197">
        <v>2.0</v>
      </c>
      <c r="G412" s="193"/>
      <c r="H412" s="193"/>
      <c r="I412" s="194"/>
      <c r="J412" s="194" t="s">
        <v>2699</v>
      </c>
      <c r="K412" s="199" t="s">
        <v>1766</v>
      </c>
      <c r="L412" s="199" t="s">
        <v>2700</v>
      </c>
      <c r="M412" s="193"/>
      <c r="N412" s="199"/>
      <c r="O412" s="199"/>
      <c r="P412" s="193"/>
      <c r="Q412" s="200"/>
      <c r="R412" s="86"/>
      <c r="S412" s="114">
        <f t="shared" ref="S412:T412" si="413">A412</f>
        <v>411</v>
      </c>
      <c r="T412" s="114" t="str">
        <f t="shared" si="413"/>
        <v>زینب رحیمی شلمانی</v>
      </c>
      <c r="U412" s="86" t="str">
        <f t="shared" si="3"/>
        <v>09111352374</v>
      </c>
      <c r="V412" s="86" t="str">
        <f t="shared" si="4"/>
        <v>پیش‌وایی 2</v>
      </c>
      <c r="W412" s="86"/>
      <c r="X412" s="86"/>
    </row>
    <row r="413">
      <c r="A413" s="201">
        <v>412.0</v>
      </c>
      <c r="B413" s="202" t="s">
        <v>738</v>
      </c>
      <c r="C413" s="203" t="s">
        <v>739</v>
      </c>
      <c r="D413" s="204" t="str">
        <f>IFERROR(__xludf.DUMMYFUNCTION("ARRAYFORMULA(LET( converted, SUBSTITUTE( SUBSTITUTE( SUBSTITUTE( SUBSTITUTE( SUBSTITUTE( SUBSTITUTE( SUBSTITUTE( SUBSTITUTE( SUBSTITUTE( SUBSTITUTE( C413, ""۰"", ""0""), ""۱"", ""1""), ""۲"", ""2""), ""۳"", ""3""), ""۴"", ""4""), ""۵"", ""5""), ""۶"", ""6"&amp;"""), ""۷"", ""7""), ""۸"", ""8""), ""۹"", ""9""), IF(LEFT(converted,3)=""+98"", ""0"" &amp; RIGHT(converted, LEN(converted)-3), IF(LEFT(converted,2)=""98"", ""0"" &amp; RIGHT(converted, LEN(converted)-2), IF(LEFT(converted,1)&lt;&gt;""0"", ""0"" &amp; converted, REGEXREPLA"&amp;"CE(converted , ""\s"", """")) ) ) ) )"),"09195606985")</f>
        <v>09195606985</v>
      </c>
      <c r="E413" s="205" t="s">
        <v>17</v>
      </c>
      <c r="F413" s="206">
        <v>2.0</v>
      </c>
      <c r="G413" s="202"/>
      <c r="H413" s="202" t="s">
        <v>2701</v>
      </c>
      <c r="I413" s="203"/>
      <c r="J413" s="203"/>
      <c r="K413" s="207" t="s">
        <v>27</v>
      </c>
      <c r="L413" s="207" t="s">
        <v>321</v>
      </c>
      <c r="M413" s="202"/>
      <c r="N413" s="207"/>
      <c r="O413" s="207"/>
      <c r="P413" s="202"/>
      <c r="Q413" s="208"/>
      <c r="R413" s="86"/>
      <c r="S413" s="114">
        <f t="shared" ref="S413:T413" si="414">A413</f>
        <v>412</v>
      </c>
      <c r="T413" s="114" t="str">
        <f t="shared" si="414"/>
        <v>مجید منوچهری</v>
      </c>
      <c r="U413" s="86" t="str">
        <f t="shared" si="3"/>
        <v>09195606985</v>
      </c>
      <c r="V413" s="86" t="str">
        <f t="shared" si="4"/>
        <v>پیش‌وایی 2</v>
      </c>
      <c r="W413" s="86"/>
      <c r="X413" s="86"/>
    </row>
    <row r="414">
      <c r="A414" s="192">
        <v>413.0</v>
      </c>
      <c r="B414" s="193" t="s">
        <v>744</v>
      </c>
      <c r="C414" s="194" t="s">
        <v>745</v>
      </c>
      <c r="D414" s="195" t="str">
        <f>IFERROR(__xludf.DUMMYFUNCTION("ARRAYFORMULA(LET( converted, SUBSTITUTE( SUBSTITUTE( SUBSTITUTE( SUBSTITUTE( SUBSTITUTE( SUBSTITUTE( SUBSTITUTE( SUBSTITUTE( SUBSTITUTE( SUBSTITUTE( C414, ""۰"", ""0""), ""۱"", ""1""), ""۲"", ""2""), ""۳"", ""3""), ""۴"", ""4""), ""۵"", ""5""), ""۶"", ""6"&amp;"""), ""۷"", ""7""), ""۸"", ""8""), ""۹"", ""9""), IF(LEFT(converted,3)=""+98"", ""0"" &amp; RIGHT(converted, LEN(converted)-3), IF(LEFT(converted,2)=""98"", ""0"" &amp; RIGHT(converted, LEN(converted)-2), IF(LEFT(converted,1)&lt;&gt;""0"", ""0"" &amp; converted, REGEXREPLA"&amp;"CE(converted , ""\s"", """")) ) ) ) )"),"09359550435")</f>
        <v>09359550435</v>
      </c>
      <c r="E414" s="196" t="s">
        <v>17</v>
      </c>
      <c r="F414" s="197">
        <v>2.0</v>
      </c>
      <c r="G414" s="193"/>
      <c r="H414" s="193" t="s">
        <v>2702</v>
      </c>
      <c r="I414" s="194"/>
      <c r="J414" s="194" t="s">
        <v>748</v>
      </c>
      <c r="K414" s="199" t="s">
        <v>749</v>
      </c>
      <c r="L414" s="199" t="s">
        <v>750</v>
      </c>
      <c r="M414" s="193"/>
      <c r="N414" s="199"/>
      <c r="O414" s="199"/>
      <c r="P414" s="193"/>
      <c r="Q414" s="200"/>
      <c r="R414" s="86"/>
      <c r="S414" s="114">
        <f t="shared" ref="S414:T414" si="415">A414</f>
        <v>413</v>
      </c>
      <c r="T414" s="114" t="str">
        <f t="shared" si="415"/>
        <v>لیلا واژیر</v>
      </c>
      <c r="U414" s="86" t="str">
        <f t="shared" si="3"/>
        <v>09359550435</v>
      </c>
      <c r="V414" s="86" t="str">
        <f t="shared" si="4"/>
        <v>پیش‌وایی 2</v>
      </c>
      <c r="W414" s="86"/>
      <c r="X414" s="86"/>
    </row>
    <row r="415">
      <c r="A415" s="201">
        <v>414.0</v>
      </c>
      <c r="B415" s="202" t="s">
        <v>1163</v>
      </c>
      <c r="C415" s="203" t="s">
        <v>1164</v>
      </c>
      <c r="D415" s="204" t="str">
        <f>IFERROR(__xludf.DUMMYFUNCTION("ARRAYFORMULA(LET( converted, SUBSTITUTE( SUBSTITUTE( SUBSTITUTE( SUBSTITUTE( SUBSTITUTE( SUBSTITUTE( SUBSTITUTE( SUBSTITUTE( SUBSTITUTE( SUBSTITUTE( C415, ""۰"", ""0""), ""۱"", ""1""), ""۲"", ""2""), ""۳"", ""3""), ""۴"", ""4""), ""۵"", ""5""), ""۶"", ""6"&amp;"""), ""۷"", ""7""), ""۸"", ""8""), ""۹"", ""9""), IF(LEFT(converted,3)=""+98"", ""0"" &amp; RIGHT(converted, LEN(converted)-3), IF(LEFT(converted,2)=""98"", ""0"" &amp; RIGHT(converted, LEN(converted)-2), IF(LEFT(converted,1)&lt;&gt;""0"", ""0"" &amp; converted, REGEXREPLA"&amp;"CE(converted , ""\s"", """")) ) ) ) )"),"09190703697")</f>
        <v>09190703697</v>
      </c>
      <c r="E415" s="205" t="s">
        <v>17</v>
      </c>
      <c r="F415" s="206">
        <v>2.0</v>
      </c>
      <c r="G415" s="202"/>
      <c r="H415" s="202" t="s">
        <v>2703</v>
      </c>
      <c r="I415" s="203"/>
      <c r="J415" s="203" t="s">
        <v>2704</v>
      </c>
      <c r="K415" s="207" t="s">
        <v>1167</v>
      </c>
      <c r="L415" s="207" t="s">
        <v>1168</v>
      </c>
      <c r="M415" s="202"/>
      <c r="N415" s="207"/>
      <c r="O415" s="207"/>
      <c r="P415" s="202"/>
      <c r="Q415" s="208"/>
      <c r="R415" s="86"/>
      <c r="S415" s="114">
        <f t="shared" ref="S415:T415" si="416">A415</f>
        <v>414</v>
      </c>
      <c r="T415" s="114" t="str">
        <f t="shared" si="416"/>
        <v>میثم هوشمند</v>
      </c>
      <c r="U415" s="86" t="str">
        <f t="shared" si="3"/>
        <v>09190703697</v>
      </c>
      <c r="V415" s="86" t="str">
        <f t="shared" si="4"/>
        <v>پیش‌وایی 2</v>
      </c>
      <c r="W415" s="86"/>
      <c r="X415" s="86"/>
    </row>
    <row r="416">
      <c r="A416" s="192">
        <v>415.0</v>
      </c>
      <c r="B416" s="193" t="s">
        <v>2705</v>
      </c>
      <c r="C416" s="194" t="s">
        <v>2706</v>
      </c>
      <c r="D416" s="195" t="str">
        <f>IFERROR(__xludf.DUMMYFUNCTION("ARRAYFORMULA(LET( converted, SUBSTITUTE( SUBSTITUTE( SUBSTITUTE( SUBSTITUTE( SUBSTITUTE( SUBSTITUTE( SUBSTITUTE( SUBSTITUTE( SUBSTITUTE( SUBSTITUTE( C416, ""۰"", ""0""), ""۱"", ""1""), ""۲"", ""2""), ""۳"", ""3""), ""۴"", ""4""), ""۵"", ""5""), ""۶"", ""6"&amp;"""), ""۷"", ""7""), ""۸"", ""8""), ""۹"", ""9""), IF(LEFT(converted,3)=""+98"", ""0"" &amp; RIGHT(converted, LEN(converted)-3), IF(LEFT(converted,2)=""98"", ""0"" &amp; RIGHT(converted, LEN(converted)-2), IF(LEFT(converted,1)&lt;&gt;""0"", ""0"" &amp; converted, REGEXREPLA"&amp;"CE(converted , ""\s"", """")) ) ) ) )"),"09022468490")</f>
        <v>09022468490</v>
      </c>
      <c r="E416" s="196" t="s">
        <v>17</v>
      </c>
      <c r="F416" s="197">
        <v>2.0</v>
      </c>
      <c r="G416" s="193"/>
      <c r="H416" s="193" t="s">
        <v>2707</v>
      </c>
      <c r="I416" s="194"/>
      <c r="J416" s="194" t="s">
        <v>2708</v>
      </c>
      <c r="K416" s="199" t="s">
        <v>303</v>
      </c>
      <c r="L416" s="199" t="s">
        <v>2709</v>
      </c>
      <c r="M416" s="193"/>
      <c r="N416" s="199"/>
      <c r="O416" s="199"/>
      <c r="P416" s="193"/>
      <c r="Q416" s="200"/>
      <c r="R416" s="86"/>
      <c r="S416" s="114">
        <f t="shared" ref="S416:T416" si="417">A416</f>
        <v>415</v>
      </c>
      <c r="T416" s="114" t="str">
        <f t="shared" si="417"/>
        <v>محمد دل آرام</v>
      </c>
      <c r="U416" s="86" t="str">
        <f t="shared" si="3"/>
        <v>09022468490</v>
      </c>
      <c r="V416" s="86" t="str">
        <f t="shared" si="4"/>
        <v>پیش‌وایی 2</v>
      </c>
      <c r="W416" s="86"/>
      <c r="X416" s="86"/>
    </row>
    <row r="417">
      <c r="A417" s="201">
        <v>416.0</v>
      </c>
      <c r="B417" s="202" t="s">
        <v>2710</v>
      </c>
      <c r="C417" s="203" t="s">
        <v>2711</v>
      </c>
      <c r="D417" s="204" t="str">
        <f>IFERROR(__xludf.DUMMYFUNCTION("ARRAYFORMULA(LET( converted, SUBSTITUTE( SUBSTITUTE( SUBSTITUTE( SUBSTITUTE( SUBSTITUTE( SUBSTITUTE( SUBSTITUTE( SUBSTITUTE( SUBSTITUTE( SUBSTITUTE( C417, ""۰"", ""0""), ""۱"", ""1""), ""۲"", ""2""), ""۳"", ""3""), ""۴"", ""4""), ""۵"", ""5""), ""۶"", ""6"&amp;"""), ""۷"", ""7""), ""۸"", ""8""), ""۹"", ""9""), IF(LEFT(converted,3)=""+98"", ""0"" &amp; RIGHT(converted, LEN(converted)-3), IF(LEFT(converted,2)=""98"", ""0"" &amp; RIGHT(converted, LEN(converted)-2), IF(LEFT(converted,1)&lt;&gt;""0"", ""0"" &amp; converted, REGEXREPLA"&amp;"CE(converted , ""\s"", """")) ) ) ) )"),"09125063572")</f>
        <v>09125063572</v>
      </c>
      <c r="E417" s="205" t="s">
        <v>17</v>
      </c>
      <c r="F417" s="206">
        <v>2.0</v>
      </c>
      <c r="G417" s="202"/>
      <c r="H417" s="202" t="s">
        <v>2712</v>
      </c>
      <c r="I417" s="203"/>
      <c r="J417" s="203"/>
      <c r="K417" s="207" t="s">
        <v>1004</v>
      </c>
      <c r="L417" s="207" t="s">
        <v>920</v>
      </c>
      <c r="M417" s="202"/>
      <c r="N417" s="207"/>
      <c r="O417" s="207"/>
      <c r="P417" s="202"/>
      <c r="Q417" s="208"/>
      <c r="R417" s="86"/>
      <c r="S417" s="114">
        <f t="shared" ref="S417:T417" si="418">A417</f>
        <v>416</v>
      </c>
      <c r="T417" s="114" t="str">
        <f t="shared" si="418"/>
        <v>حامد سلیمانی</v>
      </c>
      <c r="U417" s="86" t="str">
        <f t="shared" si="3"/>
        <v>09125063572</v>
      </c>
      <c r="V417" s="86" t="str">
        <f t="shared" si="4"/>
        <v>پیش‌وایی 2</v>
      </c>
      <c r="W417" s="86"/>
      <c r="X417" s="86"/>
    </row>
    <row r="418">
      <c r="A418" s="192">
        <v>417.0</v>
      </c>
      <c r="B418" s="193" t="s">
        <v>2713</v>
      </c>
      <c r="C418" s="194" t="s">
        <v>2714</v>
      </c>
      <c r="D418" s="195" t="str">
        <f>IFERROR(__xludf.DUMMYFUNCTION("ARRAYFORMULA(LET( converted, SUBSTITUTE( SUBSTITUTE( SUBSTITUTE( SUBSTITUTE( SUBSTITUTE( SUBSTITUTE( SUBSTITUTE( SUBSTITUTE( SUBSTITUTE( SUBSTITUTE( C418, ""۰"", ""0""), ""۱"", ""1""), ""۲"", ""2""), ""۳"", ""3""), ""۴"", ""4""), ""۵"", ""5""), ""۶"", ""6"&amp;"""), ""۷"", ""7""), ""۸"", ""8""), ""۹"", ""9""), IF(LEFT(converted,3)=""+98"", ""0"" &amp; RIGHT(converted, LEN(converted)-3), IF(LEFT(converted,2)=""98"", ""0"" &amp; RIGHT(converted, LEN(converted)-2), IF(LEFT(converted,1)&lt;&gt;""0"", ""0"" &amp; converted, REGEXREPLA"&amp;"CE(converted , ""\s"", """")) ) ) ) )"),"09113726846")</f>
        <v>09113726846</v>
      </c>
      <c r="E418" s="196" t="s">
        <v>17</v>
      </c>
      <c r="F418" s="197">
        <v>2.0</v>
      </c>
      <c r="G418" s="193"/>
      <c r="H418" s="193" t="s">
        <v>2715</v>
      </c>
      <c r="I418" s="194"/>
      <c r="J418" s="194"/>
      <c r="K418" s="199" t="s">
        <v>2716</v>
      </c>
      <c r="L418" s="199" t="s">
        <v>2717</v>
      </c>
      <c r="M418" s="193"/>
      <c r="N418" s="199"/>
      <c r="O418" s="199"/>
      <c r="P418" s="193"/>
      <c r="Q418" s="200"/>
      <c r="R418" s="86"/>
      <c r="S418" s="114">
        <f t="shared" ref="S418:T418" si="419">A418</f>
        <v>417</v>
      </c>
      <c r="T418" s="114" t="str">
        <f t="shared" si="419"/>
        <v>فریدون ایزدی</v>
      </c>
      <c r="U418" s="86" t="str">
        <f t="shared" si="3"/>
        <v>09113726846</v>
      </c>
      <c r="V418" s="86" t="str">
        <f t="shared" si="4"/>
        <v>پیش‌وایی 2</v>
      </c>
      <c r="W418" s="86"/>
      <c r="X418" s="86"/>
    </row>
    <row r="419">
      <c r="A419" s="201">
        <v>418.0</v>
      </c>
      <c r="B419" s="202" t="s">
        <v>2718</v>
      </c>
      <c r="C419" s="203" t="s">
        <v>2719</v>
      </c>
      <c r="D419" s="204" t="str">
        <f>IFERROR(__xludf.DUMMYFUNCTION("ARRAYFORMULA(LET( converted, SUBSTITUTE( SUBSTITUTE( SUBSTITUTE( SUBSTITUTE( SUBSTITUTE( SUBSTITUTE( SUBSTITUTE( SUBSTITUTE( SUBSTITUTE( SUBSTITUTE( C419, ""۰"", ""0""), ""۱"", ""1""), ""۲"", ""2""), ""۳"", ""3""), ""۴"", ""4""), ""۵"", ""5""), ""۶"", ""6"&amp;"""), ""۷"", ""7""), ""۸"", ""8""), ""۹"", ""9""), IF(LEFT(converted,3)=""+98"", ""0"" &amp; RIGHT(converted, LEN(converted)-3), IF(LEFT(converted,2)=""98"", ""0"" &amp; RIGHT(converted, LEN(converted)-2), IF(LEFT(converted,1)&lt;&gt;""0"", ""0"" &amp; converted, REGEXREPLA"&amp;"CE(converted , ""\s"", """")) ) ) ) )"),"09122064560")</f>
        <v>09122064560</v>
      </c>
      <c r="E419" s="205" t="s">
        <v>17</v>
      </c>
      <c r="F419" s="206">
        <v>2.0</v>
      </c>
      <c r="G419" s="202"/>
      <c r="H419" s="202" t="s">
        <v>2720</v>
      </c>
      <c r="I419" s="203"/>
      <c r="J419" s="203" t="s">
        <v>2721</v>
      </c>
      <c r="K419" s="207" t="s">
        <v>1374</v>
      </c>
      <c r="L419" s="207" t="s">
        <v>2722</v>
      </c>
      <c r="M419" s="202"/>
      <c r="N419" s="207"/>
      <c r="O419" s="207"/>
      <c r="P419" s="202"/>
      <c r="Q419" s="208"/>
      <c r="R419" s="86"/>
      <c r="S419" s="114">
        <f t="shared" ref="S419:T419" si="420">A419</f>
        <v>418</v>
      </c>
      <c r="T419" s="114" t="str">
        <f t="shared" si="420"/>
        <v>امیر اخوت</v>
      </c>
      <c r="U419" s="86" t="str">
        <f t="shared" si="3"/>
        <v>09122064560</v>
      </c>
      <c r="V419" s="86" t="str">
        <f t="shared" si="4"/>
        <v>پیش‌وایی 2</v>
      </c>
      <c r="W419" s="86"/>
      <c r="X419" s="86"/>
    </row>
    <row r="420">
      <c r="A420" s="192">
        <v>419.0</v>
      </c>
      <c r="B420" s="193" t="s">
        <v>123</v>
      </c>
      <c r="C420" s="194" t="s">
        <v>957</v>
      </c>
      <c r="D420" s="195" t="str">
        <f>IFERROR(__xludf.DUMMYFUNCTION("ARRAYFORMULA(LET( converted, SUBSTITUTE( SUBSTITUTE( SUBSTITUTE( SUBSTITUTE( SUBSTITUTE( SUBSTITUTE( SUBSTITUTE( SUBSTITUTE( SUBSTITUTE( SUBSTITUTE( C420, ""۰"", ""0""), ""۱"", ""1""), ""۲"", ""2""), ""۳"", ""3""), ""۴"", ""4""), ""۵"", ""5""), ""۶"", ""6"&amp;"""), ""۷"", ""7""), ""۸"", ""8""), ""۹"", ""9""), IF(LEFT(converted,3)=""+98"", ""0"" &amp; RIGHT(converted, LEN(converted)-3), IF(LEFT(converted,2)=""98"", ""0"" &amp; RIGHT(converted, LEN(converted)-2), IF(LEFT(converted,1)&lt;&gt;""0"", ""0"" &amp; converted, REGEXREPLA"&amp;"CE(converted , ""\s"", """")) ) ) ) )"),"09391991004")</f>
        <v>09391991004</v>
      </c>
      <c r="E420" s="196" t="s">
        <v>17</v>
      </c>
      <c r="F420" s="197">
        <v>2.0</v>
      </c>
      <c r="G420" s="193"/>
      <c r="H420" s="198" t="s">
        <v>958</v>
      </c>
      <c r="I420" s="194"/>
      <c r="J420" s="194" t="s">
        <v>959</v>
      </c>
      <c r="K420" s="199" t="s">
        <v>960</v>
      </c>
      <c r="L420" s="199" t="s">
        <v>961</v>
      </c>
      <c r="M420" s="193"/>
      <c r="N420" s="199"/>
      <c r="O420" s="199"/>
      <c r="P420" s="193"/>
      <c r="Q420" s="200"/>
      <c r="R420" s="86"/>
      <c r="S420" s="114">
        <f t="shared" ref="S420:T420" si="421">A420</f>
        <v>419</v>
      </c>
      <c r="T420" s="114" t="str">
        <f t="shared" si="421"/>
        <v>احمد ایزدپور</v>
      </c>
      <c r="U420" s="86" t="str">
        <f t="shared" si="3"/>
        <v>09391991004</v>
      </c>
      <c r="V420" s="86" t="str">
        <f t="shared" si="4"/>
        <v>پیش‌وایی 2</v>
      </c>
      <c r="W420" s="86"/>
      <c r="X420" s="86"/>
    </row>
    <row r="421">
      <c r="A421" s="201">
        <v>420.0</v>
      </c>
      <c r="B421" s="202" t="s">
        <v>2723</v>
      </c>
      <c r="C421" s="203" t="s">
        <v>2724</v>
      </c>
      <c r="D421" s="204" t="str">
        <f>IFERROR(__xludf.DUMMYFUNCTION("ARRAYFORMULA(LET( converted, SUBSTITUTE( SUBSTITUTE( SUBSTITUTE( SUBSTITUTE( SUBSTITUTE( SUBSTITUTE( SUBSTITUTE( SUBSTITUTE( SUBSTITUTE( SUBSTITUTE( C421, ""۰"", ""0""), ""۱"", ""1""), ""۲"", ""2""), ""۳"", ""3""), ""۴"", ""4""), ""۵"", ""5""), ""۶"", ""6"&amp;"""), ""۷"", ""7""), ""۸"", ""8""), ""۹"", ""9""), IF(LEFT(converted,3)=""+98"", ""0"" &amp; RIGHT(converted, LEN(converted)-3), IF(LEFT(converted,2)=""98"", ""0"" &amp; RIGHT(converted, LEN(converted)-2), IF(LEFT(converted,1)&lt;&gt;""0"", ""0"" &amp; converted, REGEXREPLA"&amp;"CE(converted , ""\s"", """")) ) ) ) )"),"09127249525")</f>
        <v>09127249525</v>
      </c>
      <c r="E421" s="205" t="s">
        <v>17</v>
      </c>
      <c r="F421" s="206">
        <v>2.0</v>
      </c>
      <c r="G421" s="202"/>
      <c r="H421" s="202" t="s">
        <v>2725</v>
      </c>
      <c r="I421" s="203"/>
      <c r="J421" s="203" t="s">
        <v>2726</v>
      </c>
      <c r="K421" s="207" t="s">
        <v>2727</v>
      </c>
      <c r="L421" s="207" t="s">
        <v>2728</v>
      </c>
      <c r="M421" s="202"/>
      <c r="N421" s="207"/>
      <c r="O421" s="207"/>
      <c r="P421" s="202"/>
      <c r="Q421" s="208"/>
      <c r="R421" s="86"/>
      <c r="S421" s="114">
        <f t="shared" ref="S421:T421" si="422">A421</f>
        <v>420</v>
      </c>
      <c r="T421" s="114" t="str">
        <f t="shared" si="422"/>
        <v>ارشاد بحرانی</v>
      </c>
      <c r="U421" s="86" t="str">
        <f t="shared" si="3"/>
        <v>09127249525</v>
      </c>
      <c r="V421" s="86" t="str">
        <f t="shared" si="4"/>
        <v>پیش‌وایی 2</v>
      </c>
      <c r="W421" s="86"/>
      <c r="X421" s="86"/>
    </row>
    <row r="422">
      <c r="A422" s="192">
        <v>421.0</v>
      </c>
      <c r="B422" s="193" t="s">
        <v>1752</v>
      </c>
      <c r="C422" s="194" t="s">
        <v>1753</v>
      </c>
      <c r="D422" s="195" t="str">
        <f>IFERROR(__xludf.DUMMYFUNCTION("ARRAYFORMULA(LET( converted, SUBSTITUTE( SUBSTITUTE( SUBSTITUTE( SUBSTITUTE( SUBSTITUTE( SUBSTITUTE( SUBSTITUTE( SUBSTITUTE( SUBSTITUTE( SUBSTITUTE( C422, ""۰"", ""0""), ""۱"", ""1""), ""۲"", ""2""), ""۳"", ""3""), ""۴"", ""4""), ""۵"", ""5""), ""۶"", ""6"&amp;"""), ""۷"", ""7""), ""۸"", ""8""), ""۹"", ""9""), IF(LEFT(converted,3)=""+98"", ""0"" &amp; RIGHT(converted, LEN(converted)-3), IF(LEFT(converted,2)=""98"", ""0"" &amp; RIGHT(converted, LEN(converted)-2), IF(LEFT(converted,1)&lt;&gt;""0"", ""0"" &amp; converted, REGEXREPLA"&amp;"CE(converted , ""\s"", """")) ) ) ) )"),"09184764661")</f>
        <v>09184764661</v>
      </c>
      <c r="E422" s="196" t="s">
        <v>17</v>
      </c>
      <c r="F422" s="197">
        <v>2.0</v>
      </c>
      <c r="G422" s="193"/>
      <c r="H422" s="198" t="s">
        <v>1754</v>
      </c>
      <c r="I422" s="194"/>
      <c r="J422" s="194" t="s">
        <v>2729</v>
      </c>
      <c r="K422" s="199" t="s">
        <v>1755</v>
      </c>
      <c r="L422" s="199" t="s">
        <v>237</v>
      </c>
      <c r="M422" s="193"/>
      <c r="N422" s="199"/>
      <c r="O422" s="199"/>
      <c r="P422" s="193"/>
      <c r="Q422" s="200"/>
      <c r="R422" s="86"/>
      <c r="S422" s="114">
        <f t="shared" ref="S422:T422" si="423">A422</f>
        <v>421</v>
      </c>
      <c r="T422" s="114" t="str">
        <f t="shared" si="423"/>
        <v>کامیاب فرهادی</v>
      </c>
      <c r="U422" s="86" t="str">
        <f t="shared" si="3"/>
        <v>09184764661</v>
      </c>
      <c r="V422" s="86" t="str">
        <f t="shared" si="4"/>
        <v>پیش‌وایی 2</v>
      </c>
      <c r="W422" s="86"/>
      <c r="X422" s="86"/>
    </row>
    <row r="423">
      <c r="A423" s="201">
        <v>422.0</v>
      </c>
      <c r="B423" s="202" t="s">
        <v>2730</v>
      </c>
      <c r="C423" s="203" t="s">
        <v>2731</v>
      </c>
      <c r="D423" s="204" t="str">
        <f>IFERROR(__xludf.DUMMYFUNCTION("ARRAYFORMULA(LET( converted, SUBSTITUTE( SUBSTITUTE( SUBSTITUTE( SUBSTITUTE( SUBSTITUTE( SUBSTITUTE( SUBSTITUTE( SUBSTITUTE( SUBSTITUTE( SUBSTITUTE( C423, ""۰"", ""0""), ""۱"", ""1""), ""۲"", ""2""), ""۳"", ""3""), ""۴"", ""4""), ""۵"", ""5""), ""۶"", ""6"&amp;"""), ""۷"", ""7""), ""۸"", ""8""), ""۹"", ""9""), IF(LEFT(converted,3)=""+98"", ""0"" &amp; RIGHT(converted, LEN(converted)-3), IF(LEFT(converted,2)=""98"", ""0"" &amp; RIGHT(converted, LEN(converted)-2), IF(LEFT(converted,1)&lt;&gt;""0"", ""0"" &amp; converted, REGEXREPLA"&amp;"CE(converted , ""\s"", """")) ) ) ) )"),"09122217484")</f>
        <v>09122217484</v>
      </c>
      <c r="E423" s="205" t="s">
        <v>17</v>
      </c>
      <c r="F423" s="206">
        <v>2.0</v>
      </c>
      <c r="G423" s="202"/>
      <c r="H423" s="202" t="s">
        <v>2732</v>
      </c>
      <c r="I423" s="203"/>
      <c r="J423" s="203"/>
      <c r="K423" s="207" t="s">
        <v>1459</v>
      </c>
      <c r="L423" s="207" t="s">
        <v>1855</v>
      </c>
      <c r="M423" s="202"/>
      <c r="N423" s="207"/>
      <c r="O423" s="207"/>
      <c r="P423" s="202"/>
      <c r="Q423" s="208"/>
      <c r="R423" s="86"/>
      <c r="S423" s="114">
        <f t="shared" ref="S423:T423" si="424">A423</f>
        <v>422</v>
      </c>
      <c r="T423" s="114" t="str">
        <f t="shared" si="424"/>
        <v>رضا ذوالفقاری</v>
      </c>
      <c r="U423" s="86" t="str">
        <f t="shared" si="3"/>
        <v>09122217484</v>
      </c>
      <c r="V423" s="86" t="str">
        <f t="shared" si="4"/>
        <v>پیش‌وایی 2</v>
      </c>
      <c r="W423" s="86"/>
      <c r="X423" s="86"/>
    </row>
    <row r="424">
      <c r="A424" s="192">
        <v>423.0</v>
      </c>
      <c r="B424" s="193" t="s">
        <v>2733</v>
      </c>
      <c r="C424" s="194" t="s">
        <v>2734</v>
      </c>
      <c r="D424" s="195" t="str">
        <f>IFERROR(__xludf.DUMMYFUNCTION("ARRAYFORMULA(LET( converted, SUBSTITUTE( SUBSTITUTE( SUBSTITUTE( SUBSTITUTE( SUBSTITUTE( SUBSTITUTE( SUBSTITUTE( SUBSTITUTE( SUBSTITUTE( SUBSTITUTE( C424, ""۰"", ""0""), ""۱"", ""1""), ""۲"", ""2""), ""۳"", ""3""), ""۴"", ""4""), ""۵"", ""5""), ""۶"", ""6"&amp;"""), ""۷"", ""7""), ""۸"", ""8""), ""۹"", ""9""), IF(LEFT(converted,3)=""+98"", ""0"" &amp; RIGHT(converted, LEN(converted)-3), IF(LEFT(converted,2)=""98"", ""0"" &amp; RIGHT(converted, LEN(converted)-2), IF(LEFT(converted,1)&lt;&gt;""0"", ""0"" &amp; converted, REGEXREPLA"&amp;"CE(converted , ""\s"", """")) ) ) ) )"),"09121425430")</f>
        <v>09121425430</v>
      </c>
      <c r="E424" s="196" t="s">
        <v>17</v>
      </c>
      <c r="F424" s="197">
        <v>2.0</v>
      </c>
      <c r="G424" s="193"/>
      <c r="H424" s="198" t="s">
        <v>2735</v>
      </c>
      <c r="I424" s="194"/>
      <c r="J424" s="194"/>
      <c r="K424" s="199" t="s">
        <v>2736</v>
      </c>
      <c r="L424" s="199" t="s">
        <v>1811</v>
      </c>
      <c r="M424" s="193"/>
      <c r="N424" s="199"/>
      <c r="O424" s="199"/>
      <c r="P424" s="193"/>
      <c r="Q424" s="200"/>
      <c r="R424" s="86"/>
      <c r="S424" s="114">
        <f t="shared" ref="S424:T424" si="425">A424</f>
        <v>423</v>
      </c>
      <c r="T424" s="114" t="str">
        <f t="shared" si="425"/>
        <v>مهفام حسنی</v>
      </c>
      <c r="U424" s="86" t="str">
        <f t="shared" si="3"/>
        <v>09121425430</v>
      </c>
      <c r="V424" s="86" t="str">
        <f t="shared" si="4"/>
        <v>پیش‌وایی 2</v>
      </c>
      <c r="W424" s="86"/>
      <c r="X424" s="86"/>
    </row>
    <row r="425">
      <c r="A425" s="201">
        <v>424.0</v>
      </c>
      <c r="B425" s="202" t="s">
        <v>2737</v>
      </c>
      <c r="C425" s="203" t="s">
        <v>2738</v>
      </c>
      <c r="D425" s="204" t="str">
        <f>IFERROR(__xludf.DUMMYFUNCTION("ARRAYFORMULA(LET( converted, SUBSTITUTE( SUBSTITUTE( SUBSTITUTE( SUBSTITUTE( SUBSTITUTE( SUBSTITUTE( SUBSTITUTE( SUBSTITUTE( SUBSTITUTE( SUBSTITUTE( C425, ""۰"", ""0""), ""۱"", ""1""), ""۲"", ""2""), ""۳"", ""3""), ""۴"", ""4""), ""۵"", ""5""), ""۶"", ""6"&amp;"""), ""۷"", ""7""), ""۸"", ""8""), ""۹"", ""9""), IF(LEFT(converted,3)=""+98"", ""0"" &amp; RIGHT(converted, LEN(converted)-3), IF(LEFT(converted,2)=""98"", ""0"" &amp; RIGHT(converted, LEN(converted)-2), IF(LEFT(converted,1)&lt;&gt;""0"", ""0"" &amp; converted, REGEXREPLA"&amp;"CE(converted , ""\s"", """")) ) ) ) )"),"09124248013")</f>
        <v>09124248013</v>
      </c>
      <c r="E425" s="205" t="s">
        <v>17</v>
      </c>
      <c r="F425" s="206">
        <v>2.0</v>
      </c>
      <c r="G425" s="202"/>
      <c r="H425" s="209" t="s">
        <v>2739</v>
      </c>
      <c r="I425" s="203"/>
      <c r="J425" s="203" t="s">
        <v>2740</v>
      </c>
      <c r="K425" s="207" t="s">
        <v>292</v>
      </c>
      <c r="L425" s="207" t="s">
        <v>2741</v>
      </c>
      <c r="M425" s="202"/>
      <c r="N425" s="207"/>
      <c r="O425" s="207"/>
      <c r="P425" s="202"/>
      <c r="Q425" s="208"/>
      <c r="R425" s="86"/>
      <c r="S425" s="114">
        <f t="shared" ref="S425:T425" si="426">A425</f>
        <v>424</v>
      </c>
      <c r="T425" s="114" t="str">
        <f t="shared" si="426"/>
        <v>مریم فتح الله</v>
      </c>
      <c r="U425" s="86" t="str">
        <f t="shared" si="3"/>
        <v>09124248013</v>
      </c>
      <c r="V425" s="86" t="str">
        <f t="shared" si="4"/>
        <v>پیش‌وایی 2</v>
      </c>
      <c r="W425" s="86"/>
      <c r="X425" s="86"/>
    </row>
    <row r="426">
      <c r="A426" s="192">
        <v>425.0</v>
      </c>
      <c r="B426" s="193" t="s">
        <v>2742</v>
      </c>
      <c r="C426" s="194" t="s">
        <v>2743</v>
      </c>
      <c r="D426" s="195" t="str">
        <f>IFERROR(__xludf.DUMMYFUNCTION("ARRAYFORMULA(LET( converted, SUBSTITUTE( SUBSTITUTE( SUBSTITUTE( SUBSTITUTE( SUBSTITUTE( SUBSTITUTE( SUBSTITUTE( SUBSTITUTE( SUBSTITUTE( SUBSTITUTE( C426, ""۰"", ""0""), ""۱"", ""1""), ""۲"", ""2""), ""۳"", ""3""), ""۴"", ""4""), ""۵"", ""5""), ""۶"", ""6"&amp;"""), ""۷"", ""7""), ""۸"", ""8""), ""۹"", ""9""), IF(LEFT(converted,3)=""+98"", ""0"" &amp; RIGHT(converted, LEN(converted)-3), IF(LEFT(converted,2)=""98"", ""0"" &amp; RIGHT(converted, LEN(converted)-2), IF(LEFT(converted,1)&lt;&gt;""0"", ""0"" &amp; converted, REGEXREPLA"&amp;"CE(converted , ""\s"", """")) ) ) ) )"),"09121780521")</f>
        <v>09121780521</v>
      </c>
      <c r="E426" s="196" t="s">
        <v>17</v>
      </c>
      <c r="F426" s="197">
        <v>2.0</v>
      </c>
      <c r="G426" s="193"/>
      <c r="H426" s="198" t="s">
        <v>2744</v>
      </c>
      <c r="I426" s="194"/>
      <c r="J426" s="194" t="s">
        <v>2745</v>
      </c>
      <c r="K426" s="199" t="s">
        <v>2746</v>
      </c>
      <c r="L426" s="199" t="s">
        <v>2747</v>
      </c>
      <c r="M426" s="193"/>
      <c r="N426" s="199"/>
      <c r="O426" s="199"/>
      <c r="P426" s="193"/>
      <c r="Q426" s="200"/>
      <c r="R426" s="86"/>
      <c r="S426" s="114">
        <f t="shared" ref="S426:T426" si="427">A426</f>
        <v>425</v>
      </c>
      <c r="T426" s="114" t="str">
        <f t="shared" si="427"/>
        <v>پارسا جانباز</v>
      </c>
      <c r="U426" s="86" t="str">
        <f t="shared" si="3"/>
        <v>09121780521</v>
      </c>
      <c r="V426" s="86" t="str">
        <f t="shared" si="4"/>
        <v>پیش‌وایی 2</v>
      </c>
      <c r="W426" s="86"/>
      <c r="X426" s="86"/>
    </row>
    <row r="427">
      <c r="A427" s="201">
        <v>426.0</v>
      </c>
      <c r="B427" s="202" t="s">
        <v>2748</v>
      </c>
      <c r="C427" s="203" t="s">
        <v>2749</v>
      </c>
      <c r="D427" s="204" t="str">
        <f>IFERROR(__xludf.DUMMYFUNCTION("ARRAYFORMULA(LET( converted, SUBSTITUTE( SUBSTITUTE( SUBSTITUTE( SUBSTITUTE( SUBSTITUTE( SUBSTITUTE( SUBSTITUTE( SUBSTITUTE( SUBSTITUTE( SUBSTITUTE( C427, ""۰"", ""0""), ""۱"", ""1""), ""۲"", ""2""), ""۳"", ""3""), ""۴"", ""4""), ""۵"", ""5""), ""۶"", ""6"&amp;"""), ""۷"", ""7""), ""۸"", ""8""), ""۹"", ""9""), IF(LEFT(converted,3)=""+98"", ""0"" &amp; RIGHT(converted, LEN(converted)-3), IF(LEFT(converted,2)=""98"", ""0"" &amp; RIGHT(converted, LEN(converted)-2), IF(LEFT(converted,1)&lt;&gt;""0"", ""0"" &amp; converted, REGEXREPLA"&amp;"CE(converted , ""\s"", """")) ) ) ) )"),"09138009498")</f>
        <v>09138009498</v>
      </c>
      <c r="E427" s="205" t="s">
        <v>17</v>
      </c>
      <c r="F427" s="206">
        <v>2.0</v>
      </c>
      <c r="G427" s="202"/>
      <c r="H427" s="202" t="s">
        <v>2750</v>
      </c>
      <c r="I427" s="203"/>
      <c r="J427" s="203"/>
      <c r="K427" s="207" t="s">
        <v>209</v>
      </c>
      <c r="L427" s="207" t="s">
        <v>2751</v>
      </c>
      <c r="M427" s="202"/>
      <c r="N427" s="207"/>
      <c r="O427" s="207"/>
      <c r="P427" s="202"/>
      <c r="Q427" s="208"/>
      <c r="R427" s="86"/>
      <c r="S427" s="114">
        <f t="shared" ref="S427:T427" si="428">A427</f>
        <v>426</v>
      </c>
      <c r="T427" s="114" t="str">
        <f t="shared" si="428"/>
        <v>بهروز باجغلی</v>
      </c>
      <c r="U427" s="86" t="str">
        <f t="shared" si="3"/>
        <v>09138009498</v>
      </c>
      <c r="V427" s="86" t="str">
        <f t="shared" si="4"/>
        <v>پیش‌وایی 2</v>
      </c>
      <c r="W427" s="86"/>
      <c r="X427" s="86"/>
    </row>
    <row r="428">
      <c r="A428" s="192">
        <v>427.0</v>
      </c>
      <c r="B428" s="193" t="s">
        <v>2752</v>
      </c>
      <c r="C428" s="194" t="s">
        <v>2753</v>
      </c>
      <c r="D428" s="195" t="str">
        <f>IFERROR(__xludf.DUMMYFUNCTION("ARRAYFORMULA(LET( converted, SUBSTITUTE( SUBSTITUTE( SUBSTITUTE( SUBSTITUTE( SUBSTITUTE( SUBSTITUTE( SUBSTITUTE( SUBSTITUTE( SUBSTITUTE( SUBSTITUTE( C428, ""۰"", ""0""), ""۱"", ""1""), ""۲"", ""2""), ""۳"", ""3""), ""۴"", ""4""), ""۵"", ""5""), ""۶"", ""6"&amp;"""), ""۷"", ""7""), ""۸"", ""8""), ""۹"", ""9""), IF(LEFT(converted,3)=""+98"", ""0"" &amp; RIGHT(converted, LEN(converted)-3), IF(LEFT(converted,2)=""98"", ""0"" &amp; RIGHT(converted, LEN(converted)-2), IF(LEFT(converted,1)&lt;&gt;""0"", ""0"" &amp; converted, REGEXREPLA"&amp;"CE(converted , ""\s"", """")) ) ) ) )"),"09356771677")</f>
        <v>09356771677</v>
      </c>
      <c r="E428" s="196" t="s">
        <v>17</v>
      </c>
      <c r="F428" s="197">
        <v>2.0</v>
      </c>
      <c r="G428" s="193"/>
      <c r="H428" s="193" t="s">
        <v>2754</v>
      </c>
      <c r="I428" s="194"/>
      <c r="J428" s="194"/>
      <c r="K428" s="199" t="s">
        <v>2755</v>
      </c>
      <c r="L428" s="199" t="s">
        <v>2624</v>
      </c>
      <c r="M428" s="193"/>
      <c r="N428" s="199"/>
      <c r="O428" s="199"/>
      <c r="P428" s="193"/>
      <c r="Q428" s="200"/>
      <c r="R428" s="86"/>
      <c r="S428" s="114">
        <f t="shared" ref="S428:T428" si="429">A428</f>
        <v>427</v>
      </c>
      <c r="T428" s="114" t="str">
        <f t="shared" si="429"/>
        <v>امیر مهدی قاسمی</v>
      </c>
      <c r="U428" s="86" t="str">
        <f t="shared" si="3"/>
        <v>09356771677</v>
      </c>
      <c r="V428" s="86" t="str">
        <f t="shared" si="4"/>
        <v>پیش‌وایی 2</v>
      </c>
      <c r="W428" s="86"/>
      <c r="X428" s="86"/>
    </row>
    <row r="429">
      <c r="A429" s="201">
        <v>428.0</v>
      </c>
      <c r="B429" s="202" t="s">
        <v>2756</v>
      </c>
      <c r="C429" s="203" t="s">
        <v>2757</v>
      </c>
      <c r="D429" s="204" t="str">
        <f>IFERROR(__xludf.DUMMYFUNCTION("ARRAYFORMULA(LET( converted, SUBSTITUTE( SUBSTITUTE( SUBSTITUTE( SUBSTITUTE( SUBSTITUTE( SUBSTITUTE( SUBSTITUTE( SUBSTITUTE( SUBSTITUTE( SUBSTITUTE( C429, ""۰"", ""0""), ""۱"", ""1""), ""۲"", ""2""), ""۳"", ""3""), ""۴"", ""4""), ""۵"", ""5""), ""۶"", ""6"&amp;"""), ""۷"", ""7""), ""۸"", ""8""), ""۹"", ""9""), IF(LEFT(converted,3)=""+98"", ""0"" &amp; RIGHT(converted, LEN(converted)-3), IF(LEFT(converted,2)=""98"", ""0"" &amp; RIGHT(converted, LEN(converted)-2), IF(LEFT(converted,1)&lt;&gt;""0"", ""0"" &amp; converted, REGEXREPLA"&amp;"CE(converted , ""\s"", """")) ) ) ) )"),"09128128172")</f>
        <v>09128128172</v>
      </c>
      <c r="E429" s="205" t="s">
        <v>17</v>
      </c>
      <c r="F429" s="206">
        <v>2.0</v>
      </c>
      <c r="G429" s="202"/>
      <c r="H429" s="202" t="s">
        <v>2758</v>
      </c>
      <c r="I429" s="203"/>
      <c r="J429" s="203" t="s">
        <v>2759</v>
      </c>
      <c r="K429" s="207" t="s">
        <v>1004</v>
      </c>
      <c r="L429" s="207" t="s">
        <v>2760</v>
      </c>
      <c r="M429" s="202"/>
      <c r="N429" s="207"/>
      <c r="O429" s="207"/>
      <c r="P429" s="202"/>
      <c r="Q429" s="208"/>
      <c r="R429" s="86"/>
      <c r="S429" s="114">
        <f t="shared" ref="S429:T429" si="430">A429</f>
        <v>428</v>
      </c>
      <c r="T429" s="114" t="str">
        <f t="shared" si="430"/>
        <v>حامد غضنفری</v>
      </c>
      <c r="U429" s="86" t="str">
        <f t="shared" si="3"/>
        <v>09128128172</v>
      </c>
      <c r="V429" s="86" t="str">
        <f t="shared" si="4"/>
        <v>پیش‌وایی 2</v>
      </c>
      <c r="W429" s="86"/>
      <c r="X429" s="86"/>
    </row>
    <row r="430">
      <c r="A430" s="192">
        <v>429.0</v>
      </c>
      <c r="B430" s="193" t="s">
        <v>2761</v>
      </c>
      <c r="C430" s="194" t="s">
        <v>2762</v>
      </c>
      <c r="D430" s="195" t="str">
        <f>IFERROR(__xludf.DUMMYFUNCTION("ARRAYFORMULA(LET( converted, SUBSTITUTE( SUBSTITUTE( SUBSTITUTE( SUBSTITUTE( SUBSTITUTE( SUBSTITUTE( SUBSTITUTE( SUBSTITUTE( SUBSTITUTE( SUBSTITUTE( C430, ""۰"", ""0""), ""۱"", ""1""), ""۲"", ""2""), ""۳"", ""3""), ""۴"", ""4""), ""۵"", ""5""), ""۶"", ""6"&amp;"""), ""۷"", ""7""), ""۸"", ""8""), ""۹"", ""9""), IF(LEFT(converted,3)=""+98"", ""0"" &amp; RIGHT(converted, LEN(converted)-3), IF(LEFT(converted,2)=""98"", ""0"" &amp; RIGHT(converted, LEN(converted)-2), IF(LEFT(converted,1)&lt;&gt;""0"", ""0"" &amp; converted, REGEXREPLA"&amp;"CE(converted , ""\s"", """")) ) ) ) )"),"09125361405")</f>
        <v>09125361405</v>
      </c>
      <c r="E430" s="196" t="s">
        <v>17</v>
      </c>
      <c r="F430" s="197">
        <v>2.0</v>
      </c>
      <c r="G430" s="193"/>
      <c r="H430" s="198" t="s">
        <v>2763</v>
      </c>
      <c r="I430" s="194"/>
      <c r="J430" s="194"/>
      <c r="K430" s="199" t="s">
        <v>1985</v>
      </c>
      <c r="L430" s="199" t="s">
        <v>1738</v>
      </c>
      <c r="M430" s="193"/>
      <c r="N430" s="199"/>
      <c r="O430" s="199"/>
      <c r="P430" s="193"/>
      <c r="Q430" s="200"/>
      <c r="R430" s="86"/>
      <c r="S430" s="114">
        <f t="shared" ref="S430:T430" si="431">A430</f>
        <v>429</v>
      </c>
      <c r="T430" s="114" t="str">
        <f t="shared" si="431"/>
        <v>هامون حقیقی فرد</v>
      </c>
      <c r="U430" s="86" t="str">
        <f t="shared" si="3"/>
        <v>09125361405</v>
      </c>
      <c r="V430" s="86" t="str">
        <f t="shared" si="4"/>
        <v>پیش‌وایی 2</v>
      </c>
      <c r="W430" s="86"/>
      <c r="X430" s="86"/>
    </row>
    <row r="431">
      <c r="A431" s="201">
        <v>430.0</v>
      </c>
      <c r="B431" s="202" t="s">
        <v>2764</v>
      </c>
      <c r="C431" s="203" t="s">
        <v>2765</v>
      </c>
      <c r="D431" s="204" t="str">
        <f>IFERROR(__xludf.DUMMYFUNCTION("ARRAYFORMULA(LET( converted, SUBSTITUTE( SUBSTITUTE( SUBSTITUTE( SUBSTITUTE( SUBSTITUTE( SUBSTITUTE( SUBSTITUTE( SUBSTITUTE( SUBSTITUTE( SUBSTITUTE( C431, ""۰"", ""0""), ""۱"", ""1""), ""۲"", ""2""), ""۳"", ""3""), ""۴"", ""4""), ""۵"", ""5""), ""۶"", ""6"&amp;"""), ""۷"", ""7""), ""۸"", ""8""), ""۹"", ""9""), IF(LEFT(converted,3)=""+98"", ""0"" &amp; RIGHT(converted, LEN(converted)-3), IF(LEFT(converted,2)=""98"", ""0"" &amp; RIGHT(converted, LEN(converted)-2), IF(LEFT(converted,1)&lt;&gt;""0"", ""0"" &amp; converted, REGEXREPLA"&amp;"CE(converted , ""\s"", """")) ) ) ) )"),"09120436325")</f>
        <v>09120436325</v>
      </c>
      <c r="E431" s="205" t="s">
        <v>17</v>
      </c>
      <c r="F431" s="206">
        <v>2.0</v>
      </c>
      <c r="G431" s="202"/>
      <c r="H431" s="202" t="s">
        <v>2766</v>
      </c>
      <c r="I431" s="203"/>
      <c r="J431" s="203" t="s">
        <v>2767</v>
      </c>
      <c r="K431" s="207" t="s">
        <v>896</v>
      </c>
      <c r="L431" s="207" t="s">
        <v>2768</v>
      </c>
      <c r="M431" s="202"/>
      <c r="N431" s="207"/>
      <c r="O431" s="207"/>
      <c r="P431" s="202"/>
      <c r="Q431" s="208"/>
      <c r="R431" s="86"/>
      <c r="S431" s="114">
        <f t="shared" ref="S431:T431" si="432">A431</f>
        <v>430</v>
      </c>
      <c r="T431" s="114" t="str">
        <f t="shared" si="432"/>
        <v>حسین ساداتی‌پور</v>
      </c>
      <c r="U431" s="86" t="str">
        <f t="shared" si="3"/>
        <v>09120436325</v>
      </c>
      <c r="V431" s="86" t="str">
        <f t="shared" si="4"/>
        <v>پیش‌وایی 2</v>
      </c>
      <c r="W431" s="86"/>
      <c r="X431" s="86"/>
    </row>
    <row r="432">
      <c r="A432" s="192">
        <v>431.0</v>
      </c>
      <c r="B432" s="193" t="s">
        <v>2769</v>
      </c>
      <c r="C432" s="194" t="s">
        <v>2770</v>
      </c>
      <c r="D432" s="195" t="str">
        <f>IFERROR(__xludf.DUMMYFUNCTION("ARRAYFORMULA(LET( converted, SUBSTITUTE( SUBSTITUTE( SUBSTITUTE( SUBSTITUTE( SUBSTITUTE( SUBSTITUTE( SUBSTITUTE( SUBSTITUTE( SUBSTITUTE( SUBSTITUTE( C432, ""۰"", ""0""), ""۱"", ""1""), ""۲"", ""2""), ""۳"", ""3""), ""۴"", ""4""), ""۵"", ""5""), ""۶"", ""6"&amp;"""), ""۷"", ""7""), ""۸"", ""8""), ""۹"", ""9""), IF(LEFT(converted,3)=""+98"", ""0"" &amp; RIGHT(converted, LEN(converted)-3), IF(LEFT(converted,2)=""98"", ""0"" &amp; RIGHT(converted, LEN(converted)-2), IF(LEFT(converted,1)&lt;&gt;""0"", ""0"" &amp; converted, REGEXREPLA"&amp;"CE(converted , ""\s"", """")) ) ) ) )"),"09123865703")</f>
        <v>09123865703</v>
      </c>
      <c r="E432" s="196" t="s">
        <v>17</v>
      </c>
      <c r="F432" s="197">
        <v>2.0</v>
      </c>
      <c r="G432" s="193"/>
      <c r="H432" s="193" t="s">
        <v>2771</v>
      </c>
      <c r="I432" s="194"/>
      <c r="J432" s="194"/>
      <c r="K432" s="199" t="s">
        <v>2200</v>
      </c>
      <c r="L432" s="199" t="s">
        <v>2772</v>
      </c>
      <c r="M432" s="193"/>
      <c r="N432" s="199"/>
      <c r="O432" s="199"/>
      <c r="P432" s="193"/>
      <c r="Q432" s="200"/>
      <c r="R432" s="86"/>
      <c r="S432" s="114">
        <f t="shared" ref="S432:T432" si="433">A432</f>
        <v>431</v>
      </c>
      <c r="T432" s="114" t="str">
        <f t="shared" si="433"/>
        <v>اکبر غریب‌نواز</v>
      </c>
      <c r="U432" s="86" t="str">
        <f t="shared" si="3"/>
        <v>09123865703</v>
      </c>
      <c r="V432" s="86" t="str">
        <f t="shared" si="4"/>
        <v>پیش‌وایی 2</v>
      </c>
      <c r="W432" s="86"/>
      <c r="X432" s="86"/>
    </row>
    <row r="433">
      <c r="A433" s="201">
        <v>432.0</v>
      </c>
      <c r="B433" s="202" t="s">
        <v>2773</v>
      </c>
      <c r="C433" s="203" t="s">
        <v>2774</v>
      </c>
      <c r="D433" s="204" t="str">
        <f>IFERROR(__xludf.DUMMYFUNCTION("ARRAYFORMULA(LET( converted, SUBSTITUTE( SUBSTITUTE( SUBSTITUTE( SUBSTITUTE( SUBSTITUTE( SUBSTITUTE( SUBSTITUTE( SUBSTITUTE( SUBSTITUTE( SUBSTITUTE( C433, ""۰"", ""0""), ""۱"", ""1""), ""۲"", ""2""), ""۳"", ""3""), ""۴"", ""4""), ""۵"", ""5""), ""۶"", ""6"&amp;"""), ""۷"", ""7""), ""۸"", ""8""), ""۹"", ""9""), IF(LEFT(converted,3)=""+98"", ""0"" &amp; RIGHT(converted, LEN(converted)-3), IF(LEFT(converted,2)=""98"", ""0"" &amp; RIGHT(converted, LEN(converted)-2), IF(LEFT(converted,1)&lt;&gt;""0"", ""0"" &amp; converted, REGEXREPLA"&amp;"CE(converted , ""\s"", """")) ) ) ) )"),"09196797540")</f>
        <v>09196797540</v>
      </c>
      <c r="E433" s="205" t="s">
        <v>17</v>
      </c>
      <c r="F433" s="206">
        <v>2.0</v>
      </c>
      <c r="G433" s="202"/>
      <c r="H433" s="202" t="s">
        <v>2775</v>
      </c>
      <c r="I433" s="203"/>
      <c r="J433" s="203"/>
      <c r="K433" s="207" t="s">
        <v>303</v>
      </c>
      <c r="L433" s="207" t="s">
        <v>304</v>
      </c>
      <c r="M433" s="202"/>
      <c r="N433" s="207"/>
      <c r="O433" s="207"/>
      <c r="P433" s="202"/>
      <c r="Q433" s="208"/>
      <c r="R433" s="86"/>
      <c r="S433" s="114">
        <f t="shared" ref="S433:T433" si="434">A433</f>
        <v>432</v>
      </c>
      <c r="T433" s="114" t="str">
        <f t="shared" si="434"/>
        <v>محمد بیات</v>
      </c>
      <c r="U433" s="86" t="str">
        <f t="shared" si="3"/>
        <v>09196797540</v>
      </c>
      <c r="V433" s="86" t="str">
        <f t="shared" si="4"/>
        <v>پیش‌وایی 2</v>
      </c>
      <c r="W433" s="86"/>
      <c r="X433" s="86"/>
    </row>
    <row r="434">
      <c r="A434" s="192">
        <v>433.0</v>
      </c>
      <c r="B434" s="193" t="s">
        <v>2776</v>
      </c>
      <c r="C434" s="194" t="s">
        <v>2777</v>
      </c>
      <c r="D434" s="195" t="str">
        <f>IFERROR(__xludf.DUMMYFUNCTION("ARRAYFORMULA(LET( converted, SUBSTITUTE( SUBSTITUTE( SUBSTITUTE( SUBSTITUTE( SUBSTITUTE( SUBSTITUTE( SUBSTITUTE( SUBSTITUTE( SUBSTITUTE( SUBSTITUTE( C434, ""۰"", ""0""), ""۱"", ""1""), ""۲"", ""2""), ""۳"", ""3""), ""۴"", ""4""), ""۵"", ""5""), ""۶"", ""6"&amp;"""), ""۷"", ""7""), ""۸"", ""8""), ""۹"", ""9""), IF(LEFT(converted,3)=""+98"", ""0"" &amp; RIGHT(converted, LEN(converted)-3), IF(LEFT(converted,2)=""98"", ""0"" &amp; RIGHT(converted, LEN(converted)-2), IF(LEFT(converted,1)&lt;&gt;""0"", ""0"" &amp; converted, REGEXREPLA"&amp;"CE(converted , ""\s"", """")) ) ) ) )"),"09191268204")</f>
        <v>09191268204</v>
      </c>
      <c r="E434" s="196" t="s">
        <v>17</v>
      </c>
      <c r="F434" s="197">
        <v>2.0</v>
      </c>
      <c r="G434" s="193"/>
      <c r="H434" s="198" t="s">
        <v>2778</v>
      </c>
      <c r="I434" s="194"/>
      <c r="J434" s="194" t="s">
        <v>2779</v>
      </c>
      <c r="K434" s="199" t="s">
        <v>2780</v>
      </c>
      <c r="L434" s="199" t="s">
        <v>2781</v>
      </c>
      <c r="M434" s="193"/>
      <c r="N434" s="199"/>
      <c r="O434" s="199"/>
      <c r="P434" s="193"/>
      <c r="Q434" s="200"/>
      <c r="R434" s="86"/>
      <c r="S434" s="114">
        <f t="shared" ref="S434:T434" si="435">A434</f>
        <v>433</v>
      </c>
      <c r="T434" s="114" t="str">
        <f t="shared" si="435"/>
        <v>هستی قایم‌آبادی</v>
      </c>
      <c r="U434" s="86" t="str">
        <f t="shared" si="3"/>
        <v>09191268204</v>
      </c>
      <c r="V434" s="86" t="str">
        <f t="shared" si="4"/>
        <v>پیش‌وایی 2</v>
      </c>
      <c r="W434" s="86"/>
      <c r="X434" s="86"/>
    </row>
    <row r="435">
      <c r="A435" s="201">
        <v>434.0</v>
      </c>
      <c r="B435" s="202" t="s">
        <v>1089</v>
      </c>
      <c r="C435" s="203"/>
      <c r="D435" s="204" t="str">
        <f>IFERROR(__xludf.DUMMYFUNCTION("ARRAYFORMULA(LET( converted, SUBSTITUTE( SUBSTITUTE( SUBSTITUTE( SUBSTITUTE( SUBSTITUTE( SUBSTITUTE( SUBSTITUTE( SUBSTITUTE( SUBSTITUTE( SUBSTITUTE( C435, ""۰"", ""0""), ""۱"", ""1""), ""۲"", ""2""), ""۳"", ""3""), ""۴"", ""4""), ""۵"", ""5""), ""۶"", ""6"&amp;"""), ""۷"", ""7""), ""۸"", ""8""), ""۹"", ""9""), IF(LEFT(converted,3)=""+98"", ""0"" &amp; RIGHT(converted, LEN(converted)-3), IF(LEFT(converted,2)=""98"", ""0"" &amp; RIGHT(converted, LEN(converted)-2), IF(LEFT(converted,1)&lt;&gt;""0"", ""0"" &amp; converted, REGEXREPLA"&amp;"CE(converted , ""\s"", """")) ) ) ) )"),"0")</f>
        <v>0</v>
      </c>
      <c r="E435" s="205" t="s">
        <v>17</v>
      </c>
      <c r="F435" s="206">
        <v>2.0</v>
      </c>
      <c r="G435" s="202"/>
      <c r="H435" s="209" t="s">
        <v>2782</v>
      </c>
      <c r="I435" s="203"/>
      <c r="J435" s="203"/>
      <c r="K435" s="207" t="s">
        <v>200</v>
      </c>
      <c r="L435" s="207" t="s">
        <v>1092</v>
      </c>
      <c r="M435" s="202"/>
      <c r="N435" s="207"/>
      <c r="O435" s="207"/>
      <c r="P435" s="202"/>
      <c r="Q435" s="208"/>
      <c r="R435" s="86"/>
      <c r="S435" s="114">
        <f t="shared" ref="S435:T435" si="436">A435</f>
        <v>434</v>
      </c>
      <c r="T435" s="114" t="str">
        <f t="shared" si="436"/>
        <v>احسان آراسته</v>
      </c>
      <c r="U435" s="86" t="str">
        <f t="shared" si="3"/>
        <v>0</v>
      </c>
      <c r="V435" s="86" t="str">
        <f t="shared" si="4"/>
        <v>پیش‌وایی 2</v>
      </c>
      <c r="W435" s="86"/>
      <c r="X435" s="86"/>
    </row>
    <row r="436">
      <c r="A436" s="192">
        <v>435.0</v>
      </c>
      <c r="B436" s="193" t="s">
        <v>2783</v>
      </c>
      <c r="C436" s="194"/>
      <c r="D436" s="195" t="str">
        <f>IFERROR(__xludf.DUMMYFUNCTION("ARRAYFORMULA(LET( converted, SUBSTITUTE( SUBSTITUTE( SUBSTITUTE( SUBSTITUTE( SUBSTITUTE( SUBSTITUTE( SUBSTITUTE( SUBSTITUTE( SUBSTITUTE( SUBSTITUTE( C436, ""۰"", ""0""), ""۱"", ""1""), ""۲"", ""2""), ""۳"", ""3""), ""۴"", ""4""), ""۵"", ""5""), ""۶"", ""6"&amp;"""), ""۷"", ""7""), ""۸"", ""8""), ""۹"", ""9""), IF(LEFT(converted,3)=""+98"", ""0"" &amp; RIGHT(converted, LEN(converted)-3), IF(LEFT(converted,2)=""98"", ""0"" &amp; RIGHT(converted, LEN(converted)-2), IF(LEFT(converted,1)&lt;&gt;""0"", ""0"" &amp; converted, REGEXREPLA"&amp;"CE(converted , ""\s"", """")) ) ) ) )"),"0")</f>
        <v>0</v>
      </c>
      <c r="E436" s="196" t="s">
        <v>17</v>
      </c>
      <c r="F436" s="197">
        <v>2.0</v>
      </c>
      <c r="G436" s="193"/>
      <c r="H436" s="198" t="s">
        <v>2784</v>
      </c>
      <c r="I436" s="194"/>
      <c r="J436" s="194"/>
      <c r="K436" s="199" t="s">
        <v>1518</v>
      </c>
      <c r="L436" s="199" t="s">
        <v>337</v>
      </c>
      <c r="M436" s="193"/>
      <c r="N436" s="199"/>
      <c r="O436" s="199"/>
      <c r="P436" s="193"/>
      <c r="Q436" s="200"/>
      <c r="R436" s="86"/>
      <c r="S436" s="114">
        <f t="shared" ref="S436:T436" si="437">A436</f>
        <v>435</v>
      </c>
      <c r="T436" s="114" t="str">
        <f t="shared" si="437"/>
        <v>ماهان زهرایی</v>
      </c>
      <c r="U436" s="86" t="str">
        <f t="shared" si="3"/>
        <v>0</v>
      </c>
      <c r="V436" s="86" t="str">
        <f t="shared" si="4"/>
        <v>پیش‌وایی 2</v>
      </c>
      <c r="W436" s="86"/>
      <c r="X436" s="86"/>
    </row>
    <row r="437">
      <c r="A437" s="201">
        <v>436.0</v>
      </c>
      <c r="B437" s="202" t="s">
        <v>2785</v>
      </c>
      <c r="C437" s="203"/>
      <c r="D437" s="204" t="str">
        <f>IFERROR(__xludf.DUMMYFUNCTION("ARRAYFORMULA(LET( converted, SUBSTITUTE( SUBSTITUTE( SUBSTITUTE( SUBSTITUTE( SUBSTITUTE( SUBSTITUTE( SUBSTITUTE( SUBSTITUTE( SUBSTITUTE( SUBSTITUTE( C437, ""۰"", ""0""), ""۱"", ""1""), ""۲"", ""2""), ""۳"", ""3""), ""۴"", ""4""), ""۵"", ""5""), ""۶"", ""6"&amp;"""), ""۷"", ""7""), ""۸"", ""8""), ""۹"", ""9""), IF(LEFT(converted,3)=""+98"", ""0"" &amp; RIGHT(converted, LEN(converted)-3), IF(LEFT(converted,2)=""98"", ""0"" &amp; RIGHT(converted, LEN(converted)-2), IF(LEFT(converted,1)&lt;&gt;""0"", ""0"" &amp; converted, REGEXREPLA"&amp;"CE(converted , ""\s"", """")) ) ) ) )"),"0")</f>
        <v>0</v>
      </c>
      <c r="E437" s="205" t="s">
        <v>17</v>
      </c>
      <c r="F437" s="206">
        <v>2.0</v>
      </c>
      <c r="G437" s="202"/>
      <c r="H437" s="202" t="s">
        <v>2786</v>
      </c>
      <c r="I437" s="203"/>
      <c r="J437" s="203"/>
      <c r="K437" s="207" t="s">
        <v>2787</v>
      </c>
      <c r="L437" s="207" t="s">
        <v>2788</v>
      </c>
      <c r="M437" s="202"/>
      <c r="N437" s="207"/>
      <c r="O437" s="207"/>
      <c r="P437" s="202"/>
      <c r="Q437" s="208"/>
      <c r="R437" s="86"/>
      <c r="S437" s="114">
        <f t="shared" ref="S437:T437" si="438">A437</f>
        <v>436</v>
      </c>
      <c r="T437" s="114" t="str">
        <f t="shared" si="438"/>
        <v>صفا وحیدافشار</v>
      </c>
      <c r="U437" s="86" t="str">
        <f t="shared" si="3"/>
        <v>0</v>
      </c>
      <c r="V437" s="86" t="str">
        <f t="shared" si="4"/>
        <v>پیش‌وایی 2</v>
      </c>
      <c r="W437" s="86"/>
      <c r="X437" s="86"/>
    </row>
    <row r="438">
      <c r="A438" s="192">
        <v>437.0</v>
      </c>
      <c r="B438" s="193" t="s">
        <v>2789</v>
      </c>
      <c r="C438" s="194" t="s">
        <v>2790</v>
      </c>
      <c r="D438" s="195" t="str">
        <f>IFERROR(__xludf.DUMMYFUNCTION("ARRAYFORMULA(LET( converted, SUBSTITUTE( SUBSTITUTE( SUBSTITUTE( SUBSTITUTE( SUBSTITUTE( SUBSTITUTE( SUBSTITUTE( SUBSTITUTE( SUBSTITUTE( SUBSTITUTE( C438, ""۰"", ""0""), ""۱"", ""1""), ""۲"", ""2""), ""۳"", ""3""), ""۴"", ""4""), ""۵"", ""5""), ""۶"", ""6"&amp;"""), ""۷"", ""7""), ""۸"", ""8""), ""۹"", ""9""), IF(LEFT(converted,3)=""+98"", ""0"" &amp; RIGHT(converted, LEN(converted)-3), IF(LEFT(converted,2)=""98"", ""0"" &amp; RIGHT(converted, LEN(converted)-2), IF(LEFT(converted,1)&lt;&gt;""0"", ""0"" &amp; converted, REGEXREPLA"&amp;"CE(converted , ""\s"", """")) ) ) ) )"),"09355960670")</f>
        <v>09355960670</v>
      </c>
      <c r="E438" s="196" t="s">
        <v>17</v>
      </c>
      <c r="F438" s="197">
        <v>2.0</v>
      </c>
      <c r="G438" s="193"/>
      <c r="H438" s="198" t="s">
        <v>2791</v>
      </c>
      <c r="I438" s="194"/>
      <c r="J438" s="194"/>
      <c r="K438" s="199" t="s">
        <v>896</v>
      </c>
      <c r="L438" s="199" t="s">
        <v>927</v>
      </c>
      <c r="M438" s="193"/>
      <c r="N438" s="199"/>
      <c r="O438" s="199"/>
      <c r="P438" s="193"/>
      <c r="Q438" s="200"/>
      <c r="R438" s="86"/>
      <c r="S438" s="114">
        <f t="shared" ref="S438:T438" si="439">A438</f>
        <v>437</v>
      </c>
      <c r="T438" s="114" t="str">
        <f t="shared" si="439"/>
        <v>حسین حسینیان</v>
      </c>
      <c r="U438" s="86" t="str">
        <f t="shared" si="3"/>
        <v>09355960670</v>
      </c>
      <c r="V438" s="86" t="str">
        <f t="shared" si="4"/>
        <v>پیش‌وایی 2</v>
      </c>
      <c r="W438" s="86"/>
      <c r="X438" s="86"/>
    </row>
    <row r="439">
      <c r="A439" s="201">
        <v>438.0</v>
      </c>
      <c r="B439" s="202" t="s">
        <v>2792</v>
      </c>
      <c r="C439" s="203" t="s">
        <v>2793</v>
      </c>
      <c r="D439" s="204" t="str">
        <f>IFERROR(__xludf.DUMMYFUNCTION("ARRAYFORMULA(LET( converted, SUBSTITUTE( SUBSTITUTE( SUBSTITUTE( SUBSTITUTE( SUBSTITUTE( SUBSTITUTE( SUBSTITUTE( SUBSTITUTE( SUBSTITUTE( SUBSTITUTE( C439, ""۰"", ""0""), ""۱"", ""1""), ""۲"", ""2""), ""۳"", ""3""), ""۴"", ""4""), ""۵"", ""5""), ""۶"", ""6"&amp;"""), ""۷"", ""7""), ""۸"", ""8""), ""۹"", ""9""), IF(LEFT(converted,3)=""+98"", ""0"" &amp; RIGHT(converted, LEN(converted)-3), IF(LEFT(converted,2)=""98"", ""0"" &amp; RIGHT(converted, LEN(converted)-2), IF(LEFT(converted,1)&lt;&gt;""0"", ""0"" &amp; converted, REGEXREPLA"&amp;"CE(converted , ""\s"", """")) ) ) ) )"),"09122095894")</f>
        <v>09122095894</v>
      </c>
      <c r="E439" s="205" t="s">
        <v>17</v>
      </c>
      <c r="F439" s="206">
        <v>2.0</v>
      </c>
      <c r="G439" s="202"/>
      <c r="H439" s="202" t="s">
        <v>2794</v>
      </c>
      <c r="I439" s="203"/>
      <c r="J439" s="203" t="s">
        <v>2795</v>
      </c>
      <c r="K439" s="207" t="s">
        <v>2796</v>
      </c>
      <c r="L439" s="207" t="s">
        <v>2797</v>
      </c>
      <c r="M439" s="202"/>
      <c r="N439" s="207"/>
      <c r="O439" s="207"/>
      <c r="P439" s="202"/>
      <c r="Q439" s="208"/>
      <c r="R439" s="86"/>
      <c r="S439" s="114">
        <f t="shared" ref="S439:T439" si="440">A439</f>
        <v>438</v>
      </c>
      <c r="T439" s="114" t="str">
        <f t="shared" si="440"/>
        <v>یلدا بیانی</v>
      </c>
      <c r="U439" s="86" t="str">
        <f t="shared" si="3"/>
        <v>09122095894</v>
      </c>
      <c r="V439" s="86" t="str">
        <f t="shared" si="4"/>
        <v>پیش‌وایی 2</v>
      </c>
      <c r="W439" s="86"/>
      <c r="X439" s="86"/>
    </row>
    <row r="440">
      <c r="A440" s="192">
        <v>439.0</v>
      </c>
      <c r="B440" s="193" t="s">
        <v>2798</v>
      </c>
      <c r="C440" s="194"/>
      <c r="D440" s="195" t="str">
        <f>IFERROR(__xludf.DUMMYFUNCTION("ARRAYFORMULA(LET( converted, SUBSTITUTE( SUBSTITUTE( SUBSTITUTE( SUBSTITUTE( SUBSTITUTE( SUBSTITUTE( SUBSTITUTE( SUBSTITUTE( SUBSTITUTE( SUBSTITUTE( C440, ""۰"", ""0""), ""۱"", ""1""), ""۲"", ""2""), ""۳"", ""3""), ""۴"", ""4""), ""۵"", ""5""), ""۶"", ""6"&amp;"""), ""۷"", ""7""), ""۸"", ""8""), ""۹"", ""9""), IF(LEFT(converted,3)=""+98"", ""0"" &amp; RIGHT(converted, LEN(converted)-3), IF(LEFT(converted,2)=""98"", ""0"" &amp; RIGHT(converted, LEN(converted)-2), IF(LEFT(converted,1)&lt;&gt;""0"", ""0"" &amp; converted, REGEXREPLA"&amp;"CE(converted , ""\s"", """")) ) ) ) )"),"0")</f>
        <v>0</v>
      </c>
      <c r="E440" s="196" t="s">
        <v>17</v>
      </c>
      <c r="F440" s="197">
        <v>2.0</v>
      </c>
      <c r="G440" s="193"/>
      <c r="H440" s="198" t="s">
        <v>2799</v>
      </c>
      <c r="I440" s="194"/>
      <c r="J440" s="194" t="s">
        <v>2800</v>
      </c>
      <c r="K440" s="199" t="s">
        <v>307</v>
      </c>
      <c r="L440" s="199" t="s">
        <v>2801</v>
      </c>
      <c r="M440" s="193"/>
      <c r="N440" s="199"/>
      <c r="O440" s="199"/>
      <c r="P440" s="193"/>
      <c r="Q440" s="200"/>
      <c r="R440" s="86"/>
      <c r="S440" s="114">
        <f t="shared" ref="S440:T440" si="441">A440</f>
        <v>439</v>
      </c>
      <c r="T440" s="114" t="str">
        <f t="shared" si="441"/>
        <v>محمدرضا وحدتی</v>
      </c>
      <c r="U440" s="86" t="str">
        <f t="shared" si="3"/>
        <v>0</v>
      </c>
      <c r="V440" s="86" t="str">
        <f t="shared" si="4"/>
        <v>پیش‌وایی 2</v>
      </c>
      <c r="W440" s="86"/>
      <c r="X440" s="86"/>
    </row>
    <row r="441">
      <c r="A441" s="201">
        <v>440.0</v>
      </c>
      <c r="B441" s="202" t="s">
        <v>2802</v>
      </c>
      <c r="C441" s="203"/>
      <c r="D441" s="204" t="str">
        <f>IFERROR(__xludf.DUMMYFUNCTION("ARRAYFORMULA(LET( converted, SUBSTITUTE( SUBSTITUTE( SUBSTITUTE( SUBSTITUTE( SUBSTITUTE( SUBSTITUTE( SUBSTITUTE( SUBSTITUTE( SUBSTITUTE( SUBSTITUTE( C441, ""۰"", ""0""), ""۱"", ""1""), ""۲"", ""2""), ""۳"", ""3""), ""۴"", ""4""), ""۵"", ""5""), ""۶"", ""6"&amp;"""), ""۷"", ""7""), ""۸"", ""8""), ""۹"", ""9""), IF(LEFT(converted,3)=""+98"", ""0"" &amp; RIGHT(converted, LEN(converted)-3), IF(LEFT(converted,2)=""98"", ""0"" &amp; RIGHT(converted, LEN(converted)-2), IF(LEFT(converted,1)&lt;&gt;""0"", ""0"" &amp; converted, REGEXREPLA"&amp;"CE(converted , ""\s"", """")) ) ) ) )"),"0")</f>
        <v>0</v>
      </c>
      <c r="E441" s="205" t="s">
        <v>17</v>
      </c>
      <c r="F441" s="206">
        <v>2.0</v>
      </c>
      <c r="G441" s="202"/>
      <c r="H441" s="202"/>
      <c r="I441" s="203"/>
      <c r="J441" s="203"/>
      <c r="K441" s="207" t="s">
        <v>2803</v>
      </c>
      <c r="L441" s="207" t="s">
        <v>2804</v>
      </c>
      <c r="M441" s="202"/>
      <c r="N441" s="207"/>
      <c r="O441" s="207"/>
      <c r="P441" s="202"/>
      <c r="Q441" s="208"/>
      <c r="R441" s="86"/>
      <c r="S441" s="114">
        <f t="shared" ref="S441:T441" si="442">A441</f>
        <v>440</v>
      </c>
      <c r="T441" s="114" t="str">
        <f t="shared" si="442"/>
        <v>رکسانا قره خانی</v>
      </c>
      <c r="U441" s="86" t="str">
        <f t="shared" si="3"/>
        <v>0</v>
      </c>
      <c r="V441" s="86" t="str">
        <f t="shared" si="4"/>
        <v>پیش‌وایی 2</v>
      </c>
      <c r="W441" s="86"/>
      <c r="X441" s="86"/>
    </row>
    <row r="442">
      <c r="A442" s="192">
        <v>441.0</v>
      </c>
      <c r="B442" s="193" t="s">
        <v>2805</v>
      </c>
      <c r="C442" s="194"/>
      <c r="D442" s="195" t="str">
        <f>IFERROR(__xludf.DUMMYFUNCTION("ARRAYFORMULA(LET( converted, SUBSTITUTE( SUBSTITUTE( SUBSTITUTE( SUBSTITUTE( SUBSTITUTE( SUBSTITUTE( SUBSTITUTE( SUBSTITUTE( SUBSTITUTE( SUBSTITUTE( C442, ""۰"", ""0""), ""۱"", ""1""), ""۲"", ""2""), ""۳"", ""3""), ""۴"", ""4""), ""۵"", ""5""), ""۶"", ""6"&amp;"""), ""۷"", ""7""), ""۸"", ""8""), ""۹"", ""9""), IF(LEFT(converted,3)=""+98"", ""0"" &amp; RIGHT(converted, LEN(converted)-3), IF(LEFT(converted,2)=""98"", ""0"" &amp; RIGHT(converted, LEN(converted)-2), IF(LEFT(converted,1)&lt;&gt;""0"", ""0"" &amp; converted, REGEXREPLA"&amp;"CE(converted , ""\s"", """")) ) ) ) )"),"0")</f>
        <v>0</v>
      </c>
      <c r="E442" s="196" t="s">
        <v>17</v>
      </c>
      <c r="F442" s="197">
        <v>2.0</v>
      </c>
      <c r="G442" s="193"/>
      <c r="H442" s="193"/>
      <c r="I442" s="194"/>
      <c r="J442" s="194"/>
      <c r="K442" s="199" t="s">
        <v>844</v>
      </c>
      <c r="L442" s="199" t="s">
        <v>2806</v>
      </c>
      <c r="M442" s="193"/>
      <c r="N442" s="199"/>
      <c r="O442" s="199"/>
      <c r="P442" s="193"/>
      <c r="Q442" s="200"/>
      <c r="R442" s="86"/>
      <c r="S442" s="114">
        <f t="shared" ref="S442:T442" si="443">A442</f>
        <v>441</v>
      </c>
      <c r="T442" s="114" t="str">
        <f t="shared" si="443"/>
        <v>مسعود واحدی</v>
      </c>
      <c r="U442" s="86" t="str">
        <f t="shared" si="3"/>
        <v>0</v>
      </c>
      <c r="V442" s="86" t="str">
        <f t="shared" si="4"/>
        <v>پیش‌وایی 2</v>
      </c>
      <c r="W442" s="86"/>
      <c r="X442" s="86"/>
    </row>
    <row r="443">
      <c r="A443" s="201">
        <v>442.0</v>
      </c>
      <c r="B443" s="202" t="s">
        <v>2807</v>
      </c>
      <c r="C443" s="203"/>
      <c r="D443" s="204" t="str">
        <f>IFERROR(__xludf.DUMMYFUNCTION("ARRAYFORMULA(LET( converted, SUBSTITUTE( SUBSTITUTE( SUBSTITUTE( SUBSTITUTE( SUBSTITUTE( SUBSTITUTE( SUBSTITUTE( SUBSTITUTE( SUBSTITUTE( SUBSTITUTE( C443, ""۰"", ""0""), ""۱"", ""1""), ""۲"", ""2""), ""۳"", ""3""), ""۴"", ""4""), ""۵"", ""5""), ""۶"", ""6"&amp;"""), ""۷"", ""7""), ""۸"", ""8""), ""۹"", ""9""), IF(LEFT(converted,3)=""+98"", ""0"" &amp; RIGHT(converted, LEN(converted)-3), IF(LEFT(converted,2)=""98"", ""0"" &amp; RIGHT(converted, LEN(converted)-2), IF(LEFT(converted,1)&lt;&gt;""0"", ""0"" &amp; converted, REGEXREPLA"&amp;"CE(converted , ""\s"", """")) ) ) ) )"),"0")</f>
        <v>0</v>
      </c>
      <c r="E443" s="205" t="s">
        <v>17</v>
      </c>
      <c r="F443" s="206">
        <v>2.0</v>
      </c>
      <c r="G443" s="202"/>
      <c r="H443" s="202"/>
      <c r="I443" s="203"/>
      <c r="J443" s="203"/>
      <c r="K443" s="207" t="s">
        <v>1504</v>
      </c>
      <c r="L443" s="207" t="s">
        <v>2808</v>
      </c>
      <c r="M443" s="202"/>
      <c r="N443" s="207"/>
      <c r="O443" s="207"/>
      <c r="P443" s="202"/>
      <c r="Q443" s="208"/>
      <c r="R443" s="86"/>
      <c r="S443" s="114">
        <f t="shared" ref="S443:T443" si="444">A443</f>
        <v>442</v>
      </c>
      <c r="T443" s="114" t="str">
        <f t="shared" si="444"/>
        <v>مهسا قمری ادیان</v>
      </c>
      <c r="U443" s="86" t="str">
        <f t="shared" si="3"/>
        <v>0</v>
      </c>
      <c r="V443" s="86" t="str">
        <f t="shared" si="4"/>
        <v>پیش‌وایی 2</v>
      </c>
      <c r="W443" s="86"/>
      <c r="X443" s="86"/>
    </row>
    <row r="444">
      <c r="A444" s="192">
        <v>443.0</v>
      </c>
      <c r="B444" s="193" t="s">
        <v>1608</v>
      </c>
      <c r="C444" s="194" t="s">
        <v>1609</v>
      </c>
      <c r="D444" s="195" t="str">
        <f>IFERROR(__xludf.DUMMYFUNCTION("ARRAYFORMULA(LET( converted, SUBSTITUTE( SUBSTITUTE( SUBSTITUTE( SUBSTITUTE( SUBSTITUTE( SUBSTITUTE( SUBSTITUTE( SUBSTITUTE( SUBSTITUTE( SUBSTITUTE( C444, ""۰"", ""0""), ""۱"", ""1""), ""۲"", ""2""), ""۳"", ""3""), ""۴"", ""4""), ""۵"", ""5""), ""۶"", ""6"&amp;"""), ""۷"", ""7""), ""۸"", ""8""), ""۹"", ""9""), IF(LEFT(converted,3)=""+98"", ""0"" &amp; RIGHT(converted, LEN(converted)-3), IF(LEFT(converted,2)=""98"", ""0"" &amp; RIGHT(converted, LEN(converted)-2), IF(LEFT(converted,1)&lt;&gt;""0"", ""0"" &amp; converted, REGEXREPLA"&amp;"CE(converted , ""\s"", """")) ) ) ) )"),"09123049318")</f>
        <v>09123049318</v>
      </c>
      <c r="E444" s="196" t="s">
        <v>17</v>
      </c>
      <c r="F444" s="197">
        <v>2.0</v>
      </c>
      <c r="G444" s="193"/>
      <c r="H444" s="193" t="s">
        <v>1610</v>
      </c>
      <c r="I444" s="194"/>
      <c r="J444" s="194" t="s">
        <v>1611</v>
      </c>
      <c r="K444" s="199" t="s">
        <v>1576</v>
      </c>
      <c r="L444" s="199" t="s">
        <v>1612</v>
      </c>
      <c r="M444" s="193"/>
      <c r="N444" s="199"/>
      <c r="O444" s="199"/>
      <c r="P444" s="193"/>
      <c r="Q444" s="200"/>
      <c r="R444" s="86"/>
      <c r="S444" s="114">
        <f t="shared" ref="S444:T444" si="445">A444</f>
        <v>443</v>
      </c>
      <c r="T444" s="114" t="str">
        <f t="shared" si="445"/>
        <v>سمانه ایوبی</v>
      </c>
      <c r="U444" s="86" t="str">
        <f t="shared" si="3"/>
        <v>09123049318</v>
      </c>
      <c r="V444" s="86" t="str">
        <f t="shared" si="4"/>
        <v>پیش‌وایی 2</v>
      </c>
      <c r="W444" s="86"/>
      <c r="X444" s="86"/>
    </row>
    <row r="445">
      <c r="A445" s="201">
        <v>444.0</v>
      </c>
      <c r="B445" s="202" t="s">
        <v>2809</v>
      </c>
      <c r="C445" s="203" t="s">
        <v>2810</v>
      </c>
      <c r="D445" s="204" t="str">
        <f>IFERROR(__xludf.DUMMYFUNCTION("ARRAYFORMULA(LET( converted, SUBSTITUTE( SUBSTITUTE( SUBSTITUTE( SUBSTITUTE( SUBSTITUTE( SUBSTITUTE( SUBSTITUTE( SUBSTITUTE( SUBSTITUTE( SUBSTITUTE( C445, ""۰"", ""0""), ""۱"", ""1""), ""۲"", ""2""), ""۳"", ""3""), ""۴"", ""4""), ""۵"", ""5""), ""۶"", ""6"&amp;"""), ""۷"", ""7""), ""۸"", ""8""), ""۹"", ""9""), IF(LEFT(converted,3)=""+98"", ""0"" &amp; RIGHT(converted, LEN(converted)-3), IF(LEFT(converted,2)=""98"", ""0"" &amp; RIGHT(converted, LEN(converted)-2), IF(LEFT(converted,1)&lt;&gt;""0"", ""0"" &amp; converted, REGEXREPLA"&amp;"CE(converted , ""\s"", """")) ) ) ) )"),"09186854616")</f>
        <v>09186854616</v>
      </c>
      <c r="E445" s="205" t="s">
        <v>17</v>
      </c>
      <c r="F445" s="206">
        <v>2.0</v>
      </c>
      <c r="G445" s="202"/>
      <c r="H445" s="202" t="s">
        <v>2811</v>
      </c>
      <c r="I445" s="203"/>
      <c r="J445" s="203"/>
      <c r="K445" s="207" t="s">
        <v>1018</v>
      </c>
      <c r="L445" s="207" t="s">
        <v>2812</v>
      </c>
      <c r="M445" s="202"/>
      <c r="N445" s="207"/>
      <c r="O445" s="207"/>
      <c r="P445" s="202"/>
      <c r="Q445" s="208"/>
      <c r="R445" s="86"/>
      <c r="S445" s="114">
        <f t="shared" ref="S445:T445" si="446">A445</f>
        <v>444</v>
      </c>
      <c r="T445" s="114" t="str">
        <f t="shared" si="446"/>
        <v>علی نورایی</v>
      </c>
      <c r="U445" s="86" t="str">
        <f t="shared" si="3"/>
        <v>09186854616</v>
      </c>
      <c r="V445" s="86" t="str">
        <f t="shared" si="4"/>
        <v>پیش‌وایی 2</v>
      </c>
      <c r="W445" s="86"/>
      <c r="X445" s="86"/>
    </row>
    <row r="446">
      <c r="A446" s="192">
        <v>445.0</v>
      </c>
      <c r="B446" s="193" t="s">
        <v>2813</v>
      </c>
      <c r="C446" s="194" t="s">
        <v>2814</v>
      </c>
      <c r="D446" s="195" t="str">
        <f>IFERROR(__xludf.DUMMYFUNCTION("ARRAYFORMULA(LET( converted, SUBSTITUTE( SUBSTITUTE( SUBSTITUTE( SUBSTITUTE( SUBSTITUTE( SUBSTITUTE( SUBSTITUTE( SUBSTITUTE( SUBSTITUTE( SUBSTITUTE( C446, ""۰"", ""0""), ""۱"", ""1""), ""۲"", ""2""), ""۳"", ""3""), ""۴"", ""4""), ""۵"", ""5""), ""۶"", ""6"&amp;"""), ""۷"", ""7""), ""۸"", ""8""), ""۹"", ""9""), IF(LEFT(converted,3)=""+98"", ""0"" &amp; RIGHT(converted, LEN(converted)-3), IF(LEFT(converted,2)=""98"", ""0"" &amp; RIGHT(converted, LEN(converted)-2), IF(LEFT(converted,1)&lt;&gt;""0"", ""0"" &amp; converted, REGEXREPLA"&amp;"CE(converted , ""\s"", """")) ) ) ) )"),"09122909211")</f>
        <v>09122909211</v>
      </c>
      <c r="E446" s="196" t="s">
        <v>17</v>
      </c>
      <c r="F446" s="197">
        <v>2.0</v>
      </c>
      <c r="G446" s="193"/>
      <c r="H446" s="193" t="s">
        <v>2815</v>
      </c>
      <c r="I446" s="194"/>
      <c r="J446" s="194"/>
      <c r="K446" s="199" t="s">
        <v>1161</v>
      </c>
      <c r="L446" s="199" t="s">
        <v>2816</v>
      </c>
      <c r="M446" s="193"/>
      <c r="N446" s="199"/>
      <c r="O446" s="199"/>
      <c r="P446" s="193"/>
      <c r="Q446" s="200"/>
      <c r="R446" s="86"/>
      <c r="S446" s="114">
        <f t="shared" ref="S446:T446" si="447">A446</f>
        <v>445</v>
      </c>
      <c r="T446" s="114" t="str">
        <f t="shared" si="447"/>
        <v>سینا رضایی</v>
      </c>
      <c r="U446" s="86" t="str">
        <f t="shared" si="3"/>
        <v>09122909211</v>
      </c>
      <c r="V446" s="86" t="str">
        <f t="shared" si="4"/>
        <v>پیش‌وایی 2</v>
      </c>
      <c r="W446" s="86"/>
      <c r="X446" s="86"/>
    </row>
    <row r="447">
      <c r="A447" s="201">
        <v>446.0</v>
      </c>
      <c r="B447" s="202" t="s">
        <v>2817</v>
      </c>
      <c r="C447" s="203" t="s">
        <v>2818</v>
      </c>
      <c r="D447" s="204" t="str">
        <f>IFERROR(__xludf.DUMMYFUNCTION("ARRAYFORMULA(LET( converted, SUBSTITUTE( SUBSTITUTE( SUBSTITUTE( SUBSTITUTE( SUBSTITUTE( SUBSTITUTE( SUBSTITUTE( SUBSTITUTE( SUBSTITUTE( SUBSTITUTE( C447, ""۰"", ""0""), ""۱"", ""1""), ""۲"", ""2""), ""۳"", ""3""), ""۴"", ""4""), ""۵"", ""5""), ""۶"", ""6"&amp;"""), ""۷"", ""7""), ""۸"", ""8""), ""۹"", ""9""), IF(LEFT(converted,3)=""+98"", ""0"" &amp; RIGHT(converted, LEN(converted)-3), IF(LEFT(converted,2)=""98"", ""0"" &amp; RIGHT(converted, LEN(converted)-2), IF(LEFT(converted,1)&lt;&gt;""0"", ""0"" &amp; converted, REGEXREPLA"&amp;"CE(converted , ""\s"", """")) ) ) ) )"),"09391246785")</f>
        <v>09391246785</v>
      </c>
      <c r="E447" s="205" t="s">
        <v>17</v>
      </c>
      <c r="F447" s="206">
        <v>2.0</v>
      </c>
      <c r="G447" s="202"/>
      <c r="H447" s="202" t="s">
        <v>2819</v>
      </c>
      <c r="I447" s="203"/>
      <c r="J447" s="203"/>
      <c r="K447" s="207" t="s">
        <v>2820</v>
      </c>
      <c r="L447" s="207" t="s">
        <v>2821</v>
      </c>
      <c r="M447" s="202"/>
      <c r="N447" s="207"/>
      <c r="O447" s="207"/>
      <c r="P447" s="202"/>
      <c r="Q447" s="208"/>
      <c r="R447" s="86"/>
      <c r="S447" s="114">
        <f t="shared" ref="S447:T447" si="448">A447</f>
        <v>446</v>
      </c>
      <c r="T447" s="114" t="str">
        <f t="shared" si="448"/>
        <v>عباس بهادری پور</v>
      </c>
      <c r="U447" s="86" t="str">
        <f t="shared" si="3"/>
        <v>09391246785</v>
      </c>
      <c r="V447" s="86" t="str">
        <f t="shared" si="4"/>
        <v>پیش‌وایی 2</v>
      </c>
      <c r="W447" s="86"/>
      <c r="X447" s="86"/>
    </row>
    <row r="448">
      <c r="A448" s="192">
        <v>447.0</v>
      </c>
      <c r="B448" s="193" t="s">
        <v>2822</v>
      </c>
      <c r="C448" s="194" t="s">
        <v>2823</v>
      </c>
      <c r="D448" s="195" t="str">
        <f>IFERROR(__xludf.DUMMYFUNCTION("ARRAYFORMULA(LET( converted, SUBSTITUTE( SUBSTITUTE( SUBSTITUTE( SUBSTITUTE( SUBSTITUTE( SUBSTITUTE( SUBSTITUTE( SUBSTITUTE( SUBSTITUTE( SUBSTITUTE( C448, ""۰"", ""0""), ""۱"", ""1""), ""۲"", ""2""), ""۳"", ""3""), ""۴"", ""4""), ""۵"", ""5""), ""۶"", ""6"&amp;"""), ""۷"", ""7""), ""۸"", ""8""), ""۹"", ""9""), IF(LEFT(converted,3)=""+98"", ""0"" &amp; RIGHT(converted, LEN(converted)-3), IF(LEFT(converted,2)=""98"", ""0"" &amp; RIGHT(converted, LEN(converted)-2), IF(LEFT(converted,1)&lt;&gt;""0"", ""0"" &amp; converted, REGEXREPLA"&amp;"CE(converted , ""\s"", """")) ) ) ) )"),"09120330544")</f>
        <v>09120330544</v>
      </c>
      <c r="E448" s="196" t="s">
        <v>17</v>
      </c>
      <c r="F448" s="197">
        <v>2.0</v>
      </c>
      <c r="G448" s="193"/>
      <c r="H448" s="193" t="s">
        <v>2824</v>
      </c>
      <c r="I448" s="194"/>
      <c r="J448" s="194"/>
      <c r="K448" s="199" t="s">
        <v>2306</v>
      </c>
      <c r="L448" s="199" t="s">
        <v>2825</v>
      </c>
      <c r="M448" s="193"/>
      <c r="N448" s="199"/>
      <c r="O448" s="199"/>
      <c r="P448" s="193"/>
      <c r="Q448" s="200"/>
      <c r="R448" s="86"/>
      <c r="S448" s="114">
        <f t="shared" ref="S448:T448" si="449">A448</f>
        <v>447</v>
      </c>
      <c r="T448" s="114" t="str">
        <f t="shared" si="449"/>
        <v>مرتضی پرنده</v>
      </c>
      <c r="U448" s="86" t="str">
        <f t="shared" si="3"/>
        <v>09120330544</v>
      </c>
      <c r="V448" s="86" t="str">
        <f t="shared" si="4"/>
        <v>پیش‌وایی 2</v>
      </c>
      <c r="W448" s="86"/>
      <c r="X448" s="86"/>
    </row>
    <row r="449">
      <c r="A449" s="201">
        <v>448.0</v>
      </c>
      <c r="B449" s="202" t="s">
        <v>2826</v>
      </c>
      <c r="C449" s="203"/>
      <c r="D449" s="204" t="str">
        <f>IFERROR(__xludf.DUMMYFUNCTION("ARRAYFORMULA(LET( converted, SUBSTITUTE( SUBSTITUTE( SUBSTITUTE( SUBSTITUTE( SUBSTITUTE( SUBSTITUTE( SUBSTITUTE( SUBSTITUTE( SUBSTITUTE( SUBSTITUTE( C449, ""۰"", ""0""), ""۱"", ""1""), ""۲"", ""2""), ""۳"", ""3""), ""۴"", ""4""), ""۵"", ""5""), ""۶"", ""6"&amp;"""), ""۷"", ""7""), ""۸"", ""8""), ""۹"", ""9""), IF(LEFT(converted,3)=""+98"", ""0"" &amp; RIGHT(converted, LEN(converted)-3), IF(LEFT(converted,2)=""98"", ""0"" &amp; RIGHT(converted, LEN(converted)-2), IF(LEFT(converted,1)&lt;&gt;""0"", ""0"" &amp; converted, REGEXREPLA"&amp;"CE(converted , ""\s"", """")) ) ) ) )"),"0")</f>
        <v>0</v>
      </c>
      <c r="E449" s="205" t="s">
        <v>17</v>
      </c>
      <c r="F449" s="206">
        <v>2.0</v>
      </c>
      <c r="G449" s="202"/>
      <c r="H449" s="202"/>
      <c r="I449" s="203"/>
      <c r="J449" s="203"/>
      <c r="K449" s="207" t="s">
        <v>2280</v>
      </c>
      <c r="L449" s="207" t="s">
        <v>2827</v>
      </c>
      <c r="M449" s="202"/>
      <c r="N449" s="207"/>
      <c r="O449" s="207"/>
      <c r="P449" s="202"/>
      <c r="Q449" s="208"/>
      <c r="R449" s="86"/>
      <c r="S449" s="114">
        <f t="shared" ref="S449:T449" si="450">A449</f>
        <v>448</v>
      </c>
      <c r="T449" s="114" t="str">
        <f t="shared" si="450"/>
        <v>حمیدرضا حق‌شناس</v>
      </c>
      <c r="U449" s="86" t="str">
        <f t="shared" si="3"/>
        <v>0</v>
      </c>
      <c r="V449" s="86" t="str">
        <f t="shared" si="4"/>
        <v>پیش‌وایی 2</v>
      </c>
      <c r="W449" s="86"/>
      <c r="X449" s="86"/>
    </row>
    <row r="450">
      <c r="A450" s="192">
        <v>449.0</v>
      </c>
      <c r="B450" s="193" t="s">
        <v>1689</v>
      </c>
      <c r="C450" s="194" t="s">
        <v>2828</v>
      </c>
      <c r="D450" s="195" t="str">
        <f>IFERROR(__xludf.DUMMYFUNCTION("ARRAYFORMULA(LET( converted, SUBSTITUTE( SUBSTITUTE( SUBSTITUTE( SUBSTITUTE( SUBSTITUTE( SUBSTITUTE( SUBSTITUTE( SUBSTITUTE( SUBSTITUTE( SUBSTITUTE( C450, ""۰"", ""0""), ""۱"", ""1""), ""۲"", ""2""), ""۳"", ""3""), ""۴"", ""4""), ""۵"", ""5""), ""۶"", ""6"&amp;"""), ""۷"", ""7""), ""۸"", ""8""), ""۹"", ""9""), IF(LEFT(converted,3)=""+98"", ""0"" &amp; RIGHT(converted, LEN(converted)-3), IF(LEFT(converted,2)=""98"", ""0"" &amp; RIGHT(converted, LEN(converted)-2), IF(LEFT(converted,1)&lt;&gt;""0"", ""0"" &amp; converted, REGEXREPLA"&amp;"CE(converted , ""\s"", """")) ) ) ) )"),"09354886450")</f>
        <v>09354886450</v>
      </c>
      <c r="E450" s="196" t="s">
        <v>17</v>
      </c>
      <c r="F450" s="197">
        <v>2.0</v>
      </c>
      <c r="G450" s="193"/>
      <c r="H450" s="193" t="s">
        <v>2829</v>
      </c>
      <c r="I450" s="194"/>
      <c r="J450" s="194" t="s">
        <v>2830</v>
      </c>
      <c r="K450" s="199" t="s">
        <v>1692</v>
      </c>
      <c r="L450" s="199" t="s">
        <v>231</v>
      </c>
      <c r="M450" s="193"/>
      <c r="N450" s="199"/>
      <c r="O450" s="199"/>
      <c r="P450" s="193"/>
      <c r="Q450" s="200"/>
      <c r="R450" s="86"/>
      <c r="S450" s="114">
        <f t="shared" ref="S450:T450" si="451">A450</f>
        <v>449</v>
      </c>
      <c r="T450" s="114" t="str">
        <f t="shared" si="451"/>
        <v>الهام موسوی</v>
      </c>
      <c r="U450" s="86" t="str">
        <f t="shared" si="3"/>
        <v>09354886450</v>
      </c>
      <c r="V450" s="86" t="str">
        <f t="shared" si="4"/>
        <v>پیش‌وایی 2</v>
      </c>
      <c r="W450" s="86"/>
      <c r="X450" s="86"/>
    </row>
    <row r="451">
      <c r="A451" s="201">
        <v>450.0</v>
      </c>
      <c r="B451" s="207" t="s">
        <v>1603</v>
      </c>
      <c r="C451" s="203" t="s">
        <v>1604</v>
      </c>
      <c r="D451" s="204" t="str">
        <f>IFERROR(__xludf.DUMMYFUNCTION("ARRAYFORMULA(LET( converted, SUBSTITUTE( SUBSTITUTE( SUBSTITUTE( SUBSTITUTE( SUBSTITUTE( SUBSTITUTE( SUBSTITUTE( SUBSTITUTE( SUBSTITUTE( SUBSTITUTE( C451, ""۰"", ""0""), ""۱"", ""1""), ""۲"", ""2""), ""۳"", ""3""), ""۴"", ""4""), ""۵"", ""5""), ""۶"", ""6"&amp;"""), ""۷"", ""7""), ""۸"", ""8""), ""۹"", ""9""), IF(LEFT(converted,3)=""+98"", ""0"" &amp; RIGHT(converted, LEN(converted)-3), IF(LEFT(converted,2)=""98"", ""0"" &amp; RIGHT(converted, LEN(converted)-2), IF(LEFT(converted,1)&lt;&gt;""0"", ""0"" &amp; converted, REGEXREPLA"&amp;"CE(converted , ""\s"", """")) ) ) ) )"),"09367498998")</f>
        <v>09367498998</v>
      </c>
      <c r="E451" s="205" t="s">
        <v>17</v>
      </c>
      <c r="F451" s="206">
        <v>3.0</v>
      </c>
      <c r="G451" s="202"/>
      <c r="H451" s="202" t="s">
        <v>1605</v>
      </c>
      <c r="I451" s="203"/>
      <c r="J451" s="203" t="s">
        <v>2831</v>
      </c>
      <c r="K451" s="207" t="s">
        <v>1569</v>
      </c>
      <c r="L451" s="207" t="s">
        <v>1606</v>
      </c>
      <c r="M451" s="202"/>
      <c r="N451" s="207"/>
      <c r="O451" s="207"/>
      <c r="P451" s="202"/>
      <c r="Q451" s="208"/>
      <c r="R451" s="86"/>
      <c r="S451" s="114">
        <f t="shared" ref="S451:T451" si="452">A451</f>
        <v>450</v>
      </c>
      <c r="T451" s="114" t="str">
        <f t="shared" si="452"/>
        <v>حسن فراهانی</v>
      </c>
      <c r="U451" s="86" t="str">
        <f t="shared" si="3"/>
        <v>09367498998</v>
      </c>
      <c r="V451" s="86" t="str">
        <f t="shared" si="4"/>
        <v>پیش‌وایی 3</v>
      </c>
      <c r="W451" s="86"/>
      <c r="X451" s="86"/>
    </row>
    <row r="452">
      <c r="A452" s="192">
        <v>451.0</v>
      </c>
      <c r="B452" s="199" t="s">
        <v>2832</v>
      </c>
      <c r="C452" s="194" t="s">
        <v>2833</v>
      </c>
      <c r="D452" s="195" t="str">
        <f>IFERROR(__xludf.DUMMYFUNCTION("ARRAYFORMULA(LET( converted, SUBSTITUTE( SUBSTITUTE( SUBSTITUTE( SUBSTITUTE( SUBSTITUTE( SUBSTITUTE( SUBSTITUTE( SUBSTITUTE( SUBSTITUTE( SUBSTITUTE( C452, ""۰"", ""0""), ""۱"", ""1""), ""۲"", ""2""), ""۳"", ""3""), ""۴"", ""4""), ""۵"", ""5""), ""۶"", ""6"&amp;"""), ""۷"", ""7""), ""۸"", ""8""), ""۹"", ""9""), IF(LEFT(converted,3)=""+98"", ""0"" &amp; RIGHT(converted, LEN(converted)-3), IF(LEFT(converted,2)=""98"", ""0"" &amp; RIGHT(converted, LEN(converted)-2), IF(LEFT(converted,1)&lt;&gt;""0"", ""0"" &amp; converted, REGEXREPLA"&amp;"CE(converted , ""\s"", """")) ) ) ) )"),"09127388204")</f>
        <v>09127388204</v>
      </c>
      <c r="E452" s="196" t="s">
        <v>17</v>
      </c>
      <c r="F452" s="197">
        <v>3.0</v>
      </c>
      <c r="G452" s="193"/>
      <c r="H452" s="193" t="s">
        <v>2834</v>
      </c>
      <c r="I452" s="194"/>
      <c r="J452" s="194" t="s">
        <v>2835</v>
      </c>
      <c r="K452" s="199" t="s">
        <v>292</v>
      </c>
      <c r="L452" s="199" t="s">
        <v>2836</v>
      </c>
      <c r="M452" s="193"/>
      <c r="N452" s="199"/>
      <c r="O452" s="199"/>
      <c r="P452" s="193"/>
      <c r="Q452" s="200"/>
      <c r="R452" s="86"/>
      <c r="S452" s="114">
        <f t="shared" ref="S452:T452" si="453">A452</f>
        <v>451</v>
      </c>
      <c r="T452" s="114" t="str">
        <f t="shared" si="453"/>
        <v>مریم خدمتیان</v>
      </c>
      <c r="U452" s="86" t="str">
        <f t="shared" si="3"/>
        <v>09127388204</v>
      </c>
      <c r="V452" s="86" t="str">
        <f t="shared" si="4"/>
        <v>پیش‌وایی 3</v>
      </c>
      <c r="W452" s="86"/>
      <c r="X452" s="86"/>
    </row>
    <row r="453">
      <c r="A453" s="201">
        <v>452.0</v>
      </c>
      <c r="B453" s="207" t="s">
        <v>2837</v>
      </c>
      <c r="C453" s="203" t="s">
        <v>2838</v>
      </c>
      <c r="D453" s="204" t="str">
        <f>IFERROR(__xludf.DUMMYFUNCTION("ARRAYFORMULA(LET( converted, SUBSTITUTE( SUBSTITUTE( SUBSTITUTE( SUBSTITUTE( SUBSTITUTE( SUBSTITUTE( SUBSTITUTE( SUBSTITUTE( SUBSTITUTE( SUBSTITUTE( C453, ""۰"", ""0""), ""۱"", ""1""), ""۲"", ""2""), ""۳"", ""3""), ""۴"", ""4""), ""۵"", ""5""), ""۶"", ""6"&amp;"""), ""۷"", ""7""), ""۸"", ""8""), ""۹"", ""9""), IF(LEFT(converted,3)=""+98"", ""0"" &amp; RIGHT(converted, LEN(converted)-3), IF(LEFT(converted,2)=""98"", ""0"" &amp; RIGHT(converted, LEN(converted)-2), IF(LEFT(converted,1)&lt;&gt;""0"", ""0"" &amp; converted, REGEXREPLA"&amp;"CE(converted , ""\s"", """")) ) ) ) )"),"09123173347")</f>
        <v>09123173347</v>
      </c>
      <c r="E453" s="205" t="s">
        <v>17</v>
      </c>
      <c r="F453" s="206">
        <v>3.0</v>
      </c>
      <c r="G453" s="202"/>
      <c r="H453" s="202" t="s">
        <v>2839</v>
      </c>
      <c r="I453" s="203"/>
      <c r="J453" s="203" t="s">
        <v>2840</v>
      </c>
      <c r="K453" s="207" t="s">
        <v>286</v>
      </c>
      <c r="L453" s="207" t="s">
        <v>2841</v>
      </c>
      <c r="M453" s="202"/>
      <c r="N453" s="207"/>
      <c r="O453" s="207"/>
      <c r="P453" s="202"/>
      <c r="Q453" s="208"/>
      <c r="R453" s="86"/>
      <c r="S453" s="114">
        <f t="shared" ref="S453:T453" si="454">A453</f>
        <v>452</v>
      </c>
      <c r="T453" s="114" t="str">
        <f t="shared" si="454"/>
        <v>مهدی كیامهر</v>
      </c>
      <c r="U453" s="86" t="str">
        <f t="shared" si="3"/>
        <v>09123173347</v>
      </c>
      <c r="V453" s="86" t="str">
        <f t="shared" si="4"/>
        <v>پیش‌وایی 3</v>
      </c>
      <c r="W453" s="86"/>
      <c r="X453" s="86"/>
    </row>
    <row r="454">
      <c r="A454" s="192">
        <v>453.0</v>
      </c>
      <c r="B454" s="199" t="s">
        <v>2842</v>
      </c>
      <c r="C454" s="194" t="s">
        <v>2843</v>
      </c>
      <c r="D454" s="195" t="str">
        <f>IFERROR(__xludf.DUMMYFUNCTION("ARRAYFORMULA(LET( converted, SUBSTITUTE( SUBSTITUTE( SUBSTITUTE( SUBSTITUTE( SUBSTITUTE( SUBSTITUTE( SUBSTITUTE( SUBSTITUTE( SUBSTITUTE( SUBSTITUTE( C454, ""۰"", ""0""), ""۱"", ""1""), ""۲"", ""2""), ""۳"", ""3""), ""۴"", ""4""), ""۵"", ""5""), ""۶"", ""6"&amp;"""), ""۷"", ""7""), ""۸"", ""8""), ""۹"", ""9""), IF(LEFT(converted,3)=""+98"", ""0"" &amp; RIGHT(converted, LEN(converted)-3), IF(LEFT(converted,2)=""98"", ""0"" &amp; RIGHT(converted, LEN(converted)-2), IF(LEFT(converted,1)&lt;&gt;""0"", ""0"" &amp; converted, REGEXREPLA"&amp;"CE(converted , ""\s"", """")) ) ) ) )"),"09118784667")</f>
        <v>09118784667</v>
      </c>
      <c r="E454" s="196" t="s">
        <v>17</v>
      </c>
      <c r="F454" s="197">
        <v>3.0</v>
      </c>
      <c r="G454" s="193"/>
      <c r="H454" s="193" t="s">
        <v>2844</v>
      </c>
      <c r="I454" s="194"/>
      <c r="J454" s="194" t="s">
        <v>2845</v>
      </c>
      <c r="K454" s="199" t="s">
        <v>2846</v>
      </c>
      <c r="L454" s="199" t="s">
        <v>2847</v>
      </c>
      <c r="M454" s="193"/>
      <c r="N454" s="199"/>
      <c r="O454" s="199"/>
      <c r="P454" s="193"/>
      <c r="Q454" s="200"/>
      <c r="R454" s="86"/>
      <c r="S454" s="114">
        <f t="shared" ref="S454:T454" si="455">A454</f>
        <v>453</v>
      </c>
      <c r="T454" s="114" t="str">
        <f t="shared" si="455"/>
        <v>ایوب دولتخواه</v>
      </c>
      <c r="U454" s="86" t="str">
        <f t="shared" si="3"/>
        <v>09118784667</v>
      </c>
      <c r="V454" s="86" t="str">
        <f t="shared" si="4"/>
        <v>پیش‌وایی 3</v>
      </c>
      <c r="W454" s="86"/>
      <c r="X454" s="86"/>
    </row>
    <row r="455">
      <c r="A455" s="201">
        <v>454.0</v>
      </c>
      <c r="B455" s="207" t="s">
        <v>2848</v>
      </c>
      <c r="C455" s="203" t="s">
        <v>2849</v>
      </c>
      <c r="D455" s="204" t="str">
        <f>IFERROR(__xludf.DUMMYFUNCTION("ARRAYFORMULA(LET( converted, SUBSTITUTE( SUBSTITUTE( SUBSTITUTE( SUBSTITUTE( SUBSTITUTE( SUBSTITUTE( SUBSTITUTE( SUBSTITUTE( SUBSTITUTE( SUBSTITUTE( C455, ""۰"", ""0""), ""۱"", ""1""), ""۲"", ""2""), ""۳"", ""3""), ""۴"", ""4""), ""۵"", ""5""), ""۶"", ""6"&amp;"""), ""۷"", ""7""), ""۸"", ""8""), ""۹"", ""9""), IF(LEFT(converted,3)=""+98"", ""0"" &amp; RIGHT(converted, LEN(converted)-3), IF(LEFT(converted,2)=""98"", ""0"" &amp; RIGHT(converted, LEN(converted)-2), IF(LEFT(converted,1)&lt;&gt;""0"", ""0"" &amp; converted, REGEXREPLA"&amp;"CE(converted , ""\s"", """")) ) ) ) )"),"09128027859")</f>
        <v>09128027859</v>
      </c>
      <c r="E455" s="205" t="s">
        <v>17</v>
      </c>
      <c r="F455" s="206">
        <v>3.0</v>
      </c>
      <c r="G455" s="202"/>
      <c r="H455" s="202" t="s">
        <v>2850</v>
      </c>
      <c r="I455" s="203"/>
      <c r="J455" s="203" t="s">
        <v>2851</v>
      </c>
      <c r="K455" s="207" t="s">
        <v>1659</v>
      </c>
      <c r="L455" s="207" t="s">
        <v>2852</v>
      </c>
      <c r="M455" s="202"/>
      <c r="N455" s="207"/>
      <c r="O455" s="207"/>
      <c r="P455" s="202"/>
      <c r="Q455" s="208"/>
      <c r="R455" s="86"/>
      <c r="S455" s="114">
        <f t="shared" ref="S455:T455" si="456">A455</f>
        <v>454</v>
      </c>
      <c r="T455" s="114" t="str">
        <f t="shared" si="456"/>
        <v>سید محمد حسین میزبان</v>
      </c>
      <c r="U455" s="86" t="str">
        <f t="shared" si="3"/>
        <v>09128027859</v>
      </c>
      <c r="V455" s="86" t="str">
        <f t="shared" si="4"/>
        <v>پیش‌وایی 3</v>
      </c>
      <c r="W455" s="86"/>
      <c r="X455" s="86"/>
    </row>
    <row r="456">
      <c r="A456" s="192">
        <v>455.0</v>
      </c>
      <c r="B456" s="199" t="s">
        <v>2853</v>
      </c>
      <c r="C456" s="194" t="s">
        <v>2854</v>
      </c>
      <c r="D456" s="195" t="str">
        <f>IFERROR(__xludf.DUMMYFUNCTION("ARRAYFORMULA(LET( converted, SUBSTITUTE( SUBSTITUTE( SUBSTITUTE( SUBSTITUTE( SUBSTITUTE( SUBSTITUTE( SUBSTITUTE( SUBSTITUTE( SUBSTITUTE( SUBSTITUTE( C456, ""۰"", ""0""), ""۱"", ""1""), ""۲"", ""2""), ""۳"", ""3""), ""۴"", ""4""), ""۵"", ""5""), ""۶"", ""6"&amp;"""), ""۷"", ""7""), ""۸"", ""8""), ""۹"", ""9""), IF(LEFT(converted,3)=""+98"", ""0"" &amp; RIGHT(converted, LEN(converted)-3), IF(LEFT(converted,2)=""98"", ""0"" &amp; RIGHT(converted, LEN(converted)-2), IF(LEFT(converted,1)&lt;&gt;""0"", ""0"" &amp; converted, REGEXREPLA"&amp;"CE(converted , ""\s"", """")) ) ) ) )"),"09360487799")</f>
        <v>09360487799</v>
      </c>
      <c r="E456" s="196" t="s">
        <v>17</v>
      </c>
      <c r="F456" s="197">
        <v>3.0</v>
      </c>
      <c r="G456" s="193"/>
      <c r="H456" s="193" t="s">
        <v>2855</v>
      </c>
      <c r="I456" s="194"/>
      <c r="J456" s="194" t="s">
        <v>2856</v>
      </c>
      <c r="K456" s="199" t="s">
        <v>307</v>
      </c>
      <c r="L456" s="199" t="s">
        <v>2857</v>
      </c>
      <c r="M456" s="193"/>
      <c r="N456" s="199"/>
      <c r="O456" s="199"/>
      <c r="P456" s="193"/>
      <c r="Q456" s="200"/>
      <c r="R456" s="86"/>
      <c r="S456" s="114">
        <f t="shared" ref="S456:T456" si="457">A456</f>
        <v>455</v>
      </c>
      <c r="T456" s="114" t="str">
        <f t="shared" si="457"/>
        <v>محمدرضا حمیدی نژاد</v>
      </c>
      <c r="U456" s="86" t="str">
        <f t="shared" si="3"/>
        <v>09360487799</v>
      </c>
      <c r="V456" s="86" t="str">
        <f t="shared" si="4"/>
        <v>پیش‌وایی 3</v>
      </c>
      <c r="W456" s="86"/>
      <c r="X456" s="86"/>
    </row>
    <row r="457">
      <c r="A457" s="201">
        <v>456.0</v>
      </c>
      <c r="B457" s="207" t="s">
        <v>2858</v>
      </c>
      <c r="C457" s="203" t="s">
        <v>2859</v>
      </c>
      <c r="D457" s="204" t="str">
        <f>IFERROR(__xludf.DUMMYFUNCTION("ARRAYFORMULA(LET( converted, SUBSTITUTE( SUBSTITUTE( SUBSTITUTE( SUBSTITUTE( SUBSTITUTE( SUBSTITUTE( SUBSTITUTE( SUBSTITUTE( SUBSTITUTE( SUBSTITUTE( C457, ""۰"", ""0""), ""۱"", ""1""), ""۲"", ""2""), ""۳"", ""3""), ""۴"", ""4""), ""۵"", ""5""), ""۶"", ""6"&amp;"""), ""۷"", ""7""), ""۸"", ""8""), ""۹"", ""9""), IF(LEFT(converted,3)=""+98"", ""0"" &amp; RIGHT(converted, LEN(converted)-3), IF(LEFT(converted,2)=""98"", ""0"" &amp; RIGHT(converted, LEN(converted)-2), IF(LEFT(converted,1)&lt;&gt;""0"", ""0"" &amp; converted, REGEXREPLA"&amp;"CE(converted , ""\s"", """")) ) ) ) )"),"09122250704")</f>
        <v>09122250704</v>
      </c>
      <c r="E457" s="205" t="s">
        <v>17</v>
      </c>
      <c r="F457" s="206">
        <v>3.0</v>
      </c>
      <c r="G457" s="202"/>
      <c r="H457" s="202" t="s">
        <v>2860</v>
      </c>
      <c r="I457" s="203"/>
      <c r="J457" s="203" t="s">
        <v>2861</v>
      </c>
      <c r="K457" s="207" t="s">
        <v>2862</v>
      </c>
      <c r="L457" s="207" t="s">
        <v>2863</v>
      </c>
      <c r="M457" s="202"/>
      <c r="N457" s="207"/>
      <c r="O457" s="207"/>
      <c r="P457" s="202"/>
      <c r="Q457" s="208"/>
      <c r="R457" s="86"/>
      <c r="S457" s="114">
        <f t="shared" ref="S457:T457" si="458">A457</f>
        <v>456</v>
      </c>
      <c r="T457" s="114" t="str">
        <f t="shared" si="458"/>
        <v>پرهام قبادی</v>
      </c>
      <c r="U457" s="86" t="str">
        <f t="shared" si="3"/>
        <v>09122250704</v>
      </c>
      <c r="V457" s="86" t="str">
        <f t="shared" si="4"/>
        <v>پیش‌وایی 3</v>
      </c>
      <c r="W457" s="86"/>
      <c r="X457" s="86"/>
    </row>
    <row r="458">
      <c r="A458" s="192">
        <v>457.0</v>
      </c>
      <c r="B458" s="199" t="s">
        <v>2864</v>
      </c>
      <c r="C458" s="194" t="s">
        <v>2865</v>
      </c>
      <c r="D458" s="195" t="str">
        <f>IFERROR(__xludf.DUMMYFUNCTION("ARRAYFORMULA(LET( converted, SUBSTITUTE( SUBSTITUTE( SUBSTITUTE( SUBSTITUTE( SUBSTITUTE( SUBSTITUTE( SUBSTITUTE( SUBSTITUTE( SUBSTITUTE( SUBSTITUTE( C458, ""۰"", ""0""), ""۱"", ""1""), ""۲"", ""2""), ""۳"", ""3""), ""۴"", ""4""), ""۵"", ""5""), ""۶"", ""6"&amp;"""), ""۷"", ""7""), ""۸"", ""8""), ""۹"", ""9""), IF(LEFT(converted,3)=""+98"", ""0"" &amp; RIGHT(converted, LEN(converted)-3), IF(LEFT(converted,2)=""98"", ""0"" &amp; RIGHT(converted, LEN(converted)-2), IF(LEFT(converted,1)&lt;&gt;""0"", ""0"" &amp; converted, REGEXREPLA"&amp;"CE(converted , ""\s"", """")) ) ) ) )"),"09121018151")</f>
        <v>09121018151</v>
      </c>
      <c r="E458" s="196" t="s">
        <v>17</v>
      </c>
      <c r="F458" s="197">
        <v>3.0</v>
      </c>
      <c r="G458" s="193"/>
      <c r="H458" s="193" t="s">
        <v>2866</v>
      </c>
      <c r="I458" s="194"/>
      <c r="J458" s="194" t="s">
        <v>2867</v>
      </c>
      <c r="K458" s="199" t="s">
        <v>1018</v>
      </c>
      <c r="L458" s="199" t="s">
        <v>2868</v>
      </c>
      <c r="M458" s="193"/>
      <c r="N458" s="199"/>
      <c r="O458" s="199"/>
      <c r="P458" s="193"/>
      <c r="Q458" s="200"/>
      <c r="R458" s="86"/>
      <c r="S458" s="114">
        <f t="shared" ref="S458:T458" si="459">A458</f>
        <v>457</v>
      </c>
      <c r="T458" s="114" t="str">
        <f t="shared" si="459"/>
        <v>علی رودگر</v>
      </c>
      <c r="U458" s="86" t="str">
        <f t="shared" si="3"/>
        <v>09121018151</v>
      </c>
      <c r="V458" s="86" t="str">
        <f t="shared" si="4"/>
        <v>پیش‌وایی 3</v>
      </c>
      <c r="W458" s="86"/>
      <c r="X458" s="86"/>
    </row>
    <row r="459">
      <c r="A459" s="201">
        <v>458.0</v>
      </c>
      <c r="B459" s="207" t="s">
        <v>2869</v>
      </c>
      <c r="C459" s="203" t="s">
        <v>2870</v>
      </c>
      <c r="D459" s="204" t="str">
        <f>IFERROR(__xludf.DUMMYFUNCTION("ARRAYFORMULA(LET( converted, SUBSTITUTE( SUBSTITUTE( SUBSTITUTE( SUBSTITUTE( SUBSTITUTE( SUBSTITUTE( SUBSTITUTE( SUBSTITUTE( SUBSTITUTE( SUBSTITUTE( C459, ""۰"", ""0""), ""۱"", ""1""), ""۲"", ""2""), ""۳"", ""3""), ""۴"", ""4""), ""۵"", ""5""), ""۶"", ""6"&amp;"""), ""۷"", ""7""), ""۸"", ""8""), ""۹"", ""9""), IF(LEFT(converted,3)=""+98"", ""0"" &amp; RIGHT(converted, LEN(converted)-3), IF(LEFT(converted,2)=""98"", ""0"" &amp; RIGHT(converted, LEN(converted)-2), IF(LEFT(converted,1)&lt;&gt;""0"", ""0"" &amp; converted, REGEXREPLA"&amp;"CE(converted , ""\s"", """")) ) ) ) )"),"09123265287")</f>
        <v>09123265287</v>
      </c>
      <c r="E459" s="205" t="s">
        <v>17</v>
      </c>
      <c r="F459" s="206">
        <v>3.0</v>
      </c>
      <c r="G459" s="202"/>
      <c r="H459" s="202" t="s">
        <v>2871</v>
      </c>
      <c r="I459" s="203"/>
      <c r="J459" s="203" t="s">
        <v>2872</v>
      </c>
      <c r="K459" s="207" t="s">
        <v>274</v>
      </c>
      <c r="L459" s="207" t="s">
        <v>2873</v>
      </c>
      <c r="M459" s="202"/>
      <c r="N459" s="207"/>
      <c r="O459" s="207"/>
      <c r="P459" s="202"/>
      <c r="Q459" s="208"/>
      <c r="R459" s="86"/>
      <c r="S459" s="114">
        <f t="shared" ref="S459:T459" si="460">A459</f>
        <v>458</v>
      </c>
      <c r="T459" s="114" t="str">
        <f t="shared" si="460"/>
        <v>فاطمه نوحی تهرانی</v>
      </c>
      <c r="U459" s="86" t="str">
        <f t="shared" si="3"/>
        <v>09123265287</v>
      </c>
      <c r="V459" s="86" t="str">
        <f t="shared" si="4"/>
        <v>پیش‌وایی 3</v>
      </c>
      <c r="W459" s="86"/>
      <c r="X459" s="86"/>
    </row>
    <row r="460">
      <c r="A460" s="192">
        <v>459.0</v>
      </c>
      <c r="B460" s="199" t="s">
        <v>2874</v>
      </c>
      <c r="C460" s="194" t="s">
        <v>2875</v>
      </c>
      <c r="D460" s="195" t="str">
        <f>IFERROR(__xludf.DUMMYFUNCTION("ARRAYFORMULA(LET( converted, SUBSTITUTE( SUBSTITUTE( SUBSTITUTE( SUBSTITUTE( SUBSTITUTE( SUBSTITUTE( SUBSTITUTE( SUBSTITUTE( SUBSTITUTE( SUBSTITUTE( C460, ""۰"", ""0""), ""۱"", ""1""), ""۲"", ""2""), ""۳"", ""3""), ""۴"", ""4""), ""۵"", ""5""), ""۶"", ""6"&amp;"""), ""۷"", ""7""), ""۸"", ""8""), ""۹"", ""9""), IF(LEFT(converted,3)=""+98"", ""0"" &amp; RIGHT(converted, LEN(converted)-3), IF(LEFT(converted,2)=""98"", ""0"" &amp; RIGHT(converted, LEN(converted)-2), IF(LEFT(converted,1)&lt;&gt;""0"", ""0"" &amp; converted, REGEXREPLA"&amp;"CE(converted , ""\s"", """")) ) ) ) )"),"09123836460")</f>
        <v>09123836460</v>
      </c>
      <c r="E460" s="196" t="s">
        <v>17</v>
      </c>
      <c r="F460" s="197">
        <v>3.0</v>
      </c>
      <c r="G460" s="193"/>
      <c r="H460" s="193" t="s">
        <v>2876</v>
      </c>
      <c r="I460" s="194"/>
      <c r="J460" s="194" t="s">
        <v>2877</v>
      </c>
      <c r="K460" s="199" t="s">
        <v>1685</v>
      </c>
      <c r="L460" s="199" t="s">
        <v>2878</v>
      </c>
      <c r="M460" s="193"/>
      <c r="N460" s="199"/>
      <c r="O460" s="199"/>
      <c r="P460" s="193"/>
      <c r="Q460" s="200"/>
      <c r="R460" s="86"/>
      <c r="S460" s="114">
        <f t="shared" ref="S460:T460" si="461">A460</f>
        <v>459</v>
      </c>
      <c r="T460" s="114" t="str">
        <f t="shared" si="461"/>
        <v>سارا چرتابیان</v>
      </c>
      <c r="U460" s="86" t="str">
        <f t="shared" si="3"/>
        <v>09123836460</v>
      </c>
      <c r="V460" s="86" t="str">
        <f t="shared" si="4"/>
        <v>پیش‌وایی 3</v>
      </c>
      <c r="W460" s="86"/>
      <c r="X460" s="86"/>
    </row>
    <row r="461">
      <c r="A461" s="201">
        <v>460.0</v>
      </c>
      <c r="B461" s="207" t="s">
        <v>2879</v>
      </c>
      <c r="C461" s="203" t="s">
        <v>2880</v>
      </c>
      <c r="D461" s="204" t="str">
        <f>IFERROR(__xludf.DUMMYFUNCTION("ARRAYFORMULA(LET( converted, SUBSTITUTE( SUBSTITUTE( SUBSTITUTE( SUBSTITUTE( SUBSTITUTE( SUBSTITUTE( SUBSTITUTE( SUBSTITUTE( SUBSTITUTE( SUBSTITUTE( C461, ""۰"", ""0""), ""۱"", ""1""), ""۲"", ""2""), ""۳"", ""3""), ""۴"", ""4""), ""۵"", ""5""), ""۶"", ""6"&amp;"""), ""۷"", ""7""), ""۸"", ""8""), ""۹"", ""9""), IF(LEFT(converted,3)=""+98"", ""0"" &amp; RIGHT(converted, LEN(converted)-3), IF(LEFT(converted,2)=""98"", ""0"" &amp; RIGHT(converted, LEN(converted)-2), IF(LEFT(converted,1)&lt;&gt;""0"", ""0"" &amp; converted, REGEXREPLA"&amp;"CE(converted , ""\s"", """")) ) ) ) )"),"09204712421")</f>
        <v>09204712421</v>
      </c>
      <c r="E461" s="205" t="s">
        <v>17</v>
      </c>
      <c r="F461" s="206">
        <v>3.0</v>
      </c>
      <c r="G461" s="202"/>
      <c r="H461" s="202" t="s">
        <v>2881</v>
      </c>
      <c r="I461" s="203"/>
      <c r="J461" s="203" t="s">
        <v>2882</v>
      </c>
      <c r="K461" s="207" t="s">
        <v>1868</v>
      </c>
      <c r="L461" s="207" t="s">
        <v>2883</v>
      </c>
      <c r="M461" s="202"/>
      <c r="N461" s="207"/>
      <c r="O461" s="207"/>
      <c r="P461" s="202"/>
      <c r="Q461" s="208"/>
      <c r="R461" s="86"/>
      <c r="S461" s="114">
        <f t="shared" ref="S461:T461" si="462">A461</f>
        <v>460</v>
      </c>
      <c r="T461" s="114" t="str">
        <f t="shared" si="462"/>
        <v>ابوالفضل سلمانی</v>
      </c>
      <c r="U461" s="86" t="str">
        <f t="shared" si="3"/>
        <v>09204712421</v>
      </c>
      <c r="V461" s="86" t="str">
        <f t="shared" si="4"/>
        <v>پیش‌وایی 3</v>
      </c>
      <c r="W461" s="86"/>
      <c r="X461" s="86"/>
    </row>
    <row r="462">
      <c r="A462" s="192">
        <v>461.0</v>
      </c>
      <c r="B462" s="199" t="s">
        <v>2884</v>
      </c>
      <c r="C462" s="194" t="s">
        <v>2885</v>
      </c>
      <c r="D462" s="195" t="str">
        <f>IFERROR(__xludf.DUMMYFUNCTION("ARRAYFORMULA(LET( converted, SUBSTITUTE( SUBSTITUTE( SUBSTITUTE( SUBSTITUTE( SUBSTITUTE( SUBSTITUTE( SUBSTITUTE( SUBSTITUTE( SUBSTITUTE( SUBSTITUTE( C462, ""۰"", ""0""), ""۱"", ""1""), ""۲"", ""2""), ""۳"", ""3""), ""۴"", ""4""), ""۵"", ""5""), ""۶"", ""6"&amp;"""), ""۷"", ""7""), ""۸"", ""8""), ""۹"", ""9""), IF(LEFT(converted,3)=""+98"", ""0"" &amp; RIGHT(converted, LEN(converted)-3), IF(LEFT(converted,2)=""98"", ""0"" &amp; RIGHT(converted, LEN(converted)-2), IF(LEFT(converted,1)&lt;&gt;""0"", ""0"" &amp; converted, REGEXREPLA"&amp;"CE(converted , ""\s"", """")) ) ) ) )"),"09354575485")</f>
        <v>09354575485</v>
      </c>
      <c r="E462" s="196" t="s">
        <v>17</v>
      </c>
      <c r="F462" s="197">
        <v>3.0</v>
      </c>
      <c r="G462" s="193"/>
      <c r="H462" s="193" t="s">
        <v>2886</v>
      </c>
      <c r="I462" s="194"/>
      <c r="J462" s="194" t="s">
        <v>2887</v>
      </c>
      <c r="K462" s="199" t="s">
        <v>2280</v>
      </c>
      <c r="L462" s="199" t="s">
        <v>1595</v>
      </c>
      <c r="M462" s="193"/>
      <c r="N462" s="199"/>
      <c r="O462" s="199"/>
      <c r="P462" s="193"/>
      <c r="Q462" s="200"/>
      <c r="R462" s="86"/>
      <c r="S462" s="114">
        <f t="shared" ref="S462:T462" si="463">A462</f>
        <v>461</v>
      </c>
      <c r="T462" s="114" t="str">
        <f t="shared" si="463"/>
        <v>حمیدرضا فتحی</v>
      </c>
      <c r="U462" s="86" t="str">
        <f t="shared" si="3"/>
        <v>09354575485</v>
      </c>
      <c r="V462" s="86" t="str">
        <f t="shared" si="4"/>
        <v>پیش‌وایی 3</v>
      </c>
      <c r="W462" s="86"/>
      <c r="X462" s="86"/>
    </row>
    <row r="463">
      <c r="A463" s="201">
        <v>462.0</v>
      </c>
      <c r="B463" s="207" t="s">
        <v>2888</v>
      </c>
      <c r="C463" s="203" t="s">
        <v>2889</v>
      </c>
      <c r="D463" s="204" t="str">
        <f>IFERROR(__xludf.DUMMYFUNCTION("ARRAYFORMULA(LET( converted, SUBSTITUTE( SUBSTITUTE( SUBSTITUTE( SUBSTITUTE( SUBSTITUTE( SUBSTITUTE( SUBSTITUTE( SUBSTITUTE( SUBSTITUTE( SUBSTITUTE( C463, ""۰"", ""0""), ""۱"", ""1""), ""۲"", ""2""), ""۳"", ""3""), ""۴"", ""4""), ""۵"", ""5""), ""۶"", ""6"&amp;"""), ""۷"", ""7""), ""۸"", ""8""), ""۹"", ""9""), IF(LEFT(converted,3)=""+98"", ""0"" &amp; RIGHT(converted, LEN(converted)-3), IF(LEFT(converted,2)=""98"", ""0"" &amp; RIGHT(converted, LEN(converted)-2), IF(LEFT(converted,1)&lt;&gt;""0"", ""0"" &amp; converted, REGEXREPLA"&amp;"CE(converted , ""\s"", """")) ) ) ) )"),"09126804620")</f>
        <v>09126804620</v>
      </c>
      <c r="E463" s="205" t="s">
        <v>17</v>
      </c>
      <c r="F463" s="206">
        <v>3.0</v>
      </c>
      <c r="G463" s="202"/>
      <c r="H463" s="202" t="s">
        <v>2890</v>
      </c>
      <c r="I463" s="203"/>
      <c r="J463" s="203" t="s">
        <v>2891</v>
      </c>
      <c r="K463" s="207" t="s">
        <v>2892</v>
      </c>
      <c r="L463" s="207" t="s">
        <v>1595</v>
      </c>
      <c r="M463" s="202"/>
      <c r="N463" s="207"/>
      <c r="O463" s="207"/>
      <c r="P463" s="202"/>
      <c r="Q463" s="208"/>
      <c r="R463" s="86"/>
      <c r="S463" s="114">
        <f t="shared" ref="S463:T463" si="464">A463</f>
        <v>462</v>
      </c>
      <c r="T463" s="114" t="str">
        <f t="shared" si="464"/>
        <v>محمودرضا فتحی</v>
      </c>
      <c r="U463" s="86" t="str">
        <f t="shared" si="3"/>
        <v>09126804620</v>
      </c>
      <c r="V463" s="86" t="str">
        <f t="shared" si="4"/>
        <v>پیش‌وایی 3</v>
      </c>
      <c r="W463" s="86"/>
      <c r="X463" s="86"/>
    </row>
    <row r="464">
      <c r="A464" s="192">
        <v>463.0</v>
      </c>
      <c r="B464" s="199" t="s">
        <v>2893</v>
      </c>
      <c r="C464" s="194" t="s">
        <v>2894</v>
      </c>
      <c r="D464" s="195" t="str">
        <f>IFERROR(__xludf.DUMMYFUNCTION("ARRAYFORMULA(LET( converted, SUBSTITUTE( SUBSTITUTE( SUBSTITUTE( SUBSTITUTE( SUBSTITUTE( SUBSTITUTE( SUBSTITUTE( SUBSTITUTE( SUBSTITUTE( SUBSTITUTE( C464, ""۰"", ""0""), ""۱"", ""1""), ""۲"", ""2""), ""۳"", ""3""), ""۴"", ""4""), ""۵"", ""5""), ""۶"", ""6"&amp;"""), ""۷"", ""7""), ""۸"", ""8""), ""۹"", ""9""), IF(LEFT(converted,3)=""+98"", ""0"" &amp; RIGHT(converted, LEN(converted)-3), IF(LEFT(converted,2)=""98"", ""0"" &amp; RIGHT(converted, LEN(converted)-2), IF(LEFT(converted,1)&lt;&gt;""0"", ""0"" &amp; converted, REGEXREPLA"&amp;"CE(converted , ""\s"", """")) ) ) ) )"),"09127245851")</f>
        <v>09127245851</v>
      </c>
      <c r="E464" s="196" t="s">
        <v>17</v>
      </c>
      <c r="F464" s="197">
        <v>3.0</v>
      </c>
      <c r="G464" s="193"/>
      <c r="H464" s="193" t="s">
        <v>2895</v>
      </c>
      <c r="I464" s="194"/>
      <c r="J464" s="194" t="s">
        <v>2896</v>
      </c>
      <c r="K464" s="199" t="s">
        <v>2897</v>
      </c>
      <c r="L464" s="199" t="s">
        <v>2898</v>
      </c>
      <c r="M464" s="193"/>
      <c r="N464" s="199"/>
      <c r="O464" s="199"/>
      <c r="P464" s="193"/>
      <c r="Q464" s="200"/>
      <c r="R464" s="86"/>
      <c r="S464" s="114">
        <f t="shared" ref="S464:T464" si="465">A464</f>
        <v>463</v>
      </c>
      <c r="T464" s="114" t="str">
        <f t="shared" si="465"/>
        <v>ناهید ثقفی</v>
      </c>
      <c r="U464" s="86" t="str">
        <f t="shared" si="3"/>
        <v>09127245851</v>
      </c>
      <c r="V464" s="86" t="str">
        <f t="shared" si="4"/>
        <v>پیش‌وایی 3</v>
      </c>
      <c r="W464" s="86"/>
      <c r="X464" s="86"/>
    </row>
    <row r="465">
      <c r="A465" s="201">
        <v>464.0</v>
      </c>
      <c r="B465" s="207" t="s">
        <v>2899</v>
      </c>
      <c r="C465" s="203" t="s">
        <v>2900</v>
      </c>
      <c r="D465" s="204" t="str">
        <f>IFERROR(__xludf.DUMMYFUNCTION("ARRAYFORMULA(LET( converted, SUBSTITUTE( SUBSTITUTE( SUBSTITUTE( SUBSTITUTE( SUBSTITUTE( SUBSTITUTE( SUBSTITUTE( SUBSTITUTE( SUBSTITUTE( SUBSTITUTE( C465, ""۰"", ""0""), ""۱"", ""1""), ""۲"", ""2""), ""۳"", ""3""), ""۴"", ""4""), ""۵"", ""5""), ""۶"", ""6"&amp;"""), ""۷"", ""7""), ""۸"", ""8""), ""۹"", ""9""), IF(LEFT(converted,3)=""+98"", ""0"" &amp; RIGHT(converted, LEN(converted)-3), IF(LEFT(converted,2)=""98"", ""0"" &amp; RIGHT(converted, LEN(converted)-2), IF(LEFT(converted,1)&lt;&gt;""0"", ""0"" &amp; converted, REGEXREPLA"&amp;"CE(converted , ""\s"", """")) ) ) ) )"),"09123057342")</f>
        <v>09123057342</v>
      </c>
      <c r="E465" s="205" t="s">
        <v>17</v>
      </c>
      <c r="F465" s="206">
        <v>3.0</v>
      </c>
      <c r="G465" s="202"/>
      <c r="H465" s="202" t="s">
        <v>2901</v>
      </c>
      <c r="I465" s="203"/>
      <c r="J465" s="203" t="s">
        <v>2902</v>
      </c>
      <c r="K465" s="207" t="s">
        <v>1569</v>
      </c>
      <c r="L465" s="207" t="s">
        <v>330</v>
      </c>
      <c r="M465" s="202"/>
      <c r="N465" s="207"/>
      <c r="O465" s="207"/>
      <c r="P465" s="202"/>
      <c r="Q465" s="208"/>
      <c r="R465" s="86"/>
      <c r="S465" s="114">
        <f t="shared" ref="S465:T465" si="466">A465</f>
        <v>464</v>
      </c>
      <c r="T465" s="114" t="str">
        <f t="shared" si="466"/>
        <v>حسن محمودی</v>
      </c>
      <c r="U465" s="86" t="str">
        <f t="shared" si="3"/>
        <v>09123057342</v>
      </c>
      <c r="V465" s="86" t="str">
        <f t="shared" si="4"/>
        <v>پیش‌وایی 3</v>
      </c>
      <c r="W465" s="86"/>
      <c r="X465" s="86"/>
    </row>
    <row r="466">
      <c r="A466" s="192">
        <v>465.0</v>
      </c>
      <c r="B466" s="199" t="s">
        <v>2903</v>
      </c>
      <c r="C466" s="194" t="s">
        <v>2904</v>
      </c>
      <c r="D466" s="195" t="str">
        <f>IFERROR(__xludf.DUMMYFUNCTION("ARRAYFORMULA(LET( converted, SUBSTITUTE( SUBSTITUTE( SUBSTITUTE( SUBSTITUTE( SUBSTITUTE( SUBSTITUTE( SUBSTITUTE( SUBSTITUTE( SUBSTITUTE( SUBSTITUTE( C466, ""۰"", ""0""), ""۱"", ""1""), ""۲"", ""2""), ""۳"", ""3""), ""۴"", ""4""), ""۵"", ""5""), ""۶"", ""6"&amp;"""), ""۷"", ""7""), ""۸"", ""8""), ""۹"", ""9""), IF(LEFT(converted,3)=""+98"", ""0"" &amp; RIGHT(converted, LEN(converted)-3), IF(LEFT(converted,2)=""98"", ""0"" &amp; RIGHT(converted, LEN(converted)-2), IF(LEFT(converted,1)&lt;&gt;""0"", ""0"" &amp; converted, REGEXREPLA"&amp;"CE(converted , ""\s"", """")) ) ) ) )"),"09193255089")</f>
        <v>09193255089</v>
      </c>
      <c r="E466" s="196" t="s">
        <v>17</v>
      </c>
      <c r="F466" s="197">
        <v>3.0</v>
      </c>
      <c r="G466" s="193"/>
      <c r="H466" s="193" t="s">
        <v>341</v>
      </c>
      <c r="I466" s="194"/>
      <c r="J466" s="194" t="s">
        <v>2905</v>
      </c>
      <c r="K466" s="199" t="s">
        <v>2906</v>
      </c>
      <c r="L466" s="199" t="s">
        <v>340</v>
      </c>
      <c r="M466" s="193"/>
      <c r="N466" s="199"/>
      <c r="O466" s="199"/>
      <c r="P466" s="193"/>
      <c r="Q466" s="200"/>
      <c r="R466" s="86"/>
      <c r="S466" s="114">
        <f t="shared" ref="S466:T466" si="467">A466</f>
        <v>465</v>
      </c>
      <c r="T466" s="114" t="str">
        <f t="shared" si="467"/>
        <v>عبداللطیف باش قره</v>
      </c>
      <c r="U466" s="86" t="str">
        <f t="shared" si="3"/>
        <v>09193255089</v>
      </c>
      <c r="V466" s="86" t="str">
        <f t="shared" si="4"/>
        <v>پیش‌وایی 3</v>
      </c>
      <c r="W466" s="86"/>
      <c r="X466" s="86"/>
    </row>
    <row r="467">
      <c r="A467" s="201">
        <v>466.0</v>
      </c>
      <c r="B467" s="207" t="s">
        <v>2907</v>
      </c>
      <c r="C467" s="203" t="s">
        <v>2908</v>
      </c>
      <c r="D467" s="204" t="str">
        <f>IFERROR(__xludf.DUMMYFUNCTION("ARRAYFORMULA(LET( converted, SUBSTITUTE( SUBSTITUTE( SUBSTITUTE( SUBSTITUTE( SUBSTITUTE( SUBSTITUTE( SUBSTITUTE( SUBSTITUTE( SUBSTITUTE( SUBSTITUTE( C467, ""۰"", ""0""), ""۱"", ""1""), ""۲"", ""2""), ""۳"", ""3""), ""۴"", ""4""), ""۵"", ""5""), ""۶"", ""6"&amp;"""), ""۷"", ""7""), ""۸"", ""8""), ""۹"", ""9""), IF(LEFT(converted,3)=""+98"", ""0"" &amp; RIGHT(converted, LEN(converted)-3), IF(LEFT(converted,2)=""98"", ""0"" &amp; RIGHT(converted, LEN(converted)-2), IF(LEFT(converted,1)&lt;&gt;""0"", ""0"" &amp; converted, REGEXREPLA"&amp;"CE(converted , ""\s"", """")) ) ) ) )"),"09122878675")</f>
        <v>09122878675</v>
      </c>
      <c r="E467" s="205" t="s">
        <v>17</v>
      </c>
      <c r="F467" s="206">
        <v>3.0</v>
      </c>
      <c r="G467" s="202"/>
      <c r="H467" s="202" t="s">
        <v>2909</v>
      </c>
      <c r="I467" s="203"/>
      <c r="J467" s="203" t="s">
        <v>2910</v>
      </c>
      <c r="K467" s="207" t="s">
        <v>1398</v>
      </c>
      <c r="L467" s="207" t="s">
        <v>2624</v>
      </c>
      <c r="M467" s="202"/>
      <c r="N467" s="207"/>
      <c r="O467" s="207"/>
      <c r="P467" s="202"/>
      <c r="Q467" s="208"/>
      <c r="R467" s="86"/>
      <c r="S467" s="114">
        <f t="shared" ref="S467:T467" si="468">A467</f>
        <v>466</v>
      </c>
      <c r="T467" s="114" t="str">
        <f t="shared" si="468"/>
        <v>زهرا قاسمی</v>
      </c>
      <c r="U467" s="86" t="str">
        <f t="shared" si="3"/>
        <v>09122878675</v>
      </c>
      <c r="V467" s="86" t="str">
        <f t="shared" si="4"/>
        <v>پیش‌وایی 3</v>
      </c>
      <c r="W467" s="86"/>
      <c r="X467" s="86"/>
    </row>
    <row r="468">
      <c r="A468" s="192">
        <v>467.0</v>
      </c>
      <c r="B468" s="199" t="s">
        <v>2911</v>
      </c>
      <c r="C468" s="194" t="s">
        <v>2912</v>
      </c>
      <c r="D468" s="195" t="str">
        <f>IFERROR(__xludf.DUMMYFUNCTION("ARRAYFORMULA(LET( converted, SUBSTITUTE( SUBSTITUTE( SUBSTITUTE( SUBSTITUTE( SUBSTITUTE( SUBSTITUTE( SUBSTITUTE( SUBSTITUTE( SUBSTITUTE( SUBSTITUTE( C468, ""۰"", ""0""), ""۱"", ""1""), ""۲"", ""2""), ""۳"", ""3""), ""۴"", ""4""), ""۵"", ""5""), ""۶"", ""6"&amp;"""), ""۷"", ""7""), ""۸"", ""8""), ""۹"", ""9""), IF(LEFT(converted,3)=""+98"", ""0"" &amp; RIGHT(converted, LEN(converted)-3), IF(LEFT(converted,2)=""98"", ""0"" &amp; RIGHT(converted, LEN(converted)-2), IF(LEFT(converted,1)&lt;&gt;""0"", ""0"" &amp; converted, REGEXREPLA"&amp;"CE(converted , ""\s"", """")) ) ) ) )"),"09123377205")</f>
        <v>09123377205</v>
      </c>
      <c r="E468" s="196" t="s">
        <v>17</v>
      </c>
      <c r="F468" s="197">
        <v>3.0</v>
      </c>
      <c r="G468" s="193"/>
      <c r="H468" s="193" t="s">
        <v>2913</v>
      </c>
      <c r="I468" s="194"/>
      <c r="J468" s="194" t="s">
        <v>2914</v>
      </c>
      <c r="K468" s="199" t="s">
        <v>1459</v>
      </c>
      <c r="L468" s="199" t="s">
        <v>2915</v>
      </c>
      <c r="M468" s="193"/>
      <c r="N468" s="199"/>
      <c r="O468" s="199"/>
      <c r="P468" s="193"/>
      <c r="Q468" s="200"/>
      <c r="R468" s="86"/>
      <c r="S468" s="114">
        <f t="shared" ref="S468:T468" si="469">A468</f>
        <v>467</v>
      </c>
      <c r="T468" s="114" t="str">
        <f t="shared" si="469"/>
        <v>رضا حبیبی خویی</v>
      </c>
      <c r="U468" s="86" t="str">
        <f t="shared" si="3"/>
        <v>09123377205</v>
      </c>
      <c r="V468" s="86" t="str">
        <f t="shared" si="4"/>
        <v>پیش‌وایی 3</v>
      </c>
      <c r="W468" s="86"/>
      <c r="X468" s="86"/>
    </row>
    <row r="469">
      <c r="A469" s="201">
        <v>468.0</v>
      </c>
      <c r="B469" s="207" t="s">
        <v>2916</v>
      </c>
      <c r="C469" s="203" t="s">
        <v>2917</v>
      </c>
      <c r="D469" s="204" t="str">
        <f>IFERROR(__xludf.DUMMYFUNCTION("ARRAYFORMULA(LET( converted, SUBSTITUTE( SUBSTITUTE( SUBSTITUTE( SUBSTITUTE( SUBSTITUTE( SUBSTITUTE( SUBSTITUTE( SUBSTITUTE( SUBSTITUTE( SUBSTITUTE( C469, ""۰"", ""0""), ""۱"", ""1""), ""۲"", ""2""), ""۳"", ""3""), ""۴"", ""4""), ""۵"", ""5""), ""۶"", ""6"&amp;"""), ""۷"", ""7""), ""۸"", ""8""), ""۹"", ""9""), IF(LEFT(converted,3)=""+98"", ""0"" &amp; RIGHT(converted, LEN(converted)-3), IF(LEFT(converted,2)=""98"", ""0"" &amp; RIGHT(converted, LEN(converted)-2), IF(LEFT(converted,1)&lt;&gt;""0"", ""0"" &amp; converted, REGEXREPLA"&amp;"CE(converted , ""\s"", """")) ) ) ) )"),"09125356858")</f>
        <v>09125356858</v>
      </c>
      <c r="E469" s="205" t="s">
        <v>17</v>
      </c>
      <c r="F469" s="206">
        <v>3.0</v>
      </c>
      <c r="G469" s="202"/>
      <c r="H469" s="202" t="s">
        <v>2918</v>
      </c>
      <c r="I469" s="203"/>
      <c r="J469" s="203" t="s">
        <v>2919</v>
      </c>
      <c r="K469" s="207" t="s">
        <v>896</v>
      </c>
      <c r="L469" s="207" t="s">
        <v>2920</v>
      </c>
      <c r="M469" s="202"/>
      <c r="N469" s="207"/>
      <c r="O469" s="207"/>
      <c r="P469" s="202"/>
      <c r="Q469" s="208"/>
      <c r="R469" s="86"/>
      <c r="S469" s="114">
        <f t="shared" ref="S469:T469" si="470">A469</f>
        <v>468</v>
      </c>
      <c r="T469" s="114" t="str">
        <f t="shared" si="470"/>
        <v>حسین پورباقری</v>
      </c>
      <c r="U469" s="86" t="str">
        <f t="shared" si="3"/>
        <v>09125356858</v>
      </c>
      <c r="V469" s="86" t="str">
        <f t="shared" si="4"/>
        <v>پیش‌وایی 3</v>
      </c>
      <c r="W469" s="86"/>
      <c r="X469" s="86"/>
    </row>
    <row r="470">
      <c r="A470" s="192">
        <v>469.0</v>
      </c>
      <c r="B470" s="199" t="s">
        <v>2921</v>
      </c>
      <c r="C470" s="194" t="s">
        <v>2922</v>
      </c>
      <c r="D470" s="195" t="str">
        <f>IFERROR(__xludf.DUMMYFUNCTION("ARRAYFORMULA(LET( converted, SUBSTITUTE( SUBSTITUTE( SUBSTITUTE( SUBSTITUTE( SUBSTITUTE( SUBSTITUTE( SUBSTITUTE( SUBSTITUTE( SUBSTITUTE( SUBSTITUTE( C470, ""۰"", ""0""), ""۱"", ""1""), ""۲"", ""2""), ""۳"", ""3""), ""۴"", ""4""), ""۵"", ""5""), ""۶"", ""6"&amp;"""), ""۷"", ""7""), ""۸"", ""8""), ""۹"", ""9""), IF(LEFT(converted,3)=""+98"", ""0"" &amp; RIGHT(converted, LEN(converted)-3), IF(LEFT(converted,2)=""98"", ""0"" &amp; RIGHT(converted, LEN(converted)-2), IF(LEFT(converted,1)&lt;&gt;""0"", ""0"" &amp; converted, REGEXREPLA"&amp;"CE(converted , ""\s"", """")) ) ) ) )"),"09122979138")</f>
        <v>09122979138</v>
      </c>
      <c r="E470" s="196" t="s">
        <v>17</v>
      </c>
      <c r="F470" s="197">
        <v>3.0</v>
      </c>
      <c r="G470" s="193"/>
      <c r="H470" s="193" t="s">
        <v>2923</v>
      </c>
      <c r="I470" s="194"/>
      <c r="J470" s="194" t="s">
        <v>2924</v>
      </c>
      <c r="K470" s="199" t="s">
        <v>1678</v>
      </c>
      <c r="L470" s="199" t="s">
        <v>2925</v>
      </c>
      <c r="M470" s="193"/>
      <c r="N470" s="199"/>
      <c r="O470" s="199"/>
      <c r="P470" s="193"/>
      <c r="Q470" s="200"/>
      <c r="R470" s="86"/>
      <c r="S470" s="114">
        <f t="shared" ref="S470:T470" si="471">A470</f>
        <v>469</v>
      </c>
      <c r="T470" s="114" t="str">
        <f t="shared" si="471"/>
        <v>امین عباسپور</v>
      </c>
      <c r="U470" s="86" t="str">
        <f t="shared" si="3"/>
        <v>09122979138</v>
      </c>
      <c r="V470" s="86" t="str">
        <f t="shared" si="4"/>
        <v>پیش‌وایی 3</v>
      </c>
      <c r="W470" s="86"/>
      <c r="X470" s="86"/>
    </row>
    <row r="471">
      <c r="A471" s="201">
        <v>470.0</v>
      </c>
      <c r="B471" s="207" t="s">
        <v>2926</v>
      </c>
      <c r="C471" s="203" t="s">
        <v>2927</v>
      </c>
      <c r="D471" s="204" t="str">
        <f>IFERROR(__xludf.DUMMYFUNCTION("ARRAYFORMULA(LET( converted, SUBSTITUTE( SUBSTITUTE( SUBSTITUTE( SUBSTITUTE( SUBSTITUTE( SUBSTITUTE( SUBSTITUTE( SUBSTITUTE( SUBSTITUTE( SUBSTITUTE( C471, ""۰"", ""0""), ""۱"", ""1""), ""۲"", ""2""), ""۳"", ""3""), ""۴"", ""4""), ""۵"", ""5""), ""۶"", ""6"&amp;"""), ""۷"", ""7""), ""۸"", ""8""), ""۹"", ""9""), IF(LEFT(converted,3)=""+98"", ""0"" &amp; RIGHT(converted, LEN(converted)-3), IF(LEFT(converted,2)=""98"", ""0"" &amp; RIGHT(converted, LEN(converted)-2), IF(LEFT(converted,1)&lt;&gt;""0"", ""0"" &amp; converted, REGEXREPLA"&amp;"CE(converted , ""\s"", """")) ) ) ) )"),"09121522585")</f>
        <v>09121522585</v>
      </c>
      <c r="E471" s="205" t="s">
        <v>17</v>
      </c>
      <c r="F471" s="206">
        <v>3.0</v>
      </c>
      <c r="G471" s="202"/>
      <c r="H471" s="202" t="s">
        <v>2928</v>
      </c>
      <c r="I471" s="203"/>
      <c r="J471" s="203" t="s">
        <v>2929</v>
      </c>
      <c r="K471" s="207" t="s">
        <v>2930</v>
      </c>
      <c r="L471" s="207" t="s">
        <v>2931</v>
      </c>
      <c r="M471" s="202"/>
      <c r="N471" s="207"/>
      <c r="O471" s="207"/>
      <c r="P471" s="202"/>
      <c r="Q471" s="208"/>
      <c r="R471" s="86"/>
      <c r="S471" s="114">
        <f t="shared" ref="S471:T471" si="472">A471</f>
        <v>470</v>
      </c>
      <c r="T471" s="114" t="str">
        <f t="shared" si="472"/>
        <v>علی رضا رحمت الله</v>
      </c>
      <c r="U471" s="86" t="str">
        <f t="shared" si="3"/>
        <v>09121522585</v>
      </c>
      <c r="V471" s="86" t="str">
        <f t="shared" si="4"/>
        <v>پیش‌وایی 3</v>
      </c>
      <c r="W471" s="86"/>
      <c r="X471" s="86"/>
    </row>
    <row r="472">
      <c r="A472" s="192">
        <v>471.0</v>
      </c>
      <c r="B472" s="199" t="s">
        <v>2932</v>
      </c>
      <c r="C472" s="194" t="s">
        <v>2933</v>
      </c>
      <c r="D472" s="195" t="str">
        <f>IFERROR(__xludf.DUMMYFUNCTION("ARRAYFORMULA(LET( converted, SUBSTITUTE( SUBSTITUTE( SUBSTITUTE( SUBSTITUTE( SUBSTITUTE( SUBSTITUTE( SUBSTITUTE( SUBSTITUTE( SUBSTITUTE( SUBSTITUTE( C472, ""۰"", ""0""), ""۱"", ""1""), ""۲"", ""2""), ""۳"", ""3""), ""۴"", ""4""), ""۵"", ""5""), ""۶"", ""6"&amp;"""), ""۷"", ""7""), ""۸"", ""8""), ""۹"", ""9""), IF(LEFT(converted,3)=""+98"", ""0"" &amp; RIGHT(converted, LEN(converted)-3), IF(LEFT(converted,2)=""98"", ""0"" &amp; RIGHT(converted, LEN(converted)-2), IF(LEFT(converted,1)&lt;&gt;""0"", ""0"" &amp; converted, REGEXREPLA"&amp;"CE(converted , ""\s"", """")) ) ) ) )"),"09126819077")</f>
        <v>09126819077</v>
      </c>
      <c r="E472" s="196" t="s">
        <v>17</v>
      </c>
      <c r="F472" s="197">
        <v>3.0</v>
      </c>
      <c r="G472" s="193"/>
      <c r="H472" s="193" t="s">
        <v>2934</v>
      </c>
      <c r="I472" s="194"/>
      <c r="J472" s="194" t="s">
        <v>2935</v>
      </c>
      <c r="K472" s="199" t="s">
        <v>1956</v>
      </c>
      <c r="L472" s="199" t="s">
        <v>2936</v>
      </c>
      <c r="M472" s="193"/>
      <c r="N472" s="199"/>
      <c r="O472" s="199"/>
      <c r="P472" s="193"/>
      <c r="Q472" s="200"/>
      <c r="R472" s="86"/>
      <c r="S472" s="114">
        <f t="shared" ref="S472:T472" si="473">A472</f>
        <v>471</v>
      </c>
      <c r="T472" s="114" t="str">
        <f t="shared" si="473"/>
        <v>سید مهدی تقوی</v>
      </c>
      <c r="U472" s="86" t="str">
        <f t="shared" si="3"/>
        <v>09126819077</v>
      </c>
      <c r="V472" s="86" t="str">
        <f t="shared" si="4"/>
        <v>پیش‌وایی 3</v>
      </c>
      <c r="W472" s="86"/>
      <c r="X472" s="86"/>
    </row>
    <row r="473">
      <c r="A473" s="201">
        <v>472.0</v>
      </c>
      <c r="B473" s="207" t="s">
        <v>2937</v>
      </c>
      <c r="C473" s="203" t="s">
        <v>2938</v>
      </c>
      <c r="D473" s="204" t="str">
        <f>IFERROR(__xludf.DUMMYFUNCTION("ARRAYFORMULA(LET( converted, SUBSTITUTE( SUBSTITUTE( SUBSTITUTE( SUBSTITUTE( SUBSTITUTE( SUBSTITUTE( SUBSTITUTE( SUBSTITUTE( SUBSTITUTE( SUBSTITUTE( C473, ""۰"", ""0""), ""۱"", ""1""), ""۲"", ""2""), ""۳"", ""3""), ""۴"", ""4""), ""۵"", ""5""), ""۶"", ""6"&amp;"""), ""۷"", ""7""), ""۸"", ""8""), ""۹"", ""9""), IF(LEFT(converted,3)=""+98"", ""0"" &amp; RIGHT(converted, LEN(converted)-3), IF(LEFT(converted,2)=""98"", ""0"" &amp; RIGHT(converted, LEN(converted)-2), IF(LEFT(converted,1)&lt;&gt;""0"", ""0"" &amp; converted, REGEXREPLA"&amp;"CE(converted , ""\s"", """")) ) ) ) )"),"09126342125")</f>
        <v>09126342125</v>
      </c>
      <c r="E473" s="205" t="s">
        <v>17</v>
      </c>
      <c r="F473" s="206">
        <v>3.0</v>
      </c>
      <c r="G473" s="202"/>
      <c r="H473" s="202" t="s">
        <v>2939</v>
      </c>
      <c r="I473" s="203"/>
      <c r="J473" s="203" t="s">
        <v>2940</v>
      </c>
      <c r="K473" s="207" t="s">
        <v>1466</v>
      </c>
      <c r="L473" s="207" t="s">
        <v>2941</v>
      </c>
      <c r="M473" s="202"/>
      <c r="N473" s="207"/>
      <c r="O473" s="207"/>
      <c r="P473" s="202"/>
      <c r="Q473" s="208"/>
      <c r="R473" s="86"/>
      <c r="S473" s="114">
        <f t="shared" ref="S473:T473" si="474">A473</f>
        <v>472</v>
      </c>
      <c r="T473" s="114" t="str">
        <f t="shared" si="474"/>
        <v>امیرعلی علیئی</v>
      </c>
      <c r="U473" s="86" t="str">
        <f t="shared" si="3"/>
        <v>09126342125</v>
      </c>
      <c r="V473" s="86" t="str">
        <f t="shared" si="4"/>
        <v>پیش‌وایی 3</v>
      </c>
      <c r="W473" s="86"/>
      <c r="X473" s="86"/>
    </row>
    <row r="474">
      <c r="A474" s="192">
        <v>473.0</v>
      </c>
      <c r="B474" s="199" t="s">
        <v>178</v>
      </c>
      <c r="C474" s="194" t="s">
        <v>2942</v>
      </c>
      <c r="D474" s="195" t="str">
        <f>IFERROR(__xludf.DUMMYFUNCTION("ARRAYFORMULA(LET( converted, SUBSTITUTE( SUBSTITUTE( SUBSTITUTE( SUBSTITUTE( SUBSTITUTE( SUBSTITUTE( SUBSTITUTE( SUBSTITUTE( SUBSTITUTE( SUBSTITUTE( C474, ""۰"", ""0""), ""۱"", ""1""), ""۲"", ""2""), ""۳"", ""3""), ""۴"", ""4""), ""۵"", ""5""), ""۶"", ""6"&amp;"""), ""۷"", ""7""), ""۸"", ""8""), ""۹"", ""9""), IF(LEFT(converted,3)=""+98"", ""0"" &amp; RIGHT(converted, LEN(converted)-3), IF(LEFT(converted,2)=""98"", ""0"" &amp; RIGHT(converted, LEN(converted)-2), IF(LEFT(converted,1)&lt;&gt;""0"", ""0"" &amp; converted, REGEXREPLA"&amp;"CE(converted , ""\s"", """")) ) ) ) )"),"09122587828")</f>
        <v>09122587828</v>
      </c>
      <c r="E474" s="196" t="s">
        <v>17</v>
      </c>
      <c r="F474" s="197">
        <v>3.0</v>
      </c>
      <c r="G474" s="193"/>
      <c r="H474" s="193" t="s">
        <v>2943</v>
      </c>
      <c r="I474" s="194"/>
      <c r="J474" s="194" t="s">
        <v>2944</v>
      </c>
      <c r="K474" s="199" t="s">
        <v>259</v>
      </c>
      <c r="L474" s="199" t="s">
        <v>2945</v>
      </c>
      <c r="M474" s="193"/>
      <c r="N474" s="199"/>
      <c r="O474" s="199"/>
      <c r="P474" s="193"/>
      <c r="Q474" s="200"/>
      <c r="R474" s="86"/>
      <c r="S474" s="114">
        <f t="shared" ref="S474:T474" si="475">A474</f>
        <v>473</v>
      </c>
      <c r="T474" s="114" t="str">
        <f t="shared" si="475"/>
        <v>علیرضا سهرابی</v>
      </c>
      <c r="U474" s="86" t="str">
        <f t="shared" si="3"/>
        <v>09122587828</v>
      </c>
      <c r="V474" s="86" t="str">
        <f t="shared" si="4"/>
        <v>پیش‌وایی 3</v>
      </c>
      <c r="W474" s="86"/>
      <c r="X474" s="86"/>
    </row>
    <row r="475">
      <c r="A475" s="201">
        <v>474.0</v>
      </c>
      <c r="B475" s="207" t="s">
        <v>2946</v>
      </c>
      <c r="C475" s="203" t="s">
        <v>2947</v>
      </c>
      <c r="D475" s="204" t="str">
        <f>IFERROR(__xludf.DUMMYFUNCTION("ARRAYFORMULA(LET( converted, SUBSTITUTE( SUBSTITUTE( SUBSTITUTE( SUBSTITUTE( SUBSTITUTE( SUBSTITUTE( SUBSTITUTE( SUBSTITUTE( SUBSTITUTE( SUBSTITUTE( C475, ""۰"", ""0""), ""۱"", ""1""), ""۲"", ""2""), ""۳"", ""3""), ""۴"", ""4""), ""۵"", ""5""), ""۶"", ""6"&amp;"""), ""۷"", ""7""), ""۸"", ""8""), ""۹"", ""9""), IF(LEFT(converted,3)=""+98"", ""0"" &amp; RIGHT(converted, LEN(converted)-3), IF(LEFT(converted,2)=""98"", ""0"" &amp; RIGHT(converted, LEN(converted)-2), IF(LEFT(converted,1)&lt;&gt;""0"", ""0"" &amp; converted, REGEXREPLA"&amp;"CE(converted , ""\s"", """")) ) ) ) )"),"09021336248")</f>
        <v>09021336248</v>
      </c>
      <c r="E475" s="205" t="s">
        <v>17</v>
      </c>
      <c r="F475" s="206">
        <v>3.0</v>
      </c>
      <c r="G475" s="202"/>
      <c r="H475" s="202" t="s">
        <v>2948</v>
      </c>
      <c r="I475" s="203"/>
      <c r="J475" s="203" t="s">
        <v>2949</v>
      </c>
      <c r="K475" s="207" t="s">
        <v>1018</v>
      </c>
      <c r="L475" s="207" t="s">
        <v>2950</v>
      </c>
      <c r="M475" s="202"/>
      <c r="N475" s="207"/>
      <c r="O475" s="207"/>
      <c r="P475" s="202"/>
      <c r="Q475" s="208"/>
      <c r="R475" s="86"/>
      <c r="S475" s="114">
        <f t="shared" ref="S475:T475" si="476">A475</f>
        <v>474</v>
      </c>
      <c r="T475" s="114" t="str">
        <f t="shared" si="476"/>
        <v>علی مقصود</v>
      </c>
      <c r="U475" s="86" t="str">
        <f t="shared" si="3"/>
        <v>09021336248</v>
      </c>
      <c r="V475" s="86" t="str">
        <f t="shared" si="4"/>
        <v>پیش‌وایی 3</v>
      </c>
      <c r="W475" s="86"/>
      <c r="X475" s="86"/>
    </row>
    <row r="476">
      <c r="A476" s="192">
        <v>475.0</v>
      </c>
      <c r="B476" s="199" t="s">
        <v>2951</v>
      </c>
      <c r="C476" s="194" t="s">
        <v>2952</v>
      </c>
      <c r="D476" s="195" t="str">
        <f>IFERROR(__xludf.DUMMYFUNCTION("ARRAYFORMULA(LET( converted, SUBSTITUTE( SUBSTITUTE( SUBSTITUTE( SUBSTITUTE( SUBSTITUTE( SUBSTITUTE( SUBSTITUTE( SUBSTITUTE( SUBSTITUTE( SUBSTITUTE( C476, ""۰"", ""0""), ""۱"", ""1""), ""۲"", ""2""), ""۳"", ""3""), ""۴"", ""4""), ""۵"", ""5""), ""۶"", ""6"&amp;"""), ""۷"", ""7""), ""۸"", ""8""), ""۹"", ""9""), IF(LEFT(converted,3)=""+98"", ""0"" &amp; RIGHT(converted, LEN(converted)-3), IF(LEFT(converted,2)=""98"", ""0"" &amp; RIGHT(converted, LEN(converted)-2), IF(LEFT(converted,1)&lt;&gt;""0"", ""0"" &amp; converted, REGEXREPLA"&amp;"CE(converted , ""\s"", """")) ) ) ) )"),"09124148406")</f>
        <v>09124148406</v>
      </c>
      <c r="E476" s="196" t="s">
        <v>17</v>
      </c>
      <c r="F476" s="197">
        <v>3.0</v>
      </c>
      <c r="G476" s="193"/>
      <c r="H476" s="193" t="s">
        <v>2953</v>
      </c>
      <c r="I476" s="194"/>
      <c r="J476" s="194" t="s">
        <v>2954</v>
      </c>
      <c r="K476" s="199" t="s">
        <v>2955</v>
      </c>
      <c r="L476" s="199" t="s">
        <v>2956</v>
      </c>
      <c r="M476" s="193"/>
      <c r="N476" s="199"/>
      <c r="O476" s="199"/>
      <c r="P476" s="193"/>
      <c r="Q476" s="200"/>
      <c r="R476" s="86"/>
      <c r="S476" s="114">
        <f t="shared" ref="S476:T476" si="477">A476</f>
        <v>475</v>
      </c>
      <c r="T476" s="114" t="str">
        <f t="shared" si="477"/>
        <v>نوشین ابراهیم زاده</v>
      </c>
      <c r="U476" s="86" t="str">
        <f t="shared" si="3"/>
        <v>09124148406</v>
      </c>
      <c r="V476" s="86" t="str">
        <f t="shared" si="4"/>
        <v>پیش‌وایی 3</v>
      </c>
      <c r="W476" s="86"/>
      <c r="X476" s="86"/>
    </row>
    <row r="477">
      <c r="A477" s="201">
        <v>476.0</v>
      </c>
      <c r="B477" s="202" t="s">
        <v>2957</v>
      </c>
      <c r="C477" s="203" t="s">
        <v>2958</v>
      </c>
      <c r="D477" s="204" t="str">
        <f>IFERROR(__xludf.DUMMYFUNCTION("ARRAYFORMULA(LET( converted, SUBSTITUTE( SUBSTITUTE( SUBSTITUTE( SUBSTITUTE( SUBSTITUTE( SUBSTITUTE( SUBSTITUTE( SUBSTITUTE( SUBSTITUTE( SUBSTITUTE( C477, ""۰"", ""0""), ""۱"", ""1""), ""۲"", ""2""), ""۳"", ""3""), ""۴"", ""4""), ""۵"", ""5""), ""۶"", ""6"&amp;"""), ""۷"", ""7""), ""۸"", ""8""), ""۹"", ""9""), IF(LEFT(converted,3)=""+98"", ""0"" &amp; RIGHT(converted, LEN(converted)-3), IF(LEFT(converted,2)=""98"", ""0"" &amp; RIGHT(converted, LEN(converted)-2), IF(LEFT(converted,1)&lt;&gt;""0"", ""0"" &amp; converted, REGEXREPLA"&amp;"CE(converted , ""\s"", """")) ) ) ) )"),"09120908216")</f>
        <v>09120908216</v>
      </c>
      <c r="E477" s="205" t="s">
        <v>17</v>
      </c>
      <c r="F477" s="206">
        <v>3.0</v>
      </c>
      <c r="G477" s="202"/>
      <c r="H477" s="202" t="s">
        <v>2959</v>
      </c>
      <c r="I477" s="203"/>
      <c r="J477" s="203" t="s">
        <v>2960</v>
      </c>
      <c r="K477" s="207" t="s">
        <v>2512</v>
      </c>
      <c r="L477" s="207" t="s">
        <v>2961</v>
      </c>
      <c r="M477" s="202"/>
      <c r="N477" s="207"/>
      <c r="O477" s="207"/>
      <c r="P477" s="202"/>
      <c r="Q477" s="208"/>
      <c r="R477" s="86"/>
      <c r="S477" s="114">
        <f t="shared" ref="S477:T477" si="478">A477</f>
        <v>476</v>
      </c>
      <c r="T477" s="114" t="str">
        <f t="shared" si="478"/>
        <v>نگار مساوات</v>
      </c>
      <c r="U477" s="86" t="str">
        <f t="shared" si="3"/>
        <v>09120908216</v>
      </c>
      <c r="V477" s="86" t="str">
        <f t="shared" si="4"/>
        <v>پیش‌وایی 3</v>
      </c>
      <c r="W477" s="86"/>
      <c r="X477" s="86"/>
    </row>
    <row r="478">
      <c r="A478" s="192">
        <v>477.0</v>
      </c>
      <c r="B478" s="199" t="s">
        <v>2962</v>
      </c>
      <c r="C478" s="194" t="s">
        <v>2963</v>
      </c>
      <c r="D478" s="195" t="str">
        <f>IFERROR(__xludf.DUMMYFUNCTION("ARRAYFORMULA(LET( converted, SUBSTITUTE( SUBSTITUTE( SUBSTITUTE( SUBSTITUTE( SUBSTITUTE( SUBSTITUTE( SUBSTITUTE( SUBSTITUTE( SUBSTITUTE( SUBSTITUTE( C478, ""۰"", ""0""), ""۱"", ""1""), ""۲"", ""2""), ""۳"", ""3""), ""۴"", ""4""), ""۵"", ""5""), ""۶"", ""6"&amp;"""), ""۷"", ""7""), ""۸"", ""8""), ""۹"", ""9""), IF(LEFT(converted,3)=""+98"", ""0"" &amp; RIGHT(converted, LEN(converted)-3), IF(LEFT(converted,2)=""98"", ""0"" &amp; RIGHT(converted, LEN(converted)-2), IF(LEFT(converted,1)&lt;&gt;""0"", ""0"" &amp; converted, REGEXREPLA"&amp;"CE(converted , ""\s"", """")) ) ) ) )"),"09121034511")</f>
        <v>09121034511</v>
      </c>
      <c r="E478" s="196" t="s">
        <v>17</v>
      </c>
      <c r="F478" s="197">
        <v>3.0</v>
      </c>
      <c r="G478" s="193"/>
      <c r="H478" s="193" t="s">
        <v>2964</v>
      </c>
      <c r="I478" s="194"/>
      <c r="J478" s="194" t="s">
        <v>2965</v>
      </c>
      <c r="K478" s="199" t="s">
        <v>758</v>
      </c>
      <c r="L478" s="199" t="s">
        <v>2966</v>
      </c>
      <c r="M478" s="193"/>
      <c r="N478" s="199"/>
      <c r="O478" s="199"/>
      <c r="P478" s="193"/>
      <c r="Q478" s="200"/>
      <c r="R478" s="86"/>
      <c r="S478" s="114">
        <f t="shared" ref="S478:T478" si="479">A478</f>
        <v>477</v>
      </c>
      <c r="T478" s="114" t="str">
        <f t="shared" si="479"/>
        <v>سعید شادکام</v>
      </c>
      <c r="U478" s="86" t="str">
        <f t="shared" si="3"/>
        <v>09121034511</v>
      </c>
      <c r="V478" s="86" t="str">
        <f t="shared" si="4"/>
        <v>پیش‌وایی 3</v>
      </c>
      <c r="W478" s="86"/>
      <c r="X478" s="86"/>
    </row>
    <row r="479">
      <c r="A479" s="201">
        <v>478.0</v>
      </c>
      <c r="B479" s="207" t="s">
        <v>2967</v>
      </c>
      <c r="C479" s="203" t="s">
        <v>2968</v>
      </c>
      <c r="D479" s="204" t="str">
        <f>IFERROR(__xludf.DUMMYFUNCTION("ARRAYFORMULA(LET( converted, SUBSTITUTE( SUBSTITUTE( SUBSTITUTE( SUBSTITUTE( SUBSTITUTE( SUBSTITUTE( SUBSTITUTE( SUBSTITUTE( SUBSTITUTE( SUBSTITUTE( C479, ""۰"", ""0""), ""۱"", ""1""), ""۲"", ""2""), ""۳"", ""3""), ""۴"", ""4""), ""۵"", ""5""), ""۶"", ""6"&amp;"""), ""۷"", ""7""), ""۸"", ""8""), ""۹"", ""9""), IF(LEFT(converted,3)=""+98"", ""0"" &amp; RIGHT(converted, LEN(converted)-3), IF(LEFT(converted,2)=""98"", ""0"" &amp; RIGHT(converted, LEN(converted)-2), IF(LEFT(converted,1)&lt;&gt;""0"", ""0"" &amp; converted, REGEXREPLA"&amp;"CE(converted , ""\s"", """")) ) ) ) )"),"09138373707")</f>
        <v>09138373707</v>
      </c>
      <c r="E479" s="205" t="s">
        <v>17</v>
      </c>
      <c r="F479" s="206">
        <v>3.0</v>
      </c>
      <c r="G479" s="202"/>
      <c r="H479" s="202" t="s">
        <v>2969</v>
      </c>
      <c r="I479" s="203"/>
      <c r="J479" s="203" t="s">
        <v>2970</v>
      </c>
      <c r="K479" s="207" t="s">
        <v>1018</v>
      </c>
      <c r="L479" s="207" t="s">
        <v>2971</v>
      </c>
      <c r="M479" s="202"/>
      <c r="N479" s="207"/>
      <c r="O479" s="207"/>
      <c r="P479" s="202"/>
      <c r="Q479" s="208"/>
      <c r="R479" s="86"/>
      <c r="S479" s="114">
        <f t="shared" ref="S479:T479" si="480">A479</f>
        <v>478</v>
      </c>
      <c r="T479" s="114" t="str">
        <f t="shared" si="480"/>
        <v>علی بهرامی</v>
      </c>
      <c r="U479" s="86" t="str">
        <f t="shared" si="3"/>
        <v>09138373707</v>
      </c>
      <c r="V479" s="86" t="str">
        <f t="shared" si="4"/>
        <v>پیش‌وایی 3</v>
      </c>
      <c r="W479" s="86"/>
      <c r="X479" s="86"/>
    </row>
    <row r="480">
      <c r="A480" s="192">
        <v>479.0</v>
      </c>
      <c r="B480" s="199" t="s">
        <v>2972</v>
      </c>
      <c r="C480" s="194" t="s">
        <v>2973</v>
      </c>
      <c r="D480" s="195" t="str">
        <f>IFERROR(__xludf.DUMMYFUNCTION("ARRAYFORMULA(LET( converted, SUBSTITUTE( SUBSTITUTE( SUBSTITUTE( SUBSTITUTE( SUBSTITUTE( SUBSTITUTE( SUBSTITUTE( SUBSTITUTE( SUBSTITUTE( SUBSTITUTE( C480, ""۰"", ""0""), ""۱"", ""1""), ""۲"", ""2""), ""۳"", ""3""), ""۴"", ""4""), ""۵"", ""5""), ""۶"", ""6"&amp;"""), ""۷"", ""7""), ""۸"", ""8""), ""۹"", ""9""), IF(LEFT(converted,3)=""+98"", ""0"" &amp; RIGHT(converted, LEN(converted)-3), IF(LEFT(converted,2)=""98"", ""0"" &amp; RIGHT(converted, LEN(converted)-2), IF(LEFT(converted,1)&lt;&gt;""0"", ""0"" &amp; converted, REGEXREPLA"&amp;"CE(converted , ""\s"", """")) ) ) ) )"),"09121268317")</f>
        <v>09121268317</v>
      </c>
      <c r="E480" s="196" t="s">
        <v>17</v>
      </c>
      <c r="F480" s="197">
        <v>3.0</v>
      </c>
      <c r="G480" s="193"/>
      <c r="H480" s="193" t="s">
        <v>2974</v>
      </c>
      <c r="I480" s="194"/>
      <c r="J480" s="194" t="s">
        <v>2975</v>
      </c>
      <c r="K480" s="199" t="s">
        <v>2976</v>
      </c>
      <c r="L480" s="199" t="s">
        <v>2977</v>
      </c>
      <c r="M480" s="193"/>
      <c r="N480" s="199"/>
      <c r="O480" s="199"/>
      <c r="P480" s="193"/>
      <c r="Q480" s="200"/>
      <c r="R480" s="86"/>
      <c r="S480" s="114">
        <f t="shared" ref="S480:T480" si="481">A480</f>
        <v>479</v>
      </c>
      <c r="T480" s="114" t="str">
        <f t="shared" si="481"/>
        <v>یحیی منصور موید</v>
      </c>
      <c r="U480" s="86" t="str">
        <f t="shared" si="3"/>
        <v>09121268317</v>
      </c>
      <c r="V480" s="86" t="str">
        <f t="shared" si="4"/>
        <v>پیش‌وایی 3</v>
      </c>
      <c r="W480" s="86"/>
      <c r="X480" s="86"/>
    </row>
    <row r="481">
      <c r="A481" s="201">
        <v>480.0</v>
      </c>
      <c r="B481" s="207" t="s">
        <v>2978</v>
      </c>
      <c r="C481" s="203" t="s">
        <v>2979</v>
      </c>
      <c r="D481" s="204" t="str">
        <f>IFERROR(__xludf.DUMMYFUNCTION("ARRAYFORMULA(LET( converted, SUBSTITUTE( SUBSTITUTE( SUBSTITUTE( SUBSTITUTE( SUBSTITUTE( SUBSTITUTE( SUBSTITUTE( SUBSTITUTE( SUBSTITUTE( SUBSTITUTE( C481, ""۰"", ""0""), ""۱"", ""1""), ""۲"", ""2""), ""۳"", ""3""), ""۴"", ""4""), ""۵"", ""5""), ""۶"", ""6"&amp;"""), ""۷"", ""7""), ""۸"", ""8""), ""۹"", ""9""), IF(LEFT(converted,3)=""+98"", ""0"" &amp; RIGHT(converted, LEN(converted)-3), IF(LEFT(converted,2)=""98"", ""0"" &amp; RIGHT(converted, LEN(converted)-2), IF(LEFT(converted,1)&lt;&gt;""0"", ""0"" &amp; converted, REGEXREPLA"&amp;"CE(converted , ""\s"", """")) ) ) ) )"),"09188720190")</f>
        <v>09188720190</v>
      </c>
      <c r="E481" s="205" t="s">
        <v>17</v>
      </c>
      <c r="F481" s="206">
        <v>3.0</v>
      </c>
      <c r="G481" s="202"/>
      <c r="H481" s="202" t="s">
        <v>2974</v>
      </c>
      <c r="I481" s="203"/>
      <c r="J481" s="203" t="s">
        <v>2980</v>
      </c>
      <c r="K481" s="207" t="s">
        <v>2981</v>
      </c>
      <c r="L481" s="207" t="s">
        <v>2982</v>
      </c>
      <c r="M481" s="202"/>
      <c r="N481" s="207"/>
      <c r="O481" s="207"/>
      <c r="P481" s="202"/>
      <c r="Q481" s="208"/>
      <c r="R481" s="86"/>
      <c r="S481" s="114">
        <f t="shared" ref="S481:T481" si="482">A481</f>
        <v>480</v>
      </c>
      <c r="T481" s="114" t="str">
        <f t="shared" si="482"/>
        <v>علی اكبر عبدالملكی</v>
      </c>
      <c r="U481" s="86" t="str">
        <f t="shared" si="3"/>
        <v>09188720190</v>
      </c>
      <c r="V481" s="86" t="str">
        <f t="shared" si="4"/>
        <v>پیش‌وایی 3</v>
      </c>
      <c r="W481" s="86"/>
      <c r="X481" s="86"/>
    </row>
    <row r="482">
      <c r="A482" s="192">
        <v>481.0</v>
      </c>
      <c r="B482" s="199" t="s">
        <v>2983</v>
      </c>
      <c r="C482" s="194" t="s">
        <v>2984</v>
      </c>
      <c r="D482" s="195" t="str">
        <f>IFERROR(__xludf.DUMMYFUNCTION("ARRAYFORMULA(LET( converted, SUBSTITUTE( SUBSTITUTE( SUBSTITUTE( SUBSTITUTE( SUBSTITUTE( SUBSTITUTE( SUBSTITUTE( SUBSTITUTE( SUBSTITUTE( SUBSTITUTE( C482, ""۰"", ""0""), ""۱"", ""1""), ""۲"", ""2""), ""۳"", ""3""), ""۴"", ""4""), ""۵"", ""5""), ""۶"", ""6"&amp;"""), ""۷"", ""7""), ""۸"", ""8""), ""۹"", ""9""), IF(LEFT(converted,3)=""+98"", ""0"" &amp; RIGHT(converted, LEN(converted)-3), IF(LEFT(converted,2)=""98"", ""0"" &amp; RIGHT(converted, LEN(converted)-2), IF(LEFT(converted,1)&lt;&gt;""0"", ""0"" &amp; converted, REGEXREPLA"&amp;"CE(converted , ""\s"", """")) ) ) ) )"),"09120713503")</f>
        <v>09120713503</v>
      </c>
      <c r="E482" s="196" t="s">
        <v>17</v>
      </c>
      <c r="F482" s="197">
        <v>3.0</v>
      </c>
      <c r="G482" s="193"/>
      <c r="H482" s="193" t="s">
        <v>2985</v>
      </c>
      <c r="I482" s="194"/>
      <c r="J482" s="194" t="s">
        <v>2986</v>
      </c>
      <c r="K482" s="199" t="s">
        <v>303</v>
      </c>
      <c r="L482" s="199" t="s">
        <v>2624</v>
      </c>
      <c r="M482" s="193"/>
      <c r="N482" s="199"/>
      <c r="O482" s="199"/>
      <c r="P482" s="193"/>
      <c r="Q482" s="200"/>
      <c r="R482" s="86"/>
      <c r="S482" s="114">
        <f t="shared" ref="S482:T482" si="483">A482</f>
        <v>481</v>
      </c>
      <c r="T482" s="114" t="str">
        <f t="shared" si="483"/>
        <v>محمد قاسمی</v>
      </c>
      <c r="U482" s="86" t="str">
        <f t="shared" si="3"/>
        <v>09120713503</v>
      </c>
      <c r="V482" s="86" t="str">
        <f t="shared" si="4"/>
        <v>پیش‌وایی 3</v>
      </c>
      <c r="W482" s="86"/>
      <c r="X482" s="86"/>
    </row>
    <row r="483">
      <c r="A483" s="201">
        <v>482.0</v>
      </c>
      <c r="B483" s="207" t="s">
        <v>2987</v>
      </c>
      <c r="C483" s="203" t="s">
        <v>2988</v>
      </c>
      <c r="D483" s="204" t="str">
        <f>IFERROR(__xludf.DUMMYFUNCTION("ARRAYFORMULA(LET( converted, SUBSTITUTE( SUBSTITUTE( SUBSTITUTE( SUBSTITUTE( SUBSTITUTE( SUBSTITUTE( SUBSTITUTE( SUBSTITUTE( SUBSTITUTE( SUBSTITUTE( C483, ""۰"", ""0""), ""۱"", ""1""), ""۲"", ""2""), ""۳"", ""3""), ""۴"", ""4""), ""۵"", ""5""), ""۶"", ""6"&amp;"""), ""۷"", ""7""), ""۸"", ""8""), ""۹"", ""9""), IF(LEFT(converted,3)=""+98"", ""0"" &amp; RIGHT(converted, LEN(converted)-3), IF(LEFT(converted,2)=""98"", ""0"" &amp; RIGHT(converted, LEN(converted)-2), IF(LEFT(converted,1)&lt;&gt;""0"", ""0"" &amp; converted, REGEXREPLA"&amp;"CE(converted , ""\s"", """")) ) ) ) )"),"09127068358")</f>
        <v>09127068358</v>
      </c>
      <c r="E483" s="205" t="s">
        <v>17</v>
      </c>
      <c r="F483" s="206">
        <v>3.0</v>
      </c>
      <c r="G483" s="202"/>
      <c r="H483" s="202" t="s">
        <v>2989</v>
      </c>
      <c r="I483" s="203"/>
      <c r="J483" s="203" t="s">
        <v>2990</v>
      </c>
      <c r="K483" s="207" t="s">
        <v>896</v>
      </c>
      <c r="L483" s="207" t="s">
        <v>2991</v>
      </c>
      <c r="M483" s="202"/>
      <c r="N483" s="207"/>
      <c r="O483" s="207"/>
      <c r="P483" s="202"/>
      <c r="Q483" s="208"/>
      <c r="R483" s="86"/>
      <c r="S483" s="114">
        <f t="shared" ref="S483:T483" si="484">A483</f>
        <v>482</v>
      </c>
      <c r="T483" s="114" t="str">
        <f t="shared" si="484"/>
        <v>حسین محمدی نصرآبادی</v>
      </c>
      <c r="U483" s="86" t="str">
        <f t="shared" si="3"/>
        <v>09127068358</v>
      </c>
      <c r="V483" s="86" t="str">
        <f t="shared" si="4"/>
        <v>پیش‌وایی 3</v>
      </c>
      <c r="W483" s="86"/>
      <c r="X483" s="86"/>
    </row>
    <row r="484">
      <c r="A484" s="192">
        <v>483.0</v>
      </c>
      <c r="B484" s="199" t="s">
        <v>2992</v>
      </c>
      <c r="C484" s="194" t="s">
        <v>2993</v>
      </c>
      <c r="D484" s="195" t="str">
        <f>IFERROR(__xludf.DUMMYFUNCTION("ARRAYFORMULA(LET( converted, SUBSTITUTE( SUBSTITUTE( SUBSTITUTE( SUBSTITUTE( SUBSTITUTE( SUBSTITUTE( SUBSTITUTE( SUBSTITUTE( SUBSTITUTE( SUBSTITUTE( C484, ""۰"", ""0""), ""۱"", ""1""), ""۲"", ""2""), ""۳"", ""3""), ""۴"", ""4""), ""۵"", ""5""), ""۶"", ""6"&amp;"""), ""۷"", ""7""), ""۸"", ""8""), ""۹"", ""9""), IF(LEFT(converted,3)=""+98"", ""0"" &amp; RIGHT(converted, LEN(converted)-3), IF(LEFT(converted,2)=""98"", ""0"" &amp; RIGHT(converted, LEN(converted)-2), IF(LEFT(converted,1)&lt;&gt;""0"", ""0"" &amp; converted, REGEXREPLA"&amp;"CE(converted , ""\s"", """")) ) ) ) )"),"09353405127")</f>
        <v>09353405127</v>
      </c>
      <c r="E484" s="196" t="s">
        <v>17</v>
      </c>
      <c r="F484" s="197">
        <v>3.0</v>
      </c>
      <c r="G484" s="193"/>
      <c r="H484" s="193" t="s">
        <v>2994</v>
      </c>
      <c r="I484" s="194"/>
      <c r="J484" s="194" t="s">
        <v>2995</v>
      </c>
      <c r="K484" s="199" t="s">
        <v>2996</v>
      </c>
      <c r="L484" s="199" t="s">
        <v>2997</v>
      </c>
      <c r="M484" s="193"/>
      <c r="N484" s="199"/>
      <c r="O484" s="199"/>
      <c r="P484" s="193"/>
      <c r="Q484" s="200"/>
      <c r="R484" s="86"/>
      <c r="S484" s="114">
        <f t="shared" ref="S484:T484" si="485">A484</f>
        <v>483</v>
      </c>
      <c r="T484" s="114" t="str">
        <f t="shared" si="485"/>
        <v>امیرمظفر معزی</v>
      </c>
      <c r="U484" s="86" t="str">
        <f t="shared" si="3"/>
        <v>09353405127</v>
      </c>
      <c r="V484" s="86" t="str">
        <f t="shared" si="4"/>
        <v>پیش‌وایی 3</v>
      </c>
      <c r="W484" s="86"/>
      <c r="X484" s="86"/>
    </row>
    <row r="485">
      <c r="A485" s="201">
        <v>484.0</v>
      </c>
      <c r="B485" s="207" t="s">
        <v>2998</v>
      </c>
      <c r="C485" s="203" t="s">
        <v>2999</v>
      </c>
      <c r="D485" s="204" t="str">
        <f>IFERROR(__xludf.DUMMYFUNCTION("ARRAYFORMULA(LET( converted, SUBSTITUTE( SUBSTITUTE( SUBSTITUTE( SUBSTITUTE( SUBSTITUTE( SUBSTITUTE( SUBSTITUTE( SUBSTITUTE( SUBSTITUTE( SUBSTITUTE( C485, ""۰"", ""0""), ""۱"", ""1""), ""۲"", ""2""), ""۳"", ""3""), ""۴"", ""4""), ""۵"", ""5""), ""۶"", ""6"&amp;"""), ""۷"", ""7""), ""۸"", ""8""), ""۹"", ""9""), IF(LEFT(converted,3)=""+98"", ""0"" &amp; RIGHT(converted, LEN(converted)-3), IF(LEFT(converted,2)=""98"", ""0"" &amp; RIGHT(converted, LEN(converted)-2), IF(LEFT(converted,1)&lt;&gt;""0"", ""0"" &amp; converted, REGEXREPLA"&amp;"CE(converted , ""\s"", """")) ) ) ) )"),"09124469385")</f>
        <v>09124469385</v>
      </c>
      <c r="E485" s="205" t="s">
        <v>17</v>
      </c>
      <c r="F485" s="206">
        <v>3.0</v>
      </c>
      <c r="G485" s="202"/>
      <c r="H485" s="202" t="s">
        <v>3000</v>
      </c>
      <c r="I485" s="203"/>
      <c r="J485" s="203" t="s">
        <v>3001</v>
      </c>
      <c r="K485" s="207" t="s">
        <v>911</v>
      </c>
      <c r="L485" s="207" t="s">
        <v>3002</v>
      </c>
      <c r="M485" s="202"/>
      <c r="N485" s="207"/>
      <c r="O485" s="207"/>
      <c r="P485" s="202"/>
      <c r="Q485" s="208"/>
      <c r="R485" s="86"/>
      <c r="S485" s="114">
        <f t="shared" ref="S485:T485" si="486">A485</f>
        <v>484</v>
      </c>
      <c r="T485" s="114" t="str">
        <f t="shared" si="486"/>
        <v>سپیده طیبی</v>
      </c>
      <c r="U485" s="86" t="str">
        <f t="shared" si="3"/>
        <v>09124469385</v>
      </c>
      <c r="V485" s="86" t="str">
        <f t="shared" si="4"/>
        <v>پیش‌وایی 3</v>
      </c>
      <c r="W485" s="86"/>
      <c r="X485" s="86"/>
    </row>
    <row r="486">
      <c r="A486" s="192">
        <v>485.0</v>
      </c>
      <c r="B486" s="199" t="s">
        <v>3003</v>
      </c>
      <c r="C486" s="194" t="s">
        <v>3004</v>
      </c>
      <c r="D486" s="195" t="str">
        <f>IFERROR(__xludf.DUMMYFUNCTION("ARRAYFORMULA(LET( converted, SUBSTITUTE( SUBSTITUTE( SUBSTITUTE( SUBSTITUTE( SUBSTITUTE( SUBSTITUTE( SUBSTITUTE( SUBSTITUTE( SUBSTITUTE( SUBSTITUTE( C486, ""۰"", ""0""), ""۱"", ""1""), ""۲"", ""2""), ""۳"", ""3""), ""۴"", ""4""), ""۵"", ""5""), ""۶"", ""6"&amp;"""), ""۷"", ""7""), ""۸"", ""8""), ""۹"", ""9""), IF(LEFT(converted,3)=""+98"", ""0"" &amp; RIGHT(converted, LEN(converted)-3), IF(LEFT(converted,2)=""98"", ""0"" &amp; RIGHT(converted, LEN(converted)-2), IF(LEFT(converted,1)&lt;&gt;""0"", ""0"" &amp; converted, REGEXREPLA"&amp;"CE(converted , ""\s"", """")) ) ) ) )"),"09013282298")</f>
        <v>09013282298</v>
      </c>
      <c r="E486" s="196" t="s">
        <v>17</v>
      </c>
      <c r="F486" s="197">
        <v>3.0</v>
      </c>
      <c r="G486" s="193"/>
      <c r="H486" s="193" t="s">
        <v>3005</v>
      </c>
      <c r="I486" s="194"/>
      <c r="J486" s="194" t="s">
        <v>3006</v>
      </c>
      <c r="K486" s="199" t="s">
        <v>3007</v>
      </c>
      <c r="L486" s="199" t="s">
        <v>3008</v>
      </c>
      <c r="M486" s="193"/>
      <c r="N486" s="199"/>
      <c r="O486" s="199"/>
      <c r="P486" s="193"/>
      <c r="Q486" s="200"/>
      <c r="R486" s="86"/>
      <c r="S486" s="114">
        <f t="shared" ref="S486:T486" si="487">A486</f>
        <v>485</v>
      </c>
      <c r="T486" s="114" t="str">
        <f t="shared" si="487"/>
        <v>حفیظ الله فتحی پور</v>
      </c>
      <c r="U486" s="86" t="str">
        <f t="shared" si="3"/>
        <v>09013282298</v>
      </c>
      <c r="V486" s="86" t="str">
        <f t="shared" si="4"/>
        <v>پیش‌وایی 3</v>
      </c>
      <c r="W486" s="86"/>
      <c r="X486" s="86"/>
    </row>
    <row r="487">
      <c r="A487" s="201">
        <v>486.0</v>
      </c>
      <c r="B487" s="207" t="s">
        <v>3009</v>
      </c>
      <c r="C487" s="203" t="s">
        <v>3010</v>
      </c>
      <c r="D487" s="204" t="str">
        <f>IFERROR(__xludf.DUMMYFUNCTION("ARRAYFORMULA(LET( converted, SUBSTITUTE( SUBSTITUTE( SUBSTITUTE( SUBSTITUTE( SUBSTITUTE( SUBSTITUTE( SUBSTITUTE( SUBSTITUTE( SUBSTITUTE( SUBSTITUTE( C487, ""۰"", ""0""), ""۱"", ""1""), ""۲"", ""2""), ""۳"", ""3""), ""۴"", ""4""), ""۵"", ""5""), ""۶"", ""6"&amp;"""), ""۷"", ""7""), ""۸"", ""8""), ""۹"", ""9""), IF(LEFT(converted,3)=""+98"", ""0"" &amp; RIGHT(converted, LEN(converted)-3), IF(LEFT(converted,2)=""98"", ""0"" &amp; RIGHT(converted, LEN(converted)-2), IF(LEFT(converted,1)&lt;&gt;""0"", ""0"" &amp; converted, REGEXREPLA"&amp;"CE(converted , ""\s"", """")) ) ) ) )"),"09128128482")</f>
        <v>09128128482</v>
      </c>
      <c r="E487" s="205" t="s">
        <v>17</v>
      </c>
      <c r="F487" s="206">
        <v>3.0</v>
      </c>
      <c r="G487" s="202"/>
      <c r="H487" s="202" t="s">
        <v>3011</v>
      </c>
      <c r="I487" s="203"/>
      <c r="J487" s="203" t="s">
        <v>3012</v>
      </c>
      <c r="K487" s="207" t="s">
        <v>27</v>
      </c>
      <c r="L487" s="207" t="s">
        <v>1019</v>
      </c>
      <c r="M487" s="202"/>
      <c r="N487" s="207"/>
      <c r="O487" s="207"/>
      <c r="P487" s="202"/>
      <c r="Q487" s="208"/>
      <c r="R487" s="86"/>
      <c r="S487" s="114">
        <f t="shared" ref="S487:T487" si="488">A487</f>
        <v>486</v>
      </c>
      <c r="T487" s="114" t="str">
        <f t="shared" si="488"/>
        <v>مجید احمدی</v>
      </c>
      <c r="U487" s="86" t="str">
        <f t="shared" si="3"/>
        <v>09128128482</v>
      </c>
      <c r="V487" s="86" t="str">
        <f t="shared" si="4"/>
        <v>پیش‌وایی 3</v>
      </c>
      <c r="W487" s="86"/>
      <c r="X487" s="86"/>
    </row>
    <row r="488">
      <c r="A488" s="192">
        <v>487.0</v>
      </c>
      <c r="B488" s="199" t="s">
        <v>3013</v>
      </c>
      <c r="C488" s="194" t="s">
        <v>3014</v>
      </c>
      <c r="D488" s="195" t="str">
        <f>IFERROR(__xludf.DUMMYFUNCTION("ARRAYFORMULA(LET( converted, SUBSTITUTE( SUBSTITUTE( SUBSTITUTE( SUBSTITUTE( SUBSTITUTE( SUBSTITUTE( SUBSTITUTE( SUBSTITUTE( SUBSTITUTE( SUBSTITUTE( C488, ""۰"", ""0""), ""۱"", ""1""), ""۲"", ""2""), ""۳"", ""3""), ""۴"", ""4""), ""۵"", ""5""), ""۶"", ""6"&amp;"""), ""۷"", ""7""), ""۸"", ""8""), ""۹"", ""9""), IF(LEFT(converted,3)=""+98"", ""0"" &amp; RIGHT(converted, LEN(converted)-3), IF(LEFT(converted,2)=""98"", ""0"" &amp; RIGHT(converted, LEN(converted)-2), IF(LEFT(converted,1)&lt;&gt;""0"", ""0"" &amp; converted, REGEXREPLA"&amp;"CE(converted , ""\s"", """")) ) ) ) )"),"09128487839")</f>
        <v>09128487839</v>
      </c>
      <c r="E488" s="196" t="s">
        <v>17</v>
      </c>
      <c r="F488" s="197">
        <v>3.0</v>
      </c>
      <c r="G488" s="193"/>
      <c r="H488" s="193" t="s">
        <v>3015</v>
      </c>
      <c r="I488" s="194"/>
      <c r="J488" s="194" t="s">
        <v>3016</v>
      </c>
      <c r="K488" s="199" t="s">
        <v>1154</v>
      </c>
      <c r="L488" s="199" t="s">
        <v>3017</v>
      </c>
      <c r="M488" s="193"/>
      <c r="N488" s="199"/>
      <c r="O488" s="199"/>
      <c r="P488" s="193"/>
      <c r="Q488" s="200"/>
      <c r="R488" s="86"/>
      <c r="S488" s="114">
        <f t="shared" ref="S488:T488" si="489">A488</f>
        <v>487</v>
      </c>
      <c r="T488" s="114" t="str">
        <f t="shared" si="489"/>
        <v>الناز شاهمرادی</v>
      </c>
      <c r="U488" s="86" t="str">
        <f t="shared" si="3"/>
        <v>09128487839</v>
      </c>
      <c r="V488" s="86" t="str">
        <f t="shared" si="4"/>
        <v>پیش‌وایی 3</v>
      </c>
      <c r="W488" s="86"/>
      <c r="X488" s="86"/>
    </row>
    <row r="489">
      <c r="A489" s="201">
        <v>488.0</v>
      </c>
      <c r="B489" s="207" t="s">
        <v>3018</v>
      </c>
      <c r="C489" s="203" t="s">
        <v>3019</v>
      </c>
      <c r="D489" s="204" t="str">
        <f>IFERROR(__xludf.DUMMYFUNCTION("ARRAYFORMULA(LET( converted, SUBSTITUTE( SUBSTITUTE( SUBSTITUTE( SUBSTITUTE( SUBSTITUTE( SUBSTITUTE( SUBSTITUTE( SUBSTITUTE( SUBSTITUTE( SUBSTITUTE( C489, ""۰"", ""0""), ""۱"", ""1""), ""۲"", ""2""), ""۳"", ""3""), ""۴"", ""4""), ""۵"", ""5""), ""۶"", ""6"&amp;"""), ""۷"", ""7""), ""۸"", ""8""), ""۹"", ""9""), IF(LEFT(converted,3)=""+98"", ""0"" &amp; RIGHT(converted, LEN(converted)-3), IF(LEFT(converted,2)=""98"", ""0"" &amp; RIGHT(converted, LEN(converted)-2), IF(LEFT(converted,1)&lt;&gt;""0"", ""0"" &amp; converted, REGEXREPLA"&amp;"CE(converted , ""\s"", """")) ) ) ) )"),"09123335194")</f>
        <v>09123335194</v>
      </c>
      <c r="E489" s="205" t="s">
        <v>17</v>
      </c>
      <c r="F489" s="206">
        <v>3.0</v>
      </c>
      <c r="G489" s="202"/>
      <c r="H489" s="202" t="s">
        <v>3020</v>
      </c>
      <c r="I489" s="203"/>
      <c r="J489" s="203" t="s">
        <v>3021</v>
      </c>
      <c r="K489" s="207" t="s">
        <v>1071</v>
      </c>
      <c r="L489" s="207" t="s">
        <v>3022</v>
      </c>
      <c r="M489" s="202"/>
      <c r="N489" s="207"/>
      <c r="O489" s="207"/>
      <c r="P489" s="202"/>
      <c r="Q489" s="208"/>
      <c r="R489" s="86"/>
      <c r="S489" s="114">
        <f t="shared" ref="S489:T489" si="490">A489</f>
        <v>488</v>
      </c>
      <c r="T489" s="114" t="str">
        <f t="shared" si="490"/>
        <v>سحر كرباسی</v>
      </c>
      <c r="U489" s="86" t="str">
        <f t="shared" si="3"/>
        <v>09123335194</v>
      </c>
      <c r="V489" s="86" t="str">
        <f t="shared" si="4"/>
        <v>پیش‌وایی 3</v>
      </c>
      <c r="W489" s="86"/>
      <c r="X489" s="86"/>
    </row>
    <row r="490">
      <c r="A490" s="192">
        <v>489.0</v>
      </c>
      <c r="B490" s="199" t="s">
        <v>3023</v>
      </c>
      <c r="C490" s="194" t="s">
        <v>3024</v>
      </c>
      <c r="D490" s="195" t="str">
        <f>IFERROR(__xludf.DUMMYFUNCTION("ARRAYFORMULA(LET( converted, SUBSTITUTE( SUBSTITUTE( SUBSTITUTE( SUBSTITUTE( SUBSTITUTE( SUBSTITUTE( SUBSTITUTE( SUBSTITUTE( SUBSTITUTE( SUBSTITUTE( C490, ""۰"", ""0""), ""۱"", ""1""), ""۲"", ""2""), ""۳"", ""3""), ""۴"", ""4""), ""۵"", ""5""), ""۶"", ""6"&amp;"""), ""۷"", ""7""), ""۸"", ""8""), ""۹"", ""9""), IF(LEFT(converted,3)=""+98"", ""0"" &amp; RIGHT(converted, LEN(converted)-3), IF(LEFT(converted,2)=""98"", ""0"" &amp; RIGHT(converted, LEN(converted)-2), IF(LEFT(converted,1)&lt;&gt;""0"", ""0"" &amp; converted, REGEXREPLA"&amp;"CE(converted , ""\s"", """")) ) ) ) )"),"09126494826")</f>
        <v>09126494826</v>
      </c>
      <c r="E490" s="196" t="s">
        <v>17</v>
      </c>
      <c r="F490" s="197">
        <v>3.0</v>
      </c>
      <c r="G490" s="193"/>
      <c r="H490" s="193" t="s">
        <v>3025</v>
      </c>
      <c r="I490" s="194"/>
      <c r="J490" s="194" t="s">
        <v>3026</v>
      </c>
      <c r="K490" s="199" t="s">
        <v>307</v>
      </c>
      <c r="L490" s="199" t="s">
        <v>3027</v>
      </c>
      <c r="M490" s="193"/>
      <c r="N490" s="199"/>
      <c r="O490" s="199"/>
      <c r="P490" s="193"/>
      <c r="Q490" s="200"/>
      <c r="R490" s="86"/>
      <c r="S490" s="114">
        <f t="shared" ref="S490:T490" si="491">A490</f>
        <v>489</v>
      </c>
      <c r="T490" s="114" t="str">
        <f t="shared" si="491"/>
        <v>محمدرضا نوقابی</v>
      </c>
      <c r="U490" s="86" t="str">
        <f t="shared" si="3"/>
        <v>09126494826</v>
      </c>
      <c r="V490" s="86" t="str">
        <f t="shared" si="4"/>
        <v>پیش‌وایی 3</v>
      </c>
      <c r="W490" s="86"/>
      <c r="X490" s="86"/>
    </row>
    <row r="491">
      <c r="A491" s="201">
        <v>490.0</v>
      </c>
      <c r="B491" s="207" t="s">
        <v>3028</v>
      </c>
      <c r="C491" s="203" t="s">
        <v>3029</v>
      </c>
      <c r="D491" s="204" t="str">
        <f>IFERROR(__xludf.DUMMYFUNCTION("ARRAYFORMULA(LET( converted, SUBSTITUTE( SUBSTITUTE( SUBSTITUTE( SUBSTITUTE( SUBSTITUTE( SUBSTITUTE( SUBSTITUTE( SUBSTITUTE( SUBSTITUTE( SUBSTITUTE( C491, ""۰"", ""0""), ""۱"", ""1""), ""۲"", ""2""), ""۳"", ""3""), ""۴"", ""4""), ""۵"", ""5""), ""۶"", ""6"&amp;"""), ""۷"", ""7""), ""۸"", ""8""), ""۹"", ""9""), IF(LEFT(converted,3)=""+98"", ""0"" &amp; RIGHT(converted, LEN(converted)-3), IF(LEFT(converted,2)=""98"", ""0"" &amp; RIGHT(converted, LEN(converted)-2), IF(LEFT(converted,1)&lt;&gt;""0"", ""0"" &amp; converted, REGEXREPLA"&amp;"CE(converted , ""\s"", """")) ) ) ) )"),"09128900514")</f>
        <v>09128900514</v>
      </c>
      <c r="E491" s="205" t="s">
        <v>17</v>
      </c>
      <c r="F491" s="206">
        <v>3.0</v>
      </c>
      <c r="G491" s="202"/>
      <c r="H491" s="202" t="s">
        <v>3030</v>
      </c>
      <c r="I491" s="203"/>
      <c r="J491" s="203" t="s">
        <v>3031</v>
      </c>
      <c r="K491" s="207" t="s">
        <v>1876</v>
      </c>
      <c r="L491" s="207" t="s">
        <v>3032</v>
      </c>
      <c r="M491" s="202"/>
      <c r="N491" s="207"/>
      <c r="O491" s="207"/>
      <c r="P491" s="202"/>
      <c r="Q491" s="208"/>
      <c r="R491" s="86"/>
      <c r="S491" s="114">
        <f t="shared" ref="S491:T491" si="492">A491</f>
        <v>490</v>
      </c>
      <c r="T491" s="114" t="str">
        <f t="shared" si="492"/>
        <v>آیدا نوروزی</v>
      </c>
      <c r="U491" s="86" t="str">
        <f t="shared" si="3"/>
        <v>09128900514</v>
      </c>
      <c r="V491" s="86" t="str">
        <f t="shared" si="4"/>
        <v>پیش‌وایی 3</v>
      </c>
      <c r="W491" s="86"/>
      <c r="X491" s="86"/>
    </row>
    <row r="492">
      <c r="A492" s="192">
        <v>491.0</v>
      </c>
      <c r="B492" s="193" t="s">
        <v>3033</v>
      </c>
      <c r="C492" s="194" t="s">
        <v>3034</v>
      </c>
      <c r="D492" s="195" t="str">
        <f>IFERROR(__xludf.DUMMYFUNCTION("ARRAYFORMULA(LET( converted, SUBSTITUTE( SUBSTITUTE( SUBSTITUTE( SUBSTITUTE( SUBSTITUTE( SUBSTITUTE( SUBSTITUTE( SUBSTITUTE( SUBSTITUTE( SUBSTITUTE( C492, ""۰"", ""0""), ""۱"", ""1""), ""۲"", ""2""), ""۳"", ""3""), ""۴"", ""4""), ""۵"", ""5""), ""۶"", ""6"&amp;"""), ""۷"", ""7""), ""۸"", ""8""), ""۹"", ""9""), IF(LEFT(converted,3)=""+98"", ""0"" &amp; RIGHT(converted, LEN(converted)-3), IF(LEFT(converted,2)=""98"", ""0"" &amp; RIGHT(converted, LEN(converted)-2), IF(LEFT(converted,1)&lt;&gt;""0"", ""0"" &amp; converted, REGEXREPLA"&amp;"CE(converted , ""\s"", """")) ) ) ) )"),"09126710295")</f>
        <v>09126710295</v>
      </c>
      <c r="E492" s="196" t="s">
        <v>17</v>
      </c>
      <c r="F492" s="197">
        <v>3.0</v>
      </c>
      <c r="G492" s="193"/>
      <c r="H492" s="193" t="s">
        <v>3035</v>
      </c>
      <c r="I492" s="194"/>
      <c r="J492" s="194" t="s">
        <v>3036</v>
      </c>
      <c r="K492" s="199" t="s">
        <v>185</v>
      </c>
      <c r="L492" s="199" t="s">
        <v>3037</v>
      </c>
      <c r="M492" s="193"/>
      <c r="N492" s="199"/>
      <c r="O492" s="199"/>
      <c r="P492" s="193"/>
      <c r="Q492" s="200"/>
      <c r="R492" s="86"/>
      <c r="S492" s="114">
        <f t="shared" ref="S492:T492" si="493">A492</f>
        <v>491</v>
      </c>
      <c r="T492" s="114" t="str">
        <f t="shared" si="493"/>
        <v>مهران پاكند</v>
      </c>
      <c r="U492" s="86" t="str">
        <f t="shared" si="3"/>
        <v>09126710295</v>
      </c>
      <c r="V492" s="86" t="str">
        <f t="shared" si="4"/>
        <v>پیش‌وایی 3</v>
      </c>
      <c r="W492" s="86"/>
      <c r="X492" s="86"/>
    </row>
    <row r="493">
      <c r="A493" s="201">
        <v>492.0</v>
      </c>
      <c r="B493" s="207" t="s">
        <v>3038</v>
      </c>
      <c r="C493" s="203" t="s">
        <v>3039</v>
      </c>
      <c r="D493" s="204" t="str">
        <f>IFERROR(__xludf.DUMMYFUNCTION("ARRAYFORMULA(LET( converted, SUBSTITUTE( SUBSTITUTE( SUBSTITUTE( SUBSTITUTE( SUBSTITUTE( SUBSTITUTE( SUBSTITUTE( SUBSTITUTE( SUBSTITUTE( SUBSTITUTE( C493, ""۰"", ""0""), ""۱"", ""1""), ""۲"", ""2""), ""۳"", ""3""), ""۴"", ""4""), ""۵"", ""5""), ""۶"", ""6"&amp;"""), ""۷"", ""7""), ""۸"", ""8""), ""۹"", ""9""), IF(LEFT(converted,3)=""+98"", ""0"" &amp; RIGHT(converted, LEN(converted)-3), IF(LEFT(converted,2)=""98"", ""0"" &amp; RIGHT(converted, LEN(converted)-2), IF(LEFT(converted,1)&lt;&gt;""0"", ""0"" &amp; converted, REGEXREPLA"&amp;"CE(converted , ""\s"", """")) ) ) ) )"),"09018991249")</f>
        <v>09018991249</v>
      </c>
      <c r="E493" s="205" t="s">
        <v>17</v>
      </c>
      <c r="F493" s="206">
        <v>3.0</v>
      </c>
      <c r="G493" s="202"/>
      <c r="H493" s="202" t="s">
        <v>3040</v>
      </c>
      <c r="I493" s="203"/>
      <c r="J493" s="203" t="s">
        <v>3041</v>
      </c>
      <c r="K493" s="207" t="s">
        <v>259</v>
      </c>
      <c r="L493" s="207" t="s">
        <v>3042</v>
      </c>
      <c r="M493" s="202"/>
      <c r="N493" s="207"/>
      <c r="O493" s="207"/>
      <c r="P493" s="202"/>
      <c r="Q493" s="208"/>
      <c r="R493" s="86"/>
      <c r="S493" s="114">
        <f t="shared" ref="S493:T493" si="494">A493</f>
        <v>492</v>
      </c>
      <c r="T493" s="114" t="str">
        <f t="shared" si="494"/>
        <v>علیرضا فیروزبخش</v>
      </c>
      <c r="U493" s="86" t="str">
        <f t="shared" si="3"/>
        <v>09018991249</v>
      </c>
      <c r="V493" s="86" t="str">
        <f t="shared" si="4"/>
        <v>پیش‌وایی 3</v>
      </c>
      <c r="W493" s="86"/>
      <c r="X493" s="86"/>
    </row>
    <row r="494">
      <c r="A494" s="192">
        <v>493.0</v>
      </c>
      <c r="B494" s="199" t="s">
        <v>3043</v>
      </c>
      <c r="C494" s="194" t="s">
        <v>3044</v>
      </c>
      <c r="D494" s="195" t="str">
        <f>IFERROR(__xludf.DUMMYFUNCTION("ARRAYFORMULA(LET( converted, SUBSTITUTE( SUBSTITUTE( SUBSTITUTE( SUBSTITUTE( SUBSTITUTE( SUBSTITUTE( SUBSTITUTE( SUBSTITUTE( SUBSTITUTE( SUBSTITUTE( C494, ""۰"", ""0""), ""۱"", ""1""), ""۲"", ""2""), ""۳"", ""3""), ""۴"", ""4""), ""۵"", ""5""), ""۶"", ""6"&amp;"""), ""۷"", ""7""), ""۸"", ""8""), ""۹"", ""9""), IF(LEFT(converted,3)=""+98"", ""0"" &amp; RIGHT(converted, LEN(converted)-3), IF(LEFT(converted,2)=""98"", ""0"" &amp; RIGHT(converted, LEN(converted)-2), IF(LEFT(converted,1)&lt;&gt;""0"", ""0"" &amp; converted, REGEXREPLA"&amp;"CE(converted , ""\s"", """")) ) ) ) )"),"09010131603")</f>
        <v>09010131603</v>
      </c>
      <c r="E494" s="196" t="s">
        <v>17</v>
      </c>
      <c r="F494" s="197">
        <v>3.0</v>
      </c>
      <c r="G494" s="193"/>
      <c r="H494" s="193" t="s">
        <v>3045</v>
      </c>
      <c r="I494" s="194"/>
      <c r="J494" s="194" t="s">
        <v>3046</v>
      </c>
      <c r="K494" s="199" t="s">
        <v>911</v>
      </c>
      <c r="L494" s="199" t="s">
        <v>3047</v>
      </c>
      <c r="M494" s="193"/>
      <c r="N494" s="199"/>
      <c r="O494" s="199"/>
      <c r="P494" s="193"/>
      <c r="Q494" s="200"/>
      <c r="R494" s="86"/>
      <c r="S494" s="114">
        <f t="shared" ref="S494:T494" si="495">A494</f>
        <v>493</v>
      </c>
      <c r="T494" s="114" t="str">
        <f t="shared" si="495"/>
        <v>سپیده زیادی پناه</v>
      </c>
      <c r="U494" s="86" t="str">
        <f t="shared" si="3"/>
        <v>09010131603</v>
      </c>
      <c r="V494" s="86" t="str">
        <f t="shared" si="4"/>
        <v>پیش‌وایی 3</v>
      </c>
      <c r="W494" s="86"/>
      <c r="X494" s="86"/>
    </row>
    <row r="495">
      <c r="A495" s="201">
        <v>494.0</v>
      </c>
      <c r="B495" s="207" t="s">
        <v>3048</v>
      </c>
      <c r="C495" s="203" t="s">
        <v>3049</v>
      </c>
      <c r="D495" s="204" t="str">
        <f>IFERROR(__xludf.DUMMYFUNCTION("ARRAYFORMULA(LET( converted, SUBSTITUTE( SUBSTITUTE( SUBSTITUTE( SUBSTITUTE( SUBSTITUTE( SUBSTITUTE( SUBSTITUTE( SUBSTITUTE( SUBSTITUTE( SUBSTITUTE( C495, ""۰"", ""0""), ""۱"", ""1""), ""۲"", ""2""), ""۳"", ""3""), ""۴"", ""4""), ""۵"", ""5""), ""۶"", ""6"&amp;"""), ""۷"", ""7""), ""۸"", ""8""), ""۹"", ""9""), IF(LEFT(converted,3)=""+98"", ""0"" &amp; RIGHT(converted, LEN(converted)-3), IF(LEFT(converted,2)=""98"", ""0"" &amp; RIGHT(converted, LEN(converted)-2), IF(LEFT(converted,1)&lt;&gt;""0"", ""0"" &amp; converted, REGEXREPLA"&amp;"CE(converted , ""\s"", """")) ) ) ) )"),"09122440696")</f>
        <v>09122440696</v>
      </c>
      <c r="E495" s="205" t="s">
        <v>17</v>
      </c>
      <c r="F495" s="206">
        <v>3.0</v>
      </c>
      <c r="G495" s="202"/>
      <c r="H495" s="202" t="s">
        <v>3050</v>
      </c>
      <c r="I495" s="203"/>
      <c r="J495" s="203" t="s">
        <v>3051</v>
      </c>
      <c r="K495" s="207" t="s">
        <v>311</v>
      </c>
      <c r="L495" s="207" t="s">
        <v>3052</v>
      </c>
      <c r="M495" s="202"/>
      <c r="N495" s="207"/>
      <c r="O495" s="207"/>
      <c r="P495" s="202"/>
      <c r="Q495" s="208"/>
      <c r="R495" s="86"/>
      <c r="S495" s="114">
        <f t="shared" ref="S495:T495" si="496">A495</f>
        <v>494</v>
      </c>
      <c r="T495" s="114" t="str">
        <f t="shared" si="496"/>
        <v>محسن باقریان فرح آبادی</v>
      </c>
      <c r="U495" s="86" t="str">
        <f t="shared" si="3"/>
        <v>09122440696</v>
      </c>
      <c r="V495" s="86" t="str">
        <f t="shared" si="4"/>
        <v>پیش‌وایی 3</v>
      </c>
      <c r="W495" s="86"/>
      <c r="X495" s="86"/>
    </row>
    <row r="496">
      <c r="A496" s="192">
        <v>495.0</v>
      </c>
      <c r="B496" s="199" t="s">
        <v>3053</v>
      </c>
      <c r="C496" s="194" t="s">
        <v>3054</v>
      </c>
      <c r="D496" s="195" t="str">
        <f>IFERROR(__xludf.DUMMYFUNCTION("ARRAYFORMULA(LET( converted, SUBSTITUTE( SUBSTITUTE( SUBSTITUTE( SUBSTITUTE( SUBSTITUTE( SUBSTITUTE( SUBSTITUTE( SUBSTITUTE( SUBSTITUTE( SUBSTITUTE( C496, ""۰"", ""0""), ""۱"", ""1""), ""۲"", ""2""), ""۳"", ""3""), ""۴"", ""4""), ""۵"", ""5""), ""۶"", ""6"&amp;"""), ""۷"", ""7""), ""۸"", ""8""), ""۹"", ""9""), IF(LEFT(converted,3)=""+98"", ""0"" &amp; RIGHT(converted, LEN(converted)-3), IF(LEFT(converted,2)=""98"", ""0"" &amp; RIGHT(converted, LEN(converted)-2), IF(LEFT(converted,1)&lt;&gt;""0"", ""0"" &amp; converted, REGEXREPLA"&amp;"CE(converted , ""\s"", """")) ) ) ) )"),"09351606300")</f>
        <v>09351606300</v>
      </c>
      <c r="E496" s="196" t="s">
        <v>17</v>
      </c>
      <c r="F496" s="197">
        <v>3.0</v>
      </c>
      <c r="G496" s="193"/>
      <c r="H496" s="193" t="s">
        <v>3055</v>
      </c>
      <c r="I496" s="194"/>
      <c r="J496" s="194" t="s">
        <v>3056</v>
      </c>
      <c r="K496" s="199" t="s">
        <v>307</v>
      </c>
      <c r="L496" s="199" t="s">
        <v>3057</v>
      </c>
      <c r="M496" s="193"/>
      <c r="N496" s="199"/>
      <c r="O496" s="199"/>
      <c r="P496" s="193"/>
      <c r="Q496" s="200"/>
      <c r="R496" s="86"/>
      <c r="S496" s="114">
        <f t="shared" ref="S496:T496" si="497">A496</f>
        <v>495</v>
      </c>
      <c r="T496" s="114" t="str">
        <f t="shared" si="497"/>
        <v>محمدرضا هوشنگی</v>
      </c>
      <c r="U496" s="86" t="str">
        <f t="shared" si="3"/>
        <v>09351606300</v>
      </c>
      <c r="V496" s="86" t="str">
        <f t="shared" si="4"/>
        <v>پیش‌وایی 3</v>
      </c>
      <c r="W496" s="86"/>
      <c r="X496" s="86"/>
    </row>
    <row r="497">
      <c r="A497" s="201">
        <v>496.0</v>
      </c>
      <c r="B497" s="207" t="s">
        <v>3058</v>
      </c>
      <c r="C497" s="203" t="s">
        <v>3059</v>
      </c>
      <c r="D497" s="204" t="str">
        <f>IFERROR(__xludf.DUMMYFUNCTION("ARRAYFORMULA(LET( converted, SUBSTITUTE( SUBSTITUTE( SUBSTITUTE( SUBSTITUTE( SUBSTITUTE( SUBSTITUTE( SUBSTITUTE( SUBSTITUTE( SUBSTITUTE( SUBSTITUTE( C497, ""۰"", ""0""), ""۱"", ""1""), ""۲"", ""2""), ""۳"", ""3""), ""۴"", ""4""), ""۵"", ""5""), ""۶"", ""6"&amp;"""), ""۷"", ""7""), ""۸"", ""8""), ""۹"", ""9""), IF(LEFT(converted,3)=""+98"", ""0"" &amp; RIGHT(converted, LEN(converted)-3), IF(LEFT(converted,2)=""98"", ""0"" &amp; RIGHT(converted, LEN(converted)-2), IF(LEFT(converted,1)&lt;&gt;""0"", ""0"" &amp; converted, REGEXREPLA"&amp;"CE(converted , ""\s"", """")) ) ) ) )"),"09369223039")</f>
        <v>09369223039</v>
      </c>
      <c r="E497" s="205" t="s">
        <v>17</v>
      </c>
      <c r="F497" s="206">
        <v>3.0</v>
      </c>
      <c r="G497" s="202"/>
      <c r="H497" s="202" t="s">
        <v>3060</v>
      </c>
      <c r="I497" s="203"/>
      <c r="J497" s="203" t="s">
        <v>3061</v>
      </c>
      <c r="K497" s="207" t="s">
        <v>2670</v>
      </c>
      <c r="L497" s="207" t="s">
        <v>3062</v>
      </c>
      <c r="M497" s="202"/>
      <c r="N497" s="207"/>
      <c r="O497" s="207"/>
      <c r="P497" s="202"/>
      <c r="Q497" s="208"/>
      <c r="R497" s="86"/>
      <c r="S497" s="114">
        <f t="shared" ref="S497:T497" si="498">A497</f>
        <v>496</v>
      </c>
      <c r="T497" s="114" t="str">
        <f t="shared" si="498"/>
        <v>فرزانه مردوخ روحانی</v>
      </c>
      <c r="U497" s="86" t="str">
        <f t="shared" si="3"/>
        <v>09369223039</v>
      </c>
      <c r="V497" s="86" t="str">
        <f t="shared" si="4"/>
        <v>پیش‌وایی 3</v>
      </c>
      <c r="W497" s="86"/>
      <c r="X497" s="86"/>
    </row>
    <row r="498">
      <c r="A498" s="192">
        <v>497.0</v>
      </c>
      <c r="B498" s="199" t="s">
        <v>3063</v>
      </c>
      <c r="C498" s="194" t="s">
        <v>3064</v>
      </c>
      <c r="D498" s="195" t="str">
        <f>IFERROR(__xludf.DUMMYFUNCTION("ARRAYFORMULA(LET( converted, SUBSTITUTE( SUBSTITUTE( SUBSTITUTE( SUBSTITUTE( SUBSTITUTE( SUBSTITUTE( SUBSTITUTE( SUBSTITUTE( SUBSTITUTE( SUBSTITUTE( C498, ""۰"", ""0""), ""۱"", ""1""), ""۲"", ""2""), ""۳"", ""3""), ""۴"", ""4""), ""۵"", ""5""), ""۶"", ""6"&amp;"""), ""۷"", ""7""), ""۸"", ""8""), ""۹"", ""9""), IF(LEFT(converted,3)=""+98"", ""0"" &amp; RIGHT(converted, LEN(converted)-3), IF(LEFT(converted,2)=""98"", ""0"" &amp; RIGHT(converted, LEN(converted)-2), IF(LEFT(converted,1)&lt;&gt;""0"", ""0"" &amp; converted, REGEXREPLA"&amp;"CE(converted , ""\s"", """")) ) ) ) )"),"09398618023")</f>
        <v>09398618023</v>
      </c>
      <c r="E498" s="196" t="s">
        <v>17</v>
      </c>
      <c r="F498" s="197">
        <v>3.0</v>
      </c>
      <c r="G498" s="193"/>
      <c r="H498" s="193" t="s">
        <v>3065</v>
      </c>
      <c r="I498" s="194"/>
      <c r="J498" s="194" t="s">
        <v>3066</v>
      </c>
      <c r="K498" s="199" t="s">
        <v>1466</v>
      </c>
      <c r="L498" s="199" t="s">
        <v>3067</v>
      </c>
      <c r="M498" s="193"/>
      <c r="N498" s="199"/>
      <c r="O498" s="199"/>
      <c r="P498" s="193"/>
      <c r="Q498" s="200"/>
      <c r="R498" s="86"/>
      <c r="S498" s="114">
        <f t="shared" ref="S498:T498" si="499">A498</f>
        <v>497</v>
      </c>
      <c r="T498" s="114" t="str">
        <f t="shared" si="499"/>
        <v>امیرعلی محمدحسینی</v>
      </c>
      <c r="U498" s="86" t="str">
        <f t="shared" si="3"/>
        <v>09398618023</v>
      </c>
      <c r="V498" s="86" t="str">
        <f t="shared" si="4"/>
        <v>پیش‌وایی 3</v>
      </c>
      <c r="W498" s="86"/>
      <c r="X498" s="86"/>
    </row>
    <row r="499">
      <c r="A499" s="201">
        <v>498.0</v>
      </c>
      <c r="B499" s="207" t="s">
        <v>3068</v>
      </c>
      <c r="C499" s="203" t="s">
        <v>3069</v>
      </c>
      <c r="D499" s="204" t="str">
        <f>IFERROR(__xludf.DUMMYFUNCTION("ARRAYFORMULA(LET( converted, SUBSTITUTE( SUBSTITUTE( SUBSTITUTE( SUBSTITUTE( SUBSTITUTE( SUBSTITUTE( SUBSTITUTE( SUBSTITUTE( SUBSTITUTE( SUBSTITUTE( C499, ""۰"", ""0""), ""۱"", ""1""), ""۲"", ""2""), ""۳"", ""3""), ""۴"", ""4""), ""۵"", ""5""), ""۶"", ""6"&amp;"""), ""۷"", ""7""), ""۸"", ""8""), ""۹"", ""9""), IF(LEFT(converted,3)=""+98"", ""0"" &amp; RIGHT(converted, LEN(converted)-3), IF(LEFT(converted,2)=""98"", ""0"" &amp; RIGHT(converted, LEN(converted)-2), IF(LEFT(converted,1)&lt;&gt;""0"", ""0"" &amp; converted, REGEXREPLA"&amp;"CE(converted , ""\s"", """")) ) ) ) )"),"09125711430")</f>
        <v>09125711430</v>
      </c>
      <c r="E499" s="205" t="s">
        <v>17</v>
      </c>
      <c r="F499" s="206">
        <v>3.0</v>
      </c>
      <c r="G499" s="202"/>
      <c r="H499" s="202" t="s">
        <v>3070</v>
      </c>
      <c r="I499" s="203"/>
      <c r="J499" s="203" t="s">
        <v>3071</v>
      </c>
      <c r="K499" s="207" t="s">
        <v>27</v>
      </c>
      <c r="L499" s="207" t="s">
        <v>1743</v>
      </c>
      <c r="M499" s="202"/>
      <c r="N499" s="207"/>
      <c r="O499" s="207"/>
      <c r="P499" s="202"/>
      <c r="Q499" s="208"/>
      <c r="R499" s="86"/>
      <c r="S499" s="114">
        <f t="shared" ref="S499:T499" si="500">A499</f>
        <v>498</v>
      </c>
      <c r="T499" s="114" t="str">
        <f t="shared" si="500"/>
        <v>مجید نظری</v>
      </c>
      <c r="U499" s="86" t="str">
        <f t="shared" si="3"/>
        <v>09125711430</v>
      </c>
      <c r="V499" s="86" t="str">
        <f t="shared" si="4"/>
        <v>پیش‌وایی 3</v>
      </c>
      <c r="W499" s="86"/>
      <c r="X499" s="86"/>
    </row>
    <row r="500">
      <c r="A500" s="192">
        <v>499.0</v>
      </c>
      <c r="B500" s="199" t="s">
        <v>3072</v>
      </c>
      <c r="C500" s="194" t="s">
        <v>3073</v>
      </c>
      <c r="D500" s="195" t="str">
        <f>IFERROR(__xludf.DUMMYFUNCTION("ARRAYFORMULA(LET( converted, SUBSTITUTE( SUBSTITUTE( SUBSTITUTE( SUBSTITUTE( SUBSTITUTE( SUBSTITUTE( SUBSTITUTE( SUBSTITUTE( SUBSTITUTE( SUBSTITUTE( C500, ""۰"", ""0""), ""۱"", ""1""), ""۲"", ""2""), ""۳"", ""3""), ""۴"", ""4""), ""۵"", ""5""), ""۶"", ""6"&amp;"""), ""۷"", ""7""), ""۸"", ""8""), ""۹"", ""9""), IF(LEFT(converted,3)=""+98"", ""0"" &amp; RIGHT(converted, LEN(converted)-3), IF(LEFT(converted,2)=""98"", ""0"" &amp; RIGHT(converted, LEN(converted)-2), IF(LEFT(converted,1)&lt;&gt;""0"", ""0"" &amp; converted, REGEXREPLA"&amp;"CE(converted , ""\s"", """")) ) ) ) )"),"09037199117")</f>
        <v>09037199117</v>
      </c>
      <c r="E500" s="196" t="s">
        <v>17</v>
      </c>
      <c r="F500" s="197">
        <v>3.0</v>
      </c>
      <c r="G500" s="193"/>
      <c r="H500" s="193" t="s">
        <v>3074</v>
      </c>
      <c r="I500" s="194"/>
      <c r="J500" s="194" t="s">
        <v>3075</v>
      </c>
      <c r="K500" s="199" t="s">
        <v>896</v>
      </c>
      <c r="L500" s="199" t="s">
        <v>3076</v>
      </c>
      <c r="M500" s="193"/>
      <c r="N500" s="199"/>
      <c r="O500" s="199"/>
      <c r="P500" s="193"/>
      <c r="Q500" s="200"/>
      <c r="R500" s="86"/>
      <c r="S500" s="114">
        <f t="shared" ref="S500:T500" si="501">A500</f>
        <v>499</v>
      </c>
      <c r="T500" s="114" t="str">
        <f t="shared" si="501"/>
        <v>حسین شیرزاد</v>
      </c>
      <c r="U500" s="86" t="str">
        <f t="shared" si="3"/>
        <v>09037199117</v>
      </c>
      <c r="V500" s="86" t="str">
        <f t="shared" si="4"/>
        <v>پیش‌وایی 3</v>
      </c>
      <c r="W500" s="86"/>
      <c r="X500" s="86"/>
    </row>
    <row r="501">
      <c r="A501" s="201">
        <v>500.0</v>
      </c>
      <c r="B501" s="207" t="s">
        <v>3077</v>
      </c>
      <c r="C501" s="203" t="s">
        <v>3078</v>
      </c>
      <c r="D501" s="204" t="str">
        <f>IFERROR(__xludf.DUMMYFUNCTION("ARRAYFORMULA(LET( converted, SUBSTITUTE( SUBSTITUTE( SUBSTITUTE( SUBSTITUTE( SUBSTITUTE( SUBSTITUTE( SUBSTITUTE( SUBSTITUTE( SUBSTITUTE( SUBSTITUTE( C501, ""۰"", ""0""), ""۱"", ""1""), ""۲"", ""2""), ""۳"", ""3""), ""۴"", ""4""), ""۵"", ""5""), ""۶"", ""6"&amp;"""), ""۷"", ""7""), ""۸"", ""8""), ""۹"", ""9""), IF(LEFT(converted,3)=""+98"", ""0"" &amp; RIGHT(converted, LEN(converted)-3), IF(LEFT(converted,2)=""98"", ""0"" &amp; RIGHT(converted, LEN(converted)-2), IF(LEFT(converted,1)&lt;&gt;""0"", ""0"" &amp; converted, REGEXREPLA"&amp;"CE(converted , ""\s"", """")) ) ) ) )"),"09380585911")</f>
        <v>09380585911</v>
      </c>
      <c r="E501" s="205" t="s">
        <v>17</v>
      </c>
      <c r="F501" s="206">
        <v>3.0</v>
      </c>
      <c r="G501" s="202"/>
      <c r="H501" s="202" t="s">
        <v>3079</v>
      </c>
      <c r="I501" s="203"/>
      <c r="J501" s="203" t="s">
        <v>3080</v>
      </c>
      <c r="K501" s="207" t="s">
        <v>3081</v>
      </c>
      <c r="L501" s="207" t="s">
        <v>3082</v>
      </c>
      <c r="M501" s="202"/>
      <c r="N501" s="207"/>
      <c r="O501" s="207"/>
      <c r="P501" s="202"/>
      <c r="Q501" s="208"/>
      <c r="R501" s="86"/>
      <c r="S501" s="114">
        <f t="shared" ref="S501:T501" si="502">A501</f>
        <v>500</v>
      </c>
      <c r="T501" s="114" t="str">
        <f t="shared" si="502"/>
        <v>غزاله جنتی</v>
      </c>
      <c r="U501" s="86" t="str">
        <f t="shared" si="3"/>
        <v>09380585911</v>
      </c>
      <c r="V501" s="86" t="str">
        <f t="shared" si="4"/>
        <v>پیش‌وایی 3</v>
      </c>
      <c r="W501" s="86"/>
      <c r="X501" s="86"/>
    </row>
    <row r="502">
      <c r="A502" s="192">
        <v>501.0</v>
      </c>
      <c r="B502" s="199" t="s">
        <v>3083</v>
      </c>
      <c r="C502" s="194" t="s">
        <v>3084</v>
      </c>
      <c r="D502" s="195" t="str">
        <f>IFERROR(__xludf.DUMMYFUNCTION("ARRAYFORMULA(LET( converted, SUBSTITUTE( SUBSTITUTE( SUBSTITUTE( SUBSTITUTE( SUBSTITUTE( SUBSTITUTE( SUBSTITUTE( SUBSTITUTE( SUBSTITUTE( SUBSTITUTE( C502, ""۰"", ""0""), ""۱"", ""1""), ""۲"", ""2""), ""۳"", ""3""), ""۴"", ""4""), ""۵"", ""5""), ""۶"", ""6"&amp;"""), ""۷"", ""7""), ""۸"", ""8""), ""۹"", ""9""), IF(LEFT(converted,3)=""+98"", ""0"" &amp; RIGHT(converted, LEN(converted)-3), IF(LEFT(converted,2)=""98"", ""0"" &amp; RIGHT(converted, LEN(converted)-2), IF(LEFT(converted,1)&lt;&gt;""0"", ""0"" &amp; converted, REGEXREPLA"&amp;"CE(converted , ""\s"", """")) ) ) ) )"),"09123205523")</f>
        <v>09123205523</v>
      </c>
      <c r="E502" s="196" t="s">
        <v>17</v>
      </c>
      <c r="F502" s="197">
        <v>3.0</v>
      </c>
      <c r="G502" s="193"/>
      <c r="H502" s="193" t="s">
        <v>3085</v>
      </c>
      <c r="I502" s="194"/>
      <c r="J502" s="194" t="s">
        <v>3086</v>
      </c>
      <c r="K502" s="199" t="s">
        <v>1398</v>
      </c>
      <c r="L502" s="199" t="s">
        <v>3087</v>
      </c>
      <c r="M502" s="193"/>
      <c r="N502" s="199"/>
      <c r="O502" s="199"/>
      <c r="P502" s="193"/>
      <c r="Q502" s="200"/>
      <c r="R502" s="86"/>
      <c r="S502" s="114">
        <f t="shared" ref="S502:T502" si="503">A502</f>
        <v>501</v>
      </c>
      <c r="T502" s="114" t="str">
        <f t="shared" si="503"/>
        <v>زهرا ظاهری</v>
      </c>
      <c r="U502" s="86" t="str">
        <f t="shared" si="3"/>
        <v>09123205523</v>
      </c>
      <c r="V502" s="86" t="str">
        <f t="shared" si="4"/>
        <v>پیش‌وایی 3</v>
      </c>
      <c r="W502" s="86"/>
      <c r="X502" s="86"/>
    </row>
    <row r="503">
      <c r="A503" s="201">
        <v>502.0</v>
      </c>
      <c r="B503" s="207" t="s">
        <v>3088</v>
      </c>
      <c r="C503" s="203" t="s">
        <v>3089</v>
      </c>
      <c r="D503" s="204" t="str">
        <f>IFERROR(__xludf.DUMMYFUNCTION("ARRAYFORMULA(LET( converted, SUBSTITUTE( SUBSTITUTE( SUBSTITUTE( SUBSTITUTE( SUBSTITUTE( SUBSTITUTE( SUBSTITUTE( SUBSTITUTE( SUBSTITUTE( SUBSTITUTE( C503, ""۰"", ""0""), ""۱"", ""1""), ""۲"", ""2""), ""۳"", ""3""), ""۴"", ""4""), ""۵"", ""5""), ""۶"", ""6"&amp;"""), ""۷"", ""7""), ""۸"", ""8""), ""۹"", ""9""), IF(LEFT(converted,3)=""+98"", ""0"" &amp; RIGHT(converted, LEN(converted)-3), IF(LEFT(converted,2)=""98"", ""0"" &amp; RIGHT(converted, LEN(converted)-2), IF(LEFT(converted,1)&lt;&gt;""0"", ""0"" &amp; converted, REGEXREPLA"&amp;"CE(converted , ""\s"", """")) ) ) ) )"),"09216678183")</f>
        <v>09216678183</v>
      </c>
      <c r="E503" s="205" t="s">
        <v>17</v>
      </c>
      <c r="F503" s="206">
        <v>3.0</v>
      </c>
      <c r="G503" s="202"/>
      <c r="H503" s="202" t="s">
        <v>3090</v>
      </c>
      <c r="I503" s="203"/>
      <c r="J503" s="203" t="s">
        <v>3091</v>
      </c>
      <c r="K503" s="207" t="s">
        <v>3092</v>
      </c>
      <c r="L503" s="207" t="s">
        <v>3093</v>
      </c>
      <c r="M503" s="202"/>
      <c r="N503" s="207"/>
      <c r="O503" s="207"/>
      <c r="P503" s="202"/>
      <c r="Q503" s="208"/>
      <c r="R503" s="86"/>
      <c r="S503" s="114">
        <f t="shared" ref="S503:T503" si="504">A503</f>
        <v>502</v>
      </c>
      <c r="T503" s="114" t="str">
        <f t="shared" si="504"/>
        <v>عرفان غیرتمند</v>
      </c>
      <c r="U503" s="86" t="str">
        <f t="shared" si="3"/>
        <v>09216678183</v>
      </c>
      <c r="V503" s="86" t="str">
        <f t="shared" si="4"/>
        <v>پیش‌وایی 3</v>
      </c>
      <c r="W503" s="86"/>
      <c r="X503" s="86"/>
    </row>
    <row r="504">
      <c r="A504" s="192">
        <v>503.0</v>
      </c>
      <c r="B504" s="199" t="s">
        <v>3094</v>
      </c>
      <c r="C504" s="194" t="s">
        <v>3095</v>
      </c>
      <c r="D504" s="195" t="str">
        <f>IFERROR(__xludf.DUMMYFUNCTION("ARRAYFORMULA(LET( converted, SUBSTITUTE( SUBSTITUTE( SUBSTITUTE( SUBSTITUTE( SUBSTITUTE( SUBSTITUTE( SUBSTITUTE( SUBSTITUTE( SUBSTITUTE( SUBSTITUTE( C504, ""۰"", ""0""), ""۱"", ""1""), ""۲"", ""2""), ""۳"", ""3""), ""۴"", ""4""), ""۵"", ""5""), ""۶"", ""6"&amp;"""), ""۷"", ""7""), ""۸"", ""8""), ""۹"", ""9""), IF(LEFT(converted,3)=""+98"", ""0"" &amp; RIGHT(converted, LEN(converted)-3), IF(LEFT(converted,2)=""98"", ""0"" &amp; RIGHT(converted, LEN(converted)-2), IF(LEFT(converted,1)&lt;&gt;""0"", ""0"" &amp; converted, REGEXREPLA"&amp;"CE(converted , ""\s"", """")) ) ) ) )"),"09124752430")</f>
        <v>09124752430</v>
      </c>
      <c r="E504" s="196" t="s">
        <v>17</v>
      </c>
      <c r="F504" s="197">
        <v>3.0</v>
      </c>
      <c r="G504" s="193"/>
      <c r="H504" s="193" t="s">
        <v>3096</v>
      </c>
      <c r="I504" s="194"/>
      <c r="J504" s="194" t="s">
        <v>3097</v>
      </c>
      <c r="K504" s="199" t="s">
        <v>286</v>
      </c>
      <c r="L504" s="199" t="s">
        <v>3098</v>
      </c>
      <c r="M504" s="193"/>
      <c r="N504" s="199"/>
      <c r="O504" s="199"/>
      <c r="P504" s="193"/>
      <c r="Q504" s="200"/>
      <c r="R504" s="86"/>
      <c r="S504" s="114">
        <f t="shared" ref="S504:T504" si="505">A504</f>
        <v>503</v>
      </c>
      <c r="T504" s="114" t="str">
        <f t="shared" si="505"/>
        <v>مهدی پورقیصری</v>
      </c>
      <c r="U504" s="86" t="str">
        <f t="shared" si="3"/>
        <v>09124752430</v>
      </c>
      <c r="V504" s="86" t="str">
        <f t="shared" si="4"/>
        <v>پیش‌وایی 3</v>
      </c>
      <c r="W504" s="86"/>
      <c r="X504" s="86"/>
    </row>
    <row r="505">
      <c r="A505" s="201">
        <v>504.0</v>
      </c>
      <c r="B505" s="207" t="s">
        <v>3099</v>
      </c>
      <c r="C505" s="203" t="s">
        <v>3100</v>
      </c>
      <c r="D505" s="204" t="str">
        <f>IFERROR(__xludf.DUMMYFUNCTION("ARRAYFORMULA(LET( converted, SUBSTITUTE( SUBSTITUTE( SUBSTITUTE( SUBSTITUTE( SUBSTITUTE( SUBSTITUTE( SUBSTITUTE( SUBSTITUTE( SUBSTITUTE( SUBSTITUTE( C505, ""۰"", ""0""), ""۱"", ""1""), ""۲"", ""2""), ""۳"", ""3""), ""۴"", ""4""), ""۵"", ""5""), ""۶"", ""6"&amp;"""), ""۷"", ""7""), ""۸"", ""8""), ""۹"", ""9""), IF(LEFT(converted,3)=""+98"", ""0"" &amp; RIGHT(converted, LEN(converted)-3), IF(LEFT(converted,2)=""98"", ""0"" &amp; RIGHT(converted, LEN(converted)-2), IF(LEFT(converted,1)&lt;&gt;""0"", ""0"" &amp; converted, REGEXREPLA"&amp;"CE(converted , ""\s"", """")) ) ) ) )"),"09148537168")</f>
        <v>09148537168</v>
      </c>
      <c r="E505" s="205" t="s">
        <v>17</v>
      </c>
      <c r="F505" s="206">
        <v>3.0</v>
      </c>
      <c r="G505" s="202"/>
      <c r="H505" s="202" t="s">
        <v>3101</v>
      </c>
      <c r="I505" s="203"/>
      <c r="J505" s="203" t="s">
        <v>3102</v>
      </c>
      <c r="K505" s="207" t="s">
        <v>1004</v>
      </c>
      <c r="L505" s="207" t="s">
        <v>3103</v>
      </c>
      <c r="M505" s="202"/>
      <c r="N505" s="207"/>
      <c r="O505" s="207"/>
      <c r="P505" s="202"/>
      <c r="Q505" s="208"/>
      <c r="R505" s="86"/>
      <c r="S505" s="114">
        <f t="shared" ref="S505:T505" si="506">A505</f>
        <v>504</v>
      </c>
      <c r="T505" s="114" t="str">
        <f t="shared" si="506"/>
        <v>حامد عراقی</v>
      </c>
      <c r="U505" s="86" t="str">
        <f t="shared" si="3"/>
        <v>09148537168</v>
      </c>
      <c r="V505" s="86" t="str">
        <f t="shared" si="4"/>
        <v>پیش‌وایی 3</v>
      </c>
      <c r="W505" s="86"/>
      <c r="X505" s="86"/>
    </row>
    <row r="506">
      <c r="A506" s="192">
        <v>505.0</v>
      </c>
      <c r="B506" s="199" t="s">
        <v>3104</v>
      </c>
      <c r="C506" s="194" t="s">
        <v>3105</v>
      </c>
      <c r="D506" s="195" t="str">
        <f>IFERROR(__xludf.DUMMYFUNCTION("ARRAYFORMULA(LET( converted, SUBSTITUTE( SUBSTITUTE( SUBSTITUTE( SUBSTITUTE( SUBSTITUTE( SUBSTITUTE( SUBSTITUTE( SUBSTITUTE( SUBSTITUTE( SUBSTITUTE( C506, ""۰"", ""0""), ""۱"", ""1""), ""۲"", ""2""), ""۳"", ""3""), ""۴"", ""4""), ""۵"", ""5""), ""۶"", ""6"&amp;"""), ""۷"", ""7""), ""۸"", ""8""), ""۹"", ""9""), IF(LEFT(converted,3)=""+98"", ""0"" &amp; RIGHT(converted, LEN(converted)-3), IF(LEFT(converted,2)=""98"", ""0"" &amp; RIGHT(converted, LEN(converted)-2), IF(LEFT(converted,1)&lt;&gt;""0"", ""0"" &amp; converted, REGEXREPLA"&amp;"CE(converted , ""\s"", """")) ) ) ) )"),"09126107242")</f>
        <v>09126107242</v>
      </c>
      <c r="E506" s="196" t="s">
        <v>17</v>
      </c>
      <c r="F506" s="197">
        <v>3.0</v>
      </c>
      <c r="G506" s="193"/>
      <c r="H506" s="193" t="s">
        <v>3106</v>
      </c>
      <c r="I506" s="194"/>
      <c r="J506" s="194" t="s">
        <v>3107</v>
      </c>
      <c r="K506" s="199" t="s">
        <v>1419</v>
      </c>
      <c r="L506" s="199" t="s">
        <v>3108</v>
      </c>
      <c r="M506" s="193"/>
      <c r="N506" s="199"/>
      <c r="O506" s="199"/>
      <c r="P506" s="193"/>
      <c r="Q506" s="200"/>
      <c r="R506" s="86"/>
      <c r="S506" s="114">
        <f t="shared" ref="S506:T506" si="507">A506</f>
        <v>505</v>
      </c>
      <c r="T506" s="114" t="str">
        <f t="shared" si="507"/>
        <v>رسول مرکزی</v>
      </c>
      <c r="U506" s="86" t="str">
        <f t="shared" si="3"/>
        <v>09126107242</v>
      </c>
      <c r="V506" s="86" t="str">
        <f t="shared" si="4"/>
        <v>پیش‌وایی 3</v>
      </c>
      <c r="W506" s="86"/>
      <c r="X506" s="86"/>
    </row>
    <row r="507">
      <c r="A507" s="201">
        <v>506.0</v>
      </c>
      <c r="B507" s="207" t="s">
        <v>3109</v>
      </c>
      <c r="C507" s="203" t="s">
        <v>3110</v>
      </c>
      <c r="D507" s="204" t="str">
        <f>IFERROR(__xludf.DUMMYFUNCTION("ARRAYFORMULA(LET( converted, SUBSTITUTE( SUBSTITUTE( SUBSTITUTE( SUBSTITUTE( SUBSTITUTE( SUBSTITUTE( SUBSTITUTE( SUBSTITUTE( SUBSTITUTE( SUBSTITUTE( C507, ""۰"", ""0""), ""۱"", ""1""), ""۲"", ""2""), ""۳"", ""3""), ""۴"", ""4""), ""۵"", ""5""), ""۶"", ""6"&amp;"""), ""۷"", ""7""), ""۸"", ""8""), ""۹"", ""9""), IF(LEFT(converted,3)=""+98"", ""0"" &amp; RIGHT(converted, LEN(converted)-3), IF(LEFT(converted,2)=""98"", ""0"" &amp; RIGHT(converted, LEN(converted)-2), IF(LEFT(converted,1)&lt;&gt;""0"", ""0"" &amp; converted, REGEXREPLA"&amp;"CE(converted , ""\s"", """")) ) ) ) )"),"09198412261")</f>
        <v>09198412261</v>
      </c>
      <c r="E507" s="205" t="s">
        <v>17</v>
      </c>
      <c r="F507" s="206">
        <v>3.0</v>
      </c>
      <c r="G507" s="202"/>
      <c r="H507" s="202" t="s">
        <v>3111</v>
      </c>
      <c r="I507" s="203"/>
      <c r="J507" s="203" t="s">
        <v>3112</v>
      </c>
      <c r="K507" s="207" t="s">
        <v>102</v>
      </c>
      <c r="L507" s="207" t="s">
        <v>3113</v>
      </c>
      <c r="M507" s="202"/>
      <c r="N507" s="207"/>
      <c r="O507" s="207"/>
      <c r="P507" s="202"/>
      <c r="Q507" s="208"/>
      <c r="R507" s="86"/>
      <c r="S507" s="114">
        <f t="shared" ref="S507:T507" si="508">A507</f>
        <v>506</v>
      </c>
      <c r="T507" s="114" t="str">
        <f t="shared" si="508"/>
        <v>نیما ناصح</v>
      </c>
      <c r="U507" s="86" t="str">
        <f t="shared" si="3"/>
        <v>09198412261</v>
      </c>
      <c r="V507" s="86" t="str">
        <f t="shared" si="4"/>
        <v>پیش‌وایی 3</v>
      </c>
      <c r="W507" s="86"/>
      <c r="X507" s="86"/>
    </row>
    <row r="508">
      <c r="A508" s="192">
        <v>507.0</v>
      </c>
      <c r="B508" s="199" t="s">
        <v>184</v>
      </c>
      <c r="C508" s="194" t="s">
        <v>3114</v>
      </c>
      <c r="D508" s="195" t="str">
        <f>IFERROR(__xludf.DUMMYFUNCTION("ARRAYFORMULA(LET( converted, SUBSTITUTE( SUBSTITUTE( SUBSTITUTE( SUBSTITUTE( SUBSTITUTE( SUBSTITUTE( SUBSTITUTE( SUBSTITUTE( SUBSTITUTE( SUBSTITUTE( C508, ""۰"", ""0""), ""۱"", ""1""), ""۲"", ""2""), ""۳"", ""3""), ""۴"", ""4""), ""۵"", ""5""), ""۶"", ""6"&amp;"""), ""۷"", ""7""), ""۸"", ""8""), ""۹"", ""9""), IF(LEFT(converted,3)=""+98"", ""0"" &amp; RIGHT(converted, LEN(converted)-3), IF(LEFT(converted,2)=""98"", ""0"" &amp; RIGHT(converted, LEN(converted)-2), IF(LEFT(converted,1)&lt;&gt;""0"", ""0"" &amp; converted, REGEXREPLA"&amp;"CE(converted , ""\s"", """")) ) ) ) )"),"09195258134")</f>
        <v>09195258134</v>
      </c>
      <c r="E508" s="196" t="s">
        <v>17</v>
      </c>
      <c r="F508" s="197">
        <v>3.0</v>
      </c>
      <c r="G508" s="193"/>
      <c r="H508" s="193" t="s">
        <v>3115</v>
      </c>
      <c r="I508" s="194"/>
      <c r="J508" s="194" t="s">
        <v>3116</v>
      </c>
      <c r="K508" s="199" t="s">
        <v>102</v>
      </c>
      <c r="L508" s="199" t="s">
        <v>324</v>
      </c>
      <c r="M508" s="193"/>
      <c r="N508" s="199"/>
      <c r="O508" s="199"/>
      <c r="P508" s="193"/>
      <c r="Q508" s="200"/>
      <c r="R508" s="86"/>
      <c r="S508" s="114">
        <f t="shared" ref="S508:T508" si="509">A508</f>
        <v>507</v>
      </c>
      <c r="T508" s="114" t="str">
        <f t="shared" si="509"/>
        <v>نیما بهرنگ</v>
      </c>
      <c r="U508" s="86" t="str">
        <f t="shared" si="3"/>
        <v>09195258134</v>
      </c>
      <c r="V508" s="86" t="str">
        <f t="shared" si="4"/>
        <v>پیش‌وایی 3</v>
      </c>
      <c r="W508" s="86"/>
      <c r="X508" s="86"/>
    </row>
    <row r="509">
      <c r="A509" s="201">
        <v>508.0</v>
      </c>
      <c r="B509" s="207" t="s">
        <v>3117</v>
      </c>
      <c r="C509" s="203" t="s">
        <v>3118</v>
      </c>
      <c r="D509" s="204" t="str">
        <f>IFERROR(__xludf.DUMMYFUNCTION("ARRAYFORMULA(LET( converted, SUBSTITUTE( SUBSTITUTE( SUBSTITUTE( SUBSTITUTE( SUBSTITUTE( SUBSTITUTE( SUBSTITUTE( SUBSTITUTE( SUBSTITUTE( SUBSTITUTE( C509, ""۰"", ""0""), ""۱"", ""1""), ""۲"", ""2""), ""۳"", ""3""), ""۴"", ""4""), ""۵"", ""5""), ""۶"", ""6"&amp;"""), ""۷"", ""7""), ""۸"", ""8""), ""۹"", ""9""), IF(LEFT(converted,3)=""+98"", ""0"" &amp; RIGHT(converted, LEN(converted)-3), IF(LEFT(converted,2)=""98"", ""0"" &amp; RIGHT(converted, LEN(converted)-2), IF(LEFT(converted,1)&lt;&gt;""0"", ""0"" &amp; converted, REGEXREPLA"&amp;"CE(converted , ""\s"", """")) ) ) ) )"),"09381394100")</f>
        <v>09381394100</v>
      </c>
      <c r="E509" s="205" t="s">
        <v>17</v>
      </c>
      <c r="F509" s="206">
        <v>3.0</v>
      </c>
      <c r="G509" s="202"/>
      <c r="H509" s="202" t="s">
        <v>3119</v>
      </c>
      <c r="I509" s="203"/>
      <c r="J509" s="203" t="s">
        <v>3120</v>
      </c>
      <c r="K509" s="207" t="s">
        <v>1398</v>
      </c>
      <c r="L509" s="207" t="s">
        <v>3121</v>
      </c>
      <c r="M509" s="202"/>
      <c r="N509" s="207"/>
      <c r="O509" s="207"/>
      <c r="P509" s="202"/>
      <c r="Q509" s="208"/>
      <c r="R509" s="86"/>
      <c r="S509" s="114">
        <f t="shared" ref="S509:T509" si="510">A509</f>
        <v>508</v>
      </c>
      <c r="T509" s="114" t="str">
        <f t="shared" si="510"/>
        <v>زهرا قنبریان</v>
      </c>
      <c r="U509" s="86" t="str">
        <f t="shared" si="3"/>
        <v>09381394100</v>
      </c>
      <c r="V509" s="86" t="str">
        <f t="shared" si="4"/>
        <v>پیش‌وایی 3</v>
      </c>
      <c r="W509" s="86"/>
      <c r="X509" s="86"/>
    </row>
    <row r="510">
      <c r="A510" s="192">
        <v>509.0</v>
      </c>
      <c r="B510" s="199" t="s">
        <v>3122</v>
      </c>
      <c r="C510" s="194" t="s">
        <v>3123</v>
      </c>
      <c r="D510" s="195" t="str">
        <f>IFERROR(__xludf.DUMMYFUNCTION("ARRAYFORMULA(LET( converted, SUBSTITUTE( SUBSTITUTE( SUBSTITUTE( SUBSTITUTE( SUBSTITUTE( SUBSTITUTE( SUBSTITUTE( SUBSTITUTE( SUBSTITUTE( SUBSTITUTE( C510, ""۰"", ""0""), ""۱"", ""1""), ""۲"", ""2""), ""۳"", ""3""), ""۴"", ""4""), ""۵"", ""5""), ""۶"", ""6"&amp;"""), ""۷"", ""7""), ""۸"", ""8""), ""۹"", ""9""), IF(LEFT(converted,3)=""+98"", ""0"" &amp; RIGHT(converted, LEN(converted)-3), IF(LEFT(converted,2)=""98"", ""0"" &amp; RIGHT(converted, LEN(converted)-2), IF(LEFT(converted,1)&lt;&gt;""0"", ""0"" &amp; converted, REGEXREPLA"&amp;"CE(converted , ""\s"", """")) ) ) ) )"),"09333608495")</f>
        <v>09333608495</v>
      </c>
      <c r="E510" s="196" t="s">
        <v>17</v>
      </c>
      <c r="F510" s="197">
        <v>3.0</v>
      </c>
      <c r="G510" s="193"/>
      <c r="H510" s="193" t="s">
        <v>3124</v>
      </c>
      <c r="I510" s="194"/>
      <c r="J510" s="194" t="s">
        <v>3125</v>
      </c>
      <c r="K510" s="199" t="s">
        <v>3126</v>
      </c>
      <c r="L510" s="199" t="s">
        <v>3127</v>
      </c>
      <c r="M510" s="193"/>
      <c r="N510" s="199"/>
      <c r="O510" s="199"/>
      <c r="P510" s="193"/>
      <c r="Q510" s="200"/>
      <c r="R510" s="86"/>
      <c r="S510" s="114">
        <f t="shared" ref="S510:T510" si="511">A510</f>
        <v>509</v>
      </c>
      <c r="T510" s="114" t="str">
        <f t="shared" si="511"/>
        <v>ایمان نجار</v>
      </c>
      <c r="U510" s="86" t="str">
        <f t="shared" si="3"/>
        <v>09333608495</v>
      </c>
      <c r="V510" s="86" t="str">
        <f t="shared" si="4"/>
        <v>پیش‌وایی 3</v>
      </c>
      <c r="W510" s="86"/>
      <c r="X510" s="86"/>
    </row>
    <row r="511">
      <c r="A511" s="201">
        <v>510.0</v>
      </c>
      <c r="B511" s="207" t="s">
        <v>3128</v>
      </c>
      <c r="C511" s="203" t="s">
        <v>3129</v>
      </c>
      <c r="D511" s="204" t="str">
        <f>IFERROR(__xludf.DUMMYFUNCTION("ARRAYFORMULA(LET( converted, SUBSTITUTE( SUBSTITUTE( SUBSTITUTE( SUBSTITUTE( SUBSTITUTE( SUBSTITUTE( SUBSTITUTE( SUBSTITUTE( SUBSTITUTE( SUBSTITUTE( C511, ""۰"", ""0""), ""۱"", ""1""), ""۲"", ""2""), ""۳"", ""3""), ""۴"", ""4""), ""۵"", ""5""), ""۶"", ""6"&amp;"""), ""۷"", ""7""), ""۸"", ""8""), ""۹"", ""9""), IF(LEFT(converted,3)=""+98"", ""0"" &amp; RIGHT(converted, LEN(converted)-3), IF(LEFT(converted,2)=""98"", ""0"" &amp; RIGHT(converted, LEN(converted)-2), IF(LEFT(converted,1)&lt;&gt;""0"", ""0"" &amp; converted, REGEXREPLA"&amp;"CE(converted , ""\s"", """")) ) ) ) )"),"09122274650")</f>
        <v>09122274650</v>
      </c>
      <c r="E511" s="205" t="s">
        <v>17</v>
      </c>
      <c r="F511" s="206">
        <v>3.0</v>
      </c>
      <c r="G511" s="202"/>
      <c r="H511" s="202" t="s">
        <v>3130</v>
      </c>
      <c r="I511" s="203"/>
      <c r="J511" s="203" t="s">
        <v>3131</v>
      </c>
      <c r="K511" s="207" t="s">
        <v>2280</v>
      </c>
      <c r="L511" s="207" t="s">
        <v>3132</v>
      </c>
      <c r="M511" s="202"/>
      <c r="N511" s="207"/>
      <c r="O511" s="207"/>
      <c r="P511" s="202"/>
      <c r="Q511" s="208"/>
      <c r="R511" s="86"/>
      <c r="S511" s="114">
        <f t="shared" ref="S511:T511" si="512">A511</f>
        <v>510</v>
      </c>
      <c r="T511" s="114" t="str">
        <f t="shared" si="512"/>
        <v>حمیدرضا حكاكی فرد</v>
      </c>
      <c r="U511" s="86" t="str">
        <f t="shared" si="3"/>
        <v>09122274650</v>
      </c>
      <c r="V511" s="86" t="str">
        <f t="shared" si="4"/>
        <v>پیش‌وایی 3</v>
      </c>
      <c r="W511" s="86"/>
      <c r="X511" s="86"/>
    </row>
    <row r="512">
      <c r="A512" s="192">
        <v>511.0</v>
      </c>
      <c r="B512" s="199" t="s">
        <v>151</v>
      </c>
      <c r="C512" s="194" t="s">
        <v>3133</v>
      </c>
      <c r="D512" s="195" t="str">
        <f>IFERROR(__xludf.DUMMYFUNCTION("ARRAYFORMULA(LET( converted, SUBSTITUTE( SUBSTITUTE( SUBSTITUTE( SUBSTITUTE( SUBSTITUTE( SUBSTITUTE( SUBSTITUTE( SUBSTITUTE( SUBSTITUTE( SUBSTITUTE( C512, ""۰"", ""0""), ""۱"", ""1""), ""۲"", ""2""), ""۳"", ""3""), ""۴"", ""4""), ""۵"", ""5""), ""۶"", ""6"&amp;"""), ""۷"", ""7""), ""۸"", ""8""), ""۹"", ""9""), IF(LEFT(converted,3)=""+98"", ""0"" &amp; RIGHT(converted, LEN(converted)-3), IF(LEFT(converted,2)=""98"", ""0"" &amp; RIGHT(converted, LEN(converted)-2), IF(LEFT(converted,1)&lt;&gt;""0"", ""0"" &amp; converted, REGEXREPLA"&amp;"CE(converted , ""\s"", """")) ) ) ) )"),"09122712880")</f>
        <v>09122712880</v>
      </c>
      <c r="E512" s="196" t="s">
        <v>17</v>
      </c>
      <c r="F512" s="197">
        <v>3.0</v>
      </c>
      <c r="G512" s="193"/>
      <c r="H512" s="193" t="s">
        <v>3134</v>
      </c>
      <c r="I512" s="194"/>
      <c r="J512" s="194" t="s">
        <v>3135</v>
      </c>
      <c r="K512" s="199" t="s">
        <v>3136</v>
      </c>
      <c r="L512" s="199" t="s">
        <v>3137</v>
      </c>
      <c r="M512" s="193"/>
      <c r="N512" s="199"/>
      <c r="O512" s="199"/>
      <c r="P512" s="193"/>
      <c r="Q512" s="200"/>
      <c r="R512" s="86"/>
      <c r="S512" s="114">
        <f t="shared" ref="S512:T512" si="513">A512</f>
        <v>511</v>
      </c>
      <c r="T512" s="114" t="str">
        <f t="shared" si="513"/>
        <v>آی‌سان بنی‌هاشمی</v>
      </c>
      <c r="U512" s="86" t="str">
        <f t="shared" si="3"/>
        <v>09122712880</v>
      </c>
      <c r="V512" s="86" t="str">
        <f t="shared" si="4"/>
        <v>پیش‌وایی 3</v>
      </c>
      <c r="W512" s="86"/>
      <c r="X512" s="86"/>
    </row>
    <row r="513">
      <c r="A513" s="201">
        <v>512.0</v>
      </c>
      <c r="B513" s="207" t="s">
        <v>3138</v>
      </c>
      <c r="C513" s="203" t="s">
        <v>3139</v>
      </c>
      <c r="D513" s="204" t="str">
        <f>IFERROR(__xludf.DUMMYFUNCTION("ARRAYFORMULA(LET( converted, SUBSTITUTE( SUBSTITUTE( SUBSTITUTE( SUBSTITUTE( SUBSTITUTE( SUBSTITUTE( SUBSTITUTE( SUBSTITUTE( SUBSTITUTE( SUBSTITUTE( C513, ""۰"", ""0""), ""۱"", ""1""), ""۲"", ""2""), ""۳"", ""3""), ""۴"", ""4""), ""۵"", ""5""), ""۶"", ""6"&amp;"""), ""۷"", ""7""), ""۸"", ""8""), ""۹"", ""9""), IF(LEFT(converted,3)=""+98"", ""0"" &amp; RIGHT(converted, LEN(converted)-3), IF(LEFT(converted,2)=""98"", ""0"" &amp; RIGHT(converted, LEN(converted)-2), IF(LEFT(converted,1)&lt;&gt;""0"", ""0"" &amp; converted, REGEXREPLA"&amp;"CE(converted , ""\s"", """")) ) ) ) )"),"09118493732")</f>
        <v>09118493732</v>
      </c>
      <c r="E513" s="205" t="s">
        <v>17</v>
      </c>
      <c r="F513" s="206">
        <v>3.0</v>
      </c>
      <c r="G513" s="202"/>
      <c r="H513" s="202" t="s">
        <v>3140</v>
      </c>
      <c r="I513" s="203"/>
      <c r="J513" s="203" t="s">
        <v>3141</v>
      </c>
      <c r="K513" s="207" t="s">
        <v>3142</v>
      </c>
      <c r="L513" s="207" t="s">
        <v>3143</v>
      </c>
      <c r="M513" s="202"/>
      <c r="N513" s="207"/>
      <c r="O513" s="207"/>
      <c r="P513" s="202"/>
      <c r="Q513" s="208"/>
      <c r="R513" s="86"/>
      <c r="S513" s="114">
        <f t="shared" ref="S513:T513" si="514">A513</f>
        <v>512</v>
      </c>
      <c r="T513" s="114" t="str">
        <f t="shared" si="514"/>
        <v>سید امیرحسین چكامه</v>
      </c>
      <c r="U513" s="86" t="str">
        <f t="shared" si="3"/>
        <v>09118493732</v>
      </c>
      <c r="V513" s="86" t="str">
        <f t="shared" si="4"/>
        <v>پیش‌وایی 3</v>
      </c>
      <c r="W513" s="86"/>
      <c r="X513" s="86"/>
    </row>
    <row r="514">
      <c r="A514" s="192">
        <v>513.0</v>
      </c>
      <c r="B514" s="199" t="s">
        <v>3144</v>
      </c>
      <c r="C514" s="194" t="s">
        <v>3145</v>
      </c>
      <c r="D514" s="195" t="str">
        <f>IFERROR(__xludf.DUMMYFUNCTION("ARRAYFORMULA(LET( converted, SUBSTITUTE( SUBSTITUTE( SUBSTITUTE( SUBSTITUTE( SUBSTITUTE( SUBSTITUTE( SUBSTITUTE( SUBSTITUTE( SUBSTITUTE( SUBSTITUTE( C514, ""۰"", ""0""), ""۱"", ""1""), ""۲"", ""2""), ""۳"", ""3""), ""۴"", ""4""), ""۵"", ""5""), ""۶"", ""6"&amp;"""), ""۷"", ""7""), ""۸"", ""8""), ""۹"", ""9""), IF(LEFT(converted,3)=""+98"", ""0"" &amp; RIGHT(converted, LEN(converted)-3), IF(LEFT(converted,2)=""98"", ""0"" &amp; RIGHT(converted, LEN(converted)-2), IF(LEFT(converted,1)&lt;&gt;""0"", ""0"" &amp; converted, REGEXREPLA"&amp;"CE(converted , ""\s"", """")) ) ) ) )"),"09382105492")</f>
        <v>09382105492</v>
      </c>
      <c r="E514" s="196" t="s">
        <v>17</v>
      </c>
      <c r="F514" s="197">
        <v>3.0</v>
      </c>
      <c r="G514" s="193"/>
      <c r="H514" s="193" t="s">
        <v>3146</v>
      </c>
      <c r="I514" s="194"/>
      <c r="J514" s="194" t="s">
        <v>3147</v>
      </c>
      <c r="K514" s="199" t="s">
        <v>27</v>
      </c>
      <c r="L514" s="199" t="s">
        <v>2373</v>
      </c>
      <c r="M514" s="193"/>
      <c r="N514" s="199"/>
      <c r="O514" s="199"/>
      <c r="P514" s="193"/>
      <c r="Q514" s="200"/>
      <c r="R514" s="86"/>
      <c r="S514" s="114">
        <f t="shared" ref="S514:T514" si="515">A514</f>
        <v>513</v>
      </c>
      <c r="T514" s="114" t="str">
        <f t="shared" si="515"/>
        <v>مجید عظیمی</v>
      </c>
      <c r="U514" s="86" t="str">
        <f t="shared" si="3"/>
        <v>09382105492</v>
      </c>
      <c r="V514" s="86" t="str">
        <f t="shared" si="4"/>
        <v>پیش‌وایی 3</v>
      </c>
      <c r="W514" s="86"/>
      <c r="X514" s="86"/>
    </row>
    <row r="515">
      <c r="A515" s="201">
        <v>514.0</v>
      </c>
      <c r="B515" s="207" t="s">
        <v>3148</v>
      </c>
      <c r="C515" s="203" t="s">
        <v>3149</v>
      </c>
      <c r="D515" s="204" t="str">
        <f>IFERROR(__xludf.DUMMYFUNCTION("ARRAYFORMULA(LET( converted, SUBSTITUTE( SUBSTITUTE( SUBSTITUTE( SUBSTITUTE( SUBSTITUTE( SUBSTITUTE( SUBSTITUTE( SUBSTITUTE( SUBSTITUTE( SUBSTITUTE( C515, ""۰"", ""0""), ""۱"", ""1""), ""۲"", ""2""), ""۳"", ""3""), ""۴"", ""4""), ""۵"", ""5""), ""۶"", ""6"&amp;"""), ""۷"", ""7""), ""۸"", ""8""), ""۹"", ""9""), IF(LEFT(converted,3)=""+98"", ""0"" &amp; RIGHT(converted, LEN(converted)-3), IF(LEFT(converted,2)=""98"", ""0"" &amp; RIGHT(converted, LEN(converted)-2), IF(LEFT(converted,1)&lt;&gt;""0"", ""0"" &amp; converted, REGEXREPLA"&amp;"CE(converted , ""\s"", """")) ) ) ) )"),"09128498138")</f>
        <v>09128498138</v>
      </c>
      <c r="E515" s="205" t="s">
        <v>17</v>
      </c>
      <c r="F515" s="206">
        <v>3.0</v>
      </c>
      <c r="G515" s="202"/>
      <c r="H515" s="202" t="s">
        <v>3150</v>
      </c>
      <c r="I515" s="203"/>
      <c r="J515" s="203" t="s">
        <v>3151</v>
      </c>
      <c r="K515" s="207" t="s">
        <v>209</v>
      </c>
      <c r="L515" s="207" t="s">
        <v>3152</v>
      </c>
      <c r="M515" s="202"/>
      <c r="N515" s="207"/>
      <c r="O515" s="207"/>
      <c r="P515" s="202"/>
      <c r="Q515" s="208"/>
      <c r="R515" s="86"/>
      <c r="S515" s="114">
        <f t="shared" ref="S515:T515" si="516">A515</f>
        <v>514</v>
      </c>
      <c r="T515" s="114" t="str">
        <f t="shared" si="516"/>
        <v>بهروز فخری شوشتری</v>
      </c>
      <c r="U515" s="86" t="str">
        <f t="shared" si="3"/>
        <v>09128498138</v>
      </c>
      <c r="V515" s="86" t="str">
        <f t="shared" si="4"/>
        <v>پیش‌وایی 3</v>
      </c>
      <c r="W515" s="86"/>
      <c r="X515" s="86"/>
    </row>
    <row r="516">
      <c r="A516" s="192">
        <v>515.0</v>
      </c>
      <c r="B516" s="199" t="s">
        <v>1488</v>
      </c>
      <c r="C516" s="194" t="s">
        <v>1489</v>
      </c>
      <c r="D516" s="195" t="str">
        <f>IFERROR(__xludf.DUMMYFUNCTION("ARRAYFORMULA(LET( converted, SUBSTITUTE( SUBSTITUTE( SUBSTITUTE( SUBSTITUTE( SUBSTITUTE( SUBSTITUTE( SUBSTITUTE( SUBSTITUTE( SUBSTITUTE( SUBSTITUTE( C516, ""۰"", ""0""), ""۱"", ""1""), ""۲"", ""2""), ""۳"", ""3""), ""۴"", ""4""), ""۵"", ""5""), ""۶"", ""6"&amp;"""), ""۷"", ""7""), ""۸"", ""8""), ""۹"", ""9""), IF(LEFT(converted,3)=""+98"", ""0"" &amp; RIGHT(converted, LEN(converted)-3), IF(LEFT(converted,2)=""98"", ""0"" &amp; RIGHT(converted, LEN(converted)-2), IF(LEFT(converted,1)&lt;&gt;""0"", ""0"" &amp; converted, REGEXREPLA"&amp;"CE(converted , ""\s"", """")) ) ) ) )"),"09120296998")</f>
        <v>09120296998</v>
      </c>
      <c r="E516" s="196" t="s">
        <v>17</v>
      </c>
      <c r="F516" s="197">
        <v>3.0</v>
      </c>
      <c r="G516" s="193"/>
      <c r="H516" s="193" t="s">
        <v>3153</v>
      </c>
      <c r="I516" s="194"/>
      <c r="J516" s="194" t="s">
        <v>3154</v>
      </c>
      <c r="K516" s="199" t="s">
        <v>1491</v>
      </c>
      <c r="L516" s="199" t="s">
        <v>1492</v>
      </c>
      <c r="M516" s="193"/>
      <c r="N516" s="199"/>
      <c r="O516" s="199"/>
      <c r="P516" s="193"/>
      <c r="Q516" s="200"/>
      <c r="R516" s="86"/>
      <c r="S516" s="114">
        <f t="shared" ref="S516:T516" si="517">A516</f>
        <v>515</v>
      </c>
      <c r="T516" s="114" t="str">
        <f t="shared" si="517"/>
        <v>رحیم قرآنی</v>
      </c>
      <c r="U516" s="86" t="str">
        <f t="shared" si="3"/>
        <v>09120296998</v>
      </c>
      <c r="V516" s="86" t="str">
        <f t="shared" si="4"/>
        <v>پیش‌وایی 3</v>
      </c>
      <c r="W516" s="86"/>
      <c r="X516" s="86"/>
    </row>
    <row r="517">
      <c r="A517" s="201">
        <v>516.0</v>
      </c>
      <c r="B517" s="207" t="s">
        <v>3155</v>
      </c>
      <c r="C517" s="203" t="s">
        <v>3156</v>
      </c>
      <c r="D517" s="204" t="str">
        <f>IFERROR(__xludf.DUMMYFUNCTION("ARRAYFORMULA(LET( converted, SUBSTITUTE( SUBSTITUTE( SUBSTITUTE( SUBSTITUTE( SUBSTITUTE( SUBSTITUTE( SUBSTITUTE( SUBSTITUTE( SUBSTITUTE( SUBSTITUTE( C517, ""۰"", ""0""), ""۱"", ""1""), ""۲"", ""2""), ""۳"", ""3""), ""۴"", ""4""), ""۵"", ""5""), ""۶"", ""6"&amp;"""), ""۷"", ""7""), ""۸"", ""8""), ""۹"", ""9""), IF(LEFT(converted,3)=""+98"", ""0"" &amp; RIGHT(converted, LEN(converted)-3), IF(LEFT(converted,2)=""98"", ""0"" &amp; RIGHT(converted, LEN(converted)-2), IF(LEFT(converted,1)&lt;&gt;""0"", ""0"" &amp; converted, REGEXREPLA"&amp;"CE(converted , ""\s"", """")) ) ) ) )"),"09128018825")</f>
        <v>09128018825</v>
      </c>
      <c r="E517" s="205" t="s">
        <v>17</v>
      </c>
      <c r="F517" s="206">
        <v>3.0</v>
      </c>
      <c r="G517" s="202"/>
      <c r="H517" s="202" t="s">
        <v>3157</v>
      </c>
      <c r="I517" s="203"/>
      <c r="J517" s="203" t="s">
        <v>3158</v>
      </c>
      <c r="K517" s="207" t="s">
        <v>3159</v>
      </c>
      <c r="L517" s="207" t="s">
        <v>3160</v>
      </c>
      <c r="M517" s="202"/>
      <c r="N517" s="207"/>
      <c r="O517" s="207"/>
      <c r="P517" s="202"/>
      <c r="Q517" s="208"/>
      <c r="R517" s="86"/>
      <c r="S517" s="114">
        <f t="shared" ref="S517:T517" si="518">A517</f>
        <v>516</v>
      </c>
      <c r="T517" s="114" t="str">
        <f t="shared" si="518"/>
        <v>سهیل حمزه بیگی</v>
      </c>
      <c r="U517" s="86" t="str">
        <f t="shared" si="3"/>
        <v>09128018825</v>
      </c>
      <c r="V517" s="86" t="str">
        <f t="shared" si="4"/>
        <v>پیش‌وایی 3</v>
      </c>
      <c r="W517" s="86"/>
      <c r="X517" s="86"/>
    </row>
    <row r="518">
      <c r="A518" s="192">
        <v>517.0</v>
      </c>
      <c r="B518" s="199" t="s">
        <v>3161</v>
      </c>
      <c r="C518" s="194" t="s">
        <v>3162</v>
      </c>
      <c r="D518" s="195" t="str">
        <f>IFERROR(__xludf.DUMMYFUNCTION("ARRAYFORMULA(LET( converted, SUBSTITUTE( SUBSTITUTE( SUBSTITUTE( SUBSTITUTE( SUBSTITUTE( SUBSTITUTE( SUBSTITUTE( SUBSTITUTE( SUBSTITUTE( SUBSTITUTE( C518, ""۰"", ""0""), ""۱"", ""1""), ""۲"", ""2""), ""۳"", ""3""), ""۴"", ""4""), ""۵"", ""5""), ""۶"", ""6"&amp;"""), ""۷"", ""7""), ""۸"", ""8""), ""۹"", ""9""), IF(LEFT(converted,3)=""+98"", ""0"" &amp; RIGHT(converted, LEN(converted)-3), IF(LEFT(converted,2)=""98"", ""0"" &amp; RIGHT(converted, LEN(converted)-2), IF(LEFT(converted,1)&lt;&gt;""0"", ""0"" &amp; converted, REGEXREPLA"&amp;"CE(converted , ""\s"", """")) ) ) ) )"),"09128625449")</f>
        <v>09128625449</v>
      </c>
      <c r="E518" s="196" t="s">
        <v>17</v>
      </c>
      <c r="F518" s="197">
        <v>3.0</v>
      </c>
      <c r="G518" s="193"/>
      <c r="H518" s="193" t="s">
        <v>3163</v>
      </c>
      <c r="I518" s="194"/>
      <c r="J518" s="194" t="s">
        <v>3164</v>
      </c>
      <c r="K518" s="199" t="s">
        <v>3165</v>
      </c>
      <c r="L518" s="199" t="s">
        <v>3166</v>
      </c>
      <c r="M518" s="193"/>
      <c r="N518" s="199"/>
      <c r="O518" s="199"/>
      <c r="P518" s="193"/>
      <c r="Q518" s="200"/>
      <c r="R518" s="86"/>
      <c r="S518" s="114">
        <f t="shared" ref="S518:T518" si="519">A518</f>
        <v>517</v>
      </c>
      <c r="T518" s="114" t="str">
        <f t="shared" si="519"/>
        <v>امیر محمد وكیلی</v>
      </c>
      <c r="U518" s="86" t="str">
        <f t="shared" si="3"/>
        <v>09128625449</v>
      </c>
      <c r="V518" s="86" t="str">
        <f t="shared" si="4"/>
        <v>پیش‌وایی 3</v>
      </c>
      <c r="W518" s="86"/>
      <c r="X518" s="86"/>
    </row>
    <row r="519">
      <c r="A519" s="201">
        <v>518.0</v>
      </c>
      <c r="B519" s="207" t="s">
        <v>3167</v>
      </c>
      <c r="C519" s="203" t="s">
        <v>3168</v>
      </c>
      <c r="D519" s="204" t="str">
        <f>IFERROR(__xludf.DUMMYFUNCTION("ARRAYFORMULA(LET( converted, SUBSTITUTE( SUBSTITUTE( SUBSTITUTE( SUBSTITUTE( SUBSTITUTE( SUBSTITUTE( SUBSTITUTE( SUBSTITUTE( SUBSTITUTE( SUBSTITUTE( C519, ""۰"", ""0""), ""۱"", ""1""), ""۲"", ""2""), ""۳"", ""3""), ""۴"", ""4""), ""۵"", ""5""), ""۶"", ""6"&amp;"""), ""۷"", ""7""), ""۸"", ""8""), ""۹"", ""9""), IF(LEFT(converted,3)=""+98"", ""0"" &amp; RIGHT(converted, LEN(converted)-3), IF(LEFT(converted,2)=""98"", ""0"" &amp; RIGHT(converted, LEN(converted)-2), IF(LEFT(converted,1)&lt;&gt;""0"", ""0"" &amp; converted, REGEXREPLA"&amp;"CE(converted , ""\s"", """")) ) ) ) )"),"09197272005")</f>
        <v>09197272005</v>
      </c>
      <c r="E519" s="205" t="s">
        <v>17</v>
      </c>
      <c r="F519" s="206">
        <v>3.0</v>
      </c>
      <c r="G519" s="202"/>
      <c r="H519" s="202" t="s">
        <v>3169</v>
      </c>
      <c r="I519" s="203"/>
      <c r="J519" s="203" t="s">
        <v>3170</v>
      </c>
      <c r="K519" s="207" t="s">
        <v>3171</v>
      </c>
      <c r="L519" s="207" t="s">
        <v>1256</v>
      </c>
      <c r="M519" s="202"/>
      <c r="N519" s="207"/>
      <c r="O519" s="207"/>
      <c r="P519" s="202"/>
      <c r="Q519" s="208"/>
      <c r="R519" s="86"/>
      <c r="S519" s="114">
        <f t="shared" ref="S519:T519" si="520">A519</f>
        <v>518</v>
      </c>
      <c r="T519" s="114" t="str">
        <f t="shared" si="520"/>
        <v>آریانا سلطانی</v>
      </c>
      <c r="U519" s="86" t="str">
        <f t="shared" si="3"/>
        <v>09197272005</v>
      </c>
      <c r="V519" s="86" t="str">
        <f t="shared" si="4"/>
        <v>پیش‌وایی 3</v>
      </c>
      <c r="W519" s="86"/>
      <c r="X519" s="86"/>
    </row>
    <row r="520">
      <c r="A520" s="192">
        <v>520.0</v>
      </c>
      <c r="B520" s="199" t="s">
        <v>2888</v>
      </c>
      <c r="C520" s="194" t="s">
        <v>2273</v>
      </c>
      <c r="D520" s="195" t="str">
        <f>IFERROR(__xludf.DUMMYFUNCTION("ARRAYFORMULA(LET( converted, SUBSTITUTE( SUBSTITUTE( SUBSTITUTE( SUBSTITUTE( SUBSTITUTE( SUBSTITUTE( SUBSTITUTE( SUBSTITUTE( SUBSTITUTE( SUBSTITUTE( C520, ""۰"", ""0""), ""۱"", ""1""), ""۲"", ""2""), ""۳"", ""3""), ""۴"", ""4""), ""۵"", ""5""), ""۶"", ""6"&amp;"""), ""۷"", ""7""), ""۸"", ""8""), ""۹"", ""9""), IF(LEFT(converted,3)=""+98"", ""0"" &amp; RIGHT(converted, LEN(converted)-3), IF(LEFT(converted,2)=""98"", ""0"" &amp; RIGHT(converted, LEN(converted)-2), IF(LEFT(converted,1)&lt;&gt;""0"", ""0"" &amp; converted, REGEXREPLA"&amp;"CE(converted , ""\s"", """")) ) ) ) )"),"09120555019")</f>
        <v>09120555019</v>
      </c>
      <c r="E520" s="196" t="s">
        <v>17</v>
      </c>
      <c r="F520" s="197">
        <v>3.0</v>
      </c>
      <c r="G520" s="193"/>
      <c r="H520" s="193" t="s">
        <v>1594</v>
      </c>
      <c r="I520" s="194"/>
      <c r="J520" s="194" t="s">
        <v>3172</v>
      </c>
      <c r="K520" s="199" t="s">
        <v>2892</v>
      </c>
      <c r="L520" s="199" t="s">
        <v>1595</v>
      </c>
      <c r="M520" s="193"/>
      <c r="N520" s="199"/>
      <c r="O520" s="199"/>
      <c r="P520" s="193"/>
      <c r="Q520" s="200"/>
      <c r="R520" s="86"/>
      <c r="S520" s="114">
        <f t="shared" ref="S520:T520" si="521">A520</f>
        <v>520</v>
      </c>
      <c r="T520" s="114" t="str">
        <f t="shared" si="521"/>
        <v>محمودرضا فتحی</v>
      </c>
      <c r="U520" s="86" t="str">
        <f t="shared" si="3"/>
        <v>09120555019</v>
      </c>
      <c r="V520" s="86" t="str">
        <f t="shared" si="4"/>
        <v>پیش‌وایی 3</v>
      </c>
      <c r="W520" s="86"/>
      <c r="X520" s="86"/>
    </row>
    <row r="521">
      <c r="A521" s="201">
        <v>521.0</v>
      </c>
      <c r="B521" s="207" t="s">
        <v>3173</v>
      </c>
      <c r="C521" s="203" t="s">
        <v>3174</v>
      </c>
      <c r="D521" s="204" t="str">
        <f>IFERROR(__xludf.DUMMYFUNCTION("ARRAYFORMULA(LET( converted, SUBSTITUTE( SUBSTITUTE( SUBSTITUTE( SUBSTITUTE( SUBSTITUTE( SUBSTITUTE( SUBSTITUTE( SUBSTITUTE( SUBSTITUTE( SUBSTITUTE( C521, ""۰"", ""0""), ""۱"", ""1""), ""۲"", ""2""), ""۳"", ""3""), ""۴"", ""4""), ""۵"", ""5""), ""۶"", ""6"&amp;"""), ""۷"", ""7""), ""۸"", ""8""), ""۹"", ""9""), IF(LEFT(converted,3)=""+98"", ""0"" &amp; RIGHT(converted, LEN(converted)-3), IF(LEFT(converted,2)=""98"", ""0"" &amp; RIGHT(converted, LEN(converted)-2), IF(LEFT(converted,1)&lt;&gt;""0"", ""0"" &amp; converted, REGEXREPLA"&amp;"CE(converted , ""\s"", """")) ) ) ) )"),"09125118270")</f>
        <v>09125118270</v>
      </c>
      <c r="E521" s="205" t="s">
        <v>17</v>
      </c>
      <c r="F521" s="206">
        <v>3.0</v>
      </c>
      <c r="G521" s="202"/>
      <c r="H521" s="202" t="s">
        <v>3175</v>
      </c>
      <c r="I521" s="203"/>
      <c r="J521" s="203" t="s">
        <v>3176</v>
      </c>
      <c r="K521" s="207" t="s">
        <v>758</v>
      </c>
      <c r="L521" s="207" t="s">
        <v>3177</v>
      </c>
      <c r="M521" s="202"/>
      <c r="N521" s="207"/>
      <c r="O521" s="207"/>
      <c r="P521" s="202"/>
      <c r="Q521" s="208"/>
      <c r="R521" s="86"/>
      <c r="S521" s="114">
        <f t="shared" ref="S521:T521" si="522">A521</f>
        <v>521</v>
      </c>
      <c r="T521" s="114" t="str">
        <f t="shared" si="522"/>
        <v>سعید دهقانی</v>
      </c>
      <c r="U521" s="86" t="str">
        <f t="shared" si="3"/>
        <v>09125118270</v>
      </c>
      <c r="V521" s="86" t="str">
        <f t="shared" si="4"/>
        <v>پیش‌وایی 3</v>
      </c>
      <c r="W521" s="86"/>
      <c r="X521" s="86"/>
    </row>
    <row r="522">
      <c r="A522" s="192">
        <v>522.0</v>
      </c>
      <c r="B522" s="199" t="s">
        <v>3178</v>
      </c>
      <c r="C522" s="194" t="s">
        <v>3179</v>
      </c>
      <c r="D522" s="195" t="str">
        <f>IFERROR(__xludf.DUMMYFUNCTION("ARRAYFORMULA(LET( converted, SUBSTITUTE( SUBSTITUTE( SUBSTITUTE( SUBSTITUTE( SUBSTITUTE( SUBSTITUTE( SUBSTITUTE( SUBSTITUTE( SUBSTITUTE( SUBSTITUTE( C522, ""۰"", ""0""), ""۱"", ""1""), ""۲"", ""2""), ""۳"", ""3""), ""۴"", ""4""), ""۵"", ""5""), ""۶"", ""6"&amp;"""), ""۷"", ""7""), ""۸"", ""8""), ""۹"", ""9""), IF(LEFT(converted,3)=""+98"", ""0"" &amp; RIGHT(converted, LEN(converted)-3), IF(LEFT(converted,2)=""98"", ""0"" &amp; RIGHT(converted, LEN(converted)-2), IF(LEFT(converted,1)&lt;&gt;""0"", ""0"" &amp; converted, REGEXREPLA"&amp;"CE(converted , ""\s"", """")) ) ) ) )"),"09120127548")</f>
        <v>09120127548</v>
      </c>
      <c r="E522" s="196" t="s">
        <v>17</v>
      </c>
      <c r="F522" s="197">
        <v>3.0</v>
      </c>
      <c r="G522" s="193"/>
      <c r="H522" s="193" t="s">
        <v>3180</v>
      </c>
      <c r="I522" s="194"/>
      <c r="J522" s="194" t="s">
        <v>3181</v>
      </c>
      <c r="K522" s="199" t="s">
        <v>3182</v>
      </c>
      <c r="L522" s="199" t="s">
        <v>3183</v>
      </c>
      <c r="M522" s="193"/>
      <c r="N522" s="199"/>
      <c r="O522" s="199"/>
      <c r="P522" s="193"/>
      <c r="Q522" s="200"/>
      <c r="R522" s="86"/>
      <c r="S522" s="114">
        <f t="shared" ref="S522:T522" si="523">A522</f>
        <v>522</v>
      </c>
      <c r="T522" s="114" t="str">
        <f t="shared" si="523"/>
        <v>فرناز نزاكتی</v>
      </c>
      <c r="U522" s="86" t="str">
        <f t="shared" si="3"/>
        <v>09120127548</v>
      </c>
      <c r="V522" s="86" t="str">
        <f t="shared" si="4"/>
        <v>پیش‌وایی 3</v>
      </c>
      <c r="W522" s="86"/>
      <c r="X522" s="86"/>
    </row>
    <row r="523">
      <c r="A523" s="201">
        <v>523.0</v>
      </c>
      <c r="B523" s="207" t="s">
        <v>3184</v>
      </c>
      <c r="C523" s="203" t="s">
        <v>3185</v>
      </c>
      <c r="D523" s="204" t="str">
        <f>IFERROR(__xludf.DUMMYFUNCTION("ARRAYFORMULA(LET( converted, SUBSTITUTE( SUBSTITUTE( SUBSTITUTE( SUBSTITUTE( SUBSTITUTE( SUBSTITUTE( SUBSTITUTE( SUBSTITUTE( SUBSTITUTE( SUBSTITUTE( C523, ""۰"", ""0""), ""۱"", ""1""), ""۲"", ""2""), ""۳"", ""3""), ""۴"", ""4""), ""۵"", ""5""), ""۶"", ""6"&amp;"""), ""۷"", ""7""), ""۸"", ""8""), ""۹"", ""9""), IF(LEFT(converted,3)=""+98"", ""0"" &amp; RIGHT(converted, LEN(converted)-3), IF(LEFT(converted,2)=""98"", ""0"" &amp; RIGHT(converted, LEN(converted)-2), IF(LEFT(converted,1)&lt;&gt;""0"", ""0"" &amp; converted, REGEXREPLA"&amp;"CE(converted , ""\s"", """")) ) ) ) )"),"09122835543")</f>
        <v>09122835543</v>
      </c>
      <c r="E523" s="205" t="s">
        <v>17</v>
      </c>
      <c r="F523" s="206">
        <v>3.0</v>
      </c>
      <c r="G523" s="202"/>
      <c r="H523" s="202" t="s">
        <v>3186</v>
      </c>
      <c r="I523" s="203"/>
      <c r="J523" s="203" t="s">
        <v>3187</v>
      </c>
      <c r="K523" s="207" t="s">
        <v>3188</v>
      </c>
      <c r="L523" s="207" t="s">
        <v>3189</v>
      </c>
      <c r="M523" s="202"/>
      <c r="N523" s="207"/>
      <c r="O523" s="207"/>
      <c r="P523" s="202"/>
      <c r="Q523" s="208"/>
      <c r="R523" s="86"/>
      <c r="S523" s="114">
        <f t="shared" ref="S523:T523" si="524">A523</f>
        <v>523</v>
      </c>
      <c r="T523" s="114" t="str">
        <f t="shared" si="524"/>
        <v>كاوه برنجی</v>
      </c>
      <c r="U523" s="86" t="str">
        <f t="shared" si="3"/>
        <v>09122835543</v>
      </c>
      <c r="V523" s="86" t="str">
        <f t="shared" si="4"/>
        <v>پیش‌وایی 3</v>
      </c>
      <c r="W523" s="86"/>
      <c r="X523" s="86"/>
    </row>
    <row r="524">
      <c r="A524" s="192">
        <v>524.0</v>
      </c>
      <c r="B524" s="199" t="s">
        <v>3190</v>
      </c>
      <c r="C524" s="194" t="s">
        <v>3191</v>
      </c>
      <c r="D524" s="195" t="str">
        <f>IFERROR(__xludf.DUMMYFUNCTION("ARRAYFORMULA(LET( converted, SUBSTITUTE( SUBSTITUTE( SUBSTITUTE( SUBSTITUTE( SUBSTITUTE( SUBSTITUTE( SUBSTITUTE( SUBSTITUTE( SUBSTITUTE( SUBSTITUTE( C524, ""۰"", ""0""), ""۱"", ""1""), ""۲"", ""2""), ""۳"", ""3""), ""۴"", ""4""), ""۵"", ""5""), ""۶"", ""6"&amp;"""), ""۷"", ""7""), ""۸"", ""8""), ""۹"", ""9""), IF(LEFT(converted,3)=""+98"", ""0"" &amp; RIGHT(converted, LEN(converted)-3), IF(LEFT(converted,2)=""98"", ""0"" &amp; RIGHT(converted, LEN(converted)-2), IF(LEFT(converted,1)&lt;&gt;""0"", ""0"" &amp; converted, REGEXREPLA"&amp;"CE(converted , ""\s"", """")) ) ) ) )"),"09361323233")</f>
        <v>09361323233</v>
      </c>
      <c r="E524" s="196" t="s">
        <v>17</v>
      </c>
      <c r="F524" s="197">
        <v>3.0</v>
      </c>
      <c r="G524" s="193"/>
      <c r="H524" s="193" t="s">
        <v>3192</v>
      </c>
      <c r="I524" s="194"/>
      <c r="J524" s="194" t="s">
        <v>3193</v>
      </c>
      <c r="K524" s="199" t="s">
        <v>1289</v>
      </c>
      <c r="L524" s="199" t="s">
        <v>3194</v>
      </c>
      <c r="M524" s="193"/>
      <c r="N524" s="199"/>
      <c r="O524" s="199"/>
      <c r="P524" s="193"/>
      <c r="Q524" s="200"/>
      <c r="R524" s="86"/>
      <c r="S524" s="114">
        <f t="shared" ref="S524:T524" si="525">A524</f>
        <v>524</v>
      </c>
      <c r="T524" s="114" t="str">
        <f t="shared" si="525"/>
        <v>میلاد امیری</v>
      </c>
      <c r="U524" s="86" t="str">
        <f t="shared" si="3"/>
        <v>09361323233</v>
      </c>
      <c r="V524" s="86" t="str">
        <f t="shared" si="4"/>
        <v>پیش‌وایی 3</v>
      </c>
      <c r="W524" s="86"/>
      <c r="X524" s="86"/>
    </row>
    <row r="525">
      <c r="A525" s="201">
        <v>525.0</v>
      </c>
      <c r="B525" s="202" t="s">
        <v>3195</v>
      </c>
      <c r="C525" s="203" t="s">
        <v>3196</v>
      </c>
      <c r="D525" s="204" t="str">
        <f>IFERROR(__xludf.DUMMYFUNCTION("ARRAYFORMULA(LET( converted, SUBSTITUTE( SUBSTITUTE( SUBSTITUTE( SUBSTITUTE( SUBSTITUTE( SUBSTITUTE( SUBSTITUTE( SUBSTITUTE( SUBSTITUTE( SUBSTITUTE( C525, ""۰"", ""0""), ""۱"", ""1""), ""۲"", ""2""), ""۳"", ""3""), ""۴"", ""4""), ""۵"", ""5""), ""۶"", ""6"&amp;"""), ""۷"", ""7""), ""۸"", ""8""), ""۹"", ""9""), IF(LEFT(converted,3)=""+98"", ""0"" &amp; RIGHT(converted, LEN(converted)-3), IF(LEFT(converted,2)=""98"", ""0"" &amp; RIGHT(converted, LEN(converted)-2), IF(LEFT(converted,1)&lt;&gt;""0"", ""0"" &amp; converted, REGEXREPLA"&amp;"CE(converted , ""\s"", """")) ) ) ) )"),"09191274534")</f>
        <v>09191274534</v>
      </c>
      <c r="E525" s="205" t="s">
        <v>17</v>
      </c>
      <c r="F525" s="206">
        <v>3.0</v>
      </c>
      <c r="G525" s="202"/>
      <c r="H525" s="202" t="s">
        <v>3197</v>
      </c>
      <c r="I525" s="203"/>
      <c r="J525" s="203" t="s">
        <v>3198</v>
      </c>
      <c r="K525" s="207" t="s">
        <v>3199</v>
      </c>
      <c r="L525" s="207" t="s">
        <v>3200</v>
      </c>
      <c r="M525" s="202"/>
      <c r="N525" s="207"/>
      <c r="O525" s="207"/>
      <c r="P525" s="202"/>
      <c r="Q525" s="208"/>
      <c r="R525" s="86"/>
      <c r="S525" s="114">
        <f t="shared" ref="S525:T525" si="526">A525</f>
        <v>525</v>
      </c>
      <c r="T525" s="114" t="str">
        <f t="shared" si="526"/>
        <v>ساناز پرگر</v>
      </c>
      <c r="U525" s="86" t="str">
        <f t="shared" si="3"/>
        <v>09191274534</v>
      </c>
      <c r="V525" s="86" t="str">
        <f t="shared" si="4"/>
        <v>پیش‌وایی 3</v>
      </c>
      <c r="W525" s="86"/>
      <c r="X525" s="86"/>
    </row>
    <row r="526">
      <c r="A526" s="192">
        <v>526.0</v>
      </c>
      <c r="B526" s="199" t="s">
        <v>3201</v>
      </c>
      <c r="C526" s="194" t="s">
        <v>3202</v>
      </c>
      <c r="D526" s="195" t="str">
        <f>IFERROR(__xludf.DUMMYFUNCTION("ARRAYFORMULA(LET( converted, SUBSTITUTE( SUBSTITUTE( SUBSTITUTE( SUBSTITUTE( SUBSTITUTE( SUBSTITUTE( SUBSTITUTE( SUBSTITUTE( SUBSTITUTE( SUBSTITUTE( C526, ""۰"", ""0""), ""۱"", ""1""), ""۲"", ""2""), ""۳"", ""3""), ""۴"", ""4""), ""۵"", ""5""), ""۶"", ""6"&amp;"""), ""۷"", ""7""), ""۸"", ""8""), ""۹"", ""9""), IF(LEFT(converted,3)=""+98"", ""0"" &amp; RIGHT(converted, LEN(converted)-3), IF(LEFT(converted,2)=""98"", ""0"" &amp; RIGHT(converted, LEN(converted)-2), IF(LEFT(converted,1)&lt;&gt;""0"", ""0"" &amp; converted, REGEXREPLA"&amp;"CE(converted , ""\s"", """")) ) ) ) )"),"09339085993")</f>
        <v>09339085993</v>
      </c>
      <c r="E526" s="196" t="s">
        <v>17</v>
      </c>
      <c r="F526" s="197">
        <v>3.0</v>
      </c>
      <c r="G526" s="193"/>
      <c r="H526" s="193" t="s">
        <v>3203</v>
      </c>
      <c r="I526" s="194"/>
      <c r="J526" s="194" t="s">
        <v>3204</v>
      </c>
      <c r="K526" s="199" t="s">
        <v>303</v>
      </c>
      <c r="L526" s="199" t="s">
        <v>3205</v>
      </c>
      <c r="M526" s="193"/>
      <c r="N526" s="199"/>
      <c r="O526" s="199"/>
      <c r="P526" s="193"/>
      <c r="Q526" s="200"/>
      <c r="R526" s="86"/>
      <c r="S526" s="114">
        <f t="shared" ref="S526:T526" si="527">A526</f>
        <v>526</v>
      </c>
      <c r="T526" s="114" t="str">
        <f t="shared" si="527"/>
        <v>محمد مهدی زاده</v>
      </c>
      <c r="U526" s="86" t="str">
        <f t="shared" si="3"/>
        <v>09339085993</v>
      </c>
      <c r="V526" s="86" t="str">
        <f t="shared" si="4"/>
        <v>پیش‌وایی 3</v>
      </c>
      <c r="W526" s="86"/>
      <c r="X526" s="86"/>
    </row>
    <row r="527">
      <c r="A527" s="201">
        <v>527.0</v>
      </c>
      <c r="B527" s="207" t="s">
        <v>3206</v>
      </c>
      <c r="C527" s="203" t="s">
        <v>3207</v>
      </c>
      <c r="D527" s="204" t="str">
        <f>IFERROR(__xludf.DUMMYFUNCTION("ARRAYFORMULA(LET( converted, SUBSTITUTE( SUBSTITUTE( SUBSTITUTE( SUBSTITUTE( SUBSTITUTE( SUBSTITUTE( SUBSTITUTE( SUBSTITUTE( SUBSTITUTE( SUBSTITUTE( C527, ""۰"", ""0""), ""۱"", ""1""), ""۲"", ""2""), ""۳"", ""3""), ""۴"", ""4""), ""۵"", ""5""), ""۶"", ""6"&amp;"""), ""۷"", ""7""), ""۸"", ""8""), ""۹"", ""9""), IF(LEFT(converted,3)=""+98"", ""0"" &amp; RIGHT(converted, LEN(converted)-3), IF(LEFT(converted,2)=""98"", ""0"" &amp; RIGHT(converted, LEN(converted)-2), IF(LEFT(converted,1)&lt;&gt;""0"", ""0"" &amp; converted, REGEXREPLA"&amp;"CE(converted , ""\s"", """")) ) ) ) )"),"09204270081")</f>
        <v>09204270081</v>
      </c>
      <c r="E527" s="205" t="s">
        <v>17</v>
      </c>
      <c r="F527" s="206">
        <v>3.0</v>
      </c>
      <c r="G527" s="202"/>
      <c r="H527" s="202" t="s">
        <v>3203</v>
      </c>
      <c r="I527" s="203"/>
      <c r="J527" s="203" t="s">
        <v>3208</v>
      </c>
      <c r="K527" s="207" t="s">
        <v>1473</v>
      </c>
      <c r="L527" s="207" t="s">
        <v>3209</v>
      </c>
      <c r="M527" s="202"/>
      <c r="N527" s="207"/>
      <c r="O527" s="207"/>
      <c r="P527" s="202"/>
      <c r="Q527" s="208"/>
      <c r="R527" s="86"/>
      <c r="S527" s="114">
        <f t="shared" ref="S527:T527" si="528">A527</f>
        <v>527</v>
      </c>
      <c r="T527" s="114" t="str">
        <f t="shared" si="528"/>
        <v>مصطفی مونسان</v>
      </c>
      <c r="U527" s="86" t="str">
        <f t="shared" si="3"/>
        <v>09204270081</v>
      </c>
      <c r="V527" s="86" t="str">
        <f t="shared" si="4"/>
        <v>پیش‌وایی 3</v>
      </c>
      <c r="W527" s="86"/>
      <c r="X527" s="86"/>
    </row>
    <row r="528">
      <c r="A528" s="192">
        <v>528.0</v>
      </c>
      <c r="B528" s="199" t="s">
        <v>3210</v>
      </c>
      <c r="C528" s="194" t="s">
        <v>3211</v>
      </c>
      <c r="D528" s="195" t="str">
        <f>IFERROR(__xludf.DUMMYFUNCTION("ARRAYFORMULA(LET( converted, SUBSTITUTE( SUBSTITUTE( SUBSTITUTE( SUBSTITUTE( SUBSTITUTE( SUBSTITUTE( SUBSTITUTE( SUBSTITUTE( SUBSTITUTE( SUBSTITUTE( C528, ""۰"", ""0""), ""۱"", ""1""), ""۲"", ""2""), ""۳"", ""3""), ""۴"", ""4""), ""۵"", ""5""), ""۶"", ""6"&amp;"""), ""۷"", ""7""), ""۸"", ""8""), ""۹"", ""9""), IF(LEFT(converted,3)=""+98"", ""0"" &amp; RIGHT(converted, LEN(converted)-3), IF(LEFT(converted,2)=""98"", ""0"" &amp; RIGHT(converted, LEN(converted)-2), IF(LEFT(converted,1)&lt;&gt;""0"", ""0"" &amp; converted, REGEXREPLA"&amp;"CE(converted , ""\s"", """")) ) ) ) )"),"09193971104")</f>
        <v>09193971104</v>
      </c>
      <c r="E528" s="196" t="s">
        <v>17</v>
      </c>
      <c r="F528" s="197">
        <v>3.0</v>
      </c>
      <c r="G528" s="193"/>
      <c r="H528" s="193" t="s">
        <v>3212</v>
      </c>
      <c r="I528" s="194"/>
      <c r="J528" s="194" t="s">
        <v>3213</v>
      </c>
      <c r="K528" s="199" t="s">
        <v>3214</v>
      </c>
      <c r="L528" s="199" t="s">
        <v>3215</v>
      </c>
      <c r="M528" s="193"/>
      <c r="N528" s="199"/>
      <c r="O528" s="199"/>
      <c r="P528" s="193"/>
      <c r="Q528" s="200"/>
      <c r="R528" s="86"/>
      <c r="S528" s="114">
        <f t="shared" ref="S528:T528" si="529">A528</f>
        <v>528</v>
      </c>
      <c r="T528" s="114" t="str">
        <f t="shared" si="529"/>
        <v>آبتین غلامپور</v>
      </c>
      <c r="U528" s="86" t="str">
        <f t="shared" si="3"/>
        <v>09193971104</v>
      </c>
      <c r="V528" s="86" t="str">
        <f t="shared" si="4"/>
        <v>پیش‌وایی 3</v>
      </c>
      <c r="W528" s="86"/>
      <c r="X528" s="86"/>
    </row>
    <row r="529">
      <c r="A529" s="201">
        <v>529.0</v>
      </c>
      <c r="B529" s="207" t="s">
        <v>3216</v>
      </c>
      <c r="C529" s="203" t="s">
        <v>3217</v>
      </c>
      <c r="D529" s="204" t="str">
        <f>IFERROR(__xludf.DUMMYFUNCTION("ARRAYFORMULA(LET( converted, SUBSTITUTE( SUBSTITUTE( SUBSTITUTE( SUBSTITUTE( SUBSTITUTE( SUBSTITUTE( SUBSTITUTE( SUBSTITUTE( SUBSTITUTE( SUBSTITUTE( C529, ""۰"", ""0""), ""۱"", ""1""), ""۲"", ""2""), ""۳"", ""3""), ""۴"", ""4""), ""۵"", ""5""), ""۶"", ""6"&amp;"""), ""۷"", ""7""), ""۸"", ""8""), ""۹"", ""9""), IF(LEFT(converted,3)=""+98"", ""0"" &amp; RIGHT(converted, LEN(converted)-3), IF(LEFT(converted,2)=""98"", ""0"" &amp; RIGHT(converted, LEN(converted)-2), IF(LEFT(converted,1)&lt;&gt;""0"", ""0"" &amp; converted, REGEXREPLA"&amp;"CE(converted , ""\s"", """")) ) ) ) )"),"09121717762")</f>
        <v>09121717762</v>
      </c>
      <c r="E529" s="205" t="s">
        <v>17</v>
      </c>
      <c r="F529" s="206">
        <v>3.0</v>
      </c>
      <c r="G529" s="202"/>
      <c r="H529" s="202" t="s">
        <v>3218</v>
      </c>
      <c r="I529" s="203"/>
      <c r="J529" s="203" t="s">
        <v>3219</v>
      </c>
      <c r="K529" s="207" t="s">
        <v>758</v>
      </c>
      <c r="L529" s="207" t="s">
        <v>1570</v>
      </c>
      <c r="M529" s="202"/>
      <c r="N529" s="207"/>
      <c r="O529" s="207"/>
      <c r="P529" s="202"/>
      <c r="Q529" s="208"/>
      <c r="R529" s="86"/>
      <c r="S529" s="114">
        <f t="shared" ref="S529:T529" si="530">A529</f>
        <v>529</v>
      </c>
      <c r="T529" s="114" t="str">
        <f t="shared" si="530"/>
        <v>سعید روشن روان</v>
      </c>
      <c r="U529" s="86" t="str">
        <f t="shared" si="3"/>
        <v>09121717762</v>
      </c>
      <c r="V529" s="86" t="str">
        <f t="shared" si="4"/>
        <v>پیش‌وایی 3</v>
      </c>
      <c r="W529" s="86"/>
      <c r="X529" s="86"/>
    </row>
    <row r="530">
      <c r="A530" s="192">
        <v>530.0</v>
      </c>
      <c r="B530" s="199" t="s">
        <v>3220</v>
      </c>
      <c r="C530" s="194" t="s">
        <v>3221</v>
      </c>
      <c r="D530" s="195" t="str">
        <f>IFERROR(__xludf.DUMMYFUNCTION("ARRAYFORMULA(LET( converted, SUBSTITUTE( SUBSTITUTE( SUBSTITUTE( SUBSTITUTE( SUBSTITUTE( SUBSTITUTE( SUBSTITUTE( SUBSTITUTE( SUBSTITUTE( SUBSTITUTE( C530, ""۰"", ""0""), ""۱"", ""1""), ""۲"", ""2""), ""۳"", ""3""), ""۴"", ""4""), ""۵"", ""5""), ""۶"", ""6"&amp;"""), ""۷"", ""7""), ""۸"", ""8""), ""۹"", ""9""), IF(LEFT(converted,3)=""+98"", ""0"" &amp; RIGHT(converted, LEN(converted)-3), IF(LEFT(converted,2)=""98"", ""0"" &amp; RIGHT(converted, LEN(converted)-2), IF(LEFT(converted,1)&lt;&gt;""0"", ""0"" &amp; converted, REGEXREPLA"&amp;"CE(converted , ""\s"", """")) ) ) ) )"),"09361279273")</f>
        <v>09361279273</v>
      </c>
      <c r="E530" s="196" t="s">
        <v>17</v>
      </c>
      <c r="F530" s="197">
        <v>3.0</v>
      </c>
      <c r="G530" s="193"/>
      <c r="H530" s="193" t="s">
        <v>3222</v>
      </c>
      <c r="I530" s="194"/>
      <c r="J530" s="194" t="s">
        <v>3223</v>
      </c>
      <c r="K530" s="199" t="s">
        <v>2981</v>
      </c>
      <c r="L530" s="199" t="s">
        <v>2624</v>
      </c>
      <c r="M530" s="193"/>
      <c r="N530" s="199"/>
      <c r="O530" s="199"/>
      <c r="P530" s="193"/>
      <c r="Q530" s="200"/>
      <c r="R530" s="86"/>
      <c r="S530" s="114">
        <f t="shared" ref="S530:T530" si="531">A530</f>
        <v>530</v>
      </c>
      <c r="T530" s="114" t="str">
        <f t="shared" si="531"/>
        <v>علی اكبر قاسمی</v>
      </c>
      <c r="U530" s="86" t="str">
        <f t="shared" si="3"/>
        <v>09361279273</v>
      </c>
      <c r="V530" s="86" t="str">
        <f t="shared" si="4"/>
        <v>پیش‌وایی 3</v>
      </c>
      <c r="W530" s="86"/>
      <c r="X530" s="86"/>
    </row>
    <row r="531">
      <c r="A531" s="201">
        <v>531.0</v>
      </c>
      <c r="B531" s="202" t="s">
        <v>3224</v>
      </c>
      <c r="C531" s="203" t="s">
        <v>3202</v>
      </c>
      <c r="D531" s="204" t="str">
        <f>IFERROR(__xludf.DUMMYFUNCTION("ARRAYFORMULA(LET( converted, SUBSTITUTE( SUBSTITUTE( SUBSTITUTE( SUBSTITUTE( SUBSTITUTE( SUBSTITUTE( SUBSTITUTE( SUBSTITUTE( SUBSTITUTE( SUBSTITUTE( C531, ""۰"", ""0""), ""۱"", ""1""), ""۲"", ""2""), ""۳"", ""3""), ""۴"", ""4""), ""۵"", ""5""), ""۶"", ""6"&amp;"""), ""۷"", ""7""), ""۸"", ""8""), ""۹"", ""9""), IF(LEFT(converted,3)=""+98"", ""0"" &amp; RIGHT(converted, LEN(converted)-3), IF(LEFT(converted,2)=""98"", ""0"" &amp; RIGHT(converted, LEN(converted)-2), IF(LEFT(converted,1)&lt;&gt;""0"", ""0"" &amp; converted, REGEXREPLA"&amp;"CE(converted , ""\s"", """")) ) ) ) )"),"09339085993")</f>
        <v>09339085993</v>
      </c>
      <c r="E531" s="205" t="s">
        <v>17</v>
      </c>
      <c r="F531" s="206">
        <v>3.0</v>
      </c>
      <c r="G531" s="202"/>
      <c r="H531" s="202" t="s">
        <v>3203</v>
      </c>
      <c r="I531" s="203"/>
      <c r="J531" s="203" t="s">
        <v>3225</v>
      </c>
      <c r="K531" s="207" t="s">
        <v>247</v>
      </c>
      <c r="L531" s="207" t="s">
        <v>3226</v>
      </c>
      <c r="M531" s="202"/>
      <c r="N531" s="207"/>
      <c r="O531" s="207"/>
      <c r="P531" s="202"/>
      <c r="Q531" s="208"/>
      <c r="R531" s="86"/>
      <c r="S531" s="114">
        <f t="shared" ref="S531:T531" si="532">A531</f>
        <v>531</v>
      </c>
      <c r="T531" s="114" t="str">
        <f t="shared" si="532"/>
        <v>سجاد مغانلو</v>
      </c>
      <c r="U531" s="86" t="str">
        <f t="shared" si="3"/>
        <v>09339085993</v>
      </c>
      <c r="V531" s="86" t="str">
        <f t="shared" si="4"/>
        <v>پیش‌وایی 3</v>
      </c>
      <c r="W531" s="86"/>
      <c r="X531" s="86"/>
    </row>
    <row r="532">
      <c r="A532" s="192">
        <v>532.0</v>
      </c>
      <c r="B532" s="199" t="s">
        <v>3227</v>
      </c>
      <c r="C532" s="194" t="s">
        <v>3228</v>
      </c>
      <c r="D532" s="195" t="str">
        <f>IFERROR(__xludf.DUMMYFUNCTION("ARRAYFORMULA(LET( converted, SUBSTITUTE( SUBSTITUTE( SUBSTITUTE( SUBSTITUTE( SUBSTITUTE( SUBSTITUTE( SUBSTITUTE( SUBSTITUTE( SUBSTITUTE( SUBSTITUTE( C532, ""۰"", ""0""), ""۱"", ""1""), ""۲"", ""2""), ""۳"", ""3""), ""۴"", ""4""), ""۵"", ""5""), ""۶"", ""6"&amp;"""), ""۷"", ""7""), ""۸"", ""8""), ""۹"", ""9""), IF(LEFT(converted,3)=""+98"", ""0"" &amp; RIGHT(converted, LEN(converted)-3), IF(LEFT(converted,2)=""98"", ""0"" &amp; RIGHT(converted, LEN(converted)-2), IF(LEFT(converted,1)&lt;&gt;""0"", ""0"" &amp; converted, REGEXREPLA"&amp;"CE(converted , ""\s"", """")) ) ) ) )"),"09362103523")</f>
        <v>09362103523</v>
      </c>
      <c r="E532" s="196" t="s">
        <v>17</v>
      </c>
      <c r="F532" s="197">
        <v>3.0</v>
      </c>
      <c r="G532" s="193"/>
      <c r="H532" s="193" t="s">
        <v>3203</v>
      </c>
      <c r="I532" s="194"/>
      <c r="J532" s="194" t="s">
        <v>3229</v>
      </c>
      <c r="K532" s="199" t="s">
        <v>3230</v>
      </c>
      <c r="L532" s="199" t="s">
        <v>3231</v>
      </c>
      <c r="M532" s="193"/>
      <c r="N532" s="199"/>
      <c r="O532" s="199"/>
      <c r="P532" s="193"/>
      <c r="Q532" s="200"/>
      <c r="R532" s="86"/>
      <c r="S532" s="114">
        <f t="shared" ref="S532:T532" si="533">A532</f>
        <v>532</v>
      </c>
      <c r="T532" s="114" t="str">
        <f t="shared" si="533"/>
        <v>وحید كریمی</v>
      </c>
      <c r="U532" s="86" t="str">
        <f t="shared" si="3"/>
        <v>09362103523</v>
      </c>
      <c r="V532" s="86" t="str">
        <f t="shared" si="4"/>
        <v>پیش‌وایی 3</v>
      </c>
      <c r="W532" s="86"/>
      <c r="X532" s="86"/>
    </row>
    <row r="533">
      <c r="A533" s="201">
        <v>533.0</v>
      </c>
      <c r="B533" s="207" t="s">
        <v>3232</v>
      </c>
      <c r="C533" s="203" t="s">
        <v>3233</v>
      </c>
      <c r="D533" s="204" t="str">
        <f>IFERROR(__xludf.DUMMYFUNCTION("ARRAYFORMULA(LET( converted, SUBSTITUTE( SUBSTITUTE( SUBSTITUTE( SUBSTITUTE( SUBSTITUTE( SUBSTITUTE( SUBSTITUTE( SUBSTITUTE( SUBSTITUTE( SUBSTITUTE( C533, ""۰"", ""0""), ""۱"", ""1""), ""۲"", ""2""), ""۳"", ""3""), ""۴"", ""4""), ""۵"", ""5""), ""۶"", ""6"&amp;"""), ""۷"", ""7""), ""۸"", ""8""), ""۹"", ""9""), IF(LEFT(converted,3)=""+98"", ""0"" &amp; RIGHT(converted, LEN(converted)-3), IF(LEFT(converted,2)=""98"", ""0"" &amp; RIGHT(converted, LEN(converted)-2), IF(LEFT(converted,1)&lt;&gt;""0"", ""0"" &amp; converted, REGEXREPLA"&amp;"CE(converted , ""\s"", """")) ) ) ) )"),"09308023759")</f>
        <v>09308023759</v>
      </c>
      <c r="E533" s="205" t="s">
        <v>17</v>
      </c>
      <c r="F533" s="206">
        <v>3.0</v>
      </c>
      <c r="G533" s="202"/>
      <c r="H533" s="202" t="s">
        <v>3203</v>
      </c>
      <c r="I533" s="203"/>
      <c r="J533" s="203" t="s">
        <v>3229</v>
      </c>
      <c r="K533" s="207" t="s">
        <v>303</v>
      </c>
      <c r="L533" s="207" t="s">
        <v>3234</v>
      </c>
      <c r="M533" s="202"/>
      <c r="N533" s="207"/>
      <c r="O533" s="207"/>
      <c r="P533" s="202"/>
      <c r="Q533" s="208"/>
      <c r="R533" s="86"/>
      <c r="S533" s="114">
        <f t="shared" ref="S533:T533" si="534">A533</f>
        <v>533</v>
      </c>
      <c r="T533" s="114" t="str">
        <f t="shared" si="534"/>
        <v>محمد داودوندی</v>
      </c>
      <c r="U533" s="86" t="str">
        <f t="shared" si="3"/>
        <v>09308023759</v>
      </c>
      <c r="V533" s="86" t="str">
        <f t="shared" si="4"/>
        <v>پیش‌وایی 3</v>
      </c>
      <c r="W533" s="86"/>
      <c r="X533" s="86"/>
    </row>
    <row r="534">
      <c r="A534" s="192">
        <v>534.0</v>
      </c>
      <c r="B534" s="199" t="s">
        <v>3235</v>
      </c>
      <c r="C534" s="194" t="s">
        <v>3236</v>
      </c>
      <c r="D534" s="195" t="str">
        <f>IFERROR(__xludf.DUMMYFUNCTION("ARRAYFORMULA(LET( converted, SUBSTITUTE( SUBSTITUTE( SUBSTITUTE( SUBSTITUTE( SUBSTITUTE( SUBSTITUTE( SUBSTITUTE( SUBSTITUTE( SUBSTITUTE( SUBSTITUTE( C534, ""۰"", ""0""), ""۱"", ""1""), ""۲"", ""2""), ""۳"", ""3""), ""۴"", ""4""), ""۵"", ""5""), ""۶"", ""6"&amp;"""), ""۷"", ""7""), ""۸"", ""8""), ""۹"", ""9""), IF(LEFT(converted,3)=""+98"", ""0"" &amp; RIGHT(converted, LEN(converted)-3), IF(LEFT(converted,2)=""98"", ""0"" &amp; RIGHT(converted, LEN(converted)-2), IF(LEFT(converted,1)&lt;&gt;""0"", ""0"" &amp; converted, REGEXREPLA"&amp;"CE(converted , ""\s"", """")) ) ) ) )"),"09127367411")</f>
        <v>09127367411</v>
      </c>
      <c r="E534" s="196" t="s">
        <v>17</v>
      </c>
      <c r="F534" s="197">
        <v>3.0</v>
      </c>
      <c r="G534" s="193"/>
      <c r="H534" s="193" t="s">
        <v>3203</v>
      </c>
      <c r="I534" s="194"/>
      <c r="J534" s="194" t="s">
        <v>3237</v>
      </c>
      <c r="K534" s="199" t="s">
        <v>911</v>
      </c>
      <c r="L534" s="199" t="s">
        <v>954</v>
      </c>
      <c r="M534" s="193"/>
      <c r="N534" s="199"/>
      <c r="O534" s="199"/>
      <c r="P534" s="193"/>
      <c r="Q534" s="200"/>
      <c r="R534" s="86"/>
      <c r="S534" s="114">
        <f t="shared" ref="S534:T534" si="535">A534</f>
        <v>534</v>
      </c>
      <c r="T534" s="114" t="str">
        <f t="shared" si="535"/>
        <v>سپیده بختیاری</v>
      </c>
      <c r="U534" s="86" t="str">
        <f t="shared" si="3"/>
        <v>09127367411</v>
      </c>
      <c r="V534" s="86" t="str">
        <f t="shared" si="4"/>
        <v>پیش‌وایی 3</v>
      </c>
      <c r="W534" s="86"/>
      <c r="X534" s="86"/>
    </row>
    <row r="535">
      <c r="A535" s="201">
        <v>535.0</v>
      </c>
      <c r="B535" s="207" t="s">
        <v>3238</v>
      </c>
      <c r="C535" s="203" t="s">
        <v>3239</v>
      </c>
      <c r="D535" s="204" t="str">
        <f>IFERROR(__xludf.DUMMYFUNCTION("ARRAYFORMULA(LET( converted, SUBSTITUTE( SUBSTITUTE( SUBSTITUTE( SUBSTITUTE( SUBSTITUTE( SUBSTITUTE( SUBSTITUTE( SUBSTITUTE( SUBSTITUTE( SUBSTITUTE( C535, ""۰"", ""0""), ""۱"", ""1""), ""۲"", ""2""), ""۳"", ""3""), ""۴"", ""4""), ""۵"", ""5""), ""۶"", ""6"&amp;"""), ""۷"", ""7""), ""۸"", ""8""), ""۹"", ""9""), IF(LEFT(converted,3)=""+98"", ""0"" &amp; RIGHT(converted, LEN(converted)-3), IF(LEFT(converted,2)=""98"", ""0"" &amp; RIGHT(converted, LEN(converted)-2), IF(LEFT(converted,1)&lt;&gt;""0"", ""0"" &amp; converted, REGEXREPLA"&amp;"CE(converted , ""\s"", """")) ) ) ) )"),"09195099207")</f>
        <v>09195099207</v>
      </c>
      <c r="E535" s="205" t="s">
        <v>17</v>
      </c>
      <c r="F535" s="206">
        <v>3.0</v>
      </c>
      <c r="G535" s="202"/>
      <c r="H535" s="202" t="s">
        <v>3203</v>
      </c>
      <c r="I535" s="203"/>
      <c r="J535" s="203" t="s">
        <v>3240</v>
      </c>
      <c r="K535" s="207" t="s">
        <v>796</v>
      </c>
      <c r="L535" s="207" t="s">
        <v>1913</v>
      </c>
      <c r="M535" s="202"/>
      <c r="N535" s="207"/>
      <c r="O535" s="207"/>
      <c r="P535" s="202"/>
      <c r="Q535" s="208"/>
      <c r="R535" s="86"/>
      <c r="S535" s="114">
        <f t="shared" ref="S535:T535" si="536">A535</f>
        <v>535</v>
      </c>
      <c r="T535" s="114" t="str">
        <f t="shared" si="536"/>
        <v>پریسا مرادی</v>
      </c>
      <c r="U535" s="86" t="str">
        <f t="shared" si="3"/>
        <v>09195099207</v>
      </c>
      <c r="V535" s="86" t="str">
        <f t="shared" si="4"/>
        <v>پیش‌وایی 3</v>
      </c>
      <c r="W535" s="86"/>
      <c r="X535" s="86"/>
    </row>
    <row r="536">
      <c r="A536" s="192">
        <v>536.0</v>
      </c>
      <c r="B536" s="199" t="s">
        <v>3241</v>
      </c>
      <c r="C536" s="194" t="s">
        <v>3242</v>
      </c>
      <c r="D536" s="195" t="str">
        <f>IFERROR(__xludf.DUMMYFUNCTION("ARRAYFORMULA(LET( converted, SUBSTITUTE( SUBSTITUTE( SUBSTITUTE( SUBSTITUTE( SUBSTITUTE( SUBSTITUTE( SUBSTITUTE( SUBSTITUTE( SUBSTITUTE( SUBSTITUTE( C536, ""۰"", ""0""), ""۱"", ""1""), ""۲"", ""2""), ""۳"", ""3""), ""۴"", ""4""), ""۵"", ""5""), ""۶"", ""6"&amp;"""), ""۷"", ""7""), ""۸"", ""8""), ""۹"", ""9""), IF(LEFT(converted,3)=""+98"", ""0"" &amp; RIGHT(converted, LEN(converted)-3), IF(LEFT(converted,2)=""98"", ""0"" &amp; RIGHT(converted, LEN(converted)-2), IF(LEFT(converted,1)&lt;&gt;""0"", ""0"" &amp; converted, REGEXREPLA"&amp;"CE(converted , ""\s"", """")) ) ) ) )"),"09217382757")</f>
        <v>09217382757</v>
      </c>
      <c r="E536" s="196" t="s">
        <v>17</v>
      </c>
      <c r="F536" s="197">
        <v>3.0</v>
      </c>
      <c r="G536" s="193"/>
      <c r="H536" s="193" t="s">
        <v>3203</v>
      </c>
      <c r="I536" s="194"/>
      <c r="J536" s="194" t="s">
        <v>3243</v>
      </c>
      <c r="K536" s="199" t="s">
        <v>3244</v>
      </c>
      <c r="L536" s="199" t="s">
        <v>3245</v>
      </c>
      <c r="M536" s="193"/>
      <c r="N536" s="199"/>
      <c r="O536" s="199"/>
      <c r="P536" s="193"/>
      <c r="Q536" s="200"/>
      <c r="R536" s="86"/>
      <c r="S536" s="114">
        <f t="shared" ref="S536:T536" si="537">A536</f>
        <v>536</v>
      </c>
      <c r="T536" s="114" t="str">
        <f t="shared" si="537"/>
        <v>مهین سلیمی</v>
      </c>
      <c r="U536" s="86" t="str">
        <f t="shared" si="3"/>
        <v>09217382757</v>
      </c>
      <c r="V536" s="86" t="str">
        <f t="shared" si="4"/>
        <v>پیش‌وایی 3</v>
      </c>
      <c r="W536" s="86"/>
      <c r="X536" s="86"/>
    </row>
    <row r="537">
      <c r="A537" s="201">
        <v>537.0</v>
      </c>
      <c r="B537" s="207" t="s">
        <v>3246</v>
      </c>
      <c r="C537" s="203" t="s">
        <v>3247</v>
      </c>
      <c r="D537" s="204" t="str">
        <f>IFERROR(__xludf.DUMMYFUNCTION("ARRAYFORMULA(LET( converted, SUBSTITUTE( SUBSTITUTE( SUBSTITUTE( SUBSTITUTE( SUBSTITUTE( SUBSTITUTE( SUBSTITUTE( SUBSTITUTE( SUBSTITUTE( SUBSTITUTE( C537, ""۰"", ""0""), ""۱"", ""1""), ""۲"", ""2""), ""۳"", ""3""), ""۴"", ""4""), ""۵"", ""5""), ""۶"", ""6"&amp;"""), ""۷"", ""7""), ""۸"", ""8""), ""۹"", ""9""), IF(LEFT(converted,3)=""+98"", ""0"" &amp; RIGHT(converted, LEN(converted)-3), IF(LEFT(converted,2)=""98"", ""0"" &amp; RIGHT(converted, LEN(converted)-2), IF(LEFT(converted,1)&lt;&gt;""0"", ""0"" &amp; converted, REGEXREPLA"&amp;"CE(converted , ""\s"", """")) ) ) ) )"),"09124231570")</f>
        <v>09124231570</v>
      </c>
      <c r="E537" s="205" t="s">
        <v>17</v>
      </c>
      <c r="F537" s="206">
        <v>3.0</v>
      </c>
      <c r="G537" s="202"/>
      <c r="H537" s="202" t="s">
        <v>3248</v>
      </c>
      <c r="I537" s="203"/>
      <c r="J537" s="203" t="s">
        <v>3249</v>
      </c>
      <c r="K537" s="207" t="s">
        <v>3250</v>
      </c>
      <c r="L537" s="207" t="s">
        <v>1570</v>
      </c>
      <c r="M537" s="202"/>
      <c r="N537" s="207"/>
      <c r="O537" s="207"/>
      <c r="P537" s="202"/>
      <c r="Q537" s="208"/>
      <c r="R537" s="86"/>
      <c r="S537" s="114">
        <f t="shared" ref="S537:T537" si="538">A537</f>
        <v>537</v>
      </c>
      <c r="T537" s="114" t="str">
        <f t="shared" si="538"/>
        <v>موسی روشن روان</v>
      </c>
      <c r="U537" s="86" t="str">
        <f t="shared" si="3"/>
        <v>09124231570</v>
      </c>
      <c r="V537" s="86" t="str">
        <f t="shared" si="4"/>
        <v>پیش‌وایی 3</v>
      </c>
      <c r="W537" s="86"/>
      <c r="X537" s="86"/>
    </row>
    <row r="538">
      <c r="A538" s="192">
        <v>538.0</v>
      </c>
      <c r="B538" s="199" t="s">
        <v>3251</v>
      </c>
      <c r="C538" s="194" t="s">
        <v>3252</v>
      </c>
      <c r="D538" s="195" t="str">
        <f>IFERROR(__xludf.DUMMYFUNCTION("ARRAYFORMULA(LET( converted, SUBSTITUTE( SUBSTITUTE( SUBSTITUTE( SUBSTITUTE( SUBSTITUTE( SUBSTITUTE( SUBSTITUTE( SUBSTITUTE( SUBSTITUTE( SUBSTITUTE( C538, ""۰"", ""0""), ""۱"", ""1""), ""۲"", ""2""), ""۳"", ""3""), ""۴"", ""4""), ""۵"", ""5""), ""۶"", ""6"&amp;"""), ""۷"", ""7""), ""۸"", ""8""), ""۹"", ""9""), IF(LEFT(converted,3)=""+98"", ""0"" &amp; RIGHT(converted, LEN(converted)-3), IF(LEFT(converted,2)=""98"", ""0"" &amp; RIGHT(converted, LEN(converted)-2), IF(LEFT(converted,1)&lt;&gt;""0"", ""0"" &amp; converted, REGEXREPLA"&amp;"CE(converted , ""\s"", """")) ) ) ) )"),"09122148857")</f>
        <v>09122148857</v>
      </c>
      <c r="E538" s="196" t="s">
        <v>17</v>
      </c>
      <c r="F538" s="197">
        <v>3.0</v>
      </c>
      <c r="G538" s="193"/>
      <c r="H538" s="193" t="s">
        <v>3253</v>
      </c>
      <c r="I538" s="194"/>
      <c r="J538" s="194" t="s">
        <v>3254</v>
      </c>
      <c r="K538" s="199" t="s">
        <v>3255</v>
      </c>
      <c r="L538" s="199" t="s">
        <v>3256</v>
      </c>
      <c r="M538" s="193"/>
      <c r="N538" s="199"/>
      <c r="O538" s="199"/>
      <c r="P538" s="193"/>
      <c r="Q538" s="200"/>
      <c r="R538" s="86"/>
      <c r="S538" s="114">
        <f t="shared" ref="S538:T538" si="539">A538</f>
        <v>538</v>
      </c>
      <c r="T538" s="114" t="str">
        <f t="shared" si="539"/>
        <v>كبری ارس‌خانی</v>
      </c>
      <c r="U538" s="86" t="str">
        <f t="shared" si="3"/>
        <v>09122148857</v>
      </c>
      <c r="V538" s="86" t="str">
        <f t="shared" si="4"/>
        <v>پیش‌وایی 3</v>
      </c>
      <c r="W538" s="86"/>
      <c r="X538" s="86"/>
    </row>
    <row r="539">
      <c r="A539" s="201">
        <v>539.0</v>
      </c>
      <c r="B539" s="207" t="s">
        <v>3257</v>
      </c>
      <c r="C539" s="203" t="s">
        <v>3258</v>
      </c>
      <c r="D539" s="204" t="str">
        <f>IFERROR(__xludf.DUMMYFUNCTION("ARRAYFORMULA(LET( converted, SUBSTITUTE( SUBSTITUTE( SUBSTITUTE( SUBSTITUTE( SUBSTITUTE( SUBSTITUTE( SUBSTITUTE( SUBSTITUTE( SUBSTITUTE( SUBSTITUTE( C539, ""۰"", ""0""), ""۱"", ""1""), ""۲"", ""2""), ""۳"", ""3""), ""۴"", ""4""), ""۵"", ""5""), ""۶"", ""6"&amp;"""), ""۷"", ""7""), ""۸"", ""8""), ""۹"", ""9""), IF(LEFT(converted,3)=""+98"", ""0"" &amp; RIGHT(converted, LEN(converted)-3), IF(LEFT(converted,2)=""98"", ""0"" &amp; RIGHT(converted, LEN(converted)-2), IF(LEFT(converted,1)&lt;&gt;""0"", ""0"" &amp; converted, REGEXREPLA"&amp;"CE(converted , ""\s"", """")) ) ) ) )"),"09206856323")</f>
        <v>09206856323</v>
      </c>
      <c r="E539" s="205" t="s">
        <v>17</v>
      </c>
      <c r="F539" s="206">
        <v>3.0</v>
      </c>
      <c r="G539" s="202"/>
      <c r="H539" s="202" t="s">
        <v>3259</v>
      </c>
      <c r="I539" s="203"/>
      <c r="J539" s="203" t="s">
        <v>3260</v>
      </c>
      <c r="K539" s="207" t="s">
        <v>1085</v>
      </c>
      <c r="L539" s="207" t="s">
        <v>3261</v>
      </c>
      <c r="M539" s="202"/>
      <c r="N539" s="207"/>
      <c r="O539" s="207"/>
      <c r="P539" s="202"/>
      <c r="Q539" s="208"/>
      <c r="R539" s="86"/>
      <c r="S539" s="114">
        <f t="shared" ref="S539:T539" si="540">A539</f>
        <v>539</v>
      </c>
      <c r="T539" s="114" t="str">
        <f t="shared" si="540"/>
        <v>امیررضا صافحیان</v>
      </c>
      <c r="U539" s="86" t="str">
        <f t="shared" si="3"/>
        <v>09206856323</v>
      </c>
      <c r="V539" s="86" t="str">
        <f t="shared" si="4"/>
        <v>پیش‌وایی 3</v>
      </c>
      <c r="W539" s="86"/>
      <c r="X539" s="86"/>
    </row>
    <row r="540">
      <c r="A540" s="192">
        <v>540.0</v>
      </c>
      <c r="B540" s="199" t="s">
        <v>3262</v>
      </c>
      <c r="C540" s="194" t="s">
        <v>3263</v>
      </c>
      <c r="D540" s="195" t="str">
        <f>IFERROR(__xludf.DUMMYFUNCTION("ARRAYFORMULA(LET( converted, SUBSTITUTE( SUBSTITUTE( SUBSTITUTE( SUBSTITUTE( SUBSTITUTE( SUBSTITUTE( SUBSTITUTE( SUBSTITUTE( SUBSTITUTE( SUBSTITUTE( C540, ""۰"", ""0""), ""۱"", ""1""), ""۲"", ""2""), ""۳"", ""3""), ""۴"", ""4""), ""۵"", ""5""), ""۶"", ""6"&amp;"""), ""۷"", ""7""), ""۸"", ""8""), ""۹"", ""9""), IF(LEFT(converted,3)=""+98"", ""0"" &amp; RIGHT(converted, LEN(converted)-3), IF(LEFT(converted,2)=""98"", ""0"" &amp; RIGHT(converted, LEN(converted)-2), IF(LEFT(converted,1)&lt;&gt;""0"", ""0"" &amp; converted, REGEXREPLA"&amp;"CE(converted , ""\s"", """")) ) ) ) )"),"09122347590")</f>
        <v>09122347590</v>
      </c>
      <c r="E540" s="196" t="s">
        <v>17</v>
      </c>
      <c r="F540" s="197">
        <v>3.0</v>
      </c>
      <c r="G540" s="193"/>
      <c r="H540" s="193" t="s">
        <v>3264</v>
      </c>
      <c r="I540" s="194"/>
      <c r="J540" s="194" t="s">
        <v>3265</v>
      </c>
      <c r="K540" s="199" t="s">
        <v>3266</v>
      </c>
      <c r="L540" s="199" t="s">
        <v>3267</v>
      </c>
      <c r="M540" s="193"/>
      <c r="N540" s="199"/>
      <c r="O540" s="199"/>
      <c r="P540" s="193"/>
      <c r="Q540" s="200"/>
      <c r="R540" s="86"/>
      <c r="S540" s="114">
        <f t="shared" ref="S540:T540" si="541">A540</f>
        <v>540</v>
      </c>
      <c r="T540" s="114" t="str">
        <f t="shared" si="541"/>
        <v>غزل صالحی</v>
      </c>
      <c r="U540" s="86" t="str">
        <f t="shared" si="3"/>
        <v>09122347590</v>
      </c>
      <c r="V540" s="86" t="str">
        <f t="shared" si="4"/>
        <v>پیش‌وایی 3</v>
      </c>
      <c r="W540" s="86"/>
      <c r="X540" s="86"/>
    </row>
    <row r="541">
      <c r="A541" s="201">
        <v>541.0</v>
      </c>
      <c r="B541" s="207" t="s">
        <v>3268</v>
      </c>
      <c r="C541" s="203" t="s">
        <v>3269</v>
      </c>
      <c r="D541" s="204" t="str">
        <f>IFERROR(__xludf.DUMMYFUNCTION("ARRAYFORMULA(LET( converted, SUBSTITUTE( SUBSTITUTE( SUBSTITUTE( SUBSTITUTE( SUBSTITUTE( SUBSTITUTE( SUBSTITUTE( SUBSTITUTE( SUBSTITUTE( SUBSTITUTE( C541, ""۰"", ""0""), ""۱"", ""1""), ""۲"", ""2""), ""۳"", ""3""), ""۴"", ""4""), ""۵"", ""5""), ""۶"", ""6"&amp;"""), ""۷"", ""7""), ""۸"", ""8""), ""۹"", ""9""), IF(LEFT(converted,3)=""+98"", ""0"" &amp; RIGHT(converted, LEN(converted)-3), IF(LEFT(converted,2)=""98"", ""0"" &amp; RIGHT(converted, LEN(converted)-2), IF(LEFT(converted,1)&lt;&gt;""0"", ""0"" &amp; converted, REGEXREPLA"&amp;"CE(converted , ""\s"", """")) ) ) ) )"),"09210803122")</f>
        <v>09210803122</v>
      </c>
      <c r="E541" s="205" t="s">
        <v>17</v>
      </c>
      <c r="F541" s="206">
        <v>3.0</v>
      </c>
      <c r="G541" s="202"/>
      <c r="H541" s="202" t="s">
        <v>3270</v>
      </c>
      <c r="I541" s="203"/>
      <c r="J541" s="203" t="s">
        <v>3271</v>
      </c>
      <c r="K541" s="207" t="s">
        <v>3272</v>
      </c>
      <c r="L541" s="207" t="s">
        <v>3273</v>
      </c>
      <c r="M541" s="202"/>
      <c r="N541" s="207"/>
      <c r="O541" s="207"/>
      <c r="P541" s="202"/>
      <c r="Q541" s="208"/>
      <c r="R541" s="86"/>
      <c r="S541" s="114">
        <f t="shared" ref="S541:T541" si="542">A541</f>
        <v>541</v>
      </c>
      <c r="T541" s="114" t="str">
        <f t="shared" si="542"/>
        <v>محمدجواد طبی كبیر</v>
      </c>
      <c r="U541" s="86" t="str">
        <f t="shared" si="3"/>
        <v>09210803122</v>
      </c>
      <c r="V541" s="86" t="str">
        <f t="shared" si="4"/>
        <v>پیش‌وایی 3</v>
      </c>
      <c r="W541" s="86"/>
      <c r="X541" s="86"/>
    </row>
    <row r="542">
      <c r="A542" s="192">
        <v>542.0</v>
      </c>
      <c r="B542" s="199" t="s">
        <v>3274</v>
      </c>
      <c r="C542" s="194" t="s">
        <v>3275</v>
      </c>
      <c r="D542" s="195" t="str">
        <f>IFERROR(__xludf.DUMMYFUNCTION("ARRAYFORMULA(LET( converted, SUBSTITUTE( SUBSTITUTE( SUBSTITUTE( SUBSTITUTE( SUBSTITUTE( SUBSTITUTE( SUBSTITUTE( SUBSTITUTE( SUBSTITUTE( SUBSTITUTE( C542, ""۰"", ""0""), ""۱"", ""1""), ""۲"", ""2""), ""۳"", ""3""), ""۴"", ""4""), ""۵"", ""5""), ""۶"", ""6"&amp;"""), ""۷"", ""7""), ""۸"", ""8""), ""۹"", ""9""), IF(LEFT(converted,3)=""+98"", ""0"" &amp; RIGHT(converted, LEN(converted)-3), IF(LEFT(converted,2)=""98"", ""0"" &amp; RIGHT(converted, LEN(converted)-2), IF(LEFT(converted,1)&lt;&gt;""0"", ""0"" &amp; converted, REGEXREPLA"&amp;"CE(converted , ""\s"", """")) ) ) ) )"),"09121945921")</f>
        <v>09121945921</v>
      </c>
      <c r="E542" s="196" t="s">
        <v>17</v>
      </c>
      <c r="F542" s="197">
        <v>3.0</v>
      </c>
      <c r="G542" s="193"/>
      <c r="H542" s="193" t="s">
        <v>3276</v>
      </c>
      <c r="I542" s="194"/>
      <c r="J542" s="194" t="s">
        <v>3277</v>
      </c>
      <c r="K542" s="199" t="s">
        <v>206</v>
      </c>
      <c r="L542" s="199" t="s">
        <v>3278</v>
      </c>
      <c r="M542" s="193"/>
      <c r="N542" s="199"/>
      <c r="O542" s="199"/>
      <c r="P542" s="193"/>
      <c r="Q542" s="200"/>
      <c r="R542" s="86"/>
      <c r="S542" s="114">
        <f t="shared" ref="S542:T542" si="543">A542</f>
        <v>542</v>
      </c>
      <c r="T542" s="114" t="str">
        <f t="shared" si="543"/>
        <v>افسانه احسانی</v>
      </c>
      <c r="U542" s="86" t="str">
        <f t="shared" si="3"/>
        <v>09121945921</v>
      </c>
      <c r="V542" s="86" t="str">
        <f t="shared" si="4"/>
        <v>پیش‌وایی 3</v>
      </c>
      <c r="W542" s="86"/>
      <c r="X542" s="86"/>
    </row>
    <row r="543">
      <c r="A543" s="201">
        <v>543.0</v>
      </c>
      <c r="B543" s="207" t="s">
        <v>3279</v>
      </c>
      <c r="C543" s="203" t="s">
        <v>3280</v>
      </c>
      <c r="D543" s="204" t="str">
        <f>IFERROR(__xludf.DUMMYFUNCTION("ARRAYFORMULA(LET( converted, SUBSTITUTE( SUBSTITUTE( SUBSTITUTE( SUBSTITUTE( SUBSTITUTE( SUBSTITUTE( SUBSTITUTE( SUBSTITUTE( SUBSTITUTE( SUBSTITUTE( C543, ""۰"", ""0""), ""۱"", ""1""), ""۲"", ""2""), ""۳"", ""3""), ""۴"", ""4""), ""۵"", ""5""), ""۶"", ""6"&amp;"""), ""۷"", ""7""), ""۸"", ""8""), ""۹"", ""9""), IF(LEFT(converted,3)=""+98"", ""0"" &amp; RIGHT(converted, LEN(converted)-3), IF(LEFT(converted,2)=""98"", ""0"" &amp; RIGHT(converted, LEN(converted)-2), IF(LEFT(converted,1)&lt;&gt;""0"", ""0"" &amp; converted, REGEXREPLA"&amp;"CE(converted , ""\s"", """")) ) ) ) )"),"09126878330")</f>
        <v>09126878330</v>
      </c>
      <c r="E543" s="205" t="s">
        <v>17</v>
      </c>
      <c r="F543" s="206">
        <v>3.0</v>
      </c>
      <c r="G543" s="202"/>
      <c r="H543" s="202" t="s">
        <v>3281</v>
      </c>
      <c r="I543" s="203"/>
      <c r="J543" s="203" t="s">
        <v>3282</v>
      </c>
      <c r="K543" s="207" t="s">
        <v>102</v>
      </c>
      <c r="L543" s="207" t="s">
        <v>3283</v>
      </c>
      <c r="M543" s="202"/>
      <c r="N543" s="207"/>
      <c r="O543" s="207"/>
      <c r="P543" s="202"/>
      <c r="Q543" s="208"/>
      <c r="R543" s="86"/>
      <c r="S543" s="114">
        <f t="shared" ref="S543:T543" si="544">A543</f>
        <v>543</v>
      </c>
      <c r="T543" s="114" t="str">
        <f t="shared" si="544"/>
        <v>نیما آذری</v>
      </c>
      <c r="U543" s="86" t="str">
        <f t="shared" si="3"/>
        <v>09126878330</v>
      </c>
      <c r="V543" s="86" t="str">
        <f t="shared" si="4"/>
        <v>پیش‌وایی 3</v>
      </c>
      <c r="W543" s="86"/>
      <c r="X543" s="86"/>
    </row>
    <row r="544">
      <c r="A544" s="192">
        <v>544.0</v>
      </c>
      <c r="B544" s="193" t="s">
        <v>3284</v>
      </c>
      <c r="C544" s="194" t="s">
        <v>3285</v>
      </c>
      <c r="D544" s="195" t="str">
        <f>IFERROR(__xludf.DUMMYFUNCTION("ARRAYFORMULA(LET( converted, SUBSTITUTE( SUBSTITUTE( SUBSTITUTE( SUBSTITUTE( SUBSTITUTE( SUBSTITUTE( SUBSTITUTE( SUBSTITUTE( SUBSTITUTE( SUBSTITUTE( C544, ""۰"", ""0""), ""۱"", ""1""), ""۲"", ""2""), ""۳"", ""3""), ""۴"", ""4""), ""۵"", ""5""), ""۶"", ""6"&amp;"""), ""۷"", ""7""), ""۸"", ""8""), ""۹"", ""9""), IF(LEFT(converted,3)=""+98"", ""0"" &amp; RIGHT(converted, LEN(converted)-3), IF(LEFT(converted,2)=""98"", ""0"" &amp; RIGHT(converted, LEN(converted)-2), IF(LEFT(converted,1)&lt;&gt;""0"", ""0"" &amp; converted, REGEXREPLA"&amp;"CE(converted , ""\s"", """")) ) ) ) )"),"09124763609")</f>
        <v>09124763609</v>
      </c>
      <c r="E544" s="196" t="s">
        <v>17</v>
      </c>
      <c r="F544" s="197">
        <v>3.0</v>
      </c>
      <c r="G544" s="193"/>
      <c r="H544" s="193" t="s">
        <v>3286</v>
      </c>
      <c r="I544" s="194"/>
      <c r="J544" s="194" t="s">
        <v>3287</v>
      </c>
      <c r="K544" s="199" t="s">
        <v>303</v>
      </c>
      <c r="L544" s="199" t="s">
        <v>3288</v>
      </c>
      <c r="M544" s="193"/>
      <c r="N544" s="199"/>
      <c r="O544" s="199"/>
      <c r="P544" s="193"/>
      <c r="Q544" s="200"/>
      <c r="R544" s="86"/>
      <c r="S544" s="114">
        <f t="shared" ref="S544:T544" si="545">A544</f>
        <v>544</v>
      </c>
      <c r="T544" s="114" t="str">
        <f t="shared" si="545"/>
        <v>محمد جعفرزاده</v>
      </c>
      <c r="U544" s="86" t="str">
        <f t="shared" si="3"/>
        <v>09124763609</v>
      </c>
      <c r="V544" s="86" t="str">
        <f t="shared" si="4"/>
        <v>پیش‌وایی 3</v>
      </c>
      <c r="W544" s="86"/>
      <c r="X544" s="86"/>
    </row>
    <row r="545">
      <c r="A545" s="201">
        <v>545.0</v>
      </c>
      <c r="B545" s="207" t="s">
        <v>3289</v>
      </c>
      <c r="C545" s="203" t="s">
        <v>3290</v>
      </c>
      <c r="D545" s="204" t="str">
        <f>IFERROR(__xludf.DUMMYFUNCTION("ARRAYFORMULA(LET( converted, SUBSTITUTE( SUBSTITUTE( SUBSTITUTE( SUBSTITUTE( SUBSTITUTE( SUBSTITUTE( SUBSTITUTE( SUBSTITUTE( SUBSTITUTE( SUBSTITUTE( C545, ""۰"", ""0""), ""۱"", ""1""), ""۲"", ""2""), ""۳"", ""3""), ""۴"", ""4""), ""۵"", ""5""), ""۶"", ""6"&amp;"""), ""۷"", ""7""), ""۸"", ""8""), ""۹"", ""9""), IF(LEFT(converted,3)=""+98"", ""0"" &amp; RIGHT(converted, LEN(converted)-3), IF(LEFT(converted,2)=""98"", ""0"" &amp; RIGHT(converted, LEN(converted)-2), IF(LEFT(converted,1)&lt;&gt;""0"", ""0"" &amp; converted, REGEXREPLA"&amp;"CE(converted , ""\s"", """")) ) ) ) )"),"09122051783")</f>
        <v>09122051783</v>
      </c>
      <c r="E545" s="205" t="s">
        <v>17</v>
      </c>
      <c r="F545" s="206">
        <v>3.0</v>
      </c>
      <c r="G545" s="202"/>
      <c r="H545" s="202" t="s">
        <v>3291</v>
      </c>
      <c r="I545" s="203"/>
      <c r="J545" s="203" t="s">
        <v>3292</v>
      </c>
      <c r="K545" s="207" t="s">
        <v>1167</v>
      </c>
      <c r="L545" s="207" t="s">
        <v>1826</v>
      </c>
      <c r="M545" s="202"/>
      <c r="N545" s="207"/>
      <c r="O545" s="207"/>
      <c r="P545" s="202"/>
      <c r="Q545" s="208"/>
      <c r="R545" s="86"/>
      <c r="S545" s="114">
        <f t="shared" ref="S545:T545" si="546">A545</f>
        <v>545</v>
      </c>
      <c r="T545" s="114" t="str">
        <f t="shared" si="546"/>
        <v>میثم حاجی محمدی</v>
      </c>
      <c r="U545" s="86" t="str">
        <f t="shared" si="3"/>
        <v>09122051783</v>
      </c>
      <c r="V545" s="86" t="str">
        <f t="shared" si="4"/>
        <v>پیش‌وایی 3</v>
      </c>
      <c r="W545" s="86"/>
      <c r="X545" s="86"/>
    </row>
    <row r="546">
      <c r="A546" s="192">
        <v>546.0</v>
      </c>
      <c r="B546" s="199" t="s">
        <v>3293</v>
      </c>
      <c r="C546" s="194" t="s">
        <v>3294</v>
      </c>
      <c r="D546" s="195" t="str">
        <f>IFERROR(__xludf.DUMMYFUNCTION("ARRAYFORMULA(LET( converted, SUBSTITUTE( SUBSTITUTE( SUBSTITUTE( SUBSTITUTE( SUBSTITUTE( SUBSTITUTE( SUBSTITUTE( SUBSTITUTE( SUBSTITUTE( SUBSTITUTE( C546, ""۰"", ""0""), ""۱"", ""1""), ""۲"", ""2""), ""۳"", ""3""), ""۴"", ""4""), ""۵"", ""5""), ""۶"", ""6"&amp;"""), ""۷"", ""7""), ""۸"", ""8""), ""۹"", ""9""), IF(LEFT(converted,3)=""+98"", ""0"" &amp; RIGHT(converted, LEN(converted)-3), IF(LEFT(converted,2)=""98"", ""0"" &amp; RIGHT(converted, LEN(converted)-2), IF(LEFT(converted,1)&lt;&gt;""0"", ""0"" &amp; converted, REGEXREPLA"&amp;"CE(converted , ""\s"", """")) ) ) ) )"),"09124376757")</f>
        <v>09124376757</v>
      </c>
      <c r="E546" s="196" t="s">
        <v>17</v>
      </c>
      <c r="F546" s="197">
        <v>3.0</v>
      </c>
      <c r="G546" s="193"/>
      <c r="H546" s="193" t="s">
        <v>3295</v>
      </c>
      <c r="I546" s="194"/>
      <c r="J546" s="194" t="s">
        <v>3296</v>
      </c>
      <c r="K546" s="199" t="s">
        <v>307</v>
      </c>
      <c r="L546" s="199" t="s">
        <v>3297</v>
      </c>
      <c r="M546" s="193"/>
      <c r="N546" s="199"/>
      <c r="O546" s="199"/>
      <c r="P546" s="193"/>
      <c r="Q546" s="200"/>
      <c r="R546" s="86"/>
      <c r="S546" s="114">
        <f t="shared" ref="S546:T546" si="547">A546</f>
        <v>546</v>
      </c>
      <c r="T546" s="114" t="str">
        <f t="shared" si="547"/>
        <v>محمدرضا اعتمادیان</v>
      </c>
      <c r="U546" s="86" t="str">
        <f t="shared" si="3"/>
        <v>09124376757</v>
      </c>
      <c r="V546" s="86" t="str">
        <f t="shared" si="4"/>
        <v>پیش‌وایی 3</v>
      </c>
      <c r="W546" s="86"/>
      <c r="X546" s="86"/>
    </row>
    <row r="547">
      <c r="A547" s="201">
        <v>547.0</v>
      </c>
      <c r="B547" s="207" t="s">
        <v>3298</v>
      </c>
      <c r="C547" s="203" t="s">
        <v>3299</v>
      </c>
      <c r="D547" s="204" t="str">
        <f>IFERROR(__xludf.DUMMYFUNCTION("ARRAYFORMULA(LET( converted, SUBSTITUTE( SUBSTITUTE( SUBSTITUTE( SUBSTITUTE( SUBSTITUTE( SUBSTITUTE( SUBSTITUTE( SUBSTITUTE( SUBSTITUTE( SUBSTITUTE( C547, ""۰"", ""0""), ""۱"", ""1""), ""۲"", ""2""), ""۳"", ""3""), ""۴"", ""4""), ""۵"", ""5""), ""۶"", ""6"&amp;"""), ""۷"", ""7""), ""۸"", ""8""), ""۹"", ""9""), IF(LEFT(converted,3)=""+98"", ""0"" &amp; RIGHT(converted, LEN(converted)-3), IF(LEFT(converted,2)=""98"", ""0"" &amp; RIGHT(converted, LEN(converted)-2), IF(LEFT(converted,1)&lt;&gt;""0"", ""0"" &amp; converted, REGEXREPLA"&amp;"CE(converted , ""\s"", """")) ) ) ) )"),"09125997136")</f>
        <v>09125997136</v>
      </c>
      <c r="E547" s="205" t="s">
        <v>17</v>
      </c>
      <c r="F547" s="206">
        <v>3.0</v>
      </c>
      <c r="G547" s="202"/>
      <c r="H547" s="202" t="s">
        <v>3300</v>
      </c>
      <c r="I547" s="203"/>
      <c r="J547" s="203" t="s">
        <v>3301</v>
      </c>
      <c r="K547" s="207" t="s">
        <v>3302</v>
      </c>
      <c r="L547" s="207" t="s">
        <v>2245</v>
      </c>
      <c r="M547" s="202"/>
      <c r="N547" s="207"/>
      <c r="O547" s="207"/>
      <c r="P547" s="202"/>
      <c r="Q547" s="208"/>
      <c r="R547" s="86"/>
      <c r="S547" s="114">
        <f t="shared" ref="S547:T547" si="548">A547</f>
        <v>547</v>
      </c>
      <c r="T547" s="114" t="str">
        <f t="shared" si="548"/>
        <v>شیما آزادی</v>
      </c>
      <c r="U547" s="86" t="str">
        <f t="shared" si="3"/>
        <v>09125997136</v>
      </c>
      <c r="V547" s="86" t="str">
        <f t="shared" si="4"/>
        <v>پیش‌وایی 3</v>
      </c>
      <c r="W547" s="86"/>
      <c r="X547" s="86"/>
    </row>
    <row r="548">
      <c r="A548" s="192">
        <v>548.0</v>
      </c>
      <c r="B548" s="199" t="s">
        <v>3303</v>
      </c>
      <c r="C548" s="194" t="s">
        <v>3304</v>
      </c>
      <c r="D548" s="195" t="str">
        <f>IFERROR(__xludf.DUMMYFUNCTION("ARRAYFORMULA(LET( converted, SUBSTITUTE( SUBSTITUTE( SUBSTITUTE( SUBSTITUTE( SUBSTITUTE( SUBSTITUTE( SUBSTITUTE( SUBSTITUTE( SUBSTITUTE( SUBSTITUTE( C548, ""۰"", ""0""), ""۱"", ""1""), ""۲"", ""2""), ""۳"", ""3""), ""۴"", ""4""), ""۵"", ""5""), ""۶"", ""6"&amp;"""), ""۷"", ""7""), ""۸"", ""8""), ""۹"", ""9""), IF(LEFT(converted,3)=""+98"", ""0"" &amp; RIGHT(converted, LEN(converted)-3), IF(LEFT(converted,2)=""98"", ""0"" &amp; RIGHT(converted, LEN(converted)-2), IF(LEFT(converted,1)&lt;&gt;""0"", ""0"" &amp; converted, REGEXREPLA"&amp;"CE(converted , ""\s"", """")) ) ) ) )"),"09125501775")</f>
        <v>09125501775</v>
      </c>
      <c r="E548" s="196" t="s">
        <v>17</v>
      </c>
      <c r="F548" s="197">
        <v>3.0</v>
      </c>
      <c r="G548" s="193"/>
      <c r="H548" s="193" t="s">
        <v>3305</v>
      </c>
      <c r="I548" s="194"/>
      <c r="J548" s="194" t="s">
        <v>3306</v>
      </c>
      <c r="K548" s="199" t="s">
        <v>286</v>
      </c>
      <c r="L548" s="199" t="s">
        <v>3307</v>
      </c>
      <c r="M548" s="193"/>
      <c r="N548" s="199"/>
      <c r="O548" s="199"/>
      <c r="P548" s="193"/>
      <c r="Q548" s="200"/>
      <c r="R548" s="86"/>
      <c r="S548" s="114">
        <f t="shared" ref="S548:T548" si="549">A548</f>
        <v>548</v>
      </c>
      <c r="T548" s="114" t="str">
        <f t="shared" si="549"/>
        <v>مهدی عبیدی سیاوشانی</v>
      </c>
      <c r="U548" s="86" t="str">
        <f t="shared" si="3"/>
        <v>09125501775</v>
      </c>
      <c r="V548" s="86" t="str">
        <f t="shared" si="4"/>
        <v>پیش‌وایی 3</v>
      </c>
      <c r="W548" s="86"/>
      <c r="X548" s="86"/>
    </row>
    <row r="549">
      <c r="A549" s="201">
        <v>549.0</v>
      </c>
      <c r="B549" s="207" t="s">
        <v>3308</v>
      </c>
      <c r="C549" s="203" t="s">
        <v>3309</v>
      </c>
      <c r="D549" s="204" t="str">
        <f>IFERROR(__xludf.DUMMYFUNCTION("ARRAYFORMULA(LET( converted, SUBSTITUTE( SUBSTITUTE( SUBSTITUTE( SUBSTITUTE( SUBSTITUTE( SUBSTITUTE( SUBSTITUTE( SUBSTITUTE( SUBSTITUTE( SUBSTITUTE( C549, ""۰"", ""0""), ""۱"", ""1""), ""۲"", ""2""), ""۳"", ""3""), ""۴"", ""4""), ""۵"", ""5""), ""۶"", ""6"&amp;"""), ""۷"", ""7""), ""۸"", ""8""), ""۹"", ""9""), IF(LEFT(converted,3)=""+98"", ""0"" &amp; RIGHT(converted, LEN(converted)-3), IF(LEFT(converted,2)=""98"", ""0"" &amp; RIGHT(converted, LEN(converted)-2), IF(LEFT(converted,1)&lt;&gt;""0"", ""0"" &amp; converted, REGEXREPLA"&amp;"CE(converted , ""\s"", """")) ) ) ) )"),"09126227446")</f>
        <v>09126227446</v>
      </c>
      <c r="E549" s="205" t="s">
        <v>17</v>
      </c>
      <c r="F549" s="206">
        <v>3.0</v>
      </c>
      <c r="G549" s="202"/>
      <c r="H549" s="202" t="s">
        <v>3310</v>
      </c>
      <c r="I549" s="203"/>
      <c r="J549" s="203" t="s">
        <v>3311</v>
      </c>
      <c r="K549" s="207" t="s">
        <v>3312</v>
      </c>
      <c r="L549" s="207" t="s">
        <v>3313</v>
      </c>
      <c r="M549" s="202"/>
      <c r="N549" s="207"/>
      <c r="O549" s="207"/>
      <c r="P549" s="202"/>
      <c r="Q549" s="208"/>
      <c r="R549" s="86"/>
      <c r="S549" s="114">
        <f t="shared" ref="S549:T549" si="550">A549</f>
        <v>549</v>
      </c>
      <c r="T549" s="114" t="str">
        <f t="shared" si="550"/>
        <v>سید احمد داداش نژاد</v>
      </c>
      <c r="U549" s="86" t="str">
        <f t="shared" si="3"/>
        <v>09126227446</v>
      </c>
      <c r="V549" s="86" t="str">
        <f t="shared" si="4"/>
        <v>پیش‌وایی 3</v>
      </c>
      <c r="W549" s="86"/>
      <c r="X549" s="86"/>
    </row>
    <row r="550">
      <c r="A550" s="192">
        <v>550.0</v>
      </c>
      <c r="B550" s="199" t="s">
        <v>2414</v>
      </c>
      <c r="C550" s="194" t="s">
        <v>2415</v>
      </c>
      <c r="D550" s="195" t="str">
        <f>IFERROR(__xludf.DUMMYFUNCTION("ARRAYFORMULA(LET( converted, SUBSTITUTE( SUBSTITUTE( SUBSTITUTE( SUBSTITUTE( SUBSTITUTE( SUBSTITUTE( SUBSTITUTE( SUBSTITUTE( SUBSTITUTE( SUBSTITUTE( C550, ""۰"", ""0""), ""۱"", ""1""), ""۲"", ""2""), ""۳"", ""3""), ""۴"", ""4""), ""۵"", ""5""), ""۶"", ""6"&amp;"""), ""۷"", ""7""), ""۸"", ""8""), ""۹"", ""9""), IF(LEFT(converted,3)=""+98"", ""0"" &amp; RIGHT(converted, LEN(converted)-3), IF(LEFT(converted,2)=""98"", ""0"" &amp; RIGHT(converted, LEN(converted)-2), IF(LEFT(converted,1)&lt;&gt;""0"", ""0"" &amp; converted, REGEXREPLA"&amp;"CE(converted , ""\s"", """")) ) ) ) )"),"09122659154")</f>
        <v>09122659154</v>
      </c>
      <c r="E550" s="196" t="s">
        <v>17</v>
      </c>
      <c r="F550" s="197">
        <v>3.0</v>
      </c>
      <c r="G550" s="193"/>
      <c r="H550" s="193" t="s">
        <v>2416</v>
      </c>
      <c r="I550" s="194"/>
      <c r="J550" s="194" t="s">
        <v>3314</v>
      </c>
      <c r="K550" s="199" t="s">
        <v>2264</v>
      </c>
      <c r="L550" s="199" t="s">
        <v>1086</v>
      </c>
      <c r="M550" s="193"/>
      <c r="N550" s="199"/>
      <c r="O550" s="199"/>
      <c r="P550" s="193"/>
      <c r="Q550" s="200"/>
      <c r="R550" s="86"/>
      <c r="S550" s="114">
        <f t="shared" ref="S550:T550" si="551">A550</f>
        <v>550</v>
      </c>
      <c r="T550" s="114" t="str">
        <f t="shared" si="551"/>
        <v>یوسف رجبی</v>
      </c>
      <c r="U550" s="86" t="str">
        <f t="shared" si="3"/>
        <v>09122659154</v>
      </c>
      <c r="V550" s="86" t="str">
        <f t="shared" si="4"/>
        <v>پیش‌وایی 3</v>
      </c>
      <c r="W550" s="86"/>
      <c r="X550" s="86"/>
    </row>
    <row r="551">
      <c r="A551" s="201">
        <v>551.0</v>
      </c>
      <c r="B551" s="207" t="s">
        <v>3315</v>
      </c>
      <c r="C551" s="203" t="s">
        <v>3316</v>
      </c>
      <c r="D551" s="204" t="str">
        <f>IFERROR(__xludf.DUMMYFUNCTION("ARRAYFORMULA(LET( converted, SUBSTITUTE( SUBSTITUTE( SUBSTITUTE( SUBSTITUTE( SUBSTITUTE( SUBSTITUTE( SUBSTITUTE( SUBSTITUTE( SUBSTITUTE( SUBSTITUTE( C551, ""۰"", ""0""), ""۱"", ""1""), ""۲"", ""2""), ""۳"", ""3""), ""۴"", ""4""), ""۵"", ""5""), ""۶"", ""6"&amp;"""), ""۷"", ""7""), ""۸"", ""8""), ""۹"", ""9""), IF(LEFT(converted,3)=""+98"", ""0"" &amp; RIGHT(converted, LEN(converted)-3), IF(LEFT(converted,2)=""98"", ""0"" &amp; RIGHT(converted, LEN(converted)-2), IF(LEFT(converted,1)&lt;&gt;""0"", ""0"" &amp; converted, REGEXREPLA"&amp;"CE(converted , ""\s"", """")) ) ) ) )"),"09134515027")</f>
        <v>09134515027</v>
      </c>
      <c r="E551" s="205" t="s">
        <v>17</v>
      </c>
      <c r="F551" s="206">
        <v>3.0</v>
      </c>
      <c r="G551" s="202"/>
      <c r="H551" s="202" t="s">
        <v>3317</v>
      </c>
      <c r="I551" s="203"/>
      <c r="J551" s="203" t="s">
        <v>3318</v>
      </c>
      <c r="K551" s="207" t="s">
        <v>3319</v>
      </c>
      <c r="L551" s="207" t="s">
        <v>3320</v>
      </c>
      <c r="M551" s="202"/>
      <c r="N551" s="207"/>
      <c r="O551" s="207"/>
      <c r="P551" s="202"/>
      <c r="Q551" s="208"/>
      <c r="R551" s="86"/>
      <c r="S551" s="114">
        <f t="shared" ref="S551:T551" si="552">A551</f>
        <v>551</v>
      </c>
      <c r="T551" s="114" t="str">
        <f t="shared" si="552"/>
        <v>سید مهرداد مصطفوی پور</v>
      </c>
      <c r="U551" s="86" t="str">
        <f t="shared" si="3"/>
        <v>09134515027</v>
      </c>
      <c r="V551" s="86" t="str">
        <f t="shared" si="4"/>
        <v>پیش‌وایی 3</v>
      </c>
      <c r="W551" s="86"/>
      <c r="X551" s="86"/>
    </row>
    <row r="552">
      <c r="A552" s="192">
        <v>552.0</v>
      </c>
      <c r="B552" s="199" t="s">
        <v>1823</v>
      </c>
      <c r="C552" s="194" t="s">
        <v>1824</v>
      </c>
      <c r="D552" s="195" t="str">
        <f>IFERROR(__xludf.DUMMYFUNCTION("ARRAYFORMULA(LET( converted, SUBSTITUTE( SUBSTITUTE( SUBSTITUTE( SUBSTITUTE( SUBSTITUTE( SUBSTITUTE( SUBSTITUTE( SUBSTITUTE( SUBSTITUTE( SUBSTITUTE( C552, ""۰"", ""0""), ""۱"", ""1""), ""۲"", ""2""), ""۳"", ""3""), ""۴"", ""4""), ""۵"", ""5""), ""۶"", ""6"&amp;"""), ""۷"", ""7""), ""۸"", ""8""), ""۹"", ""9""), IF(LEFT(converted,3)=""+98"", ""0"" &amp; RIGHT(converted, LEN(converted)-3), IF(LEFT(converted,2)=""98"", ""0"" &amp; RIGHT(converted, LEN(converted)-2), IF(LEFT(converted,1)&lt;&gt;""0"", ""0"" &amp; converted, REGEXREPLA"&amp;"CE(converted , ""\s"", """")) ) ) ) )"),"09122017299")</f>
        <v>09122017299</v>
      </c>
      <c r="E552" s="196" t="s">
        <v>17</v>
      </c>
      <c r="F552" s="197">
        <v>3.0</v>
      </c>
      <c r="G552" s="193"/>
      <c r="H552" s="193" t="s">
        <v>1825</v>
      </c>
      <c r="I552" s="194"/>
      <c r="J552" s="194" t="s">
        <v>3321</v>
      </c>
      <c r="K552" s="199" t="s">
        <v>1018</v>
      </c>
      <c r="L552" s="199" t="s">
        <v>1826</v>
      </c>
      <c r="M552" s="193"/>
      <c r="N552" s="199"/>
      <c r="O552" s="199"/>
      <c r="P552" s="193"/>
      <c r="Q552" s="200"/>
      <c r="R552" s="86"/>
      <c r="S552" s="114">
        <f t="shared" ref="S552:T552" si="553">A552</f>
        <v>552</v>
      </c>
      <c r="T552" s="114" t="str">
        <f t="shared" si="553"/>
        <v>علی حاجی محمدی</v>
      </c>
      <c r="U552" s="86" t="str">
        <f t="shared" si="3"/>
        <v>09122017299</v>
      </c>
      <c r="V552" s="86" t="str">
        <f t="shared" si="4"/>
        <v>پیش‌وایی 3</v>
      </c>
      <c r="W552" s="86"/>
      <c r="X552" s="86"/>
    </row>
    <row r="553">
      <c r="A553" s="201">
        <v>553.0</v>
      </c>
      <c r="B553" s="207" t="s">
        <v>3322</v>
      </c>
      <c r="C553" s="203" t="s">
        <v>3323</v>
      </c>
      <c r="D553" s="204" t="str">
        <f>IFERROR(__xludf.DUMMYFUNCTION("ARRAYFORMULA(LET( converted, SUBSTITUTE( SUBSTITUTE( SUBSTITUTE( SUBSTITUTE( SUBSTITUTE( SUBSTITUTE( SUBSTITUTE( SUBSTITUTE( SUBSTITUTE( SUBSTITUTE( C553, ""۰"", ""0""), ""۱"", ""1""), ""۲"", ""2""), ""۳"", ""3""), ""۴"", ""4""), ""۵"", ""5""), ""۶"", ""6"&amp;"""), ""۷"", ""7""), ""۸"", ""8""), ""۹"", ""9""), IF(LEFT(converted,3)=""+98"", ""0"" &amp; RIGHT(converted, LEN(converted)-3), IF(LEFT(converted,2)=""98"", ""0"" &amp; RIGHT(converted, LEN(converted)-2), IF(LEFT(converted,1)&lt;&gt;""0"", ""0"" &amp; converted, REGEXREPLA"&amp;"CE(converted , ""\s"", """")) ) ) ) )"),"09361487270")</f>
        <v>09361487270</v>
      </c>
      <c r="E553" s="205" t="s">
        <v>17</v>
      </c>
      <c r="F553" s="206">
        <v>3.0</v>
      </c>
      <c r="G553" s="202"/>
      <c r="H553" s="202" t="s">
        <v>3324</v>
      </c>
      <c r="I553" s="203"/>
      <c r="J553" s="203" t="s">
        <v>3325</v>
      </c>
      <c r="K553" s="207" t="s">
        <v>1678</v>
      </c>
      <c r="L553" s="207" t="s">
        <v>3326</v>
      </c>
      <c r="M553" s="202"/>
      <c r="N553" s="207"/>
      <c r="O553" s="207"/>
      <c r="P553" s="202"/>
      <c r="Q553" s="208"/>
      <c r="R553" s="86"/>
      <c r="S553" s="114">
        <f t="shared" ref="S553:T553" si="554">A553</f>
        <v>553</v>
      </c>
      <c r="T553" s="114" t="str">
        <f t="shared" si="554"/>
        <v>امین امینی</v>
      </c>
      <c r="U553" s="86" t="str">
        <f t="shared" si="3"/>
        <v>09361487270</v>
      </c>
      <c r="V553" s="86" t="str">
        <f t="shared" si="4"/>
        <v>پیش‌وایی 3</v>
      </c>
      <c r="W553" s="86"/>
      <c r="X553" s="86"/>
    </row>
    <row r="554">
      <c r="A554" s="192">
        <v>554.0</v>
      </c>
      <c r="B554" s="199" t="s">
        <v>3327</v>
      </c>
      <c r="C554" s="194" t="s">
        <v>3328</v>
      </c>
      <c r="D554" s="195" t="str">
        <f>IFERROR(__xludf.DUMMYFUNCTION("ARRAYFORMULA(LET( converted, SUBSTITUTE( SUBSTITUTE( SUBSTITUTE( SUBSTITUTE( SUBSTITUTE( SUBSTITUTE( SUBSTITUTE( SUBSTITUTE( SUBSTITUTE( SUBSTITUTE( C554, ""۰"", ""0""), ""۱"", ""1""), ""۲"", ""2""), ""۳"", ""3""), ""۴"", ""4""), ""۵"", ""5""), ""۶"", ""6"&amp;"""), ""۷"", ""7""), ""۸"", ""8""), ""۹"", ""9""), IF(LEFT(converted,3)=""+98"", ""0"" &amp; RIGHT(converted, LEN(converted)-3), IF(LEFT(converted,2)=""98"", ""0"" &amp; RIGHT(converted, LEN(converted)-2), IF(LEFT(converted,1)&lt;&gt;""0"", ""0"" &amp; converted, REGEXREPLA"&amp;"CE(converted , ""\s"", """")) ) ) ) )"),"09127778613")</f>
        <v>09127778613</v>
      </c>
      <c r="E554" s="196" t="s">
        <v>17</v>
      </c>
      <c r="F554" s="197">
        <v>3.0</v>
      </c>
      <c r="G554" s="193"/>
      <c r="H554" s="193" t="s">
        <v>3329</v>
      </c>
      <c r="I554" s="194"/>
      <c r="J554" s="194" t="s">
        <v>3330</v>
      </c>
      <c r="K554" s="199" t="s">
        <v>1018</v>
      </c>
      <c r="L554" s="199" t="s">
        <v>3331</v>
      </c>
      <c r="M554" s="193"/>
      <c r="N554" s="199"/>
      <c r="O554" s="199"/>
      <c r="P554" s="193"/>
      <c r="Q554" s="200"/>
      <c r="R554" s="86"/>
      <c r="S554" s="114">
        <f t="shared" ref="S554:T554" si="555">A554</f>
        <v>554</v>
      </c>
      <c r="T554" s="114" t="str">
        <f t="shared" si="555"/>
        <v>علی هنزكیان</v>
      </c>
      <c r="U554" s="86" t="str">
        <f t="shared" si="3"/>
        <v>09127778613</v>
      </c>
      <c r="V554" s="86" t="str">
        <f t="shared" si="4"/>
        <v>پیش‌وایی 3</v>
      </c>
      <c r="W554" s="86"/>
      <c r="X554" s="86"/>
    </row>
    <row r="555">
      <c r="A555" s="201">
        <v>555.0</v>
      </c>
      <c r="B555" s="207" t="s">
        <v>3332</v>
      </c>
      <c r="C555" s="203" t="s">
        <v>3333</v>
      </c>
      <c r="D555" s="204" t="str">
        <f>IFERROR(__xludf.DUMMYFUNCTION("ARRAYFORMULA(LET( converted, SUBSTITUTE( SUBSTITUTE( SUBSTITUTE( SUBSTITUTE( SUBSTITUTE( SUBSTITUTE( SUBSTITUTE( SUBSTITUTE( SUBSTITUTE( SUBSTITUTE( C555, ""۰"", ""0""), ""۱"", ""1""), ""۲"", ""2""), ""۳"", ""3""), ""۴"", ""4""), ""۵"", ""5""), ""۶"", ""6"&amp;"""), ""۷"", ""7""), ""۸"", ""8""), ""۹"", ""9""), IF(LEFT(converted,3)=""+98"", ""0"" &amp; RIGHT(converted, LEN(converted)-3), IF(LEFT(converted,2)=""98"", ""0"" &amp; RIGHT(converted, LEN(converted)-2), IF(LEFT(converted,1)&lt;&gt;""0"", ""0"" &amp; converted, REGEXREPLA"&amp;"CE(converted , ""\s"", """")) ) ) ) )"),"09158708848")</f>
        <v>09158708848</v>
      </c>
      <c r="E555" s="205" t="s">
        <v>17</v>
      </c>
      <c r="F555" s="206">
        <v>3.0</v>
      </c>
      <c r="G555" s="202"/>
      <c r="H555" s="202" t="s">
        <v>3334</v>
      </c>
      <c r="I555" s="203"/>
      <c r="J555" s="203" t="s">
        <v>3335</v>
      </c>
      <c r="K555" s="207" t="s">
        <v>3336</v>
      </c>
      <c r="L555" s="207" t="s">
        <v>3337</v>
      </c>
      <c r="M555" s="202"/>
      <c r="N555" s="207"/>
      <c r="O555" s="207"/>
      <c r="P555" s="202"/>
      <c r="Q555" s="208"/>
      <c r="R555" s="86"/>
      <c r="S555" s="114">
        <f t="shared" ref="S555:T555" si="556">A555</f>
        <v>555</v>
      </c>
      <c r="T555" s="114" t="str">
        <f t="shared" si="556"/>
        <v>منا غرابادیان</v>
      </c>
      <c r="U555" s="86" t="str">
        <f t="shared" si="3"/>
        <v>09158708848</v>
      </c>
      <c r="V555" s="86" t="str">
        <f t="shared" si="4"/>
        <v>پیش‌وایی 3</v>
      </c>
      <c r="W555" s="86"/>
      <c r="X555" s="86"/>
    </row>
    <row r="556">
      <c r="A556" s="192">
        <v>556.0</v>
      </c>
      <c r="B556" s="199" t="s">
        <v>3338</v>
      </c>
      <c r="C556" s="194" t="s">
        <v>3339</v>
      </c>
      <c r="D556" s="195" t="str">
        <f>IFERROR(__xludf.DUMMYFUNCTION("ARRAYFORMULA(LET( converted, SUBSTITUTE( SUBSTITUTE( SUBSTITUTE( SUBSTITUTE( SUBSTITUTE( SUBSTITUTE( SUBSTITUTE( SUBSTITUTE( SUBSTITUTE( SUBSTITUTE( C556, ""۰"", ""0""), ""۱"", ""1""), ""۲"", ""2""), ""۳"", ""3""), ""۴"", ""4""), ""۵"", ""5""), ""۶"", ""6"&amp;"""), ""۷"", ""7""), ""۸"", ""8""), ""۹"", ""9""), IF(LEFT(converted,3)=""+98"", ""0"" &amp; RIGHT(converted, LEN(converted)-3), IF(LEFT(converted,2)=""98"", ""0"" &amp; RIGHT(converted, LEN(converted)-2), IF(LEFT(converted,1)&lt;&gt;""0"", ""0"" &amp; converted, REGEXREPLA"&amp;"CE(converted , ""\s"", """")) ) ) ) )"),"09118427708")</f>
        <v>09118427708</v>
      </c>
      <c r="E556" s="196" t="s">
        <v>17</v>
      </c>
      <c r="F556" s="197">
        <v>3.0</v>
      </c>
      <c r="G556" s="193"/>
      <c r="H556" s="193" t="s">
        <v>3340</v>
      </c>
      <c r="I556" s="194"/>
      <c r="J556" s="194" t="s">
        <v>3341</v>
      </c>
      <c r="K556" s="199" t="s">
        <v>3342</v>
      </c>
      <c r="L556" s="199" t="s">
        <v>1600</v>
      </c>
      <c r="M556" s="193"/>
      <c r="N556" s="199"/>
      <c r="O556" s="199"/>
      <c r="P556" s="193"/>
      <c r="Q556" s="200"/>
      <c r="R556" s="86"/>
      <c r="S556" s="114">
        <f t="shared" ref="S556:T556" si="557">A556</f>
        <v>556</v>
      </c>
      <c r="T556" s="114" t="str">
        <f t="shared" si="557"/>
        <v>حدیثه شریفی</v>
      </c>
      <c r="U556" s="86" t="str">
        <f t="shared" si="3"/>
        <v>09118427708</v>
      </c>
      <c r="V556" s="86" t="str">
        <f t="shared" si="4"/>
        <v>پیش‌وایی 3</v>
      </c>
      <c r="W556" s="86"/>
      <c r="X556" s="86"/>
    </row>
    <row r="557">
      <c r="A557" s="201">
        <v>557.0</v>
      </c>
      <c r="B557" s="207" t="s">
        <v>3343</v>
      </c>
      <c r="C557" s="203" t="s">
        <v>3344</v>
      </c>
      <c r="D557" s="204" t="str">
        <f>IFERROR(__xludf.DUMMYFUNCTION("ARRAYFORMULA(LET( converted, SUBSTITUTE( SUBSTITUTE( SUBSTITUTE( SUBSTITUTE( SUBSTITUTE( SUBSTITUTE( SUBSTITUTE( SUBSTITUTE( SUBSTITUTE( SUBSTITUTE( C557, ""۰"", ""0""), ""۱"", ""1""), ""۲"", ""2""), ""۳"", ""3""), ""۴"", ""4""), ""۵"", ""5""), ""۶"", ""6"&amp;"""), ""۷"", ""7""), ""۸"", ""8""), ""۹"", ""9""), IF(LEFT(converted,3)=""+98"", ""0"" &amp; RIGHT(converted, LEN(converted)-3), IF(LEFT(converted,2)=""98"", ""0"" &amp; RIGHT(converted, LEN(converted)-2), IF(LEFT(converted,1)&lt;&gt;""0"", ""0"" &amp; converted, REGEXREPLA"&amp;"CE(converted , ""\s"", """")) ) ) ) )"),"09107673676")</f>
        <v>09107673676</v>
      </c>
      <c r="E557" s="205" t="s">
        <v>17</v>
      </c>
      <c r="F557" s="206">
        <v>3.0</v>
      </c>
      <c r="G557" s="202"/>
      <c r="H557" s="202" t="s">
        <v>3345</v>
      </c>
      <c r="I557" s="203"/>
      <c r="J557" s="203" t="s">
        <v>3346</v>
      </c>
      <c r="K557" s="207" t="s">
        <v>2585</v>
      </c>
      <c r="L557" s="207" t="s">
        <v>231</v>
      </c>
      <c r="M557" s="202"/>
      <c r="N557" s="207"/>
      <c r="O557" s="207"/>
      <c r="P557" s="202"/>
      <c r="Q557" s="208"/>
      <c r="R557" s="86"/>
      <c r="S557" s="114">
        <f t="shared" ref="S557:T557" si="558">A557</f>
        <v>557</v>
      </c>
      <c r="T557" s="114" t="str">
        <f t="shared" si="558"/>
        <v>سید علی موسوی</v>
      </c>
      <c r="U557" s="86" t="str">
        <f t="shared" si="3"/>
        <v>09107673676</v>
      </c>
      <c r="V557" s="86" t="str">
        <f t="shared" si="4"/>
        <v>پیش‌وایی 3</v>
      </c>
      <c r="W557" s="86"/>
      <c r="X557" s="86"/>
    </row>
    <row r="558">
      <c r="A558" s="192">
        <v>558.0</v>
      </c>
      <c r="B558" s="199" t="s">
        <v>3347</v>
      </c>
      <c r="C558" s="194" t="s">
        <v>3348</v>
      </c>
      <c r="D558" s="195" t="str">
        <f>IFERROR(__xludf.DUMMYFUNCTION("ARRAYFORMULA(LET( converted, SUBSTITUTE( SUBSTITUTE( SUBSTITUTE( SUBSTITUTE( SUBSTITUTE( SUBSTITUTE( SUBSTITUTE( SUBSTITUTE( SUBSTITUTE( SUBSTITUTE( C558, ""۰"", ""0""), ""۱"", ""1""), ""۲"", ""2""), ""۳"", ""3""), ""۴"", ""4""), ""۵"", ""5""), ""۶"", ""6"&amp;"""), ""۷"", ""7""), ""۸"", ""8""), ""۹"", ""9""), IF(LEFT(converted,3)=""+98"", ""0"" &amp; RIGHT(converted, LEN(converted)-3), IF(LEFT(converted,2)=""98"", ""0"" &amp; RIGHT(converted, LEN(converted)-2), IF(LEFT(converted,1)&lt;&gt;""0"", ""0"" &amp; converted, REGEXREPLA"&amp;"CE(converted , ""\s"", """")) ) ) ) )"),"09152261430")</f>
        <v>09152261430</v>
      </c>
      <c r="E558" s="196" t="s">
        <v>17</v>
      </c>
      <c r="F558" s="197">
        <v>3.0</v>
      </c>
      <c r="G558" s="193"/>
      <c r="H558" s="193" t="s">
        <v>3349</v>
      </c>
      <c r="I558" s="194"/>
      <c r="J558" s="194" t="s">
        <v>3350</v>
      </c>
      <c r="K558" s="199" t="s">
        <v>3351</v>
      </c>
      <c r="L558" s="199" t="s">
        <v>3352</v>
      </c>
      <c r="M558" s="193"/>
      <c r="N558" s="199"/>
      <c r="O558" s="199"/>
      <c r="P558" s="193"/>
      <c r="Q558" s="200"/>
      <c r="R558" s="86"/>
      <c r="S558" s="114">
        <f t="shared" ref="S558:T558" si="559">A558</f>
        <v>558</v>
      </c>
      <c r="T558" s="114" t="str">
        <f t="shared" si="559"/>
        <v>ناعمه اعظمی</v>
      </c>
      <c r="U558" s="86" t="str">
        <f t="shared" si="3"/>
        <v>09152261430</v>
      </c>
      <c r="V558" s="86" t="str">
        <f t="shared" si="4"/>
        <v>پیش‌وایی 3</v>
      </c>
      <c r="W558" s="86"/>
      <c r="X558" s="86"/>
    </row>
    <row r="559">
      <c r="A559" s="201">
        <v>559.0</v>
      </c>
      <c r="B559" s="207" t="s">
        <v>3353</v>
      </c>
      <c r="C559" s="203" t="s">
        <v>3354</v>
      </c>
      <c r="D559" s="204" t="str">
        <f>IFERROR(__xludf.DUMMYFUNCTION("ARRAYFORMULA(LET( converted, SUBSTITUTE( SUBSTITUTE( SUBSTITUTE( SUBSTITUTE( SUBSTITUTE( SUBSTITUTE( SUBSTITUTE( SUBSTITUTE( SUBSTITUTE( SUBSTITUTE( C559, ""۰"", ""0""), ""۱"", ""1""), ""۲"", ""2""), ""۳"", ""3""), ""۴"", ""4""), ""۵"", ""5""), ""۶"", ""6"&amp;"""), ""۷"", ""7""), ""۸"", ""8""), ""۹"", ""9""), IF(LEFT(converted,3)=""+98"", ""0"" &amp; RIGHT(converted, LEN(converted)-3), IF(LEFT(converted,2)=""98"", ""0"" &amp; RIGHT(converted, LEN(converted)-2), IF(LEFT(converted,1)&lt;&gt;""0"", ""0"" &amp; converted, REGEXREPLA"&amp;"CE(converted , ""\s"", """")) ) ) ) )"),"09131579864")</f>
        <v>09131579864</v>
      </c>
      <c r="E559" s="205" t="s">
        <v>17</v>
      </c>
      <c r="F559" s="206">
        <v>3.0</v>
      </c>
      <c r="G559" s="202"/>
      <c r="H559" s="202" t="s">
        <v>3355</v>
      </c>
      <c r="I559" s="203"/>
      <c r="J559" s="203" t="s">
        <v>3356</v>
      </c>
      <c r="K559" s="207" t="s">
        <v>1018</v>
      </c>
      <c r="L559" s="207" t="s">
        <v>3357</v>
      </c>
      <c r="M559" s="202"/>
      <c r="N559" s="207"/>
      <c r="O559" s="207"/>
      <c r="P559" s="202"/>
      <c r="Q559" s="208"/>
      <c r="R559" s="86"/>
      <c r="S559" s="114">
        <f t="shared" ref="S559:T559" si="560">A559</f>
        <v>559</v>
      </c>
      <c r="T559" s="114" t="str">
        <f t="shared" si="560"/>
        <v>علی سریزدی</v>
      </c>
      <c r="U559" s="86" t="str">
        <f t="shared" si="3"/>
        <v>09131579864</v>
      </c>
      <c r="V559" s="86" t="str">
        <f t="shared" si="4"/>
        <v>پیش‌وایی 3</v>
      </c>
      <c r="W559" s="86"/>
      <c r="X559" s="86"/>
    </row>
    <row r="560">
      <c r="A560" s="192">
        <v>560.0</v>
      </c>
      <c r="B560" s="199" t="s">
        <v>3358</v>
      </c>
      <c r="C560" s="194" t="s">
        <v>3359</v>
      </c>
      <c r="D560" s="195" t="str">
        <f>IFERROR(__xludf.DUMMYFUNCTION("ARRAYFORMULA(LET( converted, SUBSTITUTE( SUBSTITUTE( SUBSTITUTE( SUBSTITUTE( SUBSTITUTE( SUBSTITUTE( SUBSTITUTE( SUBSTITUTE( SUBSTITUTE( SUBSTITUTE( C560, ""۰"", ""0""), ""۱"", ""1""), ""۲"", ""2""), ""۳"", ""3""), ""۴"", ""4""), ""۵"", ""5""), ""۶"", ""6"&amp;"""), ""۷"", ""7""), ""۸"", ""8""), ""۹"", ""9""), IF(LEFT(converted,3)=""+98"", ""0"" &amp; RIGHT(converted, LEN(converted)-3), IF(LEFT(converted,2)=""98"", ""0"" &amp; RIGHT(converted, LEN(converted)-2), IF(LEFT(converted,1)&lt;&gt;""0"", ""0"" &amp; converted, REGEXREPLA"&amp;"CE(converted , ""\s"", """")) ) ) ) )"),"09126966242")</f>
        <v>09126966242</v>
      </c>
      <c r="E560" s="196" t="s">
        <v>17</v>
      </c>
      <c r="F560" s="197">
        <v>3.0</v>
      </c>
      <c r="G560" s="193"/>
      <c r="H560" s="193" t="s">
        <v>3360</v>
      </c>
      <c r="I560" s="194"/>
      <c r="J560" s="194" t="s">
        <v>3361</v>
      </c>
      <c r="K560" s="199" t="s">
        <v>3362</v>
      </c>
      <c r="L560" s="199" t="s">
        <v>231</v>
      </c>
      <c r="M560" s="193"/>
      <c r="N560" s="199"/>
      <c r="O560" s="199"/>
      <c r="P560" s="193"/>
      <c r="Q560" s="200"/>
      <c r="R560" s="86"/>
      <c r="S560" s="114">
        <f t="shared" ref="S560:T560" si="561">A560</f>
        <v>560</v>
      </c>
      <c r="T560" s="114" t="str">
        <f t="shared" si="561"/>
        <v>سید علیرضا موسوی</v>
      </c>
      <c r="U560" s="86" t="str">
        <f t="shared" si="3"/>
        <v>09126966242</v>
      </c>
      <c r="V560" s="86" t="str">
        <f t="shared" si="4"/>
        <v>پیش‌وایی 3</v>
      </c>
      <c r="W560" s="86"/>
      <c r="X560" s="86"/>
    </row>
    <row r="561">
      <c r="A561" s="201">
        <v>561.0</v>
      </c>
      <c r="B561" s="207" t="s">
        <v>3363</v>
      </c>
      <c r="C561" s="203" t="s">
        <v>3364</v>
      </c>
      <c r="D561" s="204" t="str">
        <f>IFERROR(__xludf.DUMMYFUNCTION("ARRAYFORMULA(LET( converted, SUBSTITUTE( SUBSTITUTE( SUBSTITUTE( SUBSTITUTE( SUBSTITUTE( SUBSTITUTE( SUBSTITUTE( SUBSTITUTE( SUBSTITUTE( SUBSTITUTE( C561, ""۰"", ""0""), ""۱"", ""1""), ""۲"", ""2""), ""۳"", ""3""), ""۴"", ""4""), ""۵"", ""5""), ""۶"", ""6"&amp;"""), ""۷"", ""7""), ""۸"", ""8""), ""۹"", ""9""), IF(LEFT(converted,3)=""+98"", ""0"" &amp; RIGHT(converted, LEN(converted)-3), IF(LEFT(converted,2)=""98"", ""0"" &amp; RIGHT(converted, LEN(converted)-2), IF(LEFT(converted,1)&lt;&gt;""0"", ""0"" &amp; converted, REGEXREPLA"&amp;"CE(converted , ""\s"", """")) ) ) ) )"),"09121342818")</f>
        <v>09121342818</v>
      </c>
      <c r="E561" s="205" t="s">
        <v>17</v>
      </c>
      <c r="F561" s="206">
        <v>3.0</v>
      </c>
      <c r="G561" s="202"/>
      <c r="H561" s="202" t="s">
        <v>3365</v>
      </c>
      <c r="I561" s="203"/>
      <c r="J561" s="203" t="s">
        <v>3366</v>
      </c>
      <c r="K561" s="207" t="s">
        <v>1018</v>
      </c>
      <c r="L561" s="207" t="s">
        <v>3367</v>
      </c>
      <c r="M561" s="202"/>
      <c r="N561" s="207"/>
      <c r="O561" s="207"/>
      <c r="P561" s="202"/>
      <c r="Q561" s="208"/>
      <c r="R561" s="86"/>
      <c r="S561" s="114">
        <f t="shared" ref="S561:T561" si="562">A561</f>
        <v>561</v>
      </c>
      <c r="T561" s="114" t="str">
        <f t="shared" si="562"/>
        <v>علی بنده زاده</v>
      </c>
      <c r="U561" s="86" t="str">
        <f t="shared" si="3"/>
        <v>09121342818</v>
      </c>
      <c r="V561" s="86" t="str">
        <f t="shared" si="4"/>
        <v>پیش‌وایی 3</v>
      </c>
      <c r="W561" s="86"/>
      <c r="X561" s="86"/>
    </row>
    <row r="562">
      <c r="A562" s="192">
        <v>562.0</v>
      </c>
      <c r="B562" s="199" t="s">
        <v>3368</v>
      </c>
      <c r="C562" s="194" t="s">
        <v>3369</v>
      </c>
      <c r="D562" s="195" t="str">
        <f>IFERROR(__xludf.DUMMYFUNCTION("ARRAYFORMULA(LET( converted, SUBSTITUTE( SUBSTITUTE( SUBSTITUTE( SUBSTITUTE( SUBSTITUTE( SUBSTITUTE( SUBSTITUTE( SUBSTITUTE( SUBSTITUTE( SUBSTITUTE( C562, ""۰"", ""0""), ""۱"", ""1""), ""۲"", ""2""), ""۳"", ""3""), ""۴"", ""4""), ""۵"", ""5""), ""۶"", ""6"&amp;"""), ""۷"", ""7""), ""۸"", ""8""), ""۹"", ""9""), IF(LEFT(converted,3)=""+98"", ""0"" &amp; RIGHT(converted, LEN(converted)-3), IF(LEFT(converted,2)=""98"", ""0"" &amp; RIGHT(converted, LEN(converted)-2), IF(LEFT(converted,1)&lt;&gt;""0"", ""0"" &amp; converted, REGEXREPLA"&amp;"CE(converted , ""\s"", """")) ) ) ) )"),"09118218261")</f>
        <v>09118218261</v>
      </c>
      <c r="E562" s="196" t="s">
        <v>17</v>
      </c>
      <c r="F562" s="197">
        <v>3.0</v>
      </c>
      <c r="G562" s="193"/>
      <c r="H562" s="193" t="s">
        <v>3370</v>
      </c>
      <c r="I562" s="194"/>
      <c r="J562" s="194" t="s">
        <v>3371</v>
      </c>
      <c r="K562" s="199" t="s">
        <v>3372</v>
      </c>
      <c r="L562" s="199" t="s">
        <v>3373</v>
      </c>
      <c r="M562" s="193"/>
      <c r="N562" s="199"/>
      <c r="O562" s="199"/>
      <c r="P562" s="193"/>
      <c r="Q562" s="200"/>
      <c r="R562" s="86"/>
      <c r="S562" s="114">
        <f t="shared" ref="S562:T562" si="563">A562</f>
        <v>562</v>
      </c>
      <c r="T562" s="114" t="str">
        <f t="shared" si="563"/>
        <v>كیمیا حریری</v>
      </c>
      <c r="U562" s="86" t="str">
        <f t="shared" si="3"/>
        <v>09118218261</v>
      </c>
      <c r="V562" s="86" t="str">
        <f t="shared" si="4"/>
        <v>پیش‌وایی 3</v>
      </c>
      <c r="W562" s="86"/>
      <c r="X562" s="86"/>
    </row>
    <row r="563">
      <c r="A563" s="201">
        <v>563.0</v>
      </c>
      <c r="B563" s="207" t="s">
        <v>3374</v>
      </c>
      <c r="C563" s="203" t="s">
        <v>3375</v>
      </c>
      <c r="D563" s="204" t="str">
        <f>IFERROR(__xludf.DUMMYFUNCTION("ARRAYFORMULA(LET( converted, SUBSTITUTE( SUBSTITUTE( SUBSTITUTE( SUBSTITUTE( SUBSTITUTE( SUBSTITUTE( SUBSTITUTE( SUBSTITUTE( SUBSTITUTE( SUBSTITUTE( C563, ""۰"", ""0""), ""۱"", ""1""), ""۲"", ""2""), ""۳"", ""3""), ""۴"", ""4""), ""۵"", ""5""), ""۶"", ""6"&amp;"""), ""۷"", ""7""), ""۸"", ""8""), ""۹"", ""9""), IF(LEFT(converted,3)=""+98"", ""0"" &amp; RIGHT(converted, LEN(converted)-3), IF(LEFT(converted,2)=""98"", ""0"" &amp; RIGHT(converted, LEN(converted)-2), IF(LEFT(converted,1)&lt;&gt;""0"", ""0"" &amp; converted, REGEXREPLA"&amp;"CE(converted , ""\s"", """")) ) ) ) )"),"09123720845")</f>
        <v>09123720845</v>
      </c>
      <c r="E563" s="205" t="s">
        <v>17</v>
      </c>
      <c r="F563" s="206">
        <v>3.0</v>
      </c>
      <c r="G563" s="202"/>
      <c r="H563" s="202" t="s">
        <v>3376</v>
      </c>
      <c r="I563" s="203"/>
      <c r="J563" s="203" t="s">
        <v>3377</v>
      </c>
      <c r="K563" s="207" t="s">
        <v>3378</v>
      </c>
      <c r="L563" s="207" t="s">
        <v>3379</v>
      </c>
      <c r="M563" s="202"/>
      <c r="N563" s="207"/>
      <c r="O563" s="207"/>
      <c r="P563" s="202"/>
      <c r="Q563" s="208"/>
      <c r="R563" s="86"/>
      <c r="S563" s="114">
        <f t="shared" ref="S563:T563" si="564">A563</f>
        <v>563</v>
      </c>
      <c r="T563" s="114" t="str">
        <f t="shared" si="564"/>
        <v>سكینه عارفی</v>
      </c>
      <c r="U563" s="86" t="str">
        <f t="shared" si="3"/>
        <v>09123720845</v>
      </c>
      <c r="V563" s="86" t="str">
        <f t="shared" si="4"/>
        <v>پیش‌وایی 3</v>
      </c>
      <c r="W563" s="86"/>
      <c r="X563" s="86"/>
    </row>
    <row r="564">
      <c r="A564" s="192">
        <v>564.0</v>
      </c>
      <c r="B564" s="199" t="s">
        <v>3380</v>
      </c>
      <c r="C564" s="194" t="s">
        <v>3381</v>
      </c>
      <c r="D564" s="195" t="str">
        <f>IFERROR(__xludf.DUMMYFUNCTION("ARRAYFORMULA(LET( converted, SUBSTITUTE( SUBSTITUTE( SUBSTITUTE( SUBSTITUTE( SUBSTITUTE( SUBSTITUTE( SUBSTITUTE( SUBSTITUTE( SUBSTITUTE( SUBSTITUTE( C564, ""۰"", ""0""), ""۱"", ""1""), ""۲"", ""2""), ""۳"", ""3""), ""۴"", ""4""), ""۵"", ""5""), ""۶"", ""6"&amp;"""), ""۷"", ""7""), ""۸"", ""8""), ""۹"", ""9""), IF(LEFT(converted,3)=""+98"", ""0"" &amp; RIGHT(converted, LEN(converted)-3), IF(LEFT(converted,2)=""98"", ""0"" &amp; RIGHT(converted, LEN(converted)-2), IF(LEFT(converted,1)&lt;&gt;""0"", ""0"" &amp; converted, REGEXREPLA"&amp;"CE(converted , ""\s"", """")) ) ) ) )"),"09125867948")</f>
        <v>09125867948</v>
      </c>
      <c r="E564" s="196" t="s">
        <v>17</v>
      </c>
      <c r="F564" s="197">
        <v>3.0</v>
      </c>
      <c r="G564" s="193"/>
      <c r="H564" s="193" t="s">
        <v>3382</v>
      </c>
      <c r="I564" s="194"/>
      <c r="J564" s="194" t="s">
        <v>3383</v>
      </c>
      <c r="K564" s="199" t="s">
        <v>3384</v>
      </c>
      <c r="L564" s="199" t="s">
        <v>3385</v>
      </c>
      <c r="M564" s="193"/>
      <c r="N564" s="199"/>
      <c r="O564" s="199"/>
      <c r="P564" s="193"/>
      <c r="Q564" s="200"/>
      <c r="R564" s="86"/>
      <c r="S564" s="114">
        <f t="shared" ref="S564:T564" si="565">A564</f>
        <v>564</v>
      </c>
      <c r="T564" s="114" t="str">
        <f t="shared" si="565"/>
        <v>صنم رودكی</v>
      </c>
      <c r="U564" s="86" t="str">
        <f t="shared" si="3"/>
        <v>09125867948</v>
      </c>
      <c r="V564" s="86" t="str">
        <f t="shared" si="4"/>
        <v>پیش‌وایی 3</v>
      </c>
      <c r="W564" s="86"/>
      <c r="X564" s="86"/>
    </row>
    <row r="565">
      <c r="A565" s="201">
        <v>565.0</v>
      </c>
      <c r="B565" s="207" t="s">
        <v>3386</v>
      </c>
      <c r="C565" s="203" t="s">
        <v>3387</v>
      </c>
      <c r="D565" s="204" t="str">
        <f>IFERROR(__xludf.DUMMYFUNCTION("ARRAYFORMULA(LET( converted, SUBSTITUTE( SUBSTITUTE( SUBSTITUTE( SUBSTITUTE( SUBSTITUTE( SUBSTITUTE( SUBSTITUTE( SUBSTITUTE( SUBSTITUTE( SUBSTITUTE( C565, ""۰"", ""0""), ""۱"", ""1""), ""۲"", ""2""), ""۳"", ""3""), ""۴"", ""4""), ""۵"", ""5""), ""۶"", ""6"&amp;"""), ""۷"", ""7""), ""۸"", ""8""), ""۹"", ""9""), IF(LEFT(converted,3)=""+98"", ""0"" &amp; RIGHT(converted, LEN(converted)-3), IF(LEFT(converted,2)=""98"", ""0"" &amp; RIGHT(converted, LEN(converted)-2), IF(LEFT(converted,1)&lt;&gt;""0"", ""0"" &amp; converted, REGEXREPLA"&amp;"CE(converted , ""\s"", """")) ) ) ) )"),"09124943004")</f>
        <v>09124943004</v>
      </c>
      <c r="E565" s="205" t="s">
        <v>17</v>
      </c>
      <c r="F565" s="206">
        <v>3.0</v>
      </c>
      <c r="G565" s="202"/>
      <c r="H565" s="202" t="s">
        <v>3388</v>
      </c>
      <c r="I565" s="203"/>
      <c r="J565" s="203" t="s">
        <v>3389</v>
      </c>
      <c r="K565" s="207" t="s">
        <v>3390</v>
      </c>
      <c r="L565" s="207" t="s">
        <v>3391</v>
      </c>
      <c r="M565" s="202"/>
      <c r="N565" s="207"/>
      <c r="O565" s="207"/>
      <c r="P565" s="202"/>
      <c r="Q565" s="208"/>
      <c r="R565" s="86"/>
      <c r="S565" s="114">
        <f t="shared" ref="S565:T565" si="566">A565</f>
        <v>565</v>
      </c>
      <c r="T565" s="114" t="str">
        <f t="shared" si="566"/>
        <v>درسا جلایی</v>
      </c>
      <c r="U565" s="86" t="str">
        <f t="shared" si="3"/>
        <v>09124943004</v>
      </c>
      <c r="V565" s="86" t="str">
        <f t="shared" si="4"/>
        <v>پیش‌وایی 3</v>
      </c>
      <c r="W565" s="86"/>
      <c r="X565" s="86"/>
    </row>
    <row r="566">
      <c r="A566" s="192">
        <v>566.0</v>
      </c>
      <c r="B566" s="199" t="s">
        <v>3392</v>
      </c>
      <c r="C566" s="194" t="s">
        <v>3393</v>
      </c>
      <c r="D566" s="195" t="str">
        <f>IFERROR(__xludf.DUMMYFUNCTION("ARRAYFORMULA(LET( converted, SUBSTITUTE( SUBSTITUTE( SUBSTITUTE( SUBSTITUTE( SUBSTITUTE( SUBSTITUTE( SUBSTITUTE( SUBSTITUTE( SUBSTITUTE( SUBSTITUTE( C566, ""۰"", ""0""), ""۱"", ""1""), ""۲"", ""2""), ""۳"", ""3""), ""۴"", ""4""), ""۵"", ""5""), ""۶"", ""6"&amp;"""), ""۷"", ""7""), ""۸"", ""8""), ""۹"", ""9""), IF(LEFT(converted,3)=""+98"", ""0"" &amp; RIGHT(converted, LEN(converted)-3), IF(LEFT(converted,2)=""98"", ""0"" &amp; RIGHT(converted, LEN(converted)-2), IF(LEFT(converted,1)&lt;&gt;""0"", ""0"" &amp; converted, REGEXREPLA"&amp;"CE(converted , ""\s"", """")) ) ) ) )"),"09128438374")</f>
        <v>09128438374</v>
      </c>
      <c r="E566" s="196" t="s">
        <v>17</v>
      </c>
      <c r="F566" s="197">
        <v>3.0</v>
      </c>
      <c r="G566" s="193"/>
      <c r="H566" s="193" t="s">
        <v>3394</v>
      </c>
      <c r="I566" s="194"/>
      <c r="J566" s="194" t="s">
        <v>3395</v>
      </c>
      <c r="K566" s="199" t="s">
        <v>896</v>
      </c>
      <c r="L566" s="199" t="s">
        <v>3396</v>
      </c>
      <c r="M566" s="193"/>
      <c r="N566" s="199"/>
      <c r="O566" s="199"/>
      <c r="P566" s="193"/>
      <c r="Q566" s="200"/>
      <c r="R566" s="86"/>
      <c r="S566" s="114">
        <f t="shared" ref="S566:T566" si="567">A566</f>
        <v>566</v>
      </c>
      <c r="T566" s="114" t="str">
        <f t="shared" si="567"/>
        <v>حسین فریدونی</v>
      </c>
      <c r="U566" s="86" t="str">
        <f t="shared" si="3"/>
        <v>09128438374</v>
      </c>
      <c r="V566" s="86" t="str">
        <f t="shared" si="4"/>
        <v>پیش‌وایی 3</v>
      </c>
      <c r="W566" s="86"/>
      <c r="X566" s="86"/>
    </row>
    <row r="567">
      <c r="A567" s="201">
        <v>567.0</v>
      </c>
      <c r="B567" s="207" t="s">
        <v>3397</v>
      </c>
      <c r="C567" s="203" t="s">
        <v>3398</v>
      </c>
      <c r="D567" s="204" t="str">
        <f>IFERROR(__xludf.DUMMYFUNCTION("ARRAYFORMULA(LET( converted, SUBSTITUTE( SUBSTITUTE( SUBSTITUTE( SUBSTITUTE( SUBSTITUTE( SUBSTITUTE( SUBSTITUTE( SUBSTITUTE( SUBSTITUTE( SUBSTITUTE( C567, ""۰"", ""0""), ""۱"", ""1""), ""۲"", ""2""), ""۳"", ""3""), ""۴"", ""4""), ""۵"", ""5""), ""۶"", ""6"&amp;"""), ""۷"", ""7""), ""۸"", ""8""), ""۹"", ""9""), IF(LEFT(converted,3)=""+98"", ""0"" &amp; RIGHT(converted, LEN(converted)-3), IF(LEFT(converted,2)=""98"", ""0"" &amp; RIGHT(converted, LEN(converted)-2), IF(LEFT(converted,1)&lt;&gt;""0"", ""0"" &amp; converted, REGEXREPLA"&amp;"CE(converted , ""\s"", """")) ) ) ) )"),"09122187139")</f>
        <v>09122187139</v>
      </c>
      <c r="E567" s="205" t="s">
        <v>17</v>
      </c>
      <c r="F567" s="206">
        <v>3.0</v>
      </c>
      <c r="G567" s="202"/>
      <c r="H567" s="202" t="s">
        <v>3399</v>
      </c>
      <c r="I567" s="203"/>
      <c r="J567" s="203" t="s">
        <v>3400</v>
      </c>
      <c r="K567" s="207" t="s">
        <v>3302</v>
      </c>
      <c r="L567" s="207" t="s">
        <v>3401</v>
      </c>
      <c r="M567" s="202"/>
      <c r="N567" s="207"/>
      <c r="O567" s="207"/>
      <c r="P567" s="202"/>
      <c r="Q567" s="208"/>
      <c r="R567" s="86"/>
      <c r="S567" s="114">
        <f t="shared" ref="S567:T567" si="568">A567</f>
        <v>567</v>
      </c>
      <c r="T567" s="114" t="str">
        <f t="shared" si="568"/>
        <v>شیما میهن دوست</v>
      </c>
      <c r="U567" s="86" t="str">
        <f t="shared" si="3"/>
        <v>09122187139</v>
      </c>
      <c r="V567" s="86" t="str">
        <f t="shared" si="4"/>
        <v>پیش‌وایی 3</v>
      </c>
      <c r="W567" s="86"/>
      <c r="X567" s="86"/>
    </row>
    <row r="568">
      <c r="A568" s="192">
        <v>568.0</v>
      </c>
      <c r="B568" s="199" t="s">
        <v>3402</v>
      </c>
      <c r="C568" s="194" t="s">
        <v>3403</v>
      </c>
      <c r="D568" s="195" t="str">
        <f>IFERROR(__xludf.DUMMYFUNCTION("ARRAYFORMULA(LET( converted, SUBSTITUTE( SUBSTITUTE( SUBSTITUTE( SUBSTITUTE( SUBSTITUTE( SUBSTITUTE( SUBSTITUTE( SUBSTITUTE( SUBSTITUTE( SUBSTITUTE( C568, ""۰"", ""0""), ""۱"", ""1""), ""۲"", ""2""), ""۳"", ""3""), ""۴"", ""4""), ""۵"", ""5""), ""۶"", ""6"&amp;"""), ""۷"", ""7""), ""۸"", ""8""), ""۹"", ""9""), IF(LEFT(converted,3)=""+98"", ""0"" &amp; RIGHT(converted, LEN(converted)-3), IF(LEFT(converted,2)=""98"", ""0"" &amp; RIGHT(converted, LEN(converted)-2), IF(LEFT(converted,1)&lt;&gt;""0"", ""0"" &amp; converted, REGEXREPLA"&amp;"CE(converted , ""\s"", """")) ) ) ) )"),"09210895989")</f>
        <v>09210895989</v>
      </c>
      <c r="E568" s="196" t="s">
        <v>17</v>
      </c>
      <c r="F568" s="197">
        <v>3.0</v>
      </c>
      <c r="G568" s="193"/>
      <c r="H568" s="193" t="s">
        <v>3404</v>
      </c>
      <c r="I568" s="194"/>
      <c r="J568" s="194" t="s">
        <v>3405</v>
      </c>
      <c r="K568" s="199" t="s">
        <v>3406</v>
      </c>
      <c r="L568" s="199" t="s">
        <v>3407</v>
      </c>
      <c r="M568" s="193"/>
      <c r="N568" s="199"/>
      <c r="O568" s="199"/>
      <c r="P568" s="193"/>
      <c r="Q568" s="200"/>
      <c r="R568" s="86"/>
      <c r="S568" s="114">
        <f t="shared" ref="S568:T568" si="569">A568</f>
        <v>568</v>
      </c>
      <c r="T568" s="114" t="str">
        <f t="shared" si="569"/>
        <v>بردیا سیداحمدنیا</v>
      </c>
      <c r="U568" s="86" t="str">
        <f t="shared" si="3"/>
        <v>09210895989</v>
      </c>
      <c r="V568" s="86" t="str">
        <f t="shared" si="4"/>
        <v>پیش‌وایی 3</v>
      </c>
      <c r="W568" s="86"/>
      <c r="X568" s="86"/>
    </row>
    <row r="569">
      <c r="A569" s="201">
        <v>569.0</v>
      </c>
      <c r="B569" s="207" t="s">
        <v>3408</v>
      </c>
      <c r="C569" s="203" t="s">
        <v>3409</v>
      </c>
      <c r="D569" s="204" t="str">
        <f>IFERROR(__xludf.DUMMYFUNCTION("ARRAYFORMULA(LET( converted, SUBSTITUTE( SUBSTITUTE( SUBSTITUTE( SUBSTITUTE( SUBSTITUTE( SUBSTITUTE( SUBSTITUTE( SUBSTITUTE( SUBSTITUTE( SUBSTITUTE( C569, ""۰"", ""0""), ""۱"", ""1""), ""۲"", ""2""), ""۳"", ""3""), ""۴"", ""4""), ""۵"", ""5""), ""۶"", ""6"&amp;"""), ""۷"", ""7""), ""۸"", ""8""), ""۹"", ""9""), IF(LEFT(converted,3)=""+98"", ""0"" &amp; RIGHT(converted, LEN(converted)-3), IF(LEFT(converted,2)=""98"", ""0"" &amp; RIGHT(converted, LEN(converted)-2), IF(LEFT(converted,1)&lt;&gt;""0"", ""0"" &amp; converted, REGEXREPLA"&amp;"CE(converted , ""\s"", """")) ) ) ) )"),"09369915829")</f>
        <v>09369915829</v>
      </c>
      <c r="E569" s="205" t="s">
        <v>17</v>
      </c>
      <c r="F569" s="206">
        <v>3.0</v>
      </c>
      <c r="G569" s="202"/>
      <c r="H569" s="202" t="s">
        <v>3410</v>
      </c>
      <c r="I569" s="203"/>
      <c r="J569" s="203" t="s">
        <v>3411</v>
      </c>
      <c r="K569" s="207" t="s">
        <v>3412</v>
      </c>
      <c r="L569" s="207" t="s">
        <v>3413</v>
      </c>
      <c r="M569" s="202"/>
      <c r="N569" s="207"/>
      <c r="O569" s="207"/>
      <c r="P569" s="202"/>
      <c r="Q569" s="208"/>
      <c r="R569" s="86"/>
      <c r="S569" s="114">
        <f t="shared" ref="S569:T569" si="570">A569</f>
        <v>569</v>
      </c>
      <c r="T569" s="114" t="str">
        <f t="shared" si="570"/>
        <v>حانیه محمدعلی زاده</v>
      </c>
      <c r="U569" s="86" t="str">
        <f t="shared" si="3"/>
        <v>09369915829</v>
      </c>
      <c r="V569" s="86" t="str">
        <f t="shared" si="4"/>
        <v>پیش‌وایی 3</v>
      </c>
      <c r="W569" s="86"/>
      <c r="X569" s="86"/>
    </row>
    <row r="570">
      <c r="A570" s="192">
        <v>570.0</v>
      </c>
      <c r="B570" s="199" t="s">
        <v>3414</v>
      </c>
      <c r="C570" s="194" t="s">
        <v>3415</v>
      </c>
      <c r="D570" s="195" t="str">
        <f>IFERROR(__xludf.DUMMYFUNCTION("ARRAYFORMULA(LET( converted, SUBSTITUTE( SUBSTITUTE( SUBSTITUTE( SUBSTITUTE( SUBSTITUTE( SUBSTITUTE( SUBSTITUTE( SUBSTITUTE( SUBSTITUTE( SUBSTITUTE( C570, ""۰"", ""0""), ""۱"", ""1""), ""۲"", ""2""), ""۳"", ""3""), ""۴"", ""4""), ""۵"", ""5""), ""۶"", ""6"&amp;"""), ""۷"", ""7""), ""۸"", ""8""), ""۹"", ""9""), IF(LEFT(converted,3)=""+98"", ""0"" &amp; RIGHT(converted, LEN(converted)-3), IF(LEFT(converted,2)=""98"", ""0"" &amp; RIGHT(converted, LEN(converted)-2), IF(LEFT(converted,1)&lt;&gt;""0"", ""0"" &amp; converted, REGEXREPLA"&amp;"CE(converted , ""\s"", """")) ) ) ) )"),"09369958764")</f>
        <v>09369958764</v>
      </c>
      <c r="E570" s="196" t="s">
        <v>17</v>
      </c>
      <c r="F570" s="197">
        <v>3.0</v>
      </c>
      <c r="G570" s="193"/>
      <c r="H570" s="193" t="s">
        <v>3416</v>
      </c>
      <c r="I570" s="194"/>
      <c r="J570" s="194" t="s">
        <v>3417</v>
      </c>
      <c r="K570" s="199" t="s">
        <v>292</v>
      </c>
      <c r="L570" s="199" t="s">
        <v>3418</v>
      </c>
      <c r="M570" s="193"/>
      <c r="N570" s="199"/>
      <c r="O570" s="199"/>
      <c r="P570" s="193"/>
      <c r="Q570" s="200"/>
      <c r="R570" s="86"/>
      <c r="S570" s="114">
        <f t="shared" ref="S570:T570" si="571">A570</f>
        <v>570</v>
      </c>
      <c r="T570" s="114" t="str">
        <f t="shared" si="571"/>
        <v>مریم شیخ لو</v>
      </c>
      <c r="U570" s="86" t="str">
        <f t="shared" si="3"/>
        <v>09369958764</v>
      </c>
      <c r="V570" s="86" t="str">
        <f t="shared" si="4"/>
        <v>پیش‌وایی 3</v>
      </c>
      <c r="W570" s="86"/>
      <c r="X570" s="86"/>
    </row>
    <row r="571">
      <c r="A571" s="201">
        <v>571.0</v>
      </c>
      <c r="B571" s="207" t="s">
        <v>3419</v>
      </c>
      <c r="C571" s="203" t="s">
        <v>3420</v>
      </c>
      <c r="D571" s="204" t="str">
        <f>IFERROR(__xludf.DUMMYFUNCTION("ARRAYFORMULA(LET( converted, SUBSTITUTE( SUBSTITUTE( SUBSTITUTE( SUBSTITUTE( SUBSTITUTE( SUBSTITUTE( SUBSTITUTE( SUBSTITUTE( SUBSTITUTE( SUBSTITUTE( C571, ""۰"", ""0""), ""۱"", ""1""), ""۲"", ""2""), ""۳"", ""3""), ""۴"", ""4""), ""۵"", ""5""), ""۶"", ""6"&amp;"""), ""۷"", ""7""), ""۸"", ""8""), ""۹"", ""9""), IF(LEFT(converted,3)=""+98"", ""0"" &amp; RIGHT(converted, LEN(converted)-3), IF(LEFT(converted,2)=""98"", ""0"" &amp; RIGHT(converted, LEN(converted)-2), IF(LEFT(converted,1)&lt;&gt;""0"", ""0"" &amp; converted, REGEXREPLA"&amp;"CE(converted , ""\s"", """")) ) ) ) )"),"09384949646")</f>
        <v>09384949646</v>
      </c>
      <c r="E571" s="205" t="s">
        <v>17</v>
      </c>
      <c r="F571" s="206">
        <v>3.0</v>
      </c>
      <c r="G571" s="202"/>
      <c r="H571" s="202" t="s">
        <v>3421</v>
      </c>
      <c r="I571" s="203"/>
      <c r="J571" s="203" t="s">
        <v>3422</v>
      </c>
      <c r="K571" s="207" t="s">
        <v>2222</v>
      </c>
      <c r="L571" s="207" t="s">
        <v>1821</v>
      </c>
      <c r="M571" s="202"/>
      <c r="N571" s="207"/>
      <c r="O571" s="207"/>
      <c r="P571" s="202"/>
      <c r="Q571" s="208"/>
      <c r="R571" s="86"/>
      <c r="S571" s="114">
        <f t="shared" ref="S571:T571" si="572">A571</f>
        <v>571</v>
      </c>
      <c r="T571" s="114" t="str">
        <f t="shared" si="572"/>
        <v>نازنین نصیری</v>
      </c>
      <c r="U571" s="86" t="str">
        <f t="shared" si="3"/>
        <v>09384949646</v>
      </c>
      <c r="V571" s="86" t="str">
        <f t="shared" si="4"/>
        <v>پیش‌وایی 3</v>
      </c>
      <c r="W571" s="86"/>
      <c r="X571" s="86"/>
    </row>
    <row r="572">
      <c r="A572" s="192">
        <v>572.0</v>
      </c>
      <c r="B572" s="199" t="s">
        <v>3423</v>
      </c>
      <c r="C572" s="194" t="s">
        <v>3424</v>
      </c>
      <c r="D572" s="195" t="str">
        <f>IFERROR(__xludf.DUMMYFUNCTION("ARRAYFORMULA(LET( converted, SUBSTITUTE( SUBSTITUTE( SUBSTITUTE( SUBSTITUTE( SUBSTITUTE( SUBSTITUTE( SUBSTITUTE( SUBSTITUTE( SUBSTITUTE( SUBSTITUTE( C572, ""۰"", ""0""), ""۱"", ""1""), ""۲"", ""2""), ""۳"", ""3""), ""۴"", ""4""), ""۵"", ""5""), ""۶"", ""6"&amp;"""), ""۷"", ""7""), ""۸"", ""8""), ""۹"", ""9""), IF(LEFT(converted,3)=""+98"", ""0"" &amp; RIGHT(converted, LEN(converted)-3), IF(LEFT(converted,2)=""98"", ""0"" &amp; RIGHT(converted, LEN(converted)-2), IF(LEFT(converted,1)&lt;&gt;""0"", ""0"" &amp; converted, REGEXREPLA"&amp;"CE(converted , ""\s"", """")) ) ) ) )"),"09017963311")</f>
        <v>09017963311</v>
      </c>
      <c r="E572" s="196" t="s">
        <v>17</v>
      </c>
      <c r="F572" s="197">
        <v>3.0</v>
      </c>
      <c r="G572" s="193"/>
      <c r="H572" s="193" t="s">
        <v>3425</v>
      </c>
      <c r="I572" s="194"/>
      <c r="J572" s="194" t="s">
        <v>3426</v>
      </c>
      <c r="K572" s="199" t="s">
        <v>303</v>
      </c>
      <c r="L572" s="199" t="s">
        <v>3427</v>
      </c>
      <c r="M572" s="193"/>
      <c r="N572" s="199"/>
      <c r="O572" s="199"/>
      <c r="P572" s="193"/>
      <c r="Q572" s="200"/>
      <c r="R572" s="86"/>
      <c r="S572" s="114">
        <f t="shared" ref="S572:T572" si="573">A572</f>
        <v>572</v>
      </c>
      <c r="T572" s="114" t="str">
        <f t="shared" si="573"/>
        <v>محمد آنالویی</v>
      </c>
      <c r="U572" s="86" t="str">
        <f t="shared" si="3"/>
        <v>09017963311</v>
      </c>
      <c r="V572" s="86" t="str">
        <f t="shared" si="4"/>
        <v>پیش‌وایی 3</v>
      </c>
      <c r="W572" s="86"/>
      <c r="X572" s="86"/>
    </row>
    <row r="573">
      <c r="A573" s="201">
        <v>573.0</v>
      </c>
      <c r="B573" s="207" t="s">
        <v>3428</v>
      </c>
      <c r="C573" s="203" t="s">
        <v>3429</v>
      </c>
      <c r="D573" s="204" t="str">
        <f>IFERROR(__xludf.DUMMYFUNCTION("ARRAYFORMULA(LET( converted, SUBSTITUTE( SUBSTITUTE( SUBSTITUTE( SUBSTITUTE( SUBSTITUTE( SUBSTITUTE( SUBSTITUTE( SUBSTITUTE( SUBSTITUTE( SUBSTITUTE( C573, ""۰"", ""0""), ""۱"", ""1""), ""۲"", ""2""), ""۳"", ""3""), ""۴"", ""4""), ""۵"", ""5""), ""۶"", ""6"&amp;"""), ""۷"", ""7""), ""۸"", ""8""), ""۹"", ""9""), IF(LEFT(converted,3)=""+98"", ""0"" &amp; RIGHT(converted, LEN(converted)-3), IF(LEFT(converted,2)=""98"", ""0"" &amp; RIGHT(converted, LEN(converted)-2), IF(LEFT(converted,1)&lt;&gt;""0"", ""0"" &amp; converted, REGEXREPLA"&amp;"CE(converted , ""\s"", """")) ) ) ) )"),"09371977359")</f>
        <v>09371977359</v>
      </c>
      <c r="E573" s="205" t="s">
        <v>17</v>
      </c>
      <c r="F573" s="206">
        <v>3.0</v>
      </c>
      <c r="G573" s="202"/>
      <c r="H573" s="202" t="s">
        <v>3430</v>
      </c>
      <c r="I573" s="203"/>
      <c r="J573" s="203" t="s">
        <v>3431</v>
      </c>
      <c r="K573" s="207" t="s">
        <v>3432</v>
      </c>
      <c r="L573" s="207" t="s">
        <v>3433</v>
      </c>
      <c r="M573" s="202"/>
      <c r="N573" s="207"/>
      <c r="O573" s="207"/>
      <c r="P573" s="202"/>
      <c r="Q573" s="208"/>
      <c r="R573" s="86"/>
      <c r="S573" s="114">
        <f t="shared" ref="S573:T573" si="574">A573</f>
        <v>573</v>
      </c>
      <c r="T573" s="114" t="str">
        <f t="shared" si="574"/>
        <v>شهره بی آزار</v>
      </c>
      <c r="U573" s="86" t="str">
        <f t="shared" si="3"/>
        <v>09371977359</v>
      </c>
      <c r="V573" s="86" t="str">
        <f t="shared" si="4"/>
        <v>پیش‌وایی 3</v>
      </c>
      <c r="W573" s="86"/>
      <c r="X573" s="86"/>
    </row>
    <row r="574">
      <c r="A574" s="192">
        <v>574.0</v>
      </c>
      <c r="B574" s="199" t="s">
        <v>3434</v>
      </c>
      <c r="C574" s="194" t="s">
        <v>3435</v>
      </c>
      <c r="D574" s="195" t="str">
        <f>IFERROR(__xludf.DUMMYFUNCTION("ARRAYFORMULA(LET( converted, SUBSTITUTE( SUBSTITUTE( SUBSTITUTE( SUBSTITUTE( SUBSTITUTE( SUBSTITUTE( SUBSTITUTE( SUBSTITUTE( SUBSTITUTE( SUBSTITUTE( C574, ""۰"", ""0""), ""۱"", ""1""), ""۲"", ""2""), ""۳"", ""3""), ""۴"", ""4""), ""۵"", ""5""), ""۶"", ""6"&amp;"""), ""۷"", ""7""), ""۸"", ""8""), ""۹"", ""9""), IF(LEFT(converted,3)=""+98"", ""0"" &amp; RIGHT(converted, LEN(converted)-3), IF(LEFT(converted,2)=""98"", ""0"" &amp; RIGHT(converted, LEN(converted)-2), IF(LEFT(converted,1)&lt;&gt;""0"", ""0"" &amp; converted, REGEXREPLA"&amp;"CE(converted , ""\s"", """")) ) ) ) )"),"09144873093")</f>
        <v>09144873093</v>
      </c>
      <c r="E574" s="196" t="s">
        <v>17</v>
      </c>
      <c r="F574" s="197">
        <v>3.0</v>
      </c>
      <c r="G574" s="193"/>
      <c r="H574" s="193" t="s">
        <v>3436</v>
      </c>
      <c r="I574" s="194"/>
      <c r="J574" s="194" t="s">
        <v>3437</v>
      </c>
      <c r="K574" s="199" t="s">
        <v>1161</v>
      </c>
      <c r="L574" s="199" t="s">
        <v>3438</v>
      </c>
      <c r="M574" s="193"/>
      <c r="N574" s="199"/>
      <c r="O574" s="199"/>
      <c r="P574" s="193"/>
      <c r="Q574" s="200"/>
      <c r="R574" s="86"/>
      <c r="S574" s="114">
        <f t="shared" ref="S574:T574" si="575">A574</f>
        <v>574</v>
      </c>
      <c r="T574" s="114" t="str">
        <f t="shared" si="575"/>
        <v>سینا رنج كش زاده</v>
      </c>
      <c r="U574" s="86" t="str">
        <f t="shared" si="3"/>
        <v>09144873093</v>
      </c>
      <c r="V574" s="86" t="str">
        <f t="shared" si="4"/>
        <v>پیش‌وایی 3</v>
      </c>
      <c r="W574" s="86"/>
      <c r="X574" s="86"/>
    </row>
    <row r="575">
      <c r="A575" s="201">
        <v>575.0</v>
      </c>
      <c r="B575" s="207" t="s">
        <v>3439</v>
      </c>
      <c r="C575" s="203" t="s">
        <v>3440</v>
      </c>
      <c r="D575" s="204" t="str">
        <f>IFERROR(__xludf.DUMMYFUNCTION("ARRAYFORMULA(LET( converted, SUBSTITUTE( SUBSTITUTE( SUBSTITUTE( SUBSTITUTE( SUBSTITUTE( SUBSTITUTE( SUBSTITUTE( SUBSTITUTE( SUBSTITUTE( SUBSTITUTE( C575, ""۰"", ""0""), ""۱"", ""1""), ""۲"", ""2""), ""۳"", ""3""), ""۴"", ""4""), ""۵"", ""5""), ""۶"", ""6"&amp;"""), ""۷"", ""7""), ""۸"", ""8""), ""۹"", ""9""), IF(LEFT(converted,3)=""+98"", ""0"" &amp; RIGHT(converted, LEN(converted)-3), IF(LEFT(converted,2)=""98"", ""0"" &amp; RIGHT(converted, LEN(converted)-2), IF(LEFT(converted,1)&lt;&gt;""0"", ""0"" &amp; converted, REGEXREPLA"&amp;"CE(converted , ""\s"", """")) ) ) ) )"),"09193218398")</f>
        <v>09193218398</v>
      </c>
      <c r="E575" s="205" t="s">
        <v>17</v>
      </c>
      <c r="F575" s="206">
        <v>3.0</v>
      </c>
      <c r="G575" s="202"/>
      <c r="H575" s="202" t="s">
        <v>3441</v>
      </c>
      <c r="I575" s="203"/>
      <c r="J575" s="203" t="s">
        <v>3442</v>
      </c>
      <c r="K575" s="207" t="s">
        <v>1018</v>
      </c>
      <c r="L575" s="207" t="s">
        <v>3443</v>
      </c>
      <c r="M575" s="202"/>
      <c r="N575" s="207"/>
      <c r="O575" s="207"/>
      <c r="P575" s="202"/>
      <c r="Q575" s="208"/>
      <c r="R575" s="86"/>
      <c r="S575" s="114">
        <f t="shared" ref="S575:T575" si="576">A575</f>
        <v>575</v>
      </c>
      <c r="T575" s="114" t="str">
        <f t="shared" si="576"/>
        <v>علی منظمی</v>
      </c>
      <c r="U575" s="86" t="str">
        <f t="shared" si="3"/>
        <v>09193218398</v>
      </c>
      <c r="V575" s="86" t="str">
        <f t="shared" si="4"/>
        <v>پیش‌وایی 3</v>
      </c>
      <c r="W575" s="86"/>
      <c r="X575" s="86"/>
    </row>
    <row r="576">
      <c r="A576" s="192">
        <v>576.0</v>
      </c>
      <c r="B576" s="199" t="s">
        <v>3444</v>
      </c>
      <c r="C576" s="194" t="s">
        <v>3445</v>
      </c>
      <c r="D576" s="195" t="str">
        <f>IFERROR(__xludf.DUMMYFUNCTION("ARRAYFORMULA(LET( converted, SUBSTITUTE( SUBSTITUTE( SUBSTITUTE( SUBSTITUTE( SUBSTITUTE( SUBSTITUTE( SUBSTITUTE( SUBSTITUTE( SUBSTITUTE( SUBSTITUTE( C576, ""۰"", ""0""), ""۱"", ""1""), ""۲"", ""2""), ""۳"", ""3""), ""۴"", ""4""), ""۵"", ""5""), ""۶"", ""6"&amp;"""), ""۷"", ""7""), ""۸"", ""8""), ""۹"", ""9""), IF(LEFT(converted,3)=""+98"", ""0"" &amp; RIGHT(converted, LEN(converted)-3), IF(LEFT(converted,2)=""98"", ""0"" &amp; RIGHT(converted, LEN(converted)-2), IF(LEFT(converted,1)&lt;&gt;""0"", ""0"" &amp; converted, REGEXREPLA"&amp;"CE(converted , ""\s"", """")) ) ) ) )"),"09125140924")</f>
        <v>09125140924</v>
      </c>
      <c r="E576" s="196" t="s">
        <v>17</v>
      </c>
      <c r="F576" s="197">
        <v>3.0</v>
      </c>
      <c r="G576" s="193"/>
      <c r="H576" s="193" t="s">
        <v>3446</v>
      </c>
      <c r="I576" s="194"/>
      <c r="J576" s="194" t="s">
        <v>3447</v>
      </c>
      <c r="K576" s="199" t="s">
        <v>1473</v>
      </c>
      <c r="L576" s="199" t="s">
        <v>3448</v>
      </c>
      <c r="M576" s="193"/>
      <c r="N576" s="199"/>
      <c r="O576" s="199"/>
      <c r="P576" s="193"/>
      <c r="Q576" s="200"/>
      <c r="R576" s="86"/>
      <c r="S576" s="114">
        <f t="shared" ref="S576:T576" si="577">A576</f>
        <v>576</v>
      </c>
      <c r="T576" s="114" t="str">
        <f t="shared" si="577"/>
        <v>مصطفی علوی نیك</v>
      </c>
      <c r="U576" s="86" t="str">
        <f t="shared" si="3"/>
        <v>09125140924</v>
      </c>
      <c r="V576" s="86" t="str">
        <f t="shared" si="4"/>
        <v>پیش‌وایی 3</v>
      </c>
      <c r="W576" s="86"/>
      <c r="X576" s="86"/>
    </row>
    <row r="577">
      <c r="A577" s="201">
        <v>577.0</v>
      </c>
      <c r="B577" s="202" t="s">
        <v>3449</v>
      </c>
      <c r="C577" s="203" t="s">
        <v>3450</v>
      </c>
      <c r="D577" s="204" t="str">
        <f>IFERROR(__xludf.DUMMYFUNCTION("ARRAYFORMULA(LET( converted, SUBSTITUTE( SUBSTITUTE( SUBSTITUTE( SUBSTITUTE( SUBSTITUTE( SUBSTITUTE( SUBSTITUTE( SUBSTITUTE( SUBSTITUTE( SUBSTITUTE( C577, ""۰"", ""0""), ""۱"", ""1""), ""۲"", ""2""), ""۳"", ""3""), ""۴"", ""4""), ""۵"", ""5""), ""۶"", ""6"&amp;"""), ""۷"", ""7""), ""۸"", ""8""), ""۹"", ""9""), IF(LEFT(converted,3)=""+98"", ""0"" &amp; RIGHT(converted, LEN(converted)-3), IF(LEFT(converted,2)=""98"", ""0"" &amp; RIGHT(converted, LEN(converted)-2), IF(LEFT(converted,1)&lt;&gt;""0"", ""0"" &amp; converted, REGEXREPLA"&amp;"CE(converted , ""\s"", """")) ) ) ) )"),"09128801664")</f>
        <v>09128801664</v>
      </c>
      <c r="E577" s="205" t="s">
        <v>17</v>
      </c>
      <c r="F577" s="206">
        <v>3.0</v>
      </c>
      <c r="G577" s="202"/>
      <c r="H577" s="202" t="s">
        <v>3451</v>
      </c>
      <c r="I577" s="203"/>
      <c r="J577" s="203" t="s">
        <v>3452</v>
      </c>
      <c r="K577" s="207" t="s">
        <v>3453</v>
      </c>
      <c r="L577" s="207" t="s">
        <v>3454</v>
      </c>
      <c r="M577" s="202"/>
      <c r="N577" s="207"/>
      <c r="O577" s="207"/>
      <c r="P577" s="202"/>
      <c r="Q577" s="208"/>
      <c r="R577" s="86"/>
      <c r="S577" s="114">
        <f t="shared" ref="S577:T577" si="578">A577</f>
        <v>577</v>
      </c>
      <c r="T577" s="114" t="str">
        <f t="shared" si="578"/>
        <v>ثنا محمدزاده</v>
      </c>
      <c r="U577" s="86" t="str">
        <f t="shared" si="3"/>
        <v>09128801664</v>
      </c>
      <c r="V577" s="86" t="str">
        <f t="shared" si="4"/>
        <v>پیش‌وایی 3</v>
      </c>
      <c r="W577" s="86"/>
      <c r="X577" s="86"/>
    </row>
    <row r="578">
      <c r="A578" s="192">
        <v>578.0</v>
      </c>
      <c r="B578" s="199" t="s">
        <v>3455</v>
      </c>
      <c r="C578" s="194" t="s">
        <v>3456</v>
      </c>
      <c r="D578" s="195" t="str">
        <f>IFERROR(__xludf.DUMMYFUNCTION("ARRAYFORMULA(LET( converted, SUBSTITUTE( SUBSTITUTE( SUBSTITUTE( SUBSTITUTE( SUBSTITUTE( SUBSTITUTE( SUBSTITUTE( SUBSTITUTE( SUBSTITUTE( SUBSTITUTE( C578, ""۰"", ""0""), ""۱"", ""1""), ""۲"", ""2""), ""۳"", ""3""), ""۴"", ""4""), ""۵"", ""5""), ""۶"", ""6"&amp;"""), ""۷"", ""7""), ""۸"", ""8""), ""۹"", ""9""), IF(LEFT(converted,3)=""+98"", ""0"" &amp; RIGHT(converted, LEN(converted)-3), IF(LEFT(converted,2)=""98"", ""0"" &amp; RIGHT(converted, LEN(converted)-2), IF(LEFT(converted,1)&lt;&gt;""0"", ""0"" &amp; converted, REGEXREPLA"&amp;"CE(converted , ""\s"", """")) ) ) ) )"),"09361846577")</f>
        <v>09361846577</v>
      </c>
      <c r="E578" s="196" t="s">
        <v>17</v>
      </c>
      <c r="F578" s="197">
        <v>3.0</v>
      </c>
      <c r="G578" s="193"/>
      <c r="H578" s="193" t="s">
        <v>3457</v>
      </c>
      <c r="I578" s="194"/>
      <c r="J578" s="194" t="s">
        <v>3458</v>
      </c>
      <c r="K578" s="199" t="s">
        <v>3459</v>
      </c>
      <c r="L578" s="199" t="s">
        <v>1848</v>
      </c>
      <c r="M578" s="193"/>
      <c r="N578" s="199"/>
      <c r="O578" s="199"/>
      <c r="P578" s="193"/>
      <c r="Q578" s="200"/>
      <c r="R578" s="86"/>
      <c r="S578" s="114">
        <f t="shared" ref="S578:T578" si="579">A578</f>
        <v>578</v>
      </c>
      <c r="T578" s="114" t="str">
        <f t="shared" si="579"/>
        <v>محمدحسن جهانگیری</v>
      </c>
      <c r="U578" s="86" t="str">
        <f t="shared" si="3"/>
        <v>09361846577</v>
      </c>
      <c r="V578" s="86" t="str">
        <f t="shared" si="4"/>
        <v>پیش‌وایی 3</v>
      </c>
      <c r="W578" s="86"/>
      <c r="X578" s="86"/>
    </row>
    <row r="579">
      <c r="A579" s="201">
        <v>579.0</v>
      </c>
      <c r="B579" s="207" t="s">
        <v>3460</v>
      </c>
      <c r="C579" s="203" t="s">
        <v>3461</v>
      </c>
      <c r="D579" s="204" t="str">
        <f>IFERROR(__xludf.DUMMYFUNCTION("ARRAYFORMULA(LET( converted, SUBSTITUTE( SUBSTITUTE( SUBSTITUTE( SUBSTITUTE( SUBSTITUTE( SUBSTITUTE( SUBSTITUTE( SUBSTITUTE( SUBSTITUTE( SUBSTITUTE( C579, ""۰"", ""0""), ""۱"", ""1""), ""۲"", ""2""), ""۳"", ""3""), ""۴"", ""4""), ""۵"", ""5""), ""۶"", ""6"&amp;"""), ""۷"", ""7""), ""۸"", ""8""), ""۹"", ""9""), IF(LEFT(converted,3)=""+98"", ""0"" &amp; RIGHT(converted, LEN(converted)-3), IF(LEFT(converted,2)=""98"", ""0"" &amp; RIGHT(converted, LEN(converted)-2), IF(LEFT(converted,1)&lt;&gt;""0"", ""0"" &amp; converted, REGEXREPLA"&amp;"CE(converted , ""\s"", """")) ) ) ) )"),"09134819020")</f>
        <v>09134819020</v>
      </c>
      <c r="E579" s="205" t="s">
        <v>17</v>
      </c>
      <c r="F579" s="206">
        <v>3.0</v>
      </c>
      <c r="G579" s="202"/>
      <c r="H579" s="202" t="s">
        <v>3462</v>
      </c>
      <c r="I579" s="203"/>
      <c r="J579" s="203" t="s">
        <v>3463</v>
      </c>
      <c r="K579" s="207" t="s">
        <v>1576</v>
      </c>
      <c r="L579" s="207" t="s">
        <v>3464</v>
      </c>
      <c r="M579" s="202"/>
      <c r="N579" s="207"/>
      <c r="O579" s="207"/>
      <c r="P579" s="202"/>
      <c r="Q579" s="208"/>
      <c r="R579" s="86"/>
      <c r="S579" s="114">
        <f t="shared" ref="S579:T579" si="580">A579</f>
        <v>579</v>
      </c>
      <c r="T579" s="114" t="str">
        <f t="shared" si="580"/>
        <v>سمانه خسروی</v>
      </c>
      <c r="U579" s="86" t="str">
        <f t="shared" si="3"/>
        <v>09134819020</v>
      </c>
      <c r="V579" s="86" t="str">
        <f t="shared" si="4"/>
        <v>پیش‌وایی 3</v>
      </c>
      <c r="W579" s="86"/>
      <c r="X579" s="86"/>
    </row>
    <row r="580">
      <c r="A580" s="192">
        <v>580.0</v>
      </c>
      <c r="B580" s="199" t="s">
        <v>3465</v>
      </c>
      <c r="C580" s="194" t="s">
        <v>3466</v>
      </c>
      <c r="D580" s="195" t="str">
        <f>IFERROR(__xludf.DUMMYFUNCTION("ARRAYFORMULA(LET( converted, SUBSTITUTE( SUBSTITUTE( SUBSTITUTE( SUBSTITUTE( SUBSTITUTE( SUBSTITUTE( SUBSTITUTE( SUBSTITUTE( SUBSTITUTE( SUBSTITUTE( C580, ""۰"", ""0""), ""۱"", ""1""), ""۲"", ""2""), ""۳"", ""3""), ""۴"", ""4""), ""۵"", ""5""), ""۶"", ""6"&amp;"""), ""۷"", ""7""), ""۸"", ""8""), ""۹"", ""9""), IF(LEFT(converted,3)=""+98"", ""0"" &amp; RIGHT(converted, LEN(converted)-3), IF(LEFT(converted,2)=""98"", ""0"" &amp; RIGHT(converted, LEN(converted)-2), IF(LEFT(converted,1)&lt;&gt;""0"", ""0"" &amp; converted, REGEXREPLA"&amp;"CE(converted , ""\s"", """")) ) ) ) )"),"09205212014")</f>
        <v>09205212014</v>
      </c>
      <c r="E580" s="196" t="s">
        <v>17</v>
      </c>
      <c r="F580" s="197">
        <v>3.0</v>
      </c>
      <c r="G580" s="193"/>
      <c r="H580" s="193" t="s">
        <v>3467</v>
      </c>
      <c r="I580" s="194"/>
      <c r="J580" s="194" t="s">
        <v>3468</v>
      </c>
      <c r="K580" s="199" t="s">
        <v>3469</v>
      </c>
      <c r="L580" s="199" t="s">
        <v>3231</v>
      </c>
      <c r="M580" s="193"/>
      <c r="N580" s="199"/>
      <c r="O580" s="199"/>
      <c r="P580" s="193"/>
      <c r="Q580" s="200"/>
      <c r="R580" s="86"/>
      <c r="S580" s="114">
        <f t="shared" ref="S580:T580" si="581">A580</f>
        <v>580</v>
      </c>
      <c r="T580" s="114" t="str">
        <f t="shared" si="581"/>
        <v>آرمان كریمی</v>
      </c>
      <c r="U580" s="86" t="str">
        <f t="shared" si="3"/>
        <v>09205212014</v>
      </c>
      <c r="V580" s="86" t="str">
        <f t="shared" si="4"/>
        <v>پیش‌وایی 3</v>
      </c>
      <c r="W580" s="86"/>
      <c r="X580" s="86"/>
    </row>
    <row r="581">
      <c r="A581" s="201">
        <v>581.0</v>
      </c>
      <c r="B581" s="207" t="s">
        <v>2303</v>
      </c>
      <c r="C581" s="203" t="s">
        <v>2304</v>
      </c>
      <c r="D581" s="204" t="str">
        <f>IFERROR(__xludf.DUMMYFUNCTION("ARRAYFORMULA(LET( converted, SUBSTITUTE( SUBSTITUTE( SUBSTITUTE( SUBSTITUTE( SUBSTITUTE( SUBSTITUTE( SUBSTITUTE( SUBSTITUTE( SUBSTITUTE( SUBSTITUTE( C581, ""۰"", ""0""), ""۱"", ""1""), ""۲"", ""2""), ""۳"", ""3""), ""۴"", ""4""), ""۵"", ""5""), ""۶"", ""6"&amp;"""), ""۷"", ""7""), ""۸"", ""8""), ""۹"", ""9""), IF(LEFT(converted,3)=""+98"", ""0"" &amp; RIGHT(converted, LEN(converted)-3), IF(LEFT(converted,2)=""98"", ""0"" &amp; RIGHT(converted, LEN(converted)-2), IF(LEFT(converted,1)&lt;&gt;""0"", ""0"" &amp; converted, REGEXREPLA"&amp;"CE(converted , ""\s"", """")) ) ) ) )"),"09121501411")</f>
        <v>09121501411</v>
      </c>
      <c r="E581" s="205" t="s">
        <v>17</v>
      </c>
      <c r="F581" s="206">
        <v>3.0</v>
      </c>
      <c r="G581" s="202"/>
      <c r="H581" s="202" t="s">
        <v>2305</v>
      </c>
      <c r="I581" s="203"/>
      <c r="J581" s="203" t="s">
        <v>3470</v>
      </c>
      <c r="K581" s="207" t="s">
        <v>2306</v>
      </c>
      <c r="L581" s="207" t="s">
        <v>2307</v>
      </c>
      <c r="M581" s="202"/>
      <c r="N581" s="207"/>
      <c r="O581" s="207"/>
      <c r="P581" s="202"/>
      <c r="Q581" s="208"/>
      <c r="R581" s="86"/>
      <c r="S581" s="114">
        <f t="shared" ref="S581:T581" si="582">A581</f>
        <v>581</v>
      </c>
      <c r="T581" s="114" t="str">
        <f t="shared" si="582"/>
        <v>مرتضی رستگار</v>
      </c>
      <c r="U581" s="86" t="str">
        <f t="shared" si="3"/>
        <v>09121501411</v>
      </c>
      <c r="V581" s="86" t="str">
        <f t="shared" si="4"/>
        <v>پیش‌وایی 3</v>
      </c>
      <c r="W581" s="86"/>
      <c r="X581" s="86"/>
    </row>
    <row r="582">
      <c r="A582" s="192">
        <v>582.0</v>
      </c>
      <c r="B582" s="199" t="s">
        <v>3471</v>
      </c>
      <c r="C582" s="194" t="s">
        <v>3472</v>
      </c>
      <c r="D582" s="195" t="str">
        <f>IFERROR(__xludf.DUMMYFUNCTION("ARRAYFORMULA(LET( converted, SUBSTITUTE( SUBSTITUTE( SUBSTITUTE( SUBSTITUTE( SUBSTITUTE( SUBSTITUTE( SUBSTITUTE( SUBSTITUTE( SUBSTITUTE( SUBSTITUTE( C582, ""۰"", ""0""), ""۱"", ""1""), ""۲"", ""2""), ""۳"", ""3""), ""۴"", ""4""), ""۵"", ""5""), ""۶"", ""6"&amp;"""), ""۷"", ""7""), ""۸"", ""8""), ""۹"", ""9""), IF(LEFT(converted,3)=""+98"", ""0"" &amp; RIGHT(converted, LEN(converted)-3), IF(LEFT(converted,2)=""98"", ""0"" &amp; RIGHT(converted, LEN(converted)-2), IF(LEFT(converted,1)&lt;&gt;""0"", ""0"" &amp; converted, REGEXREPLA"&amp;"CE(converted , ""\s"", """")) ) ) ) )"),"09122468029")</f>
        <v>09122468029</v>
      </c>
      <c r="E582" s="196" t="s">
        <v>17</v>
      </c>
      <c r="F582" s="197">
        <v>3.0</v>
      </c>
      <c r="G582" s="193"/>
      <c r="H582" s="193" t="s">
        <v>3473</v>
      </c>
      <c r="I582" s="194"/>
      <c r="J582" s="194" t="s">
        <v>3474</v>
      </c>
      <c r="K582" s="199" t="s">
        <v>3475</v>
      </c>
      <c r="L582" s="199" t="s">
        <v>3476</v>
      </c>
      <c r="M582" s="193"/>
      <c r="N582" s="199"/>
      <c r="O582" s="199"/>
      <c r="P582" s="193"/>
      <c r="Q582" s="200"/>
      <c r="R582" s="86"/>
      <c r="S582" s="114">
        <f t="shared" ref="S582:T582" si="583">A582</f>
        <v>582</v>
      </c>
      <c r="T582" s="114" t="str">
        <f t="shared" si="583"/>
        <v>عبدا... شاه علی</v>
      </c>
      <c r="U582" s="86" t="str">
        <f t="shared" si="3"/>
        <v>09122468029</v>
      </c>
      <c r="V582" s="86" t="str">
        <f t="shared" si="4"/>
        <v>پیش‌وایی 3</v>
      </c>
      <c r="W582" s="86"/>
      <c r="X582" s="86"/>
    </row>
    <row r="583">
      <c r="A583" s="201">
        <v>583.0</v>
      </c>
      <c r="B583" s="207" t="s">
        <v>3477</v>
      </c>
      <c r="C583" s="203" t="s">
        <v>3478</v>
      </c>
      <c r="D583" s="204" t="str">
        <f>IFERROR(__xludf.DUMMYFUNCTION("ARRAYFORMULA(LET( converted, SUBSTITUTE( SUBSTITUTE( SUBSTITUTE( SUBSTITUTE( SUBSTITUTE( SUBSTITUTE( SUBSTITUTE( SUBSTITUTE( SUBSTITUTE( SUBSTITUTE( C583, ""۰"", ""0""), ""۱"", ""1""), ""۲"", ""2""), ""۳"", ""3""), ""۴"", ""4""), ""۵"", ""5""), ""۶"", ""6"&amp;"""), ""۷"", ""7""), ""۸"", ""8""), ""۹"", ""9""), IF(LEFT(converted,3)=""+98"", ""0"" &amp; RIGHT(converted, LEN(converted)-3), IF(LEFT(converted,2)=""98"", ""0"" &amp; RIGHT(converted, LEN(converted)-2), IF(LEFT(converted,1)&lt;&gt;""0"", ""0"" &amp; converted, REGEXREPLA"&amp;"CE(converted , ""\s"", """")) ) ) ) )"),"09927962791")</f>
        <v>09927962791</v>
      </c>
      <c r="E583" s="205" t="s">
        <v>17</v>
      </c>
      <c r="F583" s="206">
        <v>3.0</v>
      </c>
      <c r="G583" s="202"/>
      <c r="H583" s="202" t="s">
        <v>3479</v>
      </c>
      <c r="I583" s="203"/>
      <c r="J583" s="203" t="s">
        <v>3480</v>
      </c>
      <c r="K583" s="207" t="s">
        <v>274</v>
      </c>
      <c r="L583" s="207" t="s">
        <v>3481</v>
      </c>
      <c r="M583" s="202"/>
      <c r="N583" s="207"/>
      <c r="O583" s="207"/>
      <c r="P583" s="202"/>
      <c r="Q583" s="208"/>
      <c r="R583" s="86"/>
      <c r="S583" s="114">
        <f t="shared" ref="S583:T583" si="584">A583</f>
        <v>583</v>
      </c>
      <c r="T583" s="114" t="str">
        <f t="shared" si="584"/>
        <v>فاطمه درویشی</v>
      </c>
      <c r="U583" s="86" t="str">
        <f t="shared" si="3"/>
        <v>09927962791</v>
      </c>
      <c r="V583" s="86" t="str">
        <f t="shared" si="4"/>
        <v>پیش‌وایی 3</v>
      </c>
      <c r="W583" s="86"/>
      <c r="X583" s="86"/>
    </row>
    <row r="584">
      <c r="A584" s="192">
        <v>584.0</v>
      </c>
      <c r="B584" s="199" t="s">
        <v>3482</v>
      </c>
      <c r="C584" s="194" t="s">
        <v>3483</v>
      </c>
      <c r="D584" s="195" t="str">
        <f>IFERROR(__xludf.DUMMYFUNCTION("ARRAYFORMULA(LET( converted, SUBSTITUTE( SUBSTITUTE( SUBSTITUTE( SUBSTITUTE( SUBSTITUTE( SUBSTITUTE( SUBSTITUTE( SUBSTITUTE( SUBSTITUTE( SUBSTITUTE( C584, ""۰"", ""0""), ""۱"", ""1""), ""۲"", ""2""), ""۳"", ""3""), ""۴"", ""4""), ""۵"", ""5""), ""۶"", ""6"&amp;"""), ""۷"", ""7""), ""۸"", ""8""), ""۹"", ""9""), IF(LEFT(converted,3)=""+98"", ""0"" &amp; RIGHT(converted, LEN(converted)-3), IF(LEFT(converted,2)=""98"", ""0"" &amp; RIGHT(converted, LEN(converted)-2), IF(LEFT(converted,1)&lt;&gt;""0"", ""0"" &amp; converted, REGEXREPLA"&amp;"CE(converted , ""\s"", """")) ) ) ) )"),"09124522729")</f>
        <v>09124522729</v>
      </c>
      <c r="E584" s="196" t="s">
        <v>17</v>
      </c>
      <c r="F584" s="197">
        <v>3.0</v>
      </c>
      <c r="G584" s="193"/>
      <c r="H584" s="193" t="s">
        <v>3484</v>
      </c>
      <c r="I584" s="194"/>
      <c r="J584" s="194" t="s">
        <v>3485</v>
      </c>
      <c r="K584" s="199" t="s">
        <v>1018</v>
      </c>
      <c r="L584" s="199" t="s">
        <v>3486</v>
      </c>
      <c r="M584" s="193"/>
      <c r="N584" s="199"/>
      <c r="O584" s="199"/>
      <c r="P584" s="193"/>
      <c r="Q584" s="200"/>
      <c r="R584" s="86"/>
      <c r="S584" s="114">
        <f t="shared" ref="S584:T584" si="585">A584</f>
        <v>584</v>
      </c>
      <c r="T584" s="114" t="str">
        <f t="shared" si="585"/>
        <v>علی افسری</v>
      </c>
      <c r="U584" s="86" t="str">
        <f t="shared" si="3"/>
        <v>09124522729</v>
      </c>
      <c r="V584" s="86" t="str">
        <f t="shared" si="4"/>
        <v>پیش‌وایی 3</v>
      </c>
      <c r="W584" s="86"/>
      <c r="X584" s="86"/>
    </row>
    <row r="585">
      <c r="A585" s="201">
        <v>585.0</v>
      </c>
      <c r="B585" s="207" t="s">
        <v>3487</v>
      </c>
      <c r="C585" s="203" t="s">
        <v>3488</v>
      </c>
      <c r="D585" s="204" t="str">
        <f>IFERROR(__xludf.DUMMYFUNCTION("ARRAYFORMULA(LET( converted, SUBSTITUTE( SUBSTITUTE( SUBSTITUTE( SUBSTITUTE( SUBSTITUTE( SUBSTITUTE( SUBSTITUTE( SUBSTITUTE( SUBSTITUTE( SUBSTITUTE( C585, ""۰"", ""0""), ""۱"", ""1""), ""۲"", ""2""), ""۳"", ""3""), ""۴"", ""4""), ""۵"", ""5""), ""۶"", ""6"&amp;"""), ""۷"", ""7""), ""۸"", ""8""), ""۹"", ""9""), IF(LEFT(converted,3)=""+98"", ""0"" &amp; RIGHT(converted, LEN(converted)-3), IF(LEFT(converted,2)=""98"", ""0"" &amp; RIGHT(converted, LEN(converted)-2), IF(LEFT(converted,1)&lt;&gt;""0"", ""0"" &amp; converted, REGEXREPLA"&amp;"CE(converted , ""\s"", """")) ) ) ) )"),"09366037615")</f>
        <v>09366037615</v>
      </c>
      <c r="E585" s="205" t="s">
        <v>17</v>
      </c>
      <c r="F585" s="206">
        <v>3.0</v>
      </c>
      <c r="G585" s="202"/>
      <c r="H585" s="202" t="s">
        <v>3489</v>
      </c>
      <c r="I585" s="203"/>
      <c r="J585" s="203" t="s">
        <v>3490</v>
      </c>
      <c r="K585" s="207" t="s">
        <v>996</v>
      </c>
      <c r="L585" s="207" t="s">
        <v>1064</v>
      </c>
      <c r="M585" s="202"/>
      <c r="N585" s="207"/>
      <c r="O585" s="207"/>
      <c r="P585" s="202"/>
      <c r="Q585" s="208"/>
      <c r="R585" s="86"/>
      <c r="S585" s="114">
        <f t="shared" ref="S585:T585" si="586">A585</f>
        <v>585</v>
      </c>
      <c r="T585" s="114" t="str">
        <f t="shared" si="586"/>
        <v>حسام عبیری</v>
      </c>
      <c r="U585" s="86" t="str">
        <f t="shared" si="3"/>
        <v>09366037615</v>
      </c>
      <c r="V585" s="86" t="str">
        <f t="shared" si="4"/>
        <v>پیش‌وایی 3</v>
      </c>
      <c r="W585" s="86"/>
      <c r="X585" s="86"/>
    </row>
    <row r="586">
      <c r="A586" s="192">
        <v>586.0</v>
      </c>
      <c r="B586" s="199" t="s">
        <v>3491</v>
      </c>
      <c r="C586" s="194" t="s">
        <v>3492</v>
      </c>
      <c r="D586" s="195" t="str">
        <f>IFERROR(__xludf.DUMMYFUNCTION("ARRAYFORMULA(LET( converted, SUBSTITUTE( SUBSTITUTE( SUBSTITUTE( SUBSTITUTE( SUBSTITUTE( SUBSTITUTE( SUBSTITUTE( SUBSTITUTE( SUBSTITUTE( SUBSTITUTE( C586, ""۰"", ""0""), ""۱"", ""1""), ""۲"", ""2""), ""۳"", ""3""), ""۴"", ""4""), ""۵"", ""5""), ""۶"", ""6"&amp;"""), ""۷"", ""7""), ""۸"", ""8""), ""۹"", ""9""), IF(LEFT(converted,3)=""+98"", ""0"" &amp; RIGHT(converted, LEN(converted)-3), IF(LEFT(converted,2)=""98"", ""0"" &amp; RIGHT(converted, LEN(converted)-2), IF(LEFT(converted,1)&lt;&gt;""0"", ""0"" &amp; converted, REGEXREPLA"&amp;"CE(converted , ""\s"", """")) ) ) ) )"),"09122026008")</f>
        <v>09122026008</v>
      </c>
      <c r="E586" s="196" t="s">
        <v>17</v>
      </c>
      <c r="F586" s="197">
        <v>3.0</v>
      </c>
      <c r="G586" s="193"/>
      <c r="H586" s="193" t="s">
        <v>3493</v>
      </c>
      <c r="I586" s="194"/>
      <c r="J586" s="194" t="s">
        <v>3494</v>
      </c>
      <c r="K586" s="199" t="s">
        <v>758</v>
      </c>
      <c r="L586" s="199" t="s">
        <v>3495</v>
      </c>
      <c r="M586" s="193"/>
      <c r="N586" s="199"/>
      <c r="O586" s="199"/>
      <c r="P586" s="193"/>
      <c r="Q586" s="200"/>
      <c r="R586" s="86"/>
      <c r="S586" s="114">
        <f t="shared" ref="S586:T586" si="587">A586</f>
        <v>586</v>
      </c>
      <c r="T586" s="114" t="str">
        <f t="shared" si="587"/>
        <v>سعید محمدی زكی</v>
      </c>
      <c r="U586" s="86" t="str">
        <f t="shared" si="3"/>
        <v>09122026008</v>
      </c>
      <c r="V586" s="86" t="str">
        <f t="shared" si="4"/>
        <v>پیش‌وایی 3</v>
      </c>
      <c r="W586" s="86"/>
      <c r="X586" s="86"/>
    </row>
    <row r="587">
      <c r="A587" s="201">
        <v>587.0</v>
      </c>
      <c r="B587" s="207" t="s">
        <v>3496</v>
      </c>
      <c r="C587" s="203" t="s">
        <v>3497</v>
      </c>
      <c r="D587" s="204" t="str">
        <f>IFERROR(__xludf.DUMMYFUNCTION("ARRAYFORMULA(LET( converted, SUBSTITUTE( SUBSTITUTE( SUBSTITUTE( SUBSTITUTE( SUBSTITUTE( SUBSTITUTE( SUBSTITUTE( SUBSTITUTE( SUBSTITUTE( SUBSTITUTE( C587, ""۰"", ""0""), ""۱"", ""1""), ""۲"", ""2""), ""۳"", ""3""), ""۴"", ""4""), ""۵"", ""5""), ""۶"", ""6"&amp;"""), ""۷"", ""7""), ""۸"", ""8""), ""۹"", ""9""), IF(LEFT(converted,3)=""+98"", ""0"" &amp; RIGHT(converted, LEN(converted)-3), IF(LEFT(converted,2)=""98"", ""0"" &amp; RIGHT(converted, LEN(converted)-2), IF(LEFT(converted,1)&lt;&gt;""0"", ""0"" &amp; converted, REGEXREPLA"&amp;"CE(converted , ""\s"", """")) ) ) ) )"),"09178164926")</f>
        <v>09178164926</v>
      </c>
      <c r="E587" s="205" t="s">
        <v>17</v>
      </c>
      <c r="F587" s="206">
        <v>3.0</v>
      </c>
      <c r="G587" s="202"/>
      <c r="H587" s="202" t="s">
        <v>3498</v>
      </c>
      <c r="I587" s="203"/>
      <c r="J587" s="203" t="s">
        <v>3499</v>
      </c>
      <c r="K587" s="207" t="s">
        <v>3459</v>
      </c>
      <c r="L587" s="207" t="s">
        <v>242</v>
      </c>
      <c r="M587" s="202"/>
      <c r="N587" s="207"/>
      <c r="O587" s="207"/>
      <c r="P587" s="202"/>
      <c r="Q587" s="208"/>
      <c r="R587" s="86"/>
      <c r="S587" s="114">
        <f t="shared" ref="S587:T587" si="588">A587</f>
        <v>587</v>
      </c>
      <c r="T587" s="114" t="str">
        <f t="shared" si="588"/>
        <v>محمدحسن زارعی</v>
      </c>
      <c r="U587" s="86" t="str">
        <f t="shared" si="3"/>
        <v>09178164926</v>
      </c>
      <c r="V587" s="86" t="str">
        <f t="shared" si="4"/>
        <v>پیش‌وایی 3</v>
      </c>
      <c r="W587" s="86"/>
      <c r="X587" s="86"/>
    </row>
    <row r="588">
      <c r="A588" s="192">
        <v>588.0</v>
      </c>
      <c r="B588" s="199" t="s">
        <v>3500</v>
      </c>
      <c r="C588" s="194" t="s">
        <v>3501</v>
      </c>
      <c r="D588" s="195" t="str">
        <f>IFERROR(__xludf.DUMMYFUNCTION("ARRAYFORMULA(LET( converted, SUBSTITUTE( SUBSTITUTE( SUBSTITUTE( SUBSTITUTE( SUBSTITUTE( SUBSTITUTE( SUBSTITUTE( SUBSTITUTE( SUBSTITUTE( SUBSTITUTE( C588, ""۰"", ""0""), ""۱"", ""1""), ""۲"", ""2""), ""۳"", ""3""), ""۴"", ""4""), ""۵"", ""5""), ""۶"", ""6"&amp;"""), ""۷"", ""7""), ""۸"", ""8""), ""۹"", ""9""), IF(LEFT(converted,3)=""+98"", ""0"" &amp; RIGHT(converted, LEN(converted)-3), IF(LEFT(converted,2)=""98"", ""0"" &amp; RIGHT(converted, LEN(converted)-2), IF(LEFT(converted,1)&lt;&gt;""0"", ""0"" &amp; converted, REGEXREPLA"&amp;"CE(converted , ""\s"", """")) ) ) ) )"),"09376868602")</f>
        <v>09376868602</v>
      </c>
      <c r="E588" s="196" t="s">
        <v>17</v>
      </c>
      <c r="F588" s="197">
        <v>3.0</v>
      </c>
      <c r="G588" s="193"/>
      <c r="H588" s="193" t="s">
        <v>3502</v>
      </c>
      <c r="I588" s="194"/>
      <c r="J588" s="194" t="s">
        <v>3503</v>
      </c>
      <c r="K588" s="199" t="s">
        <v>102</v>
      </c>
      <c r="L588" s="199" t="s">
        <v>3188</v>
      </c>
      <c r="M588" s="193"/>
      <c r="N588" s="199"/>
      <c r="O588" s="199"/>
      <c r="P588" s="193"/>
      <c r="Q588" s="200"/>
      <c r="R588" s="86"/>
      <c r="S588" s="114">
        <f t="shared" ref="S588:T588" si="589">A588</f>
        <v>588</v>
      </c>
      <c r="T588" s="114" t="str">
        <f t="shared" si="589"/>
        <v>نیما كاوه</v>
      </c>
      <c r="U588" s="86" t="str">
        <f t="shared" si="3"/>
        <v>09376868602</v>
      </c>
      <c r="V588" s="86" t="str">
        <f t="shared" si="4"/>
        <v>پیش‌وایی 3</v>
      </c>
      <c r="W588" s="86"/>
      <c r="X588" s="86"/>
    </row>
    <row r="589">
      <c r="A589" s="201">
        <v>589.0</v>
      </c>
      <c r="B589" s="207" t="s">
        <v>3504</v>
      </c>
      <c r="C589" s="203" t="s">
        <v>3505</v>
      </c>
      <c r="D589" s="204" t="str">
        <f>IFERROR(__xludf.DUMMYFUNCTION("ARRAYFORMULA(LET( converted, SUBSTITUTE( SUBSTITUTE( SUBSTITUTE( SUBSTITUTE( SUBSTITUTE( SUBSTITUTE( SUBSTITUTE( SUBSTITUTE( SUBSTITUTE( SUBSTITUTE( C589, ""۰"", ""0""), ""۱"", ""1""), ""۲"", ""2""), ""۳"", ""3""), ""۴"", ""4""), ""۵"", ""5""), ""۶"", ""6"&amp;"""), ""۷"", ""7""), ""۸"", ""8""), ""۹"", ""9""), IF(LEFT(converted,3)=""+98"", ""0"" &amp; RIGHT(converted, LEN(converted)-3), IF(LEFT(converted,2)=""98"", ""0"" &amp; RIGHT(converted, LEN(converted)-2), IF(LEFT(converted,1)&lt;&gt;""0"", ""0"" &amp; converted, REGEXREPLA"&amp;"CE(converted , ""\s"", """")) ) ) ) )"),"09355073105")</f>
        <v>09355073105</v>
      </c>
      <c r="E589" s="205" t="s">
        <v>17</v>
      </c>
      <c r="F589" s="206">
        <v>3.0</v>
      </c>
      <c r="G589" s="202"/>
      <c r="H589" s="202" t="s">
        <v>3506</v>
      </c>
      <c r="I589" s="203"/>
      <c r="J589" s="203" t="s">
        <v>3507</v>
      </c>
      <c r="K589" s="207" t="s">
        <v>1569</v>
      </c>
      <c r="L589" s="207" t="s">
        <v>3508</v>
      </c>
      <c r="M589" s="202"/>
      <c r="N589" s="207"/>
      <c r="O589" s="207"/>
      <c r="P589" s="202"/>
      <c r="Q589" s="208"/>
      <c r="R589" s="86"/>
      <c r="S589" s="114">
        <f t="shared" ref="S589:T589" si="590">A589</f>
        <v>589</v>
      </c>
      <c r="T589" s="114" t="str">
        <f t="shared" si="590"/>
        <v>حسن حمیدی</v>
      </c>
      <c r="U589" s="86" t="str">
        <f t="shared" si="3"/>
        <v>09355073105</v>
      </c>
      <c r="V589" s="86" t="str">
        <f t="shared" si="4"/>
        <v>پیش‌وایی 3</v>
      </c>
      <c r="W589" s="86"/>
      <c r="X589" s="86"/>
    </row>
    <row r="590">
      <c r="A590" s="192">
        <v>590.0</v>
      </c>
      <c r="B590" s="199" t="s">
        <v>3509</v>
      </c>
      <c r="C590" s="194" t="s">
        <v>3510</v>
      </c>
      <c r="D590" s="195" t="str">
        <f>IFERROR(__xludf.DUMMYFUNCTION("ARRAYFORMULA(LET( converted, SUBSTITUTE( SUBSTITUTE( SUBSTITUTE( SUBSTITUTE( SUBSTITUTE( SUBSTITUTE( SUBSTITUTE( SUBSTITUTE( SUBSTITUTE( SUBSTITUTE( C590, ""۰"", ""0""), ""۱"", ""1""), ""۲"", ""2""), ""۳"", ""3""), ""۴"", ""4""), ""۵"", ""5""), ""۶"", ""6"&amp;"""), ""۷"", ""7""), ""۸"", ""8""), ""۹"", ""9""), IF(LEFT(converted,3)=""+98"", ""0"" &amp; RIGHT(converted, LEN(converted)-3), IF(LEFT(converted,2)=""98"", ""0"" &amp; RIGHT(converted, LEN(converted)-2), IF(LEFT(converted,1)&lt;&gt;""0"", ""0"" &amp; converted, REGEXREPLA"&amp;"CE(converted , ""\s"", """")) ) ) ) )"),"09398679668")</f>
        <v>09398679668</v>
      </c>
      <c r="E590" s="196" t="s">
        <v>17</v>
      </c>
      <c r="F590" s="197">
        <v>3.0</v>
      </c>
      <c r="G590" s="193"/>
      <c r="H590" s="193" t="s">
        <v>3511</v>
      </c>
      <c r="I590" s="194"/>
      <c r="J590" s="194" t="s">
        <v>3512</v>
      </c>
      <c r="K590" s="199" t="s">
        <v>758</v>
      </c>
      <c r="L590" s="199" t="s">
        <v>3513</v>
      </c>
      <c r="M590" s="193"/>
      <c r="N590" s="199"/>
      <c r="O590" s="199"/>
      <c r="P590" s="193"/>
      <c r="Q590" s="200"/>
      <c r="R590" s="86"/>
      <c r="S590" s="114">
        <f t="shared" ref="S590:T590" si="591">A590</f>
        <v>590</v>
      </c>
      <c r="T590" s="114" t="str">
        <f t="shared" si="591"/>
        <v>سعید بهجت</v>
      </c>
      <c r="U590" s="86" t="str">
        <f t="shared" si="3"/>
        <v>09398679668</v>
      </c>
      <c r="V590" s="86" t="str">
        <f t="shared" si="4"/>
        <v>پیش‌وایی 3</v>
      </c>
      <c r="W590" s="86"/>
      <c r="X590" s="86"/>
    </row>
    <row r="591">
      <c r="A591" s="201">
        <v>591.0</v>
      </c>
      <c r="B591" s="202" t="s">
        <v>3514</v>
      </c>
      <c r="C591" s="203" t="s">
        <v>3515</v>
      </c>
      <c r="D591" s="204" t="str">
        <f>IFERROR(__xludf.DUMMYFUNCTION("ARRAYFORMULA(LET( converted, SUBSTITUTE( SUBSTITUTE( SUBSTITUTE( SUBSTITUTE( SUBSTITUTE( SUBSTITUTE( SUBSTITUTE( SUBSTITUTE( SUBSTITUTE( SUBSTITUTE( C591, ""۰"", ""0""), ""۱"", ""1""), ""۲"", ""2""), ""۳"", ""3""), ""۴"", ""4""), ""۵"", ""5""), ""۶"", ""6"&amp;"""), ""۷"", ""7""), ""۸"", ""8""), ""۹"", ""9""), IF(LEFT(converted,3)=""+98"", ""0"" &amp; RIGHT(converted, LEN(converted)-3), IF(LEFT(converted,2)=""98"", ""0"" &amp; RIGHT(converted, LEN(converted)-2), IF(LEFT(converted,1)&lt;&gt;""0"", ""0"" &amp; converted, REGEXREPLA"&amp;"CE(converted , ""\s"", """")) ) ) ) )"),"09124849142")</f>
        <v>09124849142</v>
      </c>
      <c r="E591" s="205" t="s">
        <v>17</v>
      </c>
      <c r="F591" s="206">
        <v>3.0</v>
      </c>
      <c r="G591" s="202"/>
      <c r="H591" s="202" t="s">
        <v>3516</v>
      </c>
      <c r="I591" s="203"/>
      <c r="J591" s="203" t="s">
        <v>3517</v>
      </c>
      <c r="K591" s="207" t="s">
        <v>1398</v>
      </c>
      <c r="L591" s="207" t="s">
        <v>3518</v>
      </c>
      <c r="M591" s="202"/>
      <c r="N591" s="207"/>
      <c r="O591" s="207"/>
      <c r="P591" s="202"/>
      <c r="Q591" s="208"/>
      <c r="R591" s="86"/>
      <c r="S591" s="114">
        <f t="shared" ref="S591:T591" si="592">A591</f>
        <v>591</v>
      </c>
      <c r="T591" s="114" t="str">
        <f t="shared" si="592"/>
        <v>زهرا صباغ</v>
      </c>
      <c r="U591" s="86" t="str">
        <f t="shared" si="3"/>
        <v>09124849142</v>
      </c>
      <c r="V591" s="86" t="str">
        <f t="shared" si="4"/>
        <v>پیش‌وایی 3</v>
      </c>
      <c r="W591" s="86"/>
      <c r="X591" s="86"/>
    </row>
    <row r="592">
      <c r="A592" s="192">
        <v>592.0</v>
      </c>
      <c r="B592" s="199" t="s">
        <v>3519</v>
      </c>
      <c r="C592" s="194" t="s">
        <v>3520</v>
      </c>
      <c r="D592" s="195" t="str">
        <f>IFERROR(__xludf.DUMMYFUNCTION("ARRAYFORMULA(LET( converted, SUBSTITUTE( SUBSTITUTE( SUBSTITUTE( SUBSTITUTE( SUBSTITUTE( SUBSTITUTE( SUBSTITUTE( SUBSTITUTE( SUBSTITUTE( SUBSTITUTE( C592, ""۰"", ""0""), ""۱"", ""1""), ""۲"", ""2""), ""۳"", ""3""), ""۴"", ""4""), ""۵"", ""5""), ""۶"", ""6"&amp;"""), ""۷"", ""7""), ""۸"", ""8""), ""۹"", ""9""), IF(LEFT(converted,3)=""+98"", ""0"" &amp; RIGHT(converted, LEN(converted)-3), IF(LEFT(converted,2)=""98"", ""0"" &amp; RIGHT(converted, LEN(converted)-2), IF(LEFT(converted,1)&lt;&gt;""0"", ""0"" &amp; converted, REGEXREPLA"&amp;"CE(converted , ""\s"", """")) ) ) ) )"),"09128601825")</f>
        <v>09128601825</v>
      </c>
      <c r="E592" s="196" t="s">
        <v>17</v>
      </c>
      <c r="F592" s="197">
        <v>3.0</v>
      </c>
      <c r="G592" s="193"/>
      <c r="H592" s="193" t="s">
        <v>3521</v>
      </c>
      <c r="I592" s="194"/>
      <c r="J592" s="194" t="s">
        <v>3522</v>
      </c>
      <c r="K592" s="199" t="s">
        <v>3523</v>
      </c>
      <c r="L592" s="199" t="s">
        <v>3524</v>
      </c>
      <c r="M592" s="193"/>
      <c r="N592" s="199"/>
      <c r="O592" s="199"/>
      <c r="P592" s="193"/>
      <c r="Q592" s="200"/>
      <c r="R592" s="86"/>
      <c r="S592" s="114">
        <f t="shared" ref="S592:T592" si="593">A592</f>
        <v>592</v>
      </c>
      <c r="T592" s="114" t="str">
        <f t="shared" si="593"/>
        <v>سعیده یادگاری</v>
      </c>
      <c r="U592" s="86" t="str">
        <f t="shared" si="3"/>
        <v>09128601825</v>
      </c>
      <c r="V592" s="86" t="str">
        <f t="shared" si="4"/>
        <v>پیش‌وایی 3</v>
      </c>
      <c r="W592" s="86"/>
      <c r="X592" s="86"/>
    </row>
    <row r="593">
      <c r="A593" s="201">
        <v>593.0</v>
      </c>
      <c r="B593" s="207" t="s">
        <v>1592</v>
      </c>
      <c r="C593" s="203" t="s">
        <v>1598</v>
      </c>
      <c r="D593" s="204" t="str">
        <f>IFERROR(__xludf.DUMMYFUNCTION("ARRAYFORMULA(LET( converted, SUBSTITUTE( SUBSTITUTE( SUBSTITUTE( SUBSTITUTE( SUBSTITUTE( SUBSTITUTE( SUBSTITUTE( SUBSTITUTE( SUBSTITUTE( SUBSTITUTE( C593, ""۰"", ""0""), ""۱"", ""1""), ""۲"", ""2""), ""۳"", ""3""), ""۴"", ""4""), ""۵"", ""5""), ""۶"", ""6"&amp;"""), ""۷"", ""7""), ""۸"", ""8""), ""۹"", ""9""), IF(LEFT(converted,3)=""+98"", ""0"" &amp; RIGHT(converted, LEN(converted)-3), IF(LEFT(converted,2)=""98"", ""0"" &amp; RIGHT(converted, LEN(converted)-2), IF(LEFT(converted,1)&lt;&gt;""0"", ""0"" &amp; converted, REGEXREPLA"&amp;"CE(converted , ""\s"", """")) ) ) ) )"),"09331991386")</f>
        <v>09331991386</v>
      </c>
      <c r="E593" s="205" t="s">
        <v>17</v>
      </c>
      <c r="F593" s="206">
        <v>3.0</v>
      </c>
      <c r="G593" s="202"/>
      <c r="H593" s="202" t="s">
        <v>2271</v>
      </c>
      <c r="I593" s="203"/>
      <c r="J593" s="203" t="s">
        <v>2272</v>
      </c>
      <c r="K593" s="207" t="s">
        <v>1085</v>
      </c>
      <c r="L593" s="207" t="s">
        <v>1595</v>
      </c>
      <c r="M593" s="202"/>
      <c r="N593" s="207"/>
      <c r="O593" s="207"/>
      <c r="P593" s="202"/>
      <c r="Q593" s="208"/>
      <c r="R593" s="86"/>
      <c r="S593" s="114">
        <f t="shared" ref="S593:T593" si="594">A593</f>
        <v>593</v>
      </c>
      <c r="T593" s="114" t="str">
        <f t="shared" si="594"/>
        <v>امیررضا فتحی</v>
      </c>
      <c r="U593" s="86" t="str">
        <f t="shared" si="3"/>
        <v>09331991386</v>
      </c>
      <c r="V593" s="86" t="str">
        <f t="shared" si="4"/>
        <v>پیش‌وایی 3</v>
      </c>
      <c r="W593" s="86"/>
      <c r="X593" s="86"/>
    </row>
    <row r="594">
      <c r="A594" s="192">
        <v>594.0</v>
      </c>
      <c r="B594" s="199" t="s">
        <v>3525</v>
      </c>
      <c r="C594" s="194" t="s">
        <v>3526</v>
      </c>
      <c r="D594" s="195" t="str">
        <f>IFERROR(__xludf.DUMMYFUNCTION("ARRAYFORMULA(LET( converted, SUBSTITUTE( SUBSTITUTE( SUBSTITUTE( SUBSTITUTE( SUBSTITUTE( SUBSTITUTE( SUBSTITUTE( SUBSTITUTE( SUBSTITUTE( SUBSTITUTE( C594, ""۰"", ""0""), ""۱"", ""1""), ""۲"", ""2""), ""۳"", ""3""), ""۴"", ""4""), ""۵"", ""5""), ""۶"", ""6"&amp;"""), ""۷"", ""7""), ""۸"", ""8""), ""۹"", ""9""), IF(LEFT(converted,3)=""+98"", ""0"" &amp; RIGHT(converted, LEN(converted)-3), IF(LEFT(converted,2)=""98"", ""0"" &amp; RIGHT(converted, LEN(converted)-2), IF(LEFT(converted,1)&lt;&gt;""0"", ""0"" &amp; converted, REGEXREPLA"&amp;"CE(converted , ""\s"", """")) ) ) ) )"),"09021852525")</f>
        <v>09021852525</v>
      </c>
      <c r="E594" s="196" t="s">
        <v>17</v>
      </c>
      <c r="F594" s="197">
        <v>3.0</v>
      </c>
      <c r="G594" s="193"/>
      <c r="H594" s="193" t="s">
        <v>3527</v>
      </c>
      <c r="I594" s="194"/>
      <c r="J594" s="194" t="s">
        <v>1091</v>
      </c>
      <c r="K594" s="199" t="s">
        <v>303</v>
      </c>
      <c r="L594" s="199" t="s">
        <v>3528</v>
      </c>
      <c r="M594" s="193"/>
      <c r="N594" s="199"/>
      <c r="O594" s="199"/>
      <c r="P594" s="193"/>
      <c r="Q594" s="200"/>
      <c r="R594" s="86"/>
      <c r="S594" s="114">
        <f t="shared" ref="S594:T594" si="595">A594</f>
        <v>594</v>
      </c>
      <c r="T594" s="114" t="str">
        <f t="shared" si="595"/>
        <v>محمد عباسی</v>
      </c>
      <c r="U594" s="86" t="str">
        <f t="shared" si="3"/>
        <v>09021852525</v>
      </c>
      <c r="V594" s="86" t="str">
        <f t="shared" si="4"/>
        <v>پیش‌وایی 3</v>
      </c>
      <c r="W594" s="86"/>
      <c r="X594" s="86"/>
    </row>
    <row r="595">
      <c r="A595" s="201">
        <v>595.0</v>
      </c>
      <c r="B595" s="207" t="s">
        <v>1592</v>
      </c>
      <c r="C595" s="203" t="s">
        <v>1593</v>
      </c>
      <c r="D595" s="204" t="str">
        <f>IFERROR(__xludf.DUMMYFUNCTION("ARRAYFORMULA(LET( converted, SUBSTITUTE( SUBSTITUTE( SUBSTITUTE( SUBSTITUTE( SUBSTITUTE( SUBSTITUTE( SUBSTITUTE( SUBSTITUTE( SUBSTITUTE( SUBSTITUTE( C595, ""۰"", ""0""), ""۱"", ""1""), ""۲"", ""2""), ""۳"", ""3""), ""۴"", ""4""), ""۵"", ""5""), ""۶"", ""6"&amp;"""), ""۷"", ""7""), ""۸"", ""8""), ""۹"", ""9""), IF(LEFT(converted,3)=""+98"", ""0"" &amp; RIGHT(converted, LEN(converted)-3), IF(LEFT(converted,2)=""98"", ""0"" &amp; RIGHT(converted, LEN(converted)-2), IF(LEFT(converted,1)&lt;&gt;""0"", ""0"" &amp; converted, REGEXREPLA"&amp;"CE(converted , ""\s"", """")) ) ) ) )"),"09399887614")</f>
        <v>09399887614</v>
      </c>
      <c r="E595" s="205" t="s">
        <v>17</v>
      </c>
      <c r="F595" s="206">
        <v>3.0</v>
      </c>
      <c r="G595" s="202"/>
      <c r="H595" s="202" t="s">
        <v>1594</v>
      </c>
      <c r="I595" s="203"/>
      <c r="J595" s="203" t="s">
        <v>3172</v>
      </c>
      <c r="K595" s="207" t="s">
        <v>1085</v>
      </c>
      <c r="L595" s="207" t="s">
        <v>1595</v>
      </c>
      <c r="M595" s="202"/>
      <c r="N595" s="207"/>
      <c r="O595" s="207"/>
      <c r="P595" s="202"/>
      <c r="Q595" s="208"/>
      <c r="R595" s="86"/>
      <c r="S595" s="114">
        <f t="shared" ref="S595:T595" si="596">A595</f>
        <v>595</v>
      </c>
      <c r="T595" s="114" t="str">
        <f t="shared" si="596"/>
        <v>امیررضا فتحی</v>
      </c>
      <c r="U595" s="86" t="str">
        <f t="shared" si="3"/>
        <v>09399887614</v>
      </c>
      <c r="V595" s="86" t="str">
        <f t="shared" si="4"/>
        <v>پیش‌وایی 3</v>
      </c>
      <c r="W595" s="86"/>
      <c r="X595" s="86"/>
    </row>
    <row r="596">
      <c r="A596" s="192">
        <v>596.0</v>
      </c>
      <c r="B596" s="193" t="s">
        <v>3529</v>
      </c>
      <c r="C596" s="194" t="s">
        <v>3530</v>
      </c>
      <c r="D596" s="195" t="str">
        <f>IFERROR(__xludf.DUMMYFUNCTION("ARRAYFORMULA(LET( converted, SUBSTITUTE( SUBSTITUTE( SUBSTITUTE( SUBSTITUTE( SUBSTITUTE( SUBSTITUTE( SUBSTITUTE( SUBSTITUTE( SUBSTITUTE( SUBSTITUTE( C596, ""۰"", ""0""), ""۱"", ""1""), ""۲"", ""2""), ""۳"", ""3""), ""۴"", ""4""), ""۵"", ""5""), ""۶"", ""6"&amp;"""), ""۷"", ""7""), ""۸"", ""8""), ""۹"", ""9""), IF(LEFT(converted,3)=""+98"", ""0"" &amp; RIGHT(converted, LEN(converted)-3), IF(LEFT(converted,2)=""98"", ""0"" &amp; RIGHT(converted, LEN(converted)-2), IF(LEFT(converted,1)&lt;&gt;""0"", ""0"" &amp; converted, REGEXREPLA"&amp;"CE(converted , ""\s"", """")) ) ) ) )"),"09198197842")</f>
        <v>09198197842</v>
      </c>
      <c r="E596" s="196" t="s">
        <v>17</v>
      </c>
      <c r="F596" s="197">
        <v>4.0</v>
      </c>
      <c r="G596" s="212" t="s">
        <v>746</v>
      </c>
      <c r="H596" s="193" t="s">
        <v>3531</v>
      </c>
      <c r="I596" s="194"/>
      <c r="J596" s="194" t="s">
        <v>3532</v>
      </c>
      <c r="K596" s="199" t="s">
        <v>292</v>
      </c>
      <c r="L596" s="199" t="s">
        <v>223</v>
      </c>
      <c r="M596" s="193"/>
      <c r="N596" s="199"/>
      <c r="O596" s="199"/>
      <c r="P596" s="193"/>
      <c r="Q596" s="200"/>
      <c r="R596" s="86"/>
      <c r="S596" s="114">
        <f t="shared" ref="S596:T596" si="597">A596</f>
        <v>596</v>
      </c>
      <c r="T596" s="114" t="str">
        <f t="shared" si="597"/>
        <v>مریم کبیری</v>
      </c>
      <c r="U596" s="86" t="str">
        <f t="shared" si="3"/>
        <v>09198197842</v>
      </c>
      <c r="V596" s="86" t="str">
        <f t="shared" si="4"/>
        <v>پیش‌وایی 4</v>
      </c>
      <c r="W596" s="86"/>
      <c r="X596" s="86"/>
    </row>
    <row r="597">
      <c r="A597" s="201">
        <v>597.0</v>
      </c>
      <c r="B597" s="202" t="s">
        <v>3533</v>
      </c>
      <c r="C597" s="203" t="s">
        <v>3534</v>
      </c>
      <c r="D597" s="204" t="str">
        <f>IFERROR(__xludf.DUMMYFUNCTION("ARRAYFORMULA(LET( converted, SUBSTITUTE( SUBSTITUTE( SUBSTITUTE( SUBSTITUTE( SUBSTITUTE( SUBSTITUTE( SUBSTITUTE( SUBSTITUTE( SUBSTITUTE( SUBSTITUTE( C597, ""۰"", ""0""), ""۱"", ""1""), ""۲"", ""2""), ""۳"", ""3""), ""۴"", ""4""), ""۵"", ""5""), ""۶"", ""6"&amp;"""), ""۷"", ""7""), ""۸"", ""8""), ""۹"", ""9""), IF(LEFT(converted,3)=""+98"", ""0"" &amp; RIGHT(converted, LEN(converted)-3), IF(LEFT(converted,2)=""98"", ""0"" &amp; RIGHT(converted, LEN(converted)-2), IF(LEFT(converted,1)&lt;&gt;""0"", ""0"" &amp; converted, REGEXREPLA"&amp;"CE(converted , ""\s"", """")) ) ) ) )"),"09123369054")</f>
        <v>09123369054</v>
      </c>
      <c r="E597" s="205" t="s">
        <v>17</v>
      </c>
      <c r="F597" s="206">
        <v>4.0</v>
      </c>
      <c r="G597" s="202" t="s">
        <v>730</v>
      </c>
      <c r="H597" s="202" t="s">
        <v>3535</v>
      </c>
      <c r="I597" s="203"/>
      <c r="J597" s="203" t="s">
        <v>3536</v>
      </c>
      <c r="K597" s="207" t="s">
        <v>3537</v>
      </c>
      <c r="L597" s="207" t="s">
        <v>3538</v>
      </c>
      <c r="M597" s="202"/>
      <c r="N597" s="207"/>
      <c r="O597" s="207"/>
      <c r="P597" s="202"/>
      <c r="Q597" s="208"/>
      <c r="R597" s="86"/>
      <c r="S597" s="114">
        <f t="shared" ref="S597:T597" si="598">A597</f>
        <v>597</v>
      </c>
      <c r="T597" s="114" t="str">
        <f t="shared" si="598"/>
        <v>کورش کوهی</v>
      </c>
      <c r="U597" s="86" t="str">
        <f t="shared" si="3"/>
        <v>09123369054</v>
      </c>
      <c r="V597" s="86" t="str">
        <f t="shared" si="4"/>
        <v>پیش‌وایی 4</v>
      </c>
      <c r="W597" s="86"/>
      <c r="X597" s="86"/>
    </row>
    <row r="598">
      <c r="A598" s="192">
        <v>598.0</v>
      </c>
      <c r="B598" s="193" t="s">
        <v>3539</v>
      </c>
      <c r="C598" s="194" t="s">
        <v>3540</v>
      </c>
      <c r="D598" s="195" t="str">
        <f>IFERROR(__xludf.DUMMYFUNCTION("ARRAYFORMULA(LET( converted, SUBSTITUTE( SUBSTITUTE( SUBSTITUTE( SUBSTITUTE( SUBSTITUTE( SUBSTITUTE( SUBSTITUTE( SUBSTITUTE( SUBSTITUTE( SUBSTITUTE( C598, ""۰"", ""0""), ""۱"", ""1""), ""۲"", ""2""), ""۳"", ""3""), ""۴"", ""4""), ""۵"", ""5""), ""۶"", ""6"&amp;"""), ""۷"", ""7""), ""۸"", ""8""), ""۹"", ""9""), IF(LEFT(converted,3)=""+98"", ""0"" &amp; RIGHT(converted, LEN(converted)-3), IF(LEFT(converted,2)=""98"", ""0"" &amp; RIGHT(converted, LEN(converted)-2), IF(LEFT(converted,1)&lt;&gt;""0"", ""0"" &amp; converted, REGEXREPLA"&amp;"CE(converted , ""\s"", """")) ) ) ) )"),"09128178864")</f>
        <v>09128178864</v>
      </c>
      <c r="E598" s="196" t="s">
        <v>17</v>
      </c>
      <c r="F598" s="197">
        <v>4.0</v>
      </c>
      <c r="G598" s="193" t="s">
        <v>730</v>
      </c>
      <c r="H598" s="193" t="s">
        <v>3541</v>
      </c>
      <c r="I598" s="194"/>
      <c r="J598" s="194" t="s">
        <v>3542</v>
      </c>
      <c r="K598" s="199" t="s">
        <v>1018</v>
      </c>
      <c r="L598" s="199" t="s">
        <v>3543</v>
      </c>
      <c r="M598" s="193"/>
      <c r="N598" s="199"/>
      <c r="O598" s="199"/>
      <c r="P598" s="193"/>
      <c r="Q598" s="200"/>
      <c r="R598" s="86"/>
      <c r="S598" s="114">
        <f t="shared" ref="S598:T598" si="599">A598</f>
        <v>598</v>
      </c>
      <c r="T598" s="114" t="str">
        <f t="shared" si="599"/>
        <v>علی زواشکیانی</v>
      </c>
      <c r="U598" s="86" t="str">
        <f t="shared" si="3"/>
        <v>09128178864</v>
      </c>
      <c r="V598" s="86" t="str">
        <f t="shared" si="4"/>
        <v>پیش‌وایی 4</v>
      </c>
      <c r="W598" s="86"/>
      <c r="X598" s="86"/>
    </row>
    <row r="599">
      <c r="A599" s="201">
        <v>599.0</v>
      </c>
      <c r="B599" s="202" t="s">
        <v>3544</v>
      </c>
      <c r="C599" s="203" t="s">
        <v>3545</v>
      </c>
      <c r="D599" s="204" t="str">
        <f>IFERROR(__xludf.DUMMYFUNCTION("ARRAYFORMULA(LET( converted, SUBSTITUTE( SUBSTITUTE( SUBSTITUTE( SUBSTITUTE( SUBSTITUTE( SUBSTITUTE( SUBSTITUTE( SUBSTITUTE( SUBSTITUTE( SUBSTITUTE( C599, ""۰"", ""0""), ""۱"", ""1""), ""۲"", ""2""), ""۳"", ""3""), ""۴"", ""4""), ""۵"", ""5""), ""۶"", ""6"&amp;"""), ""۷"", ""7""), ""۸"", ""8""), ""۹"", ""9""), IF(LEFT(converted,3)=""+98"", ""0"" &amp; RIGHT(converted, LEN(converted)-3), IF(LEFT(converted,2)=""98"", ""0"" &amp; RIGHT(converted, LEN(converted)-2), IF(LEFT(converted,1)&lt;&gt;""0"", ""0"" &amp; converted, REGEXREPLA"&amp;"CE(converted , ""\s"", """")) ) ) ) )"),"09203541227")</f>
        <v>09203541227</v>
      </c>
      <c r="E599" s="205" t="s">
        <v>17</v>
      </c>
      <c r="F599" s="206">
        <v>4.0</v>
      </c>
      <c r="G599" s="213" t="s">
        <v>746</v>
      </c>
      <c r="H599" s="209" t="s">
        <v>3546</v>
      </c>
      <c r="I599" s="203"/>
      <c r="J599" s="203" t="s">
        <v>3547</v>
      </c>
      <c r="K599" s="207" t="s">
        <v>1154</v>
      </c>
      <c r="L599" s="207" t="s">
        <v>3548</v>
      </c>
      <c r="M599" s="202"/>
      <c r="N599" s="207"/>
      <c r="O599" s="207"/>
      <c r="P599" s="202"/>
      <c r="Q599" s="208"/>
      <c r="R599" s="86"/>
      <c r="S599" s="114">
        <f t="shared" ref="S599:T599" si="600">A599</f>
        <v>599</v>
      </c>
      <c r="T599" s="114" t="str">
        <f t="shared" si="600"/>
        <v>الناز رفیع زاده</v>
      </c>
      <c r="U599" s="86" t="str">
        <f t="shared" si="3"/>
        <v>09203541227</v>
      </c>
      <c r="V599" s="86" t="str">
        <f t="shared" si="4"/>
        <v>پیش‌وایی 4</v>
      </c>
      <c r="W599" s="86"/>
      <c r="X599" s="86"/>
    </row>
    <row r="600">
      <c r="A600" s="192">
        <v>600.0</v>
      </c>
      <c r="B600" s="193" t="s">
        <v>1813</v>
      </c>
      <c r="C600" s="194" t="s">
        <v>3549</v>
      </c>
      <c r="D600" s="195" t="str">
        <f>IFERROR(__xludf.DUMMYFUNCTION("ARRAYFORMULA(LET( converted, SUBSTITUTE( SUBSTITUTE( SUBSTITUTE( SUBSTITUTE( SUBSTITUTE( SUBSTITUTE( SUBSTITUTE( SUBSTITUTE( SUBSTITUTE( SUBSTITUTE( C600, ""۰"", ""0""), ""۱"", ""1""), ""۲"", ""2""), ""۳"", ""3""), ""۴"", ""4""), ""۵"", ""5""), ""۶"", ""6"&amp;"""), ""۷"", ""7""), ""۸"", ""8""), ""۹"", ""9""), IF(LEFT(converted,3)=""+98"", ""0"" &amp; RIGHT(converted, LEN(converted)-3), IF(LEFT(converted,2)=""98"", ""0"" &amp; RIGHT(converted, LEN(converted)-2), IF(LEFT(converted,1)&lt;&gt;""0"", ""0"" &amp; converted, REGEXREPLA"&amp;"CE(converted , ""\s"", """")) ) ) ) )"),"09125003785")</f>
        <v>09125003785</v>
      </c>
      <c r="E600" s="196" t="s">
        <v>17</v>
      </c>
      <c r="F600" s="197">
        <v>4.0</v>
      </c>
      <c r="G600" s="193" t="s">
        <v>730</v>
      </c>
      <c r="H600" s="198" t="s">
        <v>1814</v>
      </c>
      <c r="I600" s="194"/>
      <c r="J600" s="194" t="s">
        <v>3550</v>
      </c>
      <c r="K600" s="199" t="s">
        <v>286</v>
      </c>
      <c r="L600" s="199" t="s">
        <v>1815</v>
      </c>
      <c r="M600" s="193"/>
      <c r="N600" s="199"/>
      <c r="O600" s="199"/>
      <c r="P600" s="193"/>
      <c r="Q600" s="200"/>
      <c r="R600" s="86"/>
      <c r="S600" s="114">
        <f t="shared" ref="S600:T600" si="601">A600</f>
        <v>600</v>
      </c>
      <c r="T600" s="114" t="str">
        <f t="shared" si="601"/>
        <v>مهدی فلاح</v>
      </c>
      <c r="U600" s="86" t="str">
        <f t="shared" si="3"/>
        <v>09125003785</v>
      </c>
      <c r="V600" s="86" t="str">
        <f t="shared" si="4"/>
        <v>پیش‌وایی 4</v>
      </c>
      <c r="W600" s="86"/>
      <c r="X600" s="86"/>
    </row>
    <row r="601">
      <c r="A601" s="201">
        <v>601.0</v>
      </c>
      <c r="B601" s="202" t="s">
        <v>3551</v>
      </c>
      <c r="C601" s="203" t="s">
        <v>3552</v>
      </c>
      <c r="D601" s="204" t="str">
        <f>IFERROR(__xludf.DUMMYFUNCTION("ARRAYFORMULA(LET( converted, SUBSTITUTE( SUBSTITUTE( SUBSTITUTE( SUBSTITUTE( SUBSTITUTE( SUBSTITUTE( SUBSTITUTE( SUBSTITUTE( SUBSTITUTE( SUBSTITUTE( C601, ""۰"", ""0""), ""۱"", ""1""), ""۲"", ""2""), ""۳"", ""3""), ""۴"", ""4""), ""۵"", ""5""), ""۶"", ""6"&amp;"""), ""۷"", ""7""), ""۸"", ""8""), ""۹"", ""9""), IF(LEFT(converted,3)=""+98"", ""0"" &amp; RIGHT(converted, LEN(converted)-3), IF(LEFT(converted,2)=""98"", ""0"" &amp; RIGHT(converted, LEN(converted)-2), IF(LEFT(converted,1)&lt;&gt;""0"", ""0"" &amp; converted, REGEXREPLA"&amp;"CE(converted , ""\s"", """")) ) ) ) )"),"09125596126")</f>
        <v>09125596126</v>
      </c>
      <c r="E601" s="205" t="s">
        <v>17</v>
      </c>
      <c r="F601" s="206">
        <v>4.0</v>
      </c>
      <c r="G601" s="202" t="s">
        <v>730</v>
      </c>
      <c r="H601" s="202" t="s">
        <v>3553</v>
      </c>
      <c r="I601" s="203"/>
      <c r="J601" s="203" t="s">
        <v>3554</v>
      </c>
      <c r="K601" s="207" t="s">
        <v>186</v>
      </c>
      <c r="L601" s="207" t="s">
        <v>3555</v>
      </c>
      <c r="M601" s="202"/>
      <c r="N601" s="207"/>
      <c r="O601" s="207"/>
      <c r="P601" s="202"/>
      <c r="Q601" s="208"/>
      <c r="R601" s="86"/>
      <c r="S601" s="114">
        <f t="shared" ref="S601:T601" si="602">A601</f>
        <v>601</v>
      </c>
      <c r="T601" s="114" t="str">
        <f t="shared" si="602"/>
        <v>فرزاد اقبالی</v>
      </c>
      <c r="U601" s="86" t="str">
        <f t="shared" si="3"/>
        <v>09125596126</v>
      </c>
      <c r="V601" s="86" t="str">
        <f t="shared" si="4"/>
        <v>پیش‌وایی 4</v>
      </c>
      <c r="W601" s="86"/>
      <c r="X601" s="86"/>
    </row>
    <row r="602">
      <c r="A602" s="192">
        <v>602.0</v>
      </c>
      <c r="B602" s="193" t="s">
        <v>3556</v>
      </c>
      <c r="C602" s="194" t="s">
        <v>3557</v>
      </c>
      <c r="D602" s="195" t="str">
        <f>IFERROR(__xludf.DUMMYFUNCTION("ARRAYFORMULA(LET( converted, SUBSTITUTE( SUBSTITUTE( SUBSTITUTE( SUBSTITUTE( SUBSTITUTE( SUBSTITUTE( SUBSTITUTE( SUBSTITUTE( SUBSTITUTE( SUBSTITUTE( C602, ""۰"", ""0""), ""۱"", ""1""), ""۲"", ""2""), ""۳"", ""3""), ""۴"", ""4""), ""۵"", ""5""), ""۶"", ""6"&amp;"""), ""۷"", ""7""), ""۸"", ""8""), ""۹"", ""9""), IF(LEFT(converted,3)=""+98"", ""0"" &amp; RIGHT(converted, LEN(converted)-3), IF(LEFT(converted,2)=""98"", ""0"" &amp; RIGHT(converted, LEN(converted)-2), IF(LEFT(converted,1)&lt;&gt;""0"", ""0"" &amp; converted, REGEXREPLA"&amp;"CE(converted , ""\s"", """")) ) ) ) )"),"09127215979")</f>
        <v>09127215979</v>
      </c>
      <c r="E602" s="196" t="s">
        <v>17</v>
      </c>
      <c r="F602" s="197">
        <v>4.0</v>
      </c>
      <c r="G602" s="212" t="s">
        <v>746</v>
      </c>
      <c r="H602" s="198" t="s">
        <v>3558</v>
      </c>
      <c r="I602" s="194"/>
      <c r="J602" s="194" t="s">
        <v>3559</v>
      </c>
      <c r="K602" s="199" t="s">
        <v>1692</v>
      </c>
      <c r="L602" s="199" t="s">
        <v>3560</v>
      </c>
      <c r="M602" s="193"/>
      <c r="N602" s="199"/>
      <c r="O602" s="199"/>
      <c r="P602" s="193"/>
      <c r="Q602" s="200"/>
      <c r="R602" s="86"/>
      <c r="S602" s="114">
        <f t="shared" ref="S602:T602" si="603">A602</f>
        <v>602</v>
      </c>
      <c r="T602" s="114" t="str">
        <f t="shared" si="603"/>
        <v>الهام اوسطی</v>
      </c>
      <c r="U602" s="86" t="str">
        <f t="shared" si="3"/>
        <v>09127215979</v>
      </c>
      <c r="V602" s="86" t="str">
        <f t="shared" si="4"/>
        <v>پیش‌وایی 4</v>
      </c>
      <c r="W602" s="86"/>
      <c r="X602" s="86"/>
    </row>
    <row r="603">
      <c r="A603" s="201">
        <v>603.0</v>
      </c>
      <c r="B603" s="207" t="s">
        <v>3561</v>
      </c>
      <c r="C603" s="203" t="s">
        <v>3562</v>
      </c>
      <c r="D603" s="204" t="str">
        <f>IFERROR(__xludf.DUMMYFUNCTION("ARRAYFORMULA(LET( converted, SUBSTITUTE( SUBSTITUTE( SUBSTITUTE( SUBSTITUTE( SUBSTITUTE( SUBSTITUTE( SUBSTITUTE( SUBSTITUTE( SUBSTITUTE( SUBSTITUTE( C603, ""۰"", ""0""), ""۱"", ""1""), ""۲"", ""2""), ""۳"", ""3""), ""۴"", ""4""), ""۵"", ""5""), ""۶"", ""6"&amp;"""), ""۷"", ""7""), ""۸"", ""8""), ""۹"", ""9""), IF(LEFT(converted,3)=""+98"", ""0"" &amp; RIGHT(converted, LEN(converted)-3), IF(LEFT(converted,2)=""98"", ""0"" &amp; RIGHT(converted, LEN(converted)-2), IF(LEFT(converted,1)&lt;&gt;""0"", ""0"" &amp; converted, REGEXREPLA"&amp;"CE(converted , ""\s"", """")) ) ) ) )"),"09125122059")</f>
        <v>09125122059</v>
      </c>
      <c r="E603" s="205" t="s">
        <v>17</v>
      </c>
      <c r="F603" s="206">
        <v>4.0</v>
      </c>
      <c r="G603" s="202" t="s">
        <v>730</v>
      </c>
      <c r="H603" s="202" t="s">
        <v>3563</v>
      </c>
      <c r="I603" s="203"/>
      <c r="J603" s="203" t="s">
        <v>3564</v>
      </c>
      <c r="K603" s="207" t="s">
        <v>1374</v>
      </c>
      <c r="L603" s="207" t="s">
        <v>3565</v>
      </c>
      <c r="M603" s="202"/>
      <c r="N603" s="207"/>
      <c r="O603" s="207"/>
      <c r="P603" s="202"/>
      <c r="Q603" s="208"/>
      <c r="R603" s="86"/>
      <c r="S603" s="114">
        <f t="shared" ref="S603:T603" si="604">A603</f>
        <v>603</v>
      </c>
      <c r="T603" s="114" t="str">
        <f t="shared" si="604"/>
        <v>امیر بهدانی</v>
      </c>
      <c r="U603" s="86" t="str">
        <f t="shared" si="3"/>
        <v>09125122059</v>
      </c>
      <c r="V603" s="86" t="str">
        <f t="shared" si="4"/>
        <v>پیش‌وایی 4</v>
      </c>
      <c r="W603" s="86"/>
      <c r="X603" s="86"/>
    </row>
    <row r="604">
      <c r="A604" s="192">
        <v>604.0</v>
      </c>
      <c r="B604" s="193" t="s">
        <v>3566</v>
      </c>
      <c r="C604" s="194" t="s">
        <v>3567</v>
      </c>
      <c r="D604" s="195" t="str">
        <f>IFERROR(__xludf.DUMMYFUNCTION("ARRAYFORMULA(LET( converted, SUBSTITUTE( SUBSTITUTE( SUBSTITUTE( SUBSTITUTE( SUBSTITUTE( SUBSTITUTE( SUBSTITUTE( SUBSTITUTE( SUBSTITUTE( SUBSTITUTE( C604, ""۰"", ""0""), ""۱"", ""1""), ""۲"", ""2""), ""۳"", ""3""), ""۴"", ""4""), ""۵"", ""5""), ""۶"", ""6"&amp;"""), ""۷"", ""7""), ""۸"", ""8""), ""۹"", ""9""), IF(LEFT(converted,3)=""+98"", ""0"" &amp; RIGHT(converted, LEN(converted)-3), IF(LEFT(converted,2)=""98"", ""0"" &amp; RIGHT(converted, LEN(converted)-2), IF(LEFT(converted,1)&lt;&gt;""0"", ""0"" &amp; converted, REGEXREPLA"&amp;"CE(converted , ""\s"", """")) ) ) ) )"),"09129217881")</f>
        <v>09129217881</v>
      </c>
      <c r="E604" s="196" t="s">
        <v>17</v>
      </c>
      <c r="F604" s="197">
        <v>4.0</v>
      </c>
      <c r="G604" s="212" t="s">
        <v>746</v>
      </c>
      <c r="H604" s="198" t="s">
        <v>3568</v>
      </c>
      <c r="I604" s="194"/>
      <c r="J604" s="194" t="s">
        <v>3569</v>
      </c>
      <c r="K604" s="199" t="s">
        <v>3570</v>
      </c>
      <c r="L604" s="199" t="s">
        <v>3571</v>
      </c>
      <c r="M604" s="193"/>
      <c r="N604" s="199"/>
      <c r="O604" s="199"/>
      <c r="P604" s="193"/>
      <c r="Q604" s="200"/>
      <c r="R604" s="86"/>
      <c r="S604" s="114">
        <f t="shared" ref="S604:T604" si="605">A604</f>
        <v>604</v>
      </c>
      <c r="T604" s="114" t="str">
        <f t="shared" si="605"/>
        <v>ماهین میرشمس</v>
      </c>
      <c r="U604" s="86" t="str">
        <f t="shared" si="3"/>
        <v>09129217881</v>
      </c>
      <c r="V604" s="86" t="str">
        <f t="shared" si="4"/>
        <v>پیش‌وایی 4</v>
      </c>
      <c r="W604" s="86"/>
      <c r="X604" s="86"/>
    </row>
    <row r="605">
      <c r="A605" s="201">
        <v>605.0</v>
      </c>
      <c r="B605" s="202" t="s">
        <v>3572</v>
      </c>
      <c r="C605" s="203" t="s">
        <v>3573</v>
      </c>
      <c r="D605" s="204" t="str">
        <f>IFERROR(__xludf.DUMMYFUNCTION("ARRAYFORMULA(LET( converted, SUBSTITUTE( SUBSTITUTE( SUBSTITUTE( SUBSTITUTE( SUBSTITUTE( SUBSTITUTE( SUBSTITUTE( SUBSTITUTE( SUBSTITUTE( SUBSTITUTE( C605, ""۰"", ""0""), ""۱"", ""1""), ""۲"", ""2""), ""۳"", ""3""), ""۴"", ""4""), ""۵"", ""5""), ""۶"", ""6"&amp;"""), ""۷"", ""7""), ""۸"", ""8""), ""۹"", ""9""), IF(LEFT(converted,3)=""+98"", ""0"" &amp; RIGHT(converted, LEN(converted)-3), IF(LEFT(converted,2)=""98"", ""0"" &amp; RIGHT(converted, LEN(converted)-2), IF(LEFT(converted,1)&lt;&gt;""0"", ""0"" &amp; converted, REGEXREPLA"&amp;"CE(converted , ""\s"", """")) ) ) ) )"),"09132957050")</f>
        <v>09132957050</v>
      </c>
      <c r="E605" s="205" t="s">
        <v>17</v>
      </c>
      <c r="F605" s="206">
        <v>4.0</v>
      </c>
      <c r="G605" s="202" t="s">
        <v>730</v>
      </c>
      <c r="H605" s="209" t="s">
        <v>3574</v>
      </c>
      <c r="I605" s="203"/>
      <c r="J605" s="203" t="s">
        <v>3575</v>
      </c>
      <c r="K605" s="207" t="s">
        <v>2347</v>
      </c>
      <c r="L605" s="207" t="s">
        <v>3576</v>
      </c>
      <c r="M605" s="202"/>
      <c r="N605" s="207"/>
      <c r="O605" s="207"/>
      <c r="P605" s="202"/>
      <c r="Q605" s="208"/>
      <c r="R605" s="86"/>
      <c r="S605" s="114">
        <f t="shared" ref="S605:T605" si="606">A605</f>
        <v>605</v>
      </c>
      <c r="T605" s="114" t="str">
        <f t="shared" si="606"/>
        <v>هادی فرقانی</v>
      </c>
      <c r="U605" s="86" t="str">
        <f t="shared" si="3"/>
        <v>09132957050</v>
      </c>
      <c r="V605" s="86" t="str">
        <f t="shared" si="4"/>
        <v>پیش‌وایی 4</v>
      </c>
      <c r="W605" s="86"/>
      <c r="X605" s="86"/>
    </row>
    <row r="606">
      <c r="A606" s="192">
        <v>606.0</v>
      </c>
      <c r="B606" s="193" t="s">
        <v>3577</v>
      </c>
      <c r="C606" s="194" t="s">
        <v>3578</v>
      </c>
      <c r="D606" s="195" t="str">
        <f>IFERROR(__xludf.DUMMYFUNCTION("ARRAYFORMULA(LET( converted, SUBSTITUTE( SUBSTITUTE( SUBSTITUTE( SUBSTITUTE( SUBSTITUTE( SUBSTITUTE( SUBSTITUTE( SUBSTITUTE( SUBSTITUTE( SUBSTITUTE( C606, ""۰"", ""0""), ""۱"", ""1""), ""۲"", ""2""), ""۳"", ""3""), ""۴"", ""4""), ""۵"", ""5""), ""۶"", ""6"&amp;"""), ""۷"", ""7""), ""۸"", ""8""), ""۹"", ""9""), IF(LEFT(converted,3)=""+98"", ""0"" &amp; RIGHT(converted, LEN(converted)-3), IF(LEFT(converted,2)=""98"", ""0"" &amp; RIGHT(converted, LEN(converted)-2), IF(LEFT(converted,1)&lt;&gt;""0"", ""0"" &amp; converted, REGEXREPLA"&amp;"CE(converted , ""\s"", """")) ) ) ) )"),"09123101049")</f>
        <v>09123101049</v>
      </c>
      <c r="E606" s="196" t="s">
        <v>17</v>
      </c>
      <c r="F606" s="197">
        <v>4.0</v>
      </c>
      <c r="G606" s="212" t="s">
        <v>746</v>
      </c>
      <c r="H606" s="193" t="s">
        <v>3579</v>
      </c>
      <c r="I606" s="194"/>
      <c r="J606" s="194" t="s">
        <v>3580</v>
      </c>
      <c r="K606" s="199" t="s">
        <v>3581</v>
      </c>
      <c r="L606" s="199" t="s">
        <v>3582</v>
      </c>
      <c r="M606" s="193"/>
      <c r="N606" s="199"/>
      <c r="O606" s="199"/>
      <c r="P606" s="193"/>
      <c r="Q606" s="200"/>
      <c r="R606" s="86"/>
      <c r="S606" s="114">
        <f t="shared" ref="S606:T606" si="607">A606</f>
        <v>606</v>
      </c>
      <c r="T606" s="114" t="str">
        <f t="shared" si="607"/>
        <v>خاطره شهبازی الموتی</v>
      </c>
      <c r="U606" s="86" t="str">
        <f t="shared" si="3"/>
        <v>09123101049</v>
      </c>
      <c r="V606" s="86" t="str">
        <f t="shared" si="4"/>
        <v>پیش‌وایی 4</v>
      </c>
      <c r="W606" s="86"/>
      <c r="X606" s="86"/>
    </row>
    <row r="607">
      <c r="A607" s="201">
        <v>607.0</v>
      </c>
      <c r="B607" s="207" t="s">
        <v>3583</v>
      </c>
      <c r="C607" s="203" t="s">
        <v>3584</v>
      </c>
      <c r="D607" s="204" t="str">
        <f>IFERROR(__xludf.DUMMYFUNCTION("ARRAYFORMULA(LET( converted, SUBSTITUTE( SUBSTITUTE( SUBSTITUTE( SUBSTITUTE( SUBSTITUTE( SUBSTITUTE( SUBSTITUTE( SUBSTITUTE( SUBSTITUTE( SUBSTITUTE( C607, ""۰"", ""0""), ""۱"", ""1""), ""۲"", ""2""), ""۳"", ""3""), ""۴"", ""4""), ""۵"", ""5""), ""۶"", ""6"&amp;"""), ""۷"", ""7""), ""۸"", ""8""), ""۹"", ""9""), IF(LEFT(converted,3)=""+98"", ""0"" &amp; RIGHT(converted, LEN(converted)-3), IF(LEFT(converted,2)=""98"", ""0"" &amp; RIGHT(converted, LEN(converted)-2), IF(LEFT(converted,1)&lt;&gt;""0"", ""0"" &amp; converted, REGEXREPLA"&amp;"CE(converted , ""\s"", """")) ) ) ) )"),"09391938399")</f>
        <v>09391938399</v>
      </c>
      <c r="E607" s="205" t="s">
        <v>17</v>
      </c>
      <c r="F607" s="206">
        <v>4.0</v>
      </c>
      <c r="G607" s="213" t="s">
        <v>746</v>
      </c>
      <c r="H607" s="202" t="s">
        <v>3585</v>
      </c>
      <c r="I607" s="203"/>
      <c r="J607" s="203" t="s">
        <v>3586</v>
      </c>
      <c r="K607" s="207" t="s">
        <v>2222</v>
      </c>
      <c r="L607" s="207" t="s">
        <v>3587</v>
      </c>
      <c r="M607" s="202"/>
      <c r="N607" s="207"/>
      <c r="O607" s="207"/>
      <c r="P607" s="202"/>
      <c r="Q607" s="208"/>
      <c r="R607" s="86"/>
      <c r="S607" s="114">
        <f t="shared" ref="S607:T607" si="608">A607</f>
        <v>607</v>
      </c>
      <c r="T607" s="114" t="str">
        <f t="shared" si="608"/>
        <v>نازنین علم دوست</v>
      </c>
      <c r="U607" s="86" t="str">
        <f t="shared" si="3"/>
        <v>09391938399</v>
      </c>
      <c r="V607" s="86" t="str">
        <f t="shared" si="4"/>
        <v>پیش‌وایی 4</v>
      </c>
      <c r="W607" s="86"/>
      <c r="X607" s="86"/>
    </row>
    <row r="608">
      <c r="A608" s="192">
        <v>608.0</v>
      </c>
      <c r="B608" s="193" t="s">
        <v>3588</v>
      </c>
      <c r="C608" s="194" t="s">
        <v>3589</v>
      </c>
      <c r="D608" s="195" t="str">
        <f>IFERROR(__xludf.DUMMYFUNCTION("ARRAYFORMULA(LET( converted, SUBSTITUTE( SUBSTITUTE( SUBSTITUTE( SUBSTITUTE( SUBSTITUTE( SUBSTITUTE( SUBSTITUTE( SUBSTITUTE( SUBSTITUTE( SUBSTITUTE( C608, ""۰"", ""0""), ""۱"", ""1""), ""۲"", ""2""), ""۳"", ""3""), ""۴"", ""4""), ""۵"", ""5""), ""۶"", ""6"&amp;"""), ""۷"", ""7""), ""۸"", ""8""), ""۹"", ""9""), IF(LEFT(converted,3)=""+98"", ""0"" &amp; RIGHT(converted, LEN(converted)-3), IF(LEFT(converted,2)=""98"", ""0"" &amp; RIGHT(converted, LEN(converted)-2), IF(LEFT(converted,1)&lt;&gt;""0"", ""0"" &amp; converted, REGEXREPLA"&amp;"CE(converted , ""\s"", """")) ) ) ) )"),"09126880288")</f>
        <v>09126880288</v>
      </c>
      <c r="E608" s="196" t="s">
        <v>17</v>
      </c>
      <c r="F608" s="197">
        <v>4.0</v>
      </c>
      <c r="G608" s="193" t="s">
        <v>730</v>
      </c>
      <c r="H608" s="193" t="s">
        <v>3590</v>
      </c>
      <c r="I608" s="194"/>
      <c r="J608" s="194" t="s">
        <v>3591</v>
      </c>
      <c r="K608" s="199" t="s">
        <v>3592</v>
      </c>
      <c r="L608" s="199" t="s">
        <v>3593</v>
      </c>
      <c r="M608" s="193"/>
      <c r="N608" s="199"/>
      <c r="O608" s="199"/>
      <c r="P608" s="193"/>
      <c r="Q608" s="200"/>
      <c r="R608" s="86"/>
      <c r="S608" s="114">
        <f t="shared" ref="S608:T608" si="609">A608</f>
        <v>608</v>
      </c>
      <c r="T608" s="114" t="str">
        <f t="shared" si="609"/>
        <v>نوید نیک پی</v>
      </c>
      <c r="U608" s="86" t="str">
        <f t="shared" si="3"/>
        <v>09126880288</v>
      </c>
      <c r="V608" s="86" t="str">
        <f t="shared" si="4"/>
        <v>پیش‌وایی 4</v>
      </c>
      <c r="W608" s="86"/>
      <c r="X608" s="86"/>
    </row>
    <row r="609">
      <c r="A609" s="201">
        <v>609.0</v>
      </c>
      <c r="B609" s="202" t="s">
        <v>3594</v>
      </c>
      <c r="C609" s="203" t="s">
        <v>3595</v>
      </c>
      <c r="D609" s="204" t="str">
        <f>IFERROR(__xludf.DUMMYFUNCTION("ARRAYFORMULA(LET( converted, SUBSTITUTE( SUBSTITUTE( SUBSTITUTE( SUBSTITUTE( SUBSTITUTE( SUBSTITUTE( SUBSTITUTE( SUBSTITUTE( SUBSTITUTE( SUBSTITUTE( C609, ""۰"", ""0""), ""۱"", ""1""), ""۲"", ""2""), ""۳"", ""3""), ""۴"", ""4""), ""۵"", ""5""), ""۶"", ""6"&amp;"""), ""۷"", ""7""), ""۸"", ""8""), ""۹"", ""9""), IF(LEFT(converted,3)=""+98"", ""0"" &amp; RIGHT(converted, LEN(converted)-3), IF(LEFT(converted,2)=""98"", ""0"" &amp; RIGHT(converted, LEN(converted)-2), IF(LEFT(converted,1)&lt;&gt;""0"", ""0"" &amp; converted, REGEXREPLA"&amp;"CE(converted , ""\s"", """")) ) ) ) )"),"09127429213")</f>
        <v>09127429213</v>
      </c>
      <c r="E609" s="205" t="s">
        <v>17</v>
      </c>
      <c r="F609" s="206">
        <v>4.0</v>
      </c>
      <c r="G609" s="213" t="s">
        <v>730</v>
      </c>
      <c r="H609" s="202" t="s">
        <v>3596</v>
      </c>
      <c r="I609" s="203"/>
      <c r="J609" s="203" t="s">
        <v>3597</v>
      </c>
      <c r="K609" s="207" t="s">
        <v>844</v>
      </c>
      <c r="L609" s="207" t="s">
        <v>358</v>
      </c>
      <c r="M609" s="202"/>
      <c r="N609" s="207"/>
      <c r="O609" s="207"/>
      <c r="P609" s="202"/>
      <c r="Q609" s="208"/>
      <c r="R609" s="86"/>
      <c r="S609" s="114">
        <f t="shared" ref="S609:T609" si="610">A609</f>
        <v>609</v>
      </c>
      <c r="T609" s="114" t="str">
        <f t="shared" si="610"/>
        <v>مسعود باقری</v>
      </c>
      <c r="U609" s="86" t="str">
        <f t="shared" si="3"/>
        <v>09127429213</v>
      </c>
      <c r="V609" s="86" t="str">
        <f t="shared" si="4"/>
        <v>پیش‌وایی 4</v>
      </c>
      <c r="W609" s="86"/>
      <c r="X609" s="86"/>
    </row>
    <row r="610">
      <c r="A610" s="192">
        <v>610.0</v>
      </c>
      <c r="B610" s="193" t="s">
        <v>3598</v>
      </c>
      <c r="C610" s="194" t="s">
        <v>3599</v>
      </c>
      <c r="D610" s="195" t="str">
        <f>IFERROR(__xludf.DUMMYFUNCTION("ARRAYFORMULA(LET( converted, SUBSTITUTE( SUBSTITUTE( SUBSTITUTE( SUBSTITUTE( SUBSTITUTE( SUBSTITUTE( SUBSTITUTE( SUBSTITUTE( SUBSTITUTE( SUBSTITUTE( C610, ""۰"", ""0""), ""۱"", ""1""), ""۲"", ""2""), ""۳"", ""3""), ""۴"", ""4""), ""۵"", ""5""), ""۶"", ""6"&amp;"""), ""۷"", ""7""), ""۸"", ""8""), ""۹"", ""9""), IF(LEFT(converted,3)=""+98"", ""0"" &amp; RIGHT(converted, LEN(converted)-3), IF(LEFT(converted,2)=""98"", ""0"" &amp; RIGHT(converted, LEN(converted)-2), IF(LEFT(converted,1)&lt;&gt;""0"", ""0"" &amp; converted, REGEXREPLA"&amp;"CE(converted , ""\s"", """")) ) ) ) )"),"09123994727")</f>
        <v>09123994727</v>
      </c>
      <c r="E610" s="196" t="s">
        <v>17</v>
      </c>
      <c r="F610" s="197">
        <v>4.0</v>
      </c>
      <c r="G610" s="212" t="s">
        <v>730</v>
      </c>
      <c r="H610" s="198" t="s">
        <v>3600</v>
      </c>
      <c r="I610" s="194"/>
      <c r="J610" s="194" t="s">
        <v>3601</v>
      </c>
      <c r="K610" s="199" t="s">
        <v>259</v>
      </c>
      <c r="L610" s="199" t="s">
        <v>1352</v>
      </c>
      <c r="M610" s="193"/>
      <c r="N610" s="199"/>
      <c r="O610" s="199"/>
      <c r="P610" s="193"/>
      <c r="Q610" s="200"/>
      <c r="R610" s="86"/>
      <c r="S610" s="114">
        <f t="shared" ref="S610:T610" si="611">A610</f>
        <v>610</v>
      </c>
      <c r="T610" s="114" t="str">
        <f t="shared" si="611"/>
        <v>علیرضا طاهری</v>
      </c>
      <c r="U610" s="86" t="str">
        <f t="shared" si="3"/>
        <v>09123994727</v>
      </c>
      <c r="V610" s="86" t="str">
        <f t="shared" si="4"/>
        <v>پیش‌وایی 4</v>
      </c>
      <c r="W610" s="86"/>
      <c r="X610" s="86"/>
    </row>
    <row r="611">
      <c r="A611" s="201">
        <v>611.0</v>
      </c>
      <c r="B611" s="202" t="s">
        <v>2107</v>
      </c>
      <c r="C611" s="203" t="s">
        <v>755</v>
      </c>
      <c r="D611" s="204" t="str">
        <f>IFERROR(__xludf.DUMMYFUNCTION("ARRAYFORMULA(LET( converted, SUBSTITUTE( SUBSTITUTE( SUBSTITUTE( SUBSTITUTE( SUBSTITUTE( SUBSTITUTE( SUBSTITUTE( SUBSTITUTE( SUBSTITUTE( SUBSTITUTE( C611, ""۰"", ""0""), ""۱"", ""1""), ""۲"", ""2""), ""۳"", ""3""), ""۴"", ""4""), ""۵"", ""5""), ""۶"", ""6"&amp;"""), ""۷"", ""7""), ""۸"", ""8""), ""۹"", ""9""), IF(LEFT(converted,3)=""+98"", ""0"" &amp; RIGHT(converted, LEN(converted)-3), IF(LEFT(converted,2)=""98"", ""0"" &amp; RIGHT(converted, LEN(converted)-2), IF(LEFT(converted,1)&lt;&gt;""0"", ""0"" &amp; converted, REGEXREPLA"&amp;"CE(converted , ""\s"", """")) ) ) ) )"),"09366205771")</f>
        <v>09366205771</v>
      </c>
      <c r="E611" s="205" t="s">
        <v>17</v>
      </c>
      <c r="F611" s="206">
        <v>4.0</v>
      </c>
      <c r="G611" s="213" t="s">
        <v>730</v>
      </c>
      <c r="H611" s="209" t="s">
        <v>3602</v>
      </c>
      <c r="I611" s="203"/>
      <c r="J611" s="203" t="s">
        <v>3603</v>
      </c>
      <c r="K611" s="207" t="s">
        <v>758</v>
      </c>
      <c r="L611" s="207" t="s">
        <v>2108</v>
      </c>
      <c r="M611" s="202"/>
      <c r="N611" s="207"/>
      <c r="O611" s="207"/>
      <c r="P611" s="202"/>
      <c r="Q611" s="208"/>
      <c r="R611" s="86"/>
      <c r="S611" s="114">
        <f t="shared" ref="S611:T611" si="612">A611</f>
        <v>611</v>
      </c>
      <c r="T611" s="114" t="str">
        <f t="shared" si="612"/>
        <v>سعید عالم</v>
      </c>
      <c r="U611" s="86" t="str">
        <f t="shared" si="3"/>
        <v>09366205771</v>
      </c>
      <c r="V611" s="86" t="str">
        <f t="shared" si="4"/>
        <v>پیش‌وایی 4</v>
      </c>
      <c r="W611" s="86"/>
      <c r="X611" s="86"/>
    </row>
    <row r="612">
      <c r="A612" s="192">
        <v>612.0</v>
      </c>
      <c r="B612" s="193" t="s">
        <v>3604</v>
      </c>
      <c r="C612" s="194" t="s">
        <v>3605</v>
      </c>
      <c r="D612" s="195" t="str">
        <f>IFERROR(__xludf.DUMMYFUNCTION("ARRAYFORMULA(LET( converted, SUBSTITUTE( SUBSTITUTE( SUBSTITUTE( SUBSTITUTE( SUBSTITUTE( SUBSTITUTE( SUBSTITUTE( SUBSTITUTE( SUBSTITUTE( SUBSTITUTE( C612, ""۰"", ""0""), ""۱"", ""1""), ""۲"", ""2""), ""۳"", ""3""), ""۴"", ""4""), ""۵"", ""5""), ""۶"", ""6"&amp;"""), ""۷"", ""7""), ""۸"", ""8""), ""۹"", ""9""), IF(LEFT(converted,3)=""+98"", ""0"" &amp; RIGHT(converted, LEN(converted)-3), IF(LEFT(converted,2)=""98"", ""0"" &amp; RIGHT(converted, LEN(converted)-2), IF(LEFT(converted,1)&lt;&gt;""0"", ""0"" &amp; converted, REGEXREPLA"&amp;"CE(converted , ""\s"", """")) ) ) ) )"),"09383862468")</f>
        <v>09383862468</v>
      </c>
      <c r="E612" s="196" t="s">
        <v>17</v>
      </c>
      <c r="F612" s="197">
        <v>4.0</v>
      </c>
      <c r="G612" s="212" t="s">
        <v>730</v>
      </c>
      <c r="H612" s="198" t="s">
        <v>3606</v>
      </c>
      <c r="I612" s="194"/>
      <c r="J612" s="194" t="s">
        <v>2322</v>
      </c>
      <c r="K612" s="199" t="s">
        <v>2114</v>
      </c>
      <c r="L612" s="199" t="s">
        <v>3607</v>
      </c>
      <c r="M612" s="193"/>
      <c r="N612" s="199"/>
      <c r="O612" s="199"/>
      <c r="P612" s="193"/>
      <c r="Q612" s="200"/>
      <c r="R612" s="86"/>
      <c r="S612" s="114">
        <f t="shared" ref="S612:T612" si="613">A612</f>
        <v>612</v>
      </c>
      <c r="T612" s="114" t="str">
        <f t="shared" si="613"/>
        <v>یاسر فاضلی</v>
      </c>
      <c r="U612" s="86" t="str">
        <f t="shared" si="3"/>
        <v>09383862468</v>
      </c>
      <c r="V612" s="86" t="str">
        <f t="shared" si="4"/>
        <v>پیش‌وایی 4</v>
      </c>
      <c r="W612" s="86"/>
      <c r="X612" s="86"/>
    </row>
    <row r="613">
      <c r="A613" s="201">
        <v>613.0</v>
      </c>
      <c r="B613" s="202" t="s">
        <v>3608</v>
      </c>
      <c r="C613" s="203" t="s">
        <v>3609</v>
      </c>
      <c r="D613" s="204" t="str">
        <f>IFERROR(__xludf.DUMMYFUNCTION("ARRAYFORMULA(LET( converted, SUBSTITUTE( SUBSTITUTE( SUBSTITUTE( SUBSTITUTE( SUBSTITUTE( SUBSTITUTE( SUBSTITUTE( SUBSTITUTE( SUBSTITUTE( SUBSTITUTE( C613, ""۰"", ""0""), ""۱"", ""1""), ""۲"", ""2""), ""۳"", ""3""), ""۴"", ""4""), ""۵"", ""5""), ""۶"", ""6"&amp;"""), ""۷"", ""7""), ""۸"", ""8""), ""۹"", ""9""), IF(LEFT(converted,3)=""+98"", ""0"" &amp; RIGHT(converted, LEN(converted)-3), IF(LEFT(converted,2)=""98"", ""0"" &amp; RIGHT(converted, LEN(converted)-2), IF(LEFT(converted,1)&lt;&gt;""0"", ""0"" &amp; converted, REGEXREPLA"&amp;"CE(converted , ""\s"", """")) ) ) ) )"),"09126220266")</f>
        <v>09126220266</v>
      </c>
      <c r="E613" s="205" t="s">
        <v>17</v>
      </c>
      <c r="F613" s="206">
        <v>4.0</v>
      </c>
      <c r="G613" s="213" t="s">
        <v>730</v>
      </c>
      <c r="H613" s="202" t="s">
        <v>3610</v>
      </c>
      <c r="I613" s="203"/>
      <c r="J613" s="203" t="s">
        <v>3611</v>
      </c>
      <c r="K613" s="207" t="s">
        <v>3126</v>
      </c>
      <c r="L613" s="207" t="s">
        <v>3612</v>
      </c>
      <c r="M613" s="202"/>
      <c r="N613" s="207"/>
      <c r="O613" s="207"/>
      <c r="P613" s="202"/>
      <c r="Q613" s="208"/>
      <c r="R613" s="86"/>
      <c r="S613" s="114">
        <f t="shared" ref="S613:T613" si="614">A613</f>
        <v>613</v>
      </c>
      <c r="T613" s="114" t="str">
        <f t="shared" si="614"/>
        <v>ایمان عدل خواه</v>
      </c>
      <c r="U613" s="86" t="str">
        <f t="shared" si="3"/>
        <v>09126220266</v>
      </c>
      <c r="V613" s="86" t="str">
        <f t="shared" si="4"/>
        <v>پیش‌وایی 4</v>
      </c>
      <c r="W613" s="86"/>
      <c r="X613" s="86"/>
    </row>
    <row r="614">
      <c r="A614" s="192">
        <v>614.0</v>
      </c>
      <c r="B614" s="193" t="s">
        <v>2672</v>
      </c>
      <c r="C614" s="194" t="s">
        <v>2673</v>
      </c>
      <c r="D614" s="195" t="str">
        <f>IFERROR(__xludf.DUMMYFUNCTION("ARRAYFORMULA(LET( converted, SUBSTITUTE( SUBSTITUTE( SUBSTITUTE( SUBSTITUTE( SUBSTITUTE( SUBSTITUTE( SUBSTITUTE( SUBSTITUTE( SUBSTITUTE( SUBSTITUTE( C614, ""۰"", ""0""), ""۱"", ""1""), ""۲"", ""2""), ""۳"", ""3""), ""۴"", ""4""), ""۵"", ""5""), ""۶"", ""6"&amp;"""), ""۷"", ""7""), ""۸"", ""8""), ""۹"", ""9""), IF(LEFT(converted,3)=""+98"", ""0"" &amp; RIGHT(converted, LEN(converted)-3), IF(LEFT(converted,2)=""98"", ""0"" &amp; RIGHT(converted, LEN(converted)-2), IF(LEFT(converted,1)&lt;&gt;""0"", ""0"" &amp; converted, REGEXREPLA"&amp;"CE(converted , ""\s"", """")) ) ) ) )"),"09124992941")</f>
        <v>09124992941</v>
      </c>
      <c r="E614" s="196" t="s">
        <v>17</v>
      </c>
      <c r="F614" s="197">
        <v>4.0</v>
      </c>
      <c r="G614" s="212" t="s">
        <v>730</v>
      </c>
      <c r="H614" s="198" t="s">
        <v>2674</v>
      </c>
      <c r="I614" s="194"/>
      <c r="J614" s="194" t="s">
        <v>2675</v>
      </c>
      <c r="K614" s="199" t="s">
        <v>342</v>
      </c>
      <c r="L614" s="199" t="s">
        <v>2676</v>
      </c>
      <c r="M614" s="193"/>
      <c r="N614" s="199"/>
      <c r="O614" s="199"/>
      <c r="P614" s="193"/>
      <c r="Q614" s="200"/>
      <c r="R614" s="86"/>
      <c r="S614" s="114">
        <f t="shared" ref="S614:T614" si="615">A614</f>
        <v>614</v>
      </c>
      <c r="T614" s="114" t="str">
        <f t="shared" si="615"/>
        <v>آرش کرمی</v>
      </c>
      <c r="U614" s="86" t="str">
        <f t="shared" si="3"/>
        <v>09124992941</v>
      </c>
      <c r="V614" s="86" t="str">
        <f t="shared" si="4"/>
        <v>پیش‌وایی 4</v>
      </c>
      <c r="W614" s="86"/>
      <c r="X614" s="86"/>
    </row>
    <row r="615">
      <c r="A615" s="201">
        <v>615.0</v>
      </c>
      <c r="B615" s="202" t="s">
        <v>3613</v>
      </c>
      <c r="C615" s="203" t="s">
        <v>3614</v>
      </c>
      <c r="D615" s="204" t="str">
        <f>IFERROR(__xludf.DUMMYFUNCTION("ARRAYFORMULA(LET( converted, SUBSTITUTE( SUBSTITUTE( SUBSTITUTE( SUBSTITUTE( SUBSTITUTE( SUBSTITUTE( SUBSTITUTE( SUBSTITUTE( SUBSTITUTE( SUBSTITUTE( C615, ""۰"", ""0""), ""۱"", ""1""), ""۲"", ""2""), ""۳"", ""3""), ""۴"", ""4""), ""۵"", ""5""), ""۶"", ""6"&amp;"""), ""۷"", ""7""), ""۸"", ""8""), ""۹"", ""9""), IF(LEFT(converted,3)=""+98"", ""0"" &amp; RIGHT(converted, LEN(converted)-3), IF(LEFT(converted,2)=""98"", ""0"" &amp; RIGHT(converted, LEN(converted)-2), IF(LEFT(converted,1)&lt;&gt;""0"", ""0"" &amp; converted, REGEXREPLA"&amp;"CE(converted , ""\s"", """")) ) ) ) )"),"09364041401")</f>
        <v>09364041401</v>
      </c>
      <c r="E615" s="205" t="s">
        <v>17</v>
      </c>
      <c r="F615" s="206">
        <v>4.0</v>
      </c>
      <c r="G615" s="213" t="s">
        <v>730</v>
      </c>
      <c r="H615" s="202" t="s">
        <v>3615</v>
      </c>
      <c r="I615" s="203"/>
      <c r="J615" s="203" t="s">
        <v>3616</v>
      </c>
      <c r="K615" s="207" t="s">
        <v>1868</v>
      </c>
      <c r="L615" s="207" t="s">
        <v>3617</v>
      </c>
      <c r="M615" s="202"/>
      <c r="N615" s="207"/>
      <c r="O615" s="207"/>
      <c r="P615" s="202"/>
      <c r="Q615" s="208"/>
      <c r="R615" s="86"/>
      <c r="S615" s="114">
        <f t="shared" ref="S615:T615" si="616">A615</f>
        <v>615</v>
      </c>
      <c r="T615" s="114" t="str">
        <f t="shared" si="616"/>
        <v>ابوالفضل کاکائی</v>
      </c>
      <c r="U615" s="86" t="str">
        <f t="shared" si="3"/>
        <v>09364041401</v>
      </c>
      <c r="V615" s="86" t="str">
        <f t="shared" si="4"/>
        <v>پیش‌وایی 4</v>
      </c>
      <c r="W615" s="86"/>
      <c r="X615" s="86"/>
    </row>
    <row r="616">
      <c r="A616" s="192">
        <v>616.0</v>
      </c>
      <c r="B616" s="193" t="s">
        <v>3618</v>
      </c>
      <c r="C616" s="194" t="s">
        <v>3619</v>
      </c>
      <c r="D616" s="195" t="str">
        <f>IFERROR(__xludf.DUMMYFUNCTION("ARRAYFORMULA(LET( converted, SUBSTITUTE( SUBSTITUTE( SUBSTITUTE( SUBSTITUTE( SUBSTITUTE( SUBSTITUTE( SUBSTITUTE( SUBSTITUTE( SUBSTITUTE( SUBSTITUTE( C616, ""۰"", ""0""), ""۱"", ""1""), ""۲"", ""2""), ""۳"", ""3""), ""۴"", ""4""), ""۵"", ""5""), ""۶"", ""6"&amp;"""), ""۷"", ""7""), ""۸"", ""8""), ""۹"", ""9""), IF(LEFT(converted,3)=""+98"", ""0"" &amp; RIGHT(converted, LEN(converted)-3), IF(LEFT(converted,2)=""98"", ""0"" &amp; RIGHT(converted, LEN(converted)-2), IF(LEFT(converted,1)&lt;&gt;""0"", ""0"" &amp; converted, REGEXREPLA"&amp;"CE(converted , ""\s"", """")) ) ) ) )"),"09122492004")</f>
        <v>09122492004</v>
      </c>
      <c r="E616" s="196" t="s">
        <v>17</v>
      </c>
      <c r="F616" s="197">
        <v>4.0</v>
      </c>
      <c r="G616" s="212" t="s">
        <v>730</v>
      </c>
      <c r="H616" s="193" t="s">
        <v>3620</v>
      </c>
      <c r="I616" s="194"/>
      <c r="J616" s="194" t="s">
        <v>3621</v>
      </c>
      <c r="K616" s="199" t="s">
        <v>1473</v>
      </c>
      <c r="L616" s="199" t="s">
        <v>237</v>
      </c>
      <c r="M616" s="193"/>
      <c r="N616" s="199"/>
      <c r="O616" s="199"/>
      <c r="P616" s="193"/>
      <c r="Q616" s="200"/>
      <c r="R616" s="86"/>
      <c r="S616" s="114">
        <f t="shared" ref="S616:T616" si="617">A616</f>
        <v>616</v>
      </c>
      <c r="T616" s="114" t="str">
        <f t="shared" si="617"/>
        <v>مصطفی فرهادی</v>
      </c>
      <c r="U616" s="86" t="str">
        <f t="shared" si="3"/>
        <v>09122492004</v>
      </c>
      <c r="V616" s="86" t="str">
        <f t="shared" si="4"/>
        <v>پیش‌وایی 4</v>
      </c>
      <c r="W616" s="86"/>
      <c r="X616" s="86"/>
    </row>
    <row r="617">
      <c r="A617" s="201">
        <v>617.0</v>
      </c>
      <c r="B617" s="202" t="s">
        <v>3622</v>
      </c>
      <c r="C617" s="203" t="s">
        <v>3623</v>
      </c>
      <c r="D617" s="204" t="str">
        <f>IFERROR(__xludf.DUMMYFUNCTION("ARRAYFORMULA(LET( converted, SUBSTITUTE( SUBSTITUTE( SUBSTITUTE( SUBSTITUTE( SUBSTITUTE( SUBSTITUTE( SUBSTITUTE( SUBSTITUTE( SUBSTITUTE( SUBSTITUTE( C617, ""۰"", ""0""), ""۱"", ""1""), ""۲"", ""2""), ""۳"", ""3""), ""۴"", ""4""), ""۵"", ""5""), ""۶"", ""6"&amp;"""), ""۷"", ""7""), ""۸"", ""8""), ""۹"", ""9""), IF(LEFT(converted,3)=""+98"", ""0"" &amp; RIGHT(converted, LEN(converted)-3), IF(LEFT(converted,2)=""98"", ""0"" &amp; RIGHT(converted, LEN(converted)-2), IF(LEFT(converted,1)&lt;&gt;""0"", ""0"" &amp; converted, REGEXREPLA"&amp;"CE(converted , ""\s"", """")) ) ) ) )"),"09122899010")</f>
        <v>09122899010</v>
      </c>
      <c r="E617" s="205" t="s">
        <v>17</v>
      </c>
      <c r="F617" s="206">
        <v>4.0</v>
      </c>
      <c r="G617" s="213" t="s">
        <v>730</v>
      </c>
      <c r="H617" s="202" t="s">
        <v>3624</v>
      </c>
      <c r="I617" s="203"/>
      <c r="J617" s="203" t="s">
        <v>3625</v>
      </c>
      <c r="K617" s="207" t="s">
        <v>1018</v>
      </c>
      <c r="L617" s="207" t="s">
        <v>3626</v>
      </c>
      <c r="M617" s="202"/>
      <c r="N617" s="207"/>
      <c r="O617" s="207"/>
      <c r="P617" s="202"/>
      <c r="Q617" s="208"/>
      <c r="R617" s="86"/>
      <c r="S617" s="114">
        <f t="shared" ref="S617:T617" si="618">A617</f>
        <v>617</v>
      </c>
      <c r="T617" s="114" t="str">
        <f t="shared" si="618"/>
        <v>علی شاهرخی</v>
      </c>
      <c r="U617" s="86" t="str">
        <f t="shared" si="3"/>
        <v>09122899010</v>
      </c>
      <c r="V617" s="86" t="str">
        <f t="shared" si="4"/>
        <v>پیش‌وایی 4</v>
      </c>
      <c r="W617" s="86"/>
      <c r="X617" s="86"/>
    </row>
    <row r="618">
      <c r="A618" s="192">
        <v>618.0</v>
      </c>
      <c r="B618" s="193" t="s">
        <v>3627</v>
      </c>
      <c r="C618" s="194" t="s">
        <v>3623</v>
      </c>
      <c r="D618" s="195" t="str">
        <f>IFERROR(__xludf.DUMMYFUNCTION("ARRAYFORMULA(LET( converted, SUBSTITUTE( SUBSTITUTE( SUBSTITUTE( SUBSTITUTE( SUBSTITUTE( SUBSTITUTE( SUBSTITUTE( SUBSTITUTE( SUBSTITUTE( SUBSTITUTE( C618, ""۰"", ""0""), ""۱"", ""1""), ""۲"", ""2""), ""۳"", ""3""), ""۴"", ""4""), ""۵"", ""5""), ""۶"", ""6"&amp;"""), ""۷"", ""7""), ""۸"", ""8""), ""۹"", ""9""), IF(LEFT(converted,3)=""+98"", ""0"" &amp; RIGHT(converted, LEN(converted)-3), IF(LEFT(converted,2)=""98"", ""0"" &amp; RIGHT(converted, LEN(converted)-2), IF(LEFT(converted,1)&lt;&gt;""0"", ""0"" &amp; converted, REGEXREPLA"&amp;"CE(converted , ""\s"", """")) ) ) ) )"),"09122899010")</f>
        <v>09122899010</v>
      </c>
      <c r="E618" s="196" t="s">
        <v>17</v>
      </c>
      <c r="F618" s="197">
        <v>4.0</v>
      </c>
      <c r="G618" s="212" t="s">
        <v>730</v>
      </c>
      <c r="H618" s="198" t="s">
        <v>3628</v>
      </c>
      <c r="I618" s="194"/>
      <c r="J618" s="194" t="s">
        <v>3629</v>
      </c>
      <c r="K618" s="199" t="s">
        <v>1018</v>
      </c>
      <c r="L618" s="199" t="s">
        <v>3630</v>
      </c>
      <c r="M618" s="193"/>
      <c r="N618" s="199"/>
      <c r="O618" s="199"/>
      <c r="P618" s="193"/>
      <c r="Q618" s="200"/>
      <c r="R618" s="86"/>
      <c r="S618" s="114">
        <f t="shared" ref="S618:T618" si="619">A618</f>
        <v>618</v>
      </c>
      <c r="T618" s="114" t="str">
        <f t="shared" si="619"/>
        <v>علی کولیوند</v>
      </c>
      <c r="U618" s="86" t="str">
        <f t="shared" si="3"/>
        <v>09122899010</v>
      </c>
      <c r="V618" s="86" t="str">
        <f t="shared" si="4"/>
        <v>پیش‌وایی 4</v>
      </c>
      <c r="W618" s="86"/>
      <c r="X618" s="86"/>
    </row>
    <row r="619">
      <c r="A619" s="201">
        <v>619.0</v>
      </c>
      <c r="B619" s="202" t="s">
        <v>3631</v>
      </c>
      <c r="C619" s="203" t="s">
        <v>3632</v>
      </c>
      <c r="D619" s="204" t="str">
        <f>IFERROR(__xludf.DUMMYFUNCTION("ARRAYFORMULA(LET( converted, SUBSTITUTE( SUBSTITUTE( SUBSTITUTE( SUBSTITUTE( SUBSTITUTE( SUBSTITUTE( SUBSTITUTE( SUBSTITUTE( SUBSTITUTE( SUBSTITUTE( C619, ""۰"", ""0""), ""۱"", ""1""), ""۲"", ""2""), ""۳"", ""3""), ""۴"", ""4""), ""۵"", ""5""), ""۶"", ""6"&amp;"""), ""۷"", ""7""), ""۸"", ""8""), ""۹"", ""9""), IF(LEFT(converted,3)=""+98"", ""0"" &amp; RIGHT(converted, LEN(converted)-3), IF(LEFT(converted,2)=""98"", ""0"" &amp; RIGHT(converted, LEN(converted)-2), IF(LEFT(converted,1)&lt;&gt;""0"", ""0"" &amp; converted, REGEXREPLA"&amp;"CE(converted , ""\s"", """")) ) ) ) )"),"09121986945")</f>
        <v>09121986945</v>
      </c>
      <c r="E619" s="205" t="s">
        <v>17</v>
      </c>
      <c r="F619" s="206">
        <v>4.0</v>
      </c>
      <c r="G619" s="213" t="s">
        <v>730</v>
      </c>
      <c r="H619" s="202" t="s">
        <v>3633</v>
      </c>
      <c r="I619" s="203"/>
      <c r="J619" s="203" t="s">
        <v>3634</v>
      </c>
      <c r="K619" s="207" t="s">
        <v>2532</v>
      </c>
      <c r="L619" s="207" t="s">
        <v>3635</v>
      </c>
      <c r="M619" s="202"/>
      <c r="N619" s="207"/>
      <c r="O619" s="207"/>
      <c r="P619" s="202"/>
      <c r="Q619" s="208"/>
      <c r="R619" s="86"/>
      <c r="S619" s="114">
        <f t="shared" ref="S619:T619" si="620">A619</f>
        <v>619</v>
      </c>
      <c r="T619" s="114" t="str">
        <f t="shared" si="620"/>
        <v>شهرام محبی</v>
      </c>
      <c r="U619" s="86" t="str">
        <f t="shared" si="3"/>
        <v>09121986945</v>
      </c>
      <c r="V619" s="86" t="str">
        <f t="shared" si="4"/>
        <v>پیش‌وایی 4</v>
      </c>
      <c r="W619" s="86"/>
      <c r="X619" s="86"/>
    </row>
    <row r="620">
      <c r="A620" s="192">
        <v>620.0</v>
      </c>
      <c r="B620" s="199" t="s">
        <v>2858</v>
      </c>
      <c r="C620" s="194" t="s">
        <v>2859</v>
      </c>
      <c r="D620" s="195" t="str">
        <f>IFERROR(__xludf.DUMMYFUNCTION("ARRAYFORMULA(LET( converted, SUBSTITUTE( SUBSTITUTE( SUBSTITUTE( SUBSTITUTE( SUBSTITUTE( SUBSTITUTE( SUBSTITUTE( SUBSTITUTE( SUBSTITUTE( SUBSTITUTE( C620, ""۰"", ""0""), ""۱"", ""1""), ""۲"", ""2""), ""۳"", ""3""), ""۴"", ""4""), ""۵"", ""5""), ""۶"", ""6"&amp;"""), ""۷"", ""7""), ""۸"", ""8""), ""۹"", ""9""), IF(LEFT(converted,3)=""+98"", ""0"" &amp; RIGHT(converted, LEN(converted)-3), IF(LEFT(converted,2)=""98"", ""0"" &amp; RIGHT(converted, LEN(converted)-2), IF(LEFT(converted,1)&lt;&gt;""0"", ""0"" &amp; converted, REGEXREPLA"&amp;"CE(converted , ""\s"", """")) ) ) ) )"),"09122250704")</f>
        <v>09122250704</v>
      </c>
      <c r="E620" s="196" t="s">
        <v>17</v>
      </c>
      <c r="F620" s="197">
        <v>4.0</v>
      </c>
      <c r="G620" s="212" t="s">
        <v>730</v>
      </c>
      <c r="H620" s="198" t="s">
        <v>3636</v>
      </c>
      <c r="I620" s="194"/>
      <c r="J620" s="194" t="s">
        <v>2861</v>
      </c>
      <c r="K620" s="199" t="s">
        <v>2862</v>
      </c>
      <c r="L620" s="199" t="s">
        <v>2863</v>
      </c>
      <c r="M620" s="193"/>
      <c r="N620" s="199"/>
      <c r="O620" s="199"/>
      <c r="P620" s="193"/>
      <c r="Q620" s="200"/>
      <c r="R620" s="86"/>
      <c r="S620" s="114">
        <f t="shared" ref="S620:T620" si="621">A620</f>
        <v>620</v>
      </c>
      <c r="T620" s="114" t="str">
        <f t="shared" si="621"/>
        <v>پرهام قبادی</v>
      </c>
      <c r="U620" s="86" t="str">
        <f t="shared" si="3"/>
        <v>09122250704</v>
      </c>
      <c r="V620" s="86" t="str">
        <f t="shared" si="4"/>
        <v>پیش‌وایی 4</v>
      </c>
      <c r="W620" s="86"/>
      <c r="X620" s="86"/>
    </row>
    <row r="621">
      <c r="A621" s="201">
        <v>621.0</v>
      </c>
      <c r="B621" s="202" t="s">
        <v>3637</v>
      </c>
      <c r="C621" s="203" t="s">
        <v>3638</v>
      </c>
      <c r="D621" s="204" t="str">
        <f>IFERROR(__xludf.DUMMYFUNCTION("ARRAYFORMULA(LET( converted, SUBSTITUTE( SUBSTITUTE( SUBSTITUTE( SUBSTITUTE( SUBSTITUTE( SUBSTITUTE( SUBSTITUTE( SUBSTITUTE( SUBSTITUTE( SUBSTITUTE( C621, ""۰"", ""0""), ""۱"", ""1""), ""۲"", ""2""), ""۳"", ""3""), ""۴"", ""4""), ""۵"", ""5""), ""۶"", ""6"&amp;"""), ""۷"", ""7""), ""۸"", ""8""), ""۹"", ""9""), IF(LEFT(converted,3)=""+98"", ""0"" &amp; RIGHT(converted, LEN(converted)-3), IF(LEFT(converted,2)=""98"", ""0"" &amp; RIGHT(converted, LEN(converted)-2), IF(LEFT(converted,1)&lt;&gt;""0"", ""0"" &amp; converted, REGEXREPLA"&amp;"CE(converted , ""\s"", """")) ) ) ) )"),"09197850306")</f>
        <v>09197850306</v>
      </c>
      <c r="E621" s="205" t="s">
        <v>17</v>
      </c>
      <c r="F621" s="206">
        <v>4.0</v>
      </c>
      <c r="G621" s="213" t="s">
        <v>746</v>
      </c>
      <c r="H621" s="209" t="s">
        <v>3639</v>
      </c>
      <c r="I621" s="203"/>
      <c r="J621" s="203" t="s">
        <v>3640</v>
      </c>
      <c r="K621" s="207" t="s">
        <v>3641</v>
      </c>
      <c r="L621" s="207" t="s">
        <v>3538</v>
      </c>
      <c r="M621" s="202"/>
      <c r="N621" s="207"/>
      <c r="O621" s="207"/>
      <c r="P621" s="202"/>
      <c r="Q621" s="208"/>
      <c r="R621" s="86"/>
      <c r="S621" s="114">
        <f t="shared" ref="S621:T621" si="622">A621</f>
        <v>621</v>
      </c>
      <c r="T621" s="114" t="str">
        <f t="shared" si="622"/>
        <v>سولماز کوهی</v>
      </c>
      <c r="U621" s="86" t="str">
        <f t="shared" si="3"/>
        <v>09197850306</v>
      </c>
      <c r="V621" s="86" t="str">
        <f t="shared" si="4"/>
        <v>پیش‌وایی 4</v>
      </c>
      <c r="W621" s="86"/>
      <c r="X621" s="86"/>
    </row>
    <row r="622">
      <c r="A622" s="192">
        <v>622.0</v>
      </c>
      <c r="B622" s="193" t="s">
        <v>3642</v>
      </c>
      <c r="C622" s="194" t="s">
        <v>3643</v>
      </c>
      <c r="D622" s="195" t="str">
        <f>IFERROR(__xludf.DUMMYFUNCTION("ARRAYFORMULA(LET( converted, SUBSTITUTE( SUBSTITUTE( SUBSTITUTE( SUBSTITUTE( SUBSTITUTE( SUBSTITUTE( SUBSTITUTE( SUBSTITUTE( SUBSTITUTE( SUBSTITUTE( C622, ""۰"", ""0""), ""۱"", ""1""), ""۲"", ""2""), ""۳"", ""3""), ""۴"", ""4""), ""۵"", ""5""), ""۶"", ""6"&amp;"""), ""۷"", ""7""), ""۸"", ""8""), ""۹"", ""9""), IF(LEFT(converted,3)=""+98"", ""0"" &amp; RIGHT(converted, LEN(converted)-3), IF(LEFT(converted,2)=""98"", ""0"" &amp; RIGHT(converted, LEN(converted)-2), IF(LEFT(converted,1)&lt;&gt;""0"", ""0"" &amp; converted, REGEXREPLA"&amp;"CE(converted , ""\s"", """")) ) ) ) )"),"09127146154")</f>
        <v>09127146154</v>
      </c>
      <c r="E622" s="196" t="s">
        <v>17</v>
      </c>
      <c r="F622" s="197">
        <v>5.0</v>
      </c>
      <c r="G622" s="212" t="s">
        <v>730</v>
      </c>
      <c r="H622" s="198" t="s">
        <v>3644</v>
      </c>
      <c r="I622" s="194"/>
      <c r="J622" s="194"/>
      <c r="K622" s="193" t="s">
        <v>1737</v>
      </c>
      <c r="L622" s="193" t="s">
        <v>3645</v>
      </c>
      <c r="M622" s="193"/>
      <c r="N622" s="199"/>
      <c r="O622" s="199"/>
      <c r="P622" s="193"/>
      <c r="Q622" s="200"/>
      <c r="R622" s="86"/>
      <c r="S622" s="114">
        <f t="shared" ref="S622:T622" si="623">A622</f>
        <v>622</v>
      </c>
      <c r="T622" s="114" t="str">
        <f t="shared" si="623"/>
        <v>هومن وکیلی</v>
      </c>
      <c r="U622" s="86" t="str">
        <f t="shared" si="3"/>
        <v>09127146154</v>
      </c>
      <c r="V622" s="86" t="str">
        <f t="shared" si="4"/>
        <v>پیش‌وایی 5</v>
      </c>
      <c r="W622" s="86"/>
      <c r="X622" s="86"/>
    </row>
    <row r="623">
      <c r="A623" s="201">
        <v>623.0</v>
      </c>
      <c r="B623" s="202" t="s">
        <v>3646</v>
      </c>
      <c r="C623" s="203" t="s">
        <v>3647</v>
      </c>
      <c r="D623" s="204" t="str">
        <f>IFERROR(__xludf.DUMMYFUNCTION("ARRAYFORMULA(LET( converted, SUBSTITUTE( SUBSTITUTE( SUBSTITUTE( SUBSTITUTE( SUBSTITUTE( SUBSTITUTE( SUBSTITUTE( SUBSTITUTE( SUBSTITUTE( SUBSTITUTE( C623, ""۰"", ""0""), ""۱"", ""1""), ""۲"", ""2""), ""۳"", ""3""), ""۴"", ""4""), ""۵"", ""5""), ""۶"", ""6"&amp;"""), ""۷"", ""7""), ""۸"", ""8""), ""۹"", ""9""), IF(LEFT(converted,3)=""+98"", ""0"" &amp; RIGHT(converted, LEN(converted)-3), IF(LEFT(converted,2)=""98"", ""0"" &amp; RIGHT(converted, LEN(converted)-2), IF(LEFT(converted,1)&lt;&gt;""0"", ""0"" &amp; converted, REGEXREPLA"&amp;"CE(converted , ""\s"", """")) ) ) ) )"),"09126157311")</f>
        <v>09126157311</v>
      </c>
      <c r="E623" s="205" t="s">
        <v>17</v>
      </c>
      <c r="F623" s="206">
        <v>5.0</v>
      </c>
      <c r="G623" s="213" t="s">
        <v>730</v>
      </c>
      <c r="H623" s="209" t="s">
        <v>3648</v>
      </c>
      <c r="I623" s="203"/>
      <c r="J623" s="203"/>
      <c r="K623" s="202" t="s">
        <v>896</v>
      </c>
      <c r="L623" s="202" t="s">
        <v>3649</v>
      </c>
      <c r="M623" s="202"/>
      <c r="N623" s="207"/>
      <c r="O623" s="207"/>
      <c r="P623" s="202"/>
      <c r="Q623" s="208"/>
      <c r="R623" s="86"/>
      <c r="S623" s="114">
        <f t="shared" ref="S623:T623" si="624">A623</f>
        <v>623</v>
      </c>
      <c r="T623" s="114" t="str">
        <f t="shared" si="624"/>
        <v>حسین خارستانی</v>
      </c>
      <c r="U623" s="86" t="str">
        <f t="shared" si="3"/>
        <v>09126157311</v>
      </c>
      <c r="V623" s="86" t="str">
        <f t="shared" si="4"/>
        <v>پیش‌وایی 5</v>
      </c>
      <c r="W623" s="86"/>
      <c r="X623" s="86"/>
    </row>
    <row r="624">
      <c r="A624" s="192">
        <v>624.0</v>
      </c>
      <c r="B624" s="193" t="s">
        <v>3650</v>
      </c>
      <c r="C624" s="194" t="s">
        <v>3651</v>
      </c>
      <c r="D624" s="195" t="str">
        <f>IFERROR(__xludf.DUMMYFUNCTION("ARRAYFORMULA(LET( converted, SUBSTITUTE( SUBSTITUTE( SUBSTITUTE( SUBSTITUTE( SUBSTITUTE( SUBSTITUTE( SUBSTITUTE( SUBSTITUTE( SUBSTITUTE( SUBSTITUTE( C624, ""۰"", ""0""), ""۱"", ""1""), ""۲"", ""2""), ""۳"", ""3""), ""۴"", ""4""), ""۵"", ""5""), ""۶"", ""6"&amp;"""), ""۷"", ""7""), ""۸"", ""8""), ""۹"", ""9""), IF(LEFT(converted,3)=""+98"", ""0"" &amp; RIGHT(converted, LEN(converted)-3), IF(LEFT(converted,2)=""98"", ""0"" &amp; RIGHT(converted, LEN(converted)-2), IF(LEFT(converted,1)&lt;&gt;""0"", ""0"" &amp; converted, REGEXREPLA"&amp;"CE(converted , ""\s"", """")) ) ) ) )"),"09125119082")</f>
        <v>09125119082</v>
      </c>
      <c r="E624" s="196" t="s">
        <v>17</v>
      </c>
      <c r="F624" s="197">
        <v>5.0</v>
      </c>
      <c r="G624" s="212" t="s">
        <v>730</v>
      </c>
      <c r="H624" s="198" t="s">
        <v>3652</v>
      </c>
      <c r="I624" s="194"/>
      <c r="J624" s="194"/>
      <c r="K624" s="193" t="s">
        <v>3653</v>
      </c>
      <c r="L624" s="193" t="s">
        <v>2936</v>
      </c>
      <c r="M624" s="193"/>
      <c r="N624" s="199"/>
      <c r="O624" s="193"/>
      <c r="P624" s="193"/>
      <c r="Q624" s="200"/>
      <c r="R624" s="86"/>
      <c r="S624" s="114">
        <f t="shared" ref="S624:T624" si="625">A624</f>
        <v>624</v>
      </c>
      <c r="T624" s="114" t="str">
        <f t="shared" si="625"/>
        <v>ابراهیم تقوی</v>
      </c>
      <c r="U624" s="86" t="str">
        <f t="shared" si="3"/>
        <v>09125119082</v>
      </c>
      <c r="V624" s="86" t="str">
        <f t="shared" si="4"/>
        <v>پیش‌وایی 5</v>
      </c>
      <c r="W624" s="86"/>
      <c r="X624" s="86"/>
    </row>
    <row r="625">
      <c r="A625" s="201">
        <v>625.0</v>
      </c>
      <c r="B625" s="202" t="s">
        <v>3654</v>
      </c>
      <c r="C625" s="203" t="s">
        <v>3655</v>
      </c>
      <c r="D625" s="204" t="str">
        <f>IFERROR(__xludf.DUMMYFUNCTION("ARRAYFORMULA(LET( converted, SUBSTITUTE( SUBSTITUTE( SUBSTITUTE( SUBSTITUTE( SUBSTITUTE( SUBSTITUTE( SUBSTITUTE( SUBSTITUTE( SUBSTITUTE( SUBSTITUTE( C625, ""۰"", ""0""), ""۱"", ""1""), ""۲"", ""2""), ""۳"", ""3""), ""۴"", ""4""), ""۵"", ""5""), ""۶"", ""6"&amp;"""), ""۷"", ""7""), ""۸"", ""8""), ""۹"", ""9""), IF(LEFT(converted,3)=""+98"", ""0"" &amp; RIGHT(converted, LEN(converted)-3), IF(LEFT(converted,2)=""98"", ""0"" &amp; RIGHT(converted, LEN(converted)-2), IF(LEFT(converted,1)&lt;&gt;""0"", ""0"" &amp; converted, REGEXREPLA"&amp;"CE(converted , ""\s"", """")) ) ) ) )"),"09127108022")</f>
        <v>09127108022</v>
      </c>
      <c r="E625" s="205" t="s">
        <v>17</v>
      </c>
      <c r="F625" s="206">
        <v>5.0</v>
      </c>
      <c r="G625" s="213" t="s">
        <v>730</v>
      </c>
      <c r="H625" s="209" t="s">
        <v>3656</v>
      </c>
      <c r="I625" s="203"/>
      <c r="J625" s="203"/>
      <c r="K625" s="202" t="s">
        <v>311</v>
      </c>
      <c r="L625" s="202" t="s">
        <v>3657</v>
      </c>
      <c r="M625" s="202"/>
      <c r="N625" s="202"/>
      <c r="O625" s="202"/>
      <c r="P625" s="202"/>
      <c r="Q625" s="208"/>
      <c r="R625" s="86"/>
      <c r="S625" s="114">
        <f t="shared" ref="S625:T625" si="626">A625</f>
        <v>625</v>
      </c>
      <c r="T625" s="114" t="str">
        <f t="shared" si="626"/>
        <v>محسن اشکانی</v>
      </c>
      <c r="U625" s="86" t="str">
        <f t="shared" si="3"/>
        <v>09127108022</v>
      </c>
      <c r="V625" s="86" t="str">
        <f t="shared" si="4"/>
        <v>پیش‌وایی 5</v>
      </c>
      <c r="W625" s="86"/>
      <c r="X625" s="86"/>
    </row>
    <row r="626">
      <c r="A626" s="192">
        <v>626.0</v>
      </c>
      <c r="B626" s="193" t="s">
        <v>3658</v>
      </c>
      <c r="C626" s="211" t="s">
        <v>3659</v>
      </c>
      <c r="D626" s="195" t="str">
        <f>IFERROR(__xludf.DUMMYFUNCTION("ARRAYFORMULA(LET( converted, SUBSTITUTE( SUBSTITUTE( SUBSTITUTE( SUBSTITUTE( SUBSTITUTE( SUBSTITUTE( SUBSTITUTE( SUBSTITUTE( SUBSTITUTE( SUBSTITUTE( C626, ""۰"", ""0""), ""۱"", ""1""), ""۲"", ""2""), ""۳"", ""3""), ""۴"", ""4""), ""۵"", ""5""), ""۶"", ""6"&amp;"""), ""۷"", ""7""), ""۸"", ""8""), ""۹"", ""9""), IF(LEFT(converted,3)=""+98"", ""0"" &amp; RIGHT(converted, LEN(converted)-3), IF(LEFT(converted,2)=""98"", ""0"" &amp; RIGHT(converted, LEN(converted)-2), IF(LEFT(converted,1)&lt;&gt;""0"", ""0"" &amp; converted, REGEXREPLA"&amp;"CE(converted , ""\s"", """")) ) ) ) )"),"09384806803")</f>
        <v>09384806803</v>
      </c>
      <c r="E626" s="196" t="s">
        <v>17</v>
      </c>
      <c r="F626" s="197">
        <v>5.0</v>
      </c>
      <c r="G626" s="212" t="s">
        <v>746</v>
      </c>
      <c r="H626" s="198" t="s">
        <v>3660</v>
      </c>
      <c r="I626" s="194"/>
      <c r="J626" s="194"/>
      <c r="K626" s="193" t="s">
        <v>3182</v>
      </c>
      <c r="L626" s="193" t="s">
        <v>3645</v>
      </c>
      <c r="M626" s="193"/>
      <c r="N626" s="193"/>
      <c r="O626" s="193"/>
      <c r="P626" s="193"/>
      <c r="Q626" s="200"/>
      <c r="R626" s="86"/>
      <c r="S626" s="114">
        <f t="shared" ref="S626:T626" si="627">A626</f>
        <v>626</v>
      </c>
      <c r="T626" s="114" t="str">
        <f t="shared" si="627"/>
        <v>فرناز وکیلی</v>
      </c>
      <c r="U626" s="86" t="str">
        <f t="shared" si="3"/>
        <v>09384806803</v>
      </c>
      <c r="V626" s="86" t="str">
        <f t="shared" si="4"/>
        <v>پیش‌وایی 5</v>
      </c>
      <c r="W626" s="86"/>
      <c r="X626" s="86"/>
    </row>
    <row r="627">
      <c r="A627" s="201">
        <v>627.0</v>
      </c>
      <c r="B627" s="202" t="s">
        <v>3423</v>
      </c>
      <c r="C627" s="210" t="s">
        <v>3661</v>
      </c>
      <c r="D627" s="204" t="str">
        <f>IFERROR(__xludf.DUMMYFUNCTION("ARRAYFORMULA(LET( converted, SUBSTITUTE( SUBSTITUTE( SUBSTITUTE( SUBSTITUTE( SUBSTITUTE( SUBSTITUTE( SUBSTITUTE( SUBSTITUTE( SUBSTITUTE( SUBSTITUTE( C627, ""۰"", ""0""), ""۱"", ""1""), ""۲"", ""2""), ""۳"", ""3""), ""۴"", ""4""), ""۵"", ""5""), ""۶"", ""6"&amp;"""), ""۷"", ""7""), ""۸"", ""8""), ""۹"", ""9""), IF(LEFT(converted,3)=""+98"", ""0"" &amp; RIGHT(converted, LEN(converted)-3), IF(LEFT(converted,2)=""98"", ""0"" &amp; RIGHT(converted, LEN(converted)-2), IF(LEFT(converted,1)&lt;&gt;""0"", ""0"" &amp; converted, REGEXREPLA"&amp;"CE(converted , ""\s"", """")) ) ) ) )"),"09017963311")</f>
        <v>09017963311</v>
      </c>
      <c r="E627" s="205" t="s">
        <v>17</v>
      </c>
      <c r="F627" s="206">
        <v>5.0</v>
      </c>
      <c r="G627" s="213" t="s">
        <v>730</v>
      </c>
      <c r="H627" s="202" t="s">
        <v>3425</v>
      </c>
      <c r="I627" s="203"/>
      <c r="J627" s="203"/>
      <c r="K627" s="202" t="s">
        <v>303</v>
      </c>
      <c r="L627" s="202" t="s">
        <v>3427</v>
      </c>
      <c r="M627" s="202"/>
      <c r="N627" s="202"/>
      <c r="O627" s="202"/>
      <c r="P627" s="202"/>
      <c r="Q627" s="208"/>
      <c r="R627" s="86"/>
      <c r="S627" s="114">
        <f t="shared" ref="S627:T627" si="628">A627</f>
        <v>627</v>
      </c>
      <c r="T627" s="114" t="str">
        <f t="shared" si="628"/>
        <v>محمد آنالویی</v>
      </c>
      <c r="U627" s="86" t="str">
        <f t="shared" si="3"/>
        <v>09017963311</v>
      </c>
      <c r="V627" s="86" t="str">
        <f t="shared" si="4"/>
        <v>پیش‌وایی 5</v>
      </c>
      <c r="W627" s="86"/>
      <c r="X627" s="86"/>
    </row>
    <row r="628">
      <c r="A628" s="192">
        <v>628.0</v>
      </c>
      <c r="B628" s="193" t="s">
        <v>3662</v>
      </c>
      <c r="C628" s="194" t="s">
        <v>3663</v>
      </c>
      <c r="D628" s="195" t="str">
        <f>IFERROR(__xludf.DUMMYFUNCTION("ARRAYFORMULA(LET( converted, SUBSTITUTE( SUBSTITUTE( SUBSTITUTE( SUBSTITUTE( SUBSTITUTE( SUBSTITUTE( SUBSTITUTE( SUBSTITUTE( SUBSTITUTE( SUBSTITUTE( C628, ""۰"", ""0""), ""۱"", ""1""), ""۲"", ""2""), ""۳"", ""3""), ""۴"", ""4""), ""۵"", ""5""), ""۶"", ""6"&amp;"""), ""۷"", ""7""), ""۸"", ""8""), ""۹"", ""9""), IF(LEFT(converted,3)=""+98"", ""0"" &amp; RIGHT(converted, LEN(converted)-3), IF(LEFT(converted,2)=""98"", ""0"" &amp; RIGHT(converted, LEN(converted)-2), IF(LEFT(converted,1)&lt;&gt;""0"", ""0"" &amp; converted, REGEXREPLA"&amp;"CE(converted , ""\s"", """")) ) ) ) )"),"09331503497")</f>
        <v>09331503497</v>
      </c>
      <c r="E628" s="196" t="s">
        <v>17</v>
      </c>
      <c r="F628" s="197">
        <v>5.0</v>
      </c>
      <c r="G628" s="212" t="s">
        <v>730</v>
      </c>
      <c r="H628" s="193" t="s">
        <v>3664</v>
      </c>
      <c r="I628" s="194"/>
      <c r="J628" s="194" t="s">
        <v>3665</v>
      </c>
      <c r="K628" s="193" t="s">
        <v>3666</v>
      </c>
      <c r="L628" s="193" t="s">
        <v>3667</v>
      </c>
      <c r="M628" s="193"/>
      <c r="N628" s="193"/>
      <c r="O628" s="193"/>
      <c r="P628" s="193"/>
      <c r="Q628" s="200"/>
      <c r="R628" s="86"/>
      <c r="S628" s="114">
        <f t="shared" ref="S628:T628" si="629">A628</f>
        <v>628</v>
      </c>
      <c r="T628" s="114" t="str">
        <f t="shared" si="629"/>
        <v>پویا دارابی</v>
      </c>
      <c r="U628" s="86" t="str">
        <f t="shared" si="3"/>
        <v>09331503497</v>
      </c>
      <c r="V628" s="86" t="str">
        <f t="shared" si="4"/>
        <v>پیش‌وایی 5</v>
      </c>
      <c r="W628" s="86"/>
      <c r="X628" s="86"/>
    </row>
    <row r="629">
      <c r="A629" s="201">
        <v>629.0</v>
      </c>
      <c r="B629" s="207" t="s">
        <v>3608</v>
      </c>
      <c r="C629" s="203" t="s">
        <v>3609</v>
      </c>
      <c r="D629" s="204" t="str">
        <f>IFERROR(__xludf.DUMMYFUNCTION("ARRAYFORMULA(LET( converted, SUBSTITUTE( SUBSTITUTE( SUBSTITUTE( SUBSTITUTE( SUBSTITUTE( SUBSTITUTE( SUBSTITUTE( SUBSTITUTE( SUBSTITUTE( SUBSTITUTE( C629, ""۰"", ""0""), ""۱"", ""1""), ""۲"", ""2""), ""۳"", ""3""), ""۴"", ""4""), ""۵"", ""5""), ""۶"", ""6"&amp;"""), ""۷"", ""7""), ""۸"", ""8""), ""۹"", ""9""), IF(LEFT(converted,3)=""+98"", ""0"" &amp; RIGHT(converted, LEN(converted)-3), IF(LEFT(converted,2)=""98"", ""0"" &amp; RIGHT(converted, LEN(converted)-2), IF(LEFT(converted,1)&lt;&gt;""0"", ""0"" &amp; converted, REGEXREPLA"&amp;"CE(converted , ""\s"", """")) ) ) ) )"),"09126220266")</f>
        <v>09126220266</v>
      </c>
      <c r="E629" s="205" t="s">
        <v>17</v>
      </c>
      <c r="F629" s="206">
        <v>5.0</v>
      </c>
      <c r="G629" s="213" t="s">
        <v>730</v>
      </c>
      <c r="H629" s="202" t="s">
        <v>3610</v>
      </c>
      <c r="I629" s="203"/>
      <c r="J629" s="203" t="s">
        <v>3611</v>
      </c>
      <c r="K629" s="202" t="s">
        <v>3668</v>
      </c>
      <c r="L629" s="202" t="s">
        <v>3669</v>
      </c>
      <c r="M629" s="202"/>
      <c r="N629" s="202"/>
      <c r="O629" s="202"/>
      <c r="P629" s="202"/>
      <c r="Q629" s="208"/>
      <c r="R629" s="86"/>
      <c r="S629" s="114">
        <f t="shared" ref="S629:T629" si="630">A629</f>
        <v>629</v>
      </c>
      <c r="T629" s="114" t="str">
        <f t="shared" si="630"/>
        <v>ایمان عدل خواه</v>
      </c>
      <c r="U629" s="86" t="str">
        <f t="shared" si="3"/>
        <v>09126220266</v>
      </c>
      <c r="V629" s="86" t="str">
        <f t="shared" si="4"/>
        <v>پیش‌وایی 5</v>
      </c>
      <c r="W629" s="86"/>
      <c r="X629" s="86"/>
    </row>
    <row r="630">
      <c r="A630" s="192">
        <v>630.0</v>
      </c>
      <c r="B630" s="193" t="s">
        <v>3670</v>
      </c>
      <c r="C630" s="194" t="s">
        <v>3671</v>
      </c>
      <c r="D630" s="195" t="str">
        <f>IFERROR(__xludf.DUMMYFUNCTION("ARRAYFORMULA(LET( converted, SUBSTITUTE( SUBSTITUTE( SUBSTITUTE( SUBSTITUTE( SUBSTITUTE( SUBSTITUTE( SUBSTITUTE( SUBSTITUTE( SUBSTITUTE( SUBSTITUTE( C630, ""۰"", ""0""), ""۱"", ""1""), ""۲"", ""2""), ""۳"", ""3""), ""۴"", ""4""), ""۵"", ""5""), ""۶"", ""6"&amp;"""), ""۷"", ""7""), ""۸"", ""8""), ""۹"", ""9""), IF(LEFT(converted,3)=""+98"", ""0"" &amp; RIGHT(converted, LEN(converted)-3), IF(LEFT(converted,2)=""98"", ""0"" &amp; RIGHT(converted, LEN(converted)-2), IF(LEFT(converted,1)&lt;&gt;""0"", ""0"" &amp; converted, REGEXREPLA"&amp;"CE(converted , ""\s"", """")) ) ) ) )"),"09127742208")</f>
        <v>09127742208</v>
      </c>
      <c r="E630" s="196" t="s">
        <v>17</v>
      </c>
      <c r="F630" s="197">
        <v>5.0</v>
      </c>
      <c r="G630" s="212" t="s">
        <v>730</v>
      </c>
      <c r="H630" s="193" t="s">
        <v>3672</v>
      </c>
      <c r="I630" s="194"/>
      <c r="J630" s="194" t="s">
        <v>3673</v>
      </c>
      <c r="K630" s="193" t="s">
        <v>3674</v>
      </c>
      <c r="L630" s="193" t="s">
        <v>2746</v>
      </c>
      <c r="M630" s="193"/>
      <c r="N630" s="193"/>
      <c r="O630" s="193"/>
      <c r="P630" s="193"/>
      <c r="Q630" s="200"/>
      <c r="R630" s="86"/>
      <c r="S630" s="114">
        <f t="shared" ref="S630:T630" si="631">A630</f>
        <v>630</v>
      </c>
      <c r="T630" s="114" t="str">
        <f t="shared" si="631"/>
        <v>عادل پارسا</v>
      </c>
      <c r="U630" s="86" t="str">
        <f t="shared" si="3"/>
        <v>09127742208</v>
      </c>
      <c r="V630" s="86" t="str">
        <f t="shared" si="4"/>
        <v>پیش‌وایی 5</v>
      </c>
      <c r="W630" s="86"/>
      <c r="X630" s="86"/>
    </row>
    <row r="631">
      <c r="A631" s="201">
        <v>631.0</v>
      </c>
      <c r="B631" s="202" t="s">
        <v>3675</v>
      </c>
      <c r="C631" s="203" t="s">
        <v>3676</v>
      </c>
      <c r="D631" s="204" t="str">
        <f>IFERROR(__xludf.DUMMYFUNCTION("ARRAYFORMULA(LET( converted, SUBSTITUTE( SUBSTITUTE( SUBSTITUTE( SUBSTITUTE( SUBSTITUTE( SUBSTITUTE( SUBSTITUTE( SUBSTITUTE( SUBSTITUTE( SUBSTITUTE( C631, ""۰"", ""0""), ""۱"", ""1""), ""۲"", ""2""), ""۳"", ""3""), ""۴"", ""4""), ""۵"", ""5""), ""۶"", ""6"&amp;"""), ""۷"", ""7""), ""۸"", ""8""), ""۹"", ""9""), IF(LEFT(converted,3)=""+98"", ""0"" &amp; RIGHT(converted, LEN(converted)-3), IF(LEFT(converted,2)=""98"", ""0"" &amp; RIGHT(converted, LEN(converted)-2), IF(LEFT(converted,1)&lt;&gt;""0"", ""0"" &amp; converted, REGEXREPLA"&amp;"CE(converted , ""\s"", """")) ) ) ) )"),"09122365642")</f>
        <v>09122365642</v>
      </c>
      <c r="E631" s="205" t="s">
        <v>17</v>
      </c>
      <c r="F631" s="206">
        <v>5.0</v>
      </c>
      <c r="G631" s="213" t="s">
        <v>730</v>
      </c>
      <c r="H631" s="202" t="s">
        <v>3677</v>
      </c>
      <c r="I631" s="203"/>
      <c r="J631" s="203" t="s">
        <v>3678</v>
      </c>
      <c r="K631" s="202" t="s">
        <v>286</v>
      </c>
      <c r="L631" s="202" t="s">
        <v>3679</v>
      </c>
      <c r="M631" s="202"/>
      <c r="N631" s="202"/>
      <c r="O631" s="202"/>
      <c r="P631" s="202"/>
      <c r="Q631" s="208"/>
      <c r="R631" s="86"/>
      <c r="S631" s="114">
        <f t="shared" ref="S631:T631" si="632">A631</f>
        <v>631</v>
      </c>
      <c r="T631" s="114" t="str">
        <f t="shared" si="632"/>
        <v>مهدی یوسف تبار</v>
      </c>
      <c r="U631" s="86" t="str">
        <f t="shared" si="3"/>
        <v>09122365642</v>
      </c>
      <c r="V631" s="86" t="str">
        <f t="shared" si="4"/>
        <v>پیش‌وایی 5</v>
      </c>
      <c r="W631" s="86"/>
      <c r="X631" s="86"/>
    </row>
    <row r="632">
      <c r="A632" s="192">
        <v>632.0</v>
      </c>
      <c r="B632" s="193" t="s">
        <v>3680</v>
      </c>
      <c r="C632" s="194" t="s">
        <v>3681</v>
      </c>
      <c r="D632" s="195" t="str">
        <f>IFERROR(__xludf.DUMMYFUNCTION("ARRAYFORMULA(LET( converted, SUBSTITUTE( SUBSTITUTE( SUBSTITUTE( SUBSTITUTE( SUBSTITUTE( SUBSTITUTE( SUBSTITUTE( SUBSTITUTE( SUBSTITUTE( SUBSTITUTE( C632, ""۰"", ""0""), ""۱"", ""1""), ""۲"", ""2""), ""۳"", ""3""), ""۴"", ""4""), ""۵"", ""5""), ""۶"", ""6"&amp;"""), ""۷"", ""7""), ""۸"", ""8""), ""۹"", ""9""), IF(LEFT(converted,3)=""+98"", ""0"" &amp; RIGHT(converted, LEN(converted)-3), IF(LEFT(converted,2)=""98"", ""0"" &amp; RIGHT(converted, LEN(converted)-2), IF(LEFT(converted,1)&lt;&gt;""0"", ""0"" &amp; converted, REGEXREPLA"&amp;"CE(converted , ""\s"", """")) ) ) ) )"),"09122880104")</f>
        <v>09122880104</v>
      </c>
      <c r="E632" s="196" t="s">
        <v>17</v>
      </c>
      <c r="F632" s="197">
        <v>5.0</v>
      </c>
      <c r="G632" s="212" t="s">
        <v>746</v>
      </c>
      <c r="H632" s="193" t="s">
        <v>3682</v>
      </c>
      <c r="I632" s="194"/>
      <c r="J632" s="194" t="s">
        <v>3683</v>
      </c>
      <c r="K632" s="193" t="s">
        <v>3684</v>
      </c>
      <c r="L632" s="193" t="s">
        <v>3685</v>
      </c>
      <c r="M632" s="193"/>
      <c r="N632" s="193"/>
      <c r="O632" s="193"/>
      <c r="P632" s="193"/>
      <c r="Q632" s="200"/>
      <c r="R632" s="86"/>
      <c r="S632" s="114">
        <f t="shared" ref="S632:T632" si="633">A632</f>
        <v>632</v>
      </c>
      <c r="T632" s="114" t="str">
        <f t="shared" si="633"/>
        <v>ژینوس روشندل</v>
      </c>
      <c r="U632" s="86" t="str">
        <f t="shared" si="3"/>
        <v>09122880104</v>
      </c>
      <c r="V632" s="86" t="str">
        <f t="shared" si="4"/>
        <v>پیش‌وایی 5</v>
      </c>
      <c r="W632" s="86"/>
      <c r="X632" s="86"/>
    </row>
    <row r="633">
      <c r="A633" s="201">
        <v>633.0</v>
      </c>
      <c r="B633" s="202" t="s">
        <v>3686</v>
      </c>
      <c r="C633" s="203" t="s">
        <v>3687</v>
      </c>
      <c r="D633" s="204" t="str">
        <f>IFERROR(__xludf.DUMMYFUNCTION("ARRAYFORMULA(LET( converted, SUBSTITUTE( SUBSTITUTE( SUBSTITUTE( SUBSTITUTE( SUBSTITUTE( SUBSTITUTE( SUBSTITUTE( SUBSTITUTE( SUBSTITUTE( SUBSTITUTE( C633, ""۰"", ""0""), ""۱"", ""1""), ""۲"", ""2""), ""۳"", ""3""), ""۴"", ""4""), ""۵"", ""5""), ""۶"", ""6"&amp;"""), ""۷"", ""7""), ""۸"", ""8""), ""۹"", ""9""), IF(LEFT(converted,3)=""+98"", ""0"" &amp; RIGHT(converted, LEN(converted)-3), IF(LEFT(converted,2)=""98"", ""0"" &amp; RIGHT(converted, LEN(converted)-2), IF(LEFT(converted,1)&lt;&gt;""0"", ""0"" &amp; converted, REGEXREPLA"&amp;"CE(converted , ""\s"", """")) ) ) ) )"),"09121768693")</f>
        <v>09121768693</v>
      </c>
      <c r="E633" s="205" t="s">
        <v>17</v>
      </c>
      <c r="F633" s="206">
        <v>5.0</v>
      </c>
      <c r="G633" s="213" t="s">
        <v>730</v>
      </c>
      <c r="H633" s="209" t="s">
        <v>3688</v>
      </c>
      <c r="I633" s="203"/>
      <c r="J633" s="203" t="s">
        <v>3689</v>
      </c>
      <c r="K633" s="202" t="s">
        <v>3690</v>
      </c>
      <c r="L633" s="202" t="s">
        <v>3691</v>
      </c>
      <c r="M633" s="202"/>
      <c r="N633" s="202"/>
      <c r="O633" s="202"/>
      <c r="P633" s="202"/>
      <c r="Q633" s="208"/>
      <c r="R633" s="86"/>
      <c r="S633" s="114">
        <f t="shared" ref="S633:T633" si="634">A633</f>
        <v>633</v>
      </c>
      <c r="T633" s="114" t="str">
        <f t="shared" si="634"/>
        <v>امیریوسف صلحی</v>
      </c>
      <c r="U633" s="86" t="str">
        <f t="shared" si="3"/>
        <v>09121768693</v>
      </c>
      <c r="V633" s="86" t="str">
        <f t="shared" si="4"/>
        <v>پیش‌وایی 5</v>
      </c>
      <c r="W633" s="86"/>
      <c r="X633" s="86"/>
    </row>
    <row r="634">
      <c r="A634" s="192">
        <v>634.0</v>
      </c>
      <c r="B634" s="193" t="s">
        <v>3692</v>
      </c>
      <c r="C634" s="194" t="s">
        <v>3693</v>
      </c>
      <c r="D634" s="195" t="str">
        <f>IFERROR(__xludf.DUMMYFUNCTION("ARRAYFORMULA(LET( converted, SUBSTITUTE( SUBSTITUTE( SUBSTITUTE( SUBSTITUTE( SUBSTITUTE( SUBSTITUTE( SUBSTITUTE( SUBSTITUTE( SUBSTITUTE( SUBSTITUTE( C634, ""۰"", ""0""), ""۱"", ""1""), ""۲"", ""2""), ""۳"", ""3""), ""۴"", ""4""), ""۵"", ""5""), ""۶"", ""6"&amp;"""), ""۷"", ""7""), ""۸"", ""8""), ""۹"", ""9""), IF(LEFT(converted,3)=""+98"", ""0"" &amp; RIGHT(converted, LEN(converted)-3), IF(LEFT(converted,2)=""98"", ""0"" &amp; RIGHT(converted, LEN(converted)-2), IF(LEFT(converted,1)&lt;&gt;""0"", ""0"" &amp; converted, REGEXREPLA"&amp;"CE(converted , ""\s"", """")) ) ) ) )"),"09900987308")</f>
        <v>09900987308</v>
      </c>
      <c r="E634" s="196" t="s">
        <v>17</v>
      </c>
      <c r="F634" s="197">
        <v>5.0</v>
      </c>
      <c r="G634" s="212" t="s">
        <v>730</v>
      </c>
      <c r="H634" s="193" t="s">
        <v>3694</v>
      </c>
      <c r="I634" s="194"/>
      <c r="J634" s="194" t="s">
        <v>3695</v>
      </c>
      <c r="K634" s="193" t="s">
        <v>3126</v>
      </c>
      <c r="L634" s="193" t="s">
        <v>3696</v>
      </c>
      <c r="M634" s="193"/>
      <c r="N634" s="193"/>
      <c r="O634" s="193"/>
      <c r="P634" s="193"/>
      <c r="Q634" s="200"/>
      <c r="R634" s="86"/>
      <c r="S634" s="114">
        <f t="shared" ref="S634:T634" si="635">A634</f>
        <v>634</v>
      </c>
      <c r="T634" s="114" t="str">
        <f t="shared" si="635"/>
        <v>ایمان ربّی</v>
      </c>
      <c r="U634" s="86" t="str">
        <f t="shared" si="3"/>
        <v>09900987308</v>
      </c>
      <c r="V634" s="86" t="str">
        <f t="shared" si="4"/>
        <v>پیش‌وایی 5</v>
      </c>
      <c r="W634" s="86"/>
      <c r="X634" s="86"/>
    </row>
    <row r="635">
      <c r="A635" s="201">
        <v>635.0</v>
      </c>
      <c r="B635" s="202" t="s">
        <v>3697</v>
      </c>
      <c r="C635" s="203" t="s">
        <v>3698</v>
      </c>
      <c r="D635" s="204" t="str">
        <f>IFERROR(__xludf.DUMMYFUNCTION("ARRAYFORMULA(LET( converted, SUBSTITUTE( SUBSTITUTE( SUBSTITUTE( SUBSTITUTE( SUBSTITUTE( SUBSTITUTE( SUBSTITUTE( SUBSTITUTE( SUBSTITUTE( SUBSTITUTE( C635, ""۰"", ""0""), ""۱"", ""1""), ""۲"", ""2""), ""۳"", ""3""), ""۴"", ""4""), ""۵"", ""5""), ""۶"", ""6"&amp;"""), ""۷"", ""7""), ""۸"", ""8""), ""۹"", ""9""), IF(LEFT(converted,3)=""+98"", ""0"" &amp; RIGHT(converted, LEN(converted)-3), IF(LEFT(converted,2)=""98"", ""0"" &amp; RIGHT(converted, LEN(converted)-2), IF(LEFT(converted,1)&lt;&gt;""0"", ""0"" &amp; converted, REGEXREPLA"&amp;"CE(converted , ""\s"", """")) ) ) ) )"),"09125189949")</f>
        <v>09125189949</v>
      </c>
      <c r="E635" s="205" t="s">
        <v>17</v>
      </c>
      <c r="F635" s="206">
        <v>5.0</v>
      </c>
      <c r="G635" s="213" t="s">
        <v>730</v>
      </c>
      <c r="H635" s="202" t="s">
        <v>3699</v>
      </c>
      <c r="I635" s="203"/>
      <c r="J635" s="203" t="s">
        <v>3700</v>
      </c>
      <c r="K635" s="202" t="s">
        <v>247</v>
      </c>
      <c r="L635" s="202" t="s">
        <v>3701</v>
      </c>
      <c r="M635" s="202"/>
      <c r="N635" s="202"/>
      <c r="O635" s="202"/>
      <c r="P635" s="202"/>
      <c r="Q635" s="208"/>
      <c r="R635" s="86"/>
      <c r="S635" s="114">
        <f t="shared" ref="S635:T635" si="636">A635</f>
        <v>635</v>
      </c>
      <c r="T635" s="114" t="str">
        <f t="shared" si="636"/>
        <v>سجاد سعیدنیا</v>
      </c>
      <c r="U635" s="86" t="str">
        <f t="shared" si="3"/>
        <v>09125189949</v>
      </c>
      <c r="V635" s="86" t="str">
        <f t="shared" si="4"/>
        <v>پیش‌وایی 5</v>
      </c>
      <c r="W635" s="86"/>
      <c r="X635" s="86"/>
    </row>
    <row r="636">
      <c r="A636" s="192">
        <v>636.0</v>
      </c>
      <c r="B636" s="193" t="s">
        <v>3322</v>
      </c>
      <c r="C636" s="194" t="s">
        <v>3323</v>
      </c>
      <c r="D636" s="195" t="str">
        <f>IFERROR(__xludf.DUMMYFUNCTION("ARRAYFORMULA(LET( converted, SUBSTITUTE( SUBSTITUTE( SUBSTITUTE( SUBSTITUTE( SUBSTITUTE( SUBSTITUTE( SUBSTITUTE( SUBSTITUTE( SUBSTITUTE( SUBSTITUTE( C636, ""۰"", ""0""), ""۱"", ""1""), ""۲"", ""2""), ""۳"", ""3""), ""۴"", ""4""), ""۵"", ""5""), ""۶"", ""6"&amp;"""), ""۷"", ""7""), ""۸"", ""8""), ""۹"", ""9""), IF(LEFT(converted,3)=""+98"", ""0"" &amp; RIGHT(converted, LEN(converted)-3), IF(LEFT(converted,2)=""98"", ""0"" &amp; RIGHT(converted, LEN(converted)-2), IF(LEFT(converted,1)&lt;&gt;""0"", ""0"" &amp; converted, REGEXREPLA"&amp;"CE(converted , ""\s"", """")) ) ) ) )"),"09361487270")</f>
        <v>09361487270</v>
      </c>
      <c r="E636" s="196" t="s">
        <v>17</v>
      </c>
      <c r="F636" s="197">
        <v>5.0</v>
      </c>
      <c r="G636" s="212" t="s">
        <v>730</v>
      </c>
      <c r="H636" s="193" t="s">
        <v>3324</v>
      </c>
      <c r="I636" s="194"/>
      <c r="J636" s="194" t="s">
        <v>3325</v>
      </c>
      <c r="K636" s="193" t="s">
        <v>1678</v>
      </c>
      <c r="L636" s="193" t="s">
        <v>3326</v>
      </c>
      <c r="M636" s="193"/>
      <c r="N636" s="193"/>
      <c r="O636" s="193"/>
      <c r="P636" s="193"/>
      <c r="Q636" s="200"/>
      <c r="R636" s="86"/>
      <c r="S636" s="114">
        <f t="shared" ref="S636:T636" si="637">A636</f>
        <v>636</v>
      </c>
      <c r="T636" s="114" t="str">
        <f t="shared" si="637"/>
        <v>امین امینی</v>
      </c>
      <c r="U636" s="86" t="str">
        <f t="shared" si="3"/>
        <v>09361487270</v>
      </c>
      <c r="V636" s="86" t="str">
        <f t="shared" si="4"/>
        <v>پیش‌وایی 5</v>
      </c>
      <c r="W636" s="86"/>
      <c r="X636" s="86"/>
    </row>
    <row r="637">
      <c r="A637" s="201">
        <v>637.0</v>
      </c>
      <c r="B637" s="202" t="s">
        <v>3702</v>
      </c>
      <c r="C637" s="203" t="s">
        <v>3703</v>
      </c>
      <c r="D637" s="204" t="str">
        <f>IFERROR(__xludf.DUMMYFUNCTION("ARRAYFORMULA(LET( converted, SUBSTITUTE( SUBSTITUTE( SUBSTITUTE( SUBSTITUTE( SUBSTITUTE( SUBSTITUTE( SUBSTITUTE( SUBSTITUTE( SUBSTITUTE( SUBSTITUTE( C637, ""۰"", ""0""), ""۱"", ""1""), ""۲"", ""2""), ""۳"", ""3""), ""۴"", ""4""), ""۵"", ""5""), ""۶"", ""6"&amp;"""), ""۷"", ""7""), ""۸"", ""8""), ""۹"", ""9""), IF(LEFT(converted,3)=""+98"", ""0"" &amp; RIGHT(converted, LEN(converted)-3), IF(LEFT(converted,2)=""98"", ""0"" &amp; RIGHT(converted, LEN(converted)-2), IF(LEFT(converted,1)&lt;&gt;""0"", ""0"" &amp; converted, REGEXREPLA"&amp;"CE(converted , ""\s"", """")) ) ) ) )"),"09120409980")</f>
        <v>09120409980</v>
      </c>
      <c r="E637" s="205" t="s">
        <v>17</v>
      </c>
      <c r="F637" s="206">
        <v>5.0</v>
      </c>
      <c r="G637" s="213" t="s">
        <v>730</v>
      </c>
      <c r="H637" s="202" t="s">
        <v>3704</v>
      </c>
      <c r="I637" s="203"/>
      <c r="J637" s="203" t="s">
        <v>3705</v>
      </c>
      <c r="K637" s="202" t="s">
        <v>3706</v>
      </c>
      <c r="L637" s="202" t="s">
        <v>3707</v>
      </c>
      <c r="M637" s="202"/>
      <c r="N637" s="202"/>
      <c r="O637" s="202"/>
      <c r="P637" s="202"/>
      <c r="Q637" s="208"/>
      <c r="R637" s="86"/>
      <c r="S637" s="114">
        <f t="shared" ref="S637:T637" si="638">A637</f>
        <v>637</v>
      </c>
      <c r="T637" s="114" t="str">
        <f t="shared" si="638"/>
        <v>احسان اله ضیغمی</v>
      </c>
      <c r="U637" s="86" t="str">
        <f t="shared" si="3"/>
        <v>09120409980</v>
      </c>
      <c r="V637" s="86" t="str">
        <f t="shared" si="4"/>
        <v>پیش‌وایی 5</v>
      </c>
      <c r="W637" s="86"/>
      <c r="X637" s="86"/>
    </row>
    <row r="638">
      <c r="A638" s="192">
        <v>638.0</v>
      </c>
      <c r="B638" s="193" t="s">
        <v>3708</v>
      </c>
      <c r="C638" s="194" t="s">
        <v>3709</v>
      </c>
      <c r="D638" s="195" t="str">
        <f>IFERROR(__xludf.DUMMYFUNCTION("ARRAYFORMULA(LET( converted, SUBSTITUTE( SUBSTITUTE( SUBSTITUTE( SUBSTITUTE( SUBSTITUTE( SUBSTITUTE( SUBSTITUTE( SUBSTITUTE( SUBSTITUTE( SUBSTITUTE( C638, ""۰"", ""0""), ""۱"", ""1""), ""۲"", ""2""), ""۳"", ""3""), ""۴"", ""4""), ""۵"", ""5""), ""۶"", ""6"&amp;"""), ""۷"", ""7""), ""۸"", ""8""), ""۹"", ""9""), IF(LEFT(converted,3)=""+98"", ""0"" &amp; RIGHT(converted, LEN(converted)-3), IF(LEFT(converted,2)=""98"", ""0"" &amp; RIGHT(converted, LEN(converted)-2), IF(LEFT(converted,1)&lt;&gt;""0"", ""0"" &amp; converted, REGEXREPLA"&amp;"CE(converted , ""\s"", """")) ) ) ) )"),"09127305229-09226840839")</f>
        <v>09127305229-09226840839</v>
      </c>
      <c r="E638" s="196" t="s">
        <v>17</v>
      </c>
      <c r="F638" s="197">
        <v>5.0</v>
      </c>
      <c r="G638" s="212" t="s">
        <v>746</v>
      </c>
      <c r="H638" s="193" t="s">
        <v>3710</v>
      </c>
      <c r="I638" s="194"/>
      <c r="J638" s="194" t="s">
        <v>3711</v>
      </c>
      <c r="K638" s="193" t="s">
        <v>214</v>
      </c>
      <c r="L638" s="193" t="s">
        <v>3712</v>
      </c>
      <c r="M638" s="193"/>
      <c r="N638" s="193"/>
      <c r="O638" s="193"/>
      <c r="P638" s="193"/>
      <c r="Q638" s="200"/>
      <c r="R638" s="86"/>
      <c r="S638" s="114">
        <f t="shared" ref="S638:T638" si="639">A638</f>
        <v>638</v>
      </c>
      <c r="T638" s="114" t="str">
        <f t="shared" si="639"/>
        <v>بهاره عسگرزاده</v>
      </c>
      <c r="U638" s="86" t="str">
        <f t="shared" si="3"/>
        <v>09127305229-09226840839</v>
      </c>
      <c r="V638" s="86" t="str">
        <f t="shared" si="4"/>
        <v>پیش‌وایی 5</v>
      </c>
      <c r="W638" s="86"/>
      <c r="X638" s="86"/>
    </row>
    <row r="639">
      <c r="A639" s="201">
        <v>639.0</v>
      </c>
      <c r="B639" s="202" t="s">
        <v>3713</v>
      </c>
      <c r="C639" s="203" t="s">
        <v>3714</v>
      </c>
      <c r="D639" s="204" t="str">
        <f>IFERROR(__xludf.DUMMYFUNCTION("ARRAYFORMULA(LET( converted, SUBSTITUTE( SUBSTITUTE( SUBSTITUTE( SUBSTITUTE( SUBSTITUTE( SUBSTITUTE( SUBSTITUTE( SUBSTITUTE( SUBSTITUTE( SUBSTITUTE( C639, ""۰"", ""0""), ""۱"", ""1""), ""۲"", ""2""), ""۳"", ""3""), ""۴"", ""4""), ""۵"", ""5""), ""۶"", ""6"&amp;"""), ""۷"", ""7""), ""۸"", ""8""), ""۹"", ""9""), IF(LEFT(converted,3)=""+98"", ""0"" &amp; RIGHT(converted, LEN(converted)-3), IF(LEFT(converted,2)=""98"", ""0"" &amp; RIGHT(converted, LEN(converted)-2), IF(LEFT(converted,1)&lt;&gt;""0"", ""0"" &amp; converted, REGEXREPLA"&amp;"CE(converted , ""\s"", """")) ) ) ) )"),"09129723455-9059636994")</f>
        <v>09129723455-9059636994</v>
      </c>
      <c r="E639" s="205" t="s">
        <v>17</v>
      </c>
      <c r="F639" s="206">
        <v>5.0</v>
      </c>
      <c r="G639" s="213" t="s">
        <v>730</v>
      </c>
      <c r="H639" s="202" t="s">
        <v>3715</v>
      </c>
      <c r="I639" s="203"/>
      <c r="J639" s="203" t="s">
        <v>3716</v>
      </c>
      <c r="K639" s="202" t="s">
        <v>1569</v>
      </c>
      <c r="L639" s="202" t="s">
        <v>3717</v>
      </c>
      <c r="M639" s="202"/>
      <c r="N639" s="202"/>
      <c r="O639" s="202"/>
      <c r="P639" s="202"/>
      <c r="Q639" s="208"/>
      <c r="R639" s="86"/>
      <c r="S639" s="114">
        <f t="shared" ref="S639:T639" si="640">A639</f>
        <v>639</v>
      </c>
      <c r="T639" s="114" t="str">
        <f t="shared" si="640"/>
        <v>حسن ناصر تبریزی</v>
      </c>
      <c r="U639" s="86" t="str">
        <f t="shared" si="3"/>
        <v>09129723455-9059636994</v>
      </c>
      <c r="V639" s="86" t="str">
        <f t="shared" si="4"/>
        <v>پیش‌وایی 5</v>
      </c>
      <c r="W639" s="86"/>
      <c r="X639" s="86"/>
    </row>
    <row r="640">
      <c r="A640" s="192">
        <v>640.0</v>
      </c>
      <c r="B640" s="193" t="s">
        <v>3718</v>
      </c>
      <c r="C640" s="194" t="s">
        <v>3719</v>
      </c>
      <c r="D640" s="195" t="str">
        <f>IFERROR(__xludf.DUMMYFUNCTION("ARRAYFORMULA(LET( converted, SUBSTITUTE( SUBSTITUTE( SUBSTITUTE( SUBSTITUTE( SUBSTITUTE( SUBSTITUTE( SUBSTITUTE( SUBSTITUTE( SUBSTITUTE( SUBSTITUTE( C640, ""۰"", ""0""), ""۱"", ""1""), ""۲"", ""2""), ""۳"", ""3""), ""۴"", ""4""), ""۵"", ""5""), ""۶"", ""6"&amp;"""), ""۷"", ""7""), ""۸"", ""8""), ""۹"", ""9""), IF(LEFT(converted,3)=""+98"", ""0"" &amp; RIGHT(converted, LEN(converted)-3), IF(LEFT(converted,2)=""98"", ""0"" &amp; RIGHT(converted, LEN(converted)-2), IF(LEFT(converted,1)&lt;&gt;""0"", ""0"" &amp; converted, REGEXREPLA"&amp;"CE(converted , ""\s"", """")) ) ) ) )"),"09382574015")</f>
        <v>09382574015</v>
      </c>
      <c r="E640" s="196" t="s">
        <v>17</v>
      </c>
      <c r="F640" s="197">
        <v>5.0</v>
      </c>
      <c r="G640" s="212" t="s">
        <v>730</v>
      </c>
      <c r="H640" s="193" t="s">
        <v>3720</v>
      </c>
      <c r="I640" s="194"/>
      <c r="J640" s="194" t="s">
        <v>3721</v>
      </c>
      <c r="K640" s="193" t="s">
        <v>3722</v>
      </c>
      <c r="L640" s="193" t="s">
        <v>3723</v>
      </c>
      <c r="M640" s="193"/>
      <c r="N640" s="193"/>
      <c r="O640" s="193"/>
      <c r="P640" s="193"/>
      <c r="Q640" s="200"/>
      <c r="R640" s="86"/>
      <c r="S640" s="114">
        <f t="shared" ref="S640:T640" si="641">A640</f>
        <v>640</v>
      </c>
      <c r="T640" s="114" t="str">
        <f t="shared" si="641"/>
        <v>سیدمحمد دبیر</v>
      </c>
      <c r="U640" s="86" t="str">
        <f t="shared" si="3"/>
        <v>09382574015</v>
      </c>
      <c r="V640" s="86" t="str">
        <f t="shared" si="4"/>
        <v>پیش‌وایی 5</v>
      </c>
      <c r="W640" s="86"/>
      <c r="X640" s="86"/>
    </row>
    <row r="641">
      <c r="A641" s="201">
        <v>641.0</v>
      </c>
      <c r="B641" s="202" t="s">
        <v>3724</v>
      </c>
      <c r="C641" s="203" t="s">
        <v>3725</v>
      </c>
      <c r="D641" s="204" t="str">
        <f>IFERROR(__xludf.DUMMYFUNCTION("ARRAYFORMULA(LET( converted, SUBSTITUTE( SUBSTITUTE( SUBSTITUTE( SUBSTITUTE( SUBSTITUTE( SUBSTITUTE( SUBSTITUTE( SUBSTITUTE( SUBSTITUTE( SUBSTITUTE( C641, ""۰"", ""0""), ""۱"", ""1""), ""۲"", ""2""), ""۳"", ""3""), ""۴"", ""4""), ""۵"", ""5""), ""۶"", ""6"&amp;"""), ""۷"", ""7""), ""۸"", ""8""), ""۹"", ""9""), IF(LEFT(converted,3)=""+98"", ""0"" &amp; RIGHT(converted, LEN(converted)-3), IF(LEFT(converted,2)=""98"", ""0"" &amp; RIGHT(converted, LEN(converted)-2), IF(LEFT(converted,1)&lt;&gt;""0"", ""0"" &amp; converted, REGEXREPLA"&amp;"CE(converted , ""\s"", """")) ) ) ) )"),"09123371250")</f>
        <v>09123371250</v>
      </c>
      <c r="E641" s="205" t="s">
        <v>17</v>
      </c>
      <c r="F641" s="206">
        <v>5.0</v>
      </c>
      <c r="G641" s="213" t="s">
        <v>730</v>
      </c>
      <c r="H641" s="202" t="s">
        <v>3726</v>
      </c>
      <c r="I641" s="203"/>
      <c r="J641" s="203" t="s">
        <v>3727</v>
      </c>
      <c r="K641" s="202" t="s">
        <v>896</v>
      </c>
      <c r="L641" s="202" t="s">
        <v>3728</v>
      </c>
      <c r="M641" s="202"/>
      <c r="N641" s="202"/>
      <c r="O641" s="202"/>
      <c r="P641" s="202"/>
      <c r="Q641" s="208"/>
      <c r="R641" s="86"/>
      <c r="S641" s="114">
        <f t="shared" ref="S641:T641" si="642">A641</f>
        <v>641</v>
      </c>
      <c r="T641" s="114" t="str">
        <f t="shared" si="642"/>
        <v>حسین اکبری</v>
      </c>
      <c r="U641" s="86" t="str">
        <f t="shared" si="3"/>
        <v>09123371250</v>
      </c>
      <c r="V641" s="86" t="str">
        <f t="shared" si="4"/>
        <v>پیش‌وایی 5</v>
      </c>
      <c r="W641" s="86"/>
      <c r="X641" s="86"/>
    </row>
    <row r="642">
      <c r="A642" s="192">
        <v>642.0</v>
      </c>
      <c r="B642" s="193" t="s">
        <v>3729</v>
      </c>
      <c r="C642" s="194" t="s">
        <v>3730</v>
      </c>
      <c r="D642" s="195" t="str">
        <f>IFERROR(__xludf.DUMMYFUNCTION("ARRAYFORMULA(LET( converted, SUBSTITUTE( SUBSTITUTE( SUBSTITUTE( SUBSTITUTE( SUBSTITUTE( SUBSTITUTE( SUBSTITUTE( SUBSTITUTE( SUBSTITUTE( SUBSTITUTE( C642, ""۰"", ""0""), ""۱"", ""1""), ""۲"", ""2""), ""۳"", ""3""), ""۴"", ""4""), ""۵"", ""5""), ""۶"", ""6"&amp;"""), ""۷"", ""7""), ""۸"", ""8""), ""۹"", ""9""), IF(LEFT(converted,3)=""+98"", ""0"" &amp; RIGHT(converted, LEN(converted)-3), IF(LEFT(converted,2)=""98"", ""0"" &amp; RIGHT(converted, LEN(converted)-2), IF(LEFT(converted,1)&lt;&gt;""0"", ""0"" &amp; converted, REGEXREPLA"&amp;"CE(converted , ""\s"", """")) ) ) ) )"),"09024288237")</f>
        <v>09024288237</v>
      </c>
      <c r="E642" s="196" t="s">
        <v>17</v>
      </c>
      <c r="F642" s="197">
        <v>5.0</v>
      </c>
      <c r="G642" s="212" t="s">
        <v>730</v>
      </c>
      <c r="H642" s="193" t="s">
        <v>3731</v>
      </c>
      <c r="I642" s="194"/>
      <c r="J642" s="194" t="s">
        <v>3732</v>
      </c>
      <c r="K642" s="193" t="s">
        <v>3733</v>
      </c>
      <c r="L642" s="193" t="s">
        <v>3728</v>
      </c>
      <c r="M642" s="193"/>
      <c r="N642" s="193"/>
      <c r="O642" s="193"/>
      <c r="P642" s="193"/>
      <c r="Q642" s="200"/>
      <c r="R642" s="86"/>
      <c r="S642" s="114">
        <f t="shared" ref="S642:T642" si="643">A642</f>
        <v>642</v>
      </c>
      <c r="T642" s="114" t="str">
        <f t="shared" si="643"/>
        <v>محمد جواد اکبری</v>
      </c>
      <c r="U642" s="86" t="str">
        <f t="shared" si="3"/>
        <v>09024288237</v>
      </c>
      <c r="V642" s="86" t="str">
        <f t="shared" si="4"/>
        <v>پیش‌وایی 5</v>
      </c>
      <c r="W642" s="86"/>
      <c r="X642" s="86"/>
    </row>
    <row r="643">
      <c r="A643" s="201">
        <v>643.0</v>
      </c>
      <c r="B643" s="202" t="s">
        <v>3734</v>
      </c>
      <c r="C643" s="203">
        <f>989122974153</f>
        <v>989122974153</v>
      </c>
      <c r="D643" s="204" t="str">
        <f>IFERROR(__xludf.DUMMYFUNCTION("ARRAYFORMULA(LET( converted, SUBSTITUTE( SUBSTITUTE( SUBSTITUTE( SUBSTITUTE( SUBSTITUTE( SUBSTITUTE( SUBSTITUTE( SUBSTITUTE( SUBSTITUTE( SUBSTITUTE( C643, ""۰"", ""0""), ""۱"", ""1""), ""۲"", ""2""), ""۳"", ""3""), ""۴"", ""4""), ""۵"", ""5""), ""۶"", ""6"&amp;"""), ""۷"", ""7""), ""۸"", ""8""), ""۹"", ""9""), IF(LEFT(converted,3)=""+98"", ""0"" &amp; RIGHT(converted, LEN(converted)-3), IF(LEFT(converted,2)=""98"", ""0"" &amp; RIGHT(converted, LEN(converted)-2), IF(LEFT(converted,1)&lt;&gt;""0"", ""0"" &amp; converted, REGEXREPLA"&amp;"CE(converted , ""\s"", """")) ) ) ) )"),"09122974153")</f>
        <v>09122974153</v>
      </c>
      <c r="E643" s="205" t="s">
        <v>17</v>
      </c>
      <c r="F643" s="206">
        <v>5.0</v>
      </c>
      <c r="G643" s="213" t="s">
        <v>730</v>
      </c>
      <c r="H643" s="202"/>
      <c r="I643" s="203"/>
      <c r="J643" s="203"/>
      <c r="K643" s="202" t="s">
        <v>1004</v>
      </c>
      <c r="L643" s="202" t="s">
        <v>3735</v>
      </c>
      <c r="M643" s="202"/>
      <c r="N643" s="202"/>
      <c r="O643" s="202"/>
      <c r="P643" s="202"/>
      <c r="Q643" s="208"/>
      <c r="R643" s="86"/>
      <c r="S643" s="114">
        <f t="shared" ref="S643:T643" si="644">A643</f>
        <v>643</v>
      </c>
      <c r="T643" s="114" t="str">
        <f t="shared" si="644"/>
        <v>حامد قاسمیان</v>
      </c>
      <c r="U643" s="86" t="str">
        <f t="shared" si="3"/>
        <v>09122974153</v>
      </c>
      <c r="V643" s="86" t="str">
        <f t="shared" si="4"/>
        <v>پیش‌وایی 5</v>
      </c>
      <c r="W643" s="86"/>
      <c r="X643" s="86"/>
    </row>
    <row r="644">
      <c r="A644" s="192">
        <v>644.0</v>
      </c>
      <c r="B644" s="193" t="s">
        <v>3736</v>
      </c>
      <c r="C644" s="194" t="s">
        <v>3737</v>
      </c>
      <c r="D644" s="195" t="str">
        <f>IFERROR(__xludf.DUMMYFUNCTION("ARRAYFORMULA(LET( converted, SUBSTITUTE( SUBSTITUTE( SUBSTITUTE( SUBSTITUTE( SUBSTITUTE( SUBSTITUTE( SUBSTITUTE( SUBSTITUTE( SUBSTITUTE( SUBSTITUTE( C644, ""۰"", ""0""), ""۱"", ""1""), ""۲"", ""2""), ""۳"", ""3""), ""۴"", ""4""), ""۵"", ""5""), ""۶"", ""6"&amp;"""), ""۷"", ""7""), ""۸"", ""8""), ""۹"", ""9""), IF(LEFT(converted,3)=""+98"", ""0"" &amp; RIGHT(converted, LEN(converted)-3), IF(LEFT(converted,2)=""98"", ""0"" &amp; RIGHT(converted, LEN(converted)-2), IF(LEFT(converted,1)&lt;&gt;""0"", ""0"" &amp; converted, REGEXREPLA"&amp;"CE(converted , ""\s"", """")) ) ) ) )"),"09162053103")</f>
        <v>09162053103</v>
      </c>
      <c r="E644" s="196" t="s">
        <v>17</v>
      </c>
      <c r="F644" s="197">
        <v>5.0</v>
      </c>
      <c r="G644" s="212" t="s">
        <v>730</v>
      </c>
      <c r="H644" s="198" t="s">
        <v>3738</v>
      </c>
      <c r="I644" s="194"/>
      <c r="J644" s="194" t="s">
        <v>3739</v>
      </c>
      <c r="K644" s="193" t="s">
        <v>1018</v>
      </c>
      <c r="L644" s="193" t="s">
        <v>3740</v>
      </c>
      <c r="M644" s="193"/>
      <c r="N644" s="193"/>
      <c r="O644" s="193"/>
      <c r="P644" s="193"/>
      <c r="Q644" s="200"/>
      <c r="R644" s="86"/>
      <c r="S644" s="114">
        <f t="shared" ref="S644:T644" si="645">A644</f>
        <v>644</v>
      </c>
      <c r="T644" s="114" t="str">
        <f t="shared" si="645"/>
        <v>علی عصاره نژاد</v>
      </c>
      <c r="U644" s="86" t="str">
        <f t="shared" si="3"/>
        <v>09162053103</v>
      </c>
      <c r="V644" s="86" t="str">
        <f t="shared" si="4"/>
        <v>پیش‌وایی 5</v>
      </c>
      <c r="W644" s="86"/>
      <c r="X644" s="86"/>
    </row>
    <row r="645">
      <c r="A645" s="201">
        <v>645.0</v>
      </c>
      <c r="B645" s="202" t="s">
        <v>3741</v>
      </c>
      <c r="C645" s="203" t="s">
        <v>3742</v>
      </c>
      <c r="D645" s="204" t="str">
        <f>IFERROR(__xludf.DUMMYFUNCTION("ARRAYFORMULA(LET( converted, SUBSTITUTE( SUBSTITUTE( SUBSTITUTE( SUBSTITUTE( SUBSTITUTE( SUBSTITUTE( SUBSTITUTE( SUBSTITUTE( SUBSTITUTE( SUBSTITUTE( C645, ""۰"", ""0""), ""۱"", ""1""), ""۲"", ""2""), ""۳"", ""3""), ""۴"", ""4""), ""۵"", ""5""), ""۶"", ""6"&amp;"""), ""۷"", ""7""), ""۸"", ""8""), ""۹"", ""9""), IF(LEFT(converted,3)=""+98"", ""0"" &amp; RIGHT(converted, LEN(converted)-3), IF(LEFT(converted,2)=""98"", ""0"" &amp; RIGHT(converted, LEN(converted)-2), IF(LEFT(converted,1)&lt;&gt;""0"", ""0"" &amp; converted, REGEXREPLA"&amp;"CE(converted , ""\s"", """")) ) ) ) )"),"09122154378")</f>
        <v>09122154378</v>
      </c>
      <c r="E645" s="205" t="s">
        <v>17</v>
      </c>
      <c r="F645" s="206">
        <v>5.0</v>
      </c>
      <c r="G645" s="213" t="s">
        <v>746</v>
      </c>
      <c r="H645" s="202" t="s">
        <v>3743</v>
      </c>
      <c r="I645" s="203"/>
      <c r="J645" s="203" t="s">
        <v>3744</v>
      </c>
      <c r="K645" s="202" t="s">
        <v>211</v>
      </c>
      <c r="L645" s="202" t="s">
        <v>3745</v>
      </c>
      <c r="M645" s="202"/>
      <c r="N645" s="202"/>
      <c r="O645" s="202"/>
      <c r="P645" s="202"/>
      <c r="Q645" s="208"/>
      <c r="R645" s="86"/>
      <c r="S645" s="114">
        <f t="shared" ref="S645:T645" si="646">A645</f>
        <v>645</v>
      </c>
      <c r="T645" s="114" t="str">
        <f t="shared" si="646"/>
        <v>مرجان شیرازی</v>
      </c>
      <c r="U645" s="86" t="str">
        <f t="shared" si="3"/>
        <v>09122154378</v>
      </c>
      <c r="V645" s="86" t="str">
        <f t="shared" si="4"/>
        <v>پیش‌وایی 5</v>
      </c>
      <c r="W645" s="86"/>
      <c r="X645" s="86"/>
    </row>
    <row r="646">
      <c r="A646" s="192">
        <v>646.0</v>
      </c>
      <c r="B646" s="193" t="s">
        <v>3746</v>
      </c>
      <c r="C646" s="194" t="s">
        <v>3747</v>
      </c>
      <c r="D646" s="195" t="str">
        <f>IFERROR(__xludf.DUMMYFUNCTION("ARRAYFORMULA(LET( converted, SUBSTITUTE( SUBSTITUTE( SUBSTITUTE( SUBSTITUTE( SUBSTITUTE( SUBSTITUTE( SUBSTITUTE( SUBSTITUTE( SUBSTITUTE( SUBSTITUTE( C646, ""۰"", ""0""), ""۱"", ""1""), ""۲"", ""2""), ""۳"", ""3""), ""۴"", ""4""), ""۵"", ""5""), ""۶"", ""6"&amp;"""), ""۷"", ""7""), ""۸"", ""8""), ""۹"", ""9""), IF(LEFT(converted,3)=""+98"", ""0"" &amp; RIGHT(converted, LEN(converted)-3), IF(LEFT(converted,2)=""98"", ""0"" &amp; RIGHT(converted, LEN(converted)-2), IF(LEFT(converted,1)&lt;&gt;""0"", ""0"" &amp; converted, REGEXREPLA"&amp;"CE(converted , ""\s"", """")) ) ) ) )"),"09335759009")</f>
        <v>09335759009</v>
      </c>
      <c r="E646" s="196" t="s">
        <v>17</v>
      </c>
      <c r="F646" s="197">
        <v>5.0</v>
      </c>
      <c r="G646" s="212" t="s">
        <v>730</v>
      </c>
      <c r="H646" s="193" t="s">
        <v>3748</v>
      </c>
      <c r="I646" s="194"/>
      <c r="J646" s="194" t="s">
        <v>3749</v>
      </c>
      <c r="K646" s="193" t="s">
        <v>2264</v>
      </c>
      <c r="L646" s="193" t="s">
        <v>3750</v>
      </c>
      <c r="M646" s="193"/>
      <c r="N646" s="193"/>
      <c r="O646" s="193"/>
      <c r="P646" s="193"/>
      <c r="Q646" s="200"/>
      <c r="R646" s="86"/>
      <c r="S646" s="114">
        <f t="shared" ref="S646:T646" si="647">A646</f>
        <v>646</v>
      </c>
      <c r="T646" s="114" t="str">
        <f t="shared" si="647"/>
        <v>یوسف درویشوند</v>
      </c>
      <c r="U646" s="86" t="str">
        <f t="shared" si="3"/>
        <v>09335759009</v>
      </c>
      <c r="V646" s="86" t="str">
        <f t="shared" si="4"/>
        <v>پیش‌وایی 5</v>
      </c>
      <c r="W646" s="86"/>
      <c r="X646" s="86"/>
    </row>
    <row r="647">
      <c r="A647" s="201">
        <v>647.0</v>
      </c>
      <c r="B647" s="202" t="s">
        <v>3751</v>
      </c>
      <c r="C647" s="203" t="s">
        <v>3752</v>
      </c>
      <c r="D647" s="204" t="str">
        <f>IFERROR(__xludf.DUMMYFUNCTION("ARRAYFORMULA(LET( converted, SUBSTITUTE( SUBSTITUTE( SUBSTITUTE( SUBSTITUTE( SUBSTITUTE( SUBSTITUTE( SUBSTITUTE( SUBSTITUTE( SUBSTITUTE( SUBSTITUTE( C647, ""۰"", ""0""), ""۱"", ""1""), ""۲"", ""2""), ""۳"", ""3""), ""۴"", ""4""), ""۵"", ""5""), ""۶"", ""6"&amp;"""), ""۷"", ""7""), ""۸"", ""8""), ""۹"", ""9""), IF(LEFT(converted,3)=""+98"", ""0"" &amp; RIGHT(converted, LEN(converted)-3), IF(LEFT(converted,2)=""98"", ""0"" &amp; RIGHT(converted, LEN(converted)-2), IF(LEFT(converted,1)&lt;&gt;""0"", ""0"" &amp; converted, REGEXREPLA"&amp;"CE(converted , ""\s"", """")) ) ) ) )"),"09128161007")</f>
        <v>09128161007</v>
      </c>
      <c r="E647" s="205" t="s">
        <v>17</v>
      </c>
      <c r="F647" s="206">
        <v>5.0</v>
      </c>
      <c r="G647" s="213" t="s">
        <v>746</v>
      </c>
      <c r="H647" s="202" t="s">
        <v>3753</v>
      </c>
      <c r="I647" s="203"/>
      <c r="J647" s="203" t="s">
        <v>3754</v>
      </c>
      <c r="K647" s="202" t="s">
        <v>3755</v>
      </c>
      <c r="L647" s="202" t="s">
        <v>3756</v>
      </c>
      <c r="M647" s="202"/>
      <c r="N647" s="202"/>
      <c r="O647" s="202"/>
      <c r="P647" s="202"/>
      <c r="Q647" s="208"/>
      <c r="R647" s="86"/>
      <c r="S647" s="114">
        <f t="shared" ref="S647:T647" si="648">A647</f>
        <v>647</v>
      </c>
      <c r="T647" s="114" t="str">
        <f t="shared" si="648"/>
        <v>فاطیما پاک نیا</v>
      </c>
      <c r="U647" s="86" t="str">
        <f t="shared" si="3"/>
        <v>09128161007</v>
      </c>
      <c r="V647" s="86" t="str">
        <f t="shared" si="4"/>
        <v>پیش‌وایی 5</v>
      </c>
      <c r="W647" s="86"/>
      <c r="X647" s="86"/>
    </row>
    <row r="648">
      <c r="A648" s="192">
        <v>648.0</v>
      </c>
      <c r="B648" s="193" t="s">
        <v>3757</v>
      </c>
      <c r="C648" s="194" t="s">
        <v>3758</v>
      </c>
      <c r="D648" s="195" t="str">
        <f>IFERROR(__xludf.DUMMYFUNCTION("ARRAYFORMULA(LET( converted, SUBSTITUTE( SUBSTITUTE( SUBSTITUTE( SUBSTITUTE( SUBSTITUTE( SUBSTITUTE( SUBSTITUTE( SUBSTITUTE( SUBSTITUTE( SUBSTITUTE( C648, ""۰"", ""0""), ""۱"", ""1""), ""۲"", ""2""), ""۳"", ""3""), ""۴"", ""4""), ""۵"", ""5""), ""۶"", ""6"&amp;"""), ""۷"", ""7""), ""۸"", ""8""), ""۹"", ""9""), IF(LEFT(converted,3)=""+98"", ""0"" &amp; RIGHT(converted, LEN(converted)-3), IF(LEFT(converted,2)=""98"", ""0"" &amp; RIGHT(converted, LEN(converted)-2), IF(LEFT(converted,1)&lt;&gt;""0"", ""0"" &amp; converted, REGEXREPLA"&amp;"CE(converted , ""\s"", """")) ) ) ) )"),"09123938892")</f>
        <v>09123938892</v>
      </c>
      <c r="E648" s="196" t="s">
        <v>17</v>
      </c>
      <c r="F648" s="197">
        <v>5.0</v>
      </c>
      <c r="G648" s="212" t="s">
        <v>730</v>
      </c>
      <c r="H648" s="193" t="s">
        <v>3759</v>
      </c>
      <c r="I648" s="194"/>
      <c r="J648" s="194" t="s">
        <v>3760</v>
      </c>
      <c r="K648" s="193" t="s">
        <v>3761</v>
      </c>
      <c r="L648" s="193" t="s">
        <v>3762</v>
      </c>
      <c r="M648" s="193"/>
      <c r="N648" s="193"/>
      <c r="O648" s="193"/>
      <c r="P648" s="193"/>
      <c r="Q648" s="200"/>
      <c r="R648" s="86"/>
      <c r="S648" s="114">
        <f t="shared" ref="S648:T648" si="649">A648</f>
        <v>648</v>
      </c>
      <c r="T648" s="114" t="str">
        <f t="shared" si="649"/>
        <v>کامیار ایرانی</v>
      </c>
      <c r="U648" s="86" t="str">
        <f t="shared" si="3"/>
        <v>09123938892</v>
      </c>
      <c r="V648" s="86" t="str">
        <f t="shared" si="4"/>
        <v>پیش‌وایی 5</v>
      </c>
      <c r="W648" s="86"/>
      <c r="X648" s="86"/>
    </row>
    <row r="649">
      <c r="A649" s="201">
        <v>649.0</v>
      </c>
      <c r="B649" s="202" t="s">
        <v>1772</v>
      </c>
      <c r="C649" s="203" t="s">
        <v>3763</v>
      </c>
      <c r="D649" s="204" t="str">
        <f>IFERROR(__xludf.DUMMYFUNCTION("ARRAYFORMULA(LET( converted, SUBSTITUTE( SUBSTITUTE( SUBSTITUTE( SUBSTITUTE( SUBSTITUTE( SUBSTITUTE( SUBSTITUTE( SUBSTITUTE( SUBSTITUTE( SUBSTITUTE( C649, ""۰"", ""0""), ""۱"", ""1""), ""۲"", ""2""), ""۳"", ""3""), ""۴"", ""4""), ""۵"", ""5""), ""۶"", ""6"&amp;"""), ""۷"", ""7""), ""۸"", ""8""), ""۹"", ""9""), IF(LEFT(converted,3)=""+98"", ""0"" &amp; RIGHT(converted, LEN(converted)-3), IF(LEFT(converted,2)=""98"", ""0"" &amp; RIGHT(converted, LEN(converted)-2), IF(LEFT(converted,1)&lt;&gt;""0"", ""0"" &amp; converted, REGEXREPLA"&amp;"CE(converted , ""\s"", """")) ) ) ) )"),"09122985163")</f>
        <v>09122985163</v>
      </c>
      <c r="E649" s="205" t="s">
        <v>17</v>
      </c>
      <c r="F649" s="206">
        <v>5.0</v>
      </c>
      <c r="G649" s="213" t="s">
        <v>746</v>
      </c>
      <c r="H649" s="202" t="s">
        <v>3764</v>
      </c>
      <c r="I649" s="203"/>
      <c r="J649" s="203" t="s">
        <v>3765</v>
      </c>
      <c r="K649" s="202" t="s">
        <v>1774</v>
      </c>
      <c r="L649" s="202" t="s">
        <v>1775</v>
      </c>
      <c r="M649" s="202"/>
      <c r="N649" s="202"/>
      <c r="O649" s="202"/>
      <c r="P649" s="202"/>
      <c r="Q649" s="208"/>
      <c r="R649" s="86"/>
      <c r="S649" s="114">
        <f t="shared" ref="S649:T649" si="650">A649</f>
        <v>649</v>
      </c>
      <c r="T649" s="114" t="str">
        <f t="shared" si="650"/>
        <v>ملیکا لسانی</v>
      </c>
      <c r="U649" s="86" t="str">
        <f t="shared" si="3"/>
        <v>09122985163</v>
      </c>
      <c r="V649" s="86" t="str">
        <f t="shared" si="4"/>
        <v>پیش‌وایی 5</v>
      </c>
      <c r="W649" s="86"/>
      <c r="X649" s="86"/>
    </row>
    <row r="650">
      <c r="A650" s="192">
        <v>650.0</v>
      </c>
      <c r="B650" s="193" t="s">
        <v>3766</v>
      </c>
      <c r="C650" s="194" t="s">
        <v>3767</v>
      </c>
      <c r="D650" s="195" t="str">
        <f>IFERROR(__xludf.DUMMYFUNCTION("ARRAYFORMULA(LET( converted, SUBSTITUTE( SUBSTITUTE( SUBSTITUTE( SUBSTITUTE( SUBSTITUTE( SUBSTITUTE( SUBSTITUTE( SUBSTITUTE( SUBSTITUTE( SUBSTITUTE( C650, ""۰"", ""0""), ""۱"", ""1""), ""۲"", ""2""), ""۳"", ""3""), ""۴"", ""4""), ""۵"", ""5""), ""۶"", ""6"&amp;"""), ""۷"", ""7""), ""۸"", ""8""), ""۹"", ""9""), IF(LEFT(converted,3)=""+98"", ""0"" &amp; RIGHT(converted, LEN(converted)-3), IF(LEFT(converted,2)=""98"", ""0"" &amp; RIGHT(converted, LEN(converted)-2), IF(LEFT(converted,1)&lt;&gt;""0"", ""0"" &amp; converted, REGEXREPLA"&amp;"CE(converted , ""\s"", """")) ) ) ) )"),"09123182643")</f>
        <v>09123182643</v>
      </c>
      <c r="E650" s="196" t="s">
        <v>17</v>
      </c>
      <c r="F650" s="197">
        <v>5.0</v>
      </c>
      <c r="G650" s="212" t="s">
        <v>730</v>
      </c>
      <c r="H650" s="193" t="s">
        <v>3768</v>
      </c>
      <c r="I650" s="194"/>
      <c r="J650" s="194" t="s">
        <v>3769</v>
      </c>
      <c r="K650" s="193" t="s">
        <v>303</v>
      </c>
      <c r="L650" s="193" t="s">
        <v>1086</v>
      </c>
      <c r="M650" s="193"/>
      <c r="N650" s="193"/>
      <c r="O650" s="193"/>
      <c r="P650" s="193"/>
      <c r="Q650" s="200"/>
      <c r="R650" s="86"/>
      <c r="S650" s="114">
        <f t="shared" ref="S650:T650" si="651">A650</f>
        <v>650</v>
      </c>
      <c r="T650" s="114" t="str">
        <f t="shared" si="651"/>
        <v>محمد رجبی</v>
      </c>
      <c r="U650" s="86" t="str">
        <f t="shared" si="3"/>
        <v>09123182643</v>
      </c>
      <c r="V650" s="86" t="str">
        <f t="shared" si="4"/>
        <v>پیش‌وایی 5</v>
      </c>
      <c r="W650" s="86"/>
      <c r="X650" s="86"/>
    </row>
    <row r="651">
      <c r="A651" s="201">
        <v>651.0</v>
      </c>
      <c r="B651" s="202" t="s">
        <v>3770</v>
      </c>
      <c r="C651" s="203" t="s">
        <v>3771</v>
      </c>
      <c r="D651" s="204" t="str">
        <f>IFERROR(__xludf.DUMMYFUNCTION("ARRAYFORMULA(LET( converted, SUBSTITUTE( SUBSTITUTE( SUBSTITUTE( SUBSTITUTE( SUBSTITUTE( SUBSTITUTE( SUBSTITUTE( SUBSTITUTE( SUBSTITUTE( SUBSTITUTE( C651, ""۰"", ""0""), ""۱"", ""1""), ""۲"", ""2""), ""۳"", ""3""), ""۴"", ""4""), ""۵"", ""5""), ""۶"", ""6"&amp;"""), ""۷"", ""7""), ""۸"", ""8""), ""۹"", ""9""), IF(LEFT(converted,3)=""+98"", ""0"" &amp; RIGHT(converted, LEN(converted)-3), IF(LEFT(converted,2)=""98"", ""0"" &amp; RIGHT(converted, LEN(converted)-2), IF(LEFT(converted,1)&lt;&gt;""0"", ""0"" &amp; converted, REGEXREPLA"&amp;"CE(converted , ""\s"", """")) ) ) ) )"),"09354664186")</f>
        <v>09354664186</v>
      </c>
      <c r="E651" s="205" t="s">
        <v>17</v>
      </c>
      <c r="F651" s="206">
        <v>5.0</v>
      </c>
      <c r="G651" s="213" t="s">
        <v>746</v>
      </c>
      <c r="H651" s="202" t="s">
        <v>3772</v>
      </c>
      <c r="I651" s="203"/>
      <c r="J651" s="203" t="s">
        <v>3773</v>
      </c>
      <c r="K651" s="202" t="s">
        <v>3774</v>
      </c>
      <c r="L651" s="202" t="s">
        <v>3775</v>
      </c>
      <c r="M651" s="202"/>
      <c r="N651" s="202"/>
      <c r="O651" s="202"/>
      <c r="P651" s="202"/>
      <c r="Q651" s="208"/>
      <c r="R651" s="86"/>
      <c r="S651" s="114">
        <f t="shared" ref="S651:T651" si="652">A651</f>
        <v>651</v>
      </c>
      <c r="T651" s="114" t="str">
        <f t="shared" si="652"/>
        <v>پانته‌آ توتونچیان</v>
      </c>
      <c r="U651" s="86" t="str">
        <f t="shared" si="3"/>
        <v>09354664186</v>
      </c>
      <c r="V651" s="86" t="str">
        <f t="shared" si="4"/>
        <v>پیش‌وایی 5</v>
      </c>
      <c r="W651" s="86"/>
      <c r="X651" s="86"/>
    </row>
    <row r="652">
      <c r="A652" s="192">
        <v>652.0</v>
      </c>
      <c r="B652" s="193" t="s">
        <v>3776</v>
      </c>
      <c r="C652" s="194" t="s">
        <v>3777</v>
      </c>
      <c r="D652" s="195" t="str">
        <f>IFERROR(__xludf.DUMMYFUNCTION("ARRAYFORMULA(LET( converted, SUBSTITUTE( SUBSTITUTE( SUBSTITUTE( SUBSTITUTE( SUBSTITUTE( SUBSTITUTE( SUBSTITUTE( SUBSTITUTE( SUBSTITUTE( SUBSTITUTE( C652, ""۰"", ""0""), ""۱"", ""1""), ""۲"", ""2""), ""۳"", ""3""), ""۴"", ""4""), ""۵"", ""5""), ""۶"", ""6"&amp;"""), ""۷"", ""7""), ""۸"", ""8""), ""۹"", ""9""), IF(LEFT(converted,3)=""+98"", ""0"" &amp; RIGHT(converted, LEN(converted)-3), IF(LEFT(converted,2)=""98"", ""0"" &amp; RIGHT(converted, LEN(converted)-2), IF(LEFT(converted,1)&lt;&gt;""0"", ""0"" &amp; converted, REGEXREPLA"&amp;"CE(converted , ""\s"", """")) ) ) ) )"),"09128627279")</f>
        <v>09128627279</v>
      </c>
      <c r="E652" s="196" t="s">
        <v>17</v>
      </c>
      <c r="F652" s="197">
        <v>5.0</v>
      </c>
      <c r="G652" s="212" t="s">
        <v>730</v>
      </c>
      <c r="H652" s="193" t="s">
        <v>3778</v>
      </c>
      <c r="I652" s="194"/>
      <c r="J652" s="194" t="s">
        <v>3779</v>
      </c>
      <c r="K652" s="193" t="s">
        <v>259</v>
      </c>
      <c r="L652" s="193" t="s">
        <v>2806</v>
      </c>
      <c r="M652" s="193"/>
      <c r="N652" s="193"/>
      <c r="O652" s="193"/>
      <c r="P652" s="193"/>
      <c r="Q652" s="200"/>
      <c r="R652" s="86"/>
      <c r="S652" s="114">
        <f t="shared" ref="S652:T652" si="653">A652</f>
        <v>652</v>
      </c>
      <c r="T652" s="114" t="str">
        <f t="shared" si="653"/>
        <v>علیرضا واحدی</v>
      </c>
      <c r="U652" s="86" t="str">
        <f t="shared" si="3"/>
        <v>09128627279</v>
      </c>
      <c r="V652" s="86" t="str">
        <f t="shared" si="4"/>
        <v>پیش‌وایی 5</v>
      </c>
      <c r="W652" s="86"/>
      <c r="X652" s="86"/>
    </row>
    <row r="653">
      <c r="A653" s="201">
        <v>653.0</v>
      </c>
      <c r="B653" s="202" t="s">
        <v>3780</v>
      </c>
      <c r="C653" s="203" t="s">
        <v>3781</v>
      </c>
      <c r="D653" s="204" t="str">
        <f>IFERROR(__xludf.DUMMYFUNCTION("ARRAYFORMULA(LET( converted, SUBSTITUTE( SUBSTITUTE( SUBSTITUTE( SUBSTITUTE( SUBSTITUTE( SUBSTITUTE( SUBSTITUTE( SUBSTITUTE( SUBSTITUTE( SUBSTITUTE( C653, ""۰"", ""0""), ""۱"", ""1""), ""۲"", ""2""), ""۳"", ""3""), ""۴"", ""4""), ""۵"", ""5""), ""۶"", ""6"&amp;"""), ""۷"", ""7""), ""۸"", ""8""), ""۹"", ""9""), IF(LEFT(converted,3)=""+98"", ""0"" &amp; RIGHT(converted, LEN(converted)-3), IF(LEFT(converted,2)=""98"", ""0"" &amp; RIGHT(converted, LEN(converted)-2), IF(LEFT(converted,1)&lt;&gt;""0"", ""0"" &amp; converted, REGEXREPLA"&amp;"CE(converted , ""\s"", """")) ) ) ) )"),"09171116662")</f>
        <v>09171116662</v>
      </c>
      <c r="E653" s="205" t="s">
        <v>17</v>
      </c>
      <c r="F653" s="206">
        <v>5.0</v>
      </c>
      <c r="G653" s="213" t="s">
        <v>730</v>
      </c>
      <c r="H653" s="209" t="s">
        <v>3782</v>
      </c>
      <c r="I653" s="203"/>
      <c r="J653" s="203" t="s">
        <v>3783</v>
      </c>
      <c r="K653" s="202" t="s">
        <v>303</v>
      </c>
      <c r="L653" s="202" t="s">
        <v>3784</v>
      </c>
      <c r="M653" s="202"/>
      <c r="N653" s="202"/>
      <c r="O653" s="202"/>
      <c r="P653" s="202"/>
      <c r="Q653" s="208"/>
      <c r="R653" s="86"/>
      <c r="S653" s="114">
        <f t="shared" ref="S653:T653" si="654">A653</f>
        <v>653</v>
      </c>
      <c r="T653" s="114" t="str">
        <f t="shared" si="654"/>
        <v>محمد دبیری</v>
      </c>
      <c r="U653" s="86" t="str">
        <f t="shared" si="3"/>
        <v>09171116662</v>
      </c>
      <c r="V653" s="86" t="str">
        <f t="shared" si="4"/>
        <v>پیش‌وایی 5</v>
      </c>
      <c r="W653" s="86"/>
      <c r="X653" s="86"/>
    </row>
    <row r="654">
      <c r="A654" s="192">
        <v>654.0</v>
      </c>
      <c r="B654" s="193" t="s">
        <v>3785</v>
      </c>
      <c r="C654" s="194" t="s">
        <v>3786</v>
      </c>
      <c r="D654" s="195" t="str">
        <f>IFERROR(__xludf.DUMMYFUNCTION("ARRAYFORMULA(LET( converted, SUBSTITUTE( SUBSTITUTE( SUBSTITUTE( SUBSTITUTE( SUBSTITUTE( SUBSTITUTE( SUBSTITUTE( SUBSTITUTE( SUBSTITUTE( SUBSTITUTE( C654, ""۰"", ""0""), ""۱"", ""1""), ""۲"", ""2""), ""۳"", ""3""), ""۴"", ""4""), ""۵"", ""5""), ""۶"", ""6"&amp;"""), ""۷"", ""7""), ""۸"", ""8""), ""۹"", ""9""), IF(LEFT(converted,3)=""+98"", ""0"" &amp; RIGHT(converted, LEN(converted)-3), IF(LEFT(converted,2)=""98"", ""0"" &amp; RIGHT(converted, LEN(converted)-2), IF(LEFT(converted,1)&lt;&gt;""0"", ""0"" &amp; converted, REGEXREPLA"&amp;"CE(converted , ""\s"", """")) ) ) ) )"),"09217199196")</f>
        <v>09217199196</v>
      </c>
      <c r="E654" s="196" t="s">
        <v>17</v>
      </c>
      <c r="F654" s="197">
        <v>5.0</v>
      </c>
      <c r="G654" s="212" t="s">
        <v>730</v>
      </c>
      <c r="H654" s="193" t="s">
        <v>3787</v>
      </c>
      <c r="I654" s="194"/>
      <c r="J654" s="194" t="s">
        <v>3788</v>
      </c>
      <c r="K654" s="193" t="s">
        <v>3789</v>
      </c>
      <c r="L654" s="193" t="s">
        <v>3790</v>
      </c>
      <c r="M654" s="193"/>
      <c r="N654" s="193"/>
      <c r="O654" s="193"/>
      <c r="P654" s="193"/>
      <c r="Q654" s="200"/>
      <c r="R654" s="86"/>
      <c r="S654" s="114">
        <f t="shared" ref="S654:T654" si="655">A654</f>
        <v>654</v>
      </c>
      <c r="T654" s="114" t="str">
        <f t="shared" si="655"/>
        <v>محمدامین قاسم‌زاده</v>
      </c>
      <c r="U654" s="86" t="str">
        <f t="shared" si="3"/>
        <v>09217199196</v>
      </c>
      <c r="V654" s="86" t="str">
        <f t="shared" si="4"/>
        <v>پیش‌وایی 5</v>
      </c>
      <c r="W654" s="86"/>
      <c r="X654" s="86"/>
    </row>
    <row r="655">
      <c r="A655" s="201">
        <v>655.0</v>
      </c>
      <c r="B655" s="202" t="s">
        <v>3043</v>
      </c>
      <c r="C655" s="203" t="s">
        <v>3044</v>
      </c>
      <c r="D655" s="204" t="str">
        <f>IFERROR(__xludf.DUMMYFUNCTION("ARRAYFORMULA(LET( converted, SUBSTITUTE( SUBSTITUTE( SUBSTITUTE( SUBSTITUTE( SUBSTITUTE( SUBSTITUTE( SUBSTITUTE( SUBSTITUTE( SUBSTITUTE( SUBSTITUTE( C655, ""۰"", ""0""), ""۱"", ""1""), ""۲"", ""2""), ""۳"", ""3""), ""۴"", ""4""), ""۵"", ""5""), ""۶"", ""6"&amp;"""), ""۷"", ""7""), ""۸"", ""8""), ""۹"", ""9""), IF(LEFT(converted,3)=""+98"", ""0"" &amp; RIGHT(converted, LEN(converted)-3), IF(LEFT(converted,2)=""98"", ""0"" &amp; RIGHT(converted, LEN(converted)-2), IF(LEFT(converted,1)&lt;&gt;""0"", ""0"" &amp; converted, REGEXREPLA"&amp;"CE(converted , ""\s"", """")) ) ) ) )"),"09010131603")</f>
        <v>09010131603</v>
      </c>
      <c r="E655" s="205" t="s">
        <v>17</v>
      </c>
      <c r="F655" s="206">
        <v>5.0</v>
      </c>
      <c r="G655" s="213" t="s">
        <v>730</v>
      </c>
      <c r="H655" s="202" t="s">
        <v>3791</v>
      </c>
      <c r="I655" s="203"/>
      <c r="J655" s="203" t="s">
        <v>3046</v>
      </c>
      <c r="K655" s="202" t="s">
        <v>911</v>
      </c>
      <c r="L655" s="202" t="s">
        <v>3047</v>
      </c>
      <c r="M655" s="202"/>
      <c r="N655" s="202"/>
      <c r="O655" s="202"/>
      <c r="P655" s="202"/>
      <c r="Q655" s="208"/>
      <c r="R655" s="86"/>
      <c r="S655" s="114">
        <f t="shared" ref="S655:T655" si="656">A655</f>
        <v>655</v>
      </c>
      <c r="T655" s="114" t="str">
        <f t="shared" si="656"/>
        <v>سپیده زیادی پناه</v>
      </c>
      <c r="U655" s="86" t="str">
        <f t="shared" si="3"/>
        <v>09010131603</v>
      </c>
      <c r="V655" s="86" t="str">
        <f t="shared" si="4"/>
        <v>پیش‌وایی 5</v>
      </c>
      <c r="W655" s="86"/>
      <c r="X655" s="86"/>
    </row>
    <row r="656">
      <c r="A656" s="192">
        <v>656.0</v>
      </c>
      <c r="B656" s="193" t="s">
        <v>3792</v>
      </c>
      <c r="C656" s="194" t="s">
        <v>3793</v>
      </c>
      <c r="D656" s="195" t="str">
        <f>IFERROR(__xludf.DUMMYFUNCTION("ARRAYFORMULA(LET( converted, SUBSTITUTE( SUBSTITUTE( SUBSTITUTE( SUBSTITUTE( SUBSTITUTE( SUBSTITUTE( SUBSTITUTE( SUBSTITUTE( SUBSTITUTE( SUBSTITUTE( C656, ""۰"", ""0""), ""۱"", ""1""), ""۲"", ""2""), ""۳"", ""3""), ""۴"", ""4""), ""۵"", ""5""), ""۶"", ""6"&amp;"""), ""۷"", ""7""), ""۸"", ""8""), ""۹"", ""9""), IF(LEFT(converted,3)=""+98"", ""0"" &amp; RIGHT(converted, LEN(converted)-3), IF(LEFT(converted,2)=""98"", ""0"" &amp; RIGHT(converted, LEN(converted)-2), IF(LEFT(converted,1)&lt;&gt;""0"", ""0"" &amp; converted, REGEXREPLA"&amp;"CE(converted , ""\s"", """")) ) ) ) )"),"09120697966")</f>
        <v>09120697966</v>
      </c>
      <c r="E656" s="196" t="s">
        <v>17</v>
      </c>
      <c r="F656" s="197">
        <v>5.0</v>
      </c>
      <c r="G656" s="212" t="s">
        <v>730</v>
      </c>
      <c r="H656" s="193" t="s">
        <v>3794</v>
      </c>
      <c r="I656" s="194"/>
      <c r="J656" s="194" t="s">
        <v>3795</v>
      </c>
      <c r="K656" s="193" t="s">
        <v>1374</v>
      </c>
      <c r="L656" s="193" t="s">
        <v>3796</v>
      </c>
      <c r="M656" s="193"/>
      <c r="N656" s="193"/>
      <c r="O656" s="193"/>
      <c r="P656" s="193"/>
      <c r="Q656" s="200"/>
      <c r="R656" s="86"/>
      <c r="S656" s="114">
        <f t="shared" ref="S656:T656" si="657">A656</f>
        <v>656</v>
      </c>
      <c r="T656" s="114" t="str">
        <f t="shared" si="657"/>
        <v>امیر ایروانی</v>
      </c>
      <c r="U656" s="86" t="str">
        <f t="shared" si="3"/>
        <v>09120697966</v>
      </c>
      <c r="V656" s="86" t="str">
        <f t="shared" si="4"/>
        <v>پیش‌وایی 5</v>
      </c>
      <c r="W656" s="86"/>
      <c r="X656" s="86"/>
    </row>
    <row r="657">
      <c r="A657" s="201">
        <v>657.0</v>
      </c>
      <c r="B657" s="202" t="s">
        <v>3797</v>
      </c>
      <c r="C657" s="203" t="s">
        <v>3798</v>
      </c>
      <c r="D657" s="204" t="str">
        <f>IFERROR(__xludf.DUMMYFUNCTION("ARRAYFORMULA(LET( converted, SUBSTITUTE( SUBSTITUTE( SUBSTITUTE( SUBSTITUTE( SUBSTITUTE( SUBSTITUTE( SUBSTITUTE( SUBSTITUTE( SUBSTITUTE( SUBSTITUTE( C657, ""۰"", ""0""), ""۱"", ""1""), ""۲"", ""2""), ""۳"", ""3""), ""۴"", ""4""), ""۵"", ""5""), ""۶"", ""6"&amp;"""), ""۷"", ""7""), ""۸"", ""8""), ""۹"", ""9""), IF(LEFT(converted,3)=""+98"", ""0"" &amp; RIGHT(converted, LEN(converted)-3), IF(LEFT(converted,2)=""98"", ""0"" &amp; RIGHT(converted, LEN(converted)-2), IF(LEFT(converted,1)&lt;&gt;""0"", ""0"" &amp; converted, REGEXREPLA"&amp;"CE(converted , ""\s"", """")) ) ) ) )"),"09120955264")</f>
        <v>09120955264</v>
      </c>
      <c r="E657" s="205" t="s">
        <v>17</v>
      </c>
      <c r="F657" s="206">
        <v>5.0</v>
      </c>
      <c r="G657" s="213" t="s">
        <v>730</v>
      </c>
      <c r="H657" s="202" t="s">
        <v>3799</v>
      </c>
      <c r="I657" s="203"/>
      <c r="J657" s="203" t="s">
        <v>3800</v>
      </c>
      <c r="K657" s="202" t="s">
        <v>1018</v>
      </c>
      <c r="L657" s="202" t="s">
        <v>1848</v>
      </c>
      <c r="M657" s="202"/>
      <c r="N657" s="202"/>
      <c r="O657" s="202"/>
      <c r="P657" s="202"/>
      <c r="Q657" s="208"/>
      <c r="R657" s="86"/>
      <c r="S657" s="114">
        <f t="shared" ref="S657:T657" si="658">A657</f>
        <v>657</v>
      </c>
      <c r="T657" s="114" t="str">
        <f t="shared" si="658"/>
        <v>علی جهانگیری</v>
      </c>
      <c r="U657" s="86" t="str">
        <f t="shared" si="3"/>
        <v>09120955264</v>
      </c>
      <c r="V657" s="86" t="str">
        <f t="shared" si="4"/>
        <v>پیش‌وایی 5</v>
      </c>
      <c r="W657" s="86"/>
      <c r="X657" s="86"/>
    </row>
    <row r="658">
      <c r="A658" s="192">
        <v>658.0</v>
      </c>
      <c r="B658" s="193" t="s">
        <v>3561</v>
      </c>
      <c r="C658" s="194" t="s">
        <v>3562</v>
      </c>
      <c r="D658" s="195" t="str">
        <f>IFERROR(__xludf.DUMMYFUNCTION("ARRAYFORMULA(LET( converted, SUBSTITUTE( SUBSTITUTE( SUBSTITUTE( SUBSTITUTE( SUBSTITUTE( SUBSTITUTE( SUBSTITUTE( SUBSTITUTE( SUBSTITUTE( SUBSTITUTE( C658, ""۰"", ""0""), ""۱"", ""1""), ""۲"", ""2""), ""۳"", ""3""), ""۴"", ""4""), ""۵"", ""5""), ""۶"", ""6"&amp;"""), ""۷"", ""7""), ""۸"", ""8""), ""۹"", ""9""), IF(LEFT(converted,3)=""+98"", ""0"" &amp; RIGHT(converted, LEN(converted)-3), IF(LEFT(converted,2)=""98"", ""0"" &amp; RIGHT(converted, LEN(converted)-2), IF(LEFT(converted,1)&lt;&gt;""0"", ""0"" &amp; converted, REGEXREPLA"&amp;"CE(converted , ""\s"", """")) ) ) ) )"),"09125122059")</f>
        <v>09125122059</v>
      </c>
      <c r="E658" s="196" t="s">
        <v>17</v>
      </c>
      <c r="F658" s="197">
        <v>5.0</v>
      </c>
      <c r="G658" s="212" t="s">
        <v>730</v>
      </c>
      <c r="H658" s="193" t="s">
        <v>3563</v>
      </c>
      <c r="I658" s="194"/>
      <c r="J658" s="194" t="s">
        <v>3564</v>
      </c>
      <c r="K658" s="193" t="s">
        <v>1374</v>
      </c>
      <c r="L658" s="193" t="s">
        <v>3565</v>
      </c>
      <c r="M658" s="193"/>
      <c r="N658" s="193"/>
      <c r="O658" s="193"/>
      <c r="P658" s="193"/>
      <c r="Q658" s="200"/>
      <c r="R658" s="86"/>
      <c r="S658" s="114">
        <f t="shared" ref="S658:T658" si="659">A658</f>
        <v>658</v>
      </c>
      <c r="T658" s="114" t="str">
        <f t="shared" si="659"/>
        <v>امیر بهدانی</v>
      </c>
      <c r="U658" s="86" t="str">
        <f t="shared" si="3"/>
        <v>09125122059</v>
      </c>
      <c r="V658" s="86" t="str">
        <f t="shared" si="4"/>
        <v>پیش‌وایی 5</v>
      </c>
      <c r="W658" s="86"/>
      <c r="X658" s="86"/>
    </row>
    <row r="659">
      <c r="A659" s="201">
        <v>659.0</v>
      </c>
      <c r="B659" s="202" t="s">
        <v>3801</v>
      </c>
      <c r="C659" s="203" t="s">
        <v>3802</v>
      </c>
      <c r="D659" s="204" t="str">
        <f>IFERROR(__xludf.DUMMYFUNCTION("ARRAYFORMULA(LET( converted, SUBSTITUTE( SUBSTITUTE( SUBSTITUTE( SUBSTITUTE( SUBSTITUTE( SUBSTITUTE( SUBSTITUTE( SUBSTITUTE( SUBSTITUTE( SUBSTITUTE( C659, ""۰"", ""0""), ""۱"", ""1""), ""۲"", ""2""), ""۳"", ""3""), ""۴"", ""4""), ""۵"", ""5""), ""۶"", ""6"&amp;"""), ""۷"", ""7""), ""۸"", ""8""), ""۹"", ""9""), IF(LEFT(converted,3)=""+98"", ""0"" &amp; RIGHT(converted, LEN(converted)-3), IF(LEFT(converted,2)=""98"", ""0"" &amp; RIGHT(converted, LEN(converted)-2), IF(LEFT(converted,1)&lt;&gt;""0"", ""0"" &amp; converted, REGEXREPLA"&amp;"CE(converted , ""\s"", """")) ) ) ) )"),"09122345714")</f>
        <v>09122345714</v>
      </c>
      <c r="E659" s="205" t="s">
        <v>17</v>
      </c>
      <c r="F659" s="206">
        <v>5.0</v>
      </c>
      <c r="G659" s="213" t="s">
        <v>746</v>
      </c>
      <c r="H659" s="202" t="s">
        <v>3803</v>
      </c>
      <c r="I659" s="203"/>
      <c r="J659" s="203" t="s">
        <v>3804</v>
      </c>
      <c r="K659" s="202" t="s">
        <v>1398</v>
      </c>
      <c r="L659" s="202" t="s">
        <v>3805</v>
      </c>
      <c r="M659" s="202"/>
      <c r="N659" s="202"/>
      <c r="O659" s="202"/>
      <c r="P659" s="202"/>
      <c r="Q659" s="208"/>
      <c r="R659" s="86"/>
      <c r="S659" s="114">
        <f t="shared" ref="S659:T659" si="660">A659</f>
        <v>659</v>
      </c>
      <c r="T659" s="114" t="str">
        <f t="shared" si="660"/>
        <v>زهرا عالی مقدم</v>
      </c>
      <c r="U659" s="86" t="str">
        <f t="shared" si="3"/>
        <v>09122345714</v>
      </c>
      <c r="V659" s="86" t="str">
        <f t="shared" si="4"/>
        <v>پیش‌وایی 5</v>
      </c>
      <c r="W659" s="86"/>
      <c r="X659" s="86"/>
    </row>
    <row r="660">
      <c r="A660" s="192">
        <v>660.0</v>
      </c>
      <c r="B660" s="193" t="s">
        <v>3806</v>
      </c>
      <c r="C660" s="194" t="s">
        <v>3807</v>
      </c>
      <c r="D660" s="195" t="str">
        <f>IFERROR(__xludf.DUMMYFUNCTION("ARRAYFORMULA(LET( converted, SUBSTITUTE( SUBSTITUTE( SUBSTITUTE( SUBSTITUTE( SUBSTITUTE( SUBSTITUTE( SUBSTITUTE( SUBSTITUTE( SUBSTITUTE( SUBSTITUTE( C660, ""۰"", ""0""), ""۱"", ""1""), ""۲"", ""2""), ""۳"", ""3""), ""۴"", ""4""), ""۵"", ""5""), ""۶"", ""6"&amp;"""), ""۷"", ""7""), ""۸"", ""8""), ""۹"", ""9""), IF(LEFT(converted,3)=""+98"", ""0"" &amp; RIGHT(converted, LEN(converted)-3), IF(LEFT(converted,2)=""98"", ""0"" &amp; RIGHT(converted, LEN(converted)-2), IF(LEFT(converted,1)&lt;&gt;""0"", ""0"" &amp; converted, REGEXREPLA"&amp;"CE(converted , ""\s"", """")) ) ) ) )"),"09122777586")</f>
        <v>09122777586</v>
      </c>
      <c r="E660" s="196" t="s">
        <v>17</v>
      </c>
      <c r="F660" s="197">
        <v>5.0</v>
      </c>
      <c r="G660" s="212" t="s">
        <v>730</v>
      </c>
      <c r="H660" s="193" t="s">
        <v>3808</v>
      </c>
      <c r="I660" s="194"/>
      <c r="J660" s="194" t="s">
        <v>3809</v>
      </c>
      <c r="K660" s="193" t="s">
        <v>1289</v>
      </c>
      <c r="L660" s="193" t="s">
        <v>3810</v>
      </c>
      <c r="M660" s="193"/>
      <c r="N660" s="193"/>
      <c r="O660" s="193"/>
      <c r="P660" s="193"/>
      <c r="Q660" s="200"/>
      <c r="R660" s="86"/>
      <c r="S660" s="114">
        <f t="shared" ref="S660:T660" si="661">A660</f>
        <v>660</v>
      </c>
      <c r="T660" s="114" t="str">
        <f t="shared" si="661"/>
        <v>میلاد آقاعلی خانی</v>
      </c>
      <c r="U660" s="86" t="str">
        <f t="shared" si="3"/>
        <v>09122777586</v>
      </c>
      <c r="V660" s="86" t="str">
        <f t="shared" si="4"/>
        <v>پیش‌وایی 5</v>
      </c>
      <c r="W660" s="86"/>
      <c r="X660" s="86"/>
    </row>
    <row r="661">
      <c r="A661" s="201">
        <v>661.0</v>
      </c>
      <c r="B661" s="202" t="s">
        <v>3811</v>
      </c>
      <c r="C661" s="203" t="s">
        <v>3812</v>
      </c>
      <c r="D661" s="204" t="str">
        <f>IFERROR(__xludf.DUMMYFUNCTION("ARRAYFORMULA(LET( converted, SUBSTITUTE( SUBSTITUTE( SUBSTITUTE( SUBSTITUTE( SUBSTITUTE( SUBSTITUTE( SUBSTITUTE( SUBSTITUTE( SUBSTITUTE( SUBSTITUTE( C661, ""۰"", ""0""), ""۱"", ""1""), ""۲"", ""2""), ""۳"", ""3""), ""۴"", ""4""), ""۵"", ""5""), ""۶"", ""6"&amp;"""), ""۷"", ""7""), ""۸"", ""8""), ""۹"", ""9""), IF(LEFT(converted,3)=""+98"", ""0"" &amp; RIGHT(converted, LEN(converted)-3), IF(LEFT(converted,2)=""98"", ""0"" &amp; RIGHT(converted, LEN(converted)-2), IF(LEFT(converted,1)&lt;&gt;""0"", ""0"" &amp; converted, REGEXREPLA"&amp;"CE(converted , ""\s"", """")) ) ) ) )"),"09160611168")</f>
        <v>09160611168</v>
      </c>
      <c r="E661" s="205" t="s">
        <v>17</v>
      </c>
      <c r="F661" s="206">
        <v>5.0</v>
      </c>
      <c r="G661" s="213" t="s">
        <v>730</v>
      </c>
      <c r="H661" s="202" t="s">
        <v>3813</v>
      </c>
      <c r="I661" s="203"/>
      <c r="J661" s="203" t="s">
        <v>3814</v>
      </c>
      <c r="K661" s="202" t="s">
        <v>1473</v>
      </c>
      <c r="L661" s="202" t="s">
        <v>3815</v>
      </c>
      <c r="M661" s="202"/>
      <c r="N661" s="202"/>
      <c r="O661" s="202"/>
      <c r="P661" s="202"/>
      <c r="Q661" s="208"/>
      <c r="R661" s="86"/>
      <c r="S661" s="114">
        <f t="shared" ref="S661:T661" si="662">A661</f>
        <v>661</v>
      </c>
      <c r="T661" s="114" t="str">
        <f t="shared" si="662"/>
        <v>مصطفی لطیفیان</v>
      </c>
      <c r="U661" s="86" t="str">
        <f t="shared" si="3"/>
        <v>09160611168</v>
      </c>
      <c r="V661" s="86" t="str">
        <f t="shared" si="4"/>
        <v>پیش‌وایی 5</v>
      </c>
      <c r="W661" s="86"/>
      <c r="X661" s="86"/>
    </row>
    <row r="662">
      <c r="A662" s="192">
        <v>662.0</v>
      </c>
      <c r="B662" s="193" t="s">
        <v>3816</v>
      </c>
      <c r="C662" s="194" t="s">
        <v>3817</v>
      </c>
      <c r="D662" s="195" t="str">
        <f>IFERROR(__xludf.DUMMYFUNCTION("ARRAYFORMULA(LET( converted, SUBSTITUTE( SUBSTITUTE( SUBSTITUTE( SUBSTITUTE( SUBSTITUTE( SUBSTITUTE( SUBSTITUTE( SUBSTITUTE( SUBSTITUTE( SUBSTITUTE( C662, ""۰"", ""0""), ""۱"", ""1""), ""۲"", ""2""), ""۳"", ""3""), ""۴"", ""4""), ""۵"", ""5""), ""۶"", ""6"&amp;"""), ""۷"", ""7""), ""۸"", ""8""), ""۹"", ""9""), IF(LEFT(converted,3)=""+98"", ""0"" &amp; RIGHT(converted, LEN(converted)-3), IF(LEFT(converted,2)=""98"", ""0"" &amp; RIGHT(converted, LEN(converted)-2), IF(LEFT(converted,1)&lt;&gt;""0"", ""0"" &amp; converted, REGEXREPLA"&amp;"CE(converted , ""\s"", """")) ) ) ) )"),"09134044240")</f>
        <v>09134044240</v>
      </c>
      <c r="E662" s="196" t="s">
        <v>17</v>
      </c>
      <c r="F662" s="197">
        <v>5.0</v>
      </c>
      <c r="G662" s="212" t="s">
        <v>730</v>
      </c>
      <c r="H662" s="193" t="s">
        <v>3818</v>
      </c>
      <c r="I662" s="194"/>
      <c r="J662" s="194" t="s">
        <v>3819</v>
      </c>
      <c r="K662" s="193" t="s">
        <v>307</v>
      </c>
      <c r="L662" s="193" t="s">
        <v>3032</v>
      </c>
      <c r="M662" s="193"/>
      <c r="N662" s="193"/>
      <c r="O662" s="193"/>
      <c r="P662" s="193"/>
      <c r="Q662" s="200"/>
      <c r="R662" s="86"/>
      <c r="S662" s="114">
        <f t="shared" ref="S662:T662" si="663">A662</f>
        <v>662</v>
      </c>
      <c r="T662" s="114" t="str">
        <f t="shared" si="663"/>
        <v>محمدرضا نوروزی</v>
      </c>
      <c r="U662" s="86" t="str">
        <f t="shared" si="3"/>
        <v>09134044240</v>
      </c>
      <c r="V662" s="86" t="str">
        <f t="shared" si="4"/>
        <v>پیش‌وایی 5</v>
      </c>
      <c r="W662" s="86"/>
      <c r="X662" s="86"/>
    </row>
    <row r="663">
      <c r="A663" s="201">
        <v>663.0</v>
      </c>
      <c r="B663" s="202" t="s">
        <v>3820</v>
      </c>
      <c r="C663" s="203" t="s">
        <v>3821</v>
      </c>
      <c r="D663" s="204" t="str">
        <f>IFERROR(__xludf.DUMMYFUNCTION("ARRAYFORMULA(LET( converted, SUBSTITUTE( SUBSTITUTE( SUBSTITUTE( SUBSTITUTE( SUBSTITUTE( SUBSTITUTE( SUBSTITUTE( SUBSTITUTE( SUBSTITUTE( SUBSTITUTE( C663, ""۰"", ""0""), ""۱"", ""1""), ""۲"", ""2""), ""۳"", ""3""), ""۴"", ""4""), ""۵"", ""5""), ""۶"", ""6"&amp;"""), ""۷"", ""7""), ""۸"", ""8""), ""۹"", ""9""), IF(LEFT(converted,3)=""+98"", ""0"" &amp; RIGHT(converted, LEN(converted)-3), IF(LEFT(converted,2)=""98"", ""0"" &amp; RIGHT(converted, LEN(converted)-2), IF(LEFT(converted,1)&lt;&gt;""0"", ""0"" &amp; converted, REGEXREPLA"&amp;"CE(converted , ""\s"", """")) ) ) ) )"),"09372011223")</f>
        <v>09372011223</v>
      </c>
      <c r="E663" s="205" t="s">
        <v>17</v>
      </c>
      <c r="F663" s="206">
        <v>5.0</v>
      </c>
      <c r="G663" s="213" t="s">
        <v>730</v>
      </c>
      <c r="H663" s="202" t="s">
        <v>3822</v>
      </c>
      <c r="I663" s="203"/>
      <c r="J663" s="203" t="s">
        <v>3823</v>
      </c>
      <c r="K663" s="202" t="s">
        <v>1670</v>
      </c>
      <c r="L663" s="202" t="s">
        <v>3194</v>
      </c>
      <c r="M663" s="202"/>
      <c r="N663" s="202"/>
      <c r="O663" s="202"/>
      <c r="P663" s="202"/>
      <c r="Q663" s="208"/>
      <c r="R663" s="86"/>
      <c r="S663" s="114">
        <f t="shared" ref="S663:T663" si="664">A663</f>
        <v>663</v>
      </c>
      <c r="T663" s="114" t="str">
        <f t="shared" si="664"/>
        <v>محمدحسین امیری</v>
      </c>
      <c r="U663" s="86" t="str">
        <f t="shared" si="3"/>
        <v>09372011223</v>
      </c>
      <c r="V663" s="86" t="str">
        <f t="shared" si="4"/>
        <v>پیش‌وایی 5</v>
      </c>
      <c r="W663" s="86"/>
      <c r="X663" s="86"/>
    </row>
    <row r="664">
      <c r="A664" s="192">
        <v>664.0</v>
      </c>
      <c r="B664" s="193" t="s">
        <v>3824</v>
      </c>
      <c r="C664" s="194" t="s">
        <v>3825</v>
      </c>
      <c r="D664" s="195" t="str">
        <f>IFERROR(__xludf.DUMMYFUNCTION("ARRAYFORMULA(LET( converted, SUBSTITUTE( SUBSTITUTE( SUBSTITUTE( SUBSTITUTE( SUBSTITUTE( SUBSTITUTE( SUBSTITUTE( SUBSTITUTE( SUBSTITUTE( SUBSTITUTE( C664, ""۰"", ""0""), ""۱"", ""1""), ""۲"", ""2""), ""۳"", ""3""), ""۴"", ""4""), ""۵"", ""5""), ""۶"", ""6"&amp;"""), ""۷"", ""7""), ""۸"", ""8""), ""۹"", ""9""), IF(LEFT(converted,3)=""+98"", ""0"" &amp; RIGHT(converted, LEN(converted)-3), IF(LEFT(converted,2)=""98"", ""0"" &amp; RIGHT(converted, LEN(converted)-2), IF(LEFT(converted,1)&lt;&gt;""0"", ""0"" &amp; converted, REGEXREPLA"&amp;"CE(converted , ""\s"", """")) ) ) ) )"),"09103144078")</f>
        <v>09103144078</v>
      </c>
      <c r="E664" s="196" t="s">
        <v>17</v>
      </c>
      <c r="F664" s="197">
        <v>5.0</v>
      </c>
      <c r="G664" s="212" t="s">
        <v>730</v>
      </c>
      <c r="H664" s="193" t="s">
        <v>3826</v>
      </c>
      <c r="I664" s="194"/>
      <c r="J664" s="194" t="s">
        <v>3827</v>
      </c>
      <c r="K664" s="193" t="s">
        <v>259</v>
      </c>
      <c r="L664" s="193" t="s">
        <v>3828</v>
      </c>
      <c r="M664" s="193"/>
      <c r="N664" s="193"/>
      <c r="O664" s="193"/>
      <c r="P664" s="193"/>
      <c r="Q664" s="200"/>
      <c r="R664" s="86"/>
      <c r="S664" s="114">
        <f t="shared" ref="S664:T664" si="665">A664</f>
        <v>664</v>
      </c>
      <c r="T664" s="114" t="str">
        <f t="shared" si="665"/>
        <v>علیرضا ضیایی</v>
      </c>
      <c r="U664" s="86" t="str">
        <f t="shared" si="3"/>
        <v>09103144078</v>
      </c>
      <c r="V664" s="86" t="str">
        <f t="shared" si="4"/>
        <v>پیش‌وایی 5</v>
      </c>
      <c r="W664" s="86"/>
      <c r="X664" s="86"/>
    </row>
    <row r="665">
      <c r="A665" s="201">
        <v>665.0</v>
      </c>
      <c r="B665" s="202" t="s">
        <v>3829</v>
      </c>
      <c r="C665" s="203" t="s">
        <v>3830</v>
      </c>
      <c r="D665" s="204" t="str">
        <f>IFERROR(__xludf.DUMMYFUNCTION("ARRAYFORMULA(LET( converted, SUBSTITUTE( SUBSTITUTE( SUBSTITUTE( SUBSTITUTE( SUBSTITUTE( SUBSTITUTE( SUBSTITUTE( SUBSTITUTE( SUBSTITUTE( SUBSTITUTE( C665, ""۰"", ""0""), ""۱"", ""1""), ""۲"", ""2""), ""۳"", ""3""), ""۴"", ""4""), ""۵"", ""5""), ""۶"", ""6"&amp;"""), ""۷"", ""7""), ""۸"", ""8""), ""۹"", ""9""), IF(LEFT(converted,3)=""+98"", ""0"" &amp; RIGHT(converted, LEN(converted)-3), IF(LEFT(converted,2)=""98"", ""0"" &amp; RIGHT(converted, LEN(converted)-2), IF(LEFT(converted,1)&lt;&gt;""0"", ""0"" &amp; converted, REGEXREPLA"&amp;"CE(converted , ""\s"", """")) ) ) ) )"),"09036174842")</f>
        <v>09036174842</v>
      </c>
      <c r="E665" s="205" t="s">
        <v>17</v>
      </c>
      <c r="F665" s="206">
        <v>5.0</v>
      </c>
      <c r="G665" s="213" t="s">
        <v>730</v>
      </c>
      <c r="H665" s="202" t="s">
        <v>3831</v>
      </c>
      <c r="I665" s="203"/>
      <c r="J665" s="203" t="s">
        <v>3832</v>
      </c>
      <c r="K665" s="202" t="s">
        <v>311</v>
      </c>
      <c r="L665" s="202" t="s">
        <v>3833</v>
      </c>
      <c r="M665" s="202"/>
      <c r="N665" s="202"/>
      <c r="O665" s="202"/>
      <c r="P665" s="202"/>
      <c r="Q665" s="208"/>
      <c r="R665" s="86"/>
      <c r="S665" s="114">
        <f t="shared" ref="S665:T665" si="666">A665</f>
        <v>665</v>
      </c>
      <c r="T665" s="114" t="str">
        <f t="shared" si="666"/>
        <v>محسن ادیغ</v>
      </c>
      <c r="U665" s="86" t="str">
        <f t="shared" si="3"/>
        <v>09036174842</v>
      </c>
      <c r="V665" s="86" t="str">
        <f t="shared" si="4"/>
        <v>پیش‌وایی 5</v>
      </c>
      <c r="W665" s="86"/>
      <c r="X665" s="86"/>
    </row>
    <row r="666">
      <c r="A666" s="192">
        <v>666.0</v>
      </c>
      <c r="B666" s="193" t="s">
        <v>3834</v>
      </c>
      <c r="C666" s="194" t="s">
        <v>3835</v>
      </c>
      <c r="D666" s="195" t="str">
        <f>IFERROR(__xludf.DUMMYFUNCTION("ARRAYFORMULA(LET( converted, SUBSTITUTE( SUBSTITUTE( SUBSTITUTE( SUBSTITUTE( SUBSTITUTE( SUBSTITUTE( SUBSTITUTE( SUBSTITUTE( SUBSTITUTE( SUBSTITUTE( C666, ""۰"", ""0""), ""۱"", ""1""), ""۲"", ""2""), ""۳"", ""3""), ""۴"", ""4""), ""۵"", ""5""), ""۶"", ""6"&amp;"""), ""۷"", ""7""), ""۸"", ""8""), ""۹"", ""9""), IF(LEFT(converted,3)=""+98"", ""0"" &amp; RIGHT(converted, LEN(converted)-3), IF(LEFT(converted,2)=""98"", ""0"" &amp; RIGHT(converted, LEN(converted)-2), IF(LEFT(converted,1)&lt;&gt;""0"", ""0"" &amp; converted, REGEXREPLA"&amp;"CE(converted , ""\s"", """")) ) ) ) )"),"09907352570")</f>
        <v>09907352570</v>
      </c>
      <c r="E666" s="196" t="s">
        <v>17</v>
      </c>
      <c r="F666" s="197">
        <v>5.0</v>
      </c>
      <c r="G666" s="212" t="s">
        <v>746</v>
      </c>
      <c r="H666" s="193" t="s">
        <v>3836</v>
      </c>
      <c r="I666" s="194"/>
      <c r="J666" s="194" t="s">
        <v>3837</v>
      </c>
      <c r="K666" s="193" t="s">
        <v>274</v>
      </c>
      <c r="L666" s="193" t="s">
        <v>3838</v>
      </c>
      <c r="M666" s="193"/>
      <c r="N666" s="193"/>
      <c r="O666" s="193"/>
      <c r="P666" s="193"/>
      <c r="Q666" s="200"/>
      <c r="R666" s="86"/>
      <c r="S666" s="114">
        <f t="shared" ref="S666:T666" si="667">A666</f>
        <v>666</v>
      </c>
      <c r="T666" s="114" t="str">
        <f t="shared" si="667"/>
        <v>فاطمه مدنیان محمدی</v>
      </c>
      <c r="U666" s="86" t="str">
        <f t="shared" si="3"/>
        <v>09907352570</v>
      </c>
      <c r="V666" s="86" t="str">
        <f t="shared" si="4"/>
        <v>پیش‌وایی 5</v>
      </c>
      <c r="W666" s="86"/>
      <c r="X666" s="86"/>
    </row>
    <row r="667">
      <c r="A667" s="201">
        <v>667.0</v>
      </c>
      <c r="B667" s="202" t="s">
        <v>3839</v>
      </c>
      <c r="C667" s="203" t="s">
        <v>3840</v>
      </c>
      <c r="D667" s="204" t="str">
        <f>IFERROR(__xludf.DUMMYFUNCTION("ARRAYFORMULA(LET( converted, SUBSTITUTE( SUBSTITUTE( SUBSTITUTE( SUBSTITUTE( SUBSTITUTE( SUBSTITUTE( SUBSTITUTE( SUBSTITUTE( SUBSTITUTE( SUBSTITUTE( C667, ""۰"", ""0""), ""۱"", ""1""), ""۲"", ""2""), ""۳"", ""3""), ""۴"", ""4""), ""۵"", ""5""), ""۶"", ""6"&amp;"""), ""۷"", ""7""), ""۸"", ""8""), ""۹"", ""9""), IF(LEFT(converted,3)=""+98"", ""0"" &amp; RIGHT(converted, LEN(converted)-3), IF(LEFT(converted,2)=""98"", ""0"" &amp; RIGHT(converted, LEN(converted)-2), IF(LEFT(converted,1)&lt;&gt;""0"", ""0"" &amp; converted, REGEXREPLA"&amp;"CE(converted , ""\s"", """")) ) ) ) )"),"09127957942")</f>
        <v>09127957942</v>
      </c>
      <c r="E667" s="205" t="s">
        <v>17</v>
      </c>
      <c r="F667" s="206">
        <v>5.0</v>
      </c>
      <c r="G667" s="213" t="s">
        <v>730</v>
      </c>
      <c r="H667" s="202" t="s">
        <v>3841</v>
      </c>
      <c r="I667" s="203"/>
      <c r="J667" s="203" t="s">
        <v>3842</v>
      </c>
      <c r="K667" s="202" t="s">
        <v>1787</v>
      </c>
      <c r="L667" s="202" t="s">
        <v>3843</v>
      </c>
      <c r="M667" s="202"/>
      <c r="N667" s="202"/>
      <c r="O667" s="202"/>
      <c r="P667" s="202"/>
      <c r="Q667" s="208"/>
      <c r="R667" s="86"/>
      <c r="S667" s="114">
        <f t="shared" ref="S667:T667" si="668">A667</f>
        <v>667</v>
      </c>
      <c r="T667" s="114" t="str">
        <f t="shared" si="668"/>
        <v>محمد حسین قمری</v>
      </c>
      <c r="U667" s="86" t="str">
        <f t="shared" si="3"/>
        <v>09127957942</v>
      </c>
      <c r="V667" s="86" t="str">
        <f t="shared" si="4"/>
        <v>پیش‌وایی 5</v>
      </c>
      <c r="W667" s="86"/>
      <c r="X667" s="86"/>
    </row>
    <row r="668">
      <c r="A668" s="192">
        <v>668.0</v>
      </c>
      <c r="B668" s="193" t="s">
        <v>3844</v>
      </c>
      <c r="C668" s="194" t="s">
        <v>3845</v>
      </c>
      <c r="D668" s="195" t="str">
        <f>IFERROR(__xludf.DUMMYFUNCTION("ARRAYFORMULA(LET( converted, SUBSTITUTE( SUBSTITUTE( SUBSTITUTE( SUBSTITUTE( SUBSTITUTE( SUBSTITUTE( SUBSTITUTE( SUBSTITUTE( SUBSTITUTE( SUBSTITUTE( C668, ""۰"", ""0""), ""۱"", ""1""), ""۲"", ""2""), ""۳"", ""3""), ""۴"", ""4""), ""۵"", ""5""), ""۶"", ""6"&amp;"""), ""۷"", ""7""), ""۸"", ""8""), ""۹"", ""9""), IF(LEFT(converted,3)=""+98"", ""0"" &amp; RIGHT(converted, LEN(converted)-3), IF(LEFT(converted,2)=""98"", ""0"" &amp; RIGHT(converted, LEN(converted)-2), IF(LEFT(converted,1)&lt;&gt;""0"", ""0"" &amp; converted, REGEXREPLA"&amp;"CE(converted , ""\s"", """")) ) ) ) )"),"09120355431")</f>
        <v>09120355431</v>
      </c>
      <c r="E668" s="196" t="s">
        <v>17</v>
      </c>
      <c r="F668" s="197">
        <v>5.0</v>
      </c>
      <c r="G668" s="212" t="s">
        <v>746</v>
      </c>
      <c r="H668" s="193" t="s">
        <v>3846</v>
      </c>
      <c r="I668" s="194"/>
      <c r="J668" s="194" t="s">
        <v>3847</v>
      </c>
      <c r="K668" s="193" t="s">
        <v>3848</v>
      </c>
      <c r="L668" s="193" t="s">
        <v>3427</v>
      </c>
      <c r="M668" s="193"/>
      <c r="N668" s="193"/>
      <c r="O668" s="193"/>
      <c r="P668" s="193"/>
      <c r="Q668" s="200"/>
      <c r="R668" s="86"/>
      <c r="S668" s="114">
        <f t="shared" ref="S668:T668" si="669">A668</f>
        <v>668</v>
      </c>
      <c r="T668" s="114" t="str">
        <f t="shared" si="669"/>
        <v>گلدخت آنالویی</v>
      </c>
      <c r="U668" s="86" t="str">
        <f t="shared" si="3"/>
        <v>09120355431</v>
      </c>
      <c r="V668" s="86" t="str">
        <f t="shared" si="4"/>
        <v>پیش‌وایی 5</v>
      </c>
      <c r="W668" s="86"/>
      <c r="X668" s="86"/>
    </row>
    <row r="669">
      <c r="A669" s="201">
        <v>669.0</v>
      </c>
      <c r="B669" s="202" t="s">
        <v>3849</v>
      </c>
      <c r="C669" s="203" t="s">
        <v>3850</v>
      </c>
      <c r="D669" s="204" t="str">
        <f>IFERROR(__xludf.DUMMYFUNCTION("ARRAYFORMULA(LET( converted, SUBSTITUTE( SUBSTITUTE( SUBSTITUTE( SUBSTITUTE( SUBSTITUTE( SUBSTITUTE( SUBSTITUTE( SUBSTITUTE( SUBSTITUTE( SUBSTITUTE( C669, ""۰"", ""0""), ""۱"", ""1""), ""۲"", ""2""), ""۳"", ""3""), ""۴"", ""4""), ""۵"", ""5""), ""۶"", ""6"&amp;"""), ""۷"", ""7""), ""۸"", ""8""), ""۹"", ""9""), IF(LEFT(converted,3)=""+98"", ""0"" &amp; RIGHT(converted, LEN(converted)-3), IF(LEFT(converted,2)=""98"", ""0"" &amp; RIGHT(converted, LEN(converted)-2), IF(LEFT(converted,1)&lt;&gt;""0"", ""0"" &amp; converted, REGEXREPLA"&amp;"CE(converted , ""\s"", """")) ) ) ) )"),"09384200110")</f>
        <v>09384200110</v>
      </c>
      <c r="E669" s="205" t="s">
        <v>17</v>
      </c>
      <c r="F669" s="206">
        <v>5.0</v>
      </c>
      <c r="G669" s="213" t="s">
        <v>730</v>
      </c>
      <c r="H669" s="202" t="s">
        <v>3851</v>
      </c>
      <c r="I669" s="203"/>
      <c r="J669" s="203" t="s">
        <v>3852</v>
      </c>
      <c r="K669" s="202" t="s">
        <v>303</v>
      </c>
      <c r="L669" s="202" t="s">
        <v>3853</v>
      </c>
      <c r="M669" s="202"/>
      <c r="N669" s="202"/>
      <c r="O669" s="202"/>
      <c r="P669" s="202"/>
      <c r="Q669" s="208"/>
      <c r="R669" s="86"/>
      <c r="S669" s="114">
        <f t="shared" ref="S669:T669" si="670">A669</f>
        <v>669</v>
      </c>
      <c r="T669" s="114" t="str">
        <f t="shared" si="670"/>
        <v>محمد امامیان</v>
      </c>
      <c r="U669" s="86" t="str">
        <f t="shared" si="3"/>
        <v>09384200110</v>
      </c>
      <c r="V669" s="86" t="str">
        <f t="shared" si="4"/>
        <v>پیش‌وایی 5</v>
      </c>
      <c r="W669" s="86"/>
      <c r="X669" s="86"/>
    </row>
    <row r="670">
      <c r="A670" s="192">
        <v>670.0</v>
      </c>
      <c r="B670" s="193" t="s">
        <v>3854</v>
      </c>
      <c r="C670" s="194" t="s">
        <v>3855</v>
      </c>
      <c r="D670" s="195" t="str">
        <f>IFERROR(__xludf.DUMMYFUNCTION("ARRAYFORMULA(LET( converted, SUBSTITUTE( SUBSTITUTE( SUBSTITUTE( SUBSTITUTE( SUBSTITUTE( SUBSTITUTE( SUBSTITUTE( SUBSTITUTE( SUBSTITUTE( SUBSTITUTE( C670, ""۰"", ""0""), ""۱"", ""1""), ""۲"", ""2""), ""۳"", ""3""), ""۴"", ""4""), ""۵"", ""5""), ""۶"", ""6"&amp;"""), ""۷"", ""7""), ""۸"", ""8""), ""۹"", ""9""), IF(LEFT(converted,3)=""+98"", ""0"" &amp; RIGHT(converted, LEN(converted)-3), IF(LEFT(converted,2)=""98"", ""0"" &amp; RIGHT(converted, LEN(converted)-2), IF(LEFT(converted,1)&lt;&gt;""0"", ""0"" &amp; converted, REGEXREPLA"&amp;"CE(converted , ""\s"", """")) ) ) ) )"),"09124707706")</f>
        <v>09124707706</v>
      </c>
      <c r="E670" s="196" t="s">
        <v>17</v>
      </c>
      <c r="F670" s="197">
        <v>5.0</v>
      </c>
      <c r="G670" s="212" t="s">
        <v>746</v>
      </c>
      <c r="H670" s="193" t="s">
        <v>3856</v>
      </c>
      <c r="I670" s="194"/>
      <c r="J670" s="194" t="s">
        <v>3857</v>
      </c>
      <c r="K670" s="193" t="s">
        <v>3641</v>
      </c>
      <c r="L670" s="193" t="s">
        <v>3858</v>
      </c>
      <c r="M670" s="193"/>
      <c r="N670" s="193"/>
      <c r="O670" s="193"/>
      <c r="P670" s="193"/>
      <c r="Q670" s="200"/>
      <c r="R670" s="86"/>
      <c r="S670" s="114">
        <f t="shared" ref="S670:T670" si="671">A670</f>
        <v>670</v>
      </c>
      <c r="T670" s="114" t="str">
        <f t="shared" si="671"/>
        <v>سولماز صدوقی شبستری</v>
      </c>
      <c r="U670" s="86" t="str">
        <f t="shared" si="3"/>
        <v>09124707706</v>
      </c>
      <c r="V670" s="86" t="str">
        <f t="shared" si="4"/>
        <v>پیش‌وایی 5</v>
      </c>
      <c r="W670" s="86"/>
      <c r="X670" s="86"/>
    </row>
    <row r="671">
      <c r="A671" s="201">
        <v>671.0</v>
      </c>
      <c r="B671" s="202" t="s">
        <v>3859</v>
      </c>
      <c r="C671" s="203" t="s">
        <v>3860</v>
      </c>
      <c r="D671" s="204" t="str">
        <f>IFERROR(__xludf.DUMMYFUNCTION("ARRAYFORMULA(LET( converted, SUBSTITUTE( SUBSTITUTE( SUBSTITUTE( SUBSTITUTE( SUBSTITUTE( SUBSTITUTE( SUBSTITUTE( SUBSTITUTE( SUBSTITUTE( SUBSTITUTE( C671, ""۰"", ""0""), ""۱"", ""1""), ""۲"", ""2""), ""۳"", ""3""), ""۴"", ""4""), ""۵"", ""5""), ""۶"", ""6"&amp;"""), ""۷"", ""7""), ""۸"", ""8""), ""۹"", ""9""), IF(LEFT(converted,3)=""+98"", ""0"" &amp; RIGHT(converted, LEN(converted)-3), IF(LEFT(converted,2)=""98"", ""0"" &amp; RIGHT(converted, LEN(converted)-2), IF(LEFT(converted,1)&lt;&gt;""0"", ""0"" &amp; converted, REGEXREPLA"&amp;"CE(converted , ""\s"", """")) ) ) ) )"),"09127147937")</f>
        <v>09127147937</v>
      </c>
      <c r="E671" s="205" t="s">
        <v>17</v>
      </c>
      <c r="F671" s="206">
        <v>5.0</v>
      </c>
      <c r="G671" s="213" t="s">
        <v>730</v>
      </c>
      <c r="H671" s="202" t="s">
        <v>3861</v>
      </c>
      <c r="I671" s="203"/>
      <c r="J671" s="203" t="s">
        <v>3862</v>
      </c>
      <c r="K671" s="202" t="s">
        <v>3863</v>
      </c>
      <c r="L671" s="202" t="s">
        <v>3858</v>
      </c>
      <c r="M671" s="202"/>
      <c r="N671" s="202"/>
      <c r="O671" s="202"/>
      <c r="P671" s="202"/>
      <c r="Q671" s="208"/>
      <c r="R671" s="86"/>
      <c r="S671" s="114">
        <f t="shared" ref="S671:T671" si="672">A671</f>
        <v>671</v>
      </c>
      <c r="T671" s="114" t="str">
        <f t="shared" si="672"/>
        <v>آراز صدوقی شبستری</v>
      </c>
      <c r="U671" s="86" t="str">
        <f t="shared" si="3"/>
        <v>09127147937</v>
      </c>
      <c r="V671" s="86" t="str">
        <f t="shared" si="4"/>
        <v>پیش‌وایی 5</v>
      </c>
      <c r="W671" s="86"/>
      <c r="X671" s="86"/>
    </row>
    <row r="672">
      <c r="A672" s="192">
        <v>672.0</v>
      </c>
      <c r="B672" s="193" t="s">
        <v>3864</v>
      </c>
      <c r="C672" s="194" t="s">
        <v>3865</v>
      </c>
      <c r="D672" s="195" t="str">
        <f>IFERROR(__xludf.DUMMYFUNCTION("ARRAYFORMULA(LET( converted, SUBSTITUTE( SUBSTITUTE( SUBSTITUTE( SUBSTITUTE( SUBSTITUTE( SUBSTITUTE( SUBSTITUTE( SUBSTITUTE( SUBSTITUTE( SUBSTITUTE( C672, ""۰"", ""0""), ""۱"", ""1""), ""۲"", ""2""), ""۳"", ""3""), ""۴"", ""4""), ""۵"", ""5""), ""۶"", ""6"&amp;"""), ""۷"", ""7""), ""۸"", ""8""), ""۹"", ""9""), IF(LEFT(converted,3)=""+98"", ""0"" &amp; RIGHT(converted, LEN(converted)-3), IF(LEFT(converted,2)=""98"", ""0"" &amp; RIGHT(converted, LEN(converted)-2), IF(LEFT(converted,1)&lt;&gt;""0"", ""0"" &amp; converted, REGEXREPLA"&amp;"CE(converted , ""\s"", """")) ) ) ) )"),"09353675724")</f>
        <v>09353675724</v>
      </c>
      <c r="E672" s="196" t="s">
        <v>17</v>
      </c>
      <c r="F672" s="197">
        <v>5.0</v>
      </c>
      <c r="G672" s="212" t="s">
        <v>746</v>
      </c>
      <c r="H672" s="193" t="s">
        <v>3866</v>
      </c>
      <c r="I672" s="194"/>
      <c r="J672" s="194" t="s">
        <v>3867</v>
      </c>
      <c r="K672" s="193" t="s">
        <v>3868</v>
      </c>
      <c r="L672" s="193" t="s">
        <v>889</v>
      </c>
      <c r="M672" s="193"/>
      <c r="N672" s="193"/>
      <c r="O672" s="193"/>
      <c r="P672" s="193"/>
      <c r="Q672" s="200"/>
      <c r="R672" s="86"/>
      <c r="S672" s="114">
        <f t="shared" ref="S672:T672" si="673">A672</f>
        <v>672</v>
      </c>
      <c r="T672" s="114" t="str">
        <f t="shared" si="673"/>
        <v>آذر کاظمی</v>
      </c>
      <c r="U672" s="86" t="str">
        <f t="shared" si="3"/>
        <v>09353675724</v>
      </c>
      <c r="V672" s="86" t="str">
        <f t="shared" si="4"/>
        <v>پیش‌وایی 5</v>
      </c>
      <c r="W672" s="86"/>
      <c r="X672" s="86"/>
    </row>
    <row r="673">
      <c r="A673" s="201">
        <v>673.0</v>
      </c>
      <c r="B673" s="202" t="s">
        <v>1000</v>
      </c>
      <c r="C673" s="203" t="s">
        <v>1001</v>
      </c>
      <c r="D673" s="204" t="str">
        <f>IFERROR(__xludf.DUMMYFUNCTION("ARRAYFORMULA(LET( converted, SUBSTITUTE( SUBSTITUTE( SUBSTITUTE( SUBSTITUTE( SUBSTITUTE( SUBSTITUTE( SUBSTITUTE( SUBSTITUTE( SUBSTITUTE( SUBSTITUTE( C673, ""۰"", ""0""), ""۱"", ""1""), ""۲"", ""2""), ""۳"", ""3""), ""۴"", ""4""), ""۵"", ""5""), ""۶"", ""6"&amp;"""), ""۷"", ""7""), ""۸"", ""8""), ""۹"", ""9""), IF(LEFT(converted,3)=""+98"", ""0"" &amp; RIGHT(converted, LEN(converted)-3), IF(LEFT(converted,2)=""98"", ""0"" &amp; RIGHT(converted, LEN(converted)-2), IF(LEFT(converted,1)&lt;&gt;""0"", ""0"" &amp; converted, REGEXREPLA"&amp;"CE(converted , ""\s"", """")) ) ) ) )"),"09126798482")</f>
        <v>09126798482</v>
      </c>
      <c r="E673" s="205" t="s">
        <v>17</v>
      </c>
      <c r="F673" s="206">
        <v>5.0</v>
      </c>
      <c r="G673" s="213" t="s">
        <v>730</v>
      </c>
      <c r="H673" s="202" t="s">
        <v>1002</v>
      </c>
      <c r="I673" s="203"/>
      <c r="J673" s="203" t="s">
        <v>1003</v>
      </c>
      <c r="K673" s="202" t="s">
        <v>1004</v>
      </c>
      <c r="L673" s="202" t="s">
        <v>1005</v>
      </c>
      <c r="M673" s="202"/>
      <c r="N673" s="202"/>
      <c r="O673" s="202"/>
      <c r="P673" s="202"/>
      <c r="Q673" s="208"/>
      <c r="R673" s="86"/>
      <c r="S673" s="114">
        <f t="shared" ref="S673:T673" si="674">A673</f>
        <v>673</v>
      </c>
      <c r="T673" s="114" t="str">
        <f t="shared" si="674"/>
        <v>حامد رضایی فرخ</v>
      </c>
      <c r="U673" s="86" t="str">
        <f t="shared" si="3"/>
        <v>09126798482</v>
      </c>
      <c r="V673" s="86" t="str">
        <f t="shared" si="4"/>
        <v>پیش‌وایی 5</v>
      </c>
      <c r="W673" s="86"/>
      <c r="X673" s="86"/>
    </row>
    <row r="674">
      <c r="A674" s="192">
        <v>674.0</v>
      </c>
      <c r="B674" s="193" t="s">
        <v>3869</v>
      </c>
      <c r="C674" s="194" t="s">
        <v>3870</v>
      </c>
      <c r="D674" s="195" t="str">
        <f>IFERROR(__xludf.DUMMYFUNCTION("ARRAYFORMULA(LET( converted, SUBSTITUTE( SUBSTITUTE( SUBSTITUTE( SUBSTITUTE( SUBSTITUTE( SUBSTITUTE( SUBSTITUTE( SUBSTITUTE( SUBSTITUTE( SUBSTITUTE( C674, ""۰"", ""0""), ""۱"", ""1""), ""۲"", ""2""), ""۳"", ""3""), ""۴"", ""4""), ""۵"", ""5""), ""۶"", ""6"&amp;"""), ""۷"", ""7""), ""۸"", ""8""), ""۹"", ""9""), IF(LEFT(converted,3)=""+98"", ""0"" &amp; RIGHT(converted, LEN(converted)-3), IF(LEFT(converted,2)=""98"", ""0"" &amp; RIGHT(converted, LEN(converted)-2), IF(LEFT(converted,1)&lt;&gt;""0"", ""0"" &amp; converted, REGEXREPLA"&amp;"CE(converted , ""\s"", """")) ) ) ) )"),"09361341925")</f>
        <v>09361341925</v>
      </c>
      <c r="E674" s="196" t="s">
        <v>17</v>
      </c>
      <c r="F674" s="197">
        <v>5.0</v>
      </c>
      <c r="G674" s="212" t="s">
        <v>730</v>
      </c>
      <c r="H674" s="193" t="s">
        <v>3871</v>
      </c>
      <c r="I674" s="194"/>
      <c r="J674" s="194" t="s">
        <v>3872</v>
      </c>
      <c r="K674" s="193" t="s">
        <v>3873</v>
      </c>
      <c r="L674" s="193" t="s">
        <v>2255</v>
      </c>
      <c r="M674" s="193"/>
      <c r="N674" s="193"/>
      <c r="O674" s="193"/>
      <c r="P674" s="193"/>
      <c r="Q674" s="200"/>
      <c r="R674" s="86"/>
      <c r="S674" s="114">
        <f t="shared" ref="S674:T674" si="675">A674</f>
        <v>674</v>
      </c>
      <c r="T674" s="114" t="str">
        <f t="shared" si="675"/>
        <v>رامیار حیدریان</v>
      </c>
      <c r="U674" s="86" t="str">
        <f t="shared" si="3"/>
        <v>09361341925</v>
      </c>
      <c r="V674" s="86" t="str">
        <f t="shared" si="4"/>
        <v>پیش‌وایی 5</v>
      </c>
      <c r="W674" s="86"/>
      <c r="X674" s="86"/>
    </row>
    <row r="675">
      <c r="A675" s="201">
        <v>675.0</v>
      </c>
      <c r="B675" s="202" t="s">
        <v>3874</v>
      </c>
      <c r="C675" s="203" t="s">
        <v>3875</v>
      </c>
      <c r="D675" s="204" t="str">
        <f>IFERROR(__xludf.DUMMYFUNCTION("ARRAYFORMULA(LET( converted, SUBSTITUTE( SUBSTITUTE( SUBSTITUTE( SUBSTITUTE( SUBSTITUTE( SUBSTITUTE( SUBSTITUTE( SUBSTITUTE( SUBSTITUTE( SUBSTITUTE( C675, ""۰"", ""0""), ""۱"", ""1""), ""۲"", ""2""), ""۳"", ""3""), ""۴"", ""4""), ""۵"", ""5""), ""۶"", ""6"&amp;"""), ""۷"", ""7""), ""۸"", ""8""), ""۹"", ""9""), IF(LEFT(converted,3)=""+98"", ""0"" &amp; RIGHT(converted, LEN(converted)-3), IF(LEFT(converted,2)=""98"", ""0"" &amp; RIGHT(converted, LEN(converted)-2), IF(LEFT(converted,1)&lt;&gt;""0"", ""0"" &amp; converted, REGEXREPLA"&amp;"CE(converted , ""\s"", """")) ) ) ) )"),"09355007907")</f>
        <v>09355007907</v>
      </c>
      <c r="E675" s="205" t="s">
        <v>17</v>
      </c>
      <c r="F675" s="206">
        <v>5.0</v>
      </c>
      <c r="G675" s="213" t="s">
        <v>730</v>
      </c>
      <c r="H675" s="202" t="s">
        <v>3876</v>
      </c>
      <c r="I675" s="203"/>
      <c r="J675" s="203" t="s">
        <v>3877</v>
      </c>
      <c r="K675" s="202" t="s">
        <v>1018</v>
      </c>
      <c r="L675" s="202" t="s">
        <v>3878</v>
      </c>
      <c r="M675" s="202"/>
      <c r="N675" s="202"/>
      <c r="O675" s="202"/>
      <c r="P675" s="202"/>
      <c r="Q675" s="208"/>
      <c r="R675" s="86"/>
      <c r="S675" s="114">
        <f t="shared" ref="S675:T675" si="676">A675</f>
        <v>675</v>
      </c>
      <c r="T675" s="114" t="str">
        <f t="shared" si="676"/>
        <v>علی حاجی میر</v>
      </c>
      <c r="U675" s="86" t="str">
        <f t="shared" si="3"/>
        <v>09355007907</v>
      </c>
      <c r="V675" s="86" t="str">
        <f t="shared" si="4"/>
        <v>پیش‌وایی 5</v>
      </c>
      <c r="W675" s="86"/>
      <c r="X675" s="86"/>
    </row>
    <row r="676">
      <c r="A676" s="192">
        <v>676.0</v>
      </c>
      <c r="B676" s="193" t="s">
        <v>3879</v>
      </c>
      <c r="C676" s="194" t="s">
        <v>3880</v>
      </c>
      <c r="D676" s="195" t="str">
        <f>IFERROR(__xludf.DUMMYFUNCTION("ARRAYFORMULA(LET( converted, SUBSTITUTE( SUBSTITUTE( SUBSTITUTE( SUBSTITUTE( SUBSTITUTE( SUBSTITUTE( SUBSTITUTE( SUBSTITUTE( SUBSTITUTE( SUBSTITUTE( C676, ""۰"", ""0""), ""۱"", ""1""), ""۲"", ""2""), ""۳"", ""3""), ""۴"", ""4""), ""۵"", ""5""), ""۶"", ""6"&amp;"""), ""۷"", ""7""), ""۸"", ""8""), ""۹"", ""9""), IF(LEFT(converted,3)=""+98"", ""0"" &amp; RIGHT(converted, LEN(converted)-3), IF(LEFT(converted,2)=""98"", ""0"" &amp; RIGHT(converted, LEN(converted)-2), IF(LEFT(converted,1)&lt;&gt;""0"", ""0"" &amp; converted, REGEXREPLA"&amp;"CE(converted , ""\s"", """")) ) ) ) )"),"09128264399")</f>
        <v>09128264399</v>
      </c>
      <c r="E676" s="196" t="s">
        <v>17</v>
      </c>
      <c r="F676" s="197">
        <v>5.0</v>
      </c>
      <c r="G676" s="212" t="s">
        <v>746</v>
      </c>
      <c r="H676" s="193" t="s">
        <v>3881</v>
      </c>
      <c r="I676" s="194"/>
      <c r="J676" s="194" t="s">
        <v>3882</v>
      </c>
      <c r="K676" s="193" t="s">
        <v>1071</v>
      </c>
      <c r="L676" s="193" t="s">
        <v>3883</v>
      </c>
      <c r="M676" s="193"/>
      <c r="N676" s="193"/>
      <c r="O676" s="193"/>
      <c r="P676" s="193"/>
      <c r="Q676" s="200"/>
      <c r="R676" s="86"/>
      <c r="S676" s="114">
        <f t="shared" ref="S676:T676" si="677">A676</f>
        <v>676</v>
      </c>
      <c r="T676" s="114" t="str">
        <f t="shared" si="677"/>
        <v>سحر ایاززاده شیرازی</v>
      </c>
      <c r="U676" s="86" t="str">
        <f t="shared" si="3"/>
        <v>09128264399</v>
      </c>
      <c r="V676" s="86" t="str">
        <f t="shared" si="4"/>
        <v>پیش‌وایی 5</v>
      </c>
      <c r="W676" s="86"/>
      <c r="X676" s="86"/>
    </row>
    <row r="677">
      <c r="A677" s="201">
        <v>677.0</v>
      </c>
      <c r="B677" s="202" t="s">
        <v>3884</v>
      </c>
      <c r="C677" s="203" t="s">
        <v>3885</v>
      </c>
      <c r="D677" s="204" t="str">
        <f>IFERROR(__xludf.DUMMYFUNCTION("ARRAYFORMULA(LET( converted, SUBSTITUTE( SUBSTITUTE( SUBSTITUTE( SUBSTITUTE( SUBSTITUTE( SUBSTITUTE( SUBSTITUTE( SUBSTITUTE( SUBSTITUTE( SUBSTITUTE( C677, ""۰"", ""0""), ""۱"", ""1""), ""۲"", ""2""), ""۳"", ""3""), ""۴"", ""4""), ""۵"", ""5""), ""۶"", ""6"&amp;"""), ""۷"", ""7""), ""۸"", ""8""), ""۹"", ""9""), IF(LEFT(converted,3)=""+98"", ""0"" &amp; RIGHT(converted, LEN(converted)-3), IF(LEFT(converted,2)=""98"", ""0"" &amp; RIGHT(converted, LEN(converted)-2), IF(LEFT(converted,1)&lt;&gt;""0"", ""0"" &amp; converted, REGEXREPLA"&amp;"CE(converted , ""\s"", """")) ) ) ) )"),"09133560929")</f>
        <v>09133560929</v>
      </c>
      <c r="E677" s="205" t="s">
        <v>17</v>
      </c>
      <c r="F677" s="206">
        <v>5.0</v>
      </c>
      <c r="G677" s="213" t="s">
        <v>730</v>
      </c>
      <c r="H677" s="202" t="s">
        <v>3886</v>
      </c>
      <c r="I677" s="203"/>
      <c r="J677" s="203" t="s">
        <v>3887</v>
      </c>
      <c r="K677" s="202" t="s">
        <v>1459</v>
      </c>
      <c r="L677" s="202" t="s">
        <v>3888</v>
      </c>
      <c r="M677" s="202"/>
      <c r="N677" s="202"/>
      <c r="O677" s="202"/>
      <c r="P677" s="202"/>
      <c r="Q677" s="208"/>
      <c r="R677" s="86"/>
      <c r="S677" s="114">
        <f t="shared" ref="S677:T677" si="678">A677</f>
        <v>677</v>
      </c>
      <c r="T677" s="114" t="str">
        <f t="shared" si="678"/>
        <v>رضا خاموشی</v>
      </c>
      <c r="U677" s="86" t="str">
        <f t="shared" si="3"/>
        <v>09133560929</v>
      </c>
      <c r="V677" s="86" t="str">
        <f t="shared" si="4"/>
        <v>پیش‌وایی 5</v>
      </c>
      <c r="W677" s="86"/>
      <c r="X677" s="86"/>
    </row>
    <row r="678">
      <c r="A678" s="192">
        <v>678.0</v>
      </c>
      <c r="B678" s="193" t="s">
        <v>3889</v>
      </c>
      <c r="C678" s="194" t="s">
        <v>3890</v>
      </c>
      <c r="D678" s="195" t="str">
        <f>IFERROR(__xludf.DUMMYFUNCTION("ARRAYFORMULA(LET( converted, SUBSTITUTE( SUBSTITUTE( SUBSTITUTE( SUBSTITUTE( SUBSTITUTE( SUBSTITUTE( SUBSTITUTE( SUBSTITUTE( SUBSTITUTE( SUBSTITUTE( C678, ""۰"", ""0""), ""۱"", ""1""), ""۲"", ""2""), ""۳"", ""3""), ""۴"", ""4""), ""۵"", ""5""), ""۶"", ""6"&amp;"""), ""۷"", ""7""), ""۸"", ""8""), ""۹"", ""9""), IF(LEFT(converted,3)=""+98"", ""0"" &amp; RIGHT(converted, LEN(converted)-3), IF(LEFT(converted,2)=""98"", ""0"" &amp; RIGHT(converted, LEN(converted)-2), IF(LEFT(converted,1)&lt;&gt;""0"", ""0"" &amp; converted, REGEXREPLA"&amp;"CE(converted , ""\s"", """")) ) ) ) )"),"09128895095")</f>
        <v>09128895095</v>
      </c>
      <c r="E678" s="196" t="s">
        <v>17</v>
      </c>
      <c r="F678" s="197">
        <v>5.0</v>
      </c>
      <c r="G678" s="212" t="s">
        <v>730</v>
      </c>
      <c r="H678" s="193" t="s">
        <v>3891</v>
      </c>
      <c r="I678" s="194"/>
      <c r="J678" s="194" t="s">
        <v>3892</v>
      </c>
      <c r="K678" s="193" t="s">
        <v>3893</v>
      </c>
      <c r="L678" s="193" t="s">
        <v>1898</v>
      </c>
      <c r="M678" s="193"/>
      <c r="N678" s="193"/>
      <c r="O678" s="193"/>
      <c r="P678" s="193"/>
      <c r="Q678" s="200"/>
      <c r="R678" s="86"/>
      <c r="S678" s="114">
        <f t="shared" ref="S678:T678" si="679">A678</f>
        <v>678</v>
      </c>
      <c r="T678" s="114" t="str">
        <f t="shared" si="679"/>
        <v>صالح اسکندرزاده</v>
      </c>
      <c r="U678" s="86" t="str">
        <f t="shared" si="3"/>
        <v>09128895095</v>
      </c>
      <c r="V678" s="86" t="str">
        <f t="shared" si="4"/>
        <v>پیش‌وایی 5</v>
      </c>
      <c r="W678" s="86"/>
      <c r="X678" s="86"/>
    </row>
    <row r="679">
      <c r="A679" s="201">
        <v>679.0</v>
      </c>
      <c r="B679" s="202" t="s">
        <v>3894</v>
      </c>
      <c r="C679" s="203" t="s">
        <v>3895</v>
      </c>
      <c r="D679" s="204" t="str">
        <f>IFERROR(__xludf.DUMMYFUNCTION("ARRAYFORMULA(LET( converted, SUBSTITUTE( SUBSTITUTE( SUBSTITUTE( SUBSTITUTE( SUBSTITUTE( SUBSTITUTE( SUBSTITUTE( SUBSTITUTE( SUBSTITUTE( SUBSTITUTE( C679, ""۰"", ""0""), ""۱"", ""1""), ""۲"", ""2""), ""۳"", ""3""), ""۴"", ""4""), ""۵"", ""5""), ""۶"", ""6"&amp;"""), ""۷"", ""7""), ""۸"", ""8""), ""۹"", ""9""), IF(LEFT(converted,3)=""+98"", ""0"" &amp; RIGHT(converted, LEN(converted)-3), IF(LEFT(converted,2)=""98"", ""0"" &amp; RIGHT(converted, LEN(converted)-2), IF(LEFT(converted,1)&lt;&gt;""0"", ""0"" &amp; converted, REGEXREPLA"&amp;"CE(converted , ""\s"", """")) ) ) ) )"),"09108823927")</f>
        <v>09108823927</v>
      </c>
      <c r="E679" s="205" t="s">
        <v>17</v>
      </c>
      <c r="F679" s="206">
        <v>5.0</v>
      </c>
      <c r="G679" s="213" t="s">
        <v>730</v>
      </c>
      <c r="H679" s="202" t="s">
        <v>3896</v>
      </c>
      <c r="I679" s="203"/>
      <c r="J679" s="203" t="s">
        <v>3897</v>
      </c>
      <c r="K679" s="202" t="s">
        <v>192</v>
      </c>
      <c r="L679" s="202" t="s">
        <v>3898</v>
      </c>
      <c r="M679" s="202"/>
      <c r="N679" s="202"/>
      <c r="O679" s="202"/>
      <c r="P679" s="202"/>
      <c r="Q679" s="208"/>
      <c r="R679" s="86"/>
      <c r="S679" s="114">
        <f t="shared" ref="S679:T679" si="680">A679</f>
        <v>679</v>
      </c>
      <c r="T679" s="114" t="str">
        <f t="shared" si="680"/>
        <v>امیرحسین معصوم خانی</v>
      </c>
      <c r="U679" s="86" t="str">
        <f t="shared" si="3"/>
        <v>09108823927</v>
      </c>
      <c r="V679" s="86" t="str">
        <f t="shared" si="4"/>
        <v>پیش‌وایی 5</v>
      </c>
      <c r="W679" s="86"/>
      <c r="X679" s="86"/>
    </row>
    <row r="680">
      <c r="A680" s="192">
        <v>680.0</v>
      </c>
      <c r="B680" s="193" t="s">
        <v>3899</v>
      </c>
      <c r="C680" s="194" t="s">
        <v>3900</v>
      </c>
      <c r="D680" s="195" t="str">
        <f>IFERROR(__xludf.DUMMYFUNCTION("ARRAYFORMULA(LET( converted, SUBSTITUTE( SUBSTITUTE( SUBSTITUTE( SUBSTITUTE( SUBSTITUTE( SUBSTITUTE( SUBSTITUTE( SUBSTITUTE( SUBSTITUTE( SUBSTITUTE( C680, ""۰"", ""0""), ""۱"", ""1""), ""۲"", ""2""), ""۳"", ""3""), ""۴"", ""4""), ""۵"", ""5""), ""۶"", ""6"&amp;"""), ""۷"", ""7""), ""۸"", ""8""), ""۹"", ""9""), IF(LEFT(converted,3)=""+98"", ""0"" &amp; RIGHT(converted, LEN(converted)-3), IF(LEFT(converted,2)=""98"", ""0"" &amp; RIGHT(converted, LEN(converted)-2), IF(LEFT(converted,1)&lt;&gt;""0"", ""0"" &amp; converted, REGEXREPLA"&amp;"CE(converted , ""\s"", """")) ) ) ) )"),"09120481789")</f>
        <v>09120481789</v>
      </c>
      <c r="E680" s="196" t="s">
        <v>17</v>
      </c>
      <c r="F680" s="197">
        <v>5.0</v>
      </c>
      <c r="G680" s="212" t="s">
        <v>730</v>
      </c>
      <c r="H680" s="193" t="s">
        <v>3901</v>
      </c>
      <c r="I680" s="194"/>
      <c r="J680" s="194" t="s">
        <v>3902</v>
      </c>
      <c r="K680" s="193" t="s">
        <v>3903</v>
      </c>
      <c r="L680" s="193" t="s">
        <v>3904</v>
      </c>
      <c r="M680" s="193"/>
      <c r="N680" s="193"/>
      <c r="O680" s="193"/>
      <c r="P680" s="193"/>
      <c r="Q680" s="200"/>
      <c r="R680" s="86"/>
      <c r="S680" s="114">
        <f t="shared" ref="S680:T680" si="681">A680</f>
        <v>680</v>
      </c>
      <c r="T680" s="114" t="str">
        <f t="shared" si="681"/>
        <v>امیر حسین ناصرصرافها</v>
      </c>
      <c r="U680" s="86" t="str">
        <f t="shared" si="3"/>
        <v>09120481789</v>
      </c>
      <c r="V680" s="86" t="str">
        <f t="shared" si="4"/>
        <v>پیش‌وایی 5</v>
      </c>
      <c r="W680" s="86"/>
      <c r="X680" s="86"/>
    </row>
    <row r="681">
      <c r="A681" s="201">
        <v>681.0</v>
      </c>
      <c r="B681" s="202" t="s">
        <v>3905</v>
      </c>
      <c r="C681" s="203" t="s">
        <v>3906</v>
      </c>
      <c r="D681" s="204" t="str">
        <f>IFERROR(__xludf.DUMMYFUNCTION("ARRAYFORMULA(LET( converted, SUBSTITUTE( SUBSTITUTE( SUBSTITUTE( SUBSTITUTE( SUBSTITUTE( SUBSTITUTE( SUBSTITUTE( SUBSTITUTE( SUBSTITUTE( SUBSTITUTE( C681, ""۰"", ""0""), ""۱"", ""1""), ""۲"", ""2""), ""۳"", ""3""), ""۴"", ""4""), ""۵"", ""5""), ""۶"", ""6"&amp;"""), ""۷"", ""7""), ""۸"", ""8""), ""۹"", ""9""), IF(LEFT(converted,3)=""+98"", ""0"" &amp; RIGHT(converted, LEN(converted)-3), IF(LEFT(converted,2)=""98"", ""0"" &amp; RIGHT(converted, LEN(converted)-2), IF(LEFT(converted,1)&lt;&gt;""0"", ""0"" &amp; converted, REGEXREPLA"&amp;"CE(converted , ""\s"", """")) ) ) ) )"),"09124922268")</f>
        <v>09124922268</v>
      </c>
      <c r="E681" s="205" t="s">
        <v>17</v>
      </c>
      <c r="F681" s="206">
        <v>5.0</v>
      </c>
      <c r="G681" s="213" t="s">
        <v>730</v>
      </c>
      <c r="H681" s="202" t="s">
        <v>3907</v>
      </c>
      <c r="I681" s="203"/>
      <c r="J681" s="203" t="s">
        <v>3908</v>
      </c>
      <c r="K681" s="202" t="s">
        <v>1289</v>
      </c>
      <c r="L681" s="202" t="s">
        <v>3909</v>
      </c>
      <c r="M681" s="202"/>
      <c r="N681" s="202"/>
      <c r="O681" s="202"/>
      <c r="P681" s="202"/>
      <c r="Q681" s="208"/>
      <c r="R681" s="86"/>
      <c r="S681" s="114">
        <f t="shared" ref="S681:T681" si="682">A681</f>
        <v>681</v>
      </c>
      <c r="T681" s="114" t="str">
        <f t="shared" si="682"/>
        <v>میلاد میرزازاده</v>
      </c>
      <c r="U681" s="86" t="str">
        <f t="shared" si="3"/>
        <v>09124922268</v>
      </c>
      <c r="V681" s="86" t="str">
        <f t="shared" si="4"/>
        <v>پیش‌وایی 5</v>
      </c>
      <c r="W681" s="86"/>
      <c r="X681" s="86"/>
    </row>
    <row r="682">
      <c r="A682" s="192">
        <v>682.0</v>
      </c>
      <c r="B682" s="193" t="s">
        <v>3910</v>
      </c>
      <c r="C682" s="194" t="s">
        <v>3911</v>
      </c>
      <c r="D682" s="195" t="str">
        <f>IFERROR(__xludf.DUMMYFUNCTION("ARRAYFORMULA(LET( converted, SUBSTITUTE( SUBSTITUTE( SUBSTITUTE( SUBSTITUTE( SUBSTITUTE( SUBSTITUTE( SUBSTITUTE( SUBSTITUTE( SUBSTITUTE( SUBSTITUTE( C682, ""۰"", ""0""), ""۱"", ""1""), ""۲"", ""2""), ""۳"", ""3""), ""۴"", ""4""), ""۵"", ""5""), ""۶"", ""6"&amp;"""), ""۷"", ""7""), ""۸"", ""8""), ""۹"", ""9""), IF(LEFT(converted,3)=""+98"", ""0"" &amp; RIGHT(converted, LEN(converted)-3), IF(LEFT(converted,2)=""98"", ""0"" &amp; RIGHT(converted, LEN(converted)-2), IF(LEFT(converted,1)&lt;&gt;""0"", ""0"" &amp; converted, REGEXREPLA"&amp;"CE(converted , ""\s"", """")) ) ) ) )"),"09192573008")</f>
        <v>09192573008</v>
      </c>
      <c r="E682" s="196" t="s">
        <v>17</v>
      </c>
      <c r="F682" s="197">
        <v>5.0</v>
      </c>
      <c r="G682" s="212" t="s">
        <v>730</v>
      </c>
      <c r="H682" s="193" t="s">
        <v>3912</v>
      </c>
      <c r="I682" s="194"/>
      <c r="J682" s="194" t="s">
        <v>3913</v>
      </c>
      <c r="K682" s="193" t="s">
        <v>896</v>
      </c>
      <c r="L682" s="193" t="s">
        <v>3914</v>
      </c>
      <c r="M682" s="193"/>
      <c r="N682" s="193"/>
      <c r="O682" s="193"/>
      <c r="P682" s="193"/>
      <c r="Q682" s="200"/>
      <c r="R682" s="86"/>
      <c r="S682" s="114">
        <f t="shared" ref="S682:T682" si="683">A682</f>
        <v>682</v>
      </c>
      <c r="T682" s="114" t="str">
        <f t="shared" si="683"/>
        <v>حسین حسین وند</v>
      </c>
      <c r="U682" s="86" t="str">
        <f t="shared" si="3"/>
        <v>09192573008</v>
      </c>
      <c r="V682" s="86" t="str">
        <f t="shared" si="4"/>
        <v>پیش‌وایی 5</v>
      </c>
      <c r="W682" s="86"/>
      <c r="X682" s="86"/>
    </row>
    <row r="683">
      <c r="A683" s="201">
        <v>683.0</v>
      </c>
      <c r="B683" s="202" t="s">
        <v>3915</v>
      </c>
      <c r="C683" s="203" t="s">
        <v>3916</v>
      </c>
      <c r="D683" s="204" t="str">
        <f>IFERROR(__xludf.DUMMYFUNCTION("ARRAYFORMULA(LET( converted, SUBSTITUTE( SUBSTITUTE( SUBSTITUTE( SUBSTITUTE( SUBSTITUTE( SUBSTITUTE( SUBSTITUTE( SUBSTITUTE( SUBSTITUTE( SUBSTITUTE( C683, ""۰"", ""0""), ""۱"", ""1""), ""۲"", ""2""), ""۳"", ""3""), ""۴"", ""4""), ""۵"", ""5""), ""۶"", ""6"&amp;"""), ""۷"", ""7""), ""۸"", ""8""), ""۹"", ""9""), IF(LEFT(converted,3)=""+98"", ""0"" &amp; RIGHT(converted, LEN(converted)-3), IF(LEFT(converted,2)=""98"", ""0"" &amp; RIGHT(converted, LEN(converted)-2), IF(LEFT(converted,1)&lt;&gt;""0"", ""0"" &amp; converted, REGEXREPLA"&amp;"CE(converted , ""\s"", """")) ) ) ) )"),"09120397881")</f>
        <v>09120397881</v>
      </c>
      <c r="E683" s="205" t="s">
        <v>17</v>
      </c>
      <c r="F683" s="206">
        <v>5.0</v>
      </c>
      <c r="G683" s="213" t="s">
        <v>730</v>
      </c>
      <c r="H683" s="202" t="s">
        <v>3917</v>
      </c>
      <c r="I683" s="203"/>
      <c r="J683" s="203" t="s">
        <v>3918</v>
      </c>
      <c r="K683" s="202" t="s">
        <v>303</v>
      </c>
      <c r="L683" s="202" t="s">
        <v>3919</v>
      </c>
      <c r="M683" s="202"/>
      <c r="N683" s="202"/>
      <c r="O683" s="202"/>
      <c r="P683" s="202"/>
      <c r="Q683" s="208"/>
      <c r="R683" s="86"/>
      <c r="S683" s="114">
        <f t="shared" ref="S683:T683" si="684">A683</f>
        <v>683</v>
      </c>
      <c r="T683" s="114" t="str">
        <f t="shared" si="684"/>
        <v>محمد رضائی شریف آبادی</v>
      </c>
      <c r="U683" s="86" t="str">
        <f t="shared" si="3"/>
        <v>09120397881</v>
      </c>
      <c r="V683" s="86" t="str">
        <f t="shared" si="4"/>
        <v>پیش‌وایی 5</v>
      </c>
      <c r="W683" s="86"/>
      <c r="X683" s="86"/>
    </row>
    <row r="684">
      <c r="A684" s="192">
        <v>684.0</v>
      </c>
      <c r="B684" s="193" t="s">
        <v>3920</v>
      </c>
      <c r="C684" s="194" t="s">
        <v>3921</v>
      </c>
      <c r="D684" s="195" t="str">
        <f>IFERROR(__xludf.DUMMYFUNCTION("ARRAYFORMULA(LET( converted, SUBSTITUTE( SUBSTITUTE( SUBSTITUTE( SUBSTITUTE( SUBSTITUTE( SUBSTITUTE( SUBSTITUTE( SUBSTITUTE( SUBSTITUTE( SUBSTITUTE( C684, ""۰"", ""0""), ""۱"", ""1""), ""۲"", ""2""), ""۳"", ""3""), ""۴"", ""4""), ""۵"", ""5""), ""۶"", ""6"&amp;"""), ""۷"", ""7""), ""۸"", ""8""), ""۹"", ""9""), IF(LEFT(converted,3)=""+98"", ""0"" &amp; RIGHT(converted, LEN(converted)-3), IF(LEFT(converted,2)=""98"", ""0"" &amp; RIGHT(converted, LEN(converted)-2), IF(LEFT(converted,1)&lt;&gt;""0"", ""0"" &amp; converted, REGEXREPLA"&amp;"CE(converted , ""\s"", """")) ) ) ) )"),"09373672545")</f>
        <v>09373672545</v>
      </c>
      <c r="E684" s="196" t="s">
        <v>17</v>
      </c>
      <c r="F684" s="197">
        <v>5.0</v>
      </c>
      <c r="G684" s="212" t="s">
        <v>746</v>
      </c>
      <c r="H684" s="193"/>
      <c r="I684" s="194"/>
      <c r="J684" s="194"/>
      <c r="K684" s="193" t="s">
        <v>3922</v>
      </c>
      <c r="L684" s="193" t="s">
        <v>3923</v>
      </c>
      <c r="M684" s="193"/>
      <c r="N684" s="193"/>
      <c r="O684" s="193"/>
      <c r="P684" s="193"/>
      <c r="Q684" s="200"/>
      <c r="R684" s="86"/>
      <c r="S684" s="114">
        <f t="shared" ref="S684:T684" si="685">A684</f>
        <v>684</v>
      </c>
      <c r="T684" s="114" t="str">
        <f t="shared" si="685"/>
        <v>هما عسگری</v>
      </c>
      <c r="U684" s="86" t="str">
        <f t="shared" si="3"/>
        <v>09373672545</v>
      </c>
      <c r="V684" s="86" t="str">
        <f t="shared" si="4"/>
        <v>پیش‌وایی 5</v>
      </c>
      <c r="W684" s="86"/>
      <c r="X684" s="86"/>
    </row>
    <row r="685">
      <c r="A685" s="201">
        <v>685.0</v>
      </c>
      <c r="B685" s="202" t="s">
        <v>3924</v>
      </c>
      <c r="C685" s="203" t="s">
        <v>3925</v>
      </c>
      <c r="D685" s="204" t="str">
        <f>IFERROR(__xludf.DUMMYFUNCTION("ARRAYFORMULA(LET( converted, SUBSTITUTE( SUBSTITUTE( SUBSTITUTE( SUBSTITUTE( SUBSTITUTE( SUBSTITUTE( SUBSTITUTE( SUBSTITUTE( SUBSTITUTE( SUBSTITUTE( C685, ""۰"", ""0""), ""۱"", ""1""), ""۲"", ""2""), ""۳"", ""3""), ""۴"", ""4""), ""۵"", ""5""), ""۶"", ""6"&amp;"""), ""۷"", ""7""), ""۸"", ""8""), ""۹"", ""9""), IF(LEFT(converted,3)=""+98"", ""0"" &amp; RIGHT(converted, LEN(converted)-3), IF(LEFT(converted,2)=""98"", ""0"" &amp; RIGHT(converted, LEN(converted)-2), IF(LEFT(converted,1)&lt;&gt;""0"", ""0"" &amp; converted, REGEXREPLA"&amp;"CE(converted , ""\s"", """")) ) ) ) )"),"09126000338")</f>
        <v>09126000338</v>
      </c>
      <c r="E685" s="205" t="s">
        <v>17</v>
      </c>
      <c r="F685" s="206">
        <v>6.0</v>
      </c>
      <c r="G685" s="213" t="s">
        <v>746</v>
      </c>
      <c r="H685" s="202" t="s">
        <v>3926</v>
      </c>
      <c r="I685" s="203"/>
      <c r="J685" s="203"/>
      <c r="K685" s="202" t="s">
        <v>3927</v>
      </c>
      <c r="L685" s="202" t="s">
        <v>3928</v>
      </c>
      <c r="M685" s="202"/>
      <c r="N685" s="202"/>
      <c r="O685" s="202"/>
      <c r="P685" s="202"/>
      <c r="Q685" s="208"/>
      <c r="R685" s="86"/>
      <c r="S685" s="114">
        <f t="shared" ref="S685:T685" si="686">A685</f>
        <v>685</v>
      </c>
      <c r="T685" s="114" t="str">
        <f t="shared" si="686"/>
        <v>مونیکا حضرت زاده</v>
      </c>
      <c r="U685" s="86" t="str">
        <f t="shared" si="3"/>
        <v>09126000338</v>
      </c>
      <c r="V685" s="86" t="str">
        <f t="shared" si="4"/>
        <v>پیش‌وایی 6</v>
      </c>
      <c r="W685" s="86"/>
      <c r="X685" s="86"/>
    </row>
    <row r="686">
      <c r="A686" s="192">
        <v>686.0</v>
      </c>
      <c r="B686" s="193" t="s">
        <v>3929</v>
      </c>
      <c r="C686" s="194" t="s">
        <v>3930</v>
      </c>
      <c r="D686" s="195" t="str">
        <f>IFERROR(__xludf.DUMMYFUNCTION("ARRAYFORMULA(LET( converted, SUBSTITUTE( SUBSTITUTE( SUBSTITUTE( SUBSTITUTE( SUBSTITUTE( SUBSTITUTE( SUBSTITUTE( SUBSTITUTE( SUBSTITUTE( SUBSTITUTE( C686, ""۰"", ""0""), ""۱"", ""1""), ""۲"", ""2""), ""۳"", ""3""), ""۴"", ""4""), ""۵"", ""5""), ""۶"", ""6"&amp;"""), ""۷"", ""7""), ""۸"", ""8""), ""۹"", ""9""), IF(LEFT(converted,3)=""+98"", ""0"" &amp; RIGHT(converted, LEN(converted)-3), IF(LEFT(converted,2)=""98"", ""0"" &amp; RIGHT(converted, LEN(converted)-2), IF(LEFT(converted,1)&lt;&gt;""0"", ""0"" &amp; converted, REGEXREPLA"&amp;"CE(converted , ""\s"", """")) ) ) ) )"),"09127932318")</f>
        <v>09127932318</v>
      </c>
      <c r="E686" s="196" t="s">
        <v>17</v>
      </c>
      <c r="F686" s="197">
        <v>6.0</v>
      </c>
      <c r="G686" s="212" t="s">
        <v>746</v>
      </c>
      <c r="H686" s="193" t="s">
        <v>3931</v>
      </c>
      <c r="I686" s="194"/>
      <c r="J686" s="194"/>
      <c r="K686" s="193" t="s">
        <v>2512</v>
      </c>
      <c r="L686" s="193" t="s">
        <v>3932</v>
      </c>
      <c r="M686" s="193"/>
      <c r="N686" s="193"/>
      <c r="O686" s="193"/>
      <c r="P686" s="193"/>
      <c r="Q686" s="200"/>
      <c r="R686" s="86"/>
      <c r="S686" s="114">
        <f t="shared" ref="S686:T686" si="687">A686</f>
        <v>686</v>
      </c>
      <c r="T686" s="114" t="str">
        <f t="shared" si="687"/>
        <v>نگار پورمحمد</v>
      </c>
      <c r="U686" s="86" t="str">
        <f t="shared" si="3"/>
        <v>09127932318</v>
      </c>
      <c r="V686" s="86" t="str">
        <f t="shared" si="4"/>
        <v>پیش‌وایی 6</v>
      </c>
      <c r="W686" s="86"/>
      <c r="X686" s="86"/>
    </row>
    <row r="687">
      <c r="A687" s="201">
        <v>687.0</v>
      </c>
      <c r="B687" s="202" t="s">
        <v>3933</v>
      </c>
      <c r="C687" s="203" t="s">
        <v>3934</v>
      </c>
      <c r="D687" s="204" t="str">
        <f>IFERROR(__xludf.DUMMYFUNCTION("ARRAYFORMULA(LET( converted, SUBSTITUTE( SUBSTITUTE( SUBSTITUTE( SUBSTITUTE( SUBSTITUTE( SUBSTITUTE( SUBSTITUTE( SUBSTITUTE( SUBSTITUTE( SUBSTITUTE( C687, ""۰"", ""0""), ""۱"", ""1""), ""۲"", ""2""), ""۳"", ""3""), ""۴"", ""4""), ""۵"", ""5""), ""۶"", ""6"&amp;"""), ""۷"", ""7""), ""۸"", ""8""), ""۹"", ""9""), IF(LEFT(converted,3)=""+98"", ""0"" &amp; RIGHT(converted, LEN(converted)-3), IF(LEFT(converted,2)=""98"", ""0"" &amp; RIGHT(converted, LEN(converted)-2), IF(LEFT(converted,1)&lt;&gt;""0"", ""0"" &amp; converted, REGEXREPLA"&amp;"CE(converted , ""\s"", """")) ) ) ) )"),"09013282244")</f>
        <v>09013282244</v>
      </c>
      <c r="E687" s="205" t="s">
        <v>17</v>
      </c>
      <c r="F687" s="206">
        <v>6.0</v>
      </c>
      <c r="G687" s="213" t="s">
        <v>730</v>
      </c>
      <c r="H687" s="202" t="s">
        <v>3935</v>
      </c>
      <c r="I687" s="203"/>
      <c r="J687" s="203"/>
      <c r="K687" s="202" t="s">
        <v>1678</v>
      </c>
      <c r="L687" s="202" t="s">
        <v>1590</v>
      </c>
      <c r="M687" s="202"/>
      <c r="N687" s="202"/>
      <c r="O687" s="202"/>
      <c r="P687" s="202"/>
      <c r="Q687" s="208"/>
      <c r="R687" s="86"/>
      <c r="S687" s="114">
        <f t="shared" ref="S687:T687" si="688">A687</f>
        <v>687</v>
      </c>
      <c r="T687" s="114" t="str">
        <f t="shared" si="688"/>
        <v>امین انصاری</v>
      </c>
      <c r="U687" s="86" t="str">
        <f t="shared" si="3"/>
        <v>09013282244</v>
      </c>
      <c r="V687" s="86" t="str">
        <f t="shared" si="4"/>
        <v>پیش‌وایی 6</v>
      </c>
      <c r="W687" s="86"/>
      <c r="X687" s="86"/>
    </row>
    <row r="688">
      <c r="A688" s="192">
        <v>688.0</v>
      </c>
      <c r="B688" s="193" t="s">
        <v>3936</v>
      </c>
      <c r="C688" s="194" t="s">
        <v>3937</v>
      </c>
      <c r="D688" s="195" t="str">
        <f>IFERROR(__xludf.DUMMYFUNCTION("ARRAYFORMULA(LET( converted, SUBSTITUTE( SUBSTITUTE( SUBSTITUTE( SUBSTITUTE( SUBSTITUTE( SUBSTITUTE( SUBSTITUTE( SUBSTITUTE( SUBSTITUTE( SUBSTITUTE( C688, ""۰"", ""0""), ""۱"", ""1""), ""۲"", ""2""), ""۳"", ""3""), ""۴"", ""4""), ""۵"", ""5""), ""۶"", ""6"&amp;"""), ""۷"", ""7""), ""۸"", ""8""), ""۹"", ""9""), IF(LEFT(converted,3)=""+98"", ""0"" &amp; RIGHT(converted, LEN(converted)-3), IF(LEFT(converted,2)=""98"", ""0"" &amp; RIGHT(converted, LEN(converted)-2), IF(LEFT(converted,1)&lt;&gt;""0"", ""0"" &amp; converted, REGEXREPLA"&amp;"CE(converted , ""\s"", """")) ) ) ) )"),"09127453264")</f>
        <v>09127453264</v>
      </c>
      <c r="E688" s="196" t="s">
        <v>17</v>
      </c>
      <c r="F688" s="197">
        <v>6.0</v>
      </c>
      <c r="G688" s="212" t="s">
        <v>730</v>
      </c>
      <c r="H688" s="193" t="s">
        <v>3938</v>
      </c>
      <c r="I688" s="194"/>
      <c r="J688" s="194"/>
      <c r="K688" s="193" t="s">
        <v>3939</v>
      </c>
      <c r="L688" s="193" t="s">
        <v>3940</v>
      </c>
      <c r="M688" s="193"/>
      <c r="N688" s="193"/>
      <c r="O688" s="193"/>
      <c r="P688" s="193"/>
      <c r="Q688" s="200"/>
      <c r="R688" s="86"/>
      <c r="S688" s="114">
        <f t="shared" ref="S688:T688" si="689">A688</f>
        <v>688</v>
      </c>
      <c r="T688" s="114" t="str">
        <f t="shared" si="689"/>
        <v>سید رضا بطحایی</v>
      </c>
      <c r="U688" s="86" t="str">
        <f t="shared" si="3"/>
        <v>09127453264</v>
      </c>
      <c r="V688" s="86" t="str">
        <f t="shared" si="4"/>
        <v>پیش‌وایی 6</v>
      </c>
      <c r="W688" s="86"/>
      <c r="X688" s="86"/>
    </row>
    <row r="689">
      <c r="A689" s="201">
        <v>689.0</v>
      </c>
      <c r="B689" s="202" t="s">
        <v>3941</v>
      </c>
      <c r="C689" s="203" t="s">
        <v>3942</v>
      </c>
      <c r="D689" s="204" t="str">
        <f>IFERROR(__xludf.DUMMYFUNCTION("ARRAYFORMULA(LET( converted, SUBSTITUTE( SUBSTITUTE( SUBSTITUTE( SUBSTITUTE( SUBSTITUTE( SUBSTITUTE( SUBSTITUTE( SUBSTITUTE( SUBSTITUTE( SUBSTITUTE( C689, ""۰"", ""0""), ""۱"", ""1""), ""۲"", ""2""), ""۳"", ""3""), ""۴"", ""4""), ""۵"", ""5""), ""۶"", ""6"&amp;"""), ""۷"", ""7""), ""۸"", ""8""), ""۹"", ""9""), IF(LEFT(converted,3)=""+98"", ""0"" &amp; RIGHT(converted, LEN(converted)-3), IF(LEFT(converted,2)=""98"", ""0"" &amp; RIGHT(converted, LEN(converted)-2), IF(LEFT(converted,1)&lt;&gt;""0"", ""0"" &amp; converted, REGEXREPLA"&amp;"CE(converted , ""\s"", """")) ) ) ) )"),"09124855037")</f>
        <v>09124855037</v>
      </c>
      <c r="E689" s="205" t="s">
        <v>17</v>
      </c>
      <c r="F689" s="206">
        <v>6.0</v>
      </c>
      <c r="G689" s="213" t="s">
        <v>730</v>
      </c>
      <c r="H689" s="202" t="s">
        <v>3943</v>
      </c>
      <c r="I689" s="203"/>
      <c r="J689" s="203"/>
      <c r="K689" s="202" t="s">
        <v>844</v>
      </c>
      <c r="L689" s="202" t="s">
        <v>3944</v>
      </c>
      <c r="M689" s="202"/>
      <c r="N689" s="202"/>
      <c r="O689" s="202"/>
      <c r="P689" s="202"/>
      <c r="Q689" s="208"/>
      <c r="R689" s="86"/>
      <c r="S689" s="114">
        <f t="shared" ref="S689:T689" si="690">A689</f>
        <v>689</v>
      </c>
      <c r="T689" s="114" t="str">
        <f t="shared" si="690"/>
        <v>مسعود دانش پور</v>
      </c>
      <c r="U689" s="86" t="str">
        <f t="shared" si="3"/>
        <v>09124855037</v>
      </c>
      <c r="V689" s="86" t="str">
        <f t="shared" si="4"/>
        <v>پیش‌وایی 6</v>
      </c>
      <c r="W689" s="86"/>
      <c r="X689" s="86"/>
    </row>
    <row r="690">
      <c r="A690" s="192">
        <v>690.0</v>
      </c>
      <c r="B690" s="193" t="s">
        <v>3945</v>
      </c>
      <c r="C690" s="194" t="s">
        <v>3946</v>
      </c>
      <c r="D690" s="195" t="str">
        <f>IFERROR(__xludf.DUMMYFUNCTION("ARRAYFORMULA(LET( converted, SUBSTITUTE( SUBSTITUTE( SUBSTITUTE( SUBSTITUTE( SUBSTITUTE( SUBSTITUTE( SUBSTITUTE( SUBSTITUTE( SUBSTITUTE( SUBSTITUTE( C690, ""۰"", ""0""), ""۱"", ""1""), ""۲"", ""2""), ""۳"", ""3""), ""۴"", ""4""), ""۵"", ""5""), ""۶"", ""6"&amp;"""), ""۷"", ""7""), ""۸"", ""8""), ""۹"", ""9""), IF(LEFT(converted,3)=""+98"", ""0"" &amp; RIGHT(converted, LEN(converted)-3), IF(LEFT(converted,2)=""98"", ""0"" &amp; RIGHT(converted, LEN(converted)-2), IF(LEFT(converted,1)&lt;&gt;""0"", ""0"" &amp; converted, REGEXREPLA"&amp;"CE(converted , ""\s"", """")) ) ) ) )"),"09038238012")</f>
        <v>09038238012</v>
      </c>
      <c r="E690" s="196" t="s">
        <v>17</v>
      </c>
      <c r="F690" s="197">
        <v>6.0</v>
      </c>
      <c r="G690" s="212" t="s">
        <v>746</v>
      </c>
      <c r="H690" s="193" t="s">
        <v>3947</v>
      </c>
      <c r="I690" s="194"/>
      <c r="J690" s="194"/>
      <c r="K690" s="193" t="s">
        <v>796</v>
      </c>
      <c r="L690" s="193" t="s">
        <v>3948</v>
      </c>
      <c r="M690" s="193"/>
      <c r="N690" s="193"/>
      <c r="O690" s="193"/>
      <c r="P690" s="193"/>
      <c r="Q690" s="200"/>
      <c r="R690" s="86"/>
      <c r="S690" s="114">
        <f t="shared" ref="S690:T690" si="691">A690</f>
        <v>690</v>
      </c>
      <c r="T690" s="114" t="str">
        <f t="shared" si="691"/>
        <v>پریسا برامکی</v>
      </c>
      <c r="U690" s="86" t="str">
        <f t="shared" si="3"/>
        <v>09038238012</v>
      </c>
      <c r="V690" s="86" t="str">
        <f t="shared" si="4"/>
        <v>پیش‌وایی 6</v>
      </c>
      <c r="W690" s="86"/>
      <c r="X690" s="86"/>
    </row>
    <row r="691">
      <c r="A691" s="201">
        <v>691.0</v>
      </c>
      <c r="B691" s="202" t="s">
        <v>3949</v>
      </c>
      <c r="C691" s="203" t="s">
        <v>3950</v>
      </c>
      <c r="D691" s="204" t="str">
        <f>IFERROR(__xludf.DUMMYFUNCTION("ARRAYFORMULA(LET( converted, SUBSTITUTE( SUBSTITUTE( SUBSTITUTE( SUBSTITUTE( SUBSTITUTE( SUBSTITUTE( SUBSTITUTE( SUBSTITUTE( SUBSTITUTE( SUBSTITUTE( C691, ""۰"", ""0""), ""۱"", ""1""), ""۲"", ""2""), ""۳"", ""3""), ""۴"", ""4""), ""۵"", ""5""), ""۶"", ""6"&amp;"""), ""۷"", ""7""), ""۸"", ""8""), ""۹"", ""9""), IF(LEFT(converted,3)=""+98"", ""0"" &amp; RIGHT(converted, LEN(converted)-3), IF(LEFT(converted,2)=""98"", ""0"" &amp; RIGHT(converted, LEN(converted)-2), IF(LEFT(converted,1)&lt;&gt;""0"", ""0"" &amp; converted, REGEXREPLA"&amp;"CE(converted , ""\s"", """")) ) ) ) )"),"09125579097")</f>
        <v>09125579097</v>
      </c>
      <c r="E691" s="205" t="s">
        <v>17</v>
      </c>
      <c r="F691" s="206">
        <v>6.0</v>
      </c>
      <c r="G691" s="213" t="s">
        <v>746</v>
      </c>
      <c r="H691" s="202" t="s">
        <v>3951</v>
      </c>
      <c r="I691" s="203"/>
      <c r="J691" s="203"/>
      <c r="K691" s="202" t="s">
        <v>1692</v>
      </c>
      <c r="L691" s="202" t="s">
        <v>3952</v>
      </c>
      <c r="M691" s="202"/>
      <c r="N691" s="202"/>
      <c r="O691" s="202"/>
      <c r="P691" s="202"/>
      <c r="Q691" s="208"/>
      <c r="R691" s="86"/>
      <c r="S691" s="114">
        <f t="shared" ref="S691:T691" si="692">A691</f>
        <v>691</v>
      </c>
      <c r="T691" s="114" t="str">
        <f t="shared" si="692"/>
        <v>الهام رضوی</v>
      </c>
      <c r="U691" s="86" t="str">
        <f t="shared" si="3"/>
        <v>09125579097</v>
      </c>
      <c r="V691" s="86" t="str">
        <f t="shared" si="4"/>
        <v>پیش‌وایی 6</v>
      </c>
      <c r="W691" s="86"/>
      <c r="X691" s="86"/>
    </row>
    <row r="692">
      <c r="A692" s="192">
        <v>692.0</v>
      </c>
      <c r="B692" s="193" t="s">
        <v>3953</v>
      </c>
      <c r="C692" s="194" t="s">
        <v>3954</v>
      </c>
      <c r="D692" s="195" t="str">
        <f>IFERROR(__xludf.DUMMYFUNCTION("ARRAYFORMULA(LET( converted, SUBSTITUTE( SUBSTITUTE( SUBSTITUTE( SUBSTITUTE( SUBSTITUTE( SUBSTITUTE( SUBSTITUTE( SUBSTITUTE( SUBSTITUTE( SUBSTITUTE( C692, ""۰"", ""0""), ""۱"", ""1""), ""۲"", ""2""), ""۳"", ""3""), ""۴"", ""4""), ""۵"", ""5""), ""۶"", ""6"&amp;"""), ""۷"", ""7""), ""۸"", ""8""), ""۹"", ""9""), IF(LEFT(converted,3)=""+98"", ""0"" &amp; RIGHT(converted, LEN(converted)-3), IF(LEFT(converted,2)=""98"", ""0"" &amp; RIGHT(converted, LEN(converted)-2), IF(LEFT(converted,1)&lt;&gt;""0"", ""0"" &amp; converted, REGEXREPLA"&amp;"CE(converted , ""\s"", """")) ) ) ) )"),"09151247322")</f>
        <v>09151247322</v>
      </c>
      <c r="E692" s="196" t="s">
        <v>17</v>
      </c>
      <c r="F692" s="197">
        <v>6.0</v>
      </c>
      <c r="G692" s="212" t="s">
        <v>730</v>
      </c>
      <c r="H692" s="193" t="s">
        <v>3955</v>
      </c>
      <c r="I692" s="194"/>
      <c r="J692" s="194"/>
      <c r="K692" s="193" t="s">
        <v>1004</v>
      </c>
      <c r="L692" s="193" t="s">
        <v>3956</v>
      </c>
      <c r="M692" s="193"/>
      <c r="N692" s="193"/>
      <c r="O692" s="193"/>
      <c r="P692" s="193"/>
      <c r="Q692" s="200"/>
      <c r="R692" s="86"/>
      <c r="S692" s="114">
        <f t="shared" ref="S692:T692" si="693">A692</f>
        <v>692</v>
      </c>
      <c r="T692" s="114" t="str">
        <f t="shared" si="693"/>
        <v>حامد سعیدی</v>
      </c>
      <c r="U692" s="86" t="str">
        <f t="shared" si="3"/>
        <v>09151247322</v>
      </c>
      <c r="V692" s="86" t="str">
        <f t="shared" si="4"/>
        <v>پیش‌وایی 6</v>
      </c>
      <c r="W692" s="86"/>
      <c r="X692" s="86"/>
    </row>
    <row r="693">
      <c r="A693" s="201">
        <v>693.0</v>
      </c>
      <c r="B693" s="202" t="s">
        <v>3957</v>
      </c>
      <c r="C693" s="203" t="s">
        <v>3958</v>
      </c>
      <c r="D693" s="204" t="str">
        <f>IFERROR(__xludf.DUMMYFUNCTION("ARRAYFORMULA(LET( converted, SUBSTITUTE( SUBSTITUTE( SUBSTITUTE( SUBSTITUTE( SUBSTITUTE( SUBSTITUTE( SUBSTITUTE( SUBSTITUTE( SUBSTITUTE( SUBSTITUTE( C693, ""۰"", ""0""), ""۱"", ""1""), ""۲"", ""2""), ""۳"", ""3""), ""۴"", ""4""), ""۵"", ""5""), ""۶"", ""6"&amp;"""), ""۷"", ""7""), ""۸"", ""8""), ""۹"", ""9""), IF(LEFT(converted,3)=""+98"", ""0"" &amp; RIGHT(converted, LEN(converted)-3), IF(LEFT(converted,2)=""98"", ""0"" &amp; RIGHT(converted, LEN(converted)-2), IF(LEFT(converted,1)&lt;&gt;""0"", ""0"" &amp; converted, REGEXREPLA"&amp;"CE(converted , ""\s"", """")) ) ) ) )"),"09120058499")</f>
        <v>09120058499</v>
      </c>
      <c r="E693" s="205" t="s">
        <v>17</v>
      </c>
      <c r="F693" s="206">
        <v>6.0</v>
      </c>
      <c r="G693" s="213" t="s">
        <v>730</v>
      </c>
      <c r="H693" s="202" t="s">
        <v>3959</v>
      </c>
      <c r="I693" s="203"/>
      <c r="J693" s="203"/>
      <c r="K693" s="202" t="s">
        <v>3960</v>
      </c>
      <c r="L693" s="202" t="s">
        <v>3961</v>
      </c>
      <c r="M693" s="202"/>
      <c r="N693" s="202"/>
      <c r="O693" s="202"/>
      <c r="P693" s="202"/>
      <c r="Q693" s="208"/>
      <c r="R693" s="86"/>
      <c r="S693" s="114">
        <f t="shared" ref="S693:T693" si="694">A693</f>
        <v>693</v>
      </c>
      <c r="T693" s="114" t="str">
        <f t="shared" si="694"/>
        <v>کسرا هاشمی شبستری</v>
      </c>
      <c r="U693" s="86" t="str">
        <f t="shared" si="3"/>
        <v>09120058499</v>
      </c>
      <c r="V693" s="86" t="str">
        <f t="shared" si="4"/>
        <v>پیش‌وایی 6</v>
      </c>
      <c r="W693" s="86"/>
      <c r="X693" s="86"/>
    </row>
    <row r="694">
      <c r="A694" s="192">
        <v>694.0</v>
      </c>
      <c r="B694" s="193" t="s">
        <v>3962</v>
      </c>
      <c r="C694" s="194" t="s">
        <v>3963</v>
      </c>
      <c r="D694" s="195" t="str">
        <f>IFERROR(__xludf.DUMMYFUNCTION("ARRAYFORMULA(LET( converted, SUBSTITUTE( SUBSTITUTE( SUBSTITUTE( SUBSTITUTE( SUBSTITUTE( SUBSTITUTE( SUBSTITUTE( SUBSTITUTE( SUBSTITUTE( SUBSTITUTE( C694, ""۰"", ""0""), ""۱"", ""1""), ""۲"", ""2""), ""۳"", ""3""), ""۴"", ""4""), ""۵"", ""5""), ""۶"", ""6"&amp;"""), ""۷"", ""7""), ""۸"", ""8""), ""۹"", ""9""), IF(LEFT(converted,3)=""+98"", ""0"" &amp; RIGHT(converted, LEN(converted)-3), IF(LEFT(converted,2)=""98"", ""0"" &amp; RIGHT(converted, LEN(converted)-2), IF(LEFT(converted,1)&lt;&gt;""0"", ""0"" &amp; converted, REGEXREPLA"&amp;"CE(converted , ""\s"", """")) ) ) ) )"),"09125863580")</f>
        <v>09125863580</v>
      </c>
      <c r="E694" s="196" t="s">
        <v>17</v>
      </c>
      <c r="F694" s="197">
        <v>6.0</v>
      </c>
      <c r="G694" s="212" t="s">
        <v>746</v>
      </c>
      <c r="H694" s="193" t="s">
        <v>3964</v>
      </c>
      <c r="I694" s="194"/>
      <c r="J694" s="194"/>
      <c r="K694" s="193" t="s">
        <v>3965</v>
      </c>
      <c r="L694" s="193" t="s">
        <v>3966</v>
      </c>
      <c r="M694" s="193"/>
      <c r="N694" s="193"/>
      <c r="O694" s="193"/>
      <c r="P694" s="193"/>
      <c r="Q694" s="200"/>
      <c r="R694" s="86"/>
      <c r="S694" s="114">
        <f t="shared" ref="S694:T694" si="695">A694</f>
        <v>694</v>
      </c>
      <c r="T694" s="114" t="str">
        <f t="shared" si="695"/>
        <v>هدی خورسندی</v>
      </c>
      <c r="U694" s="86" t="str">
        <f t="shared" si="3"/>
        <v>09125863580</v>
      </c>
      <c r="V694" s="86" t="str">
        <f t="shared" si="4"/>
        <v>پیش‌وایی 6</v>
      </c>
      <c r="W694" s="86"/>
      <c r="X694" s="86"/>
    </row>
    <row r="695">
      <c r="A695" s="201">
        <v>695.0</v>
      </c>
      <c r="B695" s="202" t="s">
        <v>3967</v>
      </c>
      <c r="C695" s="203" t="s">
        <v>3968</v>
      </c>
      <c r="D695" s="204" t="str">
        <f>IFERROR(__xludf.DUMMYFUNCTION("ARRAYFORMULA(LET( converted, SUBSTITUTE( SUBSTITUTE( SUBSTITUTE( SUBSTITUTE( SUBSTITUTE( SUBSTITUTE( SUBSTITUTE( SUBSTITUTE( SUBSTITUTE( SUBSTITUTE( C695, ""۰"", ""0""), ""۱"", ""1""), ""۲"", ""2""), ""۳"", ""3""), ""۴"", ""4""), ""۵"", ""5""), ""۶"", ""6"&amp;"""), ""۷"", ""7""), ""۸"", ""8""), ""۹"", ""9""), IF(LEFT(converted,3)=""+98"", ""0"" &amp; RIGHT(converted, LEN(converted)-3), IF(LEFT(converted,2)=""98"", ""0"" &amp; RIGHT(converted, LEN(converted)-2), IF(LEFT(converted,1)&lt;&gt;""0"", ""0"" &amp; converted, REGEXREPLA"&amp;"CE(converted , ""\s"", """")) ) ) ) )"),"09125962702")</f>
        <v>09125962702</v>
      </c>
      <c r="E695" s="205" t="s">
        <v>17</v>
      </c>
      <c r="F695" s="206">
        <v>6.0</v>
      </c>
      <c r="G695" s="213" t="s">
        <v>730</v>
      </c>
      <c r="H695" s="202" t="s">
        <v>3969</v>
      </c>
      <c r="I695" s="203"/>
      <c r="J695" s="203"/>
      <c r="K695" s="202" t="s">
        <v>3970</v>
      </c>
      <c r="L695" s="202" t="s">
        <v>3971</v>
      </c>
      <c r="M695" s="202"/>
      <c r="N695" s="202"/>
      <c r="O695" s="202"/>
      <c r="P695" s="202"/>
      <c r="Q695" s="208"/>
      <c r="R695" s="86"/>
      <c r="S695" s="114">
        <f t="shared" ref="S695:T695" si="696">A695</f>
        <v>695</v>
      </c>
      <c r="T695" s="114" t="str">
        <f t="shared" si="696"/>
        <v>آرمین نشاط</v>
      </c>
      <c r="U695" s="86" t="str">
        <f t="shared" si="3"/>
        <v>09125962702</v>
      </c>
      <c r="V695" s="86" t="str">
        <f t="shared" si="4"/>
        <v>پیش‌وایی 6</v>
      </c>
      <c r="W695" s="86"/>
      <c r="X695" s="86"/>
    </row>
    <row r="696">
      <c r="A696" s="192">
        <v>696.0</v>
      </c>
      <c r="B696" s="193" t="s">
        <v>3972</v>
      </c>
      <c r="C696" s="194" t="s">
        <v>3973</v>
      </c>
      <c r="D696" s="195" t="str">
        <f>IFERROR(__xludf.DUMMYFUNCTION("ARRAYFORMULA(LET( converted, SUBSTITUTE( SUBSTITUTE( SUBSTITUTE( SUBSTITUTE( SUBSTITUTE( SUBSTITUTE( SUBSTITUTE( SUBSTITUTE( SUBSTITUTE( SUBSTITUTE( C696, ""۰"", ""0""), ""۱"", ""1""), ""۲"", ""2""), ""۳"", ""3""), ""۴"", ""4""), ""۵"", ""5""), ""۶"", ""6"&amp;"""), ""۷"", ""7""), ""۸"", ""8""), ""۹"", ""9""), IF(LEFT(converted,3)=""+98"", ""0"" &amp; RIGHT(converted, LEN(converted)-3), IF(LEFT(converted,2)=""98"", ""0"" &amp; RIGHT(converted, LEN(converted)-2), IF(LEFT(converted,1)&lt;&gt;""0"", ""0"" &amp; converted, REGEXREPLA"&amp;"CE(converted , ""\s"", """")) ) ) ) )"),"09123129095")</f>
        <v>09123129095</v>
      </c>
      <c r="E696" s="196" t="s">
        <v>17</v>
      </c>
      <c r="F696" s="197">
        <v>6.0</v>
      </c>
      <c r="G696" s="212" t="s">
        <v>746</v>
      </c>
      <c r="H696" s="193" t="s">
        <v>3974</v>
      </c>
      <c r="I696" s="194"/>
      <c r="J696" s="194"/>
      <c r="K696" s="193" t="s">
        <v>1692</v>
      </c>
      <c r="L696" s="193" t="s">
        <v>2408</v>
      </c>
      <c r="M696" s="193"/>
      <c r="N696" s="193"/>
      <c r="O696" s="193"/>
      <c r="P696" s="193"/>
      <c r="Q696" s="200"/>
      <c r="R696" s="86"/>
      <c r="S696" s="114">
        <f t="shared" ref="S696:T696" si="697">A696</f>
        <v>696</v>
      </c>
      <c r="T696" s="114" t="str">
        <f t="shared" si="697"/>
        <v>الهام ملکی</v>
      </c>
      <c r="U696" s="86" t="str">
        <f t="shared" si="3"/>
        <v>09123129095</v>
      </c>
      <c r="V696" s="86" t="str">
        <f t="shared" si="4"/>
        <v>پیش‌وایی 6</v>
      </c>
      <c r="W696" s="86"/>
      <c r="X696" s="86"/>
    </row>
    <row r="697">
      <c r="A697" s="201">
        <v>697.0</v>
      </c>
      <c r="B697" s="202" t="s">
        <v>3975</v>
      </c>
      <c r="C697" s="203" t="s">
        <v>3976</v>
      </c>
      <c r="D697" s="204" t="str">
        <f>IFERROR(__xludf.DUMMYFUNCTION("ARRAYFORMULA(LET( converted, SUBSTITUTE( SUBSTITUTE( SUBSTITUTE( SUBSTITUTE( SUBSTITUTE( SUBSTITUTE( SUBSTITUTE( SUBSTITUTE( SUBSTITUTE( SUBSTITUTE( C697, ""۰"", ""0""), ""۱"", ""1""), ""۲"", ""2""), ""۳"", ""3""), ""۴"", ""4""), ""۵"", ""5""), ""۶"", ""6"&amp;"""), ""۷"", ""7""), ""۸"", ""8""), ""۹"", ""9""), IF(LEFT(converted,3)=""+98"", ""0"" &amp; RIGHT(converted, LEN(converted)-3), IF(LEFT(converted,2)=""98"", ""0"" &amp; RIGHT(converted, LEN(converted)-2), IF(LEFT(converted,1)&lt;&gt;""0"", ""0"" &amp; converted, REGEXREPLA"&amp;"CE(converted , ""\s"", """")) ) ) ) )"),"09122415365")</f>
        <v>09122415365</v>
      </c>
      <c r="E697" s="205" t="s">
        <v>17</v>
      </c>
      <c r="F697" s="206">
        <v>6.0</v>
      </c>
      <c r="G697" s="213" t="s">
        <v>730</v>
      </c>
      <c r="H697" s="202" t="s">
        <v>3977</v>
      </c>
      <c r="I697" s="203"/>
      <c r="J697" s="203"/>
      <c r="K697" s="202" t="s">
        <v>3978</v>
      </c>
      <c r="L697" s="202" t="s">
        <v>1863</v>
      </c>
      <c r="M697" s="202"/>
      <c r="N697" s="202"/>
      <c r="O697" s="202"/>
      <c r="P697" s="202"/>
      <c r="Q697" s="208"/>
      <c r="R697" s="86"/>
      <c r="S697" s="114">
        <f t="shared" ref="S697:T697" si="698">A697</f>
        <v>697</v>
      </c>
      <c r="T697" s="114" t="str">
        <f t="shared" si="698"/>
        <v>سیدجمال یوسفی</v>
      </c>
      <c r="U697" s="86" t="str">
        <f t="shared" si="3"/>
        <v>09122415365</v>
      </c>
      <c r="V697" s="86" t="str">
        <f t="shared" si="4"/>
        <v>پیش‌وایی 6</v>
      </c>
      <c r="W697" s="86"/>
      <c r="X697" s="86"/>
    </row>
    <row r="698">
      <c r="A698" s="192">
        <v>698.0</v>
      </c>
      <c r="B698" s="193" t="s">
        <v>3979</v>
      </c>
      <c r="C698" s="194" t="s">
        <v>3980</v>
      </c>
      <c r="D698" s="195" t="str">
        <f>IFERROR(__xludf.DUMMYFUNCTION("ARRAYFORMULA(LET( converted, SUBSTITUTE( SUBSTITUTE( SUBSTITUTE( SUBSTITUTE( SUBSTITUTE( SUBSTITUTE( SUBSTITUTE( SUBSTITUTE( SUBSTITUTE( SUBSTITUTE( C698, ""۰"", ""0""), ""۱"", ""1""), ""۲"", ""2""), ""۳"", ""3""), ""۴"", ""4""), ""۵"", ""5""), ""۶"", ""6"&amp;"""), ""۷"", ""7""), ""۸"", ""8""), ""۹"", ""9""), IF(LEFT(converted,3)=""+98"", ""0"" &amp; RIGHT(converted, LEN(converted)-3), IF(LEFT(converted,2)=""98"", ""0"" &amp; RIGHT(converted, LEN(converted)-2), IF(LEFT(converted,1)&lt;&gt;""0"", ""0"" &amp; converted, REGEXREPLA"&amp;"CE(converted , ""\s"", """")) ) ) ) )"),"09130322702")</f>
        <v>09130322702</v>
      </c>
      <c r="E698" s="196" t="s">
        <v>17</v>
      </c>
      <c r="F698" s="197">
        <v>6.0</v>
      </c>
      <c r="G698" s="212" t="s">
        <v>730</v>
      </c>
      <c r="H698" s="193" t="s">
        <v>3981</v>
      </c>
      <c r="I698" s="194"/>
      <c r="J698" s="194"/>
      <c r="K698" s="193" t="s">
        <v>192</v>
      </c>
      <c r="L698" s="193" t="s">
        <v>3982</v>
      </c>
      <c r="M698" s="193"/>
      <c r="N698" s="193"/>
      <c r="O698" s="193"/>
      <c r="P698" s="193"/>
      <c r="Q698" s="200"/>
      <c r="R698" s="86"/>
      <c r="S698" s="114">
        <f t="shared" ref="S698:T698" si="699">A698</f>
        <v>698</v>
      </c>
      <c r="T698" s="114" t="str">
        <f t="shared" si="699"/>
        <v>امیرحسین مهرزاد</v>
      </c>
      <c r="U698" s="86" t="str">
        <f t="shared" si="3"/>
        <v>09130322702</v>
      </c>
      <c r="V698" s="86" t="str">
        <f t="shared" si="4"/>
        <v>پیش‌وایی 6</v>
      </c>
      <c r="W698" s="86"/>
      <c r="X698" s="86"/>
    </row>
    <row r="699">
      <c r="A699" s="201">
        <v>699.0</v>
      </c>
      <c r="B699" s="202" t="s">
        <v>3983</v>
      </c>
      <c r="C699" s="203" t="s">
        <v>3984</v>
      </c>
      <c r="D699" s="204" t="str">
        <f>IFERROR(__xludf.DUMMYFUNCTION("ARRAYFORMULA(LET( converted, SUBSTITUTE( SUBSTITUTE( SUBSTITUTE( SUBSTITUTE( SUBSTITUTE( SUBSTITUTE( SUBSTITUTE( SUBSTITUTE( SUBSTITUTE( SUBSTITUTE( C699, ""۰"", ""0""), ""۱"", ""1""), ""۲"", ""2""), ""۳"", ""3""), ""۴"", ""4""), ""۵"", ""5""), ""۶"", ""6"&amp;"""), ""۷"", ""7""), ""۸"", ""8""), ""۹"", ""9""), IF(LEFT(converted,3)=""+98"", ""0"" &amp; RIGHT(converted, LEN(converted)-3), IF(LEFT(converted,2)=""98"", ""0"" &amp; RIGHT(converted, LEN(converted)-2), IF(LEFT(converted,1)&lt;&gt;""0"", ""0"" &amp; converted, REGEXREPLA"&amp;"CE(converted , ""\s"", """")) ) ) ) )"),"09383370890")</f>
        <v>09383370890</v>
      </c>
      <c r="E699" s="205" t="s">
        <v>17</v>
      </c>
      <c r="F699" s="206">
        <v>6.0</v>
      </c>
      <c r="G699" s="213" t="s">
        <v>746</v>
      </c>
      <c r="H699" s="202" t="s">
        <v>3985</v>
      </c>
      <c r="I699" s="203"/>
      <c r="J699" s="203"/>
      <c r="K699" s="202" t="s">
        <v>3986</v>
      </c>
      <c r="L699" s="202" t="s">
        <v>3987</v>
      </c>
      <c r="M699" s="202"/>
      <c r="N699" s="202"/>
      <c r="O699" s="202"/>
      <c r="P699" s="202"/>
      <c r="Q699" s="208"/>
      <c r="R699" s="86"/>
      <c r="S699" s="114">
        <f t="shared" ref="S699:T699" si="700">A699</f>
        <v>699</v>
      </c>
      <c r="T699" s="114" t="str">
        <f t="shared" si="700"/>
        <v>هاله میرجلیلی</v>
      </c>
      <c r="U699" s="86" t="str">
        <f t="shared" si="3"/>
        <v>09383370890</v>
      </c>
      <c r="V699" s="86" t="str">
        <f t="shared" si="4"/>
        <v>پیش‌وایی 6</v>
      </c>
      <c r="W699" s="86"/>
      <c r="X699" s="86"/>
    </row>
    <row r="700">
      <c r="A700" s="192">
        <v>700.0</v>
      </c>
      <c r="B700" s="193" t="s">
        <v>3988</v>
      </c>
      <c r="C700" s="194" t="s">
        <v>3989</v>
      </c>
      <c r="D700" s="195" t="str">
        <f>IFERROR(__xludf.DUMMYFUNCTION("ARRAYFORMULA(LET( converted, SUBSTITUTE( SUBSTITUTE( SUBSTITUTE( SUBSTITUTE( SUBSTITUTE( SUBSTITUTE( SUBSTITUTE( SUBSTITUTE( SUBSTITUTE( SUBSTITUTE( C700, ""۰"", ""0""), ""۱"", ""1""), ""۲"", ""2""), ""۳"", ""3""), ""۴"", ""4""), ""۵"", ""5""), ""۶"", ""6"&amp;"""), ""۷"", ""7""), ""۸"", ""8""), ""۹"", ""9""), IF(LEFT(converted,3)=""+98"", ""0"" &amp; RIGHT(converted, LEN(converted)-3), IF(LEFT(converted,2)=""98"", ""0"" &amp; RIGHT(converted, LEN(converted)-2), IF(LEFT(converted,1)&lt;&gt;""0"", ""0"" &amp; converted, REGEXREPLA"&amp;"CE(converted , ""\s"", """")) ) ) ) )"),"09374412397")</f>
        <v>09374412397</v>
      </c>
      <c r="E700" s="196" t="s">
        <v>17</v>
      </c>
      <c r="F700" s="197">
        <v>6.0</v>
      </c>
      <c r="G700" s="212" t="s">
        <v>730</v>
      </c>
      <c r="H700" s="193" t="s">
        <v>3990</v>
      </c>
      <c r="I700" s="194"/>
      <c r="J700" s="194"/>
      <c r="K700" s="193" t="s">
        <v>1459</v>
      </c>
      <c r="L700" s="193" t="s">
        <v>3991</v>
      </c>
      <c r="M700" s="193"/>
      <c r="N700" s="193"/>
      <c r="O700" s="193"/>
      <c r="P700" s="193"/>
      <c r="Q700" s="200"/>
      <c r="R700" s="86"/>
      <c r="S700" s="114">
        <f t="shared" ref="S700:T700" si="701">A700</f>
        <v>700</v>
      </c>
      <c r="T700" s="114" t="str">
        <f t="shared" si="701"/>
        <v>رضا غلامزاده</v>
      </c>
      <c r="U700" s="86" t="str">
        <f t="shared" si="3"/>
        <v>09374412397</v>
      </c>
      <c r="V700" s="86" t="str">
        <f t="shared" si="4"/>
        <v>پیش‌وایی 6</v>
      </c>
      <c r="W700" s="86"/>
      <c r="X700" s="86"/>
    </row>
    <row r="701">
      <c r="A701" s="201">
        <v>701.0</v>
      </c>
      <c r="B701" s="202" t="s">
        <v>3992</v>
      </c>
      <c r="C701" s="203" t="s">
        <v>3993</v>
      </c>
      <c r="D701" s="204" t="str">
        <f>IFERROR(__xludf.DUMMYFUNCTION("ARRAYFORMULA(LET( converted, SUBSTITUTE( SUBSTITUTE( SUBSTITUTE( SUBSTITUTE( SUBSTITUTE( SUBSTITUTE( SUBSTITUTE( SUBSTITUTE( SUBSTITUTE( SUBSTITUTE( C701, ""۰"", ""0""), ""۱"", ""1""), ""۲"", ""2""), ""۳"", ""3""), ""۴"", ""4""), ""۵"", ""5""), ""۶"", ""6"&amp;"""), ""۷"", ""7""), ""۸"", ""8""), ""۹"", ""9""), IF(LEFT(converted,3)=""+98"", ""0"" &amp; RIGHT(converted, LEN(converted)-3), IF(LEFT(converted,2)=""98"", ""0"" &amp; RIGHT(converted, LEN(converted)-2), IF(LEFT(converted,1)&lt;&gt;""0"", ""0"" &amp; converted, REGEXREPLA"&amp;"CE(converted , ""\s"", """")) ) ) ) )"),"09155039642")</f>
        <v>09155039642</v>
      </c>
      <c r="E701" s="205" t="s">
        <v>17</v>
      </c>
      <c r="F701" s="206">
        <v>6.0</v>
      </c>
      <c r="G701" s="213" t="s">
        <v>730</v>
      </c>
      <c r="H701" s="202" t="s">
        <v>3994</v>
      </c>
      <c r="I701" s="203"/>
      <c r="J701" s="203"/>
      <c r="K701" s="202" t="s">
        <v>844</v>
      </c>
      <c r="L701" s="202" t="s">
        <v>3995</v>
      </c>
      <c r="M701" s="202"/>
      <c r="N701" s="202"/>
      <c r="O701" s="202"/>
      <c r="P701" s="202"/>
      <c r="Q701" s="208"/>
      <c r="R701" s="86"/>
      <c r="S701" s="114">
        <f t="shared" ref="S701:T701" si="702">A701</f>
        <v>701</v>
      </c>
      <c r="T701" s="114" t="str">
        <f t="shared" si="702"/>
        <v>مسعود مشهدی</v>
      </c>
      <c r="U701" s="86" t="str">
        <f t="shared" si="3"/>
        <v>09155039642</v>
      </c>
      <c r="V701" s="86" t="str">
        <f t="shared" si="4"/>
        <v>پیش‌وایی 6</v>
      </c>
      <c r="W701" s="86"/>
      <c r="X701" s="86"/>
    </row>
    <row r="702">
      <c r="A702" s="192">
        <v>702.0</v>
      </c>
      <c r="B702" s="193" t="s">
        <v>3996</v>
      </c>
      <c r="C702" s="194" t="s">
        <v>3997</v>
      </c>
      <c r="D702" s="195" t="str">
        <f>IFERROR(__xludf.DUMMYFUNCTION("ARRAYFORMULA(LET( converted, SUBSTITUTE( SUBSTITUTE( SUBSTITUTE( SUBSTITUTE( SUBSTITUTE( SUBSTITUTE( SUBSTITUTE( SUBSTITUTE( SUBSTITUTE( SUBSTITUTE( C702, ""۰"", ""0""), ""۱"", ""1""), ""۲"", ""2""), ""۳"", ""3""), ""۴"", ""4""), ""۵"", ""5""), ""۶"", ""6"&amp;"""), ""۷"", ""7""), ""۸"", ""8""), ""۹"", ""9""), IF(LEFT(converted,3)=""+98"", ""0"" &amp; RIGHT(converted, LEN(converted)-3), IF(LEFT(converted,2)=""98"", ""0"" &amp; RIGHT(converted, LEN(converted)-2), IF(LEFT(converted,1)&lt;&gt;""0"", ""0"" &amp; converted, REGEXREPLA"&amp;"CE(converted , ""\s"", """")) ) ) ) )"),"09358966892")</f>
        <v>09358966892</v>
      </c>
      <c r="E702" s="196" t="s">
        <v>17</v>
      </c>
      <c r="F702" s="197">
        <v>6.0</v>
      </c>
      <c r="G702" s="212" t="s">
        <v>730</v>
      </c>
      <c r="H702" s="193" t="s">
        <v>3998</v>
      </c>
      <c r="I702" s="194"/>
      <c r="J702" s="194"/>
      <c r="K702" s="193" t="s">
        <v>3903</v>
      </c>
      <c r="L702" s="193" t="s">
        <v>3999</v>
      </c>
      <c r="M702" s="193"/>
      <c r="N702" s="193"/>
      <c r="O702" s="193"/>
      <c r="P702" s="193"/>
      <c r="Q702" s="200"/>
      <c r="R702" s="86"/>
      <c r="S702" s="114">
        <f t="shared" ref="S702:T702" si="703">A702</f>
        <v>702</v>
      </c>
      <c r="T702" s="114" t="str">
        <f t="shared" si="703"/>
        <v>امیر حسین به زاده جاوید</v>
      </c>
      <c r="U702" s="86" t="str">
        <f t="shared" si="3"/>
        <v>09358966892</v>
      </c>
      <c r="V702" s="86" t="str">
        <f t="shared" si="4"/>
        <v>پیش‌وایی 6</v>
      </c>
      <c r="W702" s="86"/>
      <c r="X702" s="86"/>
    </row>
    <row r="703">
      <c r="A703" s="201">
        <v>703.0</v>
      </c>
      <c r="B703" s="202" t="s">
        <v>4000</v>
      </c>
      <c r="C703" s="203" t="s">
        <v>4001</v>
      </c>
      <c r="D703" s="204" t="str">
        <f>IFERROR(__xludf.DUMMYFUNCTION("ARRAYFORMULA(LET( converted, SUBSTITUTE( SUBSTITUTE( SUBSTITUTE( SUBSTITUTE( SUBSTITUTE( SUBSTITUTE( SUBSTITUTE( SUBSTITUTE( SUBSTITUTE( SUBSTITUTE( C703, ""۰"", ""0""), ""۱"", ""1""), ""۲"", ""2""), ""۳"", ""3""), ""۴"", ""4""), ""۵"", ""5""), ""۶"", ""6"&amp;"""), ""۷"", ""7""), ""۸"", ""8""), ""۹"", ""9""), IF(LEFT(converted,3)=""+98"", ""0"" &amp; RIGHT(converted, LEN(converted)-3), IF(LEFT(converted,2)=""98"", ""0"" &amp; RIGHT(converted, LEN(converted)-2), IF(LEFT(converted,1)&lt;&gt;""0"", ""0"" &amp; converted, REGEXREPLA"&amp;"CE(converted , ""\s"", """")) ) ) ) )"),"09125948797")</f>
        <v>09125948797</v>
      </c>
      <c r="E703" s="205" t="s">
        <v>17</v>
      </c>
      <c r="F703" s="206">
        <v>6.0</v>
      </c>
      <c r="G703" s="213" t="s">
        <v>746</v>
      </c>
      <c r="H703" s="202" t="s">
        <v>4002</v>
      </c>
      <c r="I703" s="203"/>
      <c r="J703" s="203"/>
      <c r="K703" s="202" t="s">
        <v>2331</v>
      </c>
      <c r="L703" s="202" t="s">
        <v>4003</v>
      </c>
      <c r="M703" s="202"/>
      <c r="N703" s="202"/>
      <c r="O703" s="202"/>
      <c r="P703" s="202"/>
      <c r="Q703" s="208"/>
      <c r="R703" s="86"/>
      <c r="S703" s="114">
        <f t="shared" ref="S703:T703" si="704">A703</f>
        <v>703</v>
      </c>
      <c r="T703" s="114" t="str">
        <f t="shared" si="704"/>
        <v>نیکا بهجتی</v>
      </c>
      <c r="U703" s="86" t="str">
        <f t="shared" si="3"/>
        <v>09125948797</v>
      </c>
      <c r="V703" s="86" t="str">
        <f t="shared" si="4"/>
        <v>پیش‌وایی 6</v>
      </c>
      <c r="W703" s="86"/>
      <c r="X703" s="86"/>
    </row>
    <row r="704">
      <c r="A704" s="192">
        <v>704.0</v>
      </c>
      <c r="B704" s="193" t="s">
        <v>4004</v>
      </c>
      <c r="C704" s="194" t="s">
        <v>4005</v>
      </c>
      <c r="D704" s="195" t="str">
        <f>IFERROR(__xludf.DUMMYFUNCTION("ARRAYFORMULA(LET( converted, SUBSTITUTE( SUBSTITUTE( SUBSTITUTE( SUBSTITUTE( SUBSTITUTE( SUBSTITUTE( SUBSTITUTE( SUBSTITUTE( SUBSTITUTE( SUBSTITUTE( C704, ""۰"", ""0""), ""۱"", ""1""), ""۲"", ""2""), ""۳"", ""3""), ""۴"", ""4""), ""۵"", ""5""), ""۶"", ""6"&amp;"""), ""۷"", ""7""), ""۸"", ""8""), ""۹"", ""9""), IF(LEFT(converted,3)=""+98"", ""0"" &amp; RIGHT(converted, LEN(converted)-3), IF(LEFT(converted,2)=""98"", ""0"" &amp; RIGHT(converted, LEN(converted)-2), IF(LEFT(converted,1)&lt;&gt;""0"", ""0"" &amp; converted, REGEXREPLA"&amp;"CE(converted , ""\s"", """")) ) ) ) )"),"09117274961")</f>
        <v>09117274961</v>
      </c>
      <c r="E704" s="196" t="s">
        <v>17</v>
      </c>
      <c r="F704" s="197">
        <v>6.0</v>
      </c>
      <c r="G704" s="212" t="s">
        <v>746</v>
      </c>
      <c r="H704" s="193" t="s">
        <v>4006</v>
      </c>
      <c r="I704" s="194"/>
      <c r="J704" s="194"/>
      <c r="K704" s="193" t="s">
        <v>4007</v>
      </c>
      <c r="L704" s="193" t="s">
        <v>4008</v>
      </c>
      <c r="M704" s="193"/>
      <c r="N704" s="193"/>
      <c r="O704" s="193"/>
      <c r="P704" s="193"/>
      <c r="Q704" s="200"/>
      <c r="R704" s="86"/>
      <c r="S704" s="114">
        <f t="shared" ref="S704:T704" si="705">A704</f>
        <v>704</v>
      </c>
      <c r="T704" s="114" t="str">
        <f t="shared" si="705"/>
        <v>کیهانه مهدوی</v>
      </c>
      <c r="U704" s="86" t="str">
        <f t="shared" si="3"/>
        <v>09117274961</v>
      </c>
      <c r="V704" s="86" t="str">
        <f t="shared" si="4"/>
        <v>پیش‌وایی 6</v>
      </c>
      <c r="W704" s="86"/>
      <c r="X704" s="86"/>
    </row>
    <row r="705">
      <c r="A705" s="201">
        <v>705.0</v>
      </c>
      <c r="B705" s="202" t="s">
        <v>3013</v>
      </c>
      <c r="C705" s="203" t="s">
        <v>4009</v>
      </c>
      <c r="D705" s="204" t="str">
        <f>IFERROR(__xludf.DUMMYFUNCTION("ARRAYFORMULA(LET( converted, SUBSTITUTE( SUBSTITUTE( SUBSTITUTE( SUBSTITUTE( SUBSTITUTE( SUBSTITUTE( SUBSTITUTE( SUBSTITUTE( SUBSTITUTE( SUBSTITUTE( C705, ""۰"", ""0""), ""۱"", ""1""), ""۲"", ""2""), ""۳"", ""3""), ""۴"", ""4""), ""۵"", ""5""), ""۶"", ""6"&amp;"""), ""۷"", ""7""), ""۸"", ""8""), ""۹"", ""9""), IF(LEFT(converted,3)=""+98"", ""0"" &amp; RIGHT(converted, LEN(converted)-3), IF(LEFT(converted,2)=""98"", ""0"" &amp; RIGHT(converted, LEN(converted)-2), IF(LEFT(converted,1)&lt;&gt;""0"", ""0"" &amp; converted, REGEXREPLA"&amp;"CE(converted , ""\s"", """")) ) ) ) )"),"09195224269")</f>
        <v>09195224269</v>
      </c>
      <c r="E705" s="205" t="s">
        <v>17</v>
      </c>
      <c r="F705" s="206">
        <v>6.0</v>
      </c>
      <c r="G705" s="213" t="s">
        <v>746</v>
      </c>
      <c r="H705" s="202" t="s">
        <v>4010</v>
      </c>
      <c r="I705" s="203"/>
      <c r="J705" s="203"/>
      <c r="K705" s="202" t="s">
        <v>1154</v>
      </c>
      <c r="L705" s="202" t="s">
        <v>3017</v>
      </c>
      <c r="M705" s="202"/>
      <c r="N705" s="202"/>
      <c r="O705" s="202"/>
      <c r="P705" s="202"/>
      <c r="Q705" s="208"/>
      <c r="R705" s="86"/>
      <c r="S705" s="114">
        <f t="shared" ref="S705:T705" si="706">A705</f>
        <v>705</v>
      </c>
      <c r="T705" s="114" t="str">
        <f t="shared" si="706"/>
        <v>الناز شاهمرادی</v>
      </c>
      <c r="U705" s="86" t="str">
        <f t="shared" si="3"/>
        <v>09195224269</v>
      </c>
      <c r="V705" s="86" t="str">
        <f t="shared" si="4"/>
        <v>پیش‌وایی 6</v>
      </c>
      <c r="W705" s="86"/>
      <c r="X705" s="86"/>
    </row>
    <row r="706">
      <c r="A706" s="192">
        <v>706.0</v>
      </c>
      <c r="B706" s="193" t="s">
        <v>4011</v>
      </c>
      <c r="C706" s="194" t="s">
        <v>4012</v>
      </c>
      <c r="D706" s="195" t="str">
        <f>IFERROR(__xludf.DUMMYFUNCTION("ARRAYFORMULA(LET( converted, SUBSTITUTE( SUBSTITUTE( SUBSTITUTE( SUBSTITUTE( SUBSTITUTE( SUBSTITUTE( SUBSTITUTE( SUBSTITUTE( SUBSTITUTE( SUBSTITUTE( C706, ""۰"", ""0""), ""۱"", ""1""), ""۲"", ""2""), ""۳"", ""3""), ""۴"", ""4""), ""۵"", ""5""), ""۶"", ""6"&amp;"""), ""۷"", ""7""), ""۸"", ""8""), ""۹"", ""9""), IF(LEFT(converted,3)=""+98"", ""0"" &amp; RIGHT(converted, LEN(converted)-3), IF(LEFT(converted,2)=""98"", ""0"" &amp; RIGHT(converted, LEN(converted)-2), IF(LEFT(converted,1)&lt;&gt;""0"", ""0"" &amp; converted, REGEXREPLA"&amp;"CE(converted , ""\s"", """")) ) ) ) )"),"09123169663")</f>
        <v>09123169663</v>
      </c>
      <c r="E706" s="196" t="s">
        <v>17</v>
      </c>
      <c r="F706" s="197">
        <v>6.0</v>
      </c>
      <c r="G706" s="212" t="s">
        <v>730</v>
      </c>
      <c r="H706" s="193" t="s">
        <v>4013</v>
      </c>
      <c r="I706" s="194"/>
      <c r="J706" s="194"/>
      <c r="K706" s="193" t="s">
        <v>4014</v>
      </c>
      <c r="L706" s="193" t="s">
        <v>4015</v>
      </c>
      <c r="M706" s="193"/>
      <c r="N706" s="193"/>
      <c r="O706" s="193"/>
      <c r="P706" s="193"/>
      <c r="Q706" s="200"/>
      <c r="R706" s="86"/>
      <c r="S706" s="114">
        <f t="shared" ref="S706:T706" si="707">A706</f>
        <v>706</v>
      </c>
      <c r="T706" s="114" t="str">
        <f t="shared" si="707"/>
        <v>مهیار خوش سیما</v>
      </c>
      <c r="U706" s="86" t="str">
        <f t="shared" si="3"/>
        <v>09123169663</v>
      </c>
      <c r="V706" s="86" t="str">
        <f t="shared" si="4"/>
        <v>پیش‌وایی 6</v>
      </c>
      <c r="W706" s="86"/>
      <c r="X706" s="86"/>
    </row>
    <row r="707">
      <c r="A707" s="201">
        <v>707.0</v>
      </c>
      <c r="B707" s="202" t="s">
        <v>2461</v>
      </c>
      <c r="C707" s="203" t="s">
        <v>2462</v>
      </c>
      <c r="D707" s="204" t="str">
        <f>IFERROR(__xludf.DUMMYFUNCTION("ARRAYFORMULA(LET( converted, SUBSTITUTE( SUBSTITUTE( SUBSTITUTE( SUBSTITUTE( SUBSTITUTE( SUBSTITUTE( SUBSTITUTE( SUBSTITUTE( SUBSTITUTE( SUBSTITUTE( C707, ""۰"", ""0""), ""۱"", ""1""), ""۲"", ""2""), ""۳"", ""3""), ""۴"", ""4""), ""۵"", ""5""), ""۶"", ""6"&amp;"""), ""۷"", ""7""), ""۸"", ""8""), ""۹"", ""9""), IF(LEFT(converted,3)=""+98"", ""0"" &amp; RIGHT(converted, LEN(converted)-3), IF(LEFT(converted,2)=""98"", ""0"" &amp; RIGHT(converted, LEN(converted)-2), IF(LEFT(converted,1)&lt;&gt;""0"", ""0"" &amp; converted, REGEXREPLA"&amp;"CE(converted , ""\s"", """")) ) ) ) )"),"09125936532")</f>
        <v>09125936532</v>
      </c>
      <c r="E707" s="205" t="s">
        <v>17</v>
      </c>
      <c r="F707" s="206">
        <v>6.0</v>
      </c>
      <c r="G707" s="213" t="s">
        <v>730</v>
      </c>
      <c r="H707" s="202" t="s">
        <v>2463</v>
      </c>
      <c r="I707" s="203"/>
      <c r="J707" s="203"/>
      <c r="K707" s="202" t="s">
        <v>186</v>
      </c>
      <c r="L707" s="202" t="s">
        <v>283</v>
      </c>
      <c r="M707" s="202"/>
      <c r="N707" s="202"/>
      <c r="O707" s="202"/>
      <c r="P707" s="202"/>
      <c r="Q707" s="208"/>
      <c r="R707" s="86"/>
      <c r="S707" s="114">
        <f t="shared" ref="S707:T707" si="708">A707</f>
        <v>707</v>
      </c>
      <c r="T707" s="114" t="str">
        <f t="shared" si="708"/>
        <v>فرزاد سلطان آبادی</v>
      </c>
      <c r="U707" s="86" t="str">
        <f t="shared" si="3"/>
        <v>09125936532</v>
      </c>
      <c r="V707" s="86" t="str">
        <f t="shared" si="4"/>
        <v>پیش‌وایی 6</v>
      </c>
      <c r="W707" s="86"/>
      <c r="X707" s="86"/>
    </row>
    <row r="708">
      <c r="A708" s="192">
        <v>708.0</v>
      </c>
      <c r="B708" s="193" t="s">
        <v>4016</v>
      </c>
      <c r="C708" s="194" t="s">
        <v>4017</v>
      </c>
      <c r="D708" s="195" t="str">
        <f>IFERROR(__xludf.DUMMYFUNCTION("ARRAYFORMULA(LET( converted, SUBSTITUTE( SUBSTITUTE( SUBSTITUTE( SUBSTITUTE( SUBSTITUTE( SUBSTITUTE( SUBSTITUTE( SUBSTITUTE( SUBSTITUTE( SUBSTITUTE( C708, ""۰"", ""0""), ""۱"", ""1""), ""۲"", ""2""), ""۳"", ""3""), ""۴"", ""4""), ""۵"", ""5""), ""۶"", ""6"&amp;"""), ""۷"", ""7""), ""۸"", ""8""), ""۹"", ""9""), IF(LEFT(converted,3)=""+98"", ""0"" &amp; RIGHT(converted, LEN(converted)-3), IF(LEFT(converted,2)=""98"", ""0"" &amp; RIGHT(converted, LEN(converted)-2), IF(LEFT(converted,1)&lt;&gt;""0"", ""0"" &amp; converted, REGEXREPLA"&amp;"CE(converted , ""\s"", """")) ) ) ) )"),"09149101379")</f>
        <v>09149101379</v>
      </c>
      <c r="E708" s="196" t="s">
        <v>17</v>
      </c>
      <c r="F708" s="197">
        <v>6.0</v>
      </c>
      <c r="G708" s="212" t="s">
        <v>730</v>
      </c>
      <c r="H708" s="193" t="s">
        <v>4018</v>
      </c>
      <c r="I708" s="194"/>
      <c r="J708" s="194"/>
      <c r="K708" s="193" t="s">
        <v>4019</v>
      </c>
      <c r="L708" s="193" t="s">
        <v>4020</v>
      </c>
      <c r="M708" s="193"/>
      <c r="N708" s="193"/>
      <c r="O708" s="193"/>
      <c r="P708" s="193"/>
      <c r="Q708" s="200"/>
      <c r="R708" s="86"/>
      <c r="S708" s="114">
        <f t="shared" ref="S708:T708" si="709">A708</f>
        <v>708</v>
      </c>
      <c r="T708" s="114" t="str">
        <f t="shared" si="709"/>
        <v>بهزاد موحدنژاد</v>
      </c>
      <c r="U708" s="86" t="str">
        <f t="shared" si="3"/>
        <v>09149101379</v>
      </c>
      <c r="V708" s="86" t="str">
        <f t="shared" si="4"/>
        <v>پیش‌وایی 6</v>
      </c>
      <c r="W708" s="86"/>
      <c r="X708" s="86"/>
    </row>
    <row r="709">
      <c r="A709" s="201">
        <v>709.0</v>
      </c>
      <c r="B709" s="202" t="s">
        <v>4021</v>
      </c>
      <c r="C709" s="203" t="s">
        <v>4022</v>
      </c>
      <c r="D709" s="204" t="str">
        <f>IFERROR(__xludf.DUMMYFUNCTION("ARRAYFORMULA(LET( converted, SUBSTITUTE( SUBSTITUTE( SUBSTITUTE( SUBSTITUTE( SUBSTITUTE( SUBSTITUTE( SUBSTITUTE( SUBSTITUTE( SUBSTITUTE( SUBSTITUTE( C709, ""۰"", ""0""), ""۱"", ""1""), ""۲"", ""2""), ""۳"", ""3""), ""۴"", ""4""), ""۵"", ""5""), ""۶"", ""6"&amp;"""), ""۷"", ""7""), ""۸"", ""8""), ""۹"", ""9""), IF(LEFT(converted,3)=""+98"", ""0"" &amp; RIGHT(converted, LEN(converted)-3), IF(LEFT(converted,2)=""98"", ""0"" &amp; RIGHT(converted, LEN(converted)-2), IF(LEFT(converted,1)&lt;&gt;""0"", ""0"" &amp; converted, REGEXREPLA"&amp;"CE(converted , ""\s"", """")) ) ) ) )"),"09122829116")</f>
        <v>09122829116</v>
      </c>
      <c r="E709" s="205" t="s">
        <v>17</v>
      </c>
      <c r="F709" s="206">
        <v>6.0</v>
      </c>
      <c r="G709" s="213" t="s">
        <v>746</v>
      </c>
      <c r="H709" s="202" t="s">
        <v>4023</v>
      </c>
      <c r="I709" s="203"/>
      <c r="J709" s="203"/>
      <c r="K709" s="202" t="s">
        <v>4024</v>
      </c>
      <c r="L709" s="202" t="s">
        <v>4025</v>
      </c>
      <c r="M709" s="202"/>
      <c r="N709" s="202"/>
      <c r="O709" s="202"/>
      <c r="P709" s="202"/>
      <c r="Q709" s="208"/>
      <c r="R709" s="86"/>
      <c r="S709" s="114">
        <f t="shared" ref="S709:T709" si="710">A709</f>
        <v>709</v>
      </c>
      <c r="T709" s="114" t="str">
        <f t="shared" si="710"/>
        <v>اندیشه کرم بخش</v>
      </c>
      <c r="U709" s="86" t="str">
        <f t="shared" si="3"/>
        <v>09122829116</v>
      </c>
      <c r="V709" s="86" t="str">
        <f t="shared" si="4"/>
        <v>پیش‌وایی 6</v>
      </c>
      <c r="W709" s="86"/>
      <c r="X709" s="86"/>
    </row>
    <row r="710">
      <c r="A710" s="192">
        <v>710.0</v>
      </c>
      <c r="B710" s="199" t="s">
        <v>4026</v>
      </c>
      <c r="C710" s="194" t="s">
        <v>4027</v>
      </c>
      <c r="D710" s="195" t="str">
        <f>IFERROR(__xludf.DUMMYFUNCTION("ARRAYFORMULA(LET( converted, SUBSTITUTE( SUBSTITUTE( SUBSTITUTE( SUBSTITUTE( SUBSTITUTE( SUBSTITUTE( SUBSTITUTE( SUBSTITUTE( SUBSTITUTE( SUBSTITUTE( C710, ""۰"", ""0""), ""۱"", ""1""), ""۲"", ""2""), ""۳"", ""3""), ""۴"", ""4""), ""۵"", ""5""), ""۶"", ""6"&amp;"""), ""۷"", ""7""), ""۸"", ""8""), ""۹"", ""9""), IF(LEFT(converted,3)=""+98"", ""0"" &amp; RIGHT(converted, LEN(converted)-3), IF(LEFT(converted,2)=""98"", ""0"" &amp; RIGHT(converted, LEN(converted)-2), IF(LEFT(converted,1)&lt;&gt;""0"", ""0"" &amp; converted, REGEXREPLA"&amp;"CE(converted , ""\s"", """")) ) ) ) )"),"09128125942")</f>
        <v>09128125942</v>
      </c>
      <c r="E710" s="196" t="s">
        <v>17</v>
      </c>
      <c r="F710" s="197">
        <v>6.0</v>
      </c>
      <c r="G710" s="212" t="s">
        <v>746</v>
      </c>
      <c r="H710" s="193" t="s">
        <v>4028</v>
      </c>
      <c r="I710" s="194"/>
      <c r="J710" s="194"/>
      <c r="K710" s="193" t="s">
        <v>4029</v>
      </c>
      <c r="L710" s="193" t="s">
        <v>4030</v>
      </c>
      <c r="M710" s="193"/>
      <c r="N710" s="193"/>
      <c r="O710" s="193"/>
      <c r="P710" s="193"/>
      <c r="Q710" s="200"/>
      <c r="R710" s="86"/>
      <c r="S710" s="114">
        <f t="shared" ref="S710:T710" si="711">A710</f>
        <v>710</v>
      </c>
      <c r="T710" s="114" t="str">
        <f t="shared" si="711"/>
        <v>رژین نقوی</v>
      </c>
      <c r="U710" s="86" t="str">
        <f t="shared" si="3"/>
        <v>09128125942</v>
      </c>
      <c r="V710" s="86" t="str">
        <f t="shared" si="4"/>
        <v>پیش‌وایی 6</v>
      </c>
      <c r="W710" s="86"/>
      <c r="X710" s="86"/>
    </row>
    <row r="711">
      <c r="A711" s="201">
        <v>711.0</v>
      </c>
      <c r="B711" s="202" t="s">
        <v>4031</v>
      </c>
      <c r="C711" s="203" t="s">
        <v>4032</v>
      </c>
      <c r="D711" s="204" t="str">
        <f>IFERROR(__xludf.DUMMYFUNCTION("ARRAYFORMULA(LET( converted, SUBSTITUTE( SUBSTITUTE( SUBSTITUTE( SUBSTITUTE( SUBSTITUTE( SUBSTITUTE( SUBSTITUTE( SUBSTITUTE( SUBSTITUTE( SUBSTITUTE( C711, ""۰"", ""0""), ""۱"", ""1""), ""۲"", ""2""), ""۳"", ""3""), ""۴"", ""4""), ""۵"", ""5""), ""۶"", ""6"&amp;"""), ""۷"", ""7""), ""۸"", ""8""), ""۹"", ""9""), IF(LEFT(converted,3)=""+98"", ""0"" &amp; RIGHT(converted, LEN(converted)-3), IF(LEFT(converted,2)=""98"", ""0"" &amp; RIGHT(converted, LEN(converted)-2), IF(LEFT(converted,1)&lt;&gt;""0"", ""0"" &amp; converted, REGEXREPLA"&amp;"CE(converted , ""\s"", """")) ) ) ) )"),"09122092892")</f>
        <v>09122092892</v>
      </c>
      <c r="E711" s="205" t="s">
        <v>17</v>
      </c>
      <c r="F711" s="206">
        <v>6.0</v>
      </c>
      <c r="G711" s="213" t="s">
        <v>730</v>
      </c>
      <c r="H711" s="202" t="s">
        <v>4033</v>
      </c>
      <c r="I711" s="203"/>
      <c r="J711" s="203"/>
      <c r="K711" s="202" t="s">
        <v>1018</v>
      </c>
      <c r="L711" s="202" t="s">
        <v>4034</v>
      </c>
      <c r="M711" s="202"/>
      <c r="N711" s="202"/>
      <c r="O711" s="202"/>
      <c r="P711" s="202"/>
      <c r="Q711" s="208"/>
      <c r="R711" s="86"/>
      <c r="S711" s="114">
        <f t="shared" ref="S711:T711" si="712">A711</f>
        <v>711</v>
      </c>
      <c r="T711" s="114" t="str">
        <f t="shared" si="712"/>
        <v>علی قره‌خانی</v>
      </c>
      <c r="U711" s="86" t="str">
        <f t="shared" si="3"/>
        <v>09122092892</v>
      </c>
      <c r="V711" s="86" t="str">
        <f t="shared" si="4"/>
        <v>پیش‌وایی 6</v>
      </c>
      <c r="W711" s="86"/>
      <c r="X711" s="86"/>
    </row>
    <row r="712">
      <c r="A712" s="192">
        <v>712.0</v>
      </c>
      <c r="B712" s="193" t="s">
        <v>4035</v>
      </c>
      <c r="C712" s="194" t="s">
        <v>4036</v>
      </c>
      <c r="D712" s="195" t="str">
        <f>IFERROR(__xludf.DUMMYFUNCTION("ARRAYFORMULA(LET( converted, SUBSTITUTE( SUBSTITUTE( SUBSTITUTE( SUBSTITUTE( SUBSTITUTE( SUBSTITUTE( SUBSTITUTE( SUBSTITUTE( SUBSTITUTE( SUBSTITUTE( C712, ""۰"", ""0""), ""۱"", ""1""), ""۲"", ""2""), ""۳"", ""3""), ""۴"", ""4""), ""۵"", ""5""), ""۶"", ""6"&amp;"""), ""۷"", ""7""), ""۸"", ""8""), ""۹"", ""9""), IF(LEFT(converted,3)=""+98"", ""0"" &amp; RIGHT(converted, LEN(converted)-3), IF(LEFT(converted,2)=""98"", ""0"" &amp; RIGHT(converted, LEN(converted)-2), IF(LEFT(converted,1)&lt;&gt;""0"", ""0"" &amp; converted, REGEXREPLA"&amp;"CE(converted , ""\s"", """")) ) ) ) )"),"09121331770")</f>
        <v>09121331770</v>
      </c>
      <c r="E712" s="196" t="s">
        <v>17</v>
      </c>
      <c r="F712" s="197">
        <v>6.0</v>
      </c>
      <c r="G712" s="212" t="s">
        <v>730</v>
      </c>
      <c r="H712" s="193" t="s">
        <v>4037</v>
      </c>
      <c r="I712" s="194"/>
      <c r="J712" s="194"/>
      <c r="K712" s="193" t="s">
        <v>1018</v>
      </c>
      <c r="L712" s="193" t="s">
        <v>2360</v>
      </c>
      <c r="M712" s="193"/>
      <c r="N712" s="193"/>
      <c r="O712" s="193"/>
      <c r="P712" s="193"/>
      <c r="Q712" s="200"/>
      <c r="R712" s="86"/>
      <c r="S712" s="114">
        <f t="shared" ref="S712:T712" si="713">A712</f>
        <v>712</v>
      </c>
      <c r="T712" s="114" t="str">
        <f t="shared" si="713"/>
        <v>علی حیدر</v>
      </c>
      <c r="U712" s="86" t="str">
        <f t="shared" si="3"/>
        <v>09121331770</v>
      </c>
      <c r="V712" s="86" t="str">
        <f t="shared" si="4"/>
        <v>پیش‌وایی 6</v>
      </c>
      <c r="W712" s="86"/>
      <c r="X712" s="86"/>
    </row>
    <row r="713">
      <c r="A713" s="201">
        <v>713.0</v>
      </c>
      <c r="B713" s="202" t="s">
        <v>3604</v>
      </c>
      <c r="C713" s="203" t="s">
        <v>3605</v>
      </c>
      <c r="D713" s="204" t="str">
        <f>IFERROR(__xludf.DUMMYFUNCTION("ARRAYFORMULA(LET( converted, SUBSTITUTE( SUBSTITUTE( SUBSTITUTE( SUBSTITUTE( SUBSTITUTE( SUBSTITUTE( SUBSTITUTE( SUBSTITUTE( SUBSTITUTE( SUBSTITUTE( C713, ""۰"", ""0""), ""۱"", ""1""), ""۲"", ""2""), ""۳"", ""3""), ""۴"", ""4""), ""۵"", ""5""), ""۶"", ""6"&amp;"""), ""۷"", ""7""), ""۸"", ""8""), ""۹"", ""9""), IF(LEFT(converted,3)=""+98"", ""0"" &amp; RIGHT(converted, LEN(converted)-3), IF(LEFT(converted,2)=""98"", ""0"" &amp; RIGHT(converted, LEN(converted)-2), IF(LEFT(converted,1)&lt;&gt;""0"", ""0"" &amp; converted, REGEXREPLA"&amp;"CE(converted , ""\s"", """")) ) ) ) )"),"09383862468")</f>
        <v>09383862468</v>
      </c>
      <c r="E713" s="205" t="s">
        <v>17</v>
      </c>
      <c r="F713" s="206">
        <v>6.0</v>
      </c>
      <c r="G713" s="213" t="s">
        <v>730</v>
      </c>
      <c r="H713" s="202" t="s">
        <v>3606</v>
      </c>
      <c r="I713" s="203"/>
      <c r="J713" s="203"/>
      <c r="K713" s="202" t="s">
        <v>2114</v>
      </c>
      <c r="L713" s="202" t="s">
        <v>3607</v>
      </c>
      <c r="M713" s="202"/>
      <c r="N713" s="202"/>
      <c r="O713" s="202"/>
      <c r="P713" s="202"/>
      <c r="Q713" s="208"/>
      <c r="R713" s="86"/>
      <c r="S713" s="114">
        <f t="shared" ref="S713:T713" si="714">A713</f>
        <v>713</v>
      </c>
      <c r="T713" s="114" t="str">
        <f t="shared" si="714"/>
        <v>یاسر فاضلی</v>
      </c>
      <c r="U713" s="86" t="str">
        <f t="shared" si="3"/>
        <v>09383862468</v>
      </c>
      <c r="V713" s="86" t="str">
        <f t="shared" si="4"/>
        <v>پیش‌وایی 6</v>
      </c>
      <c r="W713" s="86"/>
      <c r="X713" s="86"/>
    </row>
    <row r="714">
      <c r="A714" s="192">
        <v>714.0</v>
      </c>
      <c r="B714" s="193" t="s">
        <v>4038</v>
      </c>
      <c r="C714" s="194" t="s">
        <v>4039</v>
      </c>
      <c r="D714" s="195" t="str">
        <f>IFERROR(__xludf.DUMMYFUNCTION("ARRAYFORMULA(LET( converted, SUBSTITUTE( SUBSTITUTE( SUBSTITUTE( SUBSTITUTE( SUBSTITUTE( SUBSTITUTE( SUBSTITUTE( SUBSTITUTE( SUBSTITUTE( SUBSTITUTE( C714, ""۰"", ""0""), ""۱"", ""1""), ""۲"", ""2""), ""۳"", ""3""), ""۴"", ""4""), ""۵"", ""5""), ""۶"", ""6"&amp;"""), ""۷"", ""7""), ""۸"", ""8""), ""۹"", ""9""), IF(LEFT(converted,3)=""+98"", ""0"" &amp; RIGHT(converted, LEN(converted)-3), IF(LEFT(converted,2)=""98"", ""0"" &amp; RIGHT(converted, LEN(converted)-2), IF(LEFT(converted,1)&lt;&gt;""0"", ""0"" &amp; converted, REGEXREPLA"&amp;"CE(converted , ""\s"", """")) ) ) ) )"),"09217974091")</f>
        <v>09217974091</v>
      </c>
      <c r="E714" s="196" t="s">
        <v>17</v>
      </c>
      <c r="F714" s="197">
        <v>6.0</v>
      </c>
      <c r="G714" s="212" t="s">
        <v>746</v>
      </c>
      <c r="H714" s="193" t="s">
        <v>4040</v>
      </c>
      <c r="I714" s="194"/>
      <c r="J714" s="194"/>
      <c r="K714" s="193" t="s">
        <v>1633</v>
      </c>
      <c r="L714" s="193" t="s">
        <v>4041</v>
      </c>
      <c r="M714" s="193"/>
      <c r="N714" s="193"/>
      <c r="O714" s="193"/>
      <c r="P714" s="193"/>
      <c r="Q714" s="200"/>
      <c r="R714" s="86"/>
      <c r="S714" s="114">
        <f t="shared" ref="S714:T714" si="715">A714</f>
        <v>714</v>
      </c>
      <c r="T714" s="114" t="str">
        <f t="shared" si="715"/>
        <v>یاسمن رزمجوئی</v>
      </c>
      <c r="U714" s="86" t="str">
        <f t="shared" si="3"/>
        <v>09217974091</v>
      </c>
      <c r="V714" s="86" t="str">
        <f t="shared" si="4"/>
        <v>پیش‌وایی 6</v>
      </c>
      <c r="W714" s="86"/>
      <c r="X714" s="86"/>
    </row>
    <row r="715">
      <c r="A715" s="201">
        <v>715.0</v>
      </c>
      <c r="B715" s="202" t="s">
        <v>4042</v>
      </c>
      <c r="C715" s="203" t="s">
        <v>4043</v>
      </c>
      <c r="D715" s="204" t="str">
        <f>IFERROR(__xludf.DUMMYFUNCTION("ARRAYFORMULA(LET( converted, SUBSTITUTE( SUBSTITUTE( SUBSTITUTE( SUBSTITUTE( SUBSTITUTE( SUBSTITUTE( SUBSTITUTE( SUBSTITUTE( SUBSTITUTE( SUBSTITUTE( C715, ""۰"", ""0""), ""۱"", ""1""), ""۲"", ""2""), ""۳"", ""3""), ""۴"", ""4""), ""۵"", ""5""), ""۶"", ""6"&amp;"""), ""۷"", ""7""), ""۸"", ""8""), ""۹"", ""9""), IF(LEFT(converted,3)=""+98"", ""0"" &amp; RIGHT(converted, LEN(converted)-3), IF(LEFT(converted,2)=""98"", ""0"" &amp; RIGHT(converted, LEN(converted)-2), IF(LEFT(converted,1)&lt;&gt;""0"", ""0"" &amp; converted, REGEXREPLA"&amp;"CE(converted , ""\s"", """")) ) ) ) )"),"09154150086")</f>
        <v>09154150086</v>
      </c>
      <c r="E715" s="205" t="s">
        <v>17</v>
      </c>
      <c r="F715" s="206">
        <v>6.0</v>
      </c>
      <c r="G715" s="213" t="s">
        <v>730</v>
      </c>
      <c r="H715" s="202" t="s">
        <v>4044</v>
      </c>
      <c r="I715" s="203"/>
      <c r="J715" s="203"/>
      <c r="K715" s="202" t="s">
        <v>303</v>
      </c>
      <c r="L715" s="202" t="s">
        <v>4045</v>
      </c>
      <c r="M715" s="202"/>
      <c r="N715" s="202"/>
      <c r="O715" s="202"/>
      <c r="P715" s="202"/>
      <c r="Q715" s="208"/>
      <c r="R715" s="86"/>
      <c r="S715" s="114">
        <f t="shared" ref="S715:T715" si="716">A715</f>
        <v>715</v>
      </c>
      <c r="T715" s="114" t="str">
        <f t="shared" si="716"/>
        <v>محمد اخروی</v>
      </c>
      <c r="U715" s="86" t="str">
        <f t="shared" si="3"/>
        <v>09154150086</v>
      </c>
      <c r="V715" s="86" t="str">
        <f t="shared" si="4"/>
        <v>پیش‌وایی 6</v>
      </c>
      <c r="W715" s="86"/>
      <c r="X715" s="86"/>
    </row>
    <row r="716">
      <c r="A716" s="192">
        <v>716.0</v>
      </c>
      <c r="B716" s="193" t="s">
        <v>3915</v>
      </c>
      <c r="C716" s="194" t="s">
        <v>3916</v>
      </c>
      <c r="D716" s="195" t="str">
        <f>IFERROR(__xludf.DUMMYFUNCTION("ARRAYFORMULA(LET( converted, SUBSTITUTE( SUBSTITUTE( SUBSTITUTE( SUBSTITUTE( SUBSTITUTE( SUBSTITUTE( SUBSTITUTE( SUBSTITUTE( SUBSTITUTE( SUBSTITUTE( C716, ""۰"", ""0""), ""۱"", ""1""), ""۲"", ""2""), ""۳"", ""3""), ""۴"", ""4""), ""۵"", ""5""), ""۶"", ""6"&amp;"""), ""۷"", ""7""), ""۸"", ""8""), ""۹"", ""9""), IF(LEFT(converted,3)=""+98"", ""0"" &amp; RIGHT(converted, LEN(converted)-3), IF(LEFT(converted,2)=""98"", ""0"" &amp; RIGHT(converted, LEN(converted)-2), IF(LEFT(converted,1)&lt;&gt;""0"", ""0"" &amp; converted, REGEXREPLA"&amp;"CE(converted , ""\s"", """")) ) ) ) )"),"09120397881")</f>
        <v>09120397881</v>
      </c>
      <c r="E716" s="196" t="s">
        <v>17</v>
      </c>
      <c r="F716" s="197">
        <v>6.0</v>
      </c>
      <c r="G716" s="212" t="s">
        <v>730</v>
      </c>
      <c r="H716" s="193" t="s">
        <v>3917</v>
      </c>
      <c r="I716" s="194"/>
      <c r="J716" s="194"/>
      <c r="K716" s="193" t="s">
        <v>303</v>
      </c>
      <c r="L716" s="193" t="s">
        <v>3919</v>
      </c>
      <c r="M716" s="193"/>
      <c r="N716" s="193"/>
      <c r="O716" s="193"/>
      <c r="P716" s="193"/>
      <c r="Q716" s="200"/>
      <c r="R716" s="86"/>
      <c r="S716" s="114">
        <f t="shared" ref="S716:T716" si="717">A716</f>
        <v>716</v>
      </c>
      <c r="T716" s="114" t="str">
        <f t="shared" si="717"/>
        <v>محمد رضائی شریف آبادی</v>
      </c>
      <c r="U716" s="86" t="str">
        <f t="shared" si="3"/>
        <v>09120397881</v>
      </c>
      <c r="V716" s="86" t="str">
        <f t="shared" si="4"/>
        <v>پیش‌وایی 6</v>
      </c>
      <c r="W716" s="86"/>
      <c r="X716" s="86"/>
    </row>
    <row r="717">
      <c r="A717" s="201">
        <v>717.0</v>
      </c>
      <c r="B717" s="202" t="s">
        <v>4046</v>
      </c>
      <c r="C717" s="203"/>
      <c r="D717" s="204" t="str">
        <f>IFERROR(__xludf.DUMMYFUNCTION("ARRAYFORMULA(LET( converted, SUBSTITUTE( SUBSTITUTE( SUBSTITUTE( SUBSTITUTE( SUBSTITUTE( SUBSTITUTE( SUBSTITUTE( SUBSTITUTE( SUBSTITUTE( SUBSTITUTE( C717, ""۰"", ""0""), ""۱"", ""1""), ""۲"", ""2""), ""۳"", ""3""), ""۴"", ""4""), ""۵"", ""5""), ""۶"", ""6"&amp;"""), ""۷"", ""7""), ""۸"", ""8""), ""۹"", ""9""), IF(LEFT(converted,3)=""+98"", ""0"" &amp; RIGHT(converted, LEN(converted)-3), IF(LEFT(converted,2)=""98"", ""0"" &amp; RIGHT(converted, LEN(converted)-2), IF(LEFT(converted,1)&lt;&gt;""0"", ""0"" &amp; converted, REGEXREPLA"&amp;"CE(converted , ""\s"", """")) ) ) ) )"),"0")</f>
        <v>0</v>
      </c>
      <c r="E717" s="205" t="s">
        <v>17</v>
      </c>
      <c r="F717" s="206">
        <v>6.0</v>
      </c>
      <c r="G717" s="213" t="s">
        <v>746</v>
      </c>
      <c r="H717" s="202"/>
      <c r="I717" s="203"/>
      <c r="J717" s="203"/>
      <c r="K717" s="202" t="s">
        <v>2512</v>
      </c>
      <c r="L717" s="202" t="s">
        <v>4047</v>
      </c>
      <c r="M717" s="202"/>
      <c r="N717" s="202"/>
      <c r="O717" s="202"/>
      <c r="P717" s="202"/>
      <c r="Q717" s="208"/>
      <c r="R717" s="86"/>
      <c r="S717" s="114">
        <f t="shared" ref="S717:T717" si="718">A717</f>
        <v>717</v>
      </c>
      <c r="T717" s="114" t="str">
        <f t="shared" si="718"/>
        <v>نگار آتشی</v>
      </c>
      <c r="U717" s="86" t="str">
        <f t="shared" si="3"/>
        <v>0</v>
      </c>
      <c r="V717" s="86" t="str">
        <f t="shared" si="4"/>
        <v>پیش‌وایی 6</v>
      </c>
      <c r="W717" s="86"/>
      <c r="X717" s="86"/>
    </row>
    <row r="718">
      <c r="A718" s="192">
        <v>718.0</v>
      </c>
      <c r="B718" s="193" t="s">
        <v>4048</v>
      </c>
      <c r="C718" s="194" t="s">
        <v>4049</v>
      </c>
      <c r="D718" s="195" t="str">
        <f>IFERROR(__xludf.DUMMYFUNCTION("ARRAYFORMULA(LET( converted, SUBSTITUTE( SUBSTITUTE( SUBSTITUTE( SUBSTITUTE( SUBSTITUTE( SUBSTITUTE( SUBSTITUTE( SUBSTITUTE( SUBSTITUTE( SUBSTITUTE( C718, ""۰"", ""0""), ""۱"", ""1""), ""۲"", ""2""), ""۳"", ""3""), ""۴"", ""4""), ""۵"", ""5""), ""۶"", ""6"&amp;"""), ""۷"", ""7""), ""۸"", ""8""), ""۹"", ""9""), IF(LEFT(converted,3)=""+98"", ""0"" &amp; RIGHT(converted, LEN(converted)-3), IF(LEFT(converted,2)=""98"", ""0"" &amp; RIGHT(converted, LEN(converted)-2), IF(LEFT(converted,1)&lt;&gt;""0"", ""0"" &amp; converted, REGEXREPLA"&amp;"CE(converted , ""\s"", """")) ) ) ) )"),"09125246145")</f>
        <v>09125246145</v>
      </c>
      <c r="E718" s="196" t="s">
        <v>17</v>
      </c>
      <c r="F718" s="197">
        <v>6.0</v>
      </c>
      <c r="G718" s="212" t="s">
        <v>730</v>
      </c>
      <c r="H718" s="193" t="s">
        <v>4050</v>
      </c>
      <c r="I718" s="194"/>
      <c r="J718" s="194"/>
      <c r="K718" s="193" t="s">
        <v>286</v>
      </c>
      <c r="L718" s="193" t="s">
        <v>4051</v>
      </c>
      <c r="M718" s="193"/>
      <c r="N718" s="193"/>
      <c r="O718" s="193"/>
      <c r="P718" s="193"/>
      <c r="Q718" s="200"/>
      <c r="R718" s="86"/>
      <c r="S718" s="114">
        <f t="shared" ref="S718:T718" si="719">A718</f>
        <v>718</v>
      </c>
      <c r="T718" s="114" t="str">
        <f t="shared" si="719"/>
        <v>مهدی سامع</v>
      </c>
      <c r="U718" s="86" t="str">
        <f t="shared" si="3"/>
        <v>09125246145</v>
      </c>
      <c r="V718" s="86" t="str">
        <f t="shared" si="4"/>
        <v>پیش‌وایی 6</v>
      </c>
      <c r="W718" s="86"/>
      <c r="X718" s="86"/>
    </row>
    <row r="719">
      <c r="A719" s="201">
        <v>719.0</v>
      </c>
      <c r="B719" s="202" t="s">
        <v>4052</v>
      </c>
      <c r="C719" s="203" t="s">
        <v>4053</v>
      </c>
      <c r="D719" s="204" t="str">
        <f>IFERROR(__xludf.DUMMYFUNCTION("ARRAYFORMULA(LET( converted, SUBSTITUTE( SUBSTITUTE( SUBSTITUTE( SUBSTITUTE( SUBSTITUTE( SUBSTITUTE( SUBSTITUTE( SUBSTITUTE( SUBSTITUTE( SUBSTITUTE( C719, ""۰"", ""0""), ""۱"", ""1""), ""۲"", ""2""), ""۳"", ""3""), ""۴"", ""4""), ""۵"", ""5""), ""۶"", ""6"&amp;"""), ""۷"", ""7""), ""۸"", ""8""), ""۹"", ""9""), IF(LEFT(converted,3)=""+98"", ""0"" &amp; RIGHT(converted, LEN(converted)-3), IF(LEFT(converted,2)=""98"", ""0"" &amp; RIGHT(converted, LEN(converted)-2), IF(LEFT(converted,1)&lt;&gt;""0"", ""0"" &amp; converted, REGEXREPLA"&amp;"CE(converted , ""\s"", """")) ) ) ) )"),"09171749165")</f>
        <v>09171749165</v>
      </c>
      <c r="E719" s="205" t="s">
        <v>17</v>
      </c>
      <c r="F719" s="206">
        <v>6.0</v>
      </c>
      <c r="G719" s="213" t="s">
        <v>746</v>
      </c>
      <c r="H719" s="202" t="s">
        <v>4054</v>
      </c>
      <c r="I719" s="203"/>
      <c r="J719" s="203"/>
      <c r="K719" s="202" t="s">
        <v>4055</v>
      </c>
      <c r="L719" s="202" t="s">
        <v>4056</v>
      </c>
      <c r="M719" s="202"/>
      <c r="N719" s="202"/>
      <c r="O719" s="202"/>
      <c r="P719" s="202"/>
      <c r="Q719" s="208"/>
      <c r="R719" s="86"/>
      <c r="S719" s="114">
        <f t="shared" ref="S719:T719" si="720">A719</f>
        <v>719</v>
      </c>
      <c r="T719" s="114" t="str">
        <f t="shared" si="720"/>
        <v>سیده مریم عارف زاده</v>
      </c>
      <c r="U719" s="86" t="str">
        <f t="shared" si="3"/>
        <v>09171749165</v>
      </c>
      <c r="V719" s="86" t="str">
        <f t="shared" si="4"/>
        <v>پیش‌وایی 6</v>
      </c>
      <c r="W719" s="86"/>
      <c r="X719" s="86"/>
    </row>
    <row r="720">
      <c r="A720" s="192">
        <v>720.0</v>
      </c>
      <c r="B720" s="193" t="s">
        <v>151</v>
      </c>
      <c r="C720" s="194" t="s">
        <v>3133</v>
      </c>
      <c r="D720" s="195" t="str">
        <f>IFERROR(__xludf.DUMMYFUNCTION("ARRAYFORMULA(LET( converted, SUBSTITUTE( SUBSTITUTE( SUBSTITUTE( SUBSTITUTE( SUBSTITUTE( SUBSTITUTE( SUBSTITUTE( SUBSTITUTE( SUBSTITUTE( SUBSTITUTE( C720, ""۰"", ""0""), ""۱"", ""1""), ""۲"", ""2""), ""۳"", ""3""), ""۴"", ""4""), ""۵"", ""5""), ""۶"", ""6"&amp;"""), ""۷"", ""7""), ""۸"", ""8""), ""۹"", ""9""), IF(LEFT(converted,3)=""+98"", ""0"" &amp; RIGHT(converted, LEN(converted)-3), IF(LEFT(converted,2)=""98"", ""0"" &amp; RIGHT(converted, LEN(converted)-2), IF(LEFT(converted,1)&lt;&gt;""0"", ""0"" &amp; converted, REGEXREPLA"&amp;"CE(converted , ""\s"", """")) ) ) ) )"),"09122712880")</f>
        <v>09122712880</v>
      </c>
      <c r="E720" s="196" t="s">
        <v>17</v>
      </c>
      <c r="F720" s="197">
        <v>6.0</v>
      </c>
      <c r="G720" s="212" t="s">
        <v>746</v>
      </c>
      <c r="H720" s="193" t="s">
        <v>3134</v>
      </c>
      <c r="I720" s="194"/>
      <c r="J720" s="194"/>
      <c r="K720" s="193" t="s">
        <v>4057</v>
      </c>
      <c r="L720" s="193" t="s">
        <v>3137</v>
      </c>
      <c r="M720" s="193"/>
      <c r="N720" s="193"/>
      <c r="O720" s="193"/>
      <c r="P720" s="193"/>
      <c r="Q720" s="200"/>
      <c r="R720" s="86"/>
      <c r="S720" s="114">
        <f t="shared" ref="S720:T720" si="721">A720</f>
        <v>720</v>
      </c>
      <c r="T720" s="114" t="str">
        <f t="shared" si="721"/>
        <v>آی‌سان بنی‌هاشمی</v>
      </c>
      <c r="U720" s="86" t="str">
        <f t="shared" si="3"/>
        <v>09122712880</v>
      </c>
      <c r="V720" s="86" t="str">
        <f t="shared" si="4"/>
        <v>پیش‌وایی 6</v>
      </c>
      <c r="W720" s="86"/>
      <c r="X720" s="86"/>
    </row>
    <row r="721">
      <c r="A721" s="201">
        <v>721.0</v>
      </c>
      <c r="B721" s="202" t="s">
        <v>4058</v>
      </c>
      <c r="C721" s="203" t="s">
        <v>4059</v>
      </c>
      <c r="D721" s="204" t="str">
        <f>IFERROR(__xludf.DUMMYFUNCTION("ARRAYFORMULA(LET( converted, SUBSTITUTE( SUBSTITUTE( SUBSTITUTE( SUBSTITUTE( SUBSTITUTE( SUBSTITUTE( SUBSTITUTE( SUBSTITUTE( SUBSTITUTE( SUBSTITUTE( C721, ""۰"", ""0""), ""۱"", ""1""), ""۲"", ""2""), ""۳"", ""3""), ""۴"", ""4""), ""۵"", ""5""), ""۶"", ""6"&amp;"""), ""۷"", ""7""), ""۸"", ""8""), ""۹"", ""9""), IF(LEFT(converted,3)=""+98"", ""0"" &amp; RIGHT(converted, LEN(converted)-3), IF(LEFT(converted,2)=""98"", ""0"" &amp; RIGHT(converted, LEN(converted)-2), IF(LEFT(converted,1)&lt;&gt;""0"", ""0"" &amp; converted, REGEXREPLA"&amp;"CE(converted , ""\s"", """")) ) ) ) )"),"09109870870")</f>
        <v>09109870870</v>
      </c>
      <c r="E721" s="205" t="s">
        <v>17</v>
      </c>
      <c r="F721" s="206">
        <v>6.0</v>
      </c>
      <c r="G721" s="213" t="s">
        <v>730</v>
      </c>
      <c r="H721" s="202" t="s">
        <v>4060</v>
      </c>
      <c r="I721" s="203"/>
      <c r="J721" s="203"/>
      <c r="K721" s="202" t="s">
        <v>192</v>
      </c>
      <c r="L721" s="202" t="s">
        <v>4061</v>
      </c>
      <c r="M721" s="202"/>
      <c r="N721" s="202"/>
      <c r="O721" s="202"/>
      <c r="P721" s="202"/>
      <c r="Q721" s="208"/>
      <c r="R721" s="86"/>
      <c r="S721" s="114">
        <f t="shared" ref="S721:T721" si="722">A721</f>
        <v>721</v>
      </c>
      <c r="T721" s="114" t="str">
        <f t="shared" si="722"/>
        <v>امیرحسین جندقیان</v>
      </c>
      <c r="U721" s="86" t="str">
        <f t="shared" si="3"/>
        <v>09109870870</v>
      </c>
      <c r="V721" s="86" t="str">
        <f t="shared" si="4"/>
        <v>پیش‌وایی 6</v>
      </c>
      <c r="W721" s="86"/>
      <c r="X721" s="86"/>
    </row>
    <row r="722">
      <c r="A722" s="192">
        <v>722.0</v>
      </c>
      <c r="B722" s="199" t="s">
        <v>3128</v>
      </c>
      <c r="C722" s="194" t="s">
        <v>3129</v>
      </c>
      <c r="D722" s="195" t="str">
        <f>IFERROR(__xludf.DUMMYFUNCTION("ARRAYFORMULA(LET( converted, SUBSTITUTE( SUBSTITUTE( SUBSTITUTE( SUBSTITUTE( SUBSTITUTE( SUBSTITUTE( SUBSTITUTE( SUBSTITUTE( SUBSTITUTE( SUBSTITUTE( C722, ""۰"", ""0""), ""۱"", ""1""), ""۲"", ""2""), ""۳"", ""3""), ""۴"", ""4""), ""۵"", ""5""), ""۶"", ""6"&amp;"""), ""۷"", ""7""), ""۸"", ""8""), ""۹"", ""9""), IF(LEFT(converted,3)=""+98"", ""0"" &amp; RIGHT(converted, LEN(converted)-3), IF(LEFT(converted,2)=""98"", ""0"" &amp; RIGHT(converted, LEN(converted)-2), IF(LEFT(converted,1)&lt;&gt;""0"", ""0"" &amp; converted, REGEXREPLA"&amp;"CE(converted , ""\s"", """")) ) ) ) )"),"09122274650")</f>
        <v>09122274650</v>
      </c>
      <c r="E722" s="196" t="s">
        <v>17</v>
      </c>
      <c r="F722" s="197">
        <v>6.0</v>
      </c>
      <c r="G722" s="212" t="s">
        <v>730</v>
      </c>
      <c r="H722" s="193" t="s">
        <v>3130</v>
      </c>
      <c r="I722" s="194"/>
      <c r="J722" s="194"/>
      <c r="K722" s="193" t="s">
        <v>1351</v>
      </c>
      <c r="L722" s="193" t="s">
        <v>4062</v>
      </c>
      <c r="M722" s="193"/>
      <c r="N722" s="193"/>
      <c r="O722" s="193"/>
      <c r="P722" s="193"/>
      <c r="Q722" s="200"/>
      <c r="R722" s="86"/>
      <c r="S722" s="114">
        <f t="shared" ref="S722:T722" si="723">A722</f>
        <v>722</v>
      </c>
      <c r="T722" s="114" t="str">
        <f t="shared" si="723"/>
        <v>حمیدرضا حكاكی فرد</v>
      </c>
      <c r="U722" s="86" t="str">
        <f t="shared" si="3"/>
        <v>09122274650</v>
      </c>
      <c r="V722" s="86" t="str">
        <f t="shared" si="4"/>
        <v>پیش‌وایی 6</v>
      </c>
      <c r="W722" s="86"/>
      <c r="X722" s="86"/>
    </row>
    <row r="723">
      <c r="A723" s="201">
        <v>723.0</v>
      </c>
      <c r="B723" s="202" t="s">
        <v>3588</v>
      </c>
      <c r="C723" s="203" t="s">
        <v>3589</v>
      </c>
      <c r="D723" s="204" t="str">
        <f>IFERROR(__xludf.DUMMYFUNCTION("ARRAYFORMULA(LET( converted, SUBSTITUTE( SUBSTITUTE( SUBSTITUTE( SUBSTITUTE( SUBSTITUTE( SUBSTITUTE( SUBSTITUTE( SUBSTITUTE( SUBSTITUTE( SUBSTITUTE( C723, ""۰"", ""0""), ""۱"", ""1""), ""۲"", ""2""), ""۳"", ""3""), ""۴"", ""4""), ""۵"", ""5""), ""۶"", ""6"&amp;"""), ""۷"", ""7""), ""۸"", ""8""), ""۹"", ""9""), IF(LEFT(converted,3)=""+98"", ""0"" &amp; RIGHT(converted, LEN(converted)-3), IF(LEFT(converted,2)=""98"", ""0"" &amp; RIGHT(converted, LEN(converted)-2), IF(LEFT(converted,1)&lt;&gt;""0"", ""0"" &amp; converted, REGEXREPLA"&amp;"CE(converted , ""\s"", """")) ) ) ) )"),"09126880288")</f>
        <v>09126880288</v>
      </c>
      <c r="E723" s="205" t="s">
        <v>17</v>
      </c>
      <c r="F723" s="206">
        <v>6.0</v>
      </c>
      <c r="G723" s="213" t="s">
        <v>730</v>
      </c>
      <c r="H723" s="202" t="s">
        <v>3590</v>
      </c>
      <c r="I723" s="203"/>
      <c r="J723" s="203"/>
      <c r="K723" s="202" t="s">
        <v>3592</v>
      </c>
      <c r="L723" s="202" t="s">
        <v>3593</v>
      </c>
      <c r="M723" s="202"/>
      <c r="N723" s="202"/>
      <c r="O723" s="202"/>
      <c r="P723" s="202"/>
      <c r="Q723" s="208"/>
      <c r="R723" s="86"/>
      <c r="S723" s="114">
        <f t="shared" ref="S723:T723" si="724">A723</f>
        <v>723</v>
      </c>
      <c r="T723" s="114" t="str">
        <f t="shared" si="724"/>
        <v>نوید نیک پی</v>
      </c>
      <c r="U723" s="86" t="str">
        <f t="shared" si="3"/>
        <v>09126880288</v>
      </c>
      <c r="V723" s="86" t="str">
        <f t="shared" si="4"/>
        <v>پیش‌وایی 6</v>
      </c>
      <c r="W723" s="86"/>
      <c r="X723" s="86"/>
    </row>
    <row r="724">
      <c r="A724" s="192">
        <v>724.0</v>
      </c>
      <c r="B724" s="193" t="s">
        <v>4063</v>
      </c>
      <c r="C724" s="194" t="s">
        <v>4064</v>
      </c>
      <c r="D724" s="195" t="str">
        <f>IFERROR(__xludf.DUMMYFUNCTION("ARRAYFORMULA(LET( converted, SUBSTITUTE( SUBSTITUTE( SUBSTITUTE( SUBSTITUTE( SUBSTITUTE( SUBSTITUTE( SUBSTITUTE( SUBSTITUTE( SUBSTITUTE( SUBSTITUTE( C724, ""۰"", ""0""), ""۱"", ""1""), ""۲"", ""2""), ""۳"", ""3""), ""۴"", ""4""), ""۵"", ""5""), ""۶"", ""6"&amp;"""), ""۷"", ""7""), ""۸"", ""8""), ""۹"", ""9""), IF(LEFT(converted,3)=""+98"", ""0"" &amp; RIGHT(converted, LEN(converted)-3), IF(LEFT(converted,2)=""98"", ""0"" &amp; RIGHT(converted, LEN(converted)-2), IF(LEFT(converted,1)&lt;&gt;""0"", ""0"" &amp; converted, REGEXREPLA"&amp;"CE(converted , ""\s"", """")) ) ) ) )"),"09395064351")</f>
        <v>09395064351</v>
      </c>
      <c r="E724" s="196" t="s">
        <v>17</v>
      </c>
      <c r="F724" s="197">
        <v>6.0</v>
      </c>
      <c r="G724" s="212" t="s">
        <v>746</v>
      </c>
      <c r="H724" s="193" t="s">
        <v>4065</v>
      </c>
      <c r="I724" s="194"/>
      <c r="J724" s="194"/>
      <c r="K724" s="193" t="s">
        <v>1398</v>
      </c>
      <c r="L724" s="193" t="s">
        <v>4066</v>
      </c>
      <c r="M724" s="193"/>
      <c r="N724" s="193"/>
      <c r="O724" s="193"/>
      <c r="P724" s="193"/>
      <c r="Q724" s="200"/>
      <c r="R724" s="86"/>
      <c r="S724" s="114">
        <f t="shared" ref="S724:T724" si="725">A724</f>
        <v>724</v>
      </c>
      <c r="T724" s="114" t="str">
        <f t="shared" si="725"/>
        <v>زهرا سلیمانی تبار</v>
      </c>
      <c r="U724" s="86" t="str">
        <f t="shared" si="3"/>
        <v>09395064351</v>
      </c>
      <c r="V724" s="86" t="str">
        <f t="shared" si="4"/>
        <v>پیش‌وایی 6</v>
      </c>
      <c r="W724" s="86"/>
      <c r="X724" s="86"/>
    </row>
    <row r="725">
      <c r="A725" s="201">
        <v>725.0</v>
      </c>
      <c r="B725" s="202" t="s">
        <v>4067</v>
      </c>
      <c r="C725" s="203" t="s">
        <v>4068</v>
      </c>
      <c r="D725" s="204" t="str">
        <f>IFERROR(__xludf.DUMMYFUNCTION("ARRAYFORMULA(LET( converted, SUBSTITUTE( SUBSTITUTE( SUBSTITUTE( SUBSTITUTE( SUBSTITUTE( SUBSTITUTE( SUBSTITUTE( SUBSTITUTE( SUBSTITUTE( SUBSTITUTE( C725, ""۰"", ""0""), ""۱"", ""1""), ""۲"", ""2""), ""۳"", ""3""), ""۴"", ""4""), ""۵"", ""5""), ""۶"", ""6"&amp;"""), ""۷"", ""7""), ""۸"", ""8""), ""۹"", ""9""), IF(LEFT(converted,3)=""+98"", ""0"" &amp; RIGHT(converted, LEN(converted)-3), IF(LEFT(converted,2)=""98"", ""0"" &amp; RIGHT(converted, LEN(converted)-2), IF(LEFT(converted,1)&lt;&gt;""0"", ""0"" &amp; converted, REGEXREPLA"&amp;"CE(converted , ""\s"", """")) ) ) ) )"),"046720171720")</f>
        <v>046720171720</v>
      </c>
      <c r="E725" s="205" t="s">
        <v>17</v>
      </c>
      <c r="F725" s="206">
        <v>6.0</v>
      </c>
      <c r="G725" s="213" t="s">
        <v>746</v>
      </c>
      <c r="H725" s="202" t="s">
        <v>4069</v>
      </c>
      <c r="I725" s="203"/>
      <c r="J725" s="203"/>
      <c r="K725" s="202" t="s">
        <v>796</v>
      </c>
      <c r="L725" s="202" t="s">
        <v>4070</v>
      </c>
      <c r="M725" s="202"/>
      <c r="N725" s="202"/>
      <c r="O725" s="202"/>
      <c r="P725" s="202"/>
      <c r="Q725" s="208"/>
      <c r="R725" s="86"/>
      <c r="S725" s="114">
        <f t="shared" ref="S725:T725" si="726">A725</f>
        <v>725</v>
      </c>
      <c r="T725" s="114" t="str">
        <f t="shared" si="726"/>
        <v>پریسا پوران</v>
      </c>
      <c r="U725" s="86" t="str">
        <f t="shared" si="3"/>
        <v>046720171720</v>
      </c>
      <c r="V725" s="86" t="str">
        <f t="shared" si="4"/>
        <v>پیش‌وایی 6</v>
      </c>
      <c r="W725" s="86"/>
      <c r="X725" s="86"/>
    </row>
    <row r="726">
      <c r="A726" s="192">
        <v>726.0</v>
      </c>
      <c r="B726" s="193" t="s">
        <v>4071</v>
      </c>
      <c r="C726" s="194" t="str">
        <f>+98 938 935 8060</f>
        <v>#ERROR!</v>
      </c>
      <c r="D726" s="195" t="str">
        <f>IFERROR(__xludf.DUMMYFUNCTION("ARRAYFORMULA(LET( converted, SUBSTITUTE( SUBSTITUTE( SUBSTITUTE( SUBSTITUTE( SUBSTITUTE( SUBSTITUTE( SUBSTITUTE( SUBSTITUTE( SUBSTITUTE( SUBSTITUTE( C726, ""۰"", ""0""), ""۱"", ""1""), ""۲"", ""2""), ""۳"", ""3""), ""۴"", ""4""), ""۵"", ""5""), ""۶"", ""6"&amp;"""), ""۷"", ""7""), ""۸"", ""8""), ""۹"", ""9""), IF(LEFT(converted,3)=""+98"", ""0"" &amp; RIGHT(converted, LEN(converted)-3), IF(LEFT(converted,2)=""98"", ""0"" &amp; RIGHT(converted, LEN(converted)-2), IF(LEFT(converted,1)&lt;&gt;""0"", ""0"" &amp; converted, REGEXREPLA"&amp;"CE(converted , ""\s"", """")) ) ) ) )"),"#ERROR!")</f>
        <v>#ERROR!</v>
      </c>
      <c r="E726" s="196" t="s">
        <v>17</v>
      </c>
      <c r="F726" s="197">
        <v>6.0</v>
      </c>
      <c r="G726" s="212" t="s">
        <v>730</v>
      </c>
      <c r="H726" s="193" t="s">
        <v>4072</v>
      </c>
      <c r="I726" s="194"/>
      <c r="J726" s="194"/>
      <c r="K726" s="193" t="s">
        <v>1670</v>
      </c>
      <c r="L726" s="193" t="s">
        <v>789</v>
      </c>
      <c r="M726" s="193"/>
      <c r="N726" s="193"/>
      <c r="O726" s="193"/>
      <c r="P726" s="193"/>
      <c r="Q726" s="200"/>
      <c r="R726" s="86"/>
      <c r="S726" s="114">
        <f t="shared" ref="S726:T726" si="727">A726</f>
        <v>726</v>
      </c>
      <c r="T726" s="114" t="str">
        <f t="shared" si="727"/>
        <v>محمدحسین افضلی</v>
      </c>
      <c r="U726" s="86" t="str">
        <f t="shared" si="3"/>
        <v>#ERROR!</v>
      </c>
      <c r="V726" s="86" t="str">
        <f t="shared" si="4"/>
        <v>پیش‌وایی 6</v>
      </c>
      <c r="W726" s="86"/>
      <c r="X726" s="86"/>
    </row>
    <row r="727">
      <c r="A727" s="201">
        <v>727.0</v>
      </c>
      <c r="B727" s="202" t="s">
        <v>4073</v>
      </c>
      <c r="C727" s="203" t="str">
        <f>+98 915 343 7251</f>
        <v>#ERROR!</v>
      </c>
      <c r="D727" s="204" t="str">
        <f>IFERROR(__xludf.DUMMYFUNCTION("ARRAYFORMULA(LET( converted, SUBSTITUTE( SUBSTITUTE( SUBSTITUTE( SUBSTITUTE( SUBSTITUTE( SUBSTITUTE( SUBSTITUTE( SUBSTITUTE( SUBSTITUTE( SUBSTITUTE( C727, ""۰"", ""0""), ""۱"", ""1""), ""۲"", ""2""), ""۳"", ""3""), ""۴"", ""4""), ""۵"", ""5""), ""۶"", ""6"&amp;"""), ""۷"", ""7""), ""۸"", ""8""), ""۹"", ""9""), IF(LEFT(converted,3)=""+98"", ""0"" &amp; RIGHT(converted, LEN(converted)-3), IF(LEFT(converted,2)=""98"", ""0"" &amp; RIGHT(converted, LEN(converted)-2), IF(LEFT(converted,1)&lt;&gt;""0"", ""0"" &amp; converted, REGEXREPLA"&amp;"CE(converted , ""\s"", """")) ) ) ) )"),"#ERROR!")</f>
        <v>#ERROR!</v>
      </c>
      <c r="E727" s="205" t="s">
        <v>17</v>
      </c>
      <c r="F727" s="206">
        <v>6.0</v>
      </c>
      <c r="G727" s="213" t="s">
        <v>730</v>
      </c>
      <c r="H727" s="202"/>
      <c r="I727" s="203"/>
      <c r="J727" s="203"/>
      <c r="K727" s="202" t="s">
        <v>4074</v>
      </c>
      <c r="L727" s="202" t="s">
        <v>4075</v>
      </c>
      <c r="M727" s="202"/>
      <c r="N727" s="202"/>
      <c r="O727" s="202"/>
      <c r="P727" s="202"/>
      <c r="Q727" s="208"/>
      <c r="R727" s="86"/>
      <c r="S727" s="114">
        <f t="shared" ref="S727:T727" si="728">A727</f>
        <v>727</v>
      </c>
      <c r="T727" s="114" t="str">
        <f t="shared" si="728"/>
        <v>عبدالرحیم ؟ کوردی</v>
      </c>
      <c r="U727" s="86" t="str">
        <f t="shared" si="3"/>
        <v>#ERROR!</v>
      </c>
      <c r="V727" s="86" t="str">
        <f t="shared" si="4"/>
        <v>پیش‌وایی 6</v>
      </c>
      <c r="W727" s="86"/>
      <c r="X727" s="86"/>
    </row>
    <row r="728">
      <c r="A728" s="192">
        <v>728.0</v>
      </c>
      <c r="B728" s="193" t="s">
        <v>4076</v>
      </c>
      <c r="C728" s="194" t="s">
        <v>4077</v>
      </c>
      <c r="D728" s="195" t="str">
        <f>IFERROR(__xludf.DUMMYFUNCTION("ARRAYFORMULA(LET( converted, SUBSTITUTE( SUBSTITUTE( SUBSTITUTE( SUBSTITUTE( SUBSTITUTE( SUBSTITUTE( SUBSTITUTE( SUBSTITUTE( SUBSTITUTE( SUBSTITUTE( C728, ""۰"", ""0""), ""۱"", ""1""), ""۲"", ""2""), ""۳"", ""3""), ""۴"", ""4""), ""۵"", ""5""), ""۶"", ""6"&amp;"""), ""۷"", ""7""), ""۸"", ""8""), ""۹"", ""9""), IF(LEFT(converted,3)=""+98"", ""0"" &amp; RIGHT(converted, LEN(converted)-3), IF(LEFT(converted,2)=""98"", ""0"" &amp; RIGHT(converted, LEN(converted)-2), IF(LEFT(converted,1)&lt;&gt;""0"", ""0"" &amp; converted, REGEXREPLA"&amp;"CE(converted , ""\s"", """")) ) ) ) )"),"09120585033")</f>
        <v>09120585033</v>
      </c>
      <c r="E728" s="196" t="s">
        <v>17</v>
      </c>
      <c r="F728" s="197">
        <v>6.0</v>
      </c>
      <c r="G728" s="212" t="s">
        <v>746</v>
      </c>
      <c r="H728" s="193" t="s">
        <v>4078</v>
      </c>
      <c r="I728" s="194"/>
      <c r="J728" s="194"/>
      <c r="K728" s="193" t="s">
        <v>4079</v>
      </c>
      <c r="L728" s="193" t="s">
        <v>4080</v>
      </c>
      <c r="M728" s="193"/>
      <c r="N728" s="193"/>
      <c r="O728" s="193"/>
      <c r="P728" s="193"/>
      <c r="Q728" s="200"/>
      <c r="R728" s="86"/>
      <c r="S728" s="114">
        <f t="shared" ref="S728:T728" si="729">A728</f>
        <v>728</v>
      </c>
      <c r="T728" s="114" t="str">
        <f t="shared" si="729"/>
        <v>فائزه جلائی</v>
      </c>
      <c r="U728" s="86" t="str">
        <f t="shared" si="3"/>
        <v>09120585033</v>
      </c>
      <c r="V728" s="86" t="str">
        <f t="shared" si="4"/>
        <v>پیش‌وایی 6</v>
      </c>
      <c r="W728" s="86"/>
      <c r="X728" s="86"/>
    </row>
    <row r="729">
      <c r="A729" s="201">
        <v>729.0</v>
      </c>
      <c r="B729" s="202" t="s">
        <v>4081</v>
      </c>
      <c r="C729" s="203" t="s">
        <v>4082</v>
      </c>
      <c r="D729" s="204" t="str">
        <f>IFERROR(__xludf.DUMMYFUNCTION("ARRAYFORMULA(LET( converted, SUBSTITUTE( SUBSTITUTE( SUBSTITUTE( SUBSTITUTE( SUBSTITUTE( SUBSTITUTE( SUBSTITUTE( SUBSTITUTE( SUBSTITUTE( SUBSTITUTE( C729, ""۰"", ""0""), ""۱"", ""1""), ""۲"", ""2""), ""۳"", ""3""), ""۴"", ""4""), ""۵"", ""5""), ""۶"", ""6"&amp;"""), ""۷"", ""7""), ""۸"", ""8""), ""۹"", ""9""), IF(LEFT(converted,3)=""+98"", ""0"" &amp; RIGHT(converted, LEN(converted)-3), IF(LEFT(converted,2)=""98"", ""0"" &amp; RIGHT(converted, LEN(converted)-2), IF(LEFT(converted,1)&lt;&gt;""0"", ""0"" &amp; converted, REGEXREPLA"&amp;"CE(converted , ""\s"", """")) ) ) ) )"),"09194060500")</f>
        <v>09194060500</v>
      </c>
      <c r="E729" s="205" t="s">
        <v>17</v>
      </c>
      <c r="F729" s="206">
        <v>6.0</v>
      </c>
      <c r="G729" s="213" t="s">
        <v>730</v>
      </c>
      <c r="H729" s="202" t="s">
        <v>4083</v>
      </c>
      <c r="I729" s="203"/>
      <c r="J729" s="203"/>
      <c r="K729" s="202" t="s">
        <v>3159</v>
      </c>
      <c r="L729" s="202" t="s">
        <v>1055</v>
      </c>
      <c r="M729" s="202"/>
      <c r="N729" s="202"/>
      <c r="O729" s="202"/>
      <c r="P729" s="202"/>
      <c r="Q729" s="208"/>
      <c r="R729" s="86"/>
      <c r="S729" s="114">
        <f t="shared" ref="S729:T729" si="730">A729</f>
        <v>729</v>
      </c>
      <c r="T729" s="114" t="str">
        <f t="shared" si="730"/>
        <v>سهیل فرید</v>
      </c>
      <c r="U729" s="86" t="str">
        <f t="shared" si="3"/>
        <v>09194060500</v>
      </c>
      <c r="V729" s="86" t="str">
        <f t="shared" si="4"/>
        <v>پیش‌وایی 6</v>
      </c>
      <c r="W729" s="86"/>
      <c r="X729" s="86"/>
    </row>
    <row r="730">
      <c r="A730" s="192">
        <v>730.0</v>
      </c>
      <c r="B730" s="193" t="s">
        <v>3190</v>
      </c>
      <c r="C730" s="194" t="s">
        <v>3191</v>
      </c>
      <c r="D730" s="195" t="str">
        <f>IFERROR(__xludf.DUMMYFUNCTION("ARRAYFORMULA(LET( converted, SUBSTITUTE( SUBSTITUTE( SUBSTITUTE( SUBSTITUTE( SUBSTITUTE( SUBSTITUTE( SUBSTITUTE( SUBSTITUTE( SUBSTITUTE( SUBSTITUTE( C730, ""۰"", ""0""), ""۱"", ""1""), ""۲"", ""2""), ""۳"", ""3""), ""۴"", ""4""), ""۵"", ""5""), ""۶"", ""6"&amp;"""), ""۷"", ""7""), ""۸"", ""8""), ""۹"", ""9""), IF(LEFT(converted,3)=""+98"", ""0"" &amp; RIGHT(converted, LEN(converted)-3), IF(LEFT(converted,2)=""98"", ""0"" &amp; RIGHT(converted, LEN(converted)-2), IF(LEFT(converted,1)&lt;&gt;""0"", ""0"" &amp; converted, REGEXREPLA"&amp;"CE(converted , ""\s"", """")) ) ) ) )"),"09361323233")</f>
        <v>09361323233</v>
      </c>
      <c r="E730" s="196" t="s">
        <v>17</v>
      </c>
      <c r="F730" s="197">
        <v>6.0</v>
      </c>
      <c r="G730" s="212" t="s">
        <v>730</v>
      </c>
      <c r="H730" s="193" t="s">
        <v>3192</v>
      </c>
      <c r="I730" s="194"/>
      <c r="J730" s="194"/>
      <c r="K730" s="193" t="s">
        <v>1289</v>
      </c>
      <c r="L730" s="193" t="s">
        <v>3194</v>
      </c>
      <c r="M730" s="193"/>
      <c r="N730" s="193"/>
      <c r="O730" s="193"/>
      <c r="P730" s="193"/>
      <c r="Q730" s="200"/>
      <c r="R730" s="86"/>
      <c r="S730" s="114">
        <f t="shared" ref="S730:T730" si="731">A730</f>
        <v>730</v>
      </c>
      <c r="T730" s="114" t="str">
        <f t="shared" si="731"/>
        <v>میلاد امیری</v>
      </c>
      <c r="U730" s="86" t="str">
        <f t="shared" si="3"/>
        <v>09361323233</v>
      </c>
      <c r="V730" s="86" t="str">
        <f t="shared" si="4"/>
        <v>پیش‌وایی 6</v>
      </c>
      <c r="W730" s="86"/>
      <c r="X730" s="86"/>
    </row>
    <row r="731">
      <c r="A731" s="201">
        <v>731.0</v>
      </c>
      <c r="B731" s="202" t="s">
        <v>4084</v>
      </c>
      <c r="C731" s="203" t="s">
        <v>4085</v>
      </c>
      <c r="D731" s="204" t="str">
        <f>IFERROR(__xludf.DUMMYFUNCTION("ARRAYFORMULA(LET( converted, SUBSTITUTE( SUBSTITUTE( SUBSTITUTE( SUBSTITUTE( SUBSTITUTE( SUBSTITUTE( SUBSTITUTE( SUBSTITUTE( SUBSTITUTE( SUBSTITUTE( C731, ""۰"", ""0""), ""۱"", ""1""), ""۲"", ""2""), ""۳"", ""3""), ""۴"", ""4""), ""۵"", ""5""), ""۶"", ""6"&amp;"""), ""۷"", ""7""), ""۸"", ""8""), ""۹"", ""9""), IF(LEFT(converted,3)=""+98"", ""0"" &amp; RIGHT(converted, LEN(converted)-3), IF(LEFT(converted,2)=""98"", ""0"" &amp; RIGHT(converted, LEN(converted)-2), IF(LEFT(converted,1)&lt;&gt;""0"", ""0"" &amp; converted, REGEXREPLA"&amp;"CE(converted , ""\s"", """")) ) ) ) )"),"09122079561")</f>
        <v>09122079561</v>
      </c>
      <c r="E731" s="205" t="s">
        <v>17</v>
      </c>
      <c r="F731" s="206">
        <v>6.0</v>
      </c>
      <c r="G731" s="213" t="s">
        <v>746</v>
      </c>
      <c r="H731" s="202" t="s">
        <v>4086</v>
      </c>
      <c r="I731" s="203"/>
      <c r="J731" s="203"/>
      <c r="K731" s="202" t="s">
        <v>1218</v>
      </c>
      <c r="L731" s="202" t="s">
        <v>4087</v>
      </c>
      <c r="M731" s="202"/>
      <c r="N731" s="202"/>
      <c r="O731" s="202"/>
      <c r="P731" s="202"/>
      <c r="Q731" s="208"/>
      <c r="R731" s="86"/>
      <c r="S731" s="114">
        <f t="shared" ref="S731:T731" si="732">A731</f>
        <v>731</v>
      </c>
      <c r="T731" s="114" t="str">
        <f t="shared" si="732"/>
        <v>تارا ضرابیان</v>
      </c>
      <c r="U731" s="86" t="str">
        <f t="shared" si="3"/>
        <v>09122079561</v>
      </c>
      <c r="V731" s="86" t="str">
        <f t="shared" si="4"/>
        <v>پیش‌وایی 6</v>
      </c>
      <c r="W731" s="86"/>
      <c r="X731" s="86"/>
    </row>
    <row r="732">
      <c r="A732" s="192">
        <v>732.0</v>
      </c>
      <c r="B732" s="193" t="s">
        <v>4088</v>
      </c>
      <c r="C732" s="194" t="s">
        <v>4089</v>
      </c>
      <c r="D732" s="195" t="str">
        <f>IFERROR(__xludf.DUMMYFUNCTION("ARRAYFORMULA(LET( converted, SUBSTITUTE( SUBSTITUTE( SUBSTITUTE( SUBSTITUTE( SUBSTITUTE( SUBSTITUTE( SUBSTITUTE( SUBSTITUTE( SUBSTITUTE( SUBSTITUTE( C732, ""۰"", ""0""), ""۱"", ""1""), ""۲"", ""2""), ""۳"", ""3""), ""۴"", ""4""), ""۵"", ""5""), ""۶"", ""6"&amp;"""), ""۷"", ""7""), ""۸"", ""8""), ""۹"", ""9""), IF(LEFT(converted,3)=""+98"", ""0"" &amp; RIGHT(converted, LEN(converted)-3), IF(LEFT(converted,2)=""98"", ""0"" &amp; RIGHT(converted, LEN(converted)-2), IF(LEFT(converted,1)&lt;&gt;""0"", ""0"" &amp; converted, REGEXREPLA"&amp;"CE(converted , ""\s"", """")) ) ) ) )"),"09104751916")</f>
        <v>09104751916</v>
      </c>
      <c r="E732" s="196" t="s">
        <v>17</v>
      </c>
      <c r="F732" s="197">
        <v>6.0</v>
      </c>
      <c r="G732" s="212" t="s">
        <v>730</v>
      </c>
      <c r="H732" s="193" t="s">
        <v>4090</v>
      </c>
      <c r="I732" s="194"/>
      <c r="J732" s="194"/>
      <c r="K732" s="193" t="s">
        <v>4091</v>
      </c>
      <c r="L732" s="193" t="s">
        <v>3940</v>
      </c>
      <c r="M732" s="193"/>
      <c r="N732" s="193"/>
      <c r="O732" s="193"/>
      <c r="P732" s="193"/>
      <c r="Q732" s="200"/>
      <c r="R732" s="86"/>
      <c r="S732" s="114">
        <f t="shared" ref="S732:T732" si="733">A732</f>
        <v>732</v>
      </c>
      <c r="T732" s="114" t="str">
        <f t="shared" si="733"/>
        <v>سید امیر حسین بطحایی</v>
      </c>
      <c r="U732" s="86" t="str">
        <f t="shared" si="3"/>
        <v>09104751916</v>
      </c>
      <c r="V732" s="86" t="str">
        <f t="shared" si="4"/>
        <v>پیش‌وایی 6</v>
      </c>
      <c r="W732" s="86"/>
      <c r="X732" s="86"/>
    </row>
    <row r="733">
      <c r="A733" s="201">
        <v>733.0</v>
      </c>
      <c r="B733" s="202" t="s">
        <v>4092</v>
      </c>
      <c r="C733" s="203" t="s">
        <v>4093</v>
      </c>
      <c r="D733" s="204" t="str">
        <f>IFERROR(__xludf.DUMMYFUNCTION("ARRAYFORMULA(LET( converted, SUBSTITUTE( SUBSTITUTE( SUBSTITUTE( SUBSTITUTE( SUBSTITUTE( SUBSTITUTE( SUBSTITUTE( SUBSTITUTE( SUBSTITUTE( SUBSTITUTE( C733, ""۰"", ""0""), ""۱"", ""1""), ""۲"", ""2""), ""۳"", ""3""), ""۴"", ""4""), ""۵"", ""5""), ""۶"", ""6"&amp;"""), ""۷"", ""7""), ""۸"", ""8""), ""۹"", ""9""), IF(LEFT(converted,3)=""+98"", ""0"" &amp; RIGHT(converted, LEN(converted)-3), IF(LEFT(converted,2)=""98"", ""0"" &amp; RIGHT(converted, LEN(converted)-2), IF(LEFT(converted,1)&lt;&gt;""0"", ""0"" &amp; converted, REGEXREPLA"&amp;"CE(converted , ""\s"", """")) ) ) ) )"),"09141039561")</f>
        <v>09141039561</v>
      </c>
      <c r="E733" s="205" t="s">
        <v>17</v>
      </c>
      <c r="F733" s="206">
        <v>6.0</v>
      </c>
      <c r="G733" s="213" t="s">
        <v>746</v>
      </c>
      <c r="H733" s="202" t="s">
        <v>4094</v>
      </c>
      <c r="I733" s="203"/>
      <c r="J733" s="203"/>
      <c r="K733" s="202" t="s">
        <v>2517</v>
      </c>
      <c r="L733" s="202" t="s">
        <v>4095</v>
      </c>
      <c r="M733" s="202"/>
      <c r="N733" s="202"/>
      <c r="O733" s="202"/>
      <c r="P733" s="202"/>
      <c r="Q733" s="208"/>
      <c r="R733" s="86"/>
      <c r="S733" s="114">
        <f t="shared" ref="S733:T733" si="734">A733</f>
        <v>733</v>
      </c>
      <c r="T733" s="114" t="str">
        <f t="shared" si="734"/>
        <v>شبنم کریمی رهنما</v>
      </c>
      <c r="U733" s="86" t="str">
        <f t="shared" si="3"/>
        <v>09141039561</v>
      </c>
      <c r="V733" s="86" t="str">
        <f t="shared" si="4"/>
        <v>پیش‌وایی 6</v>
      </c>
      <c r="W733" s="86"/>
      <c r="X733" s="86"/>
    </row>
    <row r="734">
      <c r="A734" s="192">
        <v>734.0</v>
      </c>
      <c r="B734" s="193" t="s">
        <v>4096</v>
      </c>
      <c r="C734" s="194" t="s">
        <v>4097</v>
      </c>
      <c r="D734" s="195" t="str">
        <f>IFERROR(__xludf.DUMMYFUNCTION("ARRAYFORMULA(LET( converted, SUBSTITUTE( SUBSTITUTE( SUBSTITUTE( SUBSTITUTE( SUBSTITUTE( SUBSTITUTE( SUBSTITUTE( SUBSTITUTE( SUBSTITUTE( SUBSTITUTE( C734, ""۰"", ""0""), ""۱"", ""1""), ""۲"", ""2""), ""۳"", ""3""), ""۴"", ""4""), ""۵"", ""5""), ""۶"", ""6"&amp;"""), ""۷"", ""7""), ""۸"", ""8""), ""۹"", ""9""), IF(LEFT(converted,3)=""+98"", ""0"" &amp; RIGHT(converted, LEN(converted)-3), IF(LEFT(converted,2)=""98"", ""0"" &amp; RIGHT(converted, LEN(converted)-2), IF(LEFT(converted,1)&lt;&gt;""0"", ""0"" &amp; converted, REGEXREPLA"&amp;"CE(converted , ""\s"", """")) ) ) ) )"),"09120509940")</f>
        <v>09120509940</v>
      </c>
      <c r="E734" s="196" t="s">
        <v>17</v>
      </c>
      <c r="F734" s="197">
        <v>6.0</v>
      </c>
      <c r="G734" s="212" t="s">
        <v>730</v>
      </c>
      <c r="H734" s="193" t="s">
        <v>4098</v>
      </c>
      <c r="I734" s="194"/>
      <c r="J734" s="194"/>
      <c r="K734" s="193" t="s">
        <v>4099</v>
      </c>
      <c r="L734" s="193" t="s">
        <v>4100</v>
      </c>
      <c r="M734" s="193"/>
      <c r="N734" s="193"/>
      <c r="O734" s="193"/>
      <c r="P734" s="193"/>
      <c r="Q734" s="200"/>
      <c r="R734" s="86"/>
      <c r="S734" s="114">
        <f t="shared" ref="S734:T734" si="735">A734</f>
        <v>734</v>
      </c>
      <c r="T734" s="114" t="str">
        <f t="shared" si="735"/>
        <v>سید محمد امین قاسمی زاده</v>
      </c>
      <c r="U734" s="86" t="str">
        <f t="shared" si="3"/>
        <v>09120509940</v>
      </c>
      <c r="V734" s="86" t="str">
        <f t="shared" si="4"/>
        <v>پیش‌وایی 6</v>
      </c>
      <c r="W734" s="86"/>
      <c r="X734" s="86"/>
    </row>
    <row r="735">
      <c r="A735" s="201">
        <v>735.0</v>
      </c>
      <c r="B735" s="202" t="s">
        <v>4101</v>
      </c>
      <c r="C735" s="203" t="s">
        <v>4102</v>
      </c>
      <c r="D735" s="204" t="str">
        <f>IFERROR(__xludf.DUMMYFUNCTION("ARRAYFORMULA(LET( converted, SUBSTITUTE( SUBSTITUTE( SUBSTITUTE( SUBSTITUTE( SUBSTITUTE( SUBSTITUTE( SUBSTITUTE( SUBSTITUTE( SUBSTITUTE( SUBSTITUTE( C735, ""۰"", ""0""), ""۱"", ""1""), ""۲"", ""2""), ""۳"", ""3""), ""۴"", ""4""), ""۵"", ""5""), ""۶"", ""6"&amp;"""), ""۷"", ""7""), ""۸"", ""8""), ""۹"", ""9""), IF(LEFT(converted,3)=""+98"", ""0"" &amp; RIGHT(converted, LEN(converted)-3), IF(LEFT(converted,2)=""98"", ""0"" &amp; RIGHT(converted, LEN(converted)-2), IF(LEFT(converted,1)&lt;&gt;""0"", ""0"" &amp; converted, REGEXREPLA"&amp;"CE(converted , ""\s"", """")) ) ) ) )"),"09120158957")</f>
        <v>09120158957</v>
      </c>
      <c r="E735" s="205" t="s">
        <v>17</v>
      </c>
      <c r="F735" s="206">
        <v>6.0</v>
      </c>
      <c r="G735" s="213" t="s">
        <v>730</v>
      </c>
      <c r="H735" s="202" t="s">
        <v>4103</v>
      </c>
      <c r="I735" s="203"/>
      <c r="J735" s="203"/>
      <c r="K735" s="202" t="s">
        <v>311</v>
      </c>
      <c r="L735" s="202" t="s">
        <v>4104</v>
      </c>
      <c r="M735" s="202"/>
      <c r="N735" s="202"/>
      <c r="O735" s="202"/>
      <c r="P735" s="202"/>
      <c r="Q735" s="208"/>
      <c r="R735" s="86"/>
      <c r="S735" s="114">
        <f t="shared" ref="S735:T735" si="736">A735</f>
        <v>735</v>
      </c>
      <c r="T735" s="114" t="str">
        <f t="shared" si="736"/>
        <v>محسن کلانتریان</v>
      </c>
      <c r="U735" s="86" t="str">
        <f t="shared" si="3"/>
        <v>09120158957</v>
      </c>
      <c r="V735" s="86" t="str">
        <f t="shared" si="4"/>
        <v>پیش‌وایی 6</v>
      </c>
      <c r="W735" s="86"/>
      <c r="X735" s="86"/>
    </row>
    <row r="736">
      <c r="A736" s="192">
        <v>736.0</v>
      </c>
      <c r="B736" s="193" t="s">
        <v>4105</v>
      </c>
      <c r="C736" s="194" t="str">
        <f>+98 915 909 4247</f>
        <v>#ERROR!</v>
      </c>
      <c r="D736" s="195" t="str">
        <f>IFERROR(__xludf.DUMMYFUNCTION("ARRAYFORMULA(LET( converted, SUBSTITUTE( SUBSTITUTE( SUBSTITUTE( SUBSTITUTE( SUBSTITUTE( SUBSTITUTE( SUBSTITUTE( SUBSTITUTE( SUBSTITUTE( SUBSTITUTE( C736, ""۰"", ""0""), ""۱"", ""1""), ""۲"", ""2""), ""۳"", ""3""), ""۴"", ""4""), ""۵"", ""5""), ""۶"", ""6"&amp;"""), ""۷"", ""7""), ""۸"", ""8""), ""۹"", ""9""), IF(LEFT(converted,3)=""+98"", ""0"" &amp; RIGHT(converted, LEN(converted)-3), IF(LEFT(converted,2)=""98"", ""0"" &amp; RIGHT(converted, LEN(converted)-2), IF(LEFT(converted,1)&lt;&gt;""0"", ""0"" &amp; converted, REGEXREPLA"&amp;"CE(converted , ""\s"", """")) ) ) ) )"),"#ERROR!")</f>
        <v>#ERROR!</v>
      </c>
      <c r="E736" s="196" t="s">
        <v>17</v>
      </c>
      <c r="F736" s="197">
        <v>6.0</v>
      </c>
      <c r="G736" s="212" t="s">
        <v>746</v>
      </c>
      <c r="H736" s="193" t="s">
        <v>4106</v>
      </c>
      <c r="I736" s="194"/>
      <c r="J736" s="194"/>
      <c r="K736" s="193" t="s">
        <v>4107</v>
      </c>
      <c r="L736" s="193" t="s">
        <v>4108</v>
      </c>
      <c r="M736" s="193"/>
      <c r="N736" s="193"/>
      <c r="O736" s="193"/>
      <c r="P736" s="193"/>
      <c r="Q736" s="200"/>
      <c r="R736" s="86"/>
      <c r="S736" s="114">
        <f t="shared" ref="S736:T736" si="737">A736</f>
        <v>736</v>
      </c>
      <c r="T736" s="114" t="str">
        <f t="shared" si="737"/>
        <v>عارفه دانا</v>
      </c>
      <c r="U736" s="86" t="str">
        <f t="shared" si="3"/>
        <v>#ERROR!</v>
      </c>
      <c r="V736" s="86" t="str">
        <f t="shared" si="4"/>
        <v>پیش‌وایی 6</v>
      </c>
      <c r="W736" s="86"/>
      <c r="X736" s="86"/>
    </row>
    <row r="737">
      <c r="A737" s="201">
        <v>737.0</v>
      </c>
      <c r="B737" s="202" t="s">
        <v>4109</v>
      </c>
      <c r="C737" s="203" t="str">
        <f>+98 915 124 9843</f>
        <v>#ERROR!</v>
      </c>
      <c r="D737" s="204" t="str">
        <f>IFERROR(__xludf.DUMMYFUNCTION("ARRAYFORMULA(LET( converted, SUBSTITUTE( SUBSTITUTE( SUBSTITUTE( SUBSTITUTE( SUBSTITUTE( SUBSTITUTE( SUBSTITUTE( SUBSTITUTE( SUBSTITUTE( SUBSTITUTE( C737, ""۰"", ""0""), ""۱"", ""1""), ""۲"", ""2""), ""۳"", ""3""), ""۴"", ""4""), ""۵"", ""5""), ""۶"", ""6"&amp;"""), ""۷"", ""7""), ""۸"", ""8""), ""۹"", ""9""), IF(LEFT(converted,3)=""+98"", ""0"" &amp; RIGHT(converted, LEN(converted)-3), IF(LEFT(converted,2)=""98"", ""0"" &amp; RIGHT(converted, LEN(converted)-2), IF(LEFT(converted,1)&lt;&gt;""0"", ""0"" &amp; converted, REGEXREPLA"&amp;"CE(converted , ""\s"", """")) ) ) ) )"),"#ERROR!")</f>
        <v>#ERROR!</v>
      </c>
      <c r="E737" s="205" t="s">
        <v>17</v>
      </c>
      <c r="F737" s="206">
        <v>6.0</v>
      </c>
      <c r="G737" s="213" t="s">
        <v>730</v>
      </c>
      <c r="H737" s="202" t="s">
        <v>4110</v>
      </c>
      <c r="I737" s="203"/>
      <c r="J737" s="203"/>
      <c r="K737" s="202" t="s">
        <v>2306</v>
      </c>
      <c r="L737" s="202" t="s">
        <v>4111</v>
      </c>
      <c r="M737" s="202"/>
      <c r="N737" s="202"/>
      <c r="O737" s="202"/>
      <c r="P737" s="202"/>
      <c r="Q737" s="208"/>
      <c r="R737" s="86"/>
      <c r="S737" s="114">
        <f t="shared" ref="S737:T737" si="738">A737</f>
        <v>737</v>
      </c>
      <c r="T737" s="114" t="str">
        <f t="shared" si="738"/>
        <v>مرتضی ایمان پور</v>
      </c>
      <c r="U737" s="86" t="str">
        <f t="shared" si="3"/>
        <v>#ERROR!</v>
      </c>
      <c r="V737" s="86" t="str">
        <f t="shared" si="4"/>
        <v>پیش‌وایی 6</v>
      </c>
      <c r="W737" s="86"/>
      <c r="X737" s="86"/>
    </row>
    <row r="738">
      <c r="A738" s="192">
        <v>738.0</v>
      </c>
      <c r="B738" s="193" t="s">
        <v>4112</v>
      </c>
      <c r="C738" s="194" t="s">
        <v>4113</v>
      </c>
      <c r="D738" s="195" t="str">
        <f>IFERROR(__xludf.DUMMYFUNCTION("ARRAYFORMULA(LET( converted, SUBSTITUTE( SUBSTITUTE( SUBSTITUTE( SUBSTITUTE( SUBSTITUTE( SUBSTITUTE( SUBSTITUTE( SUBSTITUTE( SUBSTITUTE( SUBSTITUTE( C738, ""۰"", ""0""), ""۱"", ""1""), ""۲"", ""2""), ""۳"", ""3""), ""۴"", ""4""), ""۵"", ""5""), ""۶"", ""6"&amp;"""), ""۷"", ""7""), ""۸"", ""8""), ""۹"", ""9""), IF(LEFT(converted,3)=""+98"", ""0"" &amp; RIGHT(converted, LEN(converted)-3), IF(LEFT(converted,2)=""98"", ""0"" &amp; RIGHT(converted, LEN(converted)-2), IF(LEFT(converted,1)&lt;&gt;""0"", ""0"" &amp; converted, REGEXREPLA"&amp;"CE(converted , ""\s"", """")) ) ) ) )"),"09124447730")</f>
        <v>09124447730</v>
      </c>
      <c r="E738" s="196" t="s">
        <v>17</v>
      </c>
      <c r="F738" s="197">
        <v>6.0</v>
      </c>
      <c r="G738" s="212" t="s">
        <v>746</v>
      </c>
      <c r="H738" s="193" t="s">
        <v>4114</v>
      </c>
      <c r="I738" s="194"/>
      <c r="J738" s="194"/>
      <c r="K738" s="193" t="s">
        <v>1992</v>
      </c>
      <c r="L738" s="193" t="s">
        <v>4115</v>
      </c>
      <c r="M738" s="193"/>
      <c r="N738" s="193"/>
      <c r="O738" s="193"/>
      <c r="P738" s="193"/>
      <c r="Q738" s="200"/>
      <c r="R738" s="86"/>
      <c r="S738" s="114">
        <f t="shared" ref="S738:T738" si="739">A738</f>
        <v>738</v>
      </c>
      <c r="T738" s="114" t="str">
        <f t="shared" si="739"/>
        <v>تینا یزدانی</v>
      </c>
      <c r="U738" s="86" t="str">
        <f t="shared" si="3"/>
        <v>09124447730</v>
      </c>
      <c r="V738" s="86" t="str">
        <f t="shared" si="4"/>
        <v>پیش‌وایی 6</v>
      </c>
      <c r="W738" s="86"/>
      <c r="X738" s="86"/>
    </row>
    <row r="739">
      <c r="A739" s="201">
        <v>739.0</v>
      </c>
      <c r="B739" s="202" t="s">
        <v>4116</v>
      </c>
      <c r="C739" s="203" t="s">
        <v>4117</v>
      </c>
      <c r="D739" s="204" t="str">
        <f>IFERROR(__xludf.DUMMYFUNCTION("ARRAYFORMULA(LET( converted, SUBSTITUTE( SUBSTITUTE( SUBSTITUTE( SUBSTITUTE( SUBSTITUTE( SUBSTITUTE( SUBSTITUTE( SUBSTITUTE( SUBSTITUTE( SUBSTITUTE( C739, ""۰"", ""0""), ""۱"", ""1""), ""۲"", ""2""), ""۳"", ""3""), ""۴"", ""4""), ""۵"", ""5""), ""۶"", ""6"&amp;"""), ""۷"", ""7""), ""۸"", ""8""), ""۹"", ""9""), IF(LEFT(converted,3)=""+98"", ""0"" &amp; RIGHT(converted, LEN(converted)-3), IF(LEFT(converted,2)=""98"", ""0"" &amp; RIGHT(converted, LEN(converted)-2), IF(LEFT(converted,1)&lt;&gt;""0"", ""0"" &amp; converted, REGEXREPLA"&amp;"CE(converted , ""\s"", """")) ) ) ) )"),"09919472624")</f>
        <v>09919472624</v>
      </c>
      <c r="E739" s="205" t="s">
        <v>17</v>
      </c>
      <c r="F739" s="206">
        <v>6.0</v>
      </c>
      <c r="G739" s="213" t="s">
        <v>730</v>
      </c>
      <c r="H739" s="202" t="s">
        <v>4118</v>
      </c>
      <c r="I739" s="203"/>
      <c r="J739" s="203"/>
      <c r="K739" s="202" t="s">
        <v>303</v>
      </c>
      <c r="L739" s="202" t="s">
        <v>327</v>
      </c>
      <c r="M739" s="202"/>
      <c r="N739" s="202"/>
      <c r="O739" s="202"/>
      <c r="P739" s="202"/>
      <c r="Q739" s="208"/>
      <c r="R739" s="86"/>
      <c r="S739" s="114">
        <f t="shared" ref="S739:T739" si="740">A739</f>
        <v>739</v>
      </c>
      <c r="T739" s="114" t="str">
        <f t="shared" si="740"/>
        <v>محمد کیانی</v>
      </c>
      <c r="U739" s="86" t="str">
        <f t="shared" si="3"/>
        <v>09919472624</v>
      </c>
      <c r="V739" s="86" t="str">
        <f t="shared" si="4"/>
        <v>پیش‌وایی 6</v>
      </c>
      <c r="W739" s="86"/>
      <c r="X739" s="86"/>
    </row>
    <row r="740">
      <c r="A740" s="192">
        <v>740.0</v>
      </c>
      <c r="B740" s="193" t="s">
        <v>4119</v>
      </c>
      <c r="C740" s="194" t="s">
        <v>4120</v>
      </c>
      <c r="D740" s="195" t="str">
        <f>IFERROR(__xludf.DUMMYFUNCTION("ARRAYFORMULA(LET( converted, SUBSTITUTE( SUBSTITUTE( SUBSTITUTE( SUBSTITUTE( SUBSTITUTE( SUBSTITUTE( SUBSTITUTE( SUBSTITUTE( SUBSTITUTE( SUBSTITUTE( C740, ""۰"", ""0""), ""۱"", ""1""), ""۲"", ""2""), ""۳"", ""3""), ""۴"", ""4""), ""۵"", ""5""), ""۶"", ""6"&amp;"""), ""۷"", ""7""), ""۸"", ""8""), ""۹"", ""9""), IF(LEFT(converted,3)=""+98"", ""0"" &amp; RIGHT(converted, LEN(converted)-3), IF(LEFT(converted,2)=""98"", ""0"" &amp; RIGHT(converted, LEN(converted)-2), IF(LEFT(converted,1)&lt;&gt;""0"", ""0"" &amp; converted, REGEXREPLA"&amp;"CE(converted , ""\s"", """")) ) ) ) )"),"09307678137")</f>
        <v>09307678137</v>
      </c>
      <c r="E740" s="196" t="s">
        <v>17</v>
      </c>
      <c r="F740" s="197">
        <v>6.0</v>
      </c>
      <c r="G740" s="212" t="s">
        <v>730</v>
      </c>
      <c r="H740" s="193" t="s">
        <v>4121</v>
      </c>
      <c r="I740" s="194"/>
      <c r="J740" s="194"/>
      <c r="K740" s="193" t="s">
        <v>3789</v>
      </c>
      <c r="L740" s="193" t="s">
        <v>3267</v>
      </c>
      <c r="M740" s="193"/>
      <c r="N740" s="193"/>
      <c r="O740" s="193"/>
      <c r="P740" s="193"/>
      <c r="Q740" s="200"/>
      <c r="R740" s="86"/>
      <c r="S740" s="114">
        <f t="shared" ref="S740:T740" si="741">A740</f>
        <v>740</v>
      </c>
      <c r="T740" s="114" t="str">
        <f t="shared" si="741"/>
        <v>محمدامین صالحی</v>
      </c>
      <c r="U740" s="86" t="str">
        <f t="shared" si="3"/>
        <v>09307678137</v>
      </c>
      <c r="V740" s="86" t="str">
        <f t="shared" si="4"/>
        <v>پیش‌وایی 6</v>
      </c>
      <c r="W740" s="86"/>
      <c r="X740" s="86"/>
    </row>
    <row r="741">
      <c r="A741" s="201">
        <v>741.0</v>
      </c>
      <c r="B741" s="202" t="s">
        <v>4122</v>
      </c>
      <c r="C741" s="203" t="str">
        <f>+98 937 937 6188</f>
        <v>#ERROR!</v>
      </c>
      <c r="D741" s="204" t="str">
        <f>IFERROR(__xludf.DUMMYFUNCTION("ARRAYFORMULA(LET( converted, SUBSTITUTE( SUBSTITUTE( SUBSTITUTE( SUBSTITUTE( SUBSTITUTE( SUBSTITUTE( SUBSTITUTE( SUBSTITUTE( SUBSTITUTE( SUBSTITUTE( C741, ""۰"", ""0""), ""۱"", ""1""), ""۲"", ""2""), ""۳"", ""3""), ""۴"", ""4""), ""۵"", ""5""), ""۶"", ""6"&amp;"""), ""۷"", ""7""), ""۸"", ""8""), ""۹"", ""9""), IF(LEFT(converted,3)=""+98"", ""0"" &amp; RIGHT(converted, LEN(converted)-3), IF(LEFT(converted,2)=""98"", ""0"" &amp; RIGHT(converted, LEN(converted)-2), IF(LEFT(converted,1)&lt;&gt;""0"", ""0"" &amp; converted, REGEXREPLA"&amp;"CE(converted , ""\s"", """")) ) ) ) )"),"#ERROR!")</f>
        <v>#ERROR!</v>
      </c>
      <c r="E741" s="205" t="s">
        <v>17</v>
      </c>
      <c r="F741" s="206">
        <v>6.0</v>
      </c>
      <c r="G741" s="213" t="s">
        <v>730</v>
      </c>
      <c r="H741" s="202" t="s">
        <v>4123</v>
      </c>
      <c r="I741" s="203"/>
      <c r="J741" s="203"/>
      <c r="K741" s="202" t="s">
        <v>4124</v>
      </c>
      <c r="L741" s="202" t="s">
        <v>4125</v>
      </c>
      <c r="M741" s="202"/>
      <c r="N741" s="202"/>
      <c r="O741" s="202"/>
      <c r="P741" s="202"/>
      <c r="Q741" s="208"/>
      <c r="R741" s="86"/>
      <c r="S741" s="114">
        <f t="shared" ref="S741:T741" si="742">A741</f>
        <v>741</v>
      </c>
      <c r="T741" s="114" t="str">
        <f t="shared" si="742"/>
        <v>صابر خورشیدی</v>
      </c>
      <c r="U741" s="86" t="str">
        <f t="shared" si="3"/>
        <v>#ERROR!</v>
      </c>
      <c r="V741" s="86" t="str">
        <f t="shared" si="4"/>
        <v>پیش‌وایی 6</v>
      </c>
      <c r="W741" s="86"/>
      <c r="X741" s="86"/>
    </row>
    <row r="742">
      <c r="A742" s="192">
        <v>742.0</v>
      </c>
      <c r="B742" s="193" t="s">
        <v>4126</v>
      </c>
      <c r="C742" s="194" t="str">
        <f>+98 937 157 0984</f>
        <v>#ERROR!</v>
      </c>
      <c r="D742" s="195" t="str">
        <f>IFERROR(__xludf.DUMMYFUNCTION("ARRAYFORMULA(LET( converted, SUBSTITUTE( SUBSTITUTE( SUBSTITUTE( SUBSTITUTE( SUBSTITUTE( SUBSTITUTE( SUBSTITUTE( SUBSTITUTE( SUBSTITUTE( SUBSTITUTE( C742, ""۰"", ""0""), ""۱"", ""1""), ""۲"", ""2""), ""۳"", ""3""), ""۴"", ""4""), ""۵"", ""5""), ""۶"", ""6"&amp;"""), ""۷"", ""7""), ""۸"", ""8""), ""۹"", ""9""), IF(LEFT(converted,3)=""+98"", ""0"" &amp; RIGHT(converted, LEN(converted)-3), IF(LEFT(converted,2)=""98"", ""0"" &amp; RIGHT(converted, LEN(converted)-2), IF(LEFT(converted,1)&lt;&gt;""0"", ""0"" &amp; converted, REGEXREPLA"&amp;"CE(converted , ""\s"", """")) ) ) ) )"),"#ERROR!")</f>
        <v>#ERROR!</v>
      </c>
      <c r="E742" s="196" t="s">
        <v>17</v>
      </c>
      <c r="F742" s="197">
        <v>6.0</v>
      </c>
      <c r="G742" s="212" t="s">
        <v>746</v>
      </c>
      <c r="H742" s="193" t="s">
        <v>4127</v>
      </c>
      <c r="I742" s="194"/>
      <c r="J742" s="194"/>
      <c r="K742" s="193" t="s">
        <v>1685</v>
      </c>
      <c r="L742" s="193" t="s">
        <v>4128</v>
      </c>
      <c r="M742" s="193"/>
      <c r="N742" s="193"/>
      <c r="O742" s="193"/>
      <c r="P742" s="193"/>
      <c r="Q742" s="200"/>
      <c r="R742" s="86"/>
      <c r="S742" s="114">
        <f t="shared" ref="S742:T742" si="743">A742</f>
        <v>742</v>
      </c>
      <c r="T742" s="114" t="str">
        <f t="shared" si="743"/>
        <v>سارا مولا هویزه</v>
      </c>
      <c r="U742" s="86" t="str">
        <f t="shared" si="3"/>
        <v>#ERROR!</v>
      </c>
      <c r="V742" s="86" t="str">
        <f t="shared" si="4"/>
        <v>پیش‌وایی 6</v>
      </c>
      <c r="W742" s="86"/>
      <c r="X742" s="86"/>
    </row>
    <row r="743">
      <c r="A743" s="201">
        <v>743.0</v>
      </c>
      <c r="B743" s="202" t="s">
        <v>4129</v>
      </c>
      <c r="C743" s="203" t="s">
        <v>4130</v>
      </c>
      <c r="D743" s="204" t="str">
        <f>IFERROR(__xludf.DUMMYFUNCTION("ARRAYFORMULA(LET( converted, SUBSTITUTE( SUBSTITUTE( SUBSTITUTE( SUBSTITUTE( SUBSTITUTE( SUBSTITUTE( SUBSTITUTE( SUBSTITUTE( SUBSTITUTE( SUBSTITUTE( C743, ""۰"", ""0""), ""۱"", ""1""), ""۲"", ""2""), ""۳"", ""3""), ""۴"", ""4""), ""۵"", ""5""), ""۶"", ""6"&amp;"""), ""۷"", ""7""), ""۸"", ""8""), ""۹"", ""9""), IF(LEFT(converted,3)=""+98"", ""0"" &amp; RIGHT(converted, LEN(converted)-3), IF(LEFT(converted,2)=""98"", ""0"" &amp; RIGHT(converted, LEN(converted)-2), IF(LEFT(converted,1)&lt;&gt;""0"", ""0"" &amp; converted, REGEXREPLA"&amp;"CE(converted , ""\s"", """")) ) ) ) )"),"09148331349")</f>
        <v>09148331349</v>
      </c>
      <c r="E743" s="205" t="s">
        <v>17</v>
      </c>
      <c r="F743" s="206">
        <v>6.0</v>
      </c>
      <c r="G743" s="213" t="s">
        <v>746</v>
      </c>
      <c r="H743" s="202" t="s">
        <v>4131</v>
      </c>
      <c r="I743" s="203"/>
      <c r="J743" s="203"/>
      <c r="K743" s="202" t="s">
        <v>2955</v>
      </c>
      <c r="L743" s="202" t="s">
        <v>4132</v>
      </c>
      <c r="M743" s="202"/>
      <c r="N743" s="202"/>
      <c r="O743" s="202"/>
      <c r="P743" s="202"/>
      <c r="Q743" s="208"/>
      <c r="R743" s="86"/>
      <c r="S743" s="114">
        <f t="shared" ref="S743:T743" si="744">A743</f>
        <v>743</v>
      </c>
      <c r="T743" s="114" t="str">
        <f t="shared" si="744"/>
        <v>نوشین علی اشرفی</v>
      </c>
      <c r="U743" s="86" t="str">
        <f t="shared" si="3"/>
        <v>09148331349</v>
      </c>
      <c r="V743" s="86" t="str">
        <f t="shared" si="4"/>
        <v>پیش‌وایی 6</v>
      </c>
      <c r="W743" s="86"/>
      <c r="X743" s="86"/>
    </row>
    <row r="744">
      <c r="A744" s="192">
        <v>744.0</v>
      </c>
      <c r="B744" s="193" t="s">
        <v>4133</v>
      </c>
      <c r="C744" s="194" t="s">
        <v>4134</v>
      </c>
      <c r="D744" s="195" t="str">
        <f>IFERROR(__xludf.DUMMYFUNCTION("ARRAYFORMULA(LET( converted, SUBSTITUTE( SUBSTITUTE( SUBSTITUTE( SUBSTITUTE( SUBSTITUTE( SUBSTITUTE( SUBSTITUTE( SUBSTITUTE( SUBSTITUTE( SUBSTITUTE( C744, ""۰"", ""0""), ""۱"", ""1""), ""۲"", ""2""), ""۳"", ""3""), ""۴"", ""4""), ""۵"", ""5""), ""۶"", ""6"&amp;"""), ""۷"", ""7""), ""۸"", ""8""), ""۹"", ""9""), IF(LEFT(converted,3)=""+98"", ""0"" &amp; RIGHT(converted, LEN(converted)-3), IF(LEFT(converted,2)=""98"", ""0"" &amp; RIGHT(converted, LEN(converted)-2), IF(LEFT(converted,1)&lt;&gt;""0"", ""0"" &amp; converted, REGEXREPLA"&amp;"CE(converted , ""\s"", """")) ) ) ) )"),"09127192230")</f>
        <v>09127192230</v>
      </c>
      <c r="E744" s="196" t="s">
        <v>17</v>
      </c>
      <c r="F744" s="197">
        <v>6.0</v>
      </c>
      <c r="G744" s="212" t="s">
        <v>730</v>
      </c>
      <c r="H744" s="193" t="s">
        <v>4135</v>
      </c>
      <c r="I744" s="194"/>
      <c r="J744" s="194"/>
      <c r="K744" s="193" t="s">
        <v>342</v>
      </c>
      <c r="L744" s="193" t="s">
        <v>4136</v>
      </c>
      <c r="M744" s="193"/>
      <c r="N744" s="193"/>
      <c r="O744" s="193"/>
      <c r="P744" s="193"/>
      <c r="Q744" s="200"/>
      <c r="R744" s="86"/>
      <c r="S744" s="114">
        <f t="shared" ref="S744:T744" si="745">A744</f>
        <v>744</v>
      </c>
      <c r="T744" s="114" t="str">
        <f t="shared" si="745"/>
        <v>آرش خسرویان</v>
      </c>
      <c r="U744" s="86" t="str">
        <f t="shared" si="3"/>
        <v>09127192230</v>
      </c>
      <c r="V744" s="86" t="str">
        <f t="shared" si="4"/>
        <v>پیش‌وایی 6</v>
      </c>
      <c r="W744" s="86"/>
      <c r="X744" s="86"/>
    </row>
    <row r="745">
      <c r="A745" s="201">
        <v>745.0</v>
      </c>
      <c r="B745" s="202" t="s">
        <v>4137</v>
      </c>
      <c r="C745" s="203" t="s">
        <v>4138</v>
      </c>
      <c r="D745" s="204" t="str">
        <f>IFERROR(__xludf.DUMMYFUNCTION("ARRAYFORMULA(LET( converted, SUBSTITUTE( SUBSTITUTE( SUBSTITUTE( SUBSTITUTE( SUBSTITUTE( SUBSTITUTE( SUBSTITUTE( SUBSTITUTE( SUBSTITUTE( SUBSTITUTE( C745, ""۰"", ""0""), ""۱"", ""1""), ""۲"", ""2""), ""۳"", ""3""), ""۴"", ""4""), ""۵"", ""5""), ""۶"", ""6"&amp;"""), ""۷"", ""7""), ""۸"", ""8""), ""۹"", ""9""), IF(LEFT(converted,3)=""+98"", ""0"" &amp; RIGHT(converted, LEN(converted)-3), IF(LEFT(converted,2)=""98"", ""0"" &amp; RIGHT(converted, LEN(converted)-2), IF(LEFT(converted,1)&lt;&gt;""0"", ""0"" &amp; converted, REGEXREPLA"&amp;"CE(converted , ""\s"", """")) ) ) ) )"),"09155127849")</f>
        <v>09155127849</v>
      </c>
      <c r="E745" s="205" t="s">
        <v>17</v>
      </c>
      <c r="F745" s="206">
        <v>6.0</v>
      </c>
      <c r="G745" s="213" t="s">
        <v>730</v>
      </c>
      <c r="H745" s="202" t="s">
        <v>4139</v>
      </c>
      <c r="I745" s="203"/>
      <c r="J745" s="203"/>
      <c r="K745" s="202" t="s">
        <v>259</v>
      </c>
      <c r="L745" s="202" t="s">
        <v>3956</v>
      </c>
      <c r="M745" s="202"/>
      <c r="N745" s="202"/>
      <c r="O745" s="202"/>
      <c r="P745" s="202"/>
      <c r="Q745" s="208"/>
      <c r="R745" s="86"/>
      <c r="S745" s="114">
        <f t="shared" ref="S745:T745" si="746">A745</f>
        <v>745</v>
      </c>
      <c r="T745" s="114" t="str">
        <f t="shared" si="746"/>
        <v>علیرضا سعیدی</v>
      </c>
      <c r="U745" s="86" t="str">
        <f t="shared" si="3"/>
        <v>09155127849</v>
      </c>
      <c r="V745" s="86" t="str">
        <f t="shared" si="4"/>
        <v>پیش‌وایی 6</v>
      </c>
      <c r="W745" s="86"/>
      <c r="X745" s="86"/>
    </row>
    <row r="746">
      <c r="A746" s="192">
        <v>746.0</v>
      </c>
      <c r="B746" s="193" t="s">
        <v>4140</v>
      </c>
      <c r="C746" s="194" t="s">
        <v>4141</v>
      </c>
      <c r="D746" s="195" t="str">
        <f>IFERROR(__xludf.DUMMYFUNCTION("ARRAYFORMULA(LET( converted, SUBSTITUTE( SUBSTITUTE( SUBSTITUTE( SUBSTITUTE( SUBSTITUTE( SUBSTITUTE( SUBSTITUTE( SUBSTITUTE( SUBSTITUTE( SUBSTITUTE( C746, ""۰"", ""0""), ""۱"", ""1""), ""۲"", ""2""), ""۳"", ""3""), ""۴"", ""4""), ""۵"", ""5""), ""۶"", ""6"&amp;"""), ""۷"", ""7""), ""۸"", ""8""), ""۹"", ""9""), IF(LEFT(converted,3)=""+98"", ""0"" &amp; RIGHT(converted, LEN(converted)-3), IF(LEFT(converted,2)=""98"", ""0"" &amp; RIGHT(converted, LEN(converted)-2), IF(LEFT(converted,1)&lt;&gt;""0"", ""0"" &amp; converted, REGEXREPLA"&amp;"CE(converted , ""\s"", """")) ) ) ) )"),"09163918667")</f>
        <v>09163918667</v>
      </c>
      <c r="E746" s="196" t="s">
        <v>17</v>
      </c>
      <c r="F746" s="197">
        <v>6.0</v>
      </c>
      <c r="G746" s="212" t="s">
        <v>730</v>
      </c>
      <c r="H746" s="193" t="s">
        <v>4142</v>
      </c>
      <c r="I746" s="194"/>
      <c r="J746" s="194"/>
      <c r="K746" s="193" t="s">
        <v>960</v>
      </c>
      <c r="L746" s="193" t="s">
        <v>1012</v>
      </c>
      <c r="M746" s="193"/>
      <c r="N746" s="193"/>
      <c r="O746" s="193"/>
      <c r="P746" s="193"/>
      <c r="Q746" s="200"/>
      <c r="R746" s="86"/>
      <c r="S746" s="114">
        <f t="shared" ref="S746:T746" si="747">A746</f>
        <v>746</v>
      </c>
      <c r="T746" s="114" t="str">
        <f t="shared" si="747"/>
        <v>احمد محمدی</v>
      </c>
      <c r="U746" s="86" t="str">
        <f t="shared" si="3"/>
        <v>09163918667</v>
      </c>
      <c r="V746" s="86" t="str">
        <f t="shared" si="4"/>
        <v>پیش‌وایی 6</v>
      </c>
      <c r="W746" s="86"/>
      <c r="X746" s="86"/>
    </row>
    <row r="747">
      <c r="A747" s="201">
        <v>747.0</v>
      </c>
      <c r="B747" s="202" t="s">
        <v>4143</v>
      </c>
      <c r="C747" s="203" t="str">
        <f>+98 915 148 5244</f>
        <v>#ERROR!</v>
      </c>
      <c r="D747" s="204" t="str">
        <f>IFERROR(__xludf.DUMMYFUNCTION("ARRAYFORMULA(LET( converted, SUBSTITUTE( SUBSTITUTE( SUBSTITUTE( SUBSTITUTE( SUBSTITUTE( SUBSTITUTE( SUBSTITUTE( SUBSTITUTE( SUBSTITUTE( SUBSTITUTE( C747, ""۰"", ""0""), ""۱"", ""1""), ""۲"", ""2""), ""۳"", ""3""), ""۴"", ""4""), ""۵"", ""5""), ""۶"", ""6"&amp;"""), ""۷"", ""7""), ""۸"", ""8""), ""۹"", ""9""), IF(LEFT(converted,3)=""+98"", ""0"" &amp; RIGHT(converted, LEN(converted)-3), IF(LEFT(converted,2)=""98"", ""0"" &amp; RIGHT(converted, LEN(converted)-2), IF(LEFT(converted,1)&lt;&gt;""0"", ""0"" &amp; converted, REGEXREPLA"&amp;"CE(converted , ""\s"", """")) ) ) ) )"),"#ERROR!")</f>
        <v>#ERROR!</v>
      </c>
      <c r="E747" s="205" t="s">
        <v>17</v>
      </c>
      <c r="F747" s="206">
        <v>6.0</v>
      </c>
      <c r="G747" s="213" t="s">
        <v>730</v>
      </c>
      <c r="H747" s="202"/>
      <c r="I747" s="203"/>
      <c r="J747" s="203"/>
      <c r="K747" s="202" t="s">
        <v>996</v>
      </c>
      <c r="L747" s="202" t="s">
        <v>4144</v>
      </c>
      <c r="M747" s="202"/>
      <c r="N747" s="202"/>
      <c r="O747" s="202"/>
      <c r="P747" s="202"/>
      <c r="Q747" s="208"/>
      <c r="R747" s="86"/>
      <c r="S747" s="114">
        <f t="shared" ref="S747:T747" si="748">A747</f>
        <v>747</v>
      </c>
      <c r="T747" s="114" t="str">
        <f t="shared" si="748"/>
        <v>حسام ؟</v>
      </c>
      <c r="U747" s="86" t="str">
        <f t="shared" si="3"/>
        <v>#ERROR!</v>
      </c>
      <c r="V747" s="86" t="str">
        <f t="shared" si="4"/>
        <v>پیش‌وایی 6</v>
      </c>
      <c r="W747" s="86"/>
      <c r="X747" s="86"/>
    </row>
    <row r="748">
      <c r="A748" s="192">
        <v>748.0</v>
      </c>
      <c r="B748" s="199" t="s">
        <v>4145</v>
      </c>
      <c r="C748" s="194" t="s">
        <v>4146</v>
      </c>
      <c r="D748" s="195" t="str">
        <f>IFERROR(__xludf.DUMMYFUNCTION("ARRAYFORMULA(LET( converted, SUBSTITUTE( SUBSTITUTE( SUBSTITUTE( SUBSTITUTE( SUBSTITUTE( SUBSTITUTE( SUBSTITUTE( SUBSTITUTE( SUBSTITUTE( SUBSTITUTE( C748, ""۰"", ""0""), ""۱"", ""1""), ""۲"", ""2""), ""۳"", ""3""), ""۴"", ""4""), ""۵"", ""5""), ""۶"", ""6"&amp;"""), ""۷"", ""7""), ""۸"", ""8""), ""۹"", ""9""), IF(LEFT(converted,3)=""+98"", ""0"" &amp; RIGHT(converted, LEN(converted)-3), IF(LEFT(converted,2)=""98"", ""0"" &amp; RIGHT(converted, LEN(converted)-2), IF(LEFT(converted,1)&lt;&gt;""0"", ""0"" &amp; converted, REGEXREPLA"&amp;"CE(converted , ""\s"", """")) ) ) ) )"),"07830776620")</f>
        <v>07830776620</v>
      </c>
      <c r="E748" s="196" t="s">
        <v>17</v>
      </c>
      <c r="F748" s="197">
        <v>6.0</v>
      </c>
      <c r="G748" s="212" t="s">
        <v>730</v>
      </c>
      <c r="H748" s="193" t="s">
        <v>4147</v>
      </c>
      <c r="I748" s="194"/>
      <c r="J748" s="194"/>
      <c r="K748" s="193" t="s">
        <v>4148</v>
      </c>
      <c r="L748" s="193" t="s">
        <v>4149</v>
      </c>
      <c r="M748" s="193"/>
      <c r="N748" s="193"/>
      <c r="O748" s="193"/>
      <c r="P748" s="193"/>
      <c r="Q748" s="200"/>
      <c r="R748" s="86"/>
      <c r="S748" s="114">
        <f t="shared" ref="S748:T748" si="749">A748</f>
        <v>748</v>
      </c>
      <c r="T748" s="114" t="str">
        <f t="shared" si="749"/>
        <v>احمد الموسوی</v>
      </c>
      <c r="U748" s="86" t="str">
        <f t="shared" si="3"/>
        <v>07830776620</v>
      </c>
      <c r="V748" s="86" t="str">
        <f t="shared" si="4"/>
        <v>پیش‌وایی 6</v>
      </c>
      <c r="W748" s="86"/>
      <c r="X748" s="86"/>
    </row>
    <row r="749">
      <c r="A749" s="201">
        <v>749.0</v>
      </c>
      <c r="B749" s="202" t="s">
        <v>4150</v>
      </c>
      <c r="C749" s="203" t="s">
        <v>4151</v>
      </c>
      <c r="D749" s="204" t="str">
        <f>IFERROR(__xludf.DUMMYFUNCTION("ARRAYFORMULA(LET( converted, SUBSTITUTE( SUBSTITUTE( SUBSTITUTE( SUBSTITUTE( SUBSTITUTE( SUBSTITUTE( SUBSTITUTE( SUBSTITUTE( SUBSTITUTE( SUBSTITUTE( C749, ""۰"", ""0""), ""۱"", ""1""), ""۲"", ""2""), ""۳"", ""3""), ""۴"", ""4""), ""۵"", ""5""), ""۶"", ""6"&amp;"""), ""۷"", ""7""), ""۸"", ""8""), ""۹"", ""9""), IF(LEFT(converted,3)=""+98"", ""0"" &amp; RIGHT(converted, LEN(converted)-3), IF(LEFT(converted,2)=""98"", ""0"" &amp; RIGHT(converted, LEN(converted)-2), IF(LEFT(converted,1)&lt;&gt;""0"", ""0"" &amp; converted, REGEXREPLA"&amp;"CE(converted , ""\s"", """")) ) ) ) )"),"09154527323")</f>
        <v>09154527323</v>
      </c>
      <c r="E749" s="205" t="s">
        <v>17</v>
      </c>
      <c r="F749" s="206">
        <v>6.0</v>
      </c>
      <c r="G749" s="213" t="s">
        <v>730</v>
      </c>
      <c r="H749" s="202" t="s">
        <v>4152</v>
      </c>
      <c r="I749" s="203"/>
      <c r="J749" s="203"/>
      <c r="K749" s="202" t="s">
        <v>311</v>
      </c>
      <c r="L749" s="202" t="s">
        <v>2573</v>
      </c>
      <c r="M749" s="202"/>
      <c r="N749" s="202"/>
      <c r="O749" s="202"/>
      <c r="P749" s="202"/>
      <c r="Q749" s="208"/>
      <c r="R749" s="86"/>
      <c r="S749" s="114">
        <f t="shared" ref="S749:T749" si="750">A749</f>
        <v>749</v>
      </c>
      <c r="T749" s="114" t="str">
        <f t="shared" si="750"/>
        <v>محسن جعفری</v>
      </c>
      <c r="U749" s="86" t="str">
        <f t="shared" si="3"/>
        <v>09154527323</v>
      </c>
      <c r="V749" s="86" t="str">
        <f t="shared" si="4"/>
        <v>پیش‌وایی 6</v>
      </c>
      <c r="W749" s="86"/>
      <c r="X749" s="86"/>
    </row>
    <row r="750">
      <c r="A750" s="192">
        <v>750.0</v>
      </c>
      <c r="B750" s="193" t="s">
        <v>4153</v>
      </c>
      <c r="C750" s="194" t="s">
        <v>4154</v>
      </c>
      <c r="D750" s="195" t="str">
        <f>IFERROR(__xludf.DUMMYFUNCTION("ARRAYFORMULA(LET( converted, SUBSTITUTE( SUBSTITUTE( SUBSTITUTE( SUBSTITUTE( SUBSTITUTE( SUBSTITUTE( SUBSTITUTE( SUBSTITUTE( SUBSTITUTE( SUBSTITUTE( C750, ""۰"", ""0""), ""۱"", ""1""), ""۲"", ""2""), ""۳"", ""3""), ""۴"", ""4""), ""۵"", ""5""), ""۶"", ""6"&amp;"""), ""۷"", ""7""), ""۸"", ""8""), ""۹"", ""9""), IF(LEFT(converted,3)=""+98"", ""0"" &amp; RIGHT(converted, LEN(converted)-3), IF(LEFT(converted,2)=""98"", ""0"" &amp; RIGHT(converted, LEN(converted)-2), IF(LEFT(converted,1)&lt;&gt;""0"", ""0"" &amp; converted, REGEXREPLA"&amp;"CE(converted , ""\s"", """")) ) ) ) )"),"09124309373")</f>
        <v>09124309373</v>
      </c>
      <c r="E750" s="196" t="s">
        <v>17</v>
      </c>
      <c r="F750" s="197">
        <v>6.0</v>
      </c>
      <c r="G750" s="212" t="s">
        <v>730</v>
      </c>
      <c r="H750" s="193" t="s">
        <v>4155</v>
      </c>
      <c r="I750" s="194"/>
      <c r="J750" s="194"/>
      <c r="K750" s="193" t="s">
        <v>758</v>
      </c>
      <c r="L750" s="193" t="s">
        <v>1352</v>
      </c>
      <c r="M750" s="193"/>
      <c r="N750" s="193"/>
      <c r="O750" s="193"/>
      <c r="P750" s="193"/>
      <c r="Q750" s="200"/>
      <c r="R750" s="86"/>
      <c r="S750" s="114">
        <f t="shared" ref="S750:T750" si="751">A750</f>
        <v>750</v>
      </c>
      <c r="T750" s="114" t="str">
        <f t="shared" si="751"/>
        <v>سعید طاهری</v>
      </c>
      <c r="U750" s="86" t="str">
        <f t="shared" si="3"/>
        <v>09124309373</v>
      </c>
      <c r="V750" s="86" t="str">
        <f t="shared" si="4"/>
        <v>پیش‌وایی 6</v>
      </c>
      <c r="W750" s="86"/>
      <c r="X750" s="86"/>
    </row>
    <row r="751">
      <c r="A751" s="201">
        <v>751.0</v>
      </c>
      <c r="B751" s="202" t="s">
        <v>4156</v>
      </c>
      <c r="C751" s="203" t="s">
        <v>4157</v>
      </c>
      <c r="D751" s="204" t="str">
        <f>IFERROR(__xludf.DUMMYFUNCTION("ARRAYFORMULA(LET( converted, SUBSTITUTE( SUBSTITUTE( SUBSTITUTE( SUBSTITUTE( SUBSTITUTE( SUBSTITUTE( SUBSTITUTE( SUBSTITUTE( SUBSTITUTE( SUBSTITUTE( C751, ""۰"", ""0""), ""۱"", ""1""), ""۲"", ""2""), ""۳"", ""3""), ""۴"", ""4""), ""۵"", ""5""), ""۶"", ""6"&amp;"""), ""۷"", ""7""), ""۸"", ""8""), ""۹"", ""9""), IF(LEFT(converted,3)=""+98"", ""0"" &amp; RIGHT(converted, LEN(converted)-3), IF(LEFT(converted,2)=""98"", ""0"" &amp; RIGHT(converted, LEN(converted)-2), IF(LEFT(converted,1)&lt;&gt;""0"", ""0"" &amp; converted, REGEXREPLA"&amp;"CE(converted , ""\s"", """")) ) ) ) )"),"09129382842")</f>
        <v>09129382842</v>
      </c>
      <c r="E751" s="205" t="s">
        <v>17</v>
      </c>
      <c r="F751" s="206">
        <v>6.0</v>
      </c>
      <c r="G751" s="213" t="s">
        <v>746</v>
      </c>
      <c r="H751" s="202" t="s">
        <v>4158</v>
      </c>
      <c r="I751" s="203"/>
      <c r="J751" s="203"/>
      <c r="K751" s="202" t="s">
        <v>1398</v>
      </c>
      <c r="L751" s="202" t="s">
        <v>4159</v>
      </c>
      <c r="M751" s="202"/>
      <c r="N751" s="202"/>
      <c r="O751" s="202"/>
      <c r="P751" s="202"/>
      <c r="Q751" s="208"/>
      <c r="R751" s="86"/>
      <c r="S751" s="114">
        <f t="shared" ref="S751:T751" si="752">A751</f>
        <v>751</v>
      </c>
      <c r="T751" s="114" t="str">
        <f t="shared" si="752"/>
        <v>زهرا تجویدیان</v>
      </c>
      <c r="U751" s="86" t="str">
        <f t="shared" si="3"/>
        <v>09129382842</v>
      </c>
      <c r="V751" s="86" t="str">
        <f t="shared" si="4"/>
        <v>پیش‌وایی 6</v>
      </c>
      <c r="W751" s="86"/>
      <c r="X751" s="86"/>
    </row>
    <row r="752">
      <c r="A752" s="192">
        <v>752.0</v>
      </c>
      <c r="B752" s="193" t="s">
        <v>2666</v>
      </c>
      <c r="C752" s="194" t="s">
        <v>2667</v>
      </c>
      <c r="D752" s="195" t="str">
        <f>IFERROR(__xludf.DUMMYFUNCTION("ARRAYFORMULA(LET( converted, SUBSTITUTE( SUBSTITUTE( SUBSTITUTE( SUBSTITUTE( SUBSTITUTE( SUBSTITUTE( SUBSTITUTE( SUBSTITUTE( SUBSTITUTE( SUBSTITUTE( C752, ""۰"", ""0""), ""۱"", ""1""), ""۲"", ""2""), ""۳"", ""3""), ""۴"", ""4""), ""۵"", ""5""), ""۶"", ""6"&amp;"""), ""۷"", ""7""), ""۸"", ""8""), ""۹"", ""9""), IF(LEFT(converted,3)=""+98"", ""0"" &amp; RIGHT(converted, LEN(converted)-3), IF(LEFT(converted,2)=""98"", ""0"" &amp; RIGHT(converted, LEN(converted)-2), IF(LEFT(converted,1)&lt;&gt;""0"", ""0"" &amp; converted, REGEXREPLA"&amp;"CE(converted , ""\s"", """")) ) ) ) )"),"09122498488")</f>
        <v>09122498488</v>
      </c>
      <c r="E752" s="196" t="s">
        <v>17</v>
      </c>
      <c r="F752" s="197">
        <v>6.0</v>
      </c>
      <c r="G752" s="212" t="s">
        <v>746</v>
      </c>
      <c r="H752" s="193"/>
      <c r="I752" s="194"/>
      <c r="J752" s="194"/>
      <c r="K752" s="193" t="s">
        <v>2670</v>
      </c>
      <c r="L752" s="193" t="s">
        <v>2671</v>
      </c>
      <c r="M752" s="193"/>
      <c r="N752" s="193"/>
      <c r="O752" s="193"/>
      <c r="P752" s="193"/>
      <c r="Q752" s="200"/>
      <c r="R752" s="86"/>
      <c r="S752" s="114">
        <f t="shared" ref="S752:T752" si="753">A752</f>
        <v>752</v>
      </c>
      <c r="T752" s="114" t="str">
        <f t="shared" si="753"/>
        <v>فرزانه هراتی</v>
      </c>
      <c r="U752" s="86" t="str">
        <f t="shared" si="3"/>
        <v>09122498488</v>
      </c>
      <c r="V752" s="86" t="str">
        <f t="shared" si="4"/>
        <v>پیش‌وایی 6</v>
      </c>
      <c r="W752" s="86"/>
      <c r="X752" s="86"/>
    </row>
    <row r="753">
      <c r="A753" s="201">
        <v>753.0</v>
      </c>
      <c r="B753" s="207" t="s">
        <v>245</v>
      </c>
      <c r="C753" s="203" t="s">
        <v>4160</v>
      </c>
      <c r="D753" s="204" t="str">
        <f>IFERROR(__xludf.DUMMYFUNCTION("ARRAYFORMULA(LET( converted, SUBSTITUTE( SUBSTITUTE( SUBSTITUTE( SUBSTITUTE( SUBSTITUTE( SUBSTITUTE( SUBSTITUTE( SUBSTITUTE( SUBSTITUTE( SUBSTITUTE( C753, ""۰"", ""0""), ""۱"", ""1""), ""۲"", ""2""), ""۳"", ""3""), ""۴"", ""4""), ""۵"", ""5""), ""۶"", ""6"&amp;"""), ""۷"", ""7""), ""۸"", ""8""), ""۹"", ""9""), IF(LEFT(converted,3)=""+98"", ""0"" &amp; RIGHT(converted, LEN(converted)-3), IF(LEFT(converted,2)=""98"", ""0"" &amp; RIGHT(converted, LEN(converted)-2), IF(LEFT(converted,1)&lt;&gt;""0"", ""0"" &amp; converted, REGEXREPLA"&amp;"CE(converted , ""\s"", """")) ) ) ) )"),"09125398521")</f>
        <v>09125398521</v>
      </c>
      <c r="E753" s="205" t="s">
        <v>17</v>
      </c>
      <c r="F753" s="206">
        <v>6.0</v>
      </c>
      <c r="G753" s="213" t="s">
        <v>730</v>
      </c>
      <c r="H753" s="202" t="s">
        <v>4161</v>
      </c>
      <c r="I753" s="203"/>
      <c r="J753" s="203"/>
      <c r="K753" s="202" t="s">
        <v>4162</v>
      </c>
      <c r="L753" s="202" t="s">
        <v>4163</v>
      </c>
      <c r="M753" s="202"/>
      <c r="N753" s="202"/>
      <c r="O753" s="202"/>
      <c r="P753" s="202"/>
      <c r="Q753" s="208"/>
      <c r="R753" s="86"/>
      <c r="S753" s="114">
        <f t="shared" ref="S753:T753" si="754">A753</f>
        <v>753</v>
      </c>
      <c r="T753" s="114" t="str">
        <f t="shared" si="754"/>
        <v>سام ضرابی</v>
      </c>
      <c r="U753" s="86" t="str">
        <f t="shared" si="3"/>
        <v>09125398521</v>
      </c>
      <c r="V753" s="86" t="str">
        <f t="shared" si="4"/>
        <v>پیش‌وایی 6</v>
      </c>
      <c r="W753" s="86"/>
      <c r="X753" s="86"/>
    </row>
    <row r="754">
      <c r="A754" s="192">
        <v>754.0</v>
      </c>
      <c r="B754" s="193" t="s">
        <v>4164</v>
      </c>
      <c r="C754" s="194" t="s">
        <v>4165</v>
      </c>
      <c r="D754" s="195" t="str">
        <f>IFERROR(__xludf.DUMMYFUNCTION("ARRAYFORMULA(LET( converted, SUBSTITUTE( SUBSTITUTE( SUBSTITUTE( SUBSTITUTE( SUBSTITUTE( SUBSTITUTE( SUBSTITUTE( SUBSTITUTE( SUBSTITUTE( SUBSTITUTE( C754, ""۰"", ""0""), ""۱"", ""1""), ""۲"", ""2""), ""۳"", ""3""), ""۴"", ""4""), ""۵"", ""5""), ""۶"", ""6"&amp;"""), ""۷"", ""7""), ""۸"", ""8""), ""۹"", ""9""), IF(LEFT(converted,3)=""+98"", ""0"" &amp; RIGHT(converted, LEN(converted)-3), IF(LEFT(converted,2)=""98"", ""0"" &amp; RIGHT(converted, LEN(converted)-2), IF(LEFT(converted,1)&lt;&gt;""0"", ""0"" &amp; converted, REGEXREPLA"&amp;"CE(converted , ""\s"", """")) ) ) ) )"),"09929536993")</f>
        <v>09929536993</v>
      </c>
      <c r="E754" s="196" t="s">
        <v>17</v>
      </c>
      <c r="F754" s="197">
        <v>6.0</v>
      </c>
      <c r="G754" s="212" t="s">
        <v>746</v>
      </c>
      <c r="H754" s="193" t="s">
        <v>4166</v>
      </c>
      <c r="I754" s="194"/>
      <c r="J754" s="194"/>
      <c r="K754" s="193" t="s">
        <v>1685</v>
      </c>
      <c r="L754" s="193" t="s">
        <v>1351</v>
      </c>
      <c r="M754" s="193"/>
      <c r="N754" s="193"/>
      <c r="O754" s="193"/>
      <c r="P754" s="193"/>
      <c r="Q754" s="200"/>
      <c r="R754" s="86"/>
      <c r="S754" s="114">
        <f t="shared" ref="S754:T754" si="755">A754</f>
        <v>754</v>
      </c>
      <c r="T754" s="114" t="str">
        <f t="shared" si="755"/>
        <v>سارا حمید</v>
      </c>
      <c r="U754" s="86" t="str">
        <f t="shared" si="3"/>
        <v>09929536993</v>
      </c>
      <c r="V754" s="86" t="str">
        <f t="shared" si="4"/>
        <v>پیش‌وایی 6</v>
      </c>
      <c r="W754" s="86"/>
      <c r="X754" s="86"/>
    </row>
    <row r="755">
      <c r="A755" s="201">
        <v>755.0</v>
      </c>
      <c r="B755" s="202" t="s">
        <v>4167</v>
      </c>
      <c r="C755" s="203" t="s">
        <v>4168</v>
      </c>
      <c r="D755" s="204" t="str">
        <f>IFERROR(__xludf.DUMMYFUNCTION("ARRAYFORMULA(LET( converted, SUBSTITUTE( SUBSTITUTE( SUBSTITUTE( SUBSTITUTE( SUBSTITUTE( SUBSTITUTE( SUBSTITUTE( SUBSTITUTE( SUBSTITUTE( SUBSTITUTE( C755, ""۰"", ""0""), ""۱"", ""1""), ""۲"", ""2""), ""۳"", ""3""), ""۴"", ""4""), ""۵"", ""5""), ""۶"", ""6"&amp;"""), ""۷"", ""7""), ""۸"", ""8""), ""۹"", ""9""), IF(LEFT(converted,3)=""+98"", ""0"" &amp; RIGHT(converted, LEN(converted)-3), IF(LEFT(converted,2)=""98"", ""0"" &amp; RIGHT(converted, LEN(converted)-2), IF(LEFT(converted,1)&lt;&gt;""0"", ""0"" &amp; converted, REGEXREPLA"&amp;"CE(converted , ""\s"", """")) ) ) ) )"),"09142501663")</f>
        <v>09142501663</v>
      </c>
      <c r="E755" s="205" t="s">
        <v>17</v>
      </c>
      <c r="F755" s="206">
        <v>6.0</v>
      </c>
      <c r="G755" s="213" t="s">
        <v>746</v>
      </c>
      <c r="H755" s="202" t="s">
        <v>4169</v>
      </c>
      <c r="I755" s="203"/>
      <c r="J755" s="203"/>
      <c r="K755" s="202" t="s">
        <v>1504</v>
      </c>
      <c r="L755" s="202" t="s">
        <v>4170</v>
      </c>
      <c r="M755" s="202"/>
      <c r="N755" s="202"/>
      <c r="O755" s="202"/>
      <c r="P755" s="202"/>
      <c r="Q755" s="208"/>
      <c r="R755" s="86"/>
      <c r="S755" s="114">
        <f t="shared" ref="S755:T755" si="756">A755</f>
        <v>755</v>
      </c>
      <c r="T755" s="114" t="str">
        <f t="shared" si="756"/>
        <v>مهسا انوری کیا</v>
      </c>
      <c r="U755" s="86" t="str">
        <f t="shared" si="3"/>
        <v>09142501663</v>
      </c>
      <c r="V755" s="86" t="str">
        <f t="shared" si="4"/>
        <v>پیش‌وایی 6</v>
      </c>
      <c r="W755" s="86"/>
      <c r="X755" s="86"/>
    </row>
    <row r="756">
      <c r="A756" s="192">
        <v>756.0</v>
      </c>
      <c r="B756" s="193" t="s">
        <v>4171</v>
      </c>
      <c r="C756" s="194" t="s">
        <v>4172</v>
      </c>
      <c r="D756" s="195" t="str">
        <f>IFERROR(__xludf.DUMMYFUNCTION("ARRAYFORMULA(LET( converted, SUBSTITUTE( SUBSTITUTE( SUBSTITUTE( SUBSTITUTE( SUBSTITUTE( SUBSTITUTE( SUBSTITUTE( SUBSTITUTE( SUBSTITUTE( SUBSTITUTE( C756, ""۰"", ""0""), ""۱"", ""1""), ""۲"", ""2""), ""۳"", ""3""), ""۴"", ""4""), ""۵"", ""5""), ""۶"", ""6"&amp;"""), ""۷"", ""7""), ""۸"", ""8""), ""۹"", ""9""), IF(LEFT(converted,3)=""+98"", ""0"" &amp; RIGHT(converted, LEN(converted)-3), IF(LEFT(converted,2)=""98"", ""0"" &amp; RIGHT(converted, LEN(converted)-2), IF(LEFT(converted,1)&lt;&gt;""0"", ""0"" &amp; converted, REGEXREPLA"&amp;"CE(converted , ""\s"", """")) ) ) ) )"),"09121352110")</f>
        <v>09121352110</v>
      </c>
      <c r="E756" s="196" t="s">
        <v>17</v>
      </c>
      <c r="F756" s="197">
        <v>6.0</v>
      </c>
      <c r="G756" s="212" t="s">
        <v>730</v>
      </c>
      <c r="H756" s="193" t="s">
        <v>4173</v>
      </c>
      <c r="I756" s="194"/>
      <c r="J756" s="194"/>
      <c r="K756" s="193" t="s">
        <v>259</v>
      </c>
      <c r="L756" s="193" t="s">
        <v>4174</v>
      </c>
      <c r="M756" s="193"/>
      <c r="N756" s="193"/>
      <c r="O756" s="193"/>
      <c r="P756" s="193"/>
      <c r="Q756" s="200"/>
      <c r="R756" s="86"/>
      <c r="S756" s="114">
        <f t="shared" ref="S756:T756" si="757">A756</f>
        <v>756</v>
      </c>
      <c r="T756" s="114" t="str">
        <f t="shared" si="757"/>
        <v>علیرضا مروج</v>
      </c>
      <c r="U756" s="86" t="str">
        <f t="shared" si="3"/>
        <v>09121352110</v>
      </c>
      <c r="V756" s="86" t="str">
        <f t="shared" si="4"/>
        <v>پیش‌وایی 6</v>
      </c>
      <c r="W756" s="86"/>
      <c r="X756" s="86"/>
    </row>
    <row r="757">
      <c r="A757" s="201">
        <v>757.0</v>
      </c>
      <c r="B757" s="202" t="s">
        <v>4175</v>
      </c>
      <c r="C757" s="203" t="s">
        <v>4176</v>
      </c>
      <c r="D757" s="204" t="str">
        <f>IFERROR(__xludf.DUMMYFUNCTION("ARRAYFORMULA(LET( converted, SUBSTITUTE( SUBSTITUTE( SUBSTITUTE( SUBSTITUTE( SUBSTITUTE( SUBSTITUTE( SUBSTITUTE( SUBSTITUTE( SUBSTITUTE( SUBSTITUTE( C757, ""۰"", ""0""), ""۱"", ""1""), ""۲"", ""2""), ""۳"", ""3""), ""۴"", ""4""), ""۵"", ""5""), ""۶"", ""6"&amp;"""), ""۷"", ""7""), ""۸"", ""8""), ""۹"", ""9""), IF(LEFT(converted,3)=""+98"", ""0"" &amp; RIGHT(converted, LEN(converted)-3), IF(LEFT(converted,2)=""98"", ""0"" &amp; RIGHT(converted, LEN(converted)-2), IF(LEFT(converted,1)&lt;&gt;""0"", ""0"" &amp; converted, REGEXREPLA"&amp;"CE(converted , ""\s"", """")) ) ) ) )"),"09128522585")</f>
        <v>09128522585</v>
      </c>
      <c r="E757" s="205" t="s">
        <v>17</v>
      </c>
      <c r="F757" s="206">
        <v>6.0</v>
      </c>
      <c r="G757" s="213" t="s">
        <v>730</v>
      </c>
      <c r="H757" s="202" t="s">
        <v>4177</v>
      </c>
      <c r="I757" s="203"/>
      <c r="J757" s="203"/>
      <c r="K757" s="202" t="s">
        <v>259</v>
      </c>
      <c r="L757" s="202" t="s">
        <v>2931</v>
      </c>
      <c r="M757" s="202"/>
      <c r="N757" s="202"/>
      <c r="O757" s="202"/>
      <c r="P757" s="202"/>
      <c r="Q757" s="208"/>
      <c r="R757" s="86"/>
      <c r="S757" s="114">
        <f t="shared" ref="S757:T757" si="758">A757</f>
        <v>757</v>
      </c>
      <c r="T757" s="114" t="str">
        <f t="shared" si="758"/>
        <v>علیرضا رحمت الله</v>
      </c>
      <c r="U757" s="86" t="str">
        <f t="shared" si="3"/>
        <v>09128522585</v>
      </c>
      <c r="V757" s="86" t="str">
        <f t="shared" si="4"/>
        <v>پیش‌وایی 6</v>
      </c>
      <c r="W757" s="86"/>
      <c r="X757" s="86"/>
    </row>
    <row r="758">
      <c r="A758" s="192">
        <v>758.0</v>
      </c>
      <c r="B758" s="193" t="s">
        <v>4178</v>
      </c>
      <c r="C758" s="194" t="s">
        <v>4179</v>
      </c>
      <c r="D758" s="195" t="str">
        <f>IFERROR(__xludf.DUMMYFUNCTION("ARRAYFORMULA(LET( converted, SUBSTITUTE( SUBSTITUTE( SUBSTITUTE( SUBSTITUTE( SUBSTITUTE( SUBSTITUTE( SUBSTITUTE( SUBSTITUTE( SUBSTITUTE( SUBSTITUTE( C758, ""۰"", ""0""), ""۱"", ""1""), ""۲"", ""2""), ""۳"", ""3""), ""۴"", ""4""), ""۵"", ""5""), ""۶"", ""6"&amp;"""), ""۷"", ""7""), ""۸"", ""8""), ""۹"", ""9""), IF(LEFT(converted,3)=""+98"", ""0"" &amp; RIGHT(converted, LEN(converted)-3), IF(LEFT(converted,2)=""98"", ""0"" &amp; RIGHT(converted, LEN(converted)-2), IF(LEFT(converted,1)&lt;&gt;""0"", ""0"" &amp; converted, REGEXREPLA"&amp;"CE(converted , ""\s"", """")) ) ) ) )"),"09125209524")</f>
        <v>09125209524</v>
      </c>
      <c r="E758" s="196" t="s">
        <v>17</v>
      </c>
      <c r="F758" s="197">
        <v>6.0</v>
      </c>
      <c r="G758" s="212" t="s">
        <v>730</v>
      </c>
      <c r="H758" s="193" t="s">
        <v>4180</v>
      </c>
      <c r="I758" s="194"/>
      <c r="J758" s="194"/>
      <c r="K758" s="193" t="s">
        <v>2532</v>
      </c>
      <c r="L758" s="193" t="s">
        <v>4181</v>
      </c>
      <c r="M758" s="193"/>
      <c r="N758" s="193"/>
      <c r="O758" s="193"/>
      <c r="P758" s="193"/>
      <c r="Q758" s="200"/>
      <c r="R758" s="86"/>
      <c r="S758" s="114">
        <f t="shared" ref="S758:T758" si="759">A758</f>
        <v>758</v>
      </c>
      <c r="T758" s="114" t="str">
        <f t="shared" si="759"/>
        <v>شهرام شینی کرم</v>
      </c>
      <c r="U758" s="86" t="str">
        <f t="shared" si="3"/>
        <v>09125209524</v>
      </c>
      <c r="V758" s="86" t="str">
        <f t="shared" si="4"/>
        <v>پیش‌وایی 6</v>
      </c>
      <c r="W758" s="86"/>
      <c r="X758" s="86"/>
    </row>
    <row r="759">
      <c r="A759" s="201">
        <v>759.0</v>
      </c>
      <c r="B759" s="202" t="s">
        <v>4182</v>
      </c>
      <c r="C759" s="203" t="s">
        <v>4183</v>
      </c>
      <c r="D759" s="204" t="str">
        <f>IFERROR(__xludf.DUMMYFUNCTION("ARRAYFORMULA(LET( converted, SUBSTITUTE( SUBSTITUTE( SUBSTITUTE( SUBSTITUTE( SUBSTITUTE( SUBSTITUTE( SUBSTITUTE( SUBSTITUTE( SUBSTITUTE( SUBSTITUTE( C759, ""۰"", ""0""), ""۱"", ""1""), ""۲"", ""2""), ""۳"", ""3""), ""۴"", ""4""), ""۵"", ""5""), ""۶"", ""6"&amp;"""), ""۷"", ""7""), ""۸"", ""8""), ""۹"", ""9""), IF(LEFT(converted,3)=""+98"", ""0"" &amp; RIGHT(converted, LEN(converted)-3), IF(LEFT(converted,2)=""98"", ""0"" &amp; RIGHT(converted, LEN(converted)-2), IF(LEFT(converted,1)&lt;&gt;""0"", ""0"" &amp; converted, REGEXREPLA"&amp;"CE(converted , ""\s"", """")) ) ) ) )"),"09165280522")</f>
        <v>09165280522</v>
      </c>
      <c r="E759" s="205" t="s">
        <v>17</v>
      </c>
      <c r="F759" s="206">
        <v>6.0</v>
      </c>
      <c r="G759" s="213" t="s">
        <v>746</v>
      </c>
      <c r="H759" s="202" t="s">
        <v>4184</v>
      </c>
      <c r="I759" s="203"/>
      <c r="J759" s="203"/>
      <c r="K759" s="202" t="s">
        <v>1944</v>
      </c>
      <c r="L759" s="202" t="s">
        <v>2728</v>
      </c>
      <c r="M759" s="202"/>
      <c r="N759" s="202"/>
      <c r="O759" s="202"/>
      <c r="P759" s="202"/>
      <c r="Q759" s="208"/>
      <c r="R759" s="86"/>
      <c r="S759" s="114">
        <f t="shared" ref="S759:T759" si="760">A759</f>
        <v>759</v>
      </c>
      <c r="T759" s="114" t="str">
        <f t="shared" si="760"/>
        <v>شقایق بحرانی</v>
      </c>
      <c r="U759" s="86" t="str">
        <f t="shared" si="3"/>
        <v>09165280522</v>
      </c>
      <c r="V759" s="86" t="str">
        <f t="shared" si="4"/>
        <v>پیش‌وایی 6</v>
      </c>
      <c r="W759" s="86"/>
      <c r="X759" s="86"/>
    </row>
    <row r="760">
      <c r="A760" s="192">
        <v>760.0</v>
      </c>
      <c r="B760" s="193" t="s">
        <v>4185</v>
      </c>
      <c r="C760" s="194" t="s">
        <v>4186</v>
      </c>
      <c r="D760" s="195" t="str">
        <f>IFERROR(__xludf.DUMMYFUNCTION("ARRAYFORMULA(LET( converted, SUBSTITUTE( SUBSTITUTE( SUBSTITUTE( SUBSTITUTE( SUBSTITUTE( SUBSTITUTE( SUBSTITUTE( SUBSTITUTE( SUBSTITUTE( SUBSTITUTE( C760, ""۰"", ""0""), ""۱"", ""1""), ""۲"", ""2""), ""۳"", ""3""), ""۴"", ""4""), ""۵"", ""5""), ""۶"", ""6"&amp;"""), ""۷"", ""7""), ""۸"", ""8""), ""۹"", ""9""), IF(LEFT(converted,3)=""+98"", ""0"" &amp; RIGHT(converted, LEN(converted)-3), IF(LEFT(converted,2)=""98"", ""0"" &amp; RIGHT(converted, LEN(converted)-2), IF(LEFT(converted,1)&lt;&gt;""0"", ""0"" &amp; converted, REGEXREPLA"&amp;"CE(converted , ""\s"", """")) ) ) ) )"),"09126066927")</f>
        <v>09126066927</v>
      </c>
      <c r="E760" s="196" t="s">
        <v>17</v>
      </c>
      <c r="F760" s="197">
        <v>6.0</v>
      </c>
      <c r="G760" s="212" t="s">
        <v>746</v>
      </c>
      <c r="H760" s="193" t="s">
        <v>4187</v>
      </c>
      <c r="I760" s="194"/>
      <c r="J760" s="194"/>
      <c r="K760" s="193" t="s">
        <v>187</v>
      </c>
      <c r="L760" s="193" t="s">
        <v>4188</v>
      </c>
      <c r="M760" s="193"/>
      <c r="N760" s="193"/>
      <c r="O760" s="193"/>
      <c r="P760" s="193"/>
      <c r="Q760" s="200"/>
      <c r="R760" s="86"/>
      <c r="S760" s="114">
        <f t="shared" ref="S760:T760" si="761">A760</f>
        <v>760</v>
      </c>
      <c r="T760" s="114" t="str">
        <f t="shared" si="761"/>
        <v>نفیسه ساجی</v>
      </c>
      <c r="U760" s="86" t="str">
        <f t="shared" si="3"/>
        <v>09126066927</v>
      </c>
      <c r="V760" s="86" t="str">
        <f t="shared" si="4"/>
        <v>پیش‌وایی 6</v>
      </c>
      <c r="W760" s="86"/>
      <c r="X760" s="86"/>
    </row>
    <row r="761">
      <c r="A761" s="201">
        <v>761.0</v>
      </c>
      <c r="B761" s="207" t="s">
        <v>4189</v>
      </c>
      <c r="C761" s="203" t="s">
        <v>4190</v>
      </c>
      <c r="D761" s="204" t="str">
        <f>IFERROR(__xludf.DUMMYFUNCTION("ARRAYFORMULA(LET( converted, SUBSTITUTE( SUBSTITUTE( SUBSTITUTE( SUBSTITUTE( SUBSTITUTE( SUBSTITUTE( SUBSTITUTE( SUBSTITUTE( SUBSTITUTE( SUBSTITUTE( C761, ""۰"", ""0""), ""۱"", ""1""), ""۲"", ""2""), ""۳"", ""3""), ""۴"", ""4""), ""۵"", ""5""), ""۶"", ""6"&amp;"""), ""۷"", ""7""), ""۸"", ""8""), ""۹"", ""9""), IF(LEFT(converted,3)=""+98"", ""0"" &amp; RIGHT(converted, LEN(converted)-3), IF(LEFT(converted,2)=""98"", ""0"" &amp; RIGHT(converted, LEN(converted)-2), IF(LEFT(converted,1)&lt;&gt;""0"", ""0"" &amp; converted, REGEXREPLA"&amp;"CE(converted , ""\s"", """")) ) ) ) )"),"09037766234")</f>
        <v>09037766234</v>
      </c>
      <c r="E761" s="205" t="s">
        <v>17</v>
      </c>
      <c r="F761" s="206">
        <v>6.0</v>
      </c>
      <c r="G761" s="213" t="s">
        <v>730</v>
      </c>
      <c r="H761" s="202" t="s">
        <v>4191</v>
      </c>
      <c r="I761" s="203"/>
      <c r="J761" s="203"/>
      <c r="K761" s="207" t="s">
        <v>1018</v>
      </c>
      <c r="L761" s="207" t="s">
        <v>4192</v>
      </c>
      <c r="M761" s="202"/>
      <c r="N761" s="202"/>
      <c r="O761" s="202"/>
      <c r="P761" s="202"/>
      <c r="Q761" s="208"/>
      <c r="R761" s="86"/>
      <c r="S761" s="114">
        <f t="shared" ref="S761:T761" si="762">A761</f>
        <v>761</v>
      </c>
      <c r="T761" s="114" t="str">
        <f t="shared" si="762"/>
        <v>علی خزاعی</v>
      </c>
      <c r="U761" s="86" t="str">
        <f t="shared" si="3"/>
        <v>09037766234</v>
      </c>
      <c r="V761" s="86" t="str">
        <f t="shared" si="4"/>
        <v>پیش‌وایی 6</v>
      </c>
      <c r="W761" s="86"/>
      <c r="X761" s="86"/>
    </row>
    <row r="762">
      <c r="A762" s="192">
        <v>762.0</v>
      </c>
      <c r="B762" s="193" t="s">
        <v>4193</v>
      </c>
      <c r="C762" s="194" t="s">
        <v>4194</v>
      </c>
      <c r="D762" s="195" t="str">
        <f>IFERROR(__xludf.DUMMYFUNCTION("ARRAYFORMULA(LET( converted, SUBSTITUTE( SUBSTITUTE( SUBSTITUTE( SUBSTITUTE( SUBSTITUTE( SUBSTITUTE( SUBSTITUTE( SUBSTITUTE( SUBSTITUTE( SUBSTITUTE( C762, ""۰"", ""0""), ""۱"", ""1""), ""۲"", ""2""), ""۳"", ""3""), ""۴"", ""4""), ""۵"", ""5""), ""۶"", ""6"&amp;"""), ""۷"", ""7""), ""۸"", ""8""), ""۹"", ""9""), IF(LEFT(converted,3)=""+98"", ""0"" &amp; RIGHT(converted, LEN(converted)-3), IF(LEFT(converted,2)=""98"", ""0"" &amp; RIGHT(converted, LEN(converted)-2), IF(LEFT(converted,1)&lt;&gt;""0"", ""0"" &amp; converted, REGEXREPLA"&amp;"CE(converted , ""\s"", """")) ) ) ) )"),"09376546166")</f>
        <v>09376546166</v>
      </c>
      <c r="E762" s="196" t="s">
        <v>17</v>
      </c>
      <c r="F762" s="197">
        <v>6.0</v>
      </c>
      <c r="G762" s="212" t="s">
        <v>746</v>
      </c>
      <c r="H762" s="198" t="s">
        <v>4195</v>
      </c>
      <c r="I762" s="194"/>
      <c r="J762" s="194"/>
      <c r="K762" s="193" t="s">
        <v>1398</v>
      </c>
      <c r="L762" s="193" t="s">
        <v>981</v>
      </c>
      <c r="M762" s="193"/>
      <c r="N762" s="193"/>
      <c r="O762" s="193"/>
      <c r="P762" s="193"/>
      <c r="Q762" s="200"/>
      <c r="R762" s="86"/>
      <c r="S762" s="114">
        <f t="shared" ref="S762:T762" si="763">A762</f>
        <v>762</v>
      </c>
      <c r="T762" s="114" t="str">
        <f t="shared" si="763"/>
        <v>زهرا قربانی</v>
      </c>
      <c r="U762" s="86" t="str">
        <f t="shared" si="3"/>
        <v>09376546166</v>
      </c>
      <c r="V762" s="86" t="str">
        <f t="shared" si="4"/>
        <v>پیش‌وایی 6</v>
      </c>
      <c r="W762" s="86"/>
      <c r="X762" s="86"/>
    </row>
    <row r="763">
      <c r="A763" s="201">
        <v>763.0</v>
      </c>
      <c r="B763" s="202" t="s">
        <v>4196</v>
      </c>
      <c r="C763" s="210" t="s">
        <v>4197</v>
      </c>
      <c r="D763" s="204" t="str">
        <f>IFERROR(__xludf.DUMMYFUNCTION("ARRAYFORMULA(LET( converted, SUBSTITUTE( SUBSTITUTE( SUBSTITUTE( SUBSTITUTE( SUBSTITUTE( SUBSTITUTE( SUBSTITUTE( SUBSTITUTE( SUBSTITUTE( SUBSTITUTE( C763, ""۰"", ""0""), ""۱"", ""1""), ""۲"", ""2""), ""۳"", ""3""), ""۴"", ""4""), ""۵"", ""5""), ""۶"", ""6"&amp;"""), ""۷"", ""7""), ""۸"", ""8""), ""۹"", ""9""), IF(LEFT(converted,3)=""+98"", ""0"" &amp; RIGHT(converted, LEN(converted)-3), IF(LEFT(converted,2)=""98"", ""0"" &amp; RIGHT(converted, LEN(converted)-2), IF(LEFT(converted,1)&lt;&gt;""0"", ""0"" &amp; converted, REGEXREPLA"&amp;"CE(converted , ""\s"", """")) ) ) ) )"),"09354299258")</f>
        <v>09354299258</v>
      </c>
      <c r="E763" s="205" t="s">
        <v>17</v>
      </c>
      <c r="F763" s="206">
        <v>6.0</v>
      </c>
      <c r="G763" s="213" t="s">
        <v>730</v>
      </c>
      <c r="H763" s="202" t="s">
        <v>4198</v>
      </c>
      <c r="I763" s="203"/>
      <c r="J763" s="203"/>
      <c r="K763" s="202" t="s">
        <v>286</v>
      </c>
      <c r="L763" s="202" t="s">
        <v>4199</v>
      </c>
      <c r="M763" s="202"/>
      <c r="N763" s="202"/>
      <c r="O763" s="202"/>
      <c r="P763" s="202"/>
      <c r="Q763" s="208"/>
      <c r="R763" s="86"/>
      <c r="S763" s="114">
        <f t="shared" ref="S763:T763" si="764">A763</f>
        <v>763</v>
      </c>
      <c r="T763" s="114" t="str">
        <f t="shared" si="764"/>
        <v>مهدی عباسیان</v>
      </c>
      <c r="U763" s="86" t="str">
        <f t="shared" si="3"/>
        <v>09354299258</v>
      </c>
      <c r="V763" s="86" t="str">
        <f t="shared" si="4"/>
        <v>پیش‌وایی 6</v>
      </c>
      <c r="W763" s="86"/>
      <c r="X763" s="86"/>
    </row>
    <row r="764">
      <c r="A764" s="192">
        <v>764.0</v>
      </c>
      <c r="B764" s="193" t="s">
        <v>4200</v>
      </c>
      <c r="C764" s="194" t="s">
        <v>4201</v>
      </c>
      <c r="D764" s="195" t="str">
        <f>IFERROR(__xludf.DUMMYFUNCTION("ARRAYFORMULA(LET( converted, SUBSTITUTE( SUBSTITUTE( SUBSTITUTE( SUBSTITUTE( SUBSTITUTE( SUBSTITUTE( SUBSTITUTE( SUBSTITUTE( SUBSTITUTE( SUBSTITUTE( C764, ""۰"", ""0""), ""۱"", ""1""), ""۲"", ""2""), ""۳"", ""3""), ""۴"", ""4""), ""۵"", ""5""), ""۶"", ""6"&amp;"""), ""۷"", ""7""), ""۸"", ""8""), ""۹"", ""9""), IF(LEFT(converted,3)=""+98"", ""0"" &amp; RIGHT(converted, LEN(converted)-3), IF(LEFT(converted,2)=""98"", ""0"" &amp; RIGHT(converted, LEN(converted)-2), IF(LEFT(converted,1)&lt;&gt;""0"", ""0"" &amp; converted, REGEXREPLA"&amp;"CE(converted , ""\s"", """")) ) ) ) )"),"09122597327")</f>
        <v>09122597327</v>
      </c>
      <c r="E764" s="196" t="s">
        <v>17</v>
      </c>
      <c r="F764" s="197">
        <v>6.0</v>
      </c>
      <c r="G764" s="212" t="s">
        <v>730</v>
      </c>
      <c r="H764" s="193" t="s">
        <v>4202</v>
      </c>
      <c r="I764" s="194"/>
      <c r="J764" s="194"/>
      <c r="K764" s="193" t="s">
        <v>286</v>
      </c>
      <c r="L764" s="193" t="s">
        <v>3127</v>
      </c>
      <c r="M764" s="193"/>
      <c r="N764" s="193"/>
      <c r="O764" s="193"/>
      <c r="P764" s="193"/>
      <c r="Q764" s="200"/>
      <c r="R764" s="86"/>
      <c r="S764" s="114">
        <f t="shared" ref="S764:T764" si="765">A764</f>
        <v>764</v>
      </c>
      <c r="T764" s="114" t="str">
        <f t="shared" si="765"/>
        <v>مهدی نجار</v>
      </c>
      <c r="U764" s="86" t="str">
        <f t="shared" si="3"/>
        <v>09122597327</v>
      </c>
      <c r="V764" s="86" t="str">
        <f t="shared" si="4"/>
        <v>پیش‌وایی 6</v>
      </c>
      <c r="W764" s="86"/>
      <c r="X764" s="86"/>
    </row>
    <row r="765">
      <c r="A765" s="201">
        <v>765.0</v>
      </c>
      <c r="B765" s="202" t="s">
        <v>4203</v>
      </c>
      <c r="C765" s="210" t="s">
        <v>4204</v>
      </c>
      <c r="D765" s="204" t="str">
        <f>IFERROR(__xludf.DUMMYFUNCTION("ARRAYFORMULA(LET( converted, SUBSTITUTE( SUBSTITUTE( SUBSTITUTE( SUBSTITUTE( SUBSTITUTE( SUBSTITUTE( SUBSTITUTE( SUBSTITUTE( SUBSTITUTE( SUBSTITUTE( C765, ""۰"", ""0""), ""۱"", ""1""), ""۲"", ""2""), ""۳"", ""3""), ""۴"", ""4""), ""۵"", ""5""), ""۶"", ""6"&amp;"""), ""۷"", ""7""), ""۸"", ""8""), ""۹"", ""9""), IF(LEFT(converted,3)=""+98"", ""0"" &amp; RIGHT(converted, LEN(converted)-3), IF(LEFT(converted,2)=""98"", ""0"" &amp; RIGHT(converted, LEN(converted)-2), IF(LEFT(converted,1)&lt;&gt;""0"", ""0"" &amp; converted, REGEXREPLA"&amp;"CE(converted , ""\s"", """")) ) ) ) )"),"09123201068")</f>
        <v>09123201068</v>
      </c>
      <c r="E765" s="205" t="s">
        <v>17</v>
      </c>
      <c r="F765" s="206">
        <v>6.0</v>
      </c>
      <c r="G765" s="213" t="s">
        <v>730</v>
      </c>
      <c r="H765" s="202" t="s">
        <v>4205</v>
      </c>
      <c r="I765" s="203"/>
      <c r="J765" s="203"/>
      <c r="K765" s="202" t="s">
        <v>2347</v>
      </c>
      <c r="L765" s="202" t="s">
        <v>248</v>
      </c>
      <c r="M765" s="202"/>
      <c r="N765" s="202"/>
      <c r="O765" s="202"/>
      <c r="P765" s="202"/>
      <c r="Q765" s="208"/>
      <c r="R765" s="86"/>
      <c r="S765" s="114">
        <f t="shared" ref="S765:T765" si="766">A765</f>
        <v>765</v>
      </c>
      <c r="T765" s="114" t="str">
        <f t="shared" si="766"/>
        <v>هادی صفری</v>
      </c>
      <c r="U765" s="86" t="str">
        <f t="shared" si="3"/>
        <v>09123201068</v>
      </c>
      <c r="V765" s="86" t="str">
        <f t="shared" si="4"/>
        <v>پیش‌وایی 6</v>
      </c>
      <c r="W765" s="86"/>
      <c r="X765" s="86"/>
    </row>
    <row r="766">
      <c r="A766" s="192">
        <v>766.0</v>
      </c>
      <c r="B766" s="193" t="s">
        <v>4206</v>
      </c>
      <c r="C766" s="211" t="s">
        <v>4207</v>
      </c>
      <c r="D766" s="195" t="str">
        <f>IFERROR(__xludf.DUMMYFUNCTION("ARRAYFORMULA(LET( converted, SUBSTITUTE( SUBSTITUTE( SUBSTITUTE( SUBSTITUTE( SUBSTITUTE( SUBSTITUTE( SUBSTITUTE( SUBSTITUTE( SUBSTITUTE( SUBSTITUTE( C766, ""۰"", ""0""), ""۱"", ""1""), ""۲"", ""2""), ""۳"", ""3""), ""۴"", ""4""), ""۵"", ""5""), ""۶"", ""6"&amp;"""), ""۷"", ""7""), ""۸"", ""8""), ""۹"", ""9""), IF(LEFT(converted,3)=""+98"", ""0"" &amp; RIGHT(converted, LEN(converted)-3), IF(LEFT(converted,2)=""98"", ""0"" &amp; RIGHT(converted, LEN(converted)-2), IF(LEFT(converted,1)&lt;&gt;""0"", ""0"" &amp; converted, REGEXREPLA"&amp;"CE(converted , ""\s"", """")) ) ) ) )"),"09124672363")</f>
        <v>09124672363</v>
      </c>
      <c r="E766" s="196" t="s">
        <v>17</v>
      </c>
      <c r="F766" s="197">
        <v>6.0</v>
      </c>
      <c r="G766" s="212" t="s">
        <v>730</v>
      </c>
      <c r="H766" s="193" t="s">
        <v>4208</v>
      </c>
      <c r="I766" s="194"/>
      <c r="J766" s="194"/>
      <c r="K766" s="193" t="s">
        <v>4209</v>
      </c>
      <c r="L766" s="193" t="s">
        <v>4210</v>
      </c>
      <c r="M766" s="193"/>
      <c r="N766" s="193"/>
      <c r="O766" s="193"/>
      <c r="P766" s="193"/>
      <c r="Q766" s="200"/>
      <c r="R766" s="86"/>
      <c r="S766" s="114">
        <f t="shared" ref="S766:T766" si="767">A766</f>
        <v>766</v>
      </c>
      <c r="T766" s="114" t="str">
        <f t="shared" si="767"/>
        <v>شاهرخ موذن</v>
      </c>
      <c r="U766" s="86" t="str">
        <f t="shared" si="3"/>
        <v>09124672363</v>
      </c>
      <c r="V766" s="86" t="str">
        <f t="shared" si="4"/>
        <v>پیش‌وایی 6</v>
      </c>
      <c r="W766" s="86"/>
      <c r="X766" s="86"/>
    </row>
    <row r="767">
      <c r="A767" s="201">
        <v>767.0</v>
      </c>
      <c r="B767" s="202" t="s">
        <v>3594</v>
      </c>
      <c r="C767" s="203" t="s">
        <v>3595</v>
      </c>
      <c r="D767" s="204" t="str">
        <f>IFERROR(__xludf.DUMMYFUNCTION("ARRAYFORMULA(LET( converted, SUBSTITUTE( SUBSTITUTE( SUBSTITUTE( SUBSTITUTE( SUBSTITUTE( SUBSTITUTE( SUBSTITUTE( SUBSTITUTE( SUBSTITUTE( SUBSTITUTE( C767, ""۰"", ""0""), ""۱"", ""1""), ""۲"", ""2""), ""۳"", ""3""), ""۴"", ""4""), ""۵"", ""5""), ""۶"", ""6"&amp;"""), ""۷"", ""7""), ""۸"", ""8""), ""۹"", ""9""), IF(LEFT(converted,3)=""+98"", ""0"" &amp; RIGHT(converted, LEN(converted)-3), IF(LEFT(converted,2)=""98"", ""0"" &amp; RIGHT(converted, LEN(converted)-2), IF(LEFT(converted,1)&lt;&gt;""0"", ""0"" &amp; converted, REGEXREPLA"&amp;"CE(converted , ""\s"", """")) ) ) ) )"),"09127429213")</f>
        <v>09127429213</v>
      </c>
      <c r="E767" s="205" t="s">
        <v>17</v>
      </c>
      <c r="F767" s="206">
        <v>6.0</v>
      </c>
      <c r="G767" s="213" t="s">
        <v>730</v>
      </c>
      <c r="H767" s="202" t="s">
        <v>4211</v>
      </c>
      <c r="I767" s="203"/>
      <c r="J767" s="203"/>
      <c r="K767" s="202" t="s">
        <v>844</v>
      </c>
      <c r="L767" s="202" t="s">
        <v>358</v>
      </c>
      <c r="M767" s="202"/>
      <c r="N767" s="202"/>
      <c r="O767" s="202"/>
      <c r="P767" s="202"/>
      <c r="Q767" s="208"/>
      <c r="R767" s="86"/>
      <c r="S767" s="114">
        <f t="shared" ref="S767:T767" si="768">A767</f>
        <v>767</v>
      </c>
      <c r="T767" s="114" t="str">
        <f t="shared" si="768"/>
        <v>مسعود باقری</v>
      </c>
      <c r="U767" s="86" t="str">
        <f t="shared" si="3"/>
        <v>09127429213</v>
      </c>
      <c r="V767" s="86" t="str">
        <f t="shared" si="4"/>
        <v>پیش‌وایی 6</v>
      </c>
      <c r="W767" s="86"/>
      <c r="X767" s="86"/>
    </row>
    <row r="768">
      <c r="A768" s="192">
        <v>768.0</v>
      </c>
      <c r="B768" s="193" t="s">
        <v>4212</v>
      </c>
      <c r="C768" s="194">
        <f>61476589676</f>
        <v>61476589676</v>
      </c>
      <c r="D768" s="195" t="str">
        <f>IFERROR(__xludf.DUMMYFUNCTION("ARRAYFORMULA(LET( converted, SUBSTITUTE( SUBSTITUTE( SUBSTITUTE( SUBSTITUTE( SUBSTITUTE( SUBSTITUTE( SUBSTITUTE( SUBSTITUTE( SUBSTITUTE( SUBSTITUTE( C768, ""۰"", ""0""), ""۱"", ""1""), ""۲"", ""2""), ""۳"", ""3""), ""۴"", ""4""), ""۵"", ""5""), ""۶"", ""6"&amp;"""), ""۷"", ""7""), ""۸"", ""8""), ""۹"", ""9""), IF(LEFT(converted,3)=""+98"", ""0"" &amp; RIGHT(converted, LEN(converted)-3), IF(LEFT(converted,2)=""98"", ""0"" &amp; RIGHT(converted, LEN(converted)-2), IF(LEFT(converted,1)&lt;&gt;""0"", ""0"" &amp; converted, REGEXREPLA"&amp;"CE(converted , ""\s"", """")) ) ) ) )"),"061476589676")</f>
        <v>061476589676</v>
      </c>
      <c r="E768" s="196" t="s">
        <v>17</v>
      </c>
      <c r="F768" s="197">
        <v>6.0</v>
      </c>
      <c r="G768" s="212" t="s">
        <v>746</v>
      </c>
      <c r="H768" s="193" t="s">
        <v>4213</v>
      </c>
      <c r="I768" s="194"/>
      <c r="J768" s="194"/>
      <c r="K768" s="193" t="s">
        <v>4214</v>
      </c>
      <c r="L768" s="193" t="s">
        <v>4215</v>
      </c>
      <c r="M768" s="193"/>
      <c r="N768" s="193"/>
      <c r="O768" s="193"/>
      <c r="P768" s="193"/>
      <c r="Q768" s="200"/>
      <c r="R768" s="86"/>
      <c r="S768" s="114">
        <f t="shared" ref="S768:T768" si="769">A768</f>
        <v>768</v>
      </c>
      <c r="T768" s="114" t="str">
        <f t="shared" si="769"/>
        <v>راشین کاویتی</v>
      </c>
      <c r="U768" s="86" t="str">
        <f t="shared" si="3"/>
        <v>061476589676</v>
      </c>
      <c r="V768" s="86" t="str">
        <f t="shared" si="4"/>
        <v>پیش‌وایی 6</v>
      </c>
      <c r="W768" s="86"/>
      <c r="X768" s="86"/>
    </row>
    <row r="769">
      <c r="A769" s="201">
        <v>769.0</v>
      </c>
      <c r="B769" s="202" t="s">
        <v>4216</v>
      </c>
      <c r="C769" s="210" t="s">
        <v>4217</v>
      </c>
      <c r="D769" s="204" t="str">
        <f>IFERROR(__xludf.DUMMYFUNCTION("ARRAYFORMULA(LET( converted, SUBSTITUTE( SUBSTITUTE( SUBSTITUTE( SUBSTITUTE( SUBSTITUTE( SUBSTITUTE( SUBSTITUTE( SUBSTITUTE( SUBSTITUTE( SUBSTITUTE( C769, ""۰"", ""0""), ""۱"", ""1""), ""۲"", ""2""), ""۳"", ""3""), ""۴"", ""4""), ""۵"", ""5""), ""۶"", ""6"&amp;"""), ""۷"", ""7""), ""۸"", ""8""), ""۹"", ""9""), IF(LEFT(converted,3)=""+98"", ""0"" &amp; RIGHT(converted, LEN(converted)-3), IF(LEFT(converted,2)=""98"", ""0"" &amp; RIGHT(converted, LEN(converted)-2), IF(LEFT(converted,1)&lt;&gt;""0"", ""0"" &amp; converted, REGEXREPLA"&amp;"CE(converted , ""\s"", """")) ) ) ) )"),"09374869963")</f>
        <v>09374869963</v>
      </c>
      <c r="E769" s="205" t="s">
        <v>17</v>
      </c>
      <c r="F769" s="206">
        <v>6.0</v>
      </c>
      <c r="G769" s="213" t="s">
        <v>746</v>
      </c>
      <c r="H769" s="202" t="s">
        <v>4218</v>
      </c>
      <c r="I769" s="203"/>
      <c r="J769" s="203"/>
      <c r="K769" s="202" t="s">
        <v>1302</v>
      </c>
      <c r="L769" s="202" t="s">
        <v>4219</v>
      </c>
      <c r="M769" s="202"/>
      <c r="N769" s="202"/>
      <c r="O769" s="202"/>
      <c r="P769" s="202"/>
      <c r="Q769" s="208"/>
      <c r="R769" s="86"/>
      <c r="S769" s="114">
        <f t="shared" ref="S769:T769" si="770">A769</f>
        <v>769</v>
      </c>
      <c r="T769" s="114" t="str">
        <f t="shared" si="770"/>
        <v>مونا سیوانی</v>
      </c>
      <c r="U769" s="86" t="str">
        <f t="shared" si="3"/>
        <v>09374869963</v>
      </c>
      <c r="V769" s="86" t="str">
        <f t="shared" si="4"/>
        <v>پیش‌وایی 6</v>
      </c>
      <c r="W769" s="86"/>
      <c r="X769" s="86"/>
    </row>
    <row r="770">
      <c r="A770" s="192">
        <v>770.0</v>
      </c>
      <c r="B770" s="193" t="s">
        <v>4220</v>
      </c>
      <c r="C770" s="194" t="s">
        <v>4221</v>
      </c>
      <c r="D770" s="195" t="str">
        <f>IFERROR(__xludf.DUMMYFUNCTION("ARRAYFORMULA(LET( converted, SUBSTITUTE( SUBSTITUTE( SUBSTITUTE( SUBSTITUTE( SUBSTITUTE( SUBSTITUTE( SUBSTITUTE( SUBSTITUTE( SUBSTITUTE( SUBSTITUTE( C770, ""۰"", ""0""), ""۱"", ""1""), ""۲"", ""2""), ""۳"", ""3""), ""۴"", ""4""), ""۵"", ""5""), ""۶"", ""6"&amp;"""), ""۷"", ""7""), ""۸"", ""8""), ""۹"", ""9""), IF(LEFT(converted,3)=""+98"", ""0"" &amp; RIGHT(converted, LEN(converted)-3), IF(LEFT(converted,2)=""98"", ""0"" &amp; RIGHT(converted, LEN(converted)-2), IF(LEFT(converted,1)&lt;&gt;""0"", ""0"" &amp; converted, REGEXREPLA"&amp;"CE(converted , ""\s"", """")) ) ) ) )"),"09124980423")</f>
        <v>09124980423</v>
      </c>
      <c r="E770" s="196" t="s">
        <v>17</v>
      </c>
      <c r="F770" s="197">
        <v>6.0</v>
      </c>
      <c r="G770" s="212" t="s">
        <v>730</v>
      </c>
      <c r="H770" s="193" t="s">
        <v>4222</v>
      </c>
      <c r="I770" s="194"/>
      <c r="J770" s="194"/>
      <c r="K770" s="193" t="s">
        <v>1459</v>
      </c>
      <c r="L770" s="193" t="s">
        <v>1019</v>
      </c>
      <c r="M770" s="193"/>
      <c r="N770" s="193"/>
      <c r="O770" s="193"/>
      <c r="P770" s="193"/>
      <c r="Q770" s="200"/>
      <c r="R770" s="86"/>
      <c r="S770" s="114">
        <f t="shared" ref="S770:T770" si="771">A770</f>
        <v>770</v>
      </c>
      <c r="T770" s="114" t="str">
        <f t="shared" si="771"/>
        <v>رضا احمدی</v>
      </c>
      <c r="U770" s="86" t="str">
        <f t="shared" si="3"/>
        <v>09124980423</v>
      </c>
      <c r="V770" s="86" t="str">
        <f t="shared" si="4"/>
        <v>پیش‌وایی 6</v>
      </c>
      <c r="W770" s="86"/>
      <c r="X770" s="86"/>
    </row>
    <row r="771">
      <c r="A771" s="201">
        <v>771.0</v>
      </c>
      <c r="B771" s="202" t="s">
        <v>4223</v>
      </c>
      <c r="C771" s="203" t="s">
        <v>4224</v>
      </c>
      <c r="D771" s="204" t="str">
        <f>IFERROR(__xludf.DUMMYFUNCTION("ARRAYFORMULA(LET( converted, SUBSTITUTE( SUBSTITUTE( SUBSTITUTE( SUBSTITUTE( SUBSTITUTE( SUBSTITUTE( SUBSTITUTE( SUBSTITUTE( SUBSTITUTE( SUBSTITUTE( C771, ""۰"", ""0""), ""۱"", ""1""), ""۲"", ""2""), ""۳"", ""3""), ""۴"", ""4""), ""۵"", ""5""), ""۶"", ""6"&amp;"""), ""۷"", ""7""), ""۸"", ""8""), ""۹"", ""9""), IF(LEFT(converted,3)=""+98"", ""0"" &amp; RIGHT(converted, LEN(converted)-3), IF(LEFT(converted,2)=""98"", ""0"" &amp; RIGHT(converted, LEN(converted)-2), IF(LEFT(converted,1)&lt;&gt;""0"", ""0"" &amp; converted, REGEXREPLA"&amp;"CE(converted , ""\s"", """")) ) ) ) )"),"09125488255")</f>
        <v>09125488255</v>
      </c>
      <c r="E771" s="205" t="s">
        <v>17</v>
      </c>
      <c r="F771" s="206">
        <v>6.0</v>
      </c>
      <c r="G771" s="213" t="s">
        <v>746</v>
      </c>
      <c r="H771" s="202" t="s">
        <v>4225</v>
      </c>
      <c r="I771" s="203"/>
      <c r="J771" s="203"/>
      <c r="K771" s="202" t="s">
        <v>2459</v>
      </c>
      <c r="L771" s="202" t="s">
        <v>4226</v>
      </c>
      <c r="M771" s="202"/>
      <c r="N771" s="202"/>
      <c r="O771" s="202"/>
      <c r="P771" s="202"/>
      <c r="Q771" s="208"/>
      <c r="R771" s="86"/>
      <c r="S771" s="114">
        <f t="shared" ref="S771:T771" si="772">A771</f>
        <v>771</v>
      </c>
      <c r="T771" s="114" t="str">
        <f t="shared" si="772"/>
        <v>یاسمین دشتی</v>
      </c>
      <c r="U771" s="86" t="str">
        <f t="shared" si="3"/>
        <v>09125488255</v>
      </c>
      <c r="V771" s="86" t="str">
        <f t="shared" si="4"/>
        <v>پیش‌وایی 6</v>
      </c>
      <c r="W771" s="86"/>
      <c r="X771" s="86"/>
    </row>
    <row r="772">
      <c r="A772" s="192">
        <v>772.0</v>
      </c>
      <c r="B772" s="193" t="s">
        <v>62</v>
      </c>
      <c r="C772" s="194" t="s">
        <v>4227</v>
      </c>
      <c r="D772" s="195" t="str">
        <f>IFERROR(__xludf.DUMMYFUNCTION("ARRAYFORMULA(LET( converted, SUBSTITUTE( SUBSTITUTE( SUBSTITUTE( SUBSTITUTE( SUBSTITUTE( SUBSTITUTE( SUBSTITUTE( SUBSTITUTE( SUBSTITUTE( SUBSTITUTE( C772, ""۰"", ""0""), ""۱"", ""1""), ""۲"", ""2""), ""۳"", ""3""), ""۴"", ""4""), ""۵"", ""5""), ""۶"", ""6"&amp;"""), ""۷"", ""7""), ""۸"", ""8""), ""۹"", ""9""), IF(LEFT(converted,3)=""+98"", ""0"" &amp; RIGHT(converted, LEN(converted)-3), IF(LEFT(converted,2)=""98"", ""0"" &amp; RIGHT(converted, LEN(converted)-2), IF(LEFT(converted,1)&lt;&gt;""0"", ""0"" &amp; converted, REGEXREPLA"&amp;"CE(converted , ""\s"", """")) ) ) ) )"),"09125052440")</f>
        <v>09125052440</v>
      </c>
      <c r="E772" s="196" t="s">
        <v>17</v>
      </c>
      <c r="F772" s="197">
        <v>6.0</v>
      </c>
      <c r="G772" s="212" t="s">
        <v>730</v>
      </c>
      <c r="H772" s="193" t="s">
        <v>4228</v>
      </c>
      <c r="I772" s="194"/>
      <c r="J772" s="194"/>
      <c r="K772" s="193" t="s">
        <v>53</v>
      </c>
      <c r="L772" s="193" t="s">
        <v>327</v>
      </c>
      <c r="M772" s="193"/>
      <c r="N772" s="193"/>
      <c r="O772" s="193"/>
      <c r="P772" s="193"/>
      <c r="Q772" s="200"/>
      <c r="R772" s="86"/>
      <c r="S772" s="114">
        <f t="shared" ref="S772:T772" si="773">A772</f>
        <v>772</v>
      </c>
      <c r="T772" s="114" t="str">
        <f t="shared" si="773"/>
        <v>هاشم کیانی</v>
      </c>
      <c r="U772" s="86" t="str">
        <f t="shared" si="3"/>
        <v>09125052440</v>
      </c>
      <c r="V772" s="86" t="str">
        <f t="shared" si="4"/>
        <v>پیش‌وایی 6</v>
      </c>
      <c r="W772" s="86"/>
      <c r="X772" s="86"/>
    </row>
    <row r="773">
      <c r="A773" s="201">
        <v>773.0</v>
      </c>
      <c r="B773" s="202" t="s">
        <v>4229</v>
      </c>
      <c r="C773" s="203" t="s">
        <v>4230</v>
      </c>
      <c r="D773" s="204" t="str">
        <f>IFERROR(__xludf.DUMMYFUNCTION("ARRAYFORMULA(LET( converted, SUBSTITUTE( SUBSTITUTE( SUBSTITUTE( SUBSTITUTE( SUBSTITUTE( SUBSTITUTE( SUBSTITUTE( SUBSTITUTE( SUBSTITUTE( SUBSTITUTE( C773, ""۰"", ""0""), ""۱"", ""1""), ""۲"", ""2""), ""۳"", ""3""), ""۴"", ""4""), ""۵"", ""5""), ""۶"", ""6"&amp;"""), ""۷"", ""7""), ""۸"", ""8""), ""۹"", ""9""), IF(LEFT(converted,3)=""+98"", ""0"" &amp; RIGHT(converted, LEN(converted)-3), IF(LEFT(converted,2)=""98"", ""0"" &amp; RIGHT(converted, LEN(converted)-2), IF(LEFT(converted,1)&lt;&gt;""0"", ""0"" &amp; converted, REGEXREPLA"&amp;"CE(converted , ""\s"", """")) ) ) ) )"),"09123819877")</f>
        <v>09123819877</v>
      </c>
      <c r="E773" s="205" t="s">
        <v>17</v>
      </c>
      <c r="F773" s="206">
        <v>7.0</v>
      </c>
      <c r="G773" s="213" t="s">
        <v>746</v>
      </c>
      <c r="H773" s="202" t="s">
        <v>2934</v>
      </c>
      <c r="I773" s="203"/>
      <c r="J773" s="203" t="s">
        <v>4231</v>
      </c>
      <c r="K773" s="207" t="s">
        <v>3081</v>
      </c>
      <c r="L773" s="207" t="s">
        <v>920</v>
      </c>
      <c r="M773" s="207"/>
      <c r="N773" s="207"/>
      <c r="O773" s="202"/>
      <c r="P773" s="202"/>
      <c r="Q773" s="208"/>
      <c r="R773" s="86"/>
      <c r="S773" s="114">
        <f t="shared" ref="S773:T773" si="774">A773</f>
        <v>773</v>
      </c>
      <c r="T773" s="114" t="str">
        <f t="shared" si="774"/>
        <v>غزاله سلیمانی</v>
      </c>
      <c r="U773" s="86" t="str">
        <f t="shared" si="3"/>
        <v>09123819877</v>
      </c>
      <c r="V773" s="86" t="str">
        <f t="shared" si="4"/>
        <v>پیش‌وایی 7</v>
      </c>
      <c r="W773" s="86"/>
      <c r="X773" s="86"/>
    </row>
    <row r="774">
      <c r="A774" s="192">
        <v>774.0</v>
      </c>
      <c r="B774" s="193" t="s">
        <v>4232</v>
      </c>
      <c r="C774" s="194" t="s">
        <v>3478</v>
      </c>
      <c r="D774" s="195" t="str">
        <f>IFERROR(__xludf.DUMMYFUNCTION("ARRAYFORMULA(LET( converted, SUBSTITUTE( SUBSTITUTE( SUBSTITUTE( SUBSTITUTE( SUBSTITUTE( SUBSTITUTE( SUBSTITUTE( SUBSTITUTE( SUBSTITUTE( SUBSTITUTE( C774, ""۰"", ""0""), ""۱"", ""1""), ""۲"", ""2""), ""۳"", ""3""), ""۴"", ""4""), ""۵"", ""5""), ""۶"", ""6"&amp;"""), ""۷"", ""7""), ""۸"", ""8""), ""۹"", ""9""), IF(LEFT(converted,3)=""+98"", ""0"" &amp; RIGHT(converted, LEN(converted)-3), IF(LEFT(converted,2)=""98"", ""0"" &amp; RIGHT(converted, LEN(converted)-2), IF(LEFT(converted,1)&lt;&gt;""0"", ""0"" &amp; converted, REGEXREPLA"&amp;"CE(converted , ""\s"", """")) ) ) ) )"),"09927962791")</f>
        <v>09927962791</v>
      </c>
      <c r="E774" s="196" t="s">
        <v>17</v>
      </c>
      <c r="F774" s="197">
        <v>7.0</v>
      </c>
      <c r="G774" s="212" t="s">
        <v>746</v>
      </c>
      <c r="H774" s="193" t="s">
        <v>3479</v>
      </c>
      <c r="I774" s="194"/>
      <c r="J774" s="194" t="s">
        <v>3480</v>
      </c>
      <c r="K774" s="199" t="s">
        <v>274</v>
      </c>
      <c r="L774" s="199" t="s">
        <v>3481</v>
      </c>
      <c r="M774" s="199"/>
      <c r="N774" s="199"/>
      <c r="O774" s="193"/>
      <c r="P774" s="193"/>
      <c r="Q774" s="200"/>
      <c r="R774" s="86"/>
      <c r="S774" s="114">
        <f t="shared" ref="S774:T774" si="775">A774</f>
        <v>774</v>
      </c>
      <c r="T774" s="114" t="str">
        <f t="shared" si="775"/>
        <v>زعفروش</v>
      </c>
      <c r="U774" s="86" t="str">
        <f t="shared" si="3"/>
        <v>09927962791</v>
      </c>
      <c r="V774" s="86" t="str">
        <f t="shared" si="4"/>
        <v>پیش‌وایی 7</v>
      </c>
      <c r="W774" s="86"/>
      <c r="X774" s="86"/>
    </row>
    <row r="775">
      <c r="A775" s="201">
        <v>775.0</v>
      </c>
      <c r="B775" s="202" t="s">
        <v>4233</v>
      </c>
      <c r="C775" s="203" t="s">
        <v>4234</v>
      </c>
      <c r="D775" s="204" t="str">
        <f>IFERROR(__xludf.DUMMYFUNCTION("ARRAYFORMULA(LET( converted, SUBSTITUTE( SUBSTITUTE( SUBSTITUTE( SUBSTITUTE( SUBSTITUTE( SUBSTITUTE( SUBSTITUTE( SUBSTITUTE( SUBSTITUTE( SUBSTITUTE( C775, ""۰"", ""0""), ""۱"", ""1""), ""۲"", ""2""), ""۳"", ""3""), ""۴"", ""4""), ""۵"", ""5""), ""۶"", ""6"&amp;"""), ""۷"", ""7""), ""۸"", ""8""), ""۹"", ""9""), IF(LEFT(converted,3)=""+98"", ""0"" &amp; RIGHT(converted, LEN(converted)-3), IF(LEFT(converted,2)=""98"", ""0"" &amp; RIGHT(converted, LEN(converted)-2), IF(LEFT(converted,1)&lt;&gt;""0"", ""0"" &amp; converted, REGEXREPLA"&amp;"CE(converted , ""\s"", """")) ) ) ) )"),"09352493013")</f>
        <v>09352493013</v>
      </c>
      <c r="E775" s="205" t="s">
        <v>17</v>
      </c>
      <c r="F775" s="206">
        <v>7.0</v>
      </c>
      <c r="G775" s="213" t="s">
        <v>746</v>
      </c>
      <c r="H775" s="202" t="s">
        <v>4235</v>
      </c>
      <c r="I775" s="203"/>
      <c r="J775" s="203" t="s">
        <v>4236</v>
      </c>
      <c r="K775" s="207" t="s">
        <v>1240</v>
      </c>
      <c r="L775" s="207" t="s">
        <v>1392</v>
      </c>
      <c r="M775" s="202"/>
      <c r="N775" s="207"/>
      <c r="O775" s="202"/>
      <c r="P775" s="202"/>
      <c r="Q775" s="208"/>
      <c r="R775" s="86"/>
      <c r="S775" s="114">
        <f t="shared" ref="S775:T775" si="776">A775</f>
        <v>775</v>
      </c>
      <c r="T775" s="114" t="str">
        <f t="shared" si="776"/>
        <v>هانیه طباطبایی</v>
      </c>
      <c r="U775" s="86" t="str">
        <f t="shared" si="3"/>
        <v>09352493013</v>
      </c>
      <c r="V775" s="86" t="str">
        <f t="shared" si="4"/>
        <v>پیش‌وایی 7</v>
      </c>
      <c r="W775" s="86"/>
      <c r="X775" s="86"/>
    </row>
    <row r="776">
      <c r="A776" s="192">
        <v>776.0</v>
      </c>
      <c r="B776" s="193" t="s">
        <v>4237</v>
      </c>
      <c r="C776" s="194" t="s">
        <v>4238</v>
      </c>
      <c r="D776" s="195" t="str">
        <f>IFERROR(__xludf.DUMMYFUNCTION("ARRAYFORMULA(LET( converted, SUBSTITUTE( SUBSTITUTE( SUBSTITUTE( SUBSTITUTE( SUBSTITUTE( SUBSTITUTE( SUBSTITUTE( SUBSTITUTE( SUBSTITUTE( SUBSTITUTE( C776, ""۰"", ""0""), ""۱"", ""1""), ""۲"", ""2""), ""۳"", ""3""), ""۴"", ""4""), ""۵"", ""5""), ""۶"", ""6"&amp;"""), ""۷"", ""7""), ""۸"", ""8""), ""۹"", ""9""), IF(LEFT(converted,3)=""+98"", ""0"" &amp; RIGHT(converted, LEN(converted)-3), IF(LEFT(converted,2)=""98"", ""0"" &amp; RIGHT(converted, LEN(converted)-2), IF(LEFT(converted,1)&lt;&gt;""0"", ""0"" &amp; converted, REGEXREPLA"&amp;"CE(converted , ""\s"", """")) ) ) ) )"),"09127696121")</f>
        <v>09127696121</v>
      </c>
      <c r="E776" s="196" t="s">
        <v>17</v>
      </c>
      <c r="F776" s="197">
        <v>7.0</v>
      </c>
      <c r="G776" s="212" t="s">
        <v>746</v>
      </c>
      <c r="H776" s="193" t="s">
        <v>4239</v>
      </c>
      <c r="I776" s="194"/>
      <c r="J776" s="194" t="s">
        <v>4240</v>
      </c>
      <c r="K776" s="199" t="s">
        <v>1425</v>
      </c>
      <c r="L776" s="199" t="s">
        <v>4241</v>
      </c>
      <c r="M776" s="199"/>
      <c r="N776" s="199"/>
      <c r="O776" s="193"/>
      <c r="P776" s="193"/>
      <c r="Q776" s="200"/>
      <c r="R776" s="86"/>
      <c r="S776" s="114">
        <f t="shared" ref="S776:T776" si="777">A776</f>
        <v>776</v>
      </c>
      <c r="T776" s="114" t="str">
        <f t="shared" si="777"/>
        <v>پگاه جشنی</v>
      </c>
      <c r="U776" s="86" t="str">
        <f t="shared" si="3"/>
        <v>09127696121</v>
      </c>
      <c r="V776" s="86" t="str">
        <f t="shared" si="4"/>
        <v>پیش‌وایی 7</v>
      </c>
      <c r="W776" s="86"/>
      <c r="X776" s="86"/>
    </row>
    <row r="777">
      <c r="A777" s="201">
        <v>777.0</v>
      </c>
      <c r="B777" s="202" t="s">
        <v>4242</v>
      </c>
      <c r="C777" s="203" t="s">
        <v>4243</v>
      </c>
      <c r="D777" s="204" t="str">
        <f>IFERROR(__xludf.DUMMYFUNCTION("ARRAYFORMULA(LET( converted, SUBSTITUTE( SUBSTITUTE( SUBSTITUTE( SUBSTITUTE( SUBSTITUTE( SUBSTITUTE( SUBSTITUTE( SUBSTITUTE( SUBSTITUTE( SUBSTITUTE( C777, ""۰"", ""0""), ""۱"", ""1""), ""۲"", ""2""), ""۳"", ""3""), ""۴"", ""4""), ""۵"", ""5""), ""۶"", ""6"&amp;"""), ""۷"", ""7""), ""۸"", ""8""), ""۹"", ""9""), IF(LEFT(converted,3)=""+98"", ""0"" &amp; RIGHT(converted, LEN(converted)-3), IF(LEFT(converted,2)=""98"", ""0"" &amp; RIGHT(converted, LEN(converted)-2), IF(LEFT(converted,1)&lt;&gt;""0"", ""0"" &amp; converted, REGEXREPLA"&amp;"CE(converted , ""\s"", """")) ) ) ) )"),"09384605300")</f>
        <v>09384605300</v>
      </c>
      <c r="E777" s="205" t="s">
        <v>17</v>
      </c>
      <c r="F777" s="206">
        <v>7.0</v>
      </c>
      <c r="G777" s="213" t="s">
        <v>730</v>
      </c>
      <c r="H777" s="202" t="s">
        <v>4244</v>
      </c>
      <c r="I777" s="203"/>
      <c r="J777" s="203" t="s">
        <v>4245</v>
      </c>
      <c r="K777" s="207" t="s">
        <v>3406</v>
      </c>
      <c r="L777" s="207" t="s">
        <v>4246</v>
      </c>
      <c r="M777" s="207"/>
      <c r="N777" s="207"/>
      <c r="O777" s="202"/>
      <c r="P777" s="202"/>
      <c r="Q777" s="208"/>
      <c r="R777" s="86"/>
      <c r="S777" s="114">
        <f t="shared" ref="S777:T777" si="778">A777</f>
        <v>777</v>
      </c>
      <c r="T777" s="114" t="str">
        <f t="shared" si="778"/>
        <v>بردیا حیدری</v>
      </c>
      <c r="U777" s="86" t="str">
        <f t="shared" si="3"/>
        <v>09384605300</v>
      </c>
      <c r="V777" s="86" t="str">
        <f t="shared" si="4"/>
        <v>پیش‌وایی 7</v>
      </c>
      <c r="W777" s="86"/>
      <c r="X777" s="86"/>
    </row>
    <row r="778">
      <c r="A778" s="192">
        <v>778.0</v>
      </c>
      <c r="B778" s="199" t="s">
        <v>4247</v>
      </c>
      <c r="C778" s="194" t="s">
        <v>4248</v>
      </c>
      <c r="D778" s="195" t="str">
        <f>IFERROR(__xludf.DUMMYFUNCTION("ARRAYFORMULA(LET( converted, SUBSTITUTE( SUBSTITUTE( SUBSTITUTE( SUBSTITUTE( SUBSTITUTE( SUBSTITUTE( SUBSTITUTE( SUBSTITUTE( SUBSTITUTE( SUBSTITUTE( C778, ""۰"", ""0""), ""۱"", ""1""), ""۲"", ""2""), ""۳"", ""3""), ""۴"", ""4""), ""۵"", ""5""), ""۶"", ""6"&amp;"""), ""۷"", ""7""), ""۸"", ""8""), ""۹"", ""9""), IF(LEFT(converted,3)=""+98"", ""0"" &amp; RIGHT(converted, LEN(converted)-3), IF(LEFT(converted,2)=""98"", ""0"" &amp; RIGHT(converted, LEN(converted)-2), IF(LEFT(converted,1)&lt;&gt;""0"", ""0"" &amp; converted, REGEXREPLA"&amp;"CE(converted , ""\s"", """")) ) ) ) )"),"09124086602")</f>
        <v>09124086602</v>
      </c>
      <c r="E778" s="196" t="s">
        <v>17</v>
      </c>
      <c r="F778" s="197">
        <v>7.0</v>
      </c>
      <c r="G778" s="212" t="s">
        <v>746</v>
      </c>
      <c r="H778" s="193" t="s">
        <v>4249</v>
      </c>
      <c r="I778" s="194"/>
      <c r="J778" s="194" t="s">
        <v>4250</v>
      </c>
      <c r="K778" s="199" t="s">
        <v>2490</v>
      </c>
      <c r="L778" s="199" t="s">
        <v>4251</v>
      </c>
      <c r="M778" s="199"/>
      <c r="N778" s="199"/>
      <c r="O778" s="193"/>
      <c r="P778" s="193"/>
      <c r="Q778" s="200"/>
      <c r="R778" s="86"/>
      <c r="S778" s="114">
        <f t="shared" ref="S778:T778" si="779">A778</f>
        <v>778</v>
      </c>
      <c r="T778" s="114" t="str">
        <f t="shared" si="779"/>
        <v>المیرا سطوحی</v>
      </c>
      <c r="U778" s="86" t="str">
        <f t="shared" si="3"/>
        <v>09124086602</v>
      </c>
      <c r="V778" s="86" t="str">
        <f t="shared" si="4"/>
        <v>پیش‌وایی 7</v>
      </c>
      <c r="W778" s="86"/>
      <c r="X778" s="86"/>
    </row>
    <row r="779">
      <c r="A779" s="201">
        <v>779.0</v>
      </c>
      <c r="B779" s="207" t="s">
        <v>4252</v>
      </c>
      <c r="C779" s="203" t="s">
        <v>4253</v>
      </c>
      <c r="D779" s="204" t="str">
        <f>IFERROR(__xludf.DUMMYFUNCTION("ARRAYFORMULA(LET( converted, SUBSTITUTE( SUBSTITUTE( SUBSTITUTE( SUBSTITUTE( SUBSTITUTE( SUBSTITUTE( SUBSTITUTE( SUBSTITUTE( SUBSTITUTE( SUBSTITUTE( C779, ""۰"", ""0""), ""۱"", ""1""), ""۲"", ""2""), ""۳"", ""3""), ""۴"", ""4""), ""۵"", ""5""), ""۶"", ""6"&amp;"""), ""۷"", ""7""), ""۸"", ""8""), ""۹"", ""9""), IF(LEFT(converted,3)=""+98"", ""0"" &amp; RIGHT(converted, LEN(converted)-3), IF(LEFT(converted,2)=""98"", ""0"" &amp; RIGHT(converted, LEN(converted)-2), IF(LEFT(converted,1)&lt;&gt;""0"", ""0"" &amp; converted, REGEXREPLA"&amp;"CE(converted , ""\s"", """")) ) ) ) )"),"09122251875")</f>
        <v>09122251875</v>
      </c>
      <c r="E779" s="205" t="s">
        <v>17</v>
      </c>
      <c r="F779" s="206">
        <v>7.0</v>
      </c>
      <c r="G779" s="213" t="s">
        <v>730</v>
      </c>
      <c r="H779" s="202" t="s">
        <v>4254</v>
      </c>
      <c r="I779" s="203"/>
      <c r="J779" s="203" t="s">
        <v>4255</v>
      </c>
      <c r="K779" s="207" t="s">
        <v>4256</v>
      </c>
      <c r="L779" s="207" t="s">
        <v>4257</v>
      </c>
      <c r="M779" s="207"/>
      <c r="N779" s="207"/>
      <c r="O779" s="202"/>
      <c r="P779" s="202"/>
      <c r="Q779" s="208"/>
      <c r="R779" s="86"/>
      <c r="S779" s="114">
        <f t="shared" ref="S779:T779" si="780">A779</f>
        <v>779</v>
      </c>
      <c r="T779" s="114" t="str">
        <f t="shared" si="780"/>
        <v>آروین مشکینی</v>
      </c>
      <c r="U779" s="86" t="str">
        <f t="shared" si="3"/>
        <v>09122251875</v>
      </c>
      <c r="V779" s="86" t="str">
        <f t="shared" si="4"/>
        <v>پیش‌وایی 7</v>
      </c>
      <c r="W779" s="86"/>
      <c r="X779" s="86"/>
    </row>
    <row r="780">
      <c r="A780" s="192">
        <v>780.0</v>
      </c>
      <c r="B780" s="193" t="s">
        <v>4258</v>
      </c>
      <c r="C780" s="194" t="s">
        <v>4259</v>
      </c>
      <c r="D780" s="195" t="str">
        <f>IFERROR(__xludf.DUMMYFUNCTION("ARRAYFORMULA(LET( converted, SUBSTITUTE( SUBSTITUTE( SUBSTITUTE( SUBSTITUTE( SUBSTITUTE( SUBSTITUTE( SUBSTITUTE( SUBSTITUTE( SUBSTITUTE( SUBSTITUTE( C780, ""۰"", ""0""), ""۱"", ""1""), ""۲"", ""2""), ""۳"", ""3""), ""۴"", ""4""), ""۵"", ""5""), ""۶"", ""6"&amp;"""), ""۷"", ""7""), ""۸"", ""8""), ""۹"", ""9""), IF(LEFT(converted,3)=""+98"", ""0"" &amp; RIGHT(converted, LEN(converted)-3), IF(LEFT(converted,2)=""98"", ""0"" &amp; RIGHT(converted, LEN(converted)-2), IF(LEFT(converted,1)&lt;&gt;""0"", ""0"" &amp; converted, REGEXREPLA"&amp;"CE(converted , ""\s"", """")) ) ) ) )"),"09196842725")</f>
        <v>09196842725</v>
      </c>
      <c r="E780" s="196" t="s">
        <v>17</v>
      </c>
      <c r="F780" s="197">
        <v>7.0</v>
      </c>
      <c r="G780" s="212" t="s">
        <v>730</v>
      </c>
      <c r="H780" s="193" t="s">
        <v>4235</v>
      </c>
      <c r="I780" s="194"/>
      <c r="J780" s="194" t="s">
        <v>4260</v>
      </c>
      <c r="K780" s="199" t="s">
        <v>896</v>
      </c>
      <c r="L780" s="199" t="s">
        <v>4261</v>
      </c>
      <c r="M780" s="199"/>
      <c r="N780" s="199"/>
      <c r="O780" s="193"/>
      <c r="P780" s="193"/>
      <c r="Q780" s="200"/>
      <c r="R780" s="86"/>
      <c r="S780" s="114">
        <f t="shared" ref="S780:T780" si="781">A780</f>
        <v>780</v>
      </c>
      <c r="T780" s="114" t="str">
        <f t="shared" si="781"/>
        <v>حسین اثنی عشری</v>
      </c>
      <c r="U780" s="86" t="str">
        <f t="shared" si="3"/>
        <v>09196842725</v>
      </c>
      <c r="V780" s="86" t="str">
        <f t="shared" si="4"/>
        <v>پیش‌وایی 7</v>
      </c>
      <c r="W780" s="86"/>
      <c r="X780" s="86"/>
    </row>
    <row r="781">
      <c r="A781" s="201">
        <v>781.0</v>
      </c>
      <c r="B781" s="202" t="s">
        <v>4262</v>
      </c>
      <c r="C781" s="203" t="s">
        <v>4263</v>
      </c>
      <c r="D781" s="204" t="str">
        <f>IFERROR(__xludf.DUMMYFUNCTION("ARRAYFORMULA(LET( converted, SUBSTITUTE( SUBSTITUTE( SUBSTITUTE( SUBSTITUTE( SUBSTITUTE( SUBSTITUTE( SUBSTITUTE( SUBSTITUTE( SUBSTITUTE( SUBSTITUTE( C781, ""۰"", ""0""), ""۱"", ""1""), ""۲"", ""2""), ""۳"", ""3""), ""۴"", ""4""), ""۵"", ""5""), ""۶"", ""6"&amp;"""), ""۷"", ""7""), ""۸"", ""8""), ""۹"", ""9""), IF(LEFT(converted,3)=""+98"", ""0"" &amp; RIGHT(converted, LEN(converted)-3), IF(LEFT(converted,2)=""98"", ""0"" &amp; RIGHT(converted, LEN(converted)-2), IF(LEFT(converted,1)&lt;&gt;""0"", ""0"" &amp; converted, REGEXREPLA"&amp;"CE(converted , ""\s"", """")) ) ) ) )"),"09903329231")</f>
        <v>09903329231</v>
      </c>
      <c r="E781" s="205" t="s">
        <v>17</v>
      </c>
      <c r="F781" s="206">
        <v>7.0</v>
      </c>
      <c r="G781" s="213" t="s">
        <v>746</v>
      </c>
      <c r="H781" s="202" t="s">
        <v>4264</v>
      </c>
      <c r="I781" s="203"/>
      <c r="J781" s="203" t="s">
        <v>4265</v>
      </c>
      <c r="K781" s="207" t="s">
        <v>4266</v>
      </c>
      <c r="L781" s="207" t="s">
        <v>1705</v>
      </c>
      <c r="M781" s="207"/>
      <c r="N781" s="207"/>
      <c r="O781" s="202"/>
      <c r="P781" s="202"/>
      <c r="Q781" s="208"/>
      <c r="R781" s="86"/>
      <c r="S781" s="114">
        <f t="shared" ref="S781:T781" si="782">A781</f>
        <v>781</v>
      </c>
      <c r="T781" s="114" t="str">
        <f t="shared" si="782"/>
        <v>محدثه گودرزی</v>
      </c>
      <c r="U781" s="86" t="str">
        <f t="shared" si="3"/>
        <v>09903329231</v>
      </c>
      <c r="V781" s="86" t="str">
        <f t="shared" si="4"/>
        <v>پیش‌وایی 7</v>
      </c>
      <c r="W781" s="86"/>
      <c r="X781" s="86"/>
    </row>
    <row r="782">
      <c r="A782" s="192">
        <v>782.0</v>
      </c>
      <c r="B782" s="193" t="s">
        <v>4267</v>
      </c>
      <c r="C782" s="194" t="s">
        <v>4268</v>
      </c>
      <c r="D782" s="195" t="str">
        <f>IFERROR(__xludf.DUMMYFUNCTION("ARRAYFORMULA(LET( converted, SUBSTITUTE( SUBSTITUTE( SUBSTITUTE( SUBSTITUTE( SUBSTITUTE( SUBSTITUTE( SUBSTITUTE( SUBSTITUTE( SUBSTITUTE( SUBSTITUTE( C782, ""۰"", ""0""), ""۱"", ""1""), ""۲"", ""2""), ""۳"", ""3""), ""۴"", ""4""), ""۵"", ""5""), ""۶"", ""6"&amp;"""), ""۷"", ""7""), ""۸"", ""8""), ""۹"", ""9""), IF(LEFT(converted,3)=""+98"", ""0"" &amp; RIGHT(converted, LEN(converted)-3), IF(LEFT(converted,2)=""98"", ""0"" &amp; RIGHT(converted, LEN(converted)-2), IF(LEFT(converted,1)&lt;&gt;""0"", ""0"" &amp; converted, REGEXREPLA"&amp;"CE(converted , ""\s"", """")) ) ) ) )"),"09304187810")</f>
        <v>09304187810</v>
      </c>
      <c r="E782" s="196" t="s">
        <v>17</v>
      </c>
      <c r="F782" s="197">
        <v>7.0</v>
      </c>
      <c r="G782" s="212" t="s">
        <v>730</v>
      </c>
      <c r="H782" s="193" t="s">
        <v>4269</v>
      </c>
      <c r="I782" s="194"/>
      <c r="J782" s="194" t="s">
        <v>4270</v>
      </c>
      <c r="K782" s="199" t="s">
        <v>4271</v>
      </c>
      <c r="L782" s="199" t="s">
        <v>4272</v>
      </c>
      <c r="M782" s="199"/>
      <c r="N782" s="199"/>
      <c r="O782" s="193"/>
      <c r="P782" s="193"/>
      <c r="Q782" s="200"/>
      <c r="R782" s="86"/>
      <c r="S782" s="114">
        <f t="shared" ref="S782:T782" si="783">A782</f>
        <v>782</v>
      </c>
      <c r="T782" s="114" t="str">
        <f t="shared" si="783"/>
        <v>محمد امین رنجبری</v>
      </c>
      <c r="U782" s="86" t="str">
        <f t="shared" si="3"/>
        <v>09304187810</v>
      </c>
      <c r="V782" s="86" t="str">
        <f t="shared" si="4"/>
        <v>پیش‌وایی 7</v>
      </c>
      <c r="W782" s="86"/>
      <c r="X782" s="86"/>
    </row>
    <row r="783">
      <c r="A783" s="201">
        <v>783.0</v>
      </c>
      <c r="B783" s="202" t="s">
        <v>3092</v>
      </c>
      <c r="C783" s="203" t="s">
        <v>4273</v>
      </c>
      <c r="D783" s="204" t="str">
        <f>IFERROR(__xludf.DUMMYFUNCTION("ARRAYFORMULA(LET( converted, SUBSTITUTE( SUBSTITUTE( SUBSTITUTE( SUBSTITUTE( SUBSTITUTE( SUBSTITUTE( SUBSTITUTE( SUBSTITUTE( SUBSTITUTE( SUBSTITUTE( C783, ""۰"", ""0""), ""۱"", ""1""), ""۲"", ""2""), ""۳"", ""3""), ""۴"", ""4""), ""۵"", ""5""), ""۶"", ""6"&amp;"""), ""۷"", ""7""), ""۸"", ""8""), ""۹"", ""9""), IF(LEFT(converted,3)=""+98"", ""0"" &amp; RIGHT(converted, LEN(converted)-3), IF(LEFT(converted,2)=""98"", ""0"" &amp; RIGHT(converted, LEN(converted)-2), IF(LEFT(converted,1)&lt;&gt;""0"", ""0"" &amp; converted, REGEXREPLA"&amp;"CE(converted , ""\s"", """")) ) ) ) )"),"09102412658")</f>
        <v>09102412658</v>
      </c>
      <c r="E783" s="205" t="s">
        <v>17</v>
      </c>
      <c r="F783" s="206">
        <v>7.0</v>
      </c>
      <c r="G783" s="213" t="s">
        <v>730</v>
      </c>
      <c r="H783" s="202" t="s">
        <v>4274</v>
      </c>
      <c r="I783" s="203"/>
      <c r="J783" s="203" t="s">
        <v>4275</v>
      </c>
      <c r="K783" s="207" t="s">
        <v>3092</v>
      </c>
      <c r="L783" s="202"/>
      <c r="M783" s="207"/>
      <c r="N783" s="207"/>
      <c r="O783" s="202"/>
      <c r="P783" s="202"/>
      <c r="Q783" s="208"/>
      <c r="R783" s="86"/>
      <c r="S783" s="114">
        <f t="shared" ref="S783:T783" si="784">A783</f>
        <v>783</v>
      </c>
      <c r="T783" s="114" t="str">
        <f t="shared" si="784"/>
        <v>عرفان</v>
      </c>
      <c r="U783" s="86" t="str">
        <f t="shared" si="3"/>
        <v>09102412658</v>
      </c>
      <c r="V783" s="86" t="str">
        <f t="shared" si="4"/>
        <v>پیش‌وایی 7</v>
      </c>
      <c r="W783" s="86"/>
      <c r="X783" s="86"/>
    </row>
    <row r="784">
      <c r="A784" s="192">
        <v>784.0</v>
      </c>
      <c r="B784" s="193" t="s">
        <v>222</v>
      </c>
      <c r="C784" s="194" t="s">
        <v>4276</v>
      </c>
      <c r="D784" s="195" t="str">
        <f>IFERROR(__xludf.DUMMYFUNCTION("ARRAYFORMULA(LET( converted, SUBSTITUTE( SUBSTITUTE( SUBSTITUTE( SUBSTITUTE( SUBSTITUTE( SUBSTITUTE( SUBSTITUTE( SUBSTITUTE( SUBSTITUTE( SUBSTITUTE( C784, ""۰"", ""0""), ""۱"", ""1""), ""۲"", ""2""), ""۳"", ""3""), ""۴"", ""4""), ""۵"", ""5""), ""۶"", ""6"&amp;"""), ""۷"", ""7""), ""۸"", ""8""), ""۹"", ""9""), IF(LEFT(converted,3)=""+98"", ""0"" &amp; RIGHT(converted, LEN(converted)-3), IF(LEFT(converted,2)=""98"", ""0"" &amp; RIGHT(converted, LEN(converted)-2), IF(LEFT(converted,1)&lt;&gt;""0"", ""0"" &amp; converted, REGEXREPLA"&amp;"CE(converted , ""\s"", """")) ) ) ) )"),"09363966160")</f>
        <v>09363966160</v>
      </c>
      <c r="E784" s="196" t="s">
        <v>17</v>
      </c>
      <c r="F784" s="197">
        <v>7.0</v>
      </c>
      <c r="G784" s="212" t="s">
        <v>730</v>
      </c>
      <c r="H784" s="193" t="s">
        <v>4277</v>
      </c>
      <c r="I784" s="194"/>
      <c r="J784" s="194" t="s">
        <v>4278</v>
      </c>
      <c r="K784" s="199" t="s">
        <v>222</v>
      </c>
      <c r="L784" s="193"/>
      <c r="M784" s="199"/>
      <c r="N784" s="193"/>
      <c r="O784" s="193"/>
      <c r="P784" s="193"/>
      <c r="Q784" s="200"/>
      <c r="R784" s="86"/>
      <c r="S784" s="114">
        <f t="shared" ref="S784:T784" si="785">A784</f>
        <v>784</v>
      </c>
      <c r="T784" s="114" t="str">
        <f t="shared" si="785"/>
        <v>بهنام</v>
      </c>
      <c r="U784" s="86" t="str">
        <f t="shared" si="3"/>
        <v>09363966160</v>
      </c>
      <c r="V784" s="86" t="str">
        <f t="shared" si="4"/>
        <v>پیش‌وایی 7</v>
      </c>
      <c r="W784" s="86"/>
      <c r="X784" s="86"/>
    </row>
    <row r="785">
      <c r="A785" s="201">
        <v>785.0</v>
      </c>
      <c r="B785" s="202" t="s">
        <v>4279</v>
      </c>
      <c r="C785" s="203" t="s">
        <v>4280</v>
      </c>
      <c r="D785" s="204" t="str">
        <f>IFERROR(__xludf.DUMMYFUNCTION("ARRAYFORMULA(LET( converted, SUBSTITUTE( SUBSTITUTE( SUBSTITUTE( SUBSTITUTE( SUBSTITUTE( SUBSTITUTE( SUBSTITUTE( SUBSTITUTE( SUBSTITUTE( SUBSTITUTE( C785, ""۰"", ""0""), ""۱"", ""1""), ""۲"", ""2""), ""۳"", ""3""), ""۴"", ""4""), ""۵"", ""5""), ""۶"", ""6"&amp;"""), ""۷"", ""7""), ""۸"", ""8""), ""۹"", ""9""), IF(LEFT(converted,3)=""+98"", ""0"" &amp; RIGHT(converted, LEN(converted)-3), IF(LEFT(converted,2)=""98"", ""0"" &amp; RIGHT(converted, LEN(converted)-2), IF(LEFT(converted,1)&lt;&gt;""0"", ""0"" &amp; converted, REGEXREPLA"&amp;"CE(converted , ""\s"", """")) ) ) ) )"),"09129218305")</f>
        <v>09129218305</v>
      </c>
      <c r="E785" s="205" t="s">
        <v>17</v>
      </c>
      <c r="F785" s="206">
        <v>7.0</v>
      </c>
      <c r="G785" s="213" t="s">
        <v>746</v>
      </c>
      <c r="H785" s="202" t="s">
        <v>4281</v>
      </c>
      <c r="I785" s="203"/>
      <c r="J785" s="203" t="s">
        <v>4282</v>
      </c>
      <c r="K785" s="207" t="s">
        <v>1398</v>
      </c>
      <c r="L785" s="207" t="s">
        <v>4283</v>
      </c>
      <c r="M785" s="207"/>
      <c r="N785" s="202"/>
      <c r="O785" s="202"/>
      <c r="P785" s="202"/>
      <c r="Q785" s="208"/>
      <c r="R785" s="86"/>
      <c r="S785" s="114">
        <f t="shared" ref="S785:T785" si="786">A785</f>
        <v>785</v>
      </c>
      <c r="T785" s="114" t="str">
        <f t="shared" si="786"/>
        <v>زهرا روستائی</v>
      </c>
      <c r="U785" s="86" t="str">
        <f t="shared" si="3"/>
        <v>09129218305</v>
      </c>
      <c r="V785" s="86" t="str">
        <f t="shared" si="4"/>
        <v>پیش‌وایی 7</v>
      </c>
      <c r="W785" s="86"/>
      <c r="X785" s="86"/>
    </row>
    <row r="786">
      <c r="A786" s="192">
        <v>786.0</v>
      </c>
      <c r="B786" s="193" t="s">
        <v>4284</v>
      </c>
      <c r="C786" s="194" t="s">
        <v>4285</v>
      </c>
      <c r="D786" s="195" t="str">
        <f>IFERROR(__xludf.DUMMYFUNCTION("ARRAYFORMULA(LET( converted, SUBSTITUTE( SUBSTITUTE( SUBSTITUTE( SUBSTITUTE( SUBSTITUTE( SUBSTITUTE( SUBSTITUTE( SUBSTITUTE( SUBSTITUTE( SUBSTITUTE( C786, ""۰"", ""0""), ""۱"", ""1""), ""۲"", ""2""), ""۳"", ""3""), ""۴"", ""4""), ""۵"", ""5""), ""۶"", ""6"&amp;"""), ""۷"", ""7""), ""۸"", ""8""), ""۹"", ""9""), IF(LEFT(converted,3)=""+98"", ""0"" &amp; RIGHT(converted, LEN(converted)-3), IF(LEFT(converted,2)=""98"", ""0"" &amp; RIGHT(converted, LEN(converted)-2), IF(LEFT(converted,1)&lt;&gt;""0"", ""0"" &amp; converted, REGEXREPLA"&amp;"CE(converted , ""\s"", """")) ) ) ) )"),"09193203700")</f>
        <v>09193203700</v>
      </c>
      <c r="E786" s="196" t="s">
        <v>17</v>
      </c>
      <c r="F786" s="197">
        <v>7.0</v>
      </c>
      <c r="G786" s="212" t="s">
        <v>730</v>
      </c>
      <c r="H786" s="193" t="s">
        <v>4286</v>
      </c>
      <c r="I786" s="194"/>
      <c r="J786" s="194" t="s">
        <v>4287</v>
      </c>
      <c r="K786" s="199" t="s">
        <v>2746</v>
      </c>
      <c r="L786" s="199" t="s">
        <v>4288</v>
      </c>
      <c r="M786" s="199"/>
      <c r="N786" s="199"/>
      <c r="O786" s="193"/>
      <c r="P786" s="193"/>
      <c r="Q786" s="200"/>
      <c r="R786" s="86"/>
      <c r="S786" s="114">
        <f t="shared" ref="S786:T786" si="787">A786</f>
        <v>786</v>
      </c>
      <c r="T786" s="114" t="str">
        <f t="shared" si="787"/>
        <v>پارسا عبدالهی</v>
      </c>
      <c r="U786" s="86" t="str">
        <f t="shared" si="3"/>
        <v>09193203700</v>
      </c>
      <c r="V786" s="86" t="str">
        <f t="shared" si="4"/>
        <v>پیش‌وایی 7</v>
      </c>
      <c r="W786" s="86"/>
      <c r="X786" s="86"/>
    </row>
    <row r="787">
      <c r="A787" s="201">
        <v>787.0</v>
      </c>
      <c r="B787" s="202" t="s">
        <v>4289</v>
      </c>
      <c r="C787" s="203" t="s">
        <v>4290</v>
      </c>
      <c r="D787" s="204" t="str">
        <f>IFERROR(__xludf.DUMMYFUNCTION("ARRAYFORMULA(LET( converted, SUBSTITUTE( SUBSTITUTE( SUBSTITUTE( SUBSTITUTE( SUBSTITUTE( SUBSTITUTE( SUBSTITUTE( SUBSTITUTE( SUBSTITUTE( SUBSTITUTE( C787, ""۰"", ""0""), ""۱"", ""1""), ""۲"", ""2""), ""۳"", ""3""), ""۴"", ""4""), ""۵"", ""5""), ""۶"", ""6"&amp;"""), ""۷"", ""7""), ""۸"", ""8""), ""۹"", ""9""), IF(LEFT(converted,3)=""+98"", ""0"" &amp; RIGHT(converted, LEN(converted)-3), IF(LEFT(converted,2)=""98"", ""0"" &amp; RIGHT(converted, LEN(converted)-2), IF(LEFT(converted,1)&lt;&gt;""0"", ""0"" &amp; converted, REGEXREPLA"&amp;"CE(converted , ""\s"", """")) ) ) ) )"),"09192848236")</f>
        <v>09192848236</v>
      </c>
      <c r="E787" s="205" t="s">
        <v>17</v>
      </c>
      <c r="F787" s="206">
        <v>7.0</v>
      </c>
      <c r="G787" s="213" t="s">
        <v>730</v>
      </c>
      <c r="H787" s="202" t="s">
        <v>4291</v>
      </c>
      <c r="I787" s="203"/>
      <c r="J787" s="203" t="s">
        <v>4292</v>
      </c>
      <c r="K787" s="207" t="s">
        <v>4293</v>
      </c>
      <c r="L787" s="207" t="s">
        <v>2945</v>
      </c>
      <c r="M787" s="207"/>
      <c r="N787" s="207"/>
      <c r="O787" s="202"/>
      <c r="P787" s="202"/>
      <c r="Q787" s="208"/>
      <c r="R787" s="86"/>
      <c r="S787" s="114">
        <f t="shared" ref="S787:T787" si="788">A787</f>
        <v>787</v>
      </c>
      <c r="T787" s="114" t="str">
        <f t="shared" si="788"/>
        <v>باقر سهرابی</v>
      </c>
      <c r="U787" s="86" t="str">
        <f t="shared" si="3"/>
        <v>09192848236</v>
      </c>
      <c r="V787" s="86" t="str">
        <f t="shared" si="4"/>
        <v>پیش‌وایی 7</v>
      </c>
      <c r="W787" s="86"/>
      <c r="X787" s="86"/>
    </row>
    <row r="788">
      <c r="A788" s="192">
        <v>788.0</v>
      </c>
      <c r="B788" s="193" t="s">
        <v>4294</v>
      </c>
      <c r="C788" s="194" t="s">
        <v>4295</v>
      </c>
      <c r="D788" s="195" t="str">
        <f>IFERROR(__xludf.DUMMYFUNCTION("ARRAYFORMULA(LET( converted, SUBSTITUTE( SUBSTITUTE( SUBSTITUTE( SUBSTITUTE( SUBSTITUTE( SUBSTITUTE( SUBSTITUTE( SUBSTITUTE( SUBSTITUTE( SUBSTITUTE( C788, ""۰"", ""0""), ""۱"", ""1""), ""۲"", ""2""), ""۳"", ""3""), ""۴"", ""4""), ""۵"", ""5""), ""۶"", ""6"&amp;"""), ""۷"", ""7""), ""۸"", ""8""), ""۹"", ""9""), IF(LEFT(converted,3)=""+98"", ""0"" &amp; RIGHT(converted, LEN(converted)-3), IF(LEFT(converted,2)=""98"", ""0"" &amp; RIGHT(converted, LEN(converted)-2), IF(LEFT(converted,1)&lt;&gt;""0"", ""0"" &amp; converted, REGEXREPLA"&amp;"CE(converted , ""\s"", """")) ) ) ) )"),"09212434582")</f>
        <v>09212434582</v>
      </c>
      <c r="E788" s="196" t="s">
        <v>17</v>
      </c>
      <c r="F788" s="197">
        <v>7.0</v>
      </c>
      <c r="G788" s="212" t="s">
        <v>746</v>
      </c>
      <c r="H788" s="193" t="s">
        <v>4296</v>
      </c>
      <c r="I788" s="194"/>
      <c r="J788" s="194" t="s">
        <v>4297</v>
      </c>
      <c r="K788" s="199" t="s">
        <v>3182</v>
      </c>
      <c r="L788" s="199" t="s">
        <v>4298</v>
      </c>
      <c r="M788" s="199"/>
      <c r="N788" s="199"/>
      <c r="O788" s="193"/>
      <c r="P788" s="193"/>
      <c r="Q788" s="200"/>
      <c r="R788" s="86"/>
      <c r="S788" s="114">
        <f t="shared" ref="S788:T788" si="789">A788</f>
        <v>788</v>
      </c>
      <c r="T788" s="114" t="str">
        <f t="shared" si="789"/>
        <v>فرناز هداوند</v>
      </c>
      <c r="U788" s="86" t="str">
        <f t="shared" si="3"/>
        <v>09212434582</v>
      </c>
      <c r="V788" s="86" t="str">
        <f t="shared" si="4"/>
        <v>پیش‌وایی 7</v>
      </c>
      <c r="W788" s="86"/>
      <c r="X788" s="86"/>
    </row>
    <row r="789">
      <c r="A789" s="201">
        <v>789.0</v>
      </c>
      <c r="B789" s="207" t="s">
        <v>4299</v>
      </c>
      <c r="C789" s="203" t="s">
        <v>4300</v>
      </c>
      <c r="D789" s="204" t="str">
        <f>IFERROR(__xludf.DUMMYFUNCTION("ARRAYFORMULA(LET( converted, SUBSTITUTE( SUBSTITUTE( SUBSTITUTE( SUBSTITUTE( SUBSTITUTE( SUBSTITUTE( SUBSTITUTE( SUBSTITUTE( SUBSTITUTE( SUBSTITUTE( C789, ""۰"", ""0""), ""۱"", ""1""), ""۲"", ""2""), ""۳"", ""3""), ""۴"", ""4""), ""۵"", ""5""), ""۶"", ""6"&amp;"""), ""۷"", ""7""), ""۸"", ""8""), ""۹"", ""9""), IF(LEFT(converted,3)=""+98"", ""0"" &amp; RIGHT(converted, LEN(converted)-3), IF(LEFT(converted,2)=""98"", ""0"" &amp; RIGHT(converted, LEN(converted)-2), IF(LEFT(converted,1)&lt;&gt;""0"", ""0"" &amp; converted, REGEXREPLA"&amp;"CE(converted , ""\s"", """")) ) ) ) )"),"09397848583")</f>
        <v>09397848583</v>
      </c>
      <c r="E789" s="205" t="s">
        <v>17</v>
      </c>
      <c r="F789" s="206">
        <v>7.0</v>
      </c>
      <c r="G789" s="213" t="s">
        <v>746</v>
      </c>
      <c r="H789" s="202" t="s">
        <v>4301</v>
      </c>
      <c r="I789" s="203"/>
      <c r="J789" s="203" t="s">
        <v>4302</v>
      </c>
      <c r="K789" s="207" t="s">
        <v>4303</v>
      </c>
      <c r="L789" s="207" t="s">
        <v>4304</v>
      </c>
      <c r="M789" s="207"/>
      <c r="N789" s="207"/>
      <c r="O789" s="202"/>
      <c r="P789" s="202"/>
      <c r="Q789" s="208"/>
      <c r="R789" s="86"/>
      <c r="S789" s="114">
        <f t="shared" ref="S789:T789" si="790">A789</f>
        <v>789</v>
      </c>
      <c r="T789" s="114" t="str">
        <f t="shared" si="790"/>
        <v>صدف ولوی</v>
      </c>
      <c r="U789" s="86" t="str">
        <f t="shared" si="3"/>
        <v>09397848583</v>
      </c>
      <c r="V789" s="86" t="str">
        <f t="shared" si="4"/>
        <v>پیش‌وایی 7</v>
      </c>
      <c r="W789" s="86"/>
      <c r="X789" s="86"/>
    </row>
    <row r="790">
      <c r="A790" s="192">
        <v>790.0</v>
      </c>
      <c r="B790" s="193" t="s">
        <v>4305</v>
      </c>
      <c r="C790" s="194" t="s">
        <v>4306</v>
      </c>
      <c r="D790" s="195" t="str">
        <f>IFERROR(__xludf.DUMMYFUNCTION("ARRAYFORMULA(LET( converted, SUBSTITUTE( SUBSTITUTE( SUBSTITUTE( SUBSTITUTE( SUBSTITUTE( SUBSTITUTE( SUBSTITUTE( SUBSTITUTE( SUBSTITUTE( SUBSTITUTE( C790, ""۰"", ""0""), ""۱"", ""1""), ""۲"", ""2""), ""۳"", ""3""), ""۴"", ""4""), ""۵"", ""5""), ""۶"", ""6"&amp;"""), ""۷"", ""7""), ""۸"", ""8""), ""۹"", ""9""), IF(LEFT(converted,3)=""+98"", ""0"" &amp; RIGHT(converted, LEN(converted)-3), IF(LEFT(converted,2)=""98"", ""0"" &amp; RIGHT(converted, LEN(converted)-2), IF(LEFT(converted,1)&lt;&gt;""0"", ""0"" &amp; converted, REGEXREPLA"&amp;"CE(converted , ""\s"", """")) ) ) ) )"),"09126595179")</f>
        <v>09126595179</v>
      </c>
      <c r="E790" s="196" t="s">
        <v>17</v>
      </c>
      <c r="F790" s="197">
        <v>7.0</v>
      </c>
      <c r="G790" s="212" t="s">
        <v>730</v>
      </c>
      <c r="H790" s="193" t="s">
        <v>4307</v>
      </c>
      <c r="I790" s="194"/>
      <c r="J790" s="194" t="s">
        <v>4308</v>
      </c>
      <c r="K790" s="199" t="s">
        <v>1018</v>
      </c>
      <c r="L790" s="199" t="s">
        <v>4309</v>
      </c>
      <c r="M790" s="199"/>
      <c r="N790" s="199"/>
      <c r="O790" s="193"/>
      <c r="P790" s="193"/>
      <c r="Q790" s="200"/>
      <c r="R790" s="86"/>
      <c r="S790" s="114">
        <f t="shared" ref="S790:T790" si="791">A790</f>
        <v>790</v>
      </c>
      <c r="T790" s="114" t="str">
        <f t="shared" si="791"/>
        <v>علی کاردلی</v>
      </c>
      <c r="U790" s="86" t="str">
        <f t="shared" si="3"/>
        <v>09126595179</v>
      </c>
      <c r="V790" s="86" t="str">
        <f t="shared" si="4"/>
        <v>پیش‌وایی 7</v>
      </c>
      <c r="W790" s="86"/>
      <c r="X790" s="86"/>
    </row>
    <row r="791">
      <c r="A791" s="201">
        <v>791.0</v>
      </c>
      <c r="B791" s="202" t="s">
        <v>4310</v>
      </c>
      <c r="C791" s="203" t="s">
        <v>4311</v>
      </c>
      <c r="D791" s="204" t="str">
        <f>IFERROR(__xludf.DUMMYFUNCTION("ARRAYFORMULA(LET( converted, SUBSTITUTE( SUBSTITUTE( SUBSTITUTE( SUBSTITUTE( SUBSTITUTE( SUBSTITUTE( SUBSTITUTE( SUBSTITUTE( SUBSTITUTE( SUBSTITUTE( C791, ""۰"", ""0""), ""۱"", ""1""), ""۲"", ""2""), ""۳"", ""3""), ""۴"", ""4""), ""۵"", ""5""), ""۶"", ""6"&amp;"""), ""۷"", ""7""), ""۸"", ""8""), ""۹"", ""9""), IF(LEFT(converted,3)=""+98"", ""0"" &amp; RIGHT(converted, LEN(converted)-3), IF(LEFT(converted,2)=""98"", ""0"" &amp; RIGHT(converted, LEN(converted)-2), IF(LEFT(converted,1)&lt;&gt;""0"", ""0"" &amp; converted, REGEXREPLA"&amp;"CE(converted , ""\s"", """")) ) ) ) )"),"09911711664")</f>
        <v>09911711664</v>
      </c>
      <c r="E791" s="205" t="s">
        <v>17</v>
      </c>
      <c r="F791" s="206">
        <v>7.0</v>
      </c>
      <c r="G791" s="213" t="s">
        <v>746</v>
      </c>
      <c r="H791" s="202" t="s">
        <v>4312</v>
      </c>
      <c r="I791" s="203"/>
      <c r="J791" s="203" t="s">
        <v>4313</v>
      </c>
      <c r="K791" s="207" t="s">
        <v>2254</v>
      </c>
      <c r="L791" s="207" t="s">
        <v>4314</v>
      </c>
      <c r="M791" s="207"/>
      <c r="N791" s="207"/>
      <c r="O791" s="202"/>
      <c r="P791" s="202"/>
      <c r="Q791" s="208"/>
      <c r="R791" s="86"/>
      <c r="S791" s="114">
        <f t="shared" ref="S791:T791" si="792">A791</f>
        <v>791</v>
      </c>
      <c r="T791" s="114" t="str">
        <f t="shared" si="792"/>
        <v>ویدا گلزار</v>
      </c>
      <c r="U791" s="86" t="str">
        <f t="shared" si="3"/>
        <v>09911711664</v>
      </c>
      <c r="V791" s="86" t="str">
        <f t="shared" si="4"/>
        <v>پیش‌وایی 7</v>
      </c>
      <c r="W791" s="86"/>
      <c r="X791" s="86"/>
    </row>
    <row r="792">
      <c r="A792" s="192">
        <v>792.0</v>
      </c>
      <c r="B792" s="199" t="s">
        <v>4315</v>
      </c>
      <c r="C792" s="194" t="s">
        <v>4316</v>
      </c>
      <c r="D792" s="195" t="str">
        <f>IFERROR(__xludf.DUMMYFUNCTION("ARRAYFORMULA(LET( converted, SUBSTITUTE( SUBSTITUTE( SUBSTITUTE( SUBSTITUTE( SUBSTITUTE( SUBSTITUTE( SUBSTITUTE( SUBSTITUTE( SUBSTITUTE( SUBSTITUTE( C792, ""۰"", ""0""), ""۱"", ""1""), ""۲"", ""2""), ""۳"", ""3""), ""۴"", ""4""), ""۵"", ""5""), ""۶"", ""6"&amp;"""), ""۷"", ""7""), ""۸"", ""8""), ""۹"", ""9""), IF(LEFT(converted,3)=""+98"", ""0"" &amp; RIGHT(converted, LEN(converted)-3), IF(LEFT(converted,2)=""98"", ""0"" &amp; RIGHT(converted, LEN(converted)-2), IF(LEFT(converted,1)&lt;&gt;""0"", ""0"" &amp; converted, REGEXREPLA"&amp;"CE(converted , ""\s"", """")) ) ) ) )"),"09351383174")</f>
        <v>09351383174</v>
      </c>
      <c r="E792" s="196" t="s">
        <v>17</v>
      </c>
      <c r="F792" s="197">
        <v>7.0</v>
      </c>
      <c r="G792" s="212" t="s">
        <v>746</v>
      </c>
      <c r="H792" s="193" t="s">
        <v>4317</v>
      </c>
      <c r="I792" s="194"/>
      <c r="J792" s="194" t="s">
        <v>4318</v>
      </c>
      <c r="K792" s="199" t="s">
        <v>2233</v>
      </c>
      <c r="L792" s="199" t="s">
        <v>3528</v>
      </c>
      <c r="M792" s="199"/>
      <c r="N792" s="199"/>
      <c r="O792" s="193"/>
      <c r="P792" s="193"/>
      <c r="Q792" s="200"/>
      <c r="R792" s="86"/>
      <c r="S792" s="114">
        <f t="shared" ref="S792:T792" si="793">A792</f>
        <v>792</v>
      </c>
      <c r="T792" s="114" t="str">
        <f t="shared" si="793"/>
        <v>الهه عباسی</v>
      </c>
      <c r="U792" s="86" t="str">
        <f t="shared" si="3"/>
        <v>09351383174</v>
      </c>
      <c r="V792" s="86" t="str">
        <f t="shared" si="4"/>
        <v>پیش‌وایی 7</v>
      </c>
      <c r="W792" s="86"/>
      <c r="X792" s="86"/>
    </row>
    <row r="793">
      <c r="A793" s="201">
        <v>793.0</v>
      </c>
      <c r="B793" s="207" t="s">
        <v>4319</v>
      </c>
      <c r="C793" s="203" t="s">
        <v>4320</v>
      </c>
      <c r="D793" s="204" t="str">
        <f>IFERROR(__xludf.DUMMYFUNCTION("ARRAYFORMULA(LET( converted, SUBSTITUTE( SUBSTITUTE( SUBSTITUTE( SUBSTITUTE( SUBSTITUTE( SUBSTITUTE( SUBSTITUTE( SUBSTITUTE( SUBSTITUTE( SUBSTITUTE( C793, ""۰"", ""0""), ""۱"", ""1""), ""۲"", ""2""), ""۳"", ""3""), ""۴"", ""4""), ""۵"", ""5""), ""۶"", ""6"&amp;"""), ""۷"", ""7""), ""۸"", ""8""), ""۹"", ""9""), IF(LEFT(converted,3)=""+98"", ""0"" &amp; RIGHT(converted, LEN(converted)-3), IF(LEFT(converted,2)=""98"", ""0"" &amp; RIGHT(converted, LEN(converted)-2), IF(LEFT(converted,1)&lt;&gt;""0"", ""0"" &amp; converted, REGEXREPLA"&amp;"CE(converted , ""\s"", """")) ) ) ) )"),"09112692919")</f>
        <v>09112692919</v>
      </c>
      <c r="E793" s="205" t="s">
        <v>17</v>
      </c>
      <c r="F793" s="206">
        <v>7.0</v>
      </c>
      <c r="G793" s="213" t="s">
        <v>730</v>
      </c>
      <c r="H793" s="202" t="s">
        <v>4321</v>
      </c>
      <c r="I793" s="203"/>
      <c r="J793" s="203" t="s">
        <v>4322</v>
      </c>
      <c r="K793" s="207" t="s">
        <v>758</v>
      </c>
      <c r="L793" s="207" t="s">
        <v>4323</v>
      </c>
      <c r="M793" s="207"/>
      <c r="N793" s="207"/>
      <c r="O793" s="202"/>
      <c r="P793" s="202"/>
      <c r="Q793" s="208"/>
      <c r="R793" s="86"/>
      <c r="S793" s="114">
        <f t="shared" ref="S793:T793" si="794">A793</f>
        <v>793</v>
      </c>
      <c r="T793" s="114" t="str">
        <f t="shared" si="794"/>
        <v>سعید خالیق</v>
      </c>
      <c r="U793" s="86" t="str">
        <f t="shared" si="3"/>
        <v>09112692919</v>
      </c>
      <c r="V793" s="86" t="str">
        <f t="shared" si="4"/>
        <v>پیش‌وایی 7</v>
      </c>
      <c r="W793" s="86"/>
      <c r="X793" s="86"/>
    </row>
    <row r="794">
      <c r="A794" s="192">
        <v>794.0</v>
      </c>
      <c r="B794" s="199" t="s">
        <v>4324</v>
      </c>
      <c r="C794" s="194" t="s">
        <v>4325</v>
      </c>
      <c r="D794" s="195" t="str">
        <f>IFERROR(__xludf.DUMMYFUNCTION("ARRAYFORMULA(LET( converted, SUBSTITUTE( SUBSTITUTE( SUBSTITUTE( SUBSTITUTE( SUBSTITUTE( SUBSTITUTE( SUBSTITUTE( SUBSTITUTE( SUBSTITUTE( SUBSTITUTE( C794, ""۰"", ""0""), ""۱"", ""1""), ""۲"", ""2""), ""۳"", ""3""), ""۴"", ""4""), ""۵"", ""5""), ""۶"", ""6"&amp;"""), ""۷"", ""7""), ""۸"", ""8""), ""۹"", ""9""), IF(LEFT(converted,3)=""+98"", ""0"" &amp; RIGHT(converted, LEN(converted)-3), IF(LEFT(converted,2)=""98"", ""0"" &amp; RIGHT(converted, LEN(converted)-2), IF(LEFT(converted,1)&lt;&gt;""0"", ""0"" &amp; converted, REGEXREPLA"&amp;"CE(converted , ""\s"", """")) ) ) ) )"),"09308418638")</f>
        <v>09308418638</v>
      </c>
      <c r="E794" s="196" t="s">
        <v>17</v>
      </c>
      <c r="F794" s="197">
        <v>7.0</v>
      </c>
      <c r="G794" s="212" t="s">
        <v>746</v>
      </c>
      <c r="H794" s="193" t="s">
        <v>4326</v>
      </c>
      <c r="I794" s="194"/>
      <c r="J794" s="194" t="s">
        <v>4327</v>
      </c>
      <c r="K794" s="199" t="s">
        <v>4328</v>
      </c>
      <c r="L794" s="199" t="s">
        <v>2538</v>
      </c>
      <c r="M794" s="199"/>
      <c r="N794" s="199"/>
      <c r="O794" s="193"/>
      <c r="P794" s="193"/>
      <c r="Q794" s="200"/>
      <c r="R794" s="86"/>
      <c r="S794" s="114">
        <f t="shared" ref="S794:T794" si="795">A794</f>
        <v>794</v>
      </c>
      <c r="T794" s="114" t="str">
        <f t="shared" si="795"/>
        <v>سرور کاوه</v>
      </c>
      <c r="U794" s="86" t="str">
        <f t="shared" si="3"/>
        <v>09308418638</v>
      </c>
      <c r="V794" s="86" t="str">
        <f t="shared" si="4"/>
        <v>پیش‌وایی 7</v>
      </c>
      <c r="W794" s="86"/>
      <c r="X794" s="86"/>
    </row>
    <row r="795">
      <c r="A795" s="201">
        <v>795.0</v>
      </c>
      <c r="B795" s="202" t="s">
        <v>4329</v>
      </c>
      <c r="C795" s="203" t="s">
        <v>4330</v>
      </c>
      <c r="D795" s="204" t="str">
        <f>IFERROR(__xludf.DUMMYFUNCTION("ARRAYFORMULA(LET( converted, SUBSTITUTE( SUBSTITUTE( SUBSTITUTE( SUBSTITUTE( SUBSTITUTE( SUBSTITUTE( SUBSTITUTE( SUBSTITUTE( SUBSTITUTE( SUBSTITUTE( C795, ""۰"", ""0""), ""۱"", ""1""), ""۲"", ""2""), ""۳"", ""3""), ""۴"", ""4""), ""۵"", ""5""), ""۶"", ""6"&amp;"""), ""۷"", ""7""), ""۸"", ""8""), ""۹"", ""9""), IF(LEFT(converted,3)=""+98"", ""0"" &amp; RIGHT(converted, LEN(converted)-3), IF(LEFT(converted,2)=""98"", ""0"" &amp; RIGHT(converted, LEN(converted)-2), IF(LEFT(converted,1)&lt;&gt;""0"", ""0"" &amp; converted, REGEXREPLA"&amp;"CE(converted , ""\s"", """")) ) ) ) )"),"09377310540")</f>
        <v>09377310540</v>
      </c>
      <c r="E795" s="205" t="s">
        <v>17</v>
      </c>
      <c r="F795" s="206">
        <v>7.0</v>
      </c>
      <c r="G795" s="213" t="s">
        <v>746</v>
      </c>
      <c r="H795" s="202" t="s">
        <v>4331</v>
      </c>
      <c r="I795" s="203"/>
      <c r="J795" s="203" t="s">
        <v>4332</v>
      </c>
      <c r="K795" s="207" t="s">
        <v>2512</v>
      </c>
      <c r="L795" s="207" t="s">
        <v>1945</v>
      </c>
      <c r="M795" s="207"/>
      <c r="N795" s="207"/>
      <c r="O795" s="202"/>
      <c r="P795" s="202"/>
      <c r="Q795" s="208"/>
      <c r="R795" s="86"/>
      <c r="S795" s="114">
        <f t="shared" ref="S795:T795" si="796">A795</f>
        <v>795</v>
      </c>
      <c r="T795" s="114" t="str">
        <f t="shared" si="796"/>
        <v>نگار ِ سرمست</v>
      </c>
      <c r="U795" s="86" t="str">
        <f t="shared" si="3"/>
        <v>09377310540</v>
      </c>
      <c r="V795" s="86" t="str">
        <f t="shared" si="4"/>
        <v>پیش‌وایی 7</v>
      </c>
      <c r="W795" s="86"/>
      <c r="X795" s="86"/>
    </row>
    <row r="796">
      <c r="A796" s="192">
        <v>796.0</v>
      </c>
      <c r="B796" s="199" t="s">
        <v>4333</v>
      </c>
      <c r="C796" s="194" t="s">
        <v>4334</v>
      </c>
      <c r="D796" s="195" t="str">
        <f>IFERROR(__xludf.DUMMYFUNCTION("ARRAYFORMULA(LET( converted, SUBSTITUTE( SUBSTITUTE( SUBSTITUTE( SUBSTITUTE( SUBSTITUTE( SUBSTITUTE( SUBSTITUTE( SUBSTITUTE( SUBSTITUTE( SUBSTITUTE( C796, ""۰"", ""0""), ""۱"", ""1""), ""۲"", ""2""), ""۳"", ""3""), ""۴"", ""4""), ""۵"", ""5""), ""۶"", ""6"&amp;"""), ""۷"", ""7""), ""۸"", ""8""), ""۹"", ""9""), IF(LEFT(converted,3)=""+98"", ""0"" &amp; RIGHT(converted, LEN(converted)-3), IF(LEFT(converted,2)=""98"", ""0"" &amp; RIGHT(converted, LEN(converted)-2), IF(LEFT(converted,1)&lt;&gt;""0"", ""0"" &amp; converted, REGEXREPLA"&amp;"CE(converted , ""\s"", """")) ) ) ) )"),"09112788617")</f>
        <v>09112788617</v>
      </c>
      <c r="E796" s="196" t="s">
        <v>17</v>
      </c>
      <c r="F796" s="197">
        <v>7.0</v>
      </c>
      <c r="G796" s="212" t="s">
        <v>746</v>
      </c>
      <c r="H796" s="193" t="s">
        <v>4335</v>
      </c>
      <c r="I796" s="194"/>
      <c r="J796" s="194" t="s">
        <v>4336</v>
      </c>
      <c r="K796" s="199" t="s">
        <v>4337</v>
      </c>
      <c r="L796" s="199" t="s">
        <v>193</v>
      </c>
      <c r="M796" s="199"/>
      <c r="N796" s="199"/>
      <c r="O796" s="193"/>
      <c r="P796" s="193"/>
      <c r="Q796" s="200"/>
      <c r="R796" s="86"/>
      <c r="S796" s="114">
        <f t="shared" ref="S796:T796" si="797">A796</f>
        <v>796</v>
      </c>
      <c r="T796" s="114" t="str">
        <f t="shared" si="797"/>
        <v>سلماز رضازاده</v>
      </c>
      <c r="U796" s="86" t="str">
        <f t="shared" si="3"/>
        <v>09112788617</v>
      </c>
      <c r="V796" s="86" t="str">
        <f t="shared" si="4"/>
        <v>پیش‌وایی 7</v>
      </c>
      <c r="W796" s="86"/>
      <c r="X796" s="86"/>
    </row>
    <row r="797">
      <c r="A797" s="201">
        <v>797.0</v>
      </c>
      <c r="B797" s="202" t="s">
        <v>4338</v>
      </c>
      <c r="C797" s="203" t="s">
        <v>4339</v>
      </c>
      <c r="D797" s="204" t="str">
        <f>IFERROR(__xludf.DUMMYFUNCTION("ARRAYFORMULA(LET( converted, SUBSTITUTE( SUBSTITUTE( SUBSTITUTE( SUBSTITUTE( SUBSTITUTE( SUBSTITUTE( SUBSTITUTE( SUBSTITUTE( SUBSTITUTE( SUBSTITUTE( C797, ""۰"", ""0""), ""۱"", ""1""), ""۲"", ""2""), ""۳"", ""3""), ""۴"", ""4""), ""۵"", ""5""), ""۶"", ""6"&amp;"""), ""۷"", ""7""), ""۸"", ""8""), ""۹"", ""9""), IF(LEFT(converted,3)=""+98"", ""0"" &amp; RIGHT(converted, LEN(converted)-3), IF(LEFT(converted,2)=""98"", ""0"" &amp; RIGHT(converted, LEN(converted)-2), IF(LEFT(converted,1)&lt;&gt;""0"", ""0"" &amp; converted, REGEXREPLA"&amp;"CE(converted , ""\s"", """")) ) ) ) )"),"09116468905")</f>
        <v>09116468905</v>
      </c>
      <c r="E797" s="205" t="s">
        <v>17</v>
      </c>
      <c r="F797" s="206">
        <v>7.0</v>
      </c>
      <c r="G797" s="213" t="s">
        <v>730</v>
      </c>
      <c r="H797" s="202" t="s">
        <v>4340</v>
      </c>
      <c r="I797" s="203"/>
      <c r="J797" s="203" t="s">
        <v>4341</v>
      </c>
      <c r="K797" s="207" t="s">
        <v>1419</v>
      </c>
      <c r="L797" s="207" t="s">
        <v>1256</v>
      </c>
      <c r="M797" s="207"/>
      <c r="N797" s="207"/>
      <c r="O797" s="202"/>
      <c r="P797" s="202"/>
      <c r="Q797" s="208"/>
      <c r="R797" s="86"/>
      <c r="S797" s="114">
        <f t="shared" ref="S797:T797" si="798">A797</f>
        <v>797</v>
      </c>
      <c r="T797" s="114" t="str">
        <f t="shared" si="798"/>
        <v>رسول سلطانی</v>
      </c>
      <c r="U797" s="86" t="str">
        <f t="shared" si="3"/>
        <v>09116468905</v>
      </c>
      <c r="V797" s="86" t="str">
        <f t="shared" si="4"/>
        <v>پیش‌وایی 7</v>
      </c>
      <c r="W797" s="86"/>
      <c r="X797" s="86"/>
    </row>
    <row r="798">
      <c r="A798" s="192">
        <v>798.0</v>
      </c>
      <c r="B798" s="193" t="s">
        <v>4342</v>
      </c>
      <c r="C798" s="194" t="s">
        <v>4343</v>
      </c>
      <c r="D798" s="195" t="str">
        <f>IFERROR(__xludf.DUMMYFUNCTION("ARRAYFORMULA(LET( converted, SUBSTITUTE( SUBSTITUTE( SUBSTITUTE( SUBSTITUTE( SUBSTITUTE( SUBSTITUTE( SUBSTITUTE( SUBSTITUTE( SUBSTITUTE( SUBSTITUTE( C798, ""۰"", ""0""), ""۱"", ""1""), ""۲"", ""2""), ""۳"", ""3""), ""۴"", ""4""), ""۵"", ""5""), ""۶"", ""6"&amp;"""), ""۷"", ""7""), ""۸"", ""8""), ""۹"", ""9""), IF(LEFT(converted,3)=""+98"", ""0"" &amp; RIGHT(converted, LEN(converted)-3), IF(LEFT(converted,2)=""98"", ""0"" &amp; RIGHT(converted, LEN(converted)-2), IF(LEFT(converted,1)&lt;&gt;""0"", ""0"" &amp; converted, REGEXREPLA"&amp;"CE(converted , ""\s"", """")) ) ) ) )"),"09126643468")</f>
        <v>09126643468</v>
      </c>
      <c r="E798" s="196" t="s">
        <v>17</v>
      </c>
      <c r="F798" s="197">
        <v>7.0</v>
      </c>
      <c r="G798" s="212" t="s">
        <v>746</v>
      </c>
      <c r="H798" s="193" t="s">
        <v>4344</v>
      </c>
      <c r="I798" s="194"/>
      <c r="J798" s="194" t="s">
        <v>4345</v>
      </c>
      <c r="K798" s="199" t="s">
        <v>4346</v>
      </c>
      <c r="L798" s="199" t="s">
        <v>4347</v>
      </c>
      <c r="M798" s="199"/>
      <c r="N798" s="199"/>
      <c r="O798" s="193"/>
      <c r="P798" s="193"/>
      <c r="Q798" s="200"/>
      <c r="R798" s="86"/>
      <c r="S798" s="114">
        <f t="shared" ref="S798:T798" si="799">A798</f>
        <v>798</v>
      </c>
      <c r="T798" s="114" t="str">
        <f t="shared" si="799"/>
        <v>طاهره غلامی</v>
      </c>
      <c r="U798" s="86" t="str">
        <f t="shared" si="3"/>
        <v>09126643468</v>
      </c>
      <c r="V798" s="86" t="str">
        <f t="shared" si="4"/>
        <v>پیش‌وایی 7</v>
      </c>
      <c r="W798" s="86"/>
      <c r="X798" s="86"/>
    </row>
    <row r="799">
      <c r="A799" s="201">
        <v>799.0</v>
      </c>
      <c r="B799" s="207" t="s">
        <v>4348</v>
      </c>
      <c r="C799" s="203" t="s">
        <v>4349</v>
      </c>
      <c r="D799" s="204" t="str">
        <f>IFERROR(__xludf.DUMMYFUNCTION("ARRAYFORMULA(LET( converted, SUBSTITUTE( SUBSTITUTE( SUBSTITUTE( SUBSTITUTE( SUBSTITUTE( SUBSTITUTE( SUBSTITUTE( SUBSTITUTE( SUBSTITUTE( SUBSTITUTE( C799, ""۰"", ""0""), ""۱"", ""1""), ""۲"", ""2""), ""۳"", ""3""), ""۴"", ""4""), ""۵"", ""5""), ""۶"", ""6"&amp;"""), ""۷"", ""7""), ""۸"", ""8""), ""۹"", ""9""), IF(LEFT(converted,3)=""+98"", ""0"" &amp; RIGHT(converted, LEN(converted)-3), IF(LEFT(converted,2)=""98"", ""0"" &amp; RIGHT(converted, LEN(converted)-2), IF(LEFT(converted,1)&lt;&gt;""0"", ""0"" &amp; converted, REGEXREPLA"&amp;"CE(converted , ""\s"", """")) ) ) ) )"),"09126081549")</f>
        <v>09126081549</v>
      </c>
      <c r="E799" s="205" t="s">
        <v>17</v>
      </c>
      <c r="F799" s="206">
        <v>7.0</v>
      </c>
      <c r="G799" s="213" t="s">
        <v>730</v>
      </c>
      <c r="H799" s="202" t="s">
        <v>4350</v>
      </c>
      <c r="I799" s="203"/>
      <c r="J799" s="203" t="s">
        <v>4351</v>
      </c>
      <c r="K799" s="207" t="s">
        <v>4352</v>
      </c>
      <c r="L799" s="207" t="s">
        <v>4353</v>
      </c>
      <c r="M799" s="207"/>
      <c r="N799" s="207"/>
      <c r="O799" s="202"/>
      <c r="P799" s="202"/>
      <c r="Q799" s="208"/>
      <c r="R799" s="86"/>
      <c r="S799" s="114">
        <f t="shared" ref="S799:T799" si="800">A799</f>
        <v>799</v>
      </c>
      <c r="T799" s="114" t="str">
        <f t="shared" si="800"/>
        <v>آناهیتا زMیان</v>
      </c>
      <c r="U799" s="86" t="str">
        <f t="shared" si="3"/>
        <v>09126081549</v>
      </c>
      <c r="V799" s="86" t="str">
        <f t="shared" si="4"/>
        <v>پیش‌وایی 7</v>
      </c>
      <c r="W799" s="86"/>
      <c r="X799" s="86"/>
    </row>
    <row r="800">
      <c r="A800" s="192">
        <v>800.0</v>
      </c>
      <c r="B800" s="199" t="s">
        <v>4354</v>
      </c>
      <c r="C800" s="194" t="s">
        <v>4355</v>
      </c>
      <c r="D800" s="195" t="str">
        <f>IFERROR(__xludf.DUMMYFUNCTION("ARRAYFORMULA(LET( converted, SUBSTITUTE( SUBSTITUTE( SUBSTITUTE( SUBSTITUTE( SUBSTITUTE( SUBSTITUTE( SUBSTITUTE( SUBSTITUTE( SUBSTITUTE( SUBSTITUTE( C800, ""۰"", ""0""), ""۱"", ""1""), ""۲"", ""2""), ""۳"", ""3""), ""۴"", ""4""), ""۵"", ""5""), ""۶"", ""6"&amp;"""), ""۷"", ""7""), ""۸"", ""8""), ""۹"", ""9""), IF(LEFT(converted,3)=""+98"", ""0"" &amp; RIGHT(converted, LEN(converted)-3), IF(LEFT(converted,2)=""98"", ""0"" &amp; RIGHT(converted, LEN(converted)-2), IF(LEFT(converted,1)&lt;&gt;""0"", ""0"" &amp; converted, REGEXREPLA"&amp;"CE(converted , ""\s"", """")) ) ) ) )"),"09011711981")</f>
        <v>09011711981</v>
      </c>
      <c r="E800" s="196" t="s">
        <v>17</v>
      </c>
      <c r="F800" s="197">
        <v>7.0</v>
      </c>
      <c r="G800" s="212" t="s">
        <v>730</v>
      </c>
      <c r="H800" s="193" t="s">
        <v>4356</v>
      </c>
      <c r="I800" s="194"/>
      <c r="J800" s="194" t="s">
        <v>4357</v>
      </c>
      <c r="K800" s="199" t="s">
        <v>192</v>
      </c>
      <c r="L800" s="199" t="s">
        <v>4358</v>
      </c>
      <c r="M800" s="199"/>
      <c r="N800" s="199"/>
      <c r="O800" s="193"/>
      <c r="P800" s="193"/>
      <c r="Q800" s="200"/>
      <c r="R800" s="86"/>
      <c r="S800" s="114">
        <f t="shared" ref="S800:T800" si="801">A800</f>
        <v>800</v>
      </c>
      <c r="T800" s="114" t="str">
        <f t="shared" si="801"/>
        <v>امیرحسین رایجی</v>
      </c>
      <c r="U800" s="86" t="str">
        <f t="shared" si="3"/>
        <v>09011711981</v>
      </c>
      <c r="V800" s="86" t="str">
        <f t="shared" si="4"/>
        <v>پیش‌وایی 7</v>
      </c>
      <c r="W800" s="86"/>
      <c r="X800" s="86"/>
    </row>
    <row r="801">
      <c r="A801" s="201">
        <v>801.0</v>
      </c>
      <c r="B801" s="207" t="s">
        <v>4359</v>
      </c>
      <c r="C801" s="203" t="s">
        <v>4360</v>
      </c>
      <c r="D801" s="204" t="str">
        <f>IFERROR(__xludf.DUMMYFUNCTION("ARRAYFORMULA(LET( converted, SUBSTITUTE( SUBSTITUTE( SUBSTITUTE( SUBSTITUTE( SUBSTITUTE( SUBSTITUTE( SUBSTITUTE( SUBSTITUTE( SUBSTITUTE( SUBSTITUTE( C801, ""۰"", ""0""), ""۱"", ""1""), ""۲"", ""2""), ""۳"", ""3""), ""۴"", ""4""), ""۵"", ""5""), ""۶"", ""6"&amp;"""), ""۷"", ""7""), ""۸"", ""8""), ""۹"", ""9""), IF(LEFT(converted,3)=""+98"", ""0"" &amp; RIGHT(converted, LEN(converted)-3), IF(LEFT(converted,2)=""98"", ""0"" &amp; RIGHT(converted, LEN(converted)-2), IF(LEFT(converted,1)&lt;&gt;""0"", ""0"" &amp; converted, REGEXREPLA"&amp;"CE(converted , ""\s"", """")) ) ) ) )"),"09354822331")</f>
        <v>09354822331</v>
      </c>
      <c r="E801" s="205" t="s">
        <v>17</v>
      </c>
      <c r="F801" s="206">
        <v>7.0</v>
      </c>
      <c r="G801" s="213" t="s">
        <v>746</v>
      </c>
      <c r="H801" s="202" t="s">
        <v>4361</v>
      </c>
      <c r="I801" s="203"/>
      <c r="J801" s="203" t="s">
        <v>4362</v>
      </c>
      <c r="K801" s="207" t="s">
        <v>4363</v>
      </c>
      <c r="L801" s="207" t="s">
        <v>4364</v>
      </c>
      <c r="M801" s="207"/>
      <c r="N801" s="207"/>
      <c r="O801" s="202"/>
      <c r="P801" s="202"/>
      <c r="Q801" s="208"/>
      <c r="R801" s="86"/>
      <c r="S801" s="114">
        <f t="shared" ref="S801:T801" si="802">A801</f>
        <v>801</v>
      </c>
      <c r="T801" s="114" t="str">
        <f t="shared" si="802"/>
        <v>فیروز سمیعی</v>
      </c>
      <c r="U801" s="86" t="str">
        <f t="shared" si="3"/>
        <v>09354822331</v>
      </c>
      <c r="V801" s="86" t="str">
        <f t="shared" si="4"/>
        <v>پیش‌وایی 7</v>
      </c>
      <c r="W801" s="86"/>
      <c r="X801" s="86"/>
    </row>
    <row r="802">
      <c r="A802" s="192">
        <v>802.0</v>
      </c>
      <c r="B802" s="193" t="s">
        <v>4365</v>
      </c>
      <c r="C802" s="194" t="s">
        <v>4366</v>
      </c>
      <c r="D802" s="195" t="str">
        <f>IFERROR(__xludf.DUMMYFUNCTION("ARRAYFORMULA(LET( converted, SUBSTITUTE( SUBSTITUTE( SUBSTITUTE( SUBSTITUTE( SUBSTITUTE( SUBSTITUTE( SUBSTITUTE( SUBSTITUTE( SUBSTITUTE( SUBSTITUTE( C802, ""۰"", ""0""), ""۱"", ""1""), ""۲"", ""2""), ""۳"", ""3""), ""۴"", ""4""), ""۵"", ""5""), ""۶"", ""6"&amp;"""), ""۷"", ""7""), ""۸"", ""8""), ""۹"", ""9""), IF(LEFT(converted,3)=""+98"", ""0"" &amp; RIGHT(converted, LEN(converted)-3), IF(LEFT(converted,2)=""98"", ""0"" &amp; RIGHT(converted, LEN(converted)-2), IF(LEFT(converted,1)&lt;&gt;""0"", ""0"" &amp; converted, REGEXREPLA"&amp;"CE(converted , ""\s"", """")) ) ) ) )"),"09122219194")</f>
        <v>09122219194</v>
      </c>
      <c r="E802" s="196" t="s">
        <v>17</v>
      </c>
      <c r="F802" s="197">
        <v>7.0</v>
      </c>
      <c r="G802" s="212" t="s">
        <v>730</v>
      </c>
      <c r="H802" s="193" t="s">
        <v>4367</v>
      </c>
      <c r="I802" s="194"/>
      <c r="J802" s="194" t="s">
        <v>4368</v>
      </c>
      <c r="K802" s="199" t="s">
        <v>4019</v>
      </c>
      <c r="L802" s="199" t="s">
        <v>335</v>
      </c>
      <c r="M802" s="199"/>
      <c r="N802" s="199"/>
      <c r="O802" s="193"/>
      <c r="P802" s="193"/>
      <c r="Q802" s="200"/>
      <c r="R802" s="86"/>
      <c r="S802" s="114">
        <f t="shared" ref="S802:T802" si="803">A802</f>
        <v>802</v>
      </c>
      <c r="T802" s="114" t="str">
        <f t="shared" si="803"/>
        <v>بهزاد حدادی</v>
      </c>
      <c r="U802" s="86" t="str">
        <f t="shared" si="3"/>
        <v>09122219194</v>
      </c>
      <c r="V802" s="86" t="str">
        <f t="shared" si="4"/>
        <v>پیش‌وایی 7</v>
      </c>
      <c r="W802" s="86"/>
      <c r="X802" s="86"/>
    </row>
    <row r="803">
      <c r="A803" s="201">
        <v>803.0</v>
      </c>
      <c r="B803" s="202" t="s">
        <v>4369</v>
      </c>
      <c r="C803" s="203" t="s">
        <v>4370</v>
      </c>
      <c r="D803" s="204" t="str">
        <f>IFERROR(__xludf.DUMMYFUNCTION("ARRAYFORMULA(LET( converted, SUBSTITUTE( SUBSTITUTE( SUBSTITUTE( SUBSTITUTE( SUBSTITUTE( SUBSTITUTE( SUBSTITUTE( SUBSTITUTE( SUBSTITUTE( SUBSTITUTE( C803, ""۰"", ""0""), ""۱"", ""1""), ""۲"", ""2""), ""۳"", ""3""), ""۴"", ""4""), ""۵"", ""5""), ""۶"", ""6"&amp;"""), ""۷"", ""7""), ""۸"", ""8""), ""۹"", ""9""), IF(LEFT(converted,3)=""+98"", ""0"" &amp; RIGHT(converted, LEN(converted)-3), IF(LEFT(converted,2)=""98"", ""0"" &amp; RIGHT(converted, LEN(converted)-2), IF(LEFT(converted,1)&lt;&gt;""0"", ""0"" &amp; converted, REGEXREPLA"&amp;"CE(converted , ""\s"", """")) ) ) ) )"),"09192964201")</f>
        <v>09192964201</v>
      </c>
      <c r="E803" s="205" t="s">
        <v>17</v>
      </c>
      <c r="F803" s="206">
        <v>7.0</v>
      </c>
      <c r="G803" s="213" t="s">
        <v>730</v>
      </c>
      <c r="H803" s="202" t="s">
        <v>4371</v>
      </c>
      <c r="I803" s="203"/>
      <c r="J803" s="203" t="s">
        <v>4372</v>
      </c>
      <c r="K803" s="207" t="s">
        <v>896</v>
      </c>
      <c r="L803" s="207" t="s">
        <v>4373</v>
      </c>
      <c r="M803" s="207"/>
      <c r="N803" s="207"/>
      <c r="O803" s="202"/>
      <c r="P803" s="202"/>
      <c r="Q803" s="208"/>
      <c r="R803" s="86"/>
      <c r="S803" s="114">
        <f t="shared" ref="S803:T803" si="804">A803</f>
        <v>803</v>
      </c>
      <c r="T803" s="114" t="str">
        <f t="shared" si="804"/>
        <v>حسین رحیمی</v>
      </c>
      <c r="U803" s="86" t="str">
        <f t="shared" si="3"/>
        <v>09192964201</v>
      </c>
      <c r="V803" s="86" t="str">
        <f t="shared" si="4"/>
        <v>پیش‌وایی 7</v>
      </c>
      <c r="W803" s="86"/>
      <c r="X803" s="86"/>
    </row>
    <row r="804">
      <c r="A804" s="192">
        <v>804.0</v>
      </c>
      <c r="B804" s="199" t="s">
        <v>4374</v>
      </c>
      <c r="C804" s="194" t="s">
        <v>4375</v>
      </c>
      <c r="D804" s="195" t="str">
        <f>IFERROR(__xludf.DUMMYFUNCTION("ARRAYFORMULA(LET( converted, SUBSTITUTE( SUBSTITUTE( SUBSTITUTE( SUBSTITUTE( SUBSTITUTE( SUBSTITUTE( SUBSTITUTE( SUBSTITUTE( SUBSTITUTE( SUBSTITUTE( C804, ""۰"", ""0""), ""۱"", ""1""), ""۲"", ""2""), ""۳"", ""3""), ""۴"", ""4""), ""۵"", ""5""), ""۶"", ""6"&amp;"""), ""۷"", ""7""), ""۸"", ""8""), ""۹"", ""9""), IF(LEFT(converted,3)=""+98"", ""0"" &amp; RIGHT(converted, LEN(converted)-3), IF(LEFT(converted,2)=""98"", ""0"" &amp; RIGHT(converted, LEN(converted)-2), IF(LEFT(converted,1)&lt;&gt;""0"", ""0"" &amp; converted, REGEXREPLA"&amp;"CE(converted , ""\s"", """")) ) ) ) )"),"09331363893")</f>
        <v>09331363893</v>
      </c>
      <c r="E804" s="196" t="s">
        <v>17</v>
      </c>
      <c r="F804" s="197">
        <v>7.0</v>
      </c>
      <c r="G804" s="212" t="s">
        <v>730</v>
      </c>
      <c r="H804" s="193" t="s">
        <v>4376</v>
      </c>
      <c r="I804" s="194"/>
      <c r="J804" s="194" t="s">
        <v>4377</v>
      </c>
      <c r="K804" s="199" t="s">
        <v>2259</v>
      </c>
      <c r="L804" s="199" t="s">
        <v>4008</v>
      </c>
      <c r="M804" s="199"/>
      <c r="N804" s="199"/>
      <c r="O804" s="193"/>
      <c r="P804" s="193"/>
      <c r="Q804" s="200"/>
      <c r="R804" s="86"/>
      <c r="S804" s="114">
        <f t="shared" ref="S804:T804" si="805">A804</f>
        <v>804</v>
      </c>
      <c r="T804" s="114" t="str">
        <f t="shared" si="805"/>
        <v>سید صادق مهدوی</v>
      </c>
      <c r="U804" s="86" t="str">
        <f t="shared" si="3"/>
        <v>09331363893</v>
      </c>
      <c r="V804" s="86" t="str">
        <f t="shared" si="4"/>
        <v>پیش‌وایی 7</v>
      </c>
      <c r="W804" s="86"/>
      <c r="X804" s="86"/>
    </row>
    <row r="805">
      <c r="A805" s="201">
        <v>805.0</v>
      </c>
      <c r="B805" s="207" t="s">
        <v>4378</v>
      </c>
      <c r="C805" s="203" t="s">
        <v>4379</v>
      </c>
      <c r="D805" s="204" t="str">
        <f>IFERROR(__xludf.DUMMYFUNCTION("ARRAYFORMULA(LET( converted, SUBSTITUTE( SUBSTITUTE( SUBSTITUTE( SUBSTITUTE( SUBSTITUTE( SUBSTITUTE( SUBSTITUTE( SUBSTITUTE( SUBSTITUTE( SUBSTITUTE( C805, ""۰"", ""0""), ""۱"", ""1""), ""۲"", ""2""), ""۳"", ""3""), ""۴"", ""4""), ""۵"", ""5""), ""۶"", ""6"&amp;"""), ""۷"", ""7""), ""۸"", ""8""), ""۹"", ""9""), IF(LEFT(converted,3)=""+98"", ""0"" &amp; RIGHT(converted, LEN(converted)-3), IF(LEFT(converted,2)=""98"", ""0"" &amp; RIGHT(converted, LEN(converted)-2), IF(LEFT(converted,1)&lt;&gt;""0"", ""0"" &amp; converted, REGEXREPLA"&amp;"CE(converted , ""\s"", """")) ) ) ) )"),"09359634042")</f>
        <v>09359634042</v>
      </c>
      <c r="E805" s="205" t="s">
        <v>17</v>
      </c>
      <c r="F805" s="206">
        <v>7.0</v>
      </c>
      <c r="G805" s="213" t="s">
        <v>730</v>
      </c>
      <c r="H805" s="202" t="s">
        <v>4380</v>
      </c>
      <c r="I805" s="203"/>
      <c r="J805" s="203" t="s">
        <v>4381</v>
      </c>
      <c r="K805" s="207" t="s">
        <v>4382</v>
      </c>
      <c r="L805" s="207" t="s">
        <v>4008</v>
      </c>
      <c r="M805" s="207"/>
      <c r="N805" s="207"/>
      <c r="O805" s="202"/>
      <c r="P805" s="202"/>
      <c r="Q805" s="208"/>
      <c r="R805" s="86"/>
      <c r="S805" s="114">
        <f t="shared" ref="S805:T805" si="806">A805</f>
        <v>805</v>
      </c>
      <c r="T805" s="114" t="str">
        <f t="shared" si="806"/>
        <v>سید مسعود مهدوی</v>
      </c>
      <c r="U805" s="86" t="str">
        <f t="shared" si="3"/>
        <v>09359634042</v>
      </c>
      <c r="V805" s="86" t="str">
        <f t="shared" si="4"/>
        <v>پیش‌وایی 7</v>
      </c>
      <c r="W805" s="86"/>
      <c r="X805" s="86"/>
    </row>
    <row r="806">
      <c r="A806" s="192">
        <v>806.0</v>
      </c>
      <c r="B806" s="193" t="s">
        <v>4383</v>
      </c>
      <c r="C806" s="194" t="s">
        <v>4384</v>
      </c>
      <c r="D806" s="195" t="str">
        <f>IFERROR(__xludf.DUMMYFUNCTION("ARRAYFORMULA(LET( converted, SUBSTITUTE( SUBSTITUTE( SUBSTITUTE( SUBSTITUTE( SUBSTITUTE( SUBSTITUTE( SUBSTITUTE( SUBSTITUTE( SUBSTITUTE( SUBSTITUTE( C806, ""۰"", ""0""), ""۱"", ""1""), ""۲"", ""2""), ""۳"", ""3""), ""۴"", ""4""), ""۵"", ""5""), ""۶"", ""6"&amp;"""), ""۷"", ""7""), ""۸"", ""8""), ""۹"", ""9""), IF(LEFT(converted,3)=""+98"", ""0"" &amp; RIGHT(converted, LEN(converted)-3), IF(LEFT(converted,2)=""98"", ""0"" &amp; RIGHT(converted, LEN(converted)-2), IF(LEFT(converted,1)&lt;&gt;""0"", ""0"" &amp; converted, REGEXREPLA"&amp;"CE(converted , ""\s"", """")) ) ) ) )"),"09199660365")</f>
        <v>09199660365</v>
      </c>
      <c r="E806" s="196" t="s">
        <v>17</v>
      </c>
      <c r="F806" s="197">
        <v>7.0</v>
      </c>
      <c r="G806" s="212" t="s">
        <v>746</v>
      </c>
      <c r="H806" s="193" t="s">
        <v>4385</v>
      </c>
      <c r="I806" s="194"/>
      <c r="J806" s="194" t="s">
        <v>4386</v>
      </c>
      <c r="K806" s="199" t="s">
        <v>4387</v>
      </c>
      <c r="L806" s="199" t="s">
        <v>1113</v>
      </c>
      <c r="M806" s="199"/>
      <c r="N806" s="199"/>
      <c r="O806" s="193"/>
      <c r="P806" s="193"/>
      <c r="Q806" s="200"/>
      <c r="R806" s="86"/>
      <c r="S806" s="114">
        <f t="shared" ref="S806:T806" si="807">A806</f>
        <v>806</v>
      </c>
      <c r="T806" s="114" t="str">
        <f t="shared" si="807"/>
        <v>افسانه سادات جلیلیان</v>
      </c>
      <c r="U806" s="86" t="str">
        <f t="shared" si="3"/>
        <v>09199660365</v>
      </c>
      <c r="V806" s="86" t="str">
        <f t="shared" si="4"/>
        <v>پیش‌وایی 7</v>
      </c>
      <c r="W806" s="86"/>
      <c r="X806" s="86"/>
    </row>
    <row r="807">
      <c r="A807" s="201">
        <v>807.0</v>
      </c>
      <c r="B807" s="202" t="s">
        <v>4388</v>
      </c>
      <c r="C807" s="203" t="s">
        <v>4389</v>
      </c>
      <c r="D807" s="204" t="str">
        <f>IFERROR(__xludf.DUMMYFUNCTION("ARRAYFORMULA(LET( converted, SUBSTITUTE( SUBSTITUTE( SUBSTITUTE( SUBSTITUTE( SUBSTITUTE( SUBSTITUTE( SUBSTITUTE( SUBSTITUTE( SUBSTITUTE( SUBSTITUTE( C807, ""۰"", ""0""), ""۱"", ""1""), ""۲"", ""2""), ""۳"", ""3""), ""۴"", ""4""), ""۵"", ""5""), ""۶"", ""6"&amp;"""), ""۷"", ""7""), ""۸"", ""8""), ""۹"", ""9""), IF(LEFT(converted,3)=""+98"", ""0"" &amp; RIGHT(converted, LEN(converted)-3), IF(LEFT(converted,2)=""98"", ""0"" &amp; RIGHT(converted, LEN(converted)-2), IF(LEFT(converted,1)&lt;&gt;""0"", ""0"" &amp; converted, REGEXREPLA"&amp;"CE(converted , ""\s"", """")) ) ) ) )"),"09123851990")</f>
        <v>09123851990</v>
      </c>
      <c r="E807" s="205" t="s">
        <v>17</v>
      </c>
      <c r="F807" s="206">
        <v>7.0</v>
      </c>
      <c r="G807" s="213" t="s">
        <v>730</v>
      </c>
      <c r="H807" s="202" t="s">
        <v>4390</v>
      </c>
      <c r="I807" s="203"/>
      <c r="J807" s="203" t="s">
        <v>4391</v>
      </c>
      <c r="K807" s="207" t="s">
        <v>1374</v>
      </c>
      <c r="L807" s="207" t="s">
        <v>4392</v>
      </c>
      <c r="M807" s="207"/>
      <c r="N807" s="207"/>
      <c r="O807" s="202"/>
      <c r="P807" s="202"/>
      <c r="Q807" s="208"/>
      <c r="R807" s="86"/>
      <c r="S807" s="114">
        <f t="shared" ref="S807:T807" si="808">A807</f>
        <v>807</v>
      </c>
      <c r="T807" s="114" t="str">
        <f t="shared" si="808"/>
        <v>امیر گرامی</v>
      </c>
      <c r="U807" s="86" t="str">
        <f t="shared" si="3"/>
        <v>09123851990</v>
      </c>
      <c r="V807" s="86" t="str">
        <f t="shared" si="4"/>
        <v>پیش‌وایی 7</v>
      </c>
      <c r="W807" s="86"/>
      <c r="X807" s="86"/>
    </row>
    <row r="808">
      <c r="A808" s="192">
        <v>808.0</v>
      </c>
      <c r="B808" s="193" t="s">
        <v>4393</v>
      </c>
      <c r="C808" s="194" t="s">
        <v>4394</v>
      </c>
      <c r="D808" s="195" t="str">
        <f>IFERROR(__xludf.DUMMYFUNCTION("ARRAYFORMULA(LET( converted, SUBSTITUTE( SUBSTITUTE( SUBSTITUTE( SUBSTITUTE( SUBSTITUTE( SUBSTITUTE( SUBSTITUTE( SUBSTITUTE( SUBSTITUTE( SUBSTITUTE( C808, ""۰"", ""0""), ""۱"", ""1""), ""۲"", ""2""), ""۳"", ""3""), ""۴"", ""4""), ""۵"", ""5""), ""۶"", ""6"&amp;"""), ""۷"", ""7""), ""۸"", ""8""), ""۹"", ""9""), IF(LEFT(converted,3)=""+98"", ""0"" &amp; RIGHT(converted, LEN(converted)-3), IF(LEFT(converted,2)=""98"", ""0"" &amp; RIGHT(converted, LEN(converted)-2), IF(LEFT(converted,1)&lt;&gt;""0"", ""0"" &amp; converted, REGEXREPLA"&amp;"CE(converted , ""\s"", """")) ) ) ) )"),"09128841864")</f>
        <v>09128841864</v>
      </c>
      <c r="E808" s="196" t="s">
        <v>17</v>
      </c>
      <c r="F808" s="197">
        <v>7.0</v>
      </c>
      <c r="G808" s="212" t="s">
        <v>730</v>
      </c>
      <c r="H808" s="193" t="s">
        <v>4395</v>
      </c>
      <c r="I808" s="194"/>
      <c r="J808" s="194" t="s">
        <v>4396</v>
      </c>
      <c r="K808" s="199" t="s">
        <v>4397</v>
      </c>
      <c r="L808" s="199" t="s">
        <v>1723</v>
      </c>
      <c r="M808" s="199"/>
      <c r="N808" s="199"/>
      <c r="O808" s="193"/>
      <c r="P808" s="193"/>
      <c r="Q808" s="200"/>
      <c r="R808" s="86"/>
      <c r="S808" s="114">
        <f t="shared" ref="S808:T808" si="809">A808</f>
        <v>808</v>
      </c>
      <c r="T808" s="114" t="str">
        <f t="shared" si="809"/>
        <v>عرشیا زارع</v>
      </c>
      <c r="U808" s="86" t="str">
        <f t="shared" si="3"/>
        <v>09128841864</v>
      </c>
      <c r="V808" s="86" t="str">
        <f t="shared" si="4"/>
        <v>پیش‌وایی 7</v>
      </c>
      <c r="W808" s="86"/>
      <c r="X808" s="86"/>
    </row>
    <row r="809">
      <c r="A809" s="201">
        <v>809.0</v>
      </c>
      <c r="B809" s="202" t="s">
        <v>4398</v>
      </c>
      <c r="C809" s="203" t="s">
        <v>4399</v>
      </c>
      <c r="D809" s="204" t="str">
        <f>IFERROR(__xludf.DUMMYFUNCTION("ARRAYFORMULA(LET( converted, SUBSTITUTE( SUBSTITUTE( SUBSTITUTE( SUBSTITUTE( SUBSTITUTE( SUBSTITUTE( SUBSTITUTE( SUBSTITUTE( SUBSTITUTE( SUBSTITUTE( C809, ""۰"", ""0""), ""۱"", ""1""), ""۲"", ""2""), ""۳"", ""3""), ""۴"", ""4""), ""۵"", ""5""), ""۶"", ""6"&amp;"""), ""۷"", ""7""), ""۸"", ""8""), ""۹"", ""9""), IF(LEFT(converted,3)=""+98"", ""0"" &amp; RIGHT(converted, LEN(converted)-3), IF(LEFT(converted,2)=""98"", ""0"" &amp; RIGHT(converted, LEN(converted)-2), IF(LEFT(converted,1)&lt;&gt;""0"", ""0"" &amp; converted, REGEXREPLA"&amp;"CE(converted , ""\s"", """")) ) ) ) )"),"09125990767")</f>
        <v>09125990767</v>
      </c>
      <c r="E809" s="205" t="s">
        <v>17</v>
      </c>
      <c r="F809" s="206">
        <v>7.0</v>
      </c>
      <c r="G809" s="213" t="s">
        <v>746</v>
      </c>
      <c r="H809" s="202" t="s">
        <v>4400</v>
      </c>
      <c r="I809" s="203"/>
      <c r="J809" s="203" t="s">
        <v>4401</v>
      </c>
      <c r="K809" s="207" t="s">
        <v>4402</v>
      </c>
      <c r="L809" s="207" t="s">
        <v>4403</v>
      </c>
      <c r="M809" s="207"/>
      <c r="N809" s="207"/>
      <c r="O809" s="202"/>
      <c r="P809" s="202"/>
      <c r="Q809" s="208"/>
      <c r="R809" s="86"/>
      <c r="S809" s="114">
        <f t="shared" ref="S809:T809" si="810">A809</f>
        <v>809</v>
      </c>
      <c r="T809" s="114" t="str">
        <f t="shared" si="810"/>
        <v>پریناز جواهری</v>
      </c>
      <c r="U809" s="86" t="str">
        <f t="shared" si="3"/>
        <v>09125990767</v>
      </c>
      <c r="V809" s="86" t="str">
        <f t="shared" si="4"/>
        <v>پیش‌وایی 7</v>
      </c>
      <c r="W809" s="86"/>
      <c r="X809" s="86"/>
    </row>
    <row r="810">
      <c r="A810" s="192">
        <v>810.0</v>
      </c>
      <c r="B810" s="199" t="s">
        <v>4404</v>
      </c>
      <c r="C810" s="194" t="s">
        <v>4405</v>
      </c>
      <c r="D810" s="195" t="str">
        <f>IFERROR(__xludf.DUMMYFUNCTION("ARRAYFORMULA(LET( converted, SUBSTITUTE( SUBSTITUTE( SUBSTITUTE( SUBSTITUTE( SUBSTITUTE( SUBSTITUTE( SUBSTITUTE( SUBSTITUTE( SUBSTITUTE( SUBSTITUTE( C810, ""۰"", ""0""), ""۱"", ""1""), ""۲"", ""2""), ""۳"", ""3""), ""۴"", ""4""), ""۵"", ""5""), ""۶"", ""6"&amp;"""), ""۷"", ""7""), ""۸"", ""8""), ""۹"", ""9""), IF(LEFT(converted,3)=""+98"", ""0"" &amp; RIGHT(converted, LEN(converted)-3), IF(LEFT(converted,2)=""98"", ""0"" &amp; RIGHT(converted, LEN(converted)-2), IF(LEFT(converted,1)&lt;&gt;""0"", ""0"" &amp; converted, REGEXREPLA"&amp;"CE(converted , ""\s"", """")) ) ) ) )"),"09153437251")</f>
        <v>09153437251</v>
      </c>
      <c r="E810" s="196" t="s">
        <v>17</v>
      </c>
      <c r="F810" s="197">
        <v>7.0</v>
      </c>
      <c r="G810" s="212" t="s">
        <v>730</v>
      </c>
      <c r="H810" s="193" t="s">
        <v>4406</v>
      </c>
      <c r="I810" s="194"/>
      <c r="J810" s="194" t="s">
        <v>4407</v>
      </c>
      <c r="K810" s="199" t="s">
        <v>4408</v>
      </c>
      <c r="L810" s="199" t="s">
        <v>4409</v>
      </c>
      <c r="M810" s="199"/>
      <c r="N810" s="199"/>
      <c r="O810" s="193"/>
      <c r="P810" s="193"/>
      <c r="Q810" s="200"/>
      <c r="R810" s="86"/>
      <c r="S810" s="114">
        <f t="shared" ref="S810:T810" si="811">A810</f>
        <v>810</v>
      </c>
      <c r="T810" s="114" t="str">
        <f t="shared" si="811"/>
        <v>عبدالرحیم کردی</v>
      </c>
      <c r="U810" s="86" t="str">
        <f t="shared" si="3"/>
        <v>09153437251</v>
      </c>
      <c r="V810" s="86" t="str">
        <f t="shared" si="4"/>
        <v>پیش‌وایی 7</v>
      </c>
      <c r="W810" s="86"/>
      <c r="X810" s="86"/>
    </row>
    <row r="811">
      <c r="A811" s="201">
        <v>811.0</v>
      </c>
      <c r="B811" s="207" t="s">
        <v>4410</v>
      </c>
      <c r="C811" s="203" t="s">
        <v>4411</v>
      </c>
      <c r="D811" s="204" t="str">
        <f>IFERROR(__xludf.DUMMYFUNCTION("ARRAYFORMULA(LET( converted, SUBSTITUTE( SUBSTITUTE( SUBSTITUTE( SUBSTITUTE( SUBSTITUTE( SUBSTITUTE( SUBSTITUTE( SUBSTITUTE( SUBSTITUTE( SUBSTITUTE( C811, ""۰"", ""0""), ""۱"", ""1""), ""۲"", ""2""), ""۳"", ""3""), ""۴"", ""4""), ""۵"", ""5""), ""۶"", ""6"&amp;"""), ""۷"", ""7""), ""۸"", ""8""), ""۹"", ""9""), IF(LEFT(converted,3)=""+98"", ""0"" &amp; RIGHT(converted, LEN(converted)-3), IF(LEFT(converted,2)=""98"", ""0"" &amp; RIGHT(converted, LEN(converted)-2), IF(LEFT(converted,1)&lt;&gt;""0"", ""0"" &amp; converted, REGEXREPLA"&amp;"CE(converted , ""\s"", """")) ) ) ) )"),"09120519209")</f>
        <v>09120519209</v>
      </c>
      <c r="E811" s="205" t="s">
        <v>17</v>
      </c>
      <c r="F811" s="206">
        <v>7.0</v>
      </c>
      <c r="G811" s="213" t="s">
        <v>730</v>
      </c>
      <c r="H811" s="202" t="s">
        <v>4412</v>
      </c>
      <c r="I811" s="203"/>
      <c r="J811" s="203" t="s">
        <v>4413</v>
      </c>
      <c r="K811" s="207" t="s">
        <v>1473</v>
      </c>
      <c r="L811" s="207" t="s">
        <v>4246</v>
      </c>
      <c r="M811" s="207"/>
      <c r="N811" s="207"/>
      <c r="O811" s="202"/>
      <c r="P811" s="202"/>
      <c r="Q811" s="208"/>
      <c r="R811" s="86"/>
      <c r="S811" s="114">
        <f t="shared" ref="S811:T811" si="812">A811</f>
        <v>811</v>
      </c>
      <c r="T811" s="114" t="str">
        <f t="shared" si="812"/>
        <v>مصطفی حیدری</v>
      </c>
      <c r="U811" s="86" t="str">
        <f t="shared" si="3"/>
        <v>09120519209</v>
      </c>
      <c r="V811" s="86" t="str">
        <f t="shared" si="4"/>
        <v>پیش‌وایی 7</v>
      </c>
      <c r="W811" s="86"/>
      <c r="X811" s="86"/>
    </row>
    <row r="812">
      <c r="A812" s="192">
        <v>812.0</v>
      </c>
      <c r="B812" s="199" t="s">
        <v>4414</v>
      </c>
      <c r="C812" s="194" t="s">
        <v>4415</v>
      </c>
      <c r="D812" s="195" t="str">
        <f>IFERROR(__xludf.DUMMYFUNCTION("ARRAYFORMULA(LET( converted, SUBSTITUTE( SUBSTITUTE( SUBSTITUTE( SUBSTITUTE( SUBSTITUTE( SUBSTITUTE( SUBSTITUTE( SUBSTITUTE( SUBSTITUTE( SUBSTITUTE( C812, ""۰"", ""0""), ""۱"", ""1""), ""۲"", ""2""), ""۳"", ""3""), ""۴"", ""4""), ""۵"", ""5""), ""۶"", ""6"&amp;"""), ""۷"", ""7""), ""۸"", ""8""), ""۹"", ""9""), IF(LEFT(converted,3)=""+98"", ""0"" &amp; RIGHT(converted, LEN(converted)-3), IF(LEFT(converted,2)=""98"", ""0"" &amp; RIGHT(converted, LEN(converted)-2), IF(LEFT(converted,1)&lt;&gt;""0"", ""0"" &amp; converted, REGEXREPLA"&amp;"CE(converted , ""\s"", """")) ) ) ) )"),"09124308425")</f>
        <v>09124308425</v>
      </c>
      <c r="E812" s="196" t="s">
        <v>17</v>
      </c>
      <c r="F812" s="197">
        <v>7.0</v>
      </c>
      <c r="G812" s="212" t="s">
        <v>730</v>
      </c>
      <c r="H812" s="193" t="s">
        <v>4416</v>
      </c>
      <c r="I812" s="194"/>
      <c r="J812" s="194" t="s">
        <v>4417</v>
      </c>
      <c r="K812" s="199" t="s">
        <v>1018</v>
      </c>
      <c r="L812" s="199" t="s">
        <v>3267</v>
      </c>
      <c r="M812" s="199"/>
      <c r="N812" s="199"/>
      <c r="O812" s="193"/>
      <c r="P812" s="193"/>
      <c r="Q812" s="200"/>
      <c r="R812" s="86"/>
      <c r="S812" s="114">
        <f t="shared" ref="S812:T812" si="813">A812</f>
        <v>812</v>
      </c>
      <c r="T812" s="114" t="str">
        <f t="shared" si="813"/>
        <v>علی صالحی</v>
      </c>
      <c r="U812" s="86" t="str">
        <f t="shared" si="3"/>
        <v>09124308425</v>
      </c>
      <c r="V812" s="86" t="str">
        <f t="shared" si="4"/>
        <v>پیش‌وایی 7</v>
      </c>
      <c r="W812" s="86"/>
      <c r="X812" s="86"/>
    </row>
    <row r="813">
      <c r="A813" s="201">
        <v>813.0</v>
      </c>
      <c r="B813" s="202" t="s">
        <v>4418</v>
      </c>
      <c r="C813" s="203" t="s">
        <v>4419</v>
      </c>
      <c r="D813" s="204" t="str">
        <f>IFERROR(__xludf.DUMMYFUNCTION("ARRAYFORMULA(LET( converted, SUBSTITUTE( SUBSTITUTE( SUBSTITUTE( SUBSTITUTE( SUBSTITUTE( SUBSTITUTE( SUBSTITUTE( SUBSTITUTE( SUBSTITUTE( SUBSTITUTE( C813, ""۰"", ""0""), ""۱"", ""1""), ""۲"", ""2""), ""۳"", ""3""), ""۴"", ""4""), ""۵"", ""5""), ""۶"", ""6"&amp;"""), ""۷"", ""7""), ""۸"", ""8""), ""۹"", ""9""), IF(LEFT(converted,3)=""+98"", ""0"" &amp; RIGHT(converted, LEN(converted)-3), IF(LEFT(converted,2)=""98"", ""0"" &amp; RIGHT(converted, LEN(converted)-2), IF(LEFT(converted,1)&lt;&gt;""0"", ""0"" &amp; converted, REGEXREPLA"&amp;"CE(converted , ""\s"", """")) ) ) ) )"),"09109090003")</f>
        <v>09109090003</v>
      </c>
      <c r="E813" s="205" t="s">
        <v>17</v>
      </c>
      <c r="F813" s="206">
        <v>7.0</v>
      </c>
      <c r="G813" s="213" t="s">
        <v>730</v>
      </c>
      <c r="H813" s="202" t="s">
        <v>4420</v>
      </c>
      <c r="I813" s="203"/>
      <c r="J813" s="203" t="s">
        <v>4421</v>
      </c>
      <c r="K813" s="202"/>
      <c r="L813" s="213" t="s">
        <v>4418</v>
      </c>
      <c r="M813" s="207"/>
      <c r="N813" s="207"/>
      <c r="O813" s="202"/>
      <c r="P813" s="202"/>
      <c r="Q813" s="208"/>
      <c r="R813" s="86"/>
      <c r="S813" s="114">
        <f t="shared" ref="S813:T813" si="814">A813</f>
        <v>813</v>
      </c>
      <c r="T813" s="114" t="str">
        <f t="shared" si="814"/>
        <v>Mamrez</v>
      </c>
      <c r="U813" s="86" t="str">
        <f t="shared" si="3"/>
        <v>09109090003</v>
      </c>
      <c r="V813" s="86" t="str">
        <f t="shared" si="4"/>
        <v>پیش‌وایی 7</v>
      </c>
      <c r="W813" s="86"/>
      <c r="X813" s="86"/>
    </row>
    <row r="814">
      <c r="A814" s="192">
        <v>814.0</v>
      </c>
      <c r="B814" s="193" t="s">
        <v>911</v>
      </c>
      <c r="C814" s="194" t="s">
        <v>4422</v>
      </c>
      <c r="D814" s="195" t="str">
        <f>IFERROR(__xludf.DUMMYFUNCTION("ARRAYFORMULA(LET( converted, SUBSTITUTE( SUBSTITUTE( SUBSTITUTE( SUBSTITUTE( SUBSTITUTE( SUBSTITUTE( SUBSTITUTE( SUBSTITUTE( SUBSTITUTE( SUBSTITUTE( C814, ""۰"", ""0""), ""۱"", ""1""), ""۲"", ""2""), ""۳"", ""3""), ""۴"", ""4""), ""۵"", ""5""), ""۶"", ""6"&amp;"""), ""۷"", ""7""), ""۸"", ""8""), ""۹"", ""9""), IF(LEFT(converted,3)=""+98"", ""0"" &amp; RIGHT(converted, LEN(converted)-3), IF(LEFT(converted,2)=""98"", ""0"" &amp; RIGHT(converted, LEN(converted)-2), IF(LEFT(converted,1)&lt;&gt;""0"", ""0"" &amp; converted, REGEXREPLA"&amp;"CE(converted , ""\s"", """")) ) ) ) )"),"09159880915")</f>
        <v>09159880915</v>
      </c>
      <c r="E814" s="196" t="s">
        <v>17</v>
      </c>
      <c r="F814" s="197">
        <v>7.0</v>
      </c>
      <c r="G814" s="212" t="s">
        <v>746</v>
      </c>
      <c r="H814" s="193" t="s">
        <v>4423</v>
      </c>
      <c r="I814" s="194"/>
      <c r="J814" s="194" t="s">
        <v>4424</v>
      </c>
      <c r="K814" s="199" t="s">
        <v>911</v>
      </c>
      <c r="L814" s="193"/>
      <c r="M814" s="193"/>
      <c r="N814" s="212"/>
      <c r="O814" s="193"/>
      <c r="P814" s="193"/>
      <c r="Q814" s="200"/>
      <c r="R814" s="86"/>
      <c r="S814" s="114">
        <f t="shared" ref="S814:T814" si="815">A814</f>
        <v>814</v>
      </c>
      <c r="T814" s="114" t="str">
        <f t="shared" si="815"/>
        <v>سپیده</v>
      </c>
      <c r="U814" s="86" t="str">
        <f t="shared" si="3"/>
        <v>09159880915</v>
      </c>
      <c r="V814" s="86" t="str">
        <f t="shared" si="4"/>
        <v>پیش‌وایی 7</v>
      </c>
      <c r="W814" s="86"/>
      <c r="X814" s="86"/>
    </row>
    <row r="815">
      <c r="A815" s="201">
        <v>815.0</v>
      </c>
      <c r="B815" s="207" t="s">
        <v>1799</v>
      </c>
      <c r="C815" s="203" t="s">
        <v>4425</v>
      </c>
      <c r="D815" s="204" t="str">
        <f>IFERROR(__xludf.DUMMYFUNCTION("ARRAYFORMULA(LET( converted, SUBSTITUTE( SUBSTITUTE( SUBSTITUTE( SUBSTITUTE( SUBSTITUTE( SUBSTITUTE( SUBSTITUTE( SUBSTITUTE( SUBSTITUTE( SUBSTITUTE( C815, ""۰"", ""0""), ""۱"", ""1""), ""۲"", ""2""), ""۳"", ""3""), ""۴"", ""4""), ""۵"", ""5""), ""۶"", ""6"&amp;"""), ""۷"", ""7""), ""۸"", ""8""), ""۹"", ""9""), IF(LEFT(converted,3)=""+98"", ""0"" &amp; RIGHT(converted, LEN(converted)-3), IF(LEFT(converted,2)=""98"", ""0"" &amp; RIGHT(converted, LEN(converted)-2), IF(LEFT(converted,1)&lt;&gt;""0"", ""0"" &amp; converted, REGEXREPLA"&amp;"CE(converted , ""\s"", """")) ) ) ) )"),"09132763021")</f>
        <v>09132763021</v>
      </c>
      <c r="E815" s="205" t="s">
        <v>17</v>
      </c>
      <c r="F815" s="206">
        <v>7.0</v>
      </c>
      <c r="G815" s="213" t="s">
        <v>730</v>
      </c>
      <c r="H815" s="202" t="s">
        <v>262</v>
      </c>
      <c r="I815" s="203"/>
      <c r="J815" s="203" t="s">
        <v>4426</v>
      </c>
      <c r="K815" s="207" t="s">
        <v>259</v>
      </c>
      <c r="L815" s="207" t="s">
        <v>260</v>
      </c>
      <c r="M815" s="207"/>
      <c r="N815" s="202"/>
      <c r="O815" s="202"/>
      <c r="P815" s="202"/>
      <c r="Q815" s="208"/>
      <c r="R815" s="86"/>
      <c r="S815" s="114">
        <f t="shared" ref="S815:T815" si="816">A815</f>
        <v>815</v>
      </c>
      <c r="T815" s="114" t="str">
        <f t="shared" si="816"/>
        <v>علیرضا طالعی</v>
      </c>
      <c r="U815" s="86" t="str">
        <f t="shared" si="3"/>
        <v>09132763021</v>
      </c>
      <c r="V815" s="86" t="str">
        <f t="shared" si="4"/>
        <v>پیش‌وایی 7</v>
      </c>
      <c r="W815" s="86"/>
      <c r="X815" s="86"/>
    </row>
    <row r="816">
      <c r="A816" s="192">
        <v>816.0</v>
      </c>
      <c r="B816" s="193" t="s">
        <v>4427</v>
      </c>
      <c r="C816" s="194" t="s">
        <v>4428</v>
      </c>
      <c r="D816" s="195" t="str">
        <f>IFERROR(__xludf.DUMMYFUNCTION("ARRAYFORMULA(LET( converted, SUBSTITUTE( SUBSTITUTE( SUBSTITUTE( SUBSTITUTE( SUBSTITUTE( SUBSTITUTE( SUBSTITUTE( SUBSTITUTE( SUBSTITUTE( SUBSTITUTE( C816, ""۰"", ""0""), ""۱"", ""1""), ""۲"", ""2""), ""۳"", ""3""), ""۴"", ""4""), ""۵"", ""5""), ""۶"", ""6"&amp;"""), ""۷"", ""7""), ""۸"", ""8""), ""۹"", ""9""), IF(LEFT(converted,3)=""+98"", ""0"" &amp; RIGHT(converted, LEN(converted)-3), IF(LEFT(converted,2)=""98"", ""0"" &amp; RIGHT(converted, LEN(converted)-2), IF(LEFT(converted,1)&lt;&gt;""0"", ""0"" &amp; converted, REGEXREPLA"&amp;"CE(converted , ""\s"", """")) ) ) ) )"),"09166713611")</f>
        <v>09166713611</v>
      </c>
      <c r="E816" s="196" t="s">
        <v>17</v>
      </c>
      <c r="F816" s="197">
        <v>7.0</v>
      </c>
      <c r="G816" s="212" t="s">
        <v>746</v>
      </c>
      <c r="H816" s="193" t="s">
        <v>4429</v>
      </c>
      <c r="I816" s="194"/>
      <c r="J816" s="194" t="s">
        <v>4430</v>
      </c>
      <c r="K816" s="199" t="s">
        <v>4431</v>
      </c>
      <c r="L816" s="199" t="s">
        <v>4432</v>
      </c>
      <c r="M816" s="199"/>
      <c r="N816" s="199"/>
      <c r="O816" s="193"/>
      <c r="P816" s="193"/>
      <c r="Q816" s="200"/>
      <c r="R816" s="86"/>
      <c r="S816" s="114">
        <f t="shared" ref="S816:T816" si="817">A816</f>
        <v>816</v>
      </c>
      <c r="T816" s="114" t="str">
        <f t="shared" si="817"/>
        <v>میهن مکی</v>
      </c>
      <c r="U816" s="86" t="str">
        <f t="shared" si="3"/>
        <v>09166713611</v>
      </c>
      <c r="V816" s="86" t="str">
        <f t="shared" si="4"/>
        <v>پیش‌وایی 7</v>
      </c>
      <c r="W816" s="86"/>
      <c r="X816" s="86"/>
    </row>
    <row r="817">
      <c r="A817" s="201">
        <v>817.0</v>
      </c>
      <c r="B817" s="202" t="s">
        <v>4433</v>
      </c>
      <c r="C817" s="203" t="s">
        <v>4434</v>
      </c>
      <c r="D817" s="204" t="str">
        <f>IFERROR(__xludf.DUMMYFUNCTION("ARRAYFORMULA(LET( converted, SUBSTITUTE( SUBSTITUTE( SUBSTITUTE( SUBSTITUTE( SUBSTITUTE( SUBSTITUTE( SUBSTITUTE( SUBSTITUTE( SUBSTITUTE( SUBSTITUTE( C817, ""۰"", ""0""), ""۱"", ""1""), ""۲"", ""2""), ""۳"", ""3""), ""۴"", ""4""), ""۵"", ""5""), ""۶"", ""6"&amp;"""), ""۷"", ""7""), ""۸"", ""8""), ""۹"", ""9""), IF(LEFT(converted,3)=""+98"", ""0"" &amp; RIGHT(converted, LEN(converted)-3), IF(LEFT(converted,2)=""98"", ""0"" &amp; RIGHT(converted, LEN(converted)-2), IF(LEFT(converted,1)&lt;&gt;""0"", ""0"" &amp; converted, REGEXREPLA"&amp;"CE(converted , ""\s"", """")) ) ) ) )"),"09038888605")</f>
        <v>09038888605</v>
      </c>
      <c r="E817" s="205" t="s">
        <v>17</v>
      </c>
      <c r="F817" s="206">
        <v>7.0</v>
      </c>
      <c r="G817" s="213" t="s">
        <v>746</v>
      </c>
      <c r="H817" s="202" t="s">
        <v>4435</v>
      </c>
      <c r="I817" s="203"/>
      <c r="J817" s="203" t="s">
        <v>4436</v>
      </c>
      <c r="K817" s="207" t="s">
        <v>4437</v>
      </c>
      <c r="L817" s="207" t="s">
        <v>4438</v>
      </c>
      <c r="M817" s="207"/>
      <c r="N817" s="207"/>
      <c r="O817" s="202"/>
      <c r="P817" s="202"/>
      <c r="Q817" s="208"/>
      <c r="R817" s="86"/>
      <c r="S817" s="114">
        <f t="shared" ref="S817:T817" si="818">A817</f>
        <v>817</v>
      </c>
      <c r="T817" s="114" t="str">
        <f t="shared" si="818"/>
        <v>سوگند قره باغی</v>
      </c>
      <c r="U817" s="86" t="str">
        <f t="shared" si="3"/>
        <v>09038888605</v>
      </c>
      <c r="V817" s="86" t="str">
        <f t="shared" si="4"/>
        <v>پیش‌وایی 7</v>
      </c>
      <c r="W817" s="86"/>
      <c r="X817" s="86"/>
    </row>
    <row r="818">
      <c r="A818" s="192">
        <v>818.0</v>
      </c>
      <c r="B818" s="193" t="s">
        <v>4439</v>
      </c>
      <c r="C818" s="194" t="s">
        <v>4440</v>
      </c>
      <c r="D818" s="195" t="str">
        <f>IFERROR(__xludf.DUMMYFUNCTION("ARRAYFORMULA(LET( converted, SUBSTITUTE( SUBSTITUTE( SUBSTITUTE( SUBSTITUTE( SUBSTITUTE( SUBSTITUTE( SUBSTITUTE( SUBSTITUTE( SUBSTITUTE( SUBSTITUTE( C818, ""۰"", ""0""), ""۱"", ""1""), ""۲"", ""2""), ""۳"", ""3""), ""۴"", ""4""), ""۵"", ""5""), ""۶"", ""6"&amp;"""), ""۷"", ""7""), ""۸"", ""8""), ""۹"", ""9""), IF(LEFT(converted,3)=""+98"", ""0"" &amp; RIGHT(converted, LEN(converted)-3), IF(LEFT(converted,2)=""98"", ""0"" &amp; RIGHT(converted, LEN(converted)-2), IF(LEFT(converted,1)&lt;&gt;""0"", ""0"" &amp; converted, REGEXREPLA"&amp;"CE(converted , ""\s"", """")) ) ) ) )"),"09121089162")</f>
        <v>09121089162</v>
      </c>
      <c r="E818" s="196" t="s">
        <v>17</v>
      </c>
      <c r="F818" s="197">
        <v>7.0</v>
      </c>
      <c r="G818" s="212" t="s">
        <v>730</v>
      </c>
      <c r="H818" s="193" t="s">
        <v>4441</v>
      </c>
      <c r="I818" s="194"/>
      <c r="J818" s="194" t="s">
        <v>4442</v>
      </c>
      <c r="K818" s="199" t="s">
        <v>4443</v>
      </c>
      <c r="L818" s="199" t="s">
        <v>1121</v>
      </c>
      <c r="M818" s="199"/>
      <c r="N818" s="199"/>
      <c r="O818" s="193"/>
      <c r="P818" s="193"/>
      <c r="Q818" s="200"/>
      <c r="R818" s="86"/>
      <c r="S818" s="114">
        <f t="shared" ref="S818:T818" si="819">A818</f>
        <v>818</v>
      </c>
      <c r="T818" s="114" t="str">
        <f t="shared" si="819"/>
        <v>حلمد حاتمی</v>
      </c>
      <c r="U818" s="86" t="str">
        <f t="shared" si="3"/>
        <v>09121089162</v>
      </c>
      <c r="V818" s="86" t="str">
        <f t="shared" si="4"/>
        <v>پیش‌وایی 7</v>
      </c>
      <c r="W818" s="86"/>
      <c r="X818" s="86"/>
    </row>
    <row r="819">
      <c r="A819" s="201">
        <v>819.0</v>
      </c>
      <c r="B819" s="202" t="s">
        <v>4444</v>
      </c>
      <c r="C819" s="203" t="s">
        <v>4445</v>
      </c>
      <c r="D819" s="204" t="str">
        <f>IFERROR(__xludf.DUMMYFUNCTION("ARRAYFORMULA(LET( converted, SUBSTITUTE( SUBSTITUTE( SUBSTITUTE( SUBSTITUTE( SUBSTITUTE( SUBSTITUTE( SUBSTITUTE( SUBSTITUTE( SUBSTITUTE( SUBSTITUTE( C819, ""۰"", ""0""), ""۱"", ""1""), ""۲"", ""2""), ""۳"", ""3""), ""۴"", ""4""), ""۵"", ""5""), ""۶"", ""6"&amp;"""), ""۷"", ""7""), ""۸"", ""8""), ""۹"", ""9""), IF(LEFT(converted,3)=""+98"", ""0"" &amp; RIGHT(converted, LEN(converted)-3), IF(LEFT(converted,2)=""98"", ""0"" &amp; RIGHT(converted, LEN(converted)-2), IF(LEFT(converted,1)&lt;&gt;""0"", ""0"" &amp; converted, REGEXREPLA"&amp;"CE(converted , ""\s"", """")) ) ) ) )"),"09121195947")</f>
        <v>09121195947</v>
      </c>
      <c r="E819" s="205" t="s">
        <v>17</v>
      </c>
      <c r="F819" s="206">
        <v>7.0</v>
      </c>
      <c r="G819" s="213" t="s">
        <v>730</v>
      </c>
      <c r="H819" s="202" t="s">
        <v>4446</v>
      </c>
      <c r="I819" s="203"/>
      <c r="J819" s="203" t="s">
        <v>4447</v>
      </c>
      <c r="K819" s="207" t="s">
        <v>2280</v>
      </c>
      <c r="L819" s="207" t="s">
        <v>1121</v>
      </c>
      <c r="M819" s="207"/>
      <c r="N819" s="207"/>
      <c r="O819" s="202"/>
      <c r="P819" s="202"/>
      <c r="Q819" s="208"/>
      <c r="R819" s="86"/>
      <c r="S819" s="114">
        <f t="shared" ref="S819:T819" si="820">A819</f>
        <v>819</v>
      </c>
      <c r="T819" s="114" t="str">
        <f t="shared" si="820"/>
        <v>حمیدرضا حاتمی</v>
      </c>
      <c r="U819" s="86" t="str">
        <f t="shared" si="3"/>
        <v>09121195947</v>
      </c>
      <c r="V819" s="86" t="str">
        <f t="shared" si="4"/>
        <v>پیش‌وایی 7</v>
      </c>
      <c r="W819" s="86"/>
      <c r="X819" s="86"/>
    </row>
    <row r="820">
      <c r="A820" s="192">
        <v>820.0</v>
      </c>
      <c r="B820" s="193" t="s">
        <v>4448</v>
      </c>
      <c r="C820" s="194" t="s">
        <v>4449</v>
      </c>
      <c r="D820" s="195" t="str">
        <f>IFERROR(__xludf.DUMMYFUNCTION("ARRAYFORMULA(LET( converted, SUBSTITUTE( SUBSTITUTE( SUBSTITUTE( SUBSTITUTE( SUBSTITUTE( SUBSTITUTE( SUBSTITUTE( SUBSTITUTE( SUBSTITUTE( SUBSTITUTE( C820, ""۰"", ""0""), ""۱"", ""1""), ""۲"", ""2""), ""۳"", ""3""), ""۴"", ""4""), ""۵"", ""5""), ""۶"", ""6"&amp;"""), ""۷"", ""7""), ""۸"", ""8""), ""۹"", ""9""), IF(LEFT(converted,3)=""+98"", ""0"" &amp; RIGHT(converted, LEN(converted)-3), IF(LEFT(converted,2)=""98"", ""0"" &amp; RIGHT(converted, LEN(converted)-2), IF(LEFT(converted,1)&lt;&gt;""0"", ""0"" &amp; converted, REGEXREPLA"&amp;"CE(converted , ""\s"", """")) ) ) ) )"),"09123864384")</f>
        <v>09123864384</v>
      </c>
      <c r="E820" s="196" t="s">
        <v>17</v>
      </c>
      <c r="F820" s="197">
        <v>7.0</v>
      </c>
      <c r="G820" s="212" t="s">
        <v>730</v>
      </c>
      <c r="H820" s="193" t="s">
        <v>4450</v>
      </c>
      <c r="I820" s="194"/>
      <c r="J820" s="194" t="s">
        <v>4451</v>
      </c>
      <c r="K820" s="199" t="s">
        <v>311</v>
      </c>
      <c r="L820" s="199" t="s">
        <v>4452</v>
      </c>
      <c r="M820" s="199"/>
      <c r="N820" s="199"/>
      <c r="O820" s="193"/>
      <c r="P820" s="193"/>
      <c r="Q820" s="200"/>
      <c r="R820" s="86"/>
      <c r="S820" s="114">
        <f t="shared" ref="S820:T820" si="821">A820</f>
        <v>820</v>
      </c>
      <c r="T820" s="114" t="str">
        <f t="shared" si="821"/>
        <v>محسن رمضانی</v>
      </c>
      <c r="U820" s="86" t="str">
        <f t="shared" si="3"/>
        <v>09123864384</v>
      </c>
      <c r="V820" s="86" t="str">
        <f t="shared" si="4"/>
        <v>پیش‌وایی 7</v>
      </c>
      <c r="W820" s="86"/>
      <c r="X820" s="86"/>
    </row>
    <row r="821">
      <c r="A821" s="201">
        <v>821.0</v>
      </c>
      <c r="B821" s="202" t="s">
        <v>4453</v>
      </c>
      <c r="C821" s="203" t="s">
        <v>4454</v>
      </c>
      <c r="D821" s="204" t="str">
        <f>IFERROR(__xludf.DUMMYFUNCTION("ARRAYFORMULA(LET( converted, SUBSTITUTE( SUBSTITUTE( SUBSTITUTE( SUBSTITUTE( SUBSTITUTE( SUBSTITUTE( SUBSTITUTE( SUBSTITUTE( SUBSTITUTE( SUBSTITUTE( C821, ""۰"", ""0""), ""۱"", ""1""), ""۲"", ""2""), ""۳"", ""3""), ""۴"", ""4""), ""۵"", ""5""), ""۶"", ""6"&amp;"""), ""۷"", ""7""), ""۸"", ""8""), ""۹"", ""9""), IF(LEFT(converted,3)=""+98"", ""0"" &amp; RIGHT(converted, LEN(converted)-3), IF(LEFT(converted,2)=""98"", ""0"" &amp; RIGHT(converted, LEN(converted)-2), IF(LEFT(converted,1)&lt;&gt;""0"", ""0"" &amp; converted, REGEXREPLA"&amp;"CE(converted , ""\s"", """")) ) ) ) )"),"09384674732")</f>
        <v>09384674732</v>
      </c>
      <c r="E821" s="205" t="s">
        <v>17</v>
      </c>
      <c r="F821" s="206">
        <v>7.0</v>
      </c>
      <c r="G821" s="213" t="s">
        <v>730</v>
      </c>
      <c r="H821" s="202" t="s">
        <v>4455</v>
      </c>
      <c r="I821" s="203"/>
      <c r="J821" s="203" t="s">
        <v>4456</v>
      </c>
      <c r="K821" s="207" t="s">
        <v>810</v>
      </c>
      <c r="L821" s="207" t="s">
        <v>4403</v>
      </c>
      <c r="M821" s="207"/>
      <c r="N821" s="207"/>
      <c r="O821" s="202"/>
      <c r="P821" s="202"/>
      <c r="Q821" s="208"/>
      <c r="R821" s="86"/>
      <c r="S821" s="114">
        <f t="shared" ref="S821:T821" si="822">A821</f>
        <v>821</v>
      </c>
      <c r="T821" s="114" t="str">
        <f t="shared" si="822"/>
        <v>محمد علی جواهری</v>
      </c>
      <c r="U821" s="86" t="str">
        <f t="shared" si="3"/>
        <v>09384674732</v>
      </c>
      <c r="V821" s="86" t="str">
        <f t="shared" si="4"/>
        <v>پیش‌وایی 7</v>
      </c>
      <c r="W821" s="86"/>
      <c r="X821" s="86"/>
    </row>
    <row r="822">
      <c r="A822" s="192">
        <v>822.0</v>
      </c>
      <c r="B822" s="199" t="s">
        <v>4457</v>
      </c>
      <c r="C822" s="194" t="s">
        <v>4458</v>
      </c>
      <c r="D822" s="195" t="str">
        <f>IFERROR(__xludf.DUMMYFUNCTION("ARRAYFORMULA(LET( converted, SUBSTITUTE( SUBSTITUTE( SUBSTITUTE( SUBSTITUTE( SUBSTITUTE( SUBSTITUTE( SUBSTITUTE( SUBSTITUTE( SUBSTITUTE( SUBSTITUTE( C822, ""۰"", ""0""), ""۱"", ""1""), ""۲"", ""2""), ""۳"", ""3""), ""۴"", ""4""), ""۵"", ""5""), ""۶"", ""6"&amp;"""), ""۷"", ""7""), ""۸"", ""8""), ""۹"", ""9""), IF(LEFT(converted,3)=""+98"", ""0"" &amp; RIGHT(converted, LEN(converted)-3), IF(LEFT(converted,2)=""98"", ""0"" &amp; RIGHT(converted, LEN(converted)-2), IF(LEFT(converted,1)&lt;&gt;""0"", ""0"" &amp; converted, REGEXREPLA"&amp;"CE(converted , ""\s"", """")) ) ) ) )"),"09376713848")</f>
        <v>09376713848</v>
      </c>
      <c r="E822" s="196" t="s">
        <v>17</v>
      </c>
      <c r="F822" s="197">
        <v>7.0</v>
      </c>
      <c r="G822" s="212" t="s">
        <v>730</v>
      </c>
      <c r="H822" s="193" t="s">
        <v>4459</v>
      </c>
      <c r="I822" s="194"/>
      <c r="J822" s="194" t="s">
        <v>4460</v>
      </c>
      <c r="K822" s="199" t="s">
        <v>286</v>
      </c>
      <c r="L822" s="199" t="s">
        <v>1723</v>
      </c>
      <c r="M822" s="199"/>
      <c r="N822" s="199"/>
      <c r="O822" s="193"/>
      <c r="P822" s="193"/>
      <c r="Q822" s="200"/>
      <c r="R822" s="86"/>
      <c r="S822" s="114">
        <f t="shared" ref="S822:T822" si="823">A822</f>
        <v>822</v>
      </c>
      <c r="T822" s="114" t="str">
        <f t="shared" si="823"/>
        <v>مهدی زارع</v>
      </c>
      <c r="U822" s="86" t="str">
        <f t="shared" si="3"/>
        <v>09376713848</v>
      </c>
      <c r="V822" s="86" t="str">
        <f t="shared" si="4"/>
        <v>پیش‌وایی 7</v>
      </c>
      <c r="W822" s="86"/>
      <c r="X822" s="86"/>
    </row>
    <row r="823">
      <c r="A823" s="201">
        <v>823.0</v>
      </c>
      <c r="B823" s="202" t="s">
        <v>4461</v>
      </c>
      <c r="C823" s="203" t="s">
        <v>4462</v>
      </c>
      <c r="D823" s="204" t="str">
        <f>IFERROR(__xludf.DUMMYFUNCTION("ARRAYFORMULA(LET( converted, SUBSTITUTE( SUBSTITUTE( SUBSTITUTE( SUBSTITUTE( SUBSTITUTE( SUBSTITUTE( SUBSTITUTE( SUBSTITUTE( SUBSTITUTE( SUBSTITUTE( C823, ""۰"", ""0""), ""۱"", ""1""), ""۲"", ""2""), ""۳"", ""3""), ""۴"", ""4""), ""۵"", ""5""), ""۶"", ""6"&amp;"""), ""۷"", ""7""), ""۸"", ""8""), ""۹"", ""9""), IF(LEFT(converted,3)=""+98"", ""0"" &amp; RIGHT(converted, LEN(converted)-3), IF(LEFT(converted,2)=""98"", ""0"" &amp; RIGHT(converted, LEN(converted)-2), IF(LEFT(converted,1)&lt;&gt;""0"", ""0"" &amp; converted, REGEXREPLA"&amp;"CE(converted , ""\s"", """")) ) ) ) )"),"09352334607")</f>
        <v>09352334607</v>
      </c>
      <c r="E823" s="205" t="s">
        <v>17</v>
      </c>
      <c r="F823" s="206">
        <v>7.0</v>
      </c>
      <c r="G823" s="213" t="s">
        <v>746</v>
      </c>
      <c r="H823" s="202" t="s">
        <v>4463</v>
      </c>
      <c r="I823" s="203"/>
      <c r="J823" s="203" t="s">
        <v>4464</v>
      </c>
      <c r="K823" s="207" t="s">
        <v>4465</v>
      </c>
      <c r="L823" s="207" t="s">
        <v>3893</v>
      </c>
      <c r="M823" s="207"/>
      <c r="N823" s="207"/>
      <c r="O823" s="202"/>
      <c r="P823" s="202"/>
      <c r="Q823" s="208"/>
      <c r="R823" s="86"/>
      <c r="S823" s="114">
        <f t="shared" ref="S823:T823" si="824">A823</f>
        <v>823</v>
      </c>
      <c r="T823" s="114" t="str">
        <f t="shared" si="824"/>
        <v>جواهر صالح</v>
      </c>
      <c r="U823" s="86" t="str">
        <f t="shared" si="3"/>
        <v>09352334607</v>
      </c>
      <c r="V823" s="86" t="str">
        <f t="shared" si="4"/>
        <v>پیش‌وایی 7</v>
      </c>
      <c r="W823" s="86"/>
      <c r="X823" s="86"/>
    </row>
    <row r="824">
      <c r="A824" s="192">
        <v>824.0</v>
      </c>
      <c r="B824" s="199" t="s">
        <v>4466</v>
      </c>
      <c r="C824" s="194" t="s">
        <v>4467</v>
      </c>
      <c r="D824" s="195" t="str">
        <f>IFERROR(__xludf.DUMMYFUNCTION("ARRAYFORMULA(LET( converted, SUBSTITUTE( SUBSTITUTE( SUBSTITUTE( SUBSTITUTE( SUBSTITUTE( SUBSTITUTE( SUBSTITUTE( SUBSTITUTE( SUBSTITUTE( SUBSTITUTE( C824, ""۰"", ""0""), ""۱"", ""1""), ""۲"", ""2""), ""۳"", ""3""), ""۴"", ""4""), ""۵"", ""5""), ""۶"", ""6"&amp;"""), ""۷"", ""7""), ""۸"", ""8""), ""۹"", ""9""), IF(LEFT(converted,3)=""+98"", ""0"" &amp; RIGHT(converted, LEN(converted)-3), IF(LEFT(converted,2)=""98"", ""0"" &amp; RIGHT(converted, LEN(converted)-2), IF(LEFT(converted,1)&lt;&gt;""0"", ""0"" &amp; converted, REGEXREPLA"&amp;"CE(converted , ""\s"", """")) ) ) ) )"),"09151485244")</f>
        <v>09151485244</v>
      </c>
      <c r="E824" s="196" t="s">
        <v>17</v>
      </c>
      <c r="F824" s="197">
        <v>7.0</v>
      </c>
      <c r="G824" s="212" t="s">
        <v>730</v>
      </c>
      <c r="H824" s="193" t="s">
        <v>4468</v>
      </c>
      <c r="I824" s="194"/>
      <c r="J824" s="194" t="s">
        <v>4469</v>
      </c>
      <c r="K824" s="199" t="s">
        <v>996</v>
      </c>
      <c r="L824" s="199" t="s">
        <v>1863</v>
      </c>
      <c r="M824" s="199"/>
      <c r="N824" s="199"/>
      <c r="O824" s="193"/>
      <c r="P824" s="193"/>
      <c r="Q824" s="200"/>
      <c r="R824" s="86"/>
      <c r="S824" s="114">
        <f t="shared" ref="S824:T824" si="825">A824</f>
        <v>824</v>
      </c>
      <c r="T824" s="114" t="str">
        <f t="shared" si="825"/>
        <v>حسام یوسفی</v>
      </c>
      <c r="U824" s="86" t="str">
        <f t="shared" si="3"/>
        <v>09151485244</v>
      </c>
      <c r="V824" s="86" t="str">
        <f t="shared" si="4"/>
        <v>پیش‌وایی 7</v>
      </c>
      <c r="W824" s="86"/>
      <c r="X824" s="86"/>
    </row>
    <row r="825">
      <c r="A825" s="201">
        <v>825.0</v>
      </c>
      <c r="B825" s="202" t="s">
        <v>4470</v>
      </c>
      <c r="C825" s="203" t="s">
        <v>4471</v>
      </c>
      <c r="D825" s="204" t="str">
        <f>IFERROR(__xludf.DUMMYFUNCTION("ARRAYFORMULA(LET( converted, SUBSTITUTE( SUBSTITUTE( SUBSTITUTE( SUBSTITUTE( SUBSTITUTE( SUBSTITUTE( SUBSTITUTE( SUBSTITUTE( SUBSTITUTE( SUBSTITUTE( C825, ""۰"", ""0""), ""۱"", ""1""), ""۲"", ""2""), ""۳"", ""3""), ""۴"", ""4""), ""۵"", ""5""), ""۶"", ""6"&amp;"""), ""۷"", ""7""), ""۸"", ""8""), ""۹"", ""9""), IF(LEFT(converted,3)=""+98"", ""0"" &amp; RIGHT(converted, LEN(converted)-3), IF(LEFT(converted,2)=""98"", ""0"" &amp; RIGHT(converted, LEN(converted)-2), IF(LEFT(converted,1)&lt;&gt;""0"", ""0"" &amp; converted, REGEXREPLA"&amp;"CE(converted , ""\s"", """")) ) ) ) )"),"09024227043")</f>
        <v>09024227043</v>
      </c>
      <c r="E825" s="205" t="s">
        <v>17</v>
      </c>
      <c r="F825" s="206">
        <v>7.0</v>
      </c>
      <c r="G825" s="213" t="s">
        <v>730</v>
      </c>
      <c r="H825" s="202" t="s">
        <v>4472</v>
      </c>
      <c r="I825" s="203"/>
      <c r="J825" s="203" t="s">
        <v>4473</v>
      </c>
      <c r="K825" s="207" t="s">
        <v>4474</v>
      </c>
      <c r="L825" s="207" t="s">
        <v>4475</v>
      </c>
      <c r="M825" s="207"/>
      <c r="N825" s="207"/>
      <c r="O825" s="202"/>
      <c r="P825" s="202"/>
      <c r="Q825" s="208"/>
      <c r="R825" s="86"/>
      <c r="S825" s="114">
        <f t="shared" ref="S825:T825" si="826">A825</f>
        <v>825</v>
      </c>
      <c r="T825" s="114" t="str">
        <f t="shared" si="826"/>
        <v>ارشیا یاراحمدی</v>
      </c>
      <c r="U825" s="86" t="str">
        <f t="shared" si="3"/>
        <v>09024227043</v>
      </c>
      <c r="V825" s="86" t="str">
        <f t="shared" si="4"/>
        <v>پیش‌وایی 7</v>
      </c>
      <c r="W825" s="86"/>
      <c r="X825" s="86"/>
    </row>
    <row r="826">
      <c r="A826" s="192">
        <v>826.0</v>
      </c>
      <c r="B826" s="193" t="s">
        <v>4476</v>
      </c>
      <c r="C826" s="194">
        <f>989121466235</f>
        <v>989121466235</v>
      </c>
      <c r="D826" s="195" t="str">
        <f>IFERROR(__xludf.DUMMYFUNCTION("ARRAYFORMULA(LET( converted, SUBSTITUTE( SUBSTITUTE( SUBSTITUTE( SUBSTITUTE( SUBSTITUTE( SUBSTITUTE( SUBSTITUTE( SUBSTITUTE( SUBSTITUTE( SUBSTITUTE( C826, ""۰"", ""0""), ""۱"", ""1""), ""۲"", ""2""), ""۳"", ""3""), ""۴"", ""4""), ""۵"", ""5""), ""۶"", ""6"&amp;"""), ""۷"", ""7""), ""۸"", ""8""), ""۹"", ""9""), IF(LEFT(converted,3)=""+98"", ""0"" &amp; RIGHT(converted, LEN(converted)-3), IF(LEFT(converted,2)=""98"", ""0"" &amp; RIGHT(converted, LEN(converted)-2), IF(LEFT(converted,1)&lt;&gt;""0"", ""0"" &amp; converted, REGEXREPLA"&amp;"CE(converted , ""\s"", """")) ) ) ) )"),"09121466235")</f>
        <v>09121466235</v>
      </c>
      <c r="E826" s="196" t="s">
        <v>17</v>
      </c>
      <c r="F826" s="197">
        <v>7.0</v>
      </c>
      <c r="G826" s="212" t="s">
        <v>730</v>
      </c>
      <c r="H826" s="193" t="s">
        <v>4477</v>
      </c>
      <c r="I826" s="194"/>
      <c r="J826" s="194" t="s">
        <v>4478</v>
      </c>
      <c r="K826" s="193"/>
      <c r="L826" s="199" t="s">
        <v>4476</v>
      </c>
      <c r="M826" s="199"/>
      <c r="N826" s="199"/>
      <c r="O826" s="193"/>
      <c r="P826" s="193"/>
      <c r="Q826" s="200"/>
      <c r="R826" s="86"/>
      <c r="S826" s="114">
        <f t="shared" ref="S826:T826" si="827">A826</f>
        <v>826</v>
      </c>
      <c r="T826" s="114" t="str">
        <f t="shared" si="827"/>
        <v>حمیدی منش</v>
      </c>
      <c r="U826" s="86" t="str">
        <f t="shared" si="3"/>
        <v>09121466235</v>
      </c>
      <c r="V826" s="86" t="str">
        <f t="shared" si="4"/>
        <v>پیش‌وایی 7</v>
      </c>
      <c r="W826" s="86"/>
      <c r="X826" s="86"/>
    </row>
    <row r="827">
      <c r="A827" s="201">
        <v>827.0</v>
      </c>
      <c r="B827" s="207" t="s">
        <v>4479</v>
      </c>
      <c r="C827" s="203" t="s">
        <v>4480</v>
      </c>
      <c r="D827" s="204" t="str">
        <f>IFERROR(__xludf.DUMMYFUNCTION("ARRAYFORMULA(LET( converted, SUBSTITUTE( SUBSTITUTE( SUBSTITUTE( SUBSTITUTE( SUBSTITUTE( SUBSTITUTE( SUBSTITUTE( SUBSTITUTE( SUBSTITUTE( SUBSTITUTE( C827, ""۰"", ""0""), ""۱"", ""1""), ""۲"", ""2""), ""۳"", ""3""), ""۴"", ""4""), ""۵"", ""5""), ""۶"", ""6"&amp;"""), ""۷"", ""7""), ""۸"", ""8""), ""۹"", ""9""), IF(LEFT(converted,3)=""+98"", ""0"" &amp; RIGHT(converted, LEN(converted)-3), IF(LEFT(converted,2)=""98"", ""0"" &amp; RIGHT(converted, LEN(converted)-2), IF(LEFT(converted,1)&lt;&gt;""0"", ""0"" &amp; converted, REGEXREPLA"&amp;"CE(converted , ""\s"", """")) ) ) ) )"),"09190082403")</f>
        <v>09190082403</v>
      </c>
      <c r="E827" s="205" t="s">
        <v>17</v>
      </c>
      <c r="F827" s="206">
        <v>7.0</v>
      </c>
      <c r="G827" s="213" t="s">
        <v>730</v>
      </c>
      <c r="H827" s="202" t="s">
        <v>4481</v>
      </c>
      <c r="I827" s="203"/>
      <c r="J827" s="203" t="s">
        <v>4482</v>
      </c>
      <c r="K827" s="207" t="s">
        <v>307</v>
      </c>
      <c r="L827" s="207" t="s">
        <v>4483</v>
      </c>
      <c r="M827" s="202"/>
      <c r="N827" s="207"/>
      <c r="O827" s="202"/>
      <c r="P827" s="202"/>
      <c r="Q827" s="208"/>
      <c r="R827" s="86"/>
      <c r="S827" s="114">
        <f t="shared" ref="S827:T827" si="828">A827</f>
        <v>827</v>
      </c>
      <c r="T827" s="114" t="str">
        <f t="shared" si="828"/>
        <v>محمدرضا غفوری</v>
      </c>
      <c r="U827" s="86" t="str">
        <f t="shared" si="3"/>
        <v>09190082403</v>
      </c>
      <c r="V827" s="86" t="str">
        <f t="shared" si="4"/>
        <v>پیش‌وایی 7</v>
      </c>
      <c r="W827" s="86"/>
      <c r="X827" s="86"/>
    </row>
    <row r="828">
      <c r="A828" s="192">
        <v>828.0</v>
      </c>
      <c r="B828" s="199" t="s">
        <v>4484</v>
      </c>
      <c r="C828" s="194" t="s">
        <v>4485</v>
      </c>
      <c r="D828" s="195" t="str">
        <f>IFERROR(__xludf.DUMMYFUNCTION("ARRAYFORMULA(LET( converted, SUBSTITUTE( SUBSTITUTE( SUBSTITUTE( SUBSTITUTE( SUBSTITUTE( SUBSTITUTE( SUBSTITUTE( SUBSTITUTE( SUBSTITUTE( SUBSTITUTE( C828, ""۰"", ""0""), ""۱"", ""1""), ""۲"", ""2""), ""۳"", ""3""), ""۴"", ""4""), ""۵"", ""5""), ""۶"", ""6"&amp;"""), ""۷"", ""7""), ""۸"", ""8""), ""۹"", ""9""), IF(LEFT(converted,3)=""+98"", ""0"" &amp; RIGHT(converted, LEN(converted)-3), IF(LEFT(converted,2)=""98"", ""0"" &amp; RIGHT(converted, LEN(converted)-2), IF(LEFT(converted,1)&lt;&gt;""0"", ""0"" &amp; converted, REGEXREPLA"&amp;"CE(converted , ""\s"", """")) ) ) ) )"),"09125381892")</f>
        <v>09125381892</v>
      </c>
      <c r="E828" s="196" t="s">
        <v>17</v>
      </c>
      <c r="F828" s="197">
        <v>7.0</v>
      </c>
      <c r="G828" s="212" t="s">
        <v>730</v>
      </c>
      <c r="H828" s="193" t="s">
        <v>4486</v>
      </c>
      <c r="I828" s="194"/>
      <c r="J828" s="194" t="s">
        <v>4487</v>
      </c>
      <c r="K828" s="199" t="s">
        <v>1511</v>
      </c>
      <c r="L828" s="199" t="s">
        <v>4488</v>
      </c>
      <c r="M828" s="199"/>
      <c r="N828" s="199"/>
      <c r="O828" s="193"/>
      <c r="P828" s="193"/>
      <c r="Q828" s="200"/>
      <c r="R828" s="86"/>
      <c r="S828" s="114">
        <f t="shared" ref="S828:T828" si="829">A828</f>
        <v>828</v>
      </c>
      <c r="T828" s="114" t="str">
        <f t="shared" si="829"/>
        <v>فرهاد مراد قلی</v>
      </c>
      <c r="U828" s="86" t="str">
        <f t="shared" si="3"/>
        <v>09125381892</v>
      </c>
      <c r="V828" s="86" t="str">
        <f t="shared" si="4"/>
        <v>پیش‌وایی 7</v>
      </c>
      <c r="W828" s="86"/>
      <c r="X828" s="86"/>
    </row>
    <row r="829">
      <c r="A829" s="201">
        <v>829.0</v>
      </c>
      <c r="B829" s="207" t="s">
        <v>4489</v>
      </c>
      <c r="C829" s="203" t="s">
        <v>4490</v>
      </c>
      <c r="D829" s="204" t="str">
        <f>IFERROR(__xludf.DUMMYFUNCTION("ARRAYFORMULA(LET( converted, SUBSTITUTE( SUBSTITUTE( SUBSTITUTE( SUBSTITUTE( SUBSTITUTE( SUBSTITUTE( SUBSTITUTE( SUBSTITUTE( SUBSTITUTE( SUBSTITUTE( C829, ""۰"", ""0""), ""۱"", ""1""), ""۲"", ""2""), ""۳"", ""3""), ""۴"", ""4""), ""۵"", ""5""), ""۶"", ""6"&amp;"""), ""۷"", ""7""), ""۸"", ""8""), ""۹"", ""9""), IF(LEFT(converted,3)=""+98"", ""0"" &amp; RIGHT(converted, LEN(converted)-3), IF(LEFT(converted,2)=""98"", ""0"" &amp; RIGHT(converted, LEN(converted)-2), IF(LEFT(converted,1)&lt;&gt;""0"", ""0"" &amp; converted, REGEXREPLA"&amp;"CE(converted , ""\s"", """")) ) ) ) )"),"09905528575")</f>
        <v>09905528575</v>
      </c>
      <c r="E829" s="205" t="s">
        <v>17</v>
      </c>
      <c r="F829" s="206">
        <v>7.0</v>
      </c>
      <c r="G829" s="213" t="s">
        <v>730</v>
      </c>
      <c r="H829" s="202" t="s">
        <v>4491</v>
      </c>
      <c r="I829" s="203"/>
      <c r="J829" s="203" t="s">
        <v>4492</v>
      </c>
      <c r="K829" s="207" t="s">
        <v>303</v>
      </c>
      <c r="L829" s="207" t="s">
        <v>4493</v>
      </c>
      <c r="M829" s="207"/>
      <c r="N829" s="207"/>
      <c r="O829" s="202"/>
      <c r="P829" s="202"/>
      <c r="Q829" s="208"/>
      <c r="R829" s="86"/>
      <c r="S829" s="114">
        <f t="shared" ref="S829:T829" si="830">A829</f>
        <v>829</v>
      </c>
      <c r="T829" s="114" t="str">
        <f t="shared" si="830"/>
        <v>محمد شهبازی</v>
      </c>
      <c r="U829" s="86" t="str">
        <f t="shared" si="3"/>
        <v>09905528575</v>
      </c>
      <c r="V829" s="86" t="str">
        <f t="shared" si="4"/>
        <v>پیش‌وایی 7</v>
      </c>
      <c r="W829" s="86"/>
      <c r="X829" s="86"/>
    </row>
    <row r="830">
      <c r="A830" s="192">
        <v>830.0</v>
      </c>
      <c r="B830" s="199" t="s">
        <v>4494</v>
      </c>
      <c r="C830" s="194" t="s">
        <v>4495</v>
      </c>
      <c r="D830" s="195" t="str">
        <f>IFERROR(__xludf.DUMMYFUNCTION("ARRAYFORMULA(LET( converted, SUBSTITUTE( SUBSTITUTE( SUBSTITUTE( SUBSTITUTE( SUBSTITUTE( SUBSTITUTE( SUBSTITUTE( SUBSTITUTE( SUBSTITUTE( SUBSTITUTE( C830, ""۰"", ""0""), ""۱"", ""1""), ""۲"", ""2""), ""۳"", ""3""), ""۴"", ""4""), ""۵"", ""5""), ""۶"", ""6"&amp;"""), ""۷"", ""7""), ""۸"", ""8""), ""۹"", ""9""), IF(LEFT(converted,3)=""+98"", ""0"" &amp; RIGHT(converted, LEN(converted)-3), IF(LEFT(converted,2)=""98"", ""0"" &amp; RIGHT(converted, LEN(converted)-2), IF(LEFT(converted,1)&lt;&gt;""0"", ""0"" &amp; converted, REGEXREPLA"&amp;"CE(converted , ""\s"", """")) ) ) ) )"),"09121937097")</f>
        <v>09121937097</v>
      </c>
      <c r="E830" s="196" t="s">
        <v>17</v>
      </c>
      <c r="F830" s="197">
        <v>7.0</v>
      </c>
      <c r="G830" s="212" t="s">
        <v>730</v>
      </c>
      <c r="H830" s="193" t="s">
        <v>4496</v>
      </c>
      <c r="I830" s="194"/>
      <c r="J830" s="194" t="s">
        <v>4497</v>
      </c>
      <c r="K830" s="199" t="s">
        <v>896</v>
      </c>
      <c r="L830" s="199" t="s">
        <v>4498</v>
      </c>
      <c r="M830" s="199"/>
      <c r="N830" s="199"/>
      <c r="O830" s="193"/>
      <c r="P830" s="193"/>
      <c r="Q830" s="200"/>
      <c r="R830" s="86"/>
      <c r="S830" s="114">
        <f t="shared" ref="S830:T830" si="831">A830</f>
        <v>830</v>
      </c>
      <c r="T830" s="114" t="str">
        <f t="shared" si="831"/>
        <v>حسین بدرخانی</v>
      </c>
      <c r="U830" s="86" t="str">
        <f t="shared" si="3"/>
        <v>09121937097</v>
      </c>
      <c r="V830" s="86" t="str">
        <f t="shared" si="4"/>
        <v>پیش‌وایی 7</v>
      </c>
      <c r="W830" s="86"/>
      <c r="X830" s="86"/>
    </row>
    <row r="831">
      <c r="A831" s="201">
        <v>831.0</v>
      </c>
      <c r="B831" s="207" t="s">
        <v>4499</v>
      </c>
      <c r="C831" s="203" t="s">
        <v>4500</v>
      </c>
      <c r="D831" s="204" t="str">
        <f>IFERROR(__xludf.DUMMYFUNCTION("ARRAYFORMULA(LET( converted, SUBSTITUTE( SUBSTITUTE( SUBSTITUTE( SUBSTITUTE( SUBSTITUTE( SUBSTITUTE( SUBSTITUTE( SUBSTITUTE( SUBSTITUTE( SUBSTITUTE( C831, ""۰"", ""0""), ""۱"", ""1""), ""۲"", ""2""), ""۳"", ""3""), ""۴"", ""4""), ""۵"", ""5""), ""۶"", ""6"&amp;"""), ""۷"", ""7""), ""۸"", ""8""), ""۹"", ""9""), IF(LEFT(converted,3)=""+98"", ""0"" &amp; RIGHT(converted, LEN(converted)-3), IF(LEFT(converted,2)=""98"", ""0"" &amp; RIGHT(converted, LEN(converted)-2), IF(LEFT(converted,1)&lt;&gt;""0"", ""0"" &amp; converted, REGEXREPLA"&amp;"CE(converted , ""\s"", """")) ) ) ) )"),"09123434998")</f>
        <v>09123434998</v>
      </c>
      <c r="E831" s="205" t="s">
        <v>17</v>
      </c>
      <c r="F831" s="206">
        <v>7.0</v>
      </c>
      <c r="G831" s="213" t="s">
        <v>746</v>
      </c>
      <c r="H831" s="202" t="s">
        <v>4501</v>
      </c>
      <c r="I831" s="203"/>
      <c r="J831" s="203" t="s">
        <v>4502</v>
      </c>
      <c r="K831" s="207" t="s">
        <v>2035</v>
      </c>
      <c r="L831" s="207" t="s">
        <v>4503</v>
      </c>
      <c r="M831" s="207"/>
      <c r="N831" s="207"/>
      <c r="O831" s="202"/>
      <c r="P831" s="202"/>
      <c r="Q831" s="208"/>
      <c r="R831" s="86"/>
      <c r="S831" s="114">
        <f t="shared" ref="S831:T831" si="832">A831</f>
        <v>831</v>
      </c>
      <c r="T831" s="114" t="str">
        <f t="shared" si="832"/>
        <v>نرگس علیزاده</v>
      </c>
      <c r="U831" s="86" t="str">
        <f t="shared" si="3"/>
        <v>09123434998</v>
      </c>
      <c r="V831" s="86" t="str">
        <f t="shared" si="4"/>
        <v>پیش‌وایی 7</v>
      </c>
      <c r="W831" s="86"/>
      <c r="X831" s="86"/>
    </row>
    <row r="832">
      <c r="A832" s="192">
        <v>832.0</v>
      </c>
      <c r="B832" s="199" t="s">
        <v>4504</v>
      </c>
      <c r="C832" s="194" t="s">
        <v>4505</v>
      </c>
      <c r="D832" s="195" t="str">
        <f>IFERROR(__xludf.DUMMYFUNCTION("ARRAYFORMULA(LET( converted, SUBSTITUTE( SUBSTITUTE( SUBSTITUTE( SUBSTITUTE( SUBSTITUTE( SUBSTITUTE( SUBSTITUTE( SUBSTITUTE( SUBSTITUTE( SUBSTITUTE( C832, ""۰"", ""0""), ""۱"", ""1""), ""۲"", ""2""), ""۳"", ""3""), ""۴"", ""4""), ""۵"", ""5""), ""۶"", ""6"&amp;"""), ""۷"", ""7""), ""۸"", ""8""), ""۹"", ""9""), IF(LEFT(converted,3)=""+98"", ""0"" &amp; RIGHT(converted, LEN(converted)-3), IF(LEFT(converted,2)=""98"", ""0"" &amp; RIGHT(converted, LEN(converted)-2), IF(LEFT(converted,1)&lt;&gt;""0"", ""0"" &amp; converted, REGEXREPLA"&amp;"CE(converted , ""\s"", """")) ) ) ) )"),"09370797990")</f>
        <v>09370797990</v>
      </c>
      <c r="E832" s="196" t="s">
        <v>17</v>
      </c>
      <c r="F832" s="197">
        <v>7.0</v>
      </c>
      <c r="G832" s="212" t="s">
        <v>730</v>
      </c>
      <c r="H832" s="193" t="s">
        <v>4506</v>
      </c>
      <c r="I832" s="194"/>
      <c r="J832" s="194" t="s">
        <v>4507</v>
      </c>
      <c r="K832" s="199" t="s">
        <v>2076</v>
      </c>
      <c r="L832" s="199" t="s">
        <v>4508</v>
      </c>
      <c r="M832" s="199"/>
      <c r="N832" s="199"/>
      <c r="O832" s="193"/>
      <c r="P832" s="193"/>
      <c r="Q832" s="200"/>
      <c r="R832" s="86"/>
      <c r="S832" s="114">
        <f t="shared" ref="S832:T832" si="833">A832</f>
        <v>832</v>
      </c>
      <c r="T832" s="114" t="str">
        <f t="shared" si="833"/>
        <v>مژگان شالورزاده</v>
      </c>
      <c r="U832" s="86" t="str">
        <f t="shared" si="3"/>
        <v>09370797990</v>
      </c>
      <c r="V832" s="86" t="str">
        <f t="shared" si="4"/>
        <v>پیش‌وایی 7</v>
      </c>
      <c r="W832" s="86"/>
      <c r="X832" s="86"/>
    </row>
    <row r="833">
      <c r="A833" s="201">
        <v>833.0</v>
      </c>
      <c r="B833" s="202" t="s">
        <v>4509</v>
      </c>
      <c r="C833" s="203" t="s">
        <v>4500</v>
      </c>
      <c r="D833" s="204" t="str">
        <f>IFERROR(__xludf.DUMMYFUNCTION("ARRAYFORMULA(LET( converted, SUBSTITUTE( SUBSTITUTE( SUBSTITUTE( SUBSTITUTE( SUBSTITUTE( SUBSTITUTE( SUBSTITUTE( SUBSTITUTE( SUBSTITUTE( SUBSTITUTE( C833, ""۰"", ""0""), ""۱"", ""1""), ""۲"", ""2""), ""۳"", ""3""), ""۴"", ""4""), ""۵"", ""5""), ""۶"", ""6"&amp;"""), ""۷"", ""7""), ""۸"", ""8""), ""۹"", ""9""), IF(LEFT(converted,3)=""+98"", ""0"" &amp; RIGHT(converted, LEN(converted)-3), IF(LEFT(converted,2)=""98"", ""0"" &amp; RIGHT(converted, LEN(converted)-2), IF(LEFT(converted,1)&lt;&gt;""0"", ""0"" &amp; converted, REGEXREPLA"&amp;"CE(converted , ""\s"", """")) ) ) ) )"),"09123434998")</f>
        <v>09123434998</v>
      </c>
      <c r="E833" s="205" t="s">
        <v>17</v>
      </c>
      <c r="F833" s="206">
        <v>7.0</v>
      </c>
      <c r="G833" s="213" t="s">
        <v>730</v>
      </c>
      <c r="H833" s="202" t="s">
        <v>4510</v>
      </c>
      <c r="I833" s="203"/>
      <c r="J833" s="203" t="s">
        <v>4511</v>
      </c>
      <c r="K833" s="213" t="s">
        <v>4512</v>
      </c>
      <c r="L833" s="213" t="s">
        <v>4513</v>
      </c>
      <c r="M833" s="207"/>
      <c r="N833" s="207"/>
      <c r="O833" s="202"/>
      <c r="P833" s="202"/>
      <c r="Q833" s="208"/>
      <c r="R833" s="86"/>
      <c r="S833" s="114">
        <f t="shared" ref="S833:T833" si="834">A833</f>
        <v>833</v>
      </c>
      <c r="T833" s="114" t="str">
        <f t="shared" si="834"/>
        <v>Niv Najjar Disfani</v>
      </c>
      <c r="U833" s="86" t="str">
        <f t="shared" si="3"/>
        <v>09123434998</v>
      </c>
      <c r="V833" s="86" t="str">
        <f t="shared" si="4"/>
        <v>پیش‌وایی 7</v>
      </c>
      <c r="W833" s="86"/>
      <c r="X833" s="86"/>
    </row>
    <row r="834">
      <c r="A834" s="192">
        <v>834.0</v>
      </c>
      <c r="B834" s="199" t="s">
        <v>4514</v>
      </c>
      <c r="C834" s="194" t="s">
        <v>4515</v>
      </c>
      <c r="D834" s="195" t="str">
        <f>IFERROR(__xludf.DUMMYFUNCTION("ARRAYFORMULA(LET( converted, SUBSTITUTE( SUBSTITUTE( SUBSTITUTE( SUBSTITUTE( SUBSTITUTE( SUBSTITUTE( SUBSTITUTE( SUBSTITUTE( SUBSTITUTE( SUBSTITUTE( C834, ""۰"", ""0""), ""۱"", ""1""), ""۲"", ""2""), ""۳"", ""3""), ""۴"", ""4""), ""۵"", ""5""), ""۶"", ""6"&amp;"""), ""۷"", ""7""), ""۸"", ""8""), ""۹"", ""9""), IF(LEFT(converted,3)=""+98"", ""0"" &amp; RIGHT(converted, LEN(converted)-3), IF(LEFT(converted,2)=""98"", ""0"" &amp; RIGHT(converted, LEN(converted)-2), IF(LEFT(converted,1)&lt;&gt;""0"", ""0"" &amp; converted, REGEXREPLA"&amp;"CE(converted , ""\s"", """")) ) ) ) )"),"09122273880")</f>
        <v>09122273880</v>
      </c>
      <c r="E834" s="196" t="s">
        <v>17</v>
      </c>
      <c r="F834" s="197">
        <v>7.0</v>
      </c>
      <c r="G834" s="212" t="s">
        <v>730</v>
      </c>
      <c r="H834" s="193" t="s">
        <v>4459</v>
      </c>
      <c r="I834" s="194"/>
      <c r="J834" s="194" t="s">
        <v>4516</v>
      </c>
      <c r="K834" s="199" t="s">
        <v>1167</v>
      </c>
      <c r="L834" s="199" t="s">
        <v>904</v>
      </c>
      <c r="M834" s="212"/>
      <c r="N834" s="212"/>
      <c r="O834" s="193"/>
      <c r="P834" s="193"/>
      <c r="Q834" s="200"/>
      <c r="R834" s="86"/>
      <c r="S834" s="114">
        <f t="shared" ref="S834:T834" si="835">A834</f>
        <v>834</v>
      </c>
      <c r="T834" s="114" t="str">
        <f t="shared" si="835"/>
        <v>میثم ابراهیمی</v>
      </c>
      <c r="U834" s="86" t="str">
        <f t="shared" si="3"/>
        <v>09122273880</v>
      </c>
      <c r="V834" s="86" t="str">
        <f t="shared" si="4"/>
        <v>پیش‌وایی 7</v>
      </c>
      <c r="W834" s="86"/>
      <c r="X834" s="86"/>
    </row>
    <row r="835">
      <c r="A835" s="201">
        <v>835.0</v>
      </c>
      <c r="B835" s="202" t="s">
        <v>2107</v>
      </c>
      <c r="C835" s="203" t="s">
        <v>755</v>
      </c>
      <c r="D835" s="204" t="str">
        <f>IFERROR(__xludf.DUMMYFUNCTION("ARRAYFORMULA(LET( converted, SUBSTITUTE( SUBSTITUTE( SUBSTITUTE( SUBSTITUTE( SUBSTITUTE( SUBSTITUTE( SUBSTITUTE( SUBSTITUTE( SUBSTITUTE( SUBSTITUTE( C835, ""۰"", ""0""), ""۱"", ""1""), ""۲"", ""2""), ""۳"", ""3""), ""۴"", ""4""), ""۵"", ""5""), ""۶"", ""6"&amp;"""), ""۷"", ""7""), ""۸"", ""8""), ""۹"", ""9""), IF(LEFT(converted,3)=""+98"", ""0"" &amp; RIGHT(converted, LEN(converted)-3), IF(LEFT(converted,2)=""98"", ""0"" &amp; RIGHT(converted, LEN(converted)-2), IF(LEFT(converted,1)&lt;&gt;""0"", ""0"" &amp; converted, REGEXREPLA"&amp;"CE(converted , ""\s"", """")) ) ) ) )"),"09366205771")</f>
        <v>09366205771</v>
      </c>
      <c r="E835" s="205" t="s">
        <v>17</v>
      </c>
      <c r="F835" s="206">
        <v>7.0</v>
      </c>
      <c r="G835" s="213" t="s">
        <v>730</v>
      </c>
      <c r="H835" s="202" t="s">
        <v>756</v>
      </c>
      <c r="I835" s="203"/>
      <c r="J835" s="203" t="s">
        <v>757</v>
      </c>
      <c r="K835" s="207" t="s">
        <v>758</v>
      </c>
      <c r="L835" s="207" t="s">
        <v>2108</v>
      </c>
      <c r="M835" s="207"/>
      <c r="N835" s="207"/>
      <c r="O835" s="202"/>
      <c r="P835" s="202"/>
      <c r="Q835" s="208"/>
      <c r="R835" s="86"/>
      <c r="S835" s="114">
        <f t="shared" ref="S835:T835" si="836">A835</f>
        <v>835</v>
      </c>
      <c r="T835" s="114" t="str">
        <f t="shared" si="836"/>
        <v>سعید عالم</v>
      </c>
      <c r="U835" s="86" t="str">
        <f t="shared" si="3"/>
        <v>09366205771</v>
      </c>
      <c r="V835" s="86" t="str">
        <f t="shared" si="4"/>
        <v>پیش‌وایی 7</v>
      </c>
      <c r="W835" s="86"/>
      <c r="X835" s="86"/>
    </row>
    <row r="836">
      <c r="A836" s="192">
        <v>836.0</v>
      </c>
      <c r="B836" s="193" t="s">
        <v>4517</v>
      </c>
      <c r="C836" s="194" t="s">
        <v>4518</v>
      </c>
      <c r="D836" s="195" t="str">
        <f>IFERROR(__xludf.DUMMYFUNCTION("ARRAYFORMULA(LET( converted, SUBSTITUTE( SUBSTITUTE( SUBSTITUTE( SUBSTITUTE( SUBSTITUTE( SUBSTITUTE( SUBSTITUTE( SUBSTITUTE( SUBSTITUTE( SUBSTITUTE( C836, ""۰"", ""0""), ""۱"", ""1""), ""۲"", ""2""), ""۳"", ""3""), ""۴"", ""4""), ""۵"", ""5""), ""۶"", ""6"&amp;"""), ""۷"", ""7""), ""۸"", ""8""), ""۹"", ""9""), IF(LEFT(converted,3)=""+98"", ""0"" &amp; RIGHT(converted, LEN(converted)-3), IF(LEFT(converted,2)=""98"", ""0"" &amp; RIGHT(converted, LEN(converted)-2), IF(LEFT(converted,1)&lt;&gt;""0"", ""0"" &amp; converted, REGEXREPLA"&amp;"CE(converted , ""\s"", """")) ) ) ) )"),"09146230713")</f>
        <v>09146230713</v>
      </c>
      <c r="E836" s="196" t="s">
        <v>17</v>
      </c>
      <c r="F836" s="197">
        <v>7.0</v>
      </c>
      <c r="G836" s="212" t="s">
        <v>730</v>
      </c>
      <c r="H836" s="193" t="s">
        <v>4519</v>
      </c>
      <c r="I836" s="194"/>
      <c r="J836" s="194" t="s">
        <v>4520</v>
      </c>
      <c r="K836" s="199" t="s">
        <v>3092</v>
      </c>
      <c r="L836" s="199" t="s">
        <v>4521</v>
      </c>
      <c r="M836" s="199"/>
      <c r="N836" s="199"/>
      <c r="O836" s="193"/>
      <c r="P836" s="193"/>
      <c r="Q836" s="200"/>
      <c r="R836" s="86"/>
      <c r="S836" s="114">
        <f t="shared" ref="S836:T836" si="837">A836</f>
        <v>836</v>
      </c>
      <c r="T836" s="114" t="str">
        <f t="shared" si="837"/>
        <v>عرفان قلی پور</v>
      </c>
      <c r="U836" s="86" t="str">
        <f t="shared" si="3"/>
        <v>09146230713</v>
      </c>
      <c r="V836" s="86" t="str">
        <f t="shared" si="4"/>
        <v>پیش‌وایی 7</v>
      </c>
      <c r="W836" s="86"/>
      <c r="X836" s="86"/>
    </row>
    <row r="837">
      <c r="A837" s="201">
        <v>837.0</v>
      </c>
      <c r="B837" s="202" t="s">
        <v>4522</v>
      </c>
      <c r="C837" s="203" t="s">
        <v>4523</v>
      </c>
      <c r="D837" s="204" t="str">
        <f>IFERROR(__xludf.DUMMYFUNCTION("ARRAYFORMULA(LET( converted, SUBSTITUTE( SUBSTITUTE( SUBSTITUTE( SUBSTITUTE( SUBSTITUTE( SUBSTITUTE( SUBSTITUTE( SUBSTITUTE( SUBSTITUTE( SUBSTITUTE( C837, ""۰"", ""0""), ""۱"", ""1""), ""۲"", ""2""), ""۳"", ""3""), ""۴"", ""4""), ""۵"", ""5""), ""۶"", ""6"&amp;"""), ""۷"", ""7""), ""۸"", ""8""), ""۹"", ""9""), IF(LEFT(converted,3)=""+98"", ""0"" &amp; RIGHT(converted, LEN(converted)-3), IF(LEFT(converted,2)=""98"", ""0"" &amp; RIGHT(converted, LEN(converted)-2), IF(LEFT(converted,1)&lt;&gt;""0"", ""0"" &amp; converted, REGEXREPLA"&amp;"CE(converted , ""\s"", """")) ) ) ) )"),"09122141260")</f>
        <v>09122141260</v>
      </c>
      <c r="E837" s="205" t="s">
        <v>17</v>
      </c>
      <c r="F837" s="206">
        <v>7.0</v>
      </c>
      <c r="G837" s="213" t="s">
        <v>746</v>
      </c>
      <c r="H837" s="202" t="s">
        <v>4524</v>
      </c>
      <c r="I837" s="203"/>
      <c r="J837" s="203" t="s">
        <v>4525</v>
      </c>
      <c r="K837" s="207" t="s">
        <v>1685</v>
      </c>
      <c r="L837" s="207" t="s">
        <v>4526</v>
      </c>
      <c r="M837" s="207"/>
      <c r="N837" s="207"/>
      <c r="O837" s="202"/>
      <c r="P837" s="202"/>
      <c r="Q837" s="208"/>
      <c r="R837" s="86"/>
      <c r="S837" s="114">
        <f t="shared" ref="S837:T837" si="838">A837</f>
        <v>837</v>
      </c>
      <c r="T837" s="114" t="str">
        <f t="shared" si="838"/>
        <v>سارا بردستانی</v>
      </c>
      <c r="U837" s="86" t="str">
        <f t="shared" si="3"/>
        <v>09122141260</v>
      </c>
      <c r="V837" s="86" t="str">
        <f t="shared" si="4"/>
        <v>پیش‌وایی 7</v>
      </c>
      <c r="W837" s="86"/>
      <c r="X837" s="86"/>
    </row>
    <row r="838">
      <c r="A838" s="192">
        <v>838.0</v>
      </c>
      <c r="B838" s="193" t="s">
        <v>4527</v>
      </c>
      <c r="C838" s="194" t="s">
        <v>4528</v>
      </c>
      <c r="D838" s="195" t="str">
        <f>IFERROR(__xludf.DUMMYFUNCTION("ARRAYFORMULA(LET( converted, SUBSTITUTE( SUBSTITUTE( SUBSTITUTE( SUBSTITUTE( SUBSTITUTE( SUBSTITUTE( SUBSTITUTE( SUBSTITUTE( SUBSTITUTE( SUBSTITUTE( C838, ""۰"", ""0""), ""۱"", ""1""), ""۲"", ""2""), ""۳"", ""3""), ""۴"", ""4""), ""۵"", ""5""), ""۶"", ""6"&amp;"""), ""۷"", ""7""), ""۸"", ""8""), ""۹"", ""9""), IF(LEFT(converted,3)=""+98"", ""0"" &amp; RIGHT(converted, LEN(converted)-3), IF(LEFT(converted,2)=""98"", ""0"" &amp; RIGHT(converted, LEN(converted)-2), IF(LEFT(converted,1)&lt;&gt;""0"", ""0"" &amp; converted, REGEXREPLA"&amp;"CE(converted , ""\s"", """")) ) ) ) )"),"09155453101")</f>
        <v>09155453101</v>
      </c>
      <c r="E838" s="196" t="s">
        <v>17</v>
      </c>
      <c r="F838" s="197">
        <v>7.0</v>
      </c>
      <c r="G838" s="212" t="s">
        <v>730</v>
      </c>
      <c r="H838" s="193" t="s">
        <v>4529</v>
      </c>
      <c r="I838" s="194"/>
      <c r="J838" s="194" t="s">
        <v>4530</v>
      </c>
      <c r="K838" s="199" t="s">
        <v>2603</v>
      </c>
      <c r="L838" s="199" t="s">
        <v>4531</v>
      </c>
      <c r="M838" s="199"/>
      <c r="N838" s="199"/>
      <c r="O838" s="193"/>
      <c r="P838" s="193"/>
      <c r="Q838" s="200"/>
      <c r="R838" s="86"/>
      <c r="S838" s="114">
        <f t="shared" ref="S838:T838" si="839">A838</f>
        <v>838</v>
      </c>
      <c r="T838" s="114" t="str">
        <f t="shared" si="839"/>
        <v>ناصر آبروش</v>
      </c>
      <c r="U838" s="86" t="str">
        <f t="shared" si="3"/>
        <v>09155453101</v>
      </c>
      <c r="V838" s="86" t="str">
        <f t="shared" si="4"/>
        <v>پیش‌وایی 7</v>
      </c>
      <c r="W838" s="86"/>
      <c r="X838" s="86"/>
    </row>
    <row r="839">
      <c r="A839" s="201">
        <v>839.0</v>
      </c>
      <c r="B839" s="202" t="s">
        <v>4532</v>
      </c>
      <c r="C839" s="203" t="s">
        <v>4533</v>
      </c>
      <c r="D839" s="204" t="str">
        <f>IFERROR(__xludf.DUMMYFUNCTION("ARRAYFORMULA(LET( converted, SUBSTITUTE( SUBSTITUTE( SUBSTITUTE( SUBSTITUTE( SUBSTITUTE( SUBSTITUTE( SUBSTITUTE( SUBSTITUTE( SUBSTITUTE( SUBSTITUTE( C839, ""۰"", ""0""), ""۱"", ""1""), ""۲"", ""2""), ""۳"", ""3""), ""۴"", ""4""), ""۵"", ""5""), ""۶"", ""6"&amp;"""), ""۷"", ""7""), ""۸"", ""8""), ""۹"", ""9""), IF(LEFT(converted,3)=""+98"", ""0"" &amp; RIGHT(converted, LEN(converted)-3), IF(LEFT(converted,2)=""98"", ""0"" &amp; RIGHT(converted, LEN(converted)-2), IF(LEFT(converted,1)&lt;&gt;""0"", ""0"" &amp; converted, REGEXREPLA"&amp;"CE(converted , ""\s"", """")) ) ) ) )"),"09144412022")</f>
        <v>09144412022</v>
      </c>
      <c r="E839" s="205" t="s">
        <v>17</v>
      </c>
      <c r="F839" s="206">
        <v>7.0</v>
      </c>
      <c r="G839" s="213" t="s">
        <v>730</v>
      </c>
      <c r="H839" s="202" t="s">
        <v>4534</v>
      </c>
      <c r="I839" s="203"/>
      <c r="J839" s="203" t="s">
        <v>4535</v>
      </c>
      <c r="K839" s="207" t="s">
        <v>4532</v>
      </c>
      <c r="L839" s="202"/>
      <c r="M839" s="207"/>
      <c r="N839" s="207"/>
      <c r="O839" s="202"/>
      <c r="P839" s="202"/>
      <c r="Q839" s="208"/>
      <c r="R839" s="86"/>
      <c r="S839" s="114">
        <f t="shared" ref="S839:T839" si="840">A839</f>
        <v>839</v>
      </c>
      <c r="T839" s="114" t="str">
        <f t="shared" si="840"/>
        <v>توماج</v>
      </c>
      <c r="U839" s="86" t="str">
        <f t="shared" si="3"/>
        <v>09144412022</v>
      </c>
      <c r="V839" s="86" t="str">
        <f t="shared" si="4"/>
        <v>پیش‌وایی 7</v>
      </c>
      <c r="W839" s="86"/>
      <c r="X839" s="86"/>
    </row>
    <row r="840">
      <c r="A840" s="192">
        <v>840.0</v>
      </c>
      <c r="B840" s="199" t="s">
        <v>4536</v>
      </c>
      <c r="C840" s="194" t="s">
        <v>4537</v>
      </c>
      <c r="D840" s="195" t="str">
        <f>IFERROR(__xludf.DUMMYFUNCTION("ARRAYFORMULA(LET( converted, SUBSTITUTE( SUBSTITUTE( SUBSTITUTE( SUBSTITUTE( SUBSTITUTE( SUBSTITUTE( SUBSTITUTE( SUBSTITUTE( SUBSTITUTE( SUBSTITUTE( C840, ""۰"", ""0""), ""۱"", ""1""), ""۲"", ""2""), ""۳"", ""3""), ""۴"", ""4""), ""۵"", ""5""), ""۶"", ""6"&amp;"""), ""۷"", ""7""), ""۸"", ""8""), ""۹"", ""9""), IF(LEFT(converted,3)=""+98"", ""0"" &amp; RIGHT(converted, LEN(converted)-3), IF(LEFT(converted,2)=""98"", ""0"" &amp; RIGHT(converted, LEN(converted)-2), IF(LEFT(converted,1)&lt;&gt;""0"", ""0"" &amp; converted, REGEXREPLA"&amp;"CE(converted , ""\s"", """")) ) ) ) )"),"09120036176")</f>
        <v>09120036176</v>
      </c>
      <c r="E840" s="196" t="s">
        <v>17</v>
      </c>
      <c r="F840" s="197">
        <v>7.0</v>
      </c>
      <c r="G840" s="212" t="s">
        <v>746</v>
      </c>
      <c r="H840" s="193" t="s">
        <v>4538</v>
      </c>
      <c r="I840" s="194"/>
      <c r="J840" s="194" t="s">
        <v>4539</v>
      </c>
      <c r="K840" s="199" t="s">
        <v>292</v>
      </c>
      <c r="L840" s="199" t="s">
        <v>4540</v>
      </c>
      <c r="M840" s="199"/>
      <c r="N840" s="193"/>
      <c r="O840" s="193"/>
      <c r="P840" s="193"/>
      <c r="Q840" s="200"/>
      <c r="R840" s="86"/>
      <c r="S840" s="114">
        <f t="shared" ref="S840:T840" si="841">A840</f>
        <v>840</v>
      </c>
      <c r="T840" s="114" t="str">
        <f t="shared" si="841"/>
        <v>مریم رضوی نیک</v>
      </c>
      <c r="U840" s="86" t="str">
        <f t="shared" si="3"/>
        <v>09120036176</v>
      </c>
      <c r="V840" s="86" t="str">
        <f t="shared" si="4"/>
        <v>پیش‌وایی 7</v>
      </c>
      <c r="W840" s="86"/>
      <c r="X840" s="86"/>
    </row>
    <row r="841">
      <c r="A841" s="201">
        <v>841.0</v>
      </c>
      <c r="B841" s="202" t="s">
        <v>4541</v>
      </c>
      <c r="C841" s="203" t="s">
        <v>4542</v>
      </c>
      <c r="D841" s="204" t="str">
        <f>IFERROR(__xludf.DUMMYFUNCTION("ARRAYFORMULA(LET( converted, SUBSTITUTE( SUBSTITUTE( SUBSTITUTE( SUBSTITUTE( SUBSTITUTE( SUBSTITUTE( SUBSTITUTE( SUBSTITUTE( SUBSTITUTE( SUBSTITUTE( C841, ""۰"", ""0""), ""۱"", ""1""), ""۲"", ""2""), ""۳"", ""3""), ""۴"", ""4""), ""۵"", ""5""), ""۶"", ""6"&amp;"""), ""۷"", ""7""), ""۸"", ""8""), ""۹"", ""9""), IF(LEFT(converted,3)=""+98"", ""0"" &amp; RIGHT(converted, LEN(converted)-3), IF(LEFT(converted,2)=""98"", ""0"" &amp; RIGHT(converted, LEN(converted)-2), IF(LEFT(converted,1)&lt;&gt;""0"", ""0"" &amp; converted, REGEXREPLA"&amp;"CE(converted , ""\s"", """")) ) ) ) )"),"09035432595")</f>
        <v>09035432595</v>
      </c>
      <c r="E841" s="205" t="s">
        <v>17</v>
      </c>
      <c r="F841" s="206">
        <v>7.0</v>
      </c>
      <c r="G841" s="213" t="s">
        <v>730</v>
      </c>
      <c r="H841" s="202" t="s">
        <v>4543</v>
      </c>
      <c r="I841" s="203"/>
      <c r="J841" s="203" t="s">
        <v>4544</v>
      </c>
      <c r="K841" s="207" t="s">
        <v>303</v>
      </c>
      <c r="L841" s="207" t="s">
        <v>4545</v>
      </c>
      <c r="M841" s="207"/>
      <c r="N841" s="207"/>
      <c r="O841" s="202"/>
      <c r="P841" s="202"/>
      <c r="Q841" s="208"/>
      <c r="R841" s="86"/>
      <c r="S841" s="114">
        <f t="shared" ref="S841:T841" si="842">A841</f>
        <v>841</v>
      </c>
      <c r="T841" s="114" t="str">
        <f t="shared" si="842"/>
        <v>محمد شیرانی</v>
      </c>
      <c r="U841" s="86" t="str">
        <f t="shared" si="3"/>
        <v>09035432595</v>
      </c>
      <c r="V841" s="86" t="str">
        <f t="shared" si="4"/>
        <v>پیش‌وایی 7</v>
      </c>
      <c r="W841" s="86"/>
      <c r="X841" s="86"/>
    </row>
    <row r="842">
      <c r="A842" s="192">
        <v>842.0</v>
      </c>
      <c r="B842" s="199" t="s">
        <v>4546</v>
      </c>
      <c r="C842" s="194" t="s">
        <v>4547</v>
      </c>
      <c r="D842" s="195" t="str">
        <f>IFERROR(__xludf.DUMMYFUNCTION("ARRAYFORMULA(LET( converted, SUBSTITUTE( SUBSTITUTE( SUBSTITUTE( SUBSTITUTE( SUBSTITUTE( SUBSTITUTE( SUBSTITUTE( SUBSTITUTE( SUBSTITUTE( SUBSTITUTE( C842, ""۰"", ""0""), ""۱"", ""1""), ""۲"", ""2""), ""۳"", ""3""), ""۴"", ""4""), ""۵"", ""5""), ""۶"", ""6"&amp;"""), ""۷"", ""7""), ""۸"", ""8""), ""۹"", ""9""), IF(LEFT(converted,3)=""+98"", ""0"" &amp; RIGHT(converted, LEN(converted)-3), IF(LEFT(converted,2)=""98"", ""0"" &amp; RIGHT(converted, LEN(converted)-2), IF(LEFT(converted,1)&lt;&gt;""0"", ""0"" &amp; converted, REGEXREPLA"&amp;"CE(converted , ""\s"", """")) ) ) ) )"),"09122390802")</f>
        <v>09122390802</v>
      </c>
      <c r="E842" s="196" t="s">
        <v>17</v>
      </c>
      <c r="F842" s="197">
        <v>7.0</v>
      </c>
      <c r="G842" s="212" t="s">
        <v>746</v>
      </c>
      <c r="H842" s="193" t="s">
        <v>4548</v>
      </c>
      <c r="I842" s="194"/>
      <c r="J842" s="194" t="s">
        <v>4549</v>
      </c>
      <c r="K842" s="199" t="s">
        <v>852</v>
      </c>
      <c r="L842" s="199" t="s">
        <v>4550</v>
      </c>
      <c r="M842" s="199"/>
      <c r="N842" s="199"/>
      <c r="O842" s="193"/>
      <c r="P842" s="193"/>
      <c r="Q842" s="200"/>
      <c r="R842" s="86"/>
      <c r="S842" s="114">
        <f t="shared" ref="S842:T842" si="843">A842</f>
        <v>842</v>
      </c>
      <c r="T842" s="114" t="str">
        <f t="shared" si="843"/>
        <v>زهره نفری</v>
      </c>
      <c r="U842" s="86" t="str">
        <f t="shared" si="3"/>
        <v>09122390802</v>
      </c>
      <c r="V842" s="86" t="str">
        <f t="shared" si="4"/>
        <v>پیش‌وایی 7</v>
      </c>
      <c r="W842" s="86"/>
      <c r="X842" s="86"/>
    </row>
    <row r="843">
      <c r="A843" s="201">
        <v>843.0</v>
      </c>
      <c r="B843" s="202" t="s">
        <v>4551</v>
      </c>
      <c r="C843" s="203" t="s">
        <v>4552</v>
      </c>
      <c r="D843" s="204" t="str">
        <f>IFERROR(__xludf.DUMMYFUNCTION("ARRAYFORMULA(LET( converted, SUBSTITUTE( SUBSTITUTE( SUBSTITUTE( SUBSTITUTE( SUBSTITUTE( SUBSTITUTE( SUBSTITUTE( SUBSTITUTE( SUBSTITUTE( SUBSTITUTE( C843, ""۰"", ""0""), ""۱"", ""1""), ""۲"", ""2""), ""۳"", ""3""), ""۴"", ""4""), ""۵"", ""5""), ""۶"", ""6"&amp;"""), ""۷"", ""7""), ""۸"", ""8""), ""۹"", ""9""), IF(LEFT(converted,3)=""+98"", ""0"" &amp; RIGHT(converted, LEN(converted)-3), IF(LEFT(converted,2)=""98"", ""0"" &amp; RIGHT(converted, LEN(converted)-2), IF(LEFT(converted,1)&lt;&gt;""0"", ""0"" &amp; converted, REGEXREPLA"&amp;"CE(converted , ""\s"", """")) ) ) ) )"),"09123579152")</f>
        <v>09123579152</v>
      </c>
      <c r="E843" s="205" t="s">
        <v>17</v>
      </c>
      <c r="F843" s="206">
        <v>7.0</v>
      </c>
      <c r="G843" s="213" t="s">
        <v>730</v>
      </c>
      <c r="H843" s="202" t="s">
        <v>4553</v>
      </c>
      <c r="I843" s="203"/>
      <c r="J843" s="203" t="s">
        <v>4554</v>
      </c>
      <c r="K843" s="207" t="s">
        <v>4551</v>
      </c>
      <c r="L843" s="202"/>
      <c r="M843" s="207"/>
      <c r="N843" s="207"/>
      <c r="O843" s="202"/>
      <c r="P843" s="202"/>
      <c r="Q843" s="208"/>
      <c r="R843" s="86"/>
      <c r="S843" s="114">
        <f t="shared" ref="S843:T843" si="844">A843</f>
        <v>843</v>
      </c>
      <c r="T843" s="114" t="str">
        <f t="shared" si="844"/>
        <v>بیژن</v>
      </c>
      <c r="U843" s="86" t="str">
        <f t="shared" si="3"/>
        <v>09123579152</v>
      </c>
      <c r="V843" s="86" t="str">
        <f t="shared" si="4"/>
        <v>پیش‌وایی 7</v>
      </c>
      <c r="W843" s="86"/>
      <c r="X843" s="86"/>
    </row>
    <row r="844">
      <c r="A844" s="192">
        <v>844.0</v>
      </c>
      <c r="B844" s="193" t="s">
        <v>4555</v>
      </c>
      <c r="C844" s="194" t="s">
        <v>4556</v>
      </c>
      <c r="D844" s="195" t="str">
        <f>IFERROR(__xludf.DUMMYFUNCTION("ARRAYFORMULA(LET( converted, SUBSTITUTE( SUBSTITUTE( SUBSTITUTE( SUBSTITUTE( SUBSTITUTE( SUBSTITUTE( SUBSTITUTE( SUBSTITUTE( SUBSTITUTE( SUBSTITUTE( C844, ""۰"", ""0""), ""۱"", ""1""), ""۲"", ""2""), ""۳"", ""3""), ""۴"", ""4""), ""۵"", ""5""), ""۶"", ""6"&amp;"""), ""۷"", ""7""), ""۸"", ""8""), ""۹"", ""9""), IF(LEFT(converted,3)=""+98"", ""0"" &amp; RIGHT(converted, LEN(converted)-3), IF(LEFT(converted,2)=""98"", ""0"" &amp; RIGHT(converted, LEN(converted)-2), IF(LEFT(converted,1)&lt;&gt;""0"", ""0"" &amp; converted, REGEXREPLA"&amp;"CE(converted , ""\s"", """")) ) ) ) )"),"09015902707")</f>
        <v>09015902707</v>
      </c>
      <c r="E844" s="196" t="s">
        <v>17</v>
      </c>
      <c r="F844" s="197">
        <v>7.0</v>
      </c>
      <c r="G844" s="212" t="s">
        <v>730</v>
      </c>
      <c r="H844" s="193" t="s">
        <v>4557</v>
      </c>
      <c r="I844" s="194"/>
      <c r="J844" s="194" t="s">
        <v>4558</v>
      </c>
      <c r="K844" s="199" t="s">
        <v>192</v>
      </c>
      <c r="L844" s="199" t="s">
        <v>1606</v>
      </c>
      <c r="M844" s="199"/>
      <c r="N844" s="193"/>
      <c r="O844" s="193"/>
      <c r="P844" s="193"/>
      <c r="Q844" s="200"/>
      <c r="R844" s="86"/>
      <c r="S844" s="114">
        <f t="shared" ref="S844:T844" si="845">A844</f>
        <v>844</v>
      </c>
      <c r="T844" s="114" t="str">
        <f t="shared" si="845"/>
        <v>امیرحسین فراهانی</v>
      </c>
      <c r="U844" s="86" t="str">
        <f t="shared" si="3"/>
        <v>09015902707</v>
      </c>
      <c r="V844" s="86" t="str">
        <f t="shared" si="4"/>
        <v>پیش‌وایی 7</v>
      </c>
      <c r="W844" s="86"/>
      <c r="X844" s="86"/>
    </row>
    <row r="845">
      <c r="A845" s="201">
        <v>845.0</v>
      </c>
      <c r="B845" s="202" t="s">
        <v>3561</v>
      </c>
      <c r="C845" s="203" t="s">
        <v>3562</v>
      </c>
      <c r="D845" s="204" t="str">
        <f>IFERROR(__xludf.DUMMYFUNCTION("ARRAYFORMULA(LET( converted, SUBSTITUTE( SUBSTITUTE( SUBSTITUTE( SUBSTITUTE( SUBSTITUTE( SUBSTITUTE( SUBSTITUTE( SUBSTITUTE( SUBSTITUTE( SUBSTITUTE( C845, ""۰"", ""0""), ""۱"", ""1""), ""۲"", ""2""), ""۳"", ""3""), ""۴"", ""4""), ""۵"", ""5""), ""۶"", ""6"&amp;"""), ""۷"", ""7""), ""۸"", ""8""), ""۹"", ""9""), IF(LEFT(converted,3)=""+98"", ""0"" &amp; RIGHT(converted, LEN(converted)-3), IF(LEFT(converted,2)=""98"", ""0"" &amp; RIGHT(converted, LEN(converted)-2), IF(LEFT(converted,1)&lt;&gt;""0"", ""0"" &amp; converted, REGEXREPLA"&amp;"CE(converted , ""\s"", """")) ) ) ) )"),"09125122059")</f>
        <v>09125122059</v>
      </c>
      <c r="E845" s="205" t="s">
        <v>17</v>
      </c>
      <c r="F845" s="206">
        <v>7.0</v>
      </c>
      <c r="G845" s="213" t="s">
        <v>730</v>
      </c>
      <c r="H845" s="202" t="s">
        <v>3563</v>
      </c>
      <c r="I845" s="203"/>
      <c r="J845" s="203" t="s">
        <v>3564</v>
      </c>
      <c r="K845" s="207" t="s">
        <v>1374</v>
      </c>
      <c r="L845" s="207" t="s">
        <v>3565</v>
      </c>
      <c r="M845" s="207"/>
      <c r="N845" s="207"/>
      <c r="O845" s="202"/>
      <c r="P845" s="202"/>
      <c r="Q845" s="208"/>
      <c r="R845" s="86"/>
      <c r="S845" s="114">
        <f t="shared" ref="S845:T845" si="846">A845</f>
        <v>845</v>
      </c>
      <c r="T845" s="114" t="str">
        <f t="shared" si="846"/>
        <v>امیر بهدانی</v>
      </c>
      <c r="U845" s="86" t="str">
        <f t="shared" si="3"/>
        <v>09125122059</v>
      </c>
      <c r="V845" s="86" t="str">
        <f t="shared" si="4"/>
        <v>پیش‌وایی 7</v>
      </c>
      <c r="W845" s="86"/>
      <c r="X845" s="86"/>
    </row>
    <row r="846">
      <c r="A846" s="192">
        <v>846.0</v>
      </c>
      <c r="B846" s="193" t="s">
        <v>3126</v>
      </c>
      <c r="C846" s="194" t="s">
        <v>4559</v>
      </c>
      <c r="D846" s="195" t="str">
        <f>IFERROR(__xludf.DUMMYFUNCTION("ARRAYFORMULA(LET( converted, SUBSTITUTE( SUBSTITUTE( SUBSTITUTE( SUBSTITUTE( SUBSTITUTE( SUBSTITUTE( SUBSTITUTE( SUBSTITUTE( SUBSTITUTE( SUBSTITUTE( C846, ""۰"", ""0""), ""۱"", ""1""), ""۲"", ""2""), ""۳"", ""3""), ""۴"", ""4""), ""۵"", ""5""), ""۶"", ""6"&amp;"""), ""۷"", ""7""), ""۸"", ""8""), ""۹"", ""9""), IF(LEFT(converted,3)=""+98"", ""0"" &amp; RIGHT(converted, LEN(converted)-3), IF(LEFT(converted,2)=""98"", ""0"" &amp; RIGHT(converted, LEN(converted)-2), IF(LEFT(converted,1)&lt;&gt;""0"", ""0"" &amp; converted, REGEXREPLA"&amp;"CE(converted , ""\s"", """")) ) ) ) )"),"09381221049")</f>
        <v>09381221049</v>
      </c>
      <c r="E846" s="196" t="s">
        <v>17</v>
      </c>
      <c r="F846" s="197">
        <v>7.0</v>
      </c>
      <c r="G846" s="212" t="s">
        <v>730</v>
      </c>
      <c r="H846" s="193" t="s">
        <v>4560</v>
      </c>
      <c r="I846" s="194"/>
      <c r="J846" s="194" t="s">
        <v>4561</v>
      </c>
      <c r="K846" s="199" t="s">
        <v>3126</v>
      </c>
      <c r="L846" s="193"/>
      <c r="M846" s="199"/>
      <c r="N846" s="199"/>
      <c r="O846" s="193"/>
      <c r="P846" s="193"/>
      <c r="Q846" s="200"/>
      <c r="R846" s="86"/>
      <c r="S846" s="114">
        <f t="shared" ref="S846:T846" si="847">A846</f>
        <v>846</v>
      </c>
      <c r="T846" s="114" t="str">
        <f t="shared" si="847"/>
        <v>ایمان</v>
      </c>
      <c r="U846" s="86" t="str">
        <f t="shared" si="3"/>
        <v>09381221049</v>
      </c>
      <c r="V846" s="86" t="str">
        <f t="shared" si="4"/>
        <v>پیش‌وایی 7</v>
      </c>
      <c r="W846" s="86"/>
      <c r="X846" s="86"/>
    </row>
    <row r="847">
      <c r="A847" s="201">
        <v>847.0</v>
      </c>
      <c r="B847" s="207" t="s">
        <v>4562</v>
      </c>
      <c r="C847" s="203" t="s">
        <v>4563</v>
      </c>
      <c r="D847" s="204" t="str">
        <f>IFERROR(__xludf.DUMMYFUNCTION("ARRAYFORMULA(LET( converted, SUBSTITUTE( SUBSTITUTE( SUBSTITUTE( SUBSTITUTE( SUBSTITUTE( SUBSTITUTE( SUBSTITUTE( SUBSTITUTE( SUBSTITUTE( SUBSTITUTE( C847, ""۰"", ""0""), ""۱"", ""1""), ""۲"", ""2""), ""۳"", ""3""), ""۴"", ""4""), ""۵"", ""5""), ""۶"", ""6"&amp;"""), ""۷"", ""7""), ""۸"", ""8""), ""۹"", ""9""), IF(LEFT(converted,3)=""+98"", ""0"" &amp; RIGHT(converted, LEN(converted)-3), IF(LEFT(converted,2)=""98"", ""0"" &amp; RIGHT(converted, LEN(converted)-2), IF(LEFT(converted,1)&lt;&gt;""0"", ""0"" &amp; converted, REGEXREPLA"&amp;"CE(converted , ""\s"", """")) ) ) ) )"),"09101233833")</f>
        <v>09101233833</v>
      </c>
      <c r="E847" s="205" t="s">
        <v>17</v>
      </c>
      <c r="F847" s="206">
        <v>7.0</v>
      </c>
      <c r="G847" s="213" t="s">
        <v>730</v>
      </c>
      <c r="H847" s="202" t="s">
        <v>4564</v>
      </c>
      <c r="I847" s="203"/>
      <c r="J847" s="203" t="s">
        <v>4565</v>
      </c>
      <c r="K847" s="207" t="s">
        <v>4566</v>
      </c>
      <c r="L847" s="207" t="s">
        <v>4567</v>
      </c>
      <c r="M847" s="207"/>
      <c r="N847" s="202"/>
      <c r="O847" s="202"/>
      <c r="P847" s="202"/>
      <c r="Q847" s="208"/>
      <c r="R847" s="86"/>
      <c r="S847" s="114">
        <f t="shared" ref="S847:T847" si="848">A847</f>
        <v>847</v>
      </c>
      <c r="T847" s="114" t="str">
        <f t="shared" si="848"/>
        <v>شاهین سبزواری</v>
      </c>
      <c r="U847" s="86" t="str">
        <f t="shared" si="3"/>
        <v>09101233833</v>
      </c>
      <c r="V847" s="86" t="str">
        <f t="shared" si="4"/>
        <v>پیش‌وایی 7</v>
      </c>
      <c r="W847" s="86"/>
      <c r="X847" s="86"/>
    </row>
    <row r="848">
      <c r="A848" s="192">
        <v>848.0</v>
      </c>
      <c r="B848" s="193" t="s">
        <v>4568</v>
      </c>
      <c r="C848" s="194" t="s">
        <v>4569</v>
      </c>
      <c r="D848" s="195" t="str">
        <f>IFERROR(__xludf.DUMMYFUNCTION("ARRAYFORMULA(LET( converted, SUBSTITUTE( SUBSTITUTE( SUBSTITUTE( SUBSTITUTE( SUBSTITUTE( SUBSTITUTE( SUBSTITUTE( SUBSTITUTE( SUBSTITUTE( SUBSTITUTE( C848, ""۰"", ""0""), ""۱"", ""1""), ""۲"", ""2""), ""۳"", ""3""), ""۴"", ""4""), ""۵"", ""5""), ""۶"", ""6"&amp;"""), ""۷"", ""7""), ""۸"", ""8""), ""۹"", ""9""), IF(LEFT(converted,3)=""+98"", ""0"" &amp; RIGHT(converted, LEN(converted)-3), IF(LEFT(converted,2)=""98"", ""0"" &amp; RIGHT(converted, LEN(converted)-2), IF(LEFT(converted,1)&lt;&gt;""0"", ""0"" &amp; converted, REGEXREPLA"&amp;"CE(converted , ""\s"", """")) ) ) ) )"),"09120644960")</f>
        <v>09120644960</v>
      </c>
      <c r="E848" s="196" t="s">
        <v>17</v>
      </c>
      <c r="F848" s="197">
        <v>7.0</v>
      </c>
      <c r="G848" s="212" t="s">
        <v>730</v>
      </c>
      <c r="H848" s="193" t="s">
        <v>4570</v>
      </c>
      <c r="I848" s="194"/>
      <c r="J848" s="194" t="s">
        <v>4571</v>
      </c>
      <c r="K848" s="199" t="s">
        <v>4572</v>
      </c>
      <c r="L848" s="199" t="s">
        <v>4573</v>
      </c>
      <c r="M848" s="199"/>
      <c r="N848" s="199"/>
      <c r="O848" s="193"/>
      <c r="P848" s="193"/>
      <c r="Q848" s="200"/>
      <c r="R848" s="86"/>
      <c r="S848" s="114">
        <f t="shared" ref="S848:T848" si="849">A848</f>
        <v>848</v>
      </c>
      <c r="T848" s="114" t="str">
        <f t="shared" si="849"/>
        <v>سیدمحمدرضا فرشچی</v>
      </c>
      <c r="U848" s="86" t="str">
        <f t="shared" si="3"/>
        <v>09120644960</v>
      </c>
      <c r="V848" s="86" t="str">
        <f t="shared" si="4"/>
        <v>پیش‌وایی 7</v>
      </c>
      <c r="W848" s="86"/>
      <c r="X848" s="86"/>
    </row>
    <row r="849">
      <c r="A849" s="201">
        <v>849.0</v>
      </c>
      <c r="B849" s="202" t="s">
        <v>4574</v>
      </c>
      <c r="C849" s="203" t="s">
        <v>4575</v>
      </c>
      <c r="D849" s="204" t="str">
        <f>IFERROR(__xludf.DUMMYFUNCTION("ARRAYFORMULA(LET( converted, SUBSTITUTE( SUBSTITUTE( SUBSTITUTE( SUBSTITUTE( SUBSTITUTE( SUBSTITUTE( SUBSTITUTE( SUBSTITUTE( SUBSTITUTE( SUBSTITUTE( C849, ""۰"", ""0""), ""۱"", ""1""), ""۲"", ""2""), ""۳"", ""3""), ""۴"", ""4""), ""۵"", ""5""), ""۶"", ""6"&amp;"""), ""۷"", ""7""), ""۸"", ""8""), ""۹"", ""9""), IF(LEFT(converted,3)=""+98"", ""0"" &amp; RIGHT(converted, LEN(converted)-3), IF(LEFT(converted,2)=""98"", ""0"" &amp; RIGHT(converted, LEN(converted)-2), IF(LEFT(converted,1)&lt;&gt;""0"", ""0"" &amp; converted, REGEXREPLA"&amp;"CE(converted , ""\s"", """")) ) ) ) )"),"09192783834")</f>
        <v>09192783834</v>
      </c>
      <c r="E849" s="205" t="s">
        <v>17</v>
      </c>
      <c r="F849" s="206">
        <v>7.0</v>
      </c>
      <c r="G849" s="213" t="s">
        <v>730</v>
      </c>
      <c r="H849" s="202" t="s">
        <v>4576</v>
      </c>
      <c r="I849" s="203"/>
      <c r="J849" s="203" t="s">
        <v>4577</v>
      </c>
      <c r="K849" s="207" t="s">
        <v>1868</v>
      </c>
      <c r="L849" s="207" t="s">
        <v>4578</v>
      </c>
      <c r="M849" s="207"/>
      <c r="N849" s="207"/>
      <c r="O849" s="202"/>
      <c r="P849" s="202"/>
      <c r="Q849" s="208"/>
      <c r="R849" s="86"/>
      <c r="S849" s="114">
        <f t="shared" ref="S849:T849" si="850">A849</f>
        <v>849</v>
      </c>
      <c r="T849" s="114" t="str">
        <f t="shared" si="850"/>
        <v>ابوالفضل خان محمدی</v>
      </c>
      <c r="U849" s="86" t="str">
        <f t="shared" si="3"/>
        <v>09192783834</v>
      </c>
      <c r="V849" s="86" t="str">
        <f t="shared" si="4"/>
        <v>پیش‌وایی 7</v>
      </c>
      <c r="W849" s="86"/>
      <c r="X849" s="86"/>
    </row>
    <row r="850">
      <c r="A850" s="192">
        <v>850.0</v>
      </c>
      <c r="B850" s="199" t="s">
        <v>4579</v>
      </c>
      <c r="C850" s="211" t="s">
        <v>4580</v>
      </c>
      <c r="D850" s="195" t="str">
        <f>IFERROR(__xludf.DUMMYFUNCTION("ARRAYFORMULA(LET( converted, SUBSTITUTE( SUBSTITUTE( SUBSTITUTE( SUBSTITUTE( SUBSTITUTE( SUBSTITUTE( SUBSTITUTE( SUBSTITUTE( SUBSTITUTE( SUBSTITUTE( C850, ""۰"", ""0""), ""۱"", ""1""), ""۲"", ""2""), ""۳"", ""3""), ""۴"", ""4""), ""۵"", ""5""), ""۶"", ""6"&amp;"""), ""۷"", ""7""), ""۸"", ""8""), ""۹"", ""9""), IF(LEFT(converted,3)=""+98"", ""0"" &amp; RIGHT(converted, LEN(converted)-3), IF(LEFT(converted,2)=""98"", ""0"" &amp; RIGHT(converted, LEN(converted)-2), IF(LEFT(converted,1)&lt;&gt;""0"", ""0"" &amp; converted, REGEXREPLA"&amp;"CE(converted , ""\s"", """")) ) ) ) )"),"09124943004")</f>
        <v>09124943004</v>
      </c>
      <c r="E850" s="196" t="s">
        <v>17</v>
      </c>
      <c r="F850" s="197">
        <v>7.0</v>
      </c>
      <c r="G850" s="212" t="s">
        <v>746</v>
      </c>
      <c r="H850" s="193" t="s">
        <v>4581</v>
      </c>
      <c r="I850" s="194"/>
      <c r="J850" s="194" t="s">
        <v>4582</v>
      </c>
      <c r="K850" s="199" t="s">
        <v>3390</v>
      </c>
      <c r="L850" s="199" t="s">
        <v>2451</v>
      </c>
      <c r="M850" s="199"/>
      <c r="N850" s="199"/>
      <c r="O850" s="193"/>
      <c r="P850" s="193"/>
      <c r="Q850" s="200"/>
      <c r="R850" s="86"/>
      <c r="S850" s="114">
        <f t="shared" ref="S850:T850" si="851">A850</f>
        <v>850</v>
      </c>
      <c r="T850" s="114" t="str">
        <f t="shared" si="851"/>
        <v>درسا جلالی</v>
      </c>
      <c r="U850" s="86" t="str">
        <f t="shared" si="3"/>
        <v>09124943004</v>
      </c>
      <c r="V850" s="86" t="str">
        <f t="shared" si="4"/>
        <v>پیش‌وایی 7</v>
      </c>
      <c r="W850" s="86"/>
      <c r="X850" s="86"/>
    </row>
    <row r="851">
      <c r="A851" s="201">
        <v>851.0</v>
      </c>
      <c r="B851" s="207" t="s">
        <v>1597</v>
      </c>
      <c r="C851" s="210" t="s">
        <v>4583</v>
      </c>
      <c r="D851" s="204" t="str">
        <f>IFERROR(__xludf.DUMMYFUNCTION("ARRAYFORMULA(LET( converted, SUBSTITUTE( SUBSTITUTE( SUBSTITUTE( SUBSTITUTE( SUBSTITUTE( SUBSTITUTE( SUBSTITUTE( SUBSTITUTE( SUBSTITUTE( SUBSTITUTE( C851, ""۰"", ""0""), ""۱"", ""1""), ""۲"", ""2""), ""۳"", ""3""), ""۴"", ""4""), ""۵"", ""5""), ""۶"", ""6"&amp;"""), ""۷"", ""7""), ""۸"", ""8""), ""۹"", ""9""), IF(LEFT(converted,3)=""+98"", ""0"" &amp; RIGHT(converted, LEN(converted)-3), IF(LEFT(converted,2)=""98"", ""0"" &amp; RIGHT(converted, LEN(converted)-2), IF(LEFT(converted,1)&lt;&gt;""0"", ""0"" &amp; converted, REGEXREPLA"&amp;"CE(converted , ""\s"", """")) ) ) ) )"),"09120199974")</f>
        <v>09120199974</v>
      </c>
      <c r="E851" s="205" t="s">
        <v>17</v>
      </c>
      <c r="F851" s="206">
        <v>7.0</v>
      </c>
      <c r="G851" s="213" t="s">
        <v>730</v>
      </c>
      <c r="H851" s="202" t="s">
        <v>4584</v>
      </c>
      <c r="I851" s="203"/>
      <c r="J851" s="203" t="s">
        <v>2272</v>
      </c>
      <c r="K851" s="207" t="s">
        <v>334</v>
      </c>
      <c r="L851" s="207" t="s">
        <v>1600</v>
      </c>
      <c r="M851" s="207"/>
      <c r="N851" s="202"/>
      <c r="O851" s="202"/>
      <c r="P851" s="202"/>
      <c r="Q851" s="208"/>
      <c r="R851" s="86"/>
      <c r="S851" s="114">
        <f t="shared" ref="S851:T851" si="852">A851</f>
        <v>851</v>
      </c>
      <c r="T851" s="114" t="str">
        <f t="shared" si="852"/>
        <v>شایان شریفی</v>
      </c>
      <c r="U851" s="86" t="str">
        <f t="shared" si="3"/>
        <v>09120199974</v>
      </c>
      <c r="V851" s="86" t="str">
        <f t="shared" si="4"/>
        <v>پیش‌وایی 7</v>
      </c>
      <c r="W851" s="86"/>
      <c r="X851" s="86"/>
    </row>
    <row r="852">
      <c r="A852" s="192">
        <v>852.0</v>
      </c>
      <c r="B852" s="193" t="s">
        <v>4585</v>
      </c>
      <c r="C852" s="194" t="s">
        <v>4586</v>
      </c>
      <c r="D852" s="195" t="str">
        <f>IFERROR(__xludf.DUMMYFUNCTION("ARRAYFORMULA(LET( converted, SUBSTITUTE( SUBSTITUTE( SUBSTITUTE( SUBSTITUTE( SUBSTITUTE( SUBSTITUTE( SUBSTITUTE( SUBSTITUTE( SUBSTITUTE( SUBSTITUTE( C852, ""۰"", ""0""), ""۱"", ""1""), ""۲"", ""2""), ""۳"", ""3""), ""۴"", ""4""), ""۵"", ""5""), ""۶"", ""6"&amp;"""), ""۷"", ""7""), ""۸"", ""8""), ""۹"", ""9""), IF(LEFT(converted,3)=""+98"", ""0"" &amp; RIGHT(converted, LEN(converted)-3), IF(LEFT(converted,2)=""98"", ""0"" &amp; RIGHT(converted, LEN(converted)-2), IF(LEFT(converted,1)&lt;&gt;""0"", ""0"" &amp; converted, REGEXREPLA"&amp;"CE(converted , ""\s"", """")) ) ) ) )"),"09353998016")</f>
        <v>09353998016</v>
      </c>
      <c r="E852" s="196" t="s">
        <v>17</v>
      </c>
      <c r="F852" s="197">
        <v>7.0</v>
      </c>
      <c r="G852" s="212" t="s">
        <v>746</v>
      </c>
      <c r="H852" s="193" t="s">
        <v>4587</v>
      </c>
      <c r="I852" s="194"/>
      <c r="J852" s="194" t="s">
        <v>4588</v>
      </c>
      <c r="K852" s="199" t="s">
        <v>1504</v>
      </c>
      <c r="L852" s="199" t="s">
        <v>4589</v>
      </c>
      <c r="M852" s="199"/>
      <c r="N852" s="199"/>
      <c r="O852" s="193"/>
      <c r="P852" s="193"/>
      <c r="Q852" s="200"/>
      <c r="R852" s="86"/>
      <c r="S852" s="114">
        <f t="shared" ref="S852:T852" si="853">A852</f>
        <v>852</v>
      </c>
      <c r="T852" s="114" t="str">
        <f t="shared" si="853"/>
        <v>مهسا هنرمندی</v>
      </c>
      <c r="U852" s="86" t="str">
        <f t="shared" si="3"/>
        <v>09353998016</v>
      </c>
      <c r="V852" s="86" t="str">
        <f t="shared" si="4"/>
        <v>پیش‌وایی 7</v>
      </c>
      <c r="W852" s="86"/>
      <c r="X852" s="86"/>
    </row>
    <row r="853">
      <c r="A853" s="201">
        <v>853.0</v>
      </c>
      <c r="B853" s="202" t="s">
        <v>3604</v>
      </c>
      <c r="C853" s="203" t="s">
        <v>3605</v>
      </c>
      <c r="D853" s="204" t="str">
        <f>IFERROR(__xludf.DUMMYFUNCTION("ARRAYFORMULA(LET( converted, SUBSTITUTE( SUBSTITUTE( SUBSTITUTE( SUBSTITUTE( SUBSTITUTE( SUBSTITUTE( SUBSTITUTE( SUBSTITUTE( SUBSTITUTE( SUBSTITUTE( C853, ""۰"", ""0""), ""۱"", ""1""), ""۲"", ""2""), ""۳"", ""3""), ""۴"", ""4""), ""۵"", ""5""), ""۶"", ""6"&amp;"""), ""۷"", ""7""), ""۸"", ""8""), ""۹"", ""9""), IF(LEFT(converted,3)=""+98"", ""0"" &amp; RIGHT(converted, LEN(converted)-3), IF(LEFT(converted,2)=""98"", ""0"" &amp; RIGHT(converted, LEN(converted)-2), IF(LEFT(converted,1)&lt;&gt;""0"", ""0"" &amp; converted, REGEXREPLA"&amp;"CE(converted , ""\s"", """")) ) ) ) )"),"09383862468")</f>
        <v>09383862468</v>
      </c>
      <c r="E853" s="205" t="s">
        <v>17</v>
      </c>
      <c r="F853" s="206">
        <v>7.0</v>
      </c>
      <c r="G853" s="213" t="s">
        <v>730</v>
      </c>
      <c r="H853" s="202" t="s">
        <v>4590</v>
      </c>
      <c r="I853" s="203"/>
      <c r="J853" s="203" t="s">
        <v>2322</v>
      </c>
      <c r="K853" s="207" t="s">
        <v>2114</v>
      </c>
      <c r="L853" s="207" t="s">
        <v>3607</v>
      </c>
      <c r="M853" s="207"/>
      <c r="N853" s="207"/>
      <c r="O853" s="202"/>
      <c r="P853" s="202"/>
      <c r="Q853" s="208"/>
      <c r="R853" s="86"/>
      <c r="S853" s="114">
        <f t="shared" ref="S853:T853" si="854">A853</f>
        <v>853</v>
      </c>
      <c r="T853" s="114" t="str">
        <f t="shared" si="854"/>
        <v>یاسر فاضلی</v>
      </c>
      <c r="U853" s="86" t="str">
        <f t="shared" si="3"/>
        <v>09383862468</v>
      </c>
      <c r="V853" s="86" t="str">
        <f t="shared" si="4"/>
        <v>پیش‌وایی 7</v>
      </c>
      <c r="W853" s="86"/>
      <c r="X853" s="86"/>
    </row>
    <row r="854">
      <c r="A854" s="192">
        <v>854.0</v>
      </c>
      <c r="B854" s="199" t="s">
        <v>4591</v>
      </c>
      <c r="C854" s="194" t="s">
        <v>4592</v>
      </c>
      <c r="D854" s="195" t="str">
        <f>IFERROR(__xludf.DUMMYFUNCTION("ARRAYFORMULA(LET( converted, SUBSTITUTE( SUBSTITUTE( SUBSTITUTE( SUBSTITUTE( SUBSTITUTE( SUBSTITUTE( SUBSTITUTE( SUBSTITUTE( SUBSTITUTE( SUBSTITUTE( C854, ""۰"", ""0""), ""۱"", ""1""), ""۲"", ""2""), ""۳"", ""3""), ""۴"", ""4""), ""۵"", ""5""), ""۶"", ""6"&amp;"""), ""۷"", ""7""), ""۸"", ""8""), ""۹"", ""9""), IF(LEFT(converted,3)=""+98"", ""0"" &amp; RIGHT(converted, LEN(converted)-3), IF(LEFT(converted,2)=""98"", ""0"" &amp; RIGHT(converted, LEN(converted)-2), IF(LEFT(converted,1)&lt;&gt;""0"", ""0"" &amp; converted, REGEXREPLA"&amp;"CE(converted , ""\s"", """")) ) ) ) )"),"09128898869")</f>
        <v>09128898869</v>
      </c>
      <c r="E854" s="196" t="s">
        <v>17</v>
      </c>
      <c r="F854" s="197">
        <v>7.0</v>
      </c>
      <c r="G854" s="212" t="s">
        <v>730</v>
      </c>
      <c r="H854" s="193" t="s">
        <v>4593</v>
      </c>
      <c r="I854" s="194"/>
      <c r="J854" s="194" t="s">
        <v>4594</v>
      </c>
      <c r="K854" s="199" t="s">
        <v>3126</v>
      </c>
      <c r="L854" s="199" t="s">
        <v>4595</v>
      </c>
      <c r="M854" s="199"/>
      <c r="N854" s="193"/>
      <c r="O854" s="193"/>
      <c r="P854" s="193"/>
      <c r="Q854" s="200"/>
      <c r="R854" s="86"/>
      <c r="S854" s="114">
        <f t="shared" ref="S854:T854" si="855">A854</f>
        <v>854</v>
      </c>
      <c r="T854" s="114" t="str">
        <f t="shared" si="855"/>
        <v>ایمان علیزادگان</v>
      </c>
      <c r="U854" s="86" t="str">
        <f t="shared" si="3"/>
        <v>09128898869</v>
      </c>
      <c r="V854" s="86" t="str">
        <f t="shared" si="4"/>
        <v>پیش‌وایی 7</v>
      </c>
      <c r="W854" s="86"/>
      <c r="X854" s="86"/>
    </row>
    <row r="855">
      <c r="A855" s="201">
        <v>855.0</v>
      </c>
      <c r="B855" s="207" t="s">
        <v>4596</v>
      </c>
      <c r="C855" s="203" t="s">
        <v>4597</v>
      </c>
      <c r="D855" s="204" t="str">
        <f>IFERROR(__xludf.DUMMYFUNCTION("ARRAYFORMULA(LET( converted, SUBSTITUTE( SUBSTITUTE( SUBSTITUTE( SUBSTITUTE( SUBSTITUTE( SUBSTITUTE( SUBSTITUTE( SUBSTITUTE( SUBSTITUTE( SUBSTITUTE( C855, ""۰"", ""0""), ""۱"", ""1""), ""۲"", ""2""), ""۳"", ""3""), ""۴"", ""4""), ""۵"", ""5""), ""۶"", ""6"&amp;"""), ""۷"", ""7""), ""۸"", ""8""), ""۹"", ""9""), IF(LEFT(converted,3)=""+98"", ""0"" &amp; RIGHT(converted, LEN(converted)-3), IF(LEFT(converted,2)=""98"", ""0"" &amp; RIGHT(converted, LEN(converted)-2), IF(LEFT(converted,1)&lt;&gt;""0"", ""0"" &amp; converted, REGEXREPLA"&amp;"CE(converted , ""\s"", """")) ) ) ) )"),"09196315339")</f>
        <v>09196315339</v>
      </c>
      <c r="E855" s="205" t="s">
        <v>17</v>
      </c>
      <c r="F855" s="206">
        <v>7.0</v>
      </c>
      <c r="G855" s="213" t="s">
        <v>746</v>
      </c>
      <c r="H855" s="202" t="s">
        <v>4598</v>
      </c>
      <c r="I855" s="203"/>
      <c r="J855" s="203" t="s">
        <v>4599</v>
      </c>
      <c r="K855" s="207" t="s">
        <v>4600</v>
      </c>
      <c r="L855" s="207" t="s">
        <v>4601</v>
      </c>
      <c r="M855" s="207"/>
      <c r="N855" s="207"/>
      <c r="O855" s="202"/>
      <c r="P855" s="202"/>
      <c r="Q855" s="208"/>
      <c r="R855" s="86"/>
      <c r="S855" s="114">
        <f t="shared" ref="S855:T855" si="856">A855</f>
        <v>855</v>
      </c>
      <c r="T855" s="114" t="str">
        <f t="shared" si="856"/>
        <v>پروانه علائی</v>
      </c>
      <c r="U855" s="86" t="str">
        <f t="shared" si="3"/>
        <v>09196315339</v>
      </c>
      <c r="V855" s="86" t="str">
        <f t="shared" si="4"/>
        <v>پیش‌وایی 7</v>
      </c>
      <c r="W855" s="86"/>
      <c r="X855" s="86"/>
    </row>
    <row r="856">
      <c r="A856" s="192">
        <v>856.0</v>
      </c>
      <c r="B856" s="193" t="s">
        <v>4602</v>
      </c>
      <c r="C856" s="194" t="s">
        <v>4603</v>
      </c>
      <c r="D856" s="195" t="str">
        <f>IFERROR(__xludf.DUMMYFUNCTION("ARRAYFORMULA(LET( converted, SUBSTITUTE( SUBSTITUTE( SUBSTITUTE( SUBSTITUTE( SUBSTITUTE( SUBSTITUTE( SUBSTITUTE( SUBSTITUTE( SUBSTITUTE( SUBSTITUTE( C856, ""۰"", ""0""), ""۱"", ""1""), ""۲"", ""2""), ""۳"", ""3""), ""۴"", ""4""), ""۵"", ""5""), ""۶"", ""6"&amp;"""), ""۷"", ""7""), ""۸"", ""8""), ""۹"", ""9""), IF(LEFT(converted,3)=""+98"", ""0"" &amp; RIGHT(converted, LEN(converted)-3), IF(LEFT(converted,2)=""98"", ""0"" &amp; RIGHT(converted, LEN(converted)-2), IF(LEFT(converted,1)&lt;&gt;""0"", ""0"" &amp; converted, REGEXREPLA"&amp;"CE(converted , ""\s"", """")) ) ) ) )"),"09127272259")</f>
        <v>09127272259</v>
      </c>
      <c r="E856" s="196" t="s">
        <v>17</v>
      </c>
      <c r="F856" s="197">
        <v>7.0</v>
      </c>
      <c r="G856" s="212" t="s">
        <v>746</v>
      </c>
      <c r="H856" s="193" t="s">
        <v>4604</v>
      </c>
      <c r="I856" s="194"/>
      <c r="J856" s="194" t="s">
        <v>4605</v>
      </c>
      <c r="K856" s="199" t="s">
        <v>292</v>
      </c>
      <c r="L856" s="199" t="s">
        <v>231</v>
      </c>
      <c r="M856" s="199"/>
      <c r="N856" s="199"/>
      <c r="O856" s="193"/>
      <c r="P856" s="193"/>
      <c r="Q856" s="200"/>
      <c r="R856" s="86"/>
      <c r="S856" s="114">
        <f t="shared" ref="S856:T856" si="857">A856</f>
        <v>856</v>
      </c>
      <c r="T856" s="114" t="str">
        <f t="shared" si="857"/>
        <v>مریم موسوی</v>
      </c>
      <c r="U856" s="86" t="str">
        <f t="shared" si="3"/>
        <v>09127272259</v>
      </c>
      <c r="V856" s="86" t="str">
        <f t="shared" si="4"/>
        <v>پیش‌وایی 7</v>
      </c>
      <c r="W856" s="86"/>
      <c r="X856" s="86"/>
    </row>
    <row r="857">
      <c r="A857" s="201">
        <v>857.0</v>
      </c>
      <c r="B857" s="202" t="s">
        <v>4606</v>
      </c>
      <c r="C857" s="203" t="s">
        <v>4607</v>
      </c>
      <c r="D857" s="204" t="str">
        <f>IFERROR(__xludf.DUMMYFUNCTION("ARRAYFORMULA(LET( converted, SUBSTITUTE( SUBSTITUTE( SUBSTITUTE( SUBSTITUTE( SUBSTITUTE( SUBSTITUTE( SUBSTITUTE( SUBSTITUTE( SUBSTITUTE( SUBSTITUTE( C857, ""۰"", ""0""), ""۱"", ""1""), ""۲"", ""2""), ""۳"", ""3""), ""۴"", ""4""), ""۵"", ""5""), ""۶"", ""6"&amp;"""), ""۷"", ""7""), ""۸"", ""8""), ""۹"", ""9""), IF(LEFT(converted,3)=""+98"", ""0"" &amp; RIGHT(converted, LEN(converted)-3), IF(LEFT(converted,2)=""98"", ""0"" &amp; RIGHT(converted, LEN(converted)-2), IF(LEFT(converted,1)&lt;&gt;""0"", ""0"" &amp; converted, REGEXREPLA"&amp;"CE(converted , ""\s"", """")) ) ) ) )"),"09396611376")</f>
        <v>09396611376</v>
      </c>
      <c r="E857" s="205" t="s">
        <v>17</v>
      </c>
      <c r="F857" s="206">
        <v>7.0</v>
      </c>
      <c r="G857" s="213" t="s">
        <v>746</v>
      </c>
      <c r="H857" s="202" t="s">
        <v>4608</v>
      </c>
      <c r="I857" s="203"/>
      <c r="J857" s="203" t="s">
        <v>4609</v>
      </c>
      <c r="K857" s="207" t="s">
        <v>4606</v>
      </c>
      <c r="L857" s="202"/>
      <c r="M857" s="207"/>
      <c r="N857" s="207"/>
      <c r="O857" s="202"/>
      <c r="P857" s="202"/>
      <c r="Q857" s="208"/>
      <c r="R857" s="86"/>
      <c r="S857" s="114">
        <f t="shared" ref="S857:T857" si="858">A857</f>
        <v>857</v>
      </c>
      <c r="T857" s="114" t="str">
        <f t="shared" si="858"/>
        <v>حدیث</v>
      </c>
      <c r="U857" s="86" t="str">
        <f t="shared" si="3"/>
        <v>09396611376</v>
      </c>
      <c r="V857" s="86" t="str">
        <f t="shared" si="4"/>
        <v>پیش‌وایی 7</v>
      </c>
      <c r="W857" s="86"/>
      <c r="X857" s="86"/>
    </row>
    <row r="858">
      <c r="A858" s="192">
        <v>858.0</v>
      </c>
      <c r="B858" s="193" t="s">
        <v>2264</v>
      </c>
      <c r="C858" s="194" t="s">
        <v>4610</v>
      </c>
      <c r="D858" s="195" t="str">
        <f>IFERROR(__xludf.DUMMYFUNCTION("ARRAYFORMULA(LET( converted, SUBSTITUTE( SUBSTITUTE( SUBSTITUTE( SUBSTITUTE( SUBSTITUTE( SUBSTITUTE( SUBSTITUTE( SUBSTITUTE( SUBSTITUTE( SUBSTITUTE( C858, ""۰"", ""0""), ""۱"", ""1""), ""۲"", ""2""), ""۳"", ""3""), ""۴"", ""4""), ""۵"", ""5""), ""۶"", ""6"&amp;"""), ""۷"", ""7""), ""۸"", ""8""), ""۹"", ""9""), IF(LEFT(converted,3)=""+98"", ""0"" &amp; RIGHT(converted, LEN(converted)-3), IF(LEFT(converted,2)=""98"", ""0"" &amp; RIGHT(converted, LEN(converted)-2), IF(LEFT(converted,1)&lt;&gt;""0"", ""0"" &amp; converted, REGEXREPLA"&amp;"CE(converted , ""\s"", """")) ) ) ) )"),"09125918452")</f>
        <v>09125918452</v>
      </c>
      <c r="E858" s="196" t="s">
        <v>17</v>
      </c>
      <c r="F858" s="197">
        <v>7.0</v>
      </c>
      <c r="G858" s="212" t="s">
        <v>730</v>
      </c>
      <c r="H858" s="193" t="s">
        <v>4611</v>
      </c>
      <c r="I858" s="194"/>
      <c r="J858" s="194" t="s">
        <v>4612</v>
      </c>
      <c r="K858" s="199" t="s">
        <v>2264</v>
      </c>
      <c r="L858" s="193"/>
      <c r="M858" s="199"/>
      <c r="N858" s="193"/>
      <c r="O858" s="193"/>
      <c r="P858" s="193"/>
      <c r="Q858" s="200"/>
      <c r="R858" s="86"/>
      <c r="S858" s="114">
        <f t="shared" ref="S858:T858" si="859">A858</f>
        <v>858</v>
      </c>
      <c r="T858" s="114" t="str">
        <f t="shared" si="859"/>
        <v>یوسف</v>
      </c>
      <c r="U858" s="86" t="str">
        <f t="shared" si="3"/>
        <v>09125918452</v>
      </c>
      <c r="V858" s="86" t="str">
        <f t="shared" si="4"/>
        <v>پیش‌وایی 7</v>
      </c>
      <c r="W858" s="86"/>
      <c r="X858" s="86"/>
    </row>
    <row r="859">
      <c r="A859" s="201">
        <v>859.0</v>
      </c>
      <c r="B859" s="202" t="s">
        <v>4613</v>
      </c>
      <c r="C859" s="203" t="s">
        <v>4614</v>
      </c>
      <c r="D859" s="204" t="str">
        <f>IFERROR(__xludf.DUMMYFUNCTION("ARRAYFORMULA(LET( converted, SUBSTITUTE( SUBSTITUTE( SUBSTITUTE( SUBSTITUTE( SUBSTITUTE( SUBSTITUTE( SUBSTITUTE( SUBSTITUTE( SUBSTITUTE( SUBSTITUTE( C859, ""۰"", ""0""), ""۱"", ""1""), ""۲"", ""2""), ""۳"", ""3""), ""۴"", ""4""), ""۵"", ""5""), ""۶"", ""6"&amp;"""), ""۷"", ""7""), ""۸"", ""8""), ""۹"", ""9""), IF(LEFT(converted,3)=""+98"", ""0"" &amp; RIGHT(converted, LEN(converted)-3), IF(LEFT(converted,2)=""98"", ""0"" &amp; RIGHT(converted, LEN(converted)-2), IF(LEFT(converted,1)&lt;&gt;""0"", ""0"" &amp; converted, REGEXREPLA"&amp;"CE(converted , ""\s"", """")) ) ) ) )"),"09128207202")</f>
        <v>09128207202</v>
      </c>
      <c r="E859" s="205" t="s">
        <v>17</v>
      </c>
      <c r="F859" s="206">
        <v>7.0</v>
      </c>
      <c r="G859" s="213" t="s">
        <v>730</v>
      </c>
      <c r="H859" s="202" t="s">
        <v>4615</v>
      </c>
      <c r="I859" s="203"/>
      <c r="J859" s="203" t="s">
        <v>4616</v>
      </c>
      <c r="K859" s="207" t="s">
        <v>896</v>
      </c>
      <c r="L859" s="207" t="s">
        <v>1606</v>
      </c>
      <c r="M859" s="207"/>
      <c r="N859" s="202"/>
      <c r="O859" s="202"/>
      <c r="P859" s="202"/>
      <c r="Q859" s="208"/>
      <c r="R859" s="86"/>
      <c r="S859" s="114">
        <f t="shared" ref="S859:T859" si="860">A859</f>
        <v>859</v>
      </c>
      <c r="T859" s="114" t="str">
        <f t="shared" si="860"/>
        <v>حسین فراهانی</v>
      </c>
      <c r="U859" s="86" t="str">
        <f t="shared" si="3"/>
        <v>09128207202</v>
      </c>
      <c r="V859" s="86" t="str">
        <f t="shared" si="4"/>
        <v>پیش‌وایی 7</v>
      </c>
      <c r="W859" s="86"/>
      <c r="X859" s="86"/>
    </row>
    <row r="860">
      <c r="A860" s="192">
        <v>860.0</v>
      </c>
      <c r="B860" s="193" t="s">
        <v>4617</v>
      </c>
      <c r="C860" s="194" t="s">
        <v>4618</v>
      </c>
      <c r="D860" s="195" t="str">
        <f>IFERROR(__xludf.DUMMYFUNCTION("ARRAYFORMULA(LET( converted, SUBSTITUTE( SUBSTITUTE( SUBSTITUTE( SUBSTITUTE( SUBSTITUTE( SUBSTITUTE( SUBSTITUTE( SUBSTITUTE( SUBSTITUTE( SUBSTITUTE( C860, ""۰"", ""0""), ""۱"", ""1""), ""۲"", ""2""), ""۳"", ""3""), ""۴"", ""4""), ""۵"", ""5""), ""۶"", ""6"&amp;"""), ""۷"", ""7""), ""۸"", ""8""), ""۹"", ""9""), IF(LEFT(converted,3)=""+98"", ""0"" &amp; RIGHT(converted, LEN(converted)-3), IF(LEFT(converted,2)=""98"", ""0"" &amp; RIGHT(converted, LEN(converted)-2), IF(LEFT(converted,1)&lt;&gt;""0"", ""0"" &amp; converted, REGEXREPLA"&amp;"CE(converted , ""\s"", """")) ) ) ) )"),"09114229399")</f>
        <v>09114229399</v>
      </c>
      <c r="E860" s="196" t="s">
        <v>17</v>
      </c>
      <c r="F860" s="197">
        <v>7.0</v>
      </c>
      <c r="G860" s="212" t="s">
        <v>730</v>
      </c>
      <c r="H860" s="193" t="s">
        <v>4619</v>
      </c>
      <c r="I860" s="194"/>
      <c r="J860" s="194" t="s">
        <v>4620</v>
      </c>
      <c r="K860" s="193"/>
      <c r="L860" s="199" t="s">
        <v>4617</v>
      </c>
      <c r="M860" s="199"/>
      <c r="N860" s="199"/>
      <c r="O860" s="193"/>
      <c r="P860" s="193"/>
      <c r="Q860" s="200"/>
      <c r="R860" s="86"/>
      <c r="S860" s="114">
        <f t="shared" ref="S860:T860" si="861">A860</f>
        <v>860</v>
      </c>
      <c r="T860" s="114" t="str">
        <f t="shared" si="861"/>
        <v>رابینو</v>
      </c>
      <c r="U860" s="86" t="str">
        <f t="shared" si="3"/>
        <v>09114229399</v>
      </c>
      <c r="V860" s="86" t="str">
        <f t="shared" si="4"/>
        <v>پیش‌وایی 7</v>
      </c>
      <c r="W860" s="86"/>
      <c r="X860" s="86"/>
    </row>
    <row r="861">
      <c r="A861" s="201">
        <v>861.0</v>
      </c>
      <c r="B861" s="202" t="s">
        <v>198</v>
      </c>
      <c r="C861" s="203" t="s">
        <v>4621</v>
      </c>
      <c r="D861" s="204" t="str">
        <f>IFERROR(__xludf.DUMMYFUNCTION("ARRAYFORMULA(LET( converted, SUBSTITUTE( SUBSTITUTE( SUBSTITUTE( SUBSTITUTE( SUBSTITUTE( SUBSTITUTE( SUBSTITUTE( SUBSTITUTE( SUBSTITUTE( SUBSTITUTE( C861, ""۰"", ""0""), ""۱"", ""1""), ""۲"", ""2""), ""۳"", ""3""), ""۴"", ""4""), ""۵"", ""5""), ""۶"", ""6"&amp;"""), ""۷"", ""7""), ""۸"", ""8""), ""۹"", ""9""), IF(LEFT(converted,3)=""+98"", ""0"" &amp; RIGHT(converted, LEN(converted)-3), IF(LEFT(converted,2)=""98"", ""0"" &amp; RIGHT(converted, LEN(converted)-2), IF(LEFT(converted,1)&lt;&gt;""0"", ""0"" &amp; converted, REGEXREPLA"&amp;"CE(converted , ""\s"", """")) ) ) ) )"),"09369818060")</f>
        <v>09369818060</v>
      </c>
      <c r="E861" s="205" t="s">
        <v>17</v>
      </c>
      <c r="F861" s="206">
        <v>7.0</v>
      </c>
      <c r="G861" s="213" t="s">
        <v>746</v>
      </c>
      <c r="H861" s="202" t="s">
        <v>295</v>
      </c>
      <c r="I861" s="203"/>
      <c r="J861" s="203" t="s">
        <v>4622</v>
      </c>
      <c r="K861" s="207" t="s">
        <v>292</v>
      </c>
      <c r="L861" s="207" t="s">
        <v>293</v>
      </c>
      <c r="M861" s="202"/>
      <c r="N861" s="207"/>
      <c r="O861" s="202"/>
      <c r="P861" s="202"/>
      <c r="Q861" s="208"/>
      <c r="R861" s="86"/>
      <c r="S861" s="114">
        <f t="shared" ref="S861:T861" si="862">A861</f>
        <v>861</v>
      </c>
      <c r="T861" s="114" t="str">
        <f t="shared" si="862"/>
        <v>مریم سید حسین</v>
      </c>
      <c r="U861" s="86" t="str">
        <f t="shared" si="3"/>
        <v>09369818060</v>
      </c>
      <c r="V861" s="86" t="str">
        <f t="shared" si="4"/>
        <v>پیش‌وایی 7</v>
      </c>
      <c r="W861" s="86"/>
      <c r="X861" s="86"/>
    </row>
    <row r="862">
      <c r="A862" s="192">
        <v>862.0</v>
      </c>
      <c r="B862" s="199" t="s">
        <v>4122</v>
      </c>
      <c r="C862" s="194" t="s">
        <v>4623</v>
      </c>
      <c r="D862" s="195" t="str">
        <f>IFERROR(__xludf.DUMMYFUNCTION("ARRAYFORMULA(LET( converted, SUBSTITUTE( SUBSTITUTE( SUBSTITUTE( SUBSTITUTE( SUBSTITUTE( SUBSTITUTE( SUBSTITUTE( SUBSTITUTE( SUBSTITUTE( SUBSTITUTE( C862, ""۰"", ""0""), ""۱"", ""1""), ""۲"", ""2""), ""۳"", ""3""), ""۴"", ""4""), ""۵"", ""5""), ""۶"", ""6"&amp;"""), ""۷"", ""7""), ""۸"", ""8""), ""۹"", ""9""), IF(LEFT(converted,3)=""+98"", ""0"" &amp; RIGHT(converted, LEN(converted)-3), IF(LEFT(converted,2)=""98"", ""0"" &amp; RIGHT(converted, LEN(converted)-2), IF(LEFT(converted,1)&lt;&gt;""0"", ""0"" &amp; converted, REGEXREPLA"&amp;"CE(converted , ""\s"", """")) ) ) ) )"),"09024030663")</f>
        <v>09024030663</v>
      </c>
      <c r="E862" s="196" t="s">
        <v>17</v>
      </c>
      <c r="F862" s="197">
        <v>7.0</v>
      </c>
      <c r="G862" s="212" t="s">
        <v>730</v>
      </c>
      <c r="H862" s="193" t="s">
        <v>4624</v>
      </c>
      <c r="I862" s="194"/>
      <c r="J862" s="194" t="s">
        <v>4625</v>
      </c>
      <c r="K862" s="199" t="s">
        <v>4124</v>
      </c>
      <c r="L862" s="199" t="s">
        <v>4125</v>
      </c>
      <c r="M862" s="199"/>
      <c r="N862" s="199"/>
      <c r="O862" s="193"/>
      <c r="P862" s="193"/>
      <c r="Q862" s="200"/>
      <c r="R862" s="86"/>
      <c r="S862" s="114">
        <f t="shared" ref="S862:T862" si="863">A862</f>
        <v>862</v>
      </c>
      <c r="T862" s="114" t="str">
        <f t="shared" si="863"/>
        <v>صابر خورشیدی</v>
      </c>
      <c r="U862" s="86" t="str">
        <f t="shared" si="3"/>
        <v>09024030663</v>
      </c>
      <c r="V862" s="86" t="str">
        <f t="shared" si="4"/>
        <v>پیش‌وایی 7</v>
      </c>
      <c r="W862" s="86"/>
      <c r="X862" s="86"/>
    </row>
    <row r="863">
      <c r="A863" s="201">
        <v>863.0</v>
      </c>
      <c r="B863" s="202" t="s">
        <v>4626</v>
      </c>
      <c r="C863" s="203" t="s">
        <v>4627</v>
      </c>
      <c r="D863" s="204" t="str">
        <f>IFERROR(__xludf.DUMMYFUNCTION("ARRAYFORMULA(LET( converted, SUBSTITUTE( SUBSTITUTE( SUBSTITUTE( SUBSTITUTE( SUBSTITUTE( SUBSTITUTE( SUBSTITUTE( SUBSTITUTE( SUBSTITUTE( SUBSTITUTE( C863, ""۰"", ""0""), ""۱"", ""1""), ""۲"", ""2""), ""۳"", ""3""), ""۴"", ""4""), ""۵"", ""5""), ""۶"", ""6"&amp;"""), ""۷"", ""7""), ""۸"", ""8""), ""۹"", ""9""), IF(LEFT(converted,3)=""+98"", ""0"" &amp; RIGHT(converted, LEN(converted)-3), IF(LEFT(converted,2)=""98"", ""0"" &amp; RIGHT(converted, LEN(converted)-2), IF(LEFT(converted,1)&lt;&gt;""0"", ""0"" &amp; converted, REGEXREPLA"&amp;"CE(converted , ""\s"", """")) ) ) ) )"),"09122342515")</f>
        <v>09122342515</v>
      </c>
      <c r="E863" s="205" t="s">
        <v>17</v>
      </c>
      <c r="F863" s="206">
        <v>7.0</v>
      </c>
      <c r="G863" s="213" t="s">
        <v>730</v>
      </c>
      <c r="H863" s="202" t="s">
        <v>4628</v>
      </c>
      <c r="I863" s="203"/>
      <c r="J863" s="203" t="s">
        <v>4629</v>
      </c>
      <c r="K863" s="207" t="s">
        <v>758</v>
      </c>
      <c r="L863" s="207" t="s">
        <v>4630</v>
      </c>
      <c r="M863" s="207"/>
      <c r="N863" s="207"/>
      <c r="O863" s="202"/>
      <c r="P863" s="202"/>
      <c r="Q863" s="208"/>
      <c r="R863" s="86"/>
      <c r="S863" s="114">
        <f t="shared" ref="S863:T863" si="864">A863</f>
        <v>863</v>
      </c>
      <c r="T863" s="114" t="str">
        <f t="shared" si="864"/>
        <v>سعید خدمتلو</v>
      </c>
      <c r="U863" s="86" t="str">
        <f t="shared" si="3"/>
        <v>09122342515</v>
      </c>
      <c r="V863" s="86" t="str">
        <f t="shared" si="4"/>
        <v>پیش‌وایی 7</v>
      </c>
      <c r="W863" s="86"/>
      <c r="X863" s="86"/>
    </row>
    <row r="864">
      <c r="A864" s="192">
        <v>864.0</v>
      </c>
      <c r="B864" s="193" t="s">
        <v>4631</v>
      </c>
      <c r="C864" s="194" t="s">
        <v>4627</v>
      </c>
      <c r="D864" s="195" t="str">
        <f>IFERROR(__xludf.DUMMYFUNCTION("ARRAYFORMULA(LET( converted, SUBSTITUTE( SUBSTITUTE( SUBSTITUTE( SUBSTITUTE( SUBSTITUTE( SUBSTITUTE( SUBSTITUTE( SUBSTITUTE( SUBSTITUTE( SUBSTITUTE( C864, ""۰"", ""0""), ""۱"", ""1""), ""۲"", ""2""), ""۳"", ""3""), ""۴"", ""4""), ""۵"", ""5""), ""۶"", ""6"&amp;"""), ""۷"", ""7""), ""۸"", ""8""), ""۹"", ""9""), IF(LEFT(converted,3)=""+98"", ""0"" &amp; RIGHT(converted, LEN(converted)-3), IF(LEFT(converted,2)=""98"", ""0"" &amp; RIGHT(converted, LEN(converted)-2), IF(LEFT(converted,1)&lt;&gt;""0"", ""0"" &amp; converted, REGEXREPLA"&amp;"CE(converted , ""\s"", """")) ) ) ) )"),"09122342515")</f>
        <v>09122342515</v>
      </c>
      <c r="E864" s="196" t="s">
        <v>17</v>
      </c>
      <c r="F864" s="197">
        <v>7.0</v>
      </c>
      <c r="G864" s="212" t="s">
        <v>746</v>
      </c>
      <c r="H864" s="193" t="s">
        <v>4628</v>
      </c>
      <c r="I864" s="194"/>
      <c r="J864" s="194" t="s">
        <v>4632</v>
      </c>
      <c r="K864" s="199" t="s">
        <v>292</v>
      </c>
      <c r="L864" s="199" t="s">
        <v>4630</v>
      </c>
      <c r="M864" s="199"/>
      <c r="N864" s="199"/>
      <c r="O864" s="193"/>
      <c r="P864" s="193"/>
      <c r="Q864" s="200"/>
      <c r="R864" s="86"/>
      <c r="S864" s="114">
        <f t="shared" ref="S864:T864" si="865">A864</f>
        <v>864</v>
      </c>
      <c r="T864" s="114" t="str">
        <f t="shared" si="865"/>
        <v>مریم خدمتلو</v>
      </c>
      <c r="U864" s="86" t="str">
        <f t="shared" si="3"/>
        <v>09122342515</v>
      </c>
      <c r="V864" s="86" t="str">
        <f t="shared" si="4"/>
        <v>پیش‌وایی 7</v>
      </c>
      <c r="W864" s="86"/>
      <c r="X864" s="86"/>
    </row>
    <row r="865">
      <c r="A865" s="201">
        <v>865.0</v>
      </c>
      <c r="B865" s="207" t="s">
        <v>2433</v>
      </c>
      <c r="C865" s="203" t="s">
        <v>4633</v>
      </c>
      <c r="D865" s="204" t="str">
        <f>IFERROR(__xludf.DUMMYFUNCTION("ARRAYFORMULA(LET( converted, SUBSTITUTE( SUBSTITUTE( SUBSTITUTE( SUBSTITUTE( SUBSTITUTE( SUBSTITUTE( SUBSTITUTE( SUBSTITUTE( SUBSTITUTE( SUBSTITUTE( C865, ""۰"", ""0""), ""۱"", ""1""), ""۲"", ""2""), ""۳"", ""3""), ""۴"", ""4""), ""۵"", ""5""), ""۶"", ""6"&amp;"""), ""۷"", ""7""), ""۸"", ""8""), ""۹"", ""9""), IF(LEFT(converted,3)=""+98"", ""0"" &amp; RIGHT(converted, LEN(converted)-3), IF(LEFT(converted,2)=""98"", ""0"" &amp; RIGHT(converted, LEN(converted)-2), IF(LEFT(converted,1)&lt;&gt;""0"", ""0"" &amp; converted, REGEXREPLA"&amp;"CE(converted , ""\s"", """")) ) ) ) )"),"09362548832")</f>
        <v>09362548832</v>
      </c>
      <c r="E865" s="205" t="s">
        <v>17</v>
      </c>
      <c r="F865" s="206">
        <v>7.0</v>
      </c>
      <c r="G865" s="213" t="s">
        <v>730</v>
      </c>
      <c r="H865" s="202" t="s">
        <v>225</v>
      </c>
      <c r="I865" s="203"/>
      <c r="J865" s="203" t="s">
        <v>2436</v>
      </c>
      <c r="K865" s="207" t="s">
        <v>222</v>
      </c>
      <c r="L865" s="207" t="s">
        <v>223</v>
      </c>
      <c r="M865" s="207"/>
      <c r="N865" s="207"/>
      <c r="O865" s="202"/>
      <c r="P865" s="202"/>
      <c r="Q865" s="208"/>
      <c r="R865" s="86"/>
      <c r="S865" s="114">
        <f t="shared" ref="S865:T865" si="866">A865</f>
        <v>865</v>
      </c>
      <c r="T865" s="114" t="str">
        <f t="shared" si="866"/>
        <v>بهنام کبیری</v>
      </c>
      <c r="U865" s="86" t="str">
        <f t="shared" si="3"/>
        <v>09362548832</v>
      </c>
      <c r="V865" s="86" t="str">
        <f t="shared" si="4"/>
        <v>پیش‌وایی 7</v>
      </c>
      <c r="W865" s="86"/>
      <c r="X865" s="86"/>
    </row>
    <row r="866">
      <c r="A866" s="192">
        <v>866.0</v>
      </c>
      <c r="B866" s="193" t="s">
        <v>4634</v>
      </c>
      <c r="C866" s="194" t="s">
        <v>4635</v>
      </c>
      <c r="D866" s="195" t="str">
        <f>IFERROR(__xludf.DUMMYFUNCTION("ARRAYFORMULA(LET( converted, SUBSTITUTE( SUBSTITUTE( SUBSTITUTE( SUBSTITUTE( SUBSTITUTE( SUBSTITUTE( SUBSTITUTE( SUBSTITUTE( SUBSTITUTE( SUBSTITUTE( C866, ""۰"", ""0""), ""۱"", ""1""), ""۲"", ""2""), ""۳"", ""3""), ""۴"", ""4""), ""۵"", ""5""), ""۶"", ""6"&amp;"""), ""۷"", ""7""), ""۸"", ""8""), ""۹"", ""9""), IF(LEFT(converted,3)=""+98"", ""0"" &amp; RIGHT(converted, LEN(converted)-3), IF(LEFT(converted,2)=""98"", ""0"" &amp; RIGHT(converted, LEN(converted)-2), IF(LEFT(converted,1)&lt;&gt;""0"", ""0"" &amp; converted, REGEXREPLA"&amp;"CE(converted , ""\s"", """")) ) ) ) )"),"09370556209")</f>
        <v>09370556209</v>
      </c>
      <c r="E866" s="196" t="s">
        <v>17</v>
      </c>
      <c r="F866" s="197">
        <v>7.0</v>
      </c>
      <c r="G866" s="212" t="s">
        <v>730</v>
      </c>
      <c r="H866" s="193" t="s">
        <v>4636</v>
      </c>
      <c r="I866" s="194"/>
      <c r="J866" s="194" t="s">
        <v>4637</v>
      </c>
      <c r="K866" s="199" t="s">
        <v>192</v>
      </c>
      <c r="L866" s="199" t="s">
        <v>4638</v>
      </c>
      <c r="M866" s="199"/>
      <c r="N866" s="199"/>
      <c r="O866" s="193"/>
      <c r="P866" s="193"/>
      <c r="Q866" s="200"/>
      <c r="R866" s="86"/>
      <c r="S866" s="114">
        <f t="shared" ref="S866:T866" si="867">A866</f>
        <v>866</v>
      </c>
      <c r="T866" s="114" t="str">
        <f t="shared" si="867"/>
        <v>امیرحسین طالبی زاده</v>
      </c>
      <c r="U866" s="86" t="str">
        <f t="shared" si="3"/>
        <v>09370556209</v>
      </c>
      <c r="V866" s="86" t="str">
        <f t="shared" si="4"/>
        <v>پیش‌وایی 7</v>
      </c>
      <c r="W866" s="86"/>
      <c r="X866" s="86"/>
    </row>
    <row r="867">
      <c r="A867" s="201">
        <v>867.0</v>
      </c>
      <c r="B867" s="202" t="s">
        <v>4639</v>
      </c>
      <c r="C867" s="203" t="s">
        <v>4640</v>
      </c>
      <c r="D867" s="204" t="str">
        <f>IFERROR(__xludf.DUMMYFUNCTION("ARRAYFORMULA(LET( converted, SUBSTITUTE( SUBSTITUTE( SUBSTITUTE( SUBSTITUTE( SUBSTITUTE( SUBSTITUTE( SUBSTITUTE( SUBSTITUTE( SUBSTITUTE( SUBSTITUTE( C867, ""۰"", ""0""), ""۱"", ""1""), ""۲"", ""2""), ""۳"", ""3""), ""۴"", ""4""), ""۵"", ""5""), ""۶"", ""6"&amp;"""), ""۷"", ""7""), ""۸"", ""8""), ""۹"", ""9""), IF(LEFT(converted,3)=""+98"", ""0"" &amp; RIGHT(converted, LEN(converted)-3), IF(LEFT(converted,2)=""98"", ""0"" &amp; RIGHT(converted, LEN(converted)-2), IF(LEFT(converted,1)&lt;&gt;""0"", ""0"" &amp; converted, REGEXREPLA"&amp;"CE(converted , ""\s"", """")) ) ) ) )"),"09123271332")</f>
        <v>09123271332</v>
      </c>
      <c r="E867" s="205" t="s">
        <v>17</v>
      </c>
      <c r="F867" s="206">
        <v>7.0</v>
      </c>
      <c r="G867" s="213" t="s">
        <v>730</v>
      </c>
      <c r="H867" s="202" t="s">
        <v>4641</v>
      </c>
      <c r="I867" s="203"/>
      <c r="J867" s="203" t="s">
        <v>4642</v>
      </c>
      <c r="K867" s="207" t="s">
        <v>3592</v>
      </c>
      <c r="L867" s="207" t="s">
        <v>1019</v>
      </c>
      <c r="M867" s="207"/>
      <c r="N867" s="207"/>
      <c r="O867" s="202"/>
      <c r="P867" s="202"/>
      <c r="Q867" s="208"/>
      <c r="R867" s="86"/>
      <c r="S867" s="114">
        <f t="shared" ref="S867:T867" si="868">A867</f>
        <v>867</v>
      </c>
      <c r="T867" s="114" t="str">
        <f t="shared" si="868"/>
        <v>نوید احمدی</v>
      </c>
      <c r="U867" s="86" t="str">
        <f t="shared" si="3"/>
        <v>09123271332</v>
      </c>
      <c r="V867" s="86" t="str">
        <f t="shared" si="4"/>
        <v>پیش‌وایی 7</v>
      </c>
      <c r="W867" s="86"/>
      <c r="X867" s="86"/>
    </row>
    <row r="868">
      <c r="A868" s="192">
        <v>868.0</v>
      </c>
      <c r="B868" s="199" t="s">
        <v>1504</v>
      </c>
      <c r="C868" s="194" t="s">
        <v>4643</v>
      </c>
      <c r="D868" s="195" t="str">
        <f>IFERROR(__xludf.DUMMYFUNCTION("ARRAYFORMULA(LET( converted, SUBSTITUTE( SUBSTITUTE( SUBSTITUTE( SUBSTITUTE( SUBSTITUTE( SUBSTITUTE( SUBSTITUTE( SUBSTITUTE( SUBSTITUTE( SUBSTITUTE( C868, ""۰"", ""0""), ""۱"", ""1""), ""۲"", ""2""), ""۳"", ""3""), ""۴"", ""4""), ""۵"", ""5""), ""۶"", ""6"&amp;"""), ""۷"", ""7""), ""۸"", ""8""), ""۹"", ""9""), IF(LEFT(converted,3)=""+98"", ""0"" &amp; RIGHT(converted, LEN(converted)-3), IF(LEFT(converted,2)=""98"", ""0"" &amp; RIGHT(converted, LEN(converted)-2), IF(LEFT(converted,1)&lt;&gt;""0"", ""0"" &amp; converted, REGEXREPLA"&amp;"CE(converted , ""\s"", """")) ) ) ) )"),"09141039656")</f>
        <v>09141039656</v>
      </c>
      <c r="E868" s="196" t="s">
        <v>17</v>
      </c>
      <c r="F868" s="197">
        <v>7.0</v>
      </c>
      <c r="G868" s="212" t="s">
        <v>746</v>
      </c>
      <c r="H868" s="193" t="s">
        <v>4644</v>
      </c>
      <c r="I868" s="194"/>
      <c r="J868" s="194" t="s">
        <v>4645</v>
      </c>
      <c r="K868" s="199" t="s">
        <v>1504</v>
      </c>
      <c r="L868" s="193"/>
      <c r="M868" s="199"/>
      <c r="N868" s="199"/>
      <c r="O868" s="193"/>
      <c r="P868" s="193"/>
      <c r="Q868" s="200"/>
      <c r="R868" s="86"/>
      <c r="S868" s="114">
        <f t="shared" ref="S868:T868" si="869">A868</f>
        <v>868</v>
      </c>
      <c r="T868" s="114" t="str">
        <f t="shared" si="869"/>
        <v>مهسا</v>
      </c>
      <c r="U868" s="86" t="str">
        <f t="shared" si="3"/>
        <v>09141039656</v>
      </c>
      <c r="V868" s="86" t="str">
        <f t="shared" si="4"/>
        <v>پیش‌وایی 7</v>
      </c>
      <c r="W868" s="86"/>
      <c r="X868" s="86"/>
    </row>
    <row r="869">
      <c r="A869" s="201">
        <v>869.0</v>
      </c>
      <c r="B869" s="202" t="s">
        <v>4646</v>
      </c>
      <c r="C869" s="203" t="s">
        <v>4647</v>
      </c>
      <c r="D869" s="204" t="str">
        <f>IFERROR(__xludf.DUMMYFUNCTION("ARRAYFORMULA(LET( converted, SUBSTITUTE( SUBSTITUTE( SUBSTITUTE( SUBSTITUTE( SUBSTITUTE( SUBSTITUTE( SUBSTITUTE( SUBSTITUTE( SUBSTITUTE( SUBSTITUTE( C869, ""۰"", ""0""), ""۱"", ""1""), ""۲"", ""2""), ""۳"", ""3""), ""۴"", ""4""), ""۵"", ""5""), ""۶"", ""6"&amp;"""), ""۷"", ""7""), ""۸"", ""8""), ""۹"", ""9""), IF(LEFT(converted,3)=""+98"", ""0"" &amp; RIGHT(converted, LEN(converted)-3), IF(LEFT(converted,2)=""98"", ""0"" &amp; RIGHT(converted, LEN(converted)-2), IF(LEFT(converted,1)&lt;&gt;""0"", ""0"" &amp; converted, REGEXREPLA"&amp;"CE(converted , ""\s"", """")) ) ) ) )"),"09381239399")</f>
        <v>09381239399</v>
      </c>
      <c r="E869" s="205" t="s">
        <v>17</v>
      </c>
      <c r="F869" s="206">
        <v>7.0</v>
      </c>
      <c r="G869" s="213" t="s">
        <v>746</v>
      </c>
      <c r="H869" s="202" t="s">
        <v>4648</v>
      </c>
      <c r="I869" s="203"/>
      <c r="J869" s="203" t="s">
        <v>4649</v>
      </c>
      <c r="K869" s="207" t="s">
        <v>4650</v>
      </c>
      <c r="L869" s="207" t="s">
        <v>2816</v>
      </c>
      <c r="M869" s="207"/>
      <c r="N869" s="202"/>
      <c r="O869" s="202"/>
      <c r="P869" s="202"/>
      <c r="Q869" s="208"/>
      <c r="R869" s="86"/>
      <c r="S869" s="114">
        <f t="shared" ref="S869:T869" si="870">A869</f>
        <v>869</v>
      </c>
      <c r="T869" s="114" t="str">
        <f t="shared" si="870"/>
        <v>دلارام رضایی</v>
      </c>
      <c r="U869" s="86" t="str">
        <f t="shared" si="3"/>
        <v>09381239399</v>
      </c>
      <c r="V869" s="86" t="str">
        <f t="shared" si="4"/>
        <v>پیش‌وایی 7</v>
      </c>
      <c r="W869" s="86"/>
      <c r="X869" s="86"/>
    </row>
    <row r="870">
      <c r="A870" s="192">
        <v>870.0</v>
      </c>
      <c r="B870" s="193" t="s">
        <v>62</v>
      </c>
      <c r="C870" s="194" t="s">
        <v>4227</v>
      </c>
      <c r="D870" s="195" t="str">
        <f>IFERROR(__xludf.DUMMYFUNCTION("ARRAYFORMULA(LET( converted, SUBSTITUTE( SUBSTITUTE( SUBSTITUTE( SUBSTITUTE( SUBSTITUTE( SUBSTITUTE( SUBSTITUTE( SUBSTITUTE( SUBSTITUTE( SUBSTITUTE( C870, ""۰"", ""0""), ""۱"", ""1""), ""۲"", ""2""), ""۳"", ""3""), ""۴"", ""4""), ""۵"", ""5""), ""۶"", ""6"&amp;"""), ""۷"", ""7""), ""۸"", ""8""), ""۹"", ""9""), IF(LEFT(converted,3)=""+98"", ""0"" &amp; RIGHT(converted, LEN(converted)-3), IF(LEFT(converted,2)=""98"", ""0"" &amp; RIGHT(converted, LEN(converted)-2), IF(LEFT(converted,1)&lt;&gt;""0"", ""0"" &amp; converted, REGEXREPLA"&amp;"CE(converted , ""\s"", """")) ) ) ) )"),"09125052440")</f>
        <v>09125052440</v>
      </c>
      <c r="E870" s="196" t="s">
        <v>17</v>
      </c>
      <c r="F870" s="197">
        <v>7.0</v>
      </c>
      <c r="G870" s="212" t="s">
        <v>730</v>
      </c>
      <c r="H870" s="193" t="s">
        <v>4651</v>
      </c>
      <c r="I870" s="194"/>
      <c r="J870" s="194" t="s">
        <v>4652</v>
      </c>
      <c r="K870" s="199" t="s">
        <v>53</v>
      </c>
      <c r="L870" s="199" t="s">
        <v>327</v>
      </c>
      <c r="M870" s="199"/>
      <c r="N870" s="199"/>
      <c r="O870" s="193"/>
      <c r="P870" s="193"/>
      <c r="Q870" s="200"/>
      <c r="R870" s="86"/>
      <c r="S870" s="114">
        <f t="shared" ref="S870:T870" si="871">A870</f>
        <v>870</v>
      </c>
      <c r="T870" s="114" t="str">
        <f t="shared" si="871"/>
        <v>هاشم کیانی</v>
      </c>
      <c r="U870" s="86" t="str">
        <f t="shared" si="3"/>
        <v>09125052440</v>
      </c>
      <c r="V870" s="86" t="str">
        <f t="shared" si="4"/>
        <v>پیش‌وایی 7</v>
      </c>
      <c r="W870" s="86"/>
      <c r="X870" s="86"/>
    </row>
    <row r="871">
      <c r="A871" s="201">
        <v>871.0</v>
      </c>
      <c r="B871" s="202" t="s">
        <v>4653</v>
      </c>
      <c r="C871" s="203" t="s">
        <v>4227</v>
      </c>
      <c r="D871" s="204" t="str">
        <f>IFERROR(__xludf.DUMMYFUNCTION("ARRAYFORMULA(LET( converted, SUBSTITUTE( SUBSTITUTE( SUBSTITUTE( SUBSTITUTE( SUBSTITUTE( SUBSTITUTE( SUBSTITUTE( SUBSTITUTE( SUBSTITUTE( SUBSTITUTE( C871, ""۰"", ""0""), ""۱"", ""1""), ""۲"", ""2""), ""۳"", ""3""), ""۴"", ""4""), ""۵"", ""5""), ""۶"", ""6"&amp;"""), ""۷"", ""7""), ""۸"", ""8""), ""۹"", ""9""), IF(LEFT(converted,3)=""+98"", ""0"" &amp; RIGHT(converted, LEN(converted)-3), IF(LEFT(converted,2)=""98"", ""0"" &amp; RIGHT(converted, LEN(converted)-2), IF(LEFT(converted,1)&lt;&gt;""0"", ""0"" &amp; converted, REGEXREPLA"&amp;"CE(converted , ""\s"", """")) ) ) ) )"),"09125052440")</f>
        <v>09125052440</v>
      </c>
      <c r="E871" s="205" t="s">
        <v>17</v>
      </c>
      <c r="F871" s="206">
        <v>7.0</v>
      </c>
      <c r="G871" s="213" t="s">
        <v>746</v>
      </c>
      <c r="H871" s="202" t="s">
        <v>4651</v>
      </c>
      <c r="I871" s="203"/>
      <c r="J871" s="203" t="s">
        <v>4654</v>
      </c>
      <c r="K871" s="207" t="s">
        <v>766</v>
      </c>
      <c r="L871" s="207" t="s">
        <v>327</v>
      </c>
      <c r="M871" s="207"/>
      <c r="N871" s="207"/>
      <c r="O871" s="202"/>
      <c r="P871" s="202"/>
      <c r="Q871" s="208"/>
      <c r="R871" s="86"/>
      <c r="S871" s="114">
        <f t="shared" ref="S871:T871" si="872">A871</f>
        <v>871</v>
      </c>
      <c r="T871" s="114" t="str">
        <f t="shared" si="872"/>
        <v>ندا کیانی</v>
      </c>
      <c r="U871" s="86" t="str">
        <f t="shared" si="3"/>
        <v>09125052440</v>
      </c>
      <c r="V871" s="86" t="str">
        <f t="shared" si="4"/>
        <v>پیش‌وایی 7</v>
      </c>
      <c r="W871" s="86"/>
      <c r="X871" s="86"/>
    </row>
    <row r="872">
      <c r="A872" s="192">
        <v>872.0</v>
      </c>
      <c r="B872" s="193" t="s">
        <v>4655</v>
      </c>
      <c r="C872" s="194" t="s">
        <v>4656</v>
      </c>
      <c r="D872" s="195" t="str">
        <f>IFERROR(__xludf.DUMMYFUNCTION("ARRAYFORMULA(LET( converted, SUBSTITUTE( SUBSTITUTE( SUBSTITUTE( SUBSTITUTE( SUBSTITUTE( SUBSTITUTE( SUBSTITUTE( SUBSTITUTE( SUBSTITUTE( SUBSTITUTE( C872, ""۰"", ""0""), ""۱"", ""1""), ""۲"", ""2""), ""۳"", ""3""), ""۴"", ""4""), ""۵"", ""5""), ""۶"", ""6"&amp;"""), ""۷"", ""7""), ""۸"", ""8""), ""۹"", ""9""), IF(LEFT(converted,3)=""+98"", ""0"" &amp; RIGHT(converted, LEN(converted)-3), IF(LEFT(converted,2)=""98"", ""0"" &amp; RIGHT(converted, LEN(converted)-2), IF(LEFT(converted,1)&lt;&gt;""0"", ""0"" &amp; converted, REGEXREPLA"&amp;"CE(converted , ""\s"", """")) ) ) ) )"),"09124435853")</f>
        <v>09124435853</v>
      </c>
      <c r="E872" s="196" t="s">
        <v>17</v>
      </c>
      <c r="F872" s="197">
        <v>7.0</v>
      </c>
      <c r="G872" s="212" t="s">
        <v>746</v>
      </c>
      <c r="H872" s="193" t="s">
        <v>4657</v>
      </c>
      <c r="I872" s="194"/>
      <c r="J872" s="194" t="s">
        <v>4658</v>
      </c>
      <c r="K872" s="199" t="s">
        <v>1633</v>
      </c>
      <c r="L872" s="199" t="s">
        <v>4659</v>
      </c>
      <c r="M872" s="199"/>
      <c r="N872" s="199"/>
      <c r="O872" s="193"/>
      <c r="P872" s="193"/>
      <c r="Q872" s="200"/>
      <c r="R872" s="86"/>
      <c r="S872" s="114">
        <f t="shared" ref="S872:T872" si="873">A872</f>
        <v>872</v>
      </c>
      <c r="T872" s="114" t="str">
        <f t="shared" si="873"/>
        <v>یاسمن میرزائی</v>
      </c>
      <c r="U872" s="86" t="str">
        <f t="shared" si="3"/>
        <v>09124435853</v>
      </c>
      <c r="V872" s="86" t="str">
        <f t="shared" si="4"/>
        <v>پیش‌وایی 7</v>
      </c>
      <c r="W872" s="86"/>
      <c r="X872" s="86"/>
    </row>
    <row r="873">
      <c r="A873" s="201">
        <v>873.0</v>
      </c>
      <c r="B873" s="207" t="s">
        <v>4660</v>
      </c>
      <c r="C873" s="203" t="s">
        <v>4227</v>
      </c>
      <c r="D873" s="204" t="str">
        <f>IFERROR(__xludf.DUMMYFUNCTION("ARRAYFORMULA(LET( converted, SUBSTITUTE( SUBSTITUTE( SUBSTITUTE( SUBSTITUTE( SUBSTITUTE( SUBSTITUTE( SUBSTITUTE( SUBSTITUTE( SUBSTITUTE( SUBSTITUTE( C873, ""۰"", ""0""), ""۱"", ""1""), ""۲"", ""2""), ""۳"", ""3""), ""۴"", ""4""), ""۵"", ""5""), ""۶"", ""6"&amp;"""), ""۷"", ""7""), ""۸"", ""8""), ""۹"", ""9""), IF(LEFT(converted,3)=""+98"", ""0"" &amp; RIGHT(converted, LEN(converted)-3), IF(LEFT(converted,2)=""98"", ""0"" &amp; RIGHT(converted, LEN(converted)-2), IF(LEFT(converted,1)&lt;&gt;""0"", ""0"" &amp; converted, REGEXREPLA"&amp;"CE(converted , ""\s"", """")) ) ) ) )"),"09125052440")</f>
        <v>09125052440</v>
      </c>
      <c r="E873" s="205" t="s">
        <v>17</v>
      </c>
      <c r="F873" s="206">
        <v>7.0</v>
      </c>
      <c r="G873" s="213" t="s">
        <v>746</v>
      </c>
      <c r="H873" s="202" t="s">
        <v>4651</v>
      </c>
      <c r="I873" s="203"/>
      <c r="J873" s="203" t="s">
        <v>4661</v>
      </c>
      <c r="K873" s="207" t="s">
        <v>274</v>
      </c>
      <c r="L873" s="207" t="s">
        <v>327</v>
      </c>
      <c r="M873" s="207"/>
      <c r="N873" s="207"/>
      <c r="O873" s="202"/>
      <c r="P873" s="202"/>
      <c r="Q873" s="208"/>
      <c r="R873" s="86"/>
      <c r="S873" s="114">
        <f t="shared" ref="S873:T873" si="874">A873</f>
        <v>873</v>
      </c>
      <c r="T873" s="114" t="str">
        <f t="shared" si="874"/>
        <v>فاطمه کیانی</v>
      </c>
      <c r="U873" s="86" t="str">
        <f t="shared" si="3"/>
        <v>09125052440</v>
      </c>
      <c r="V873" s="86" t="str">
        <f t="shared" si="4"/>
        <v>پیش‌وایی 7</v>
      </c>
      <c r="W873" s="86"/>
      <c r="X873" s="86"/>
    </row>
    <row r="874">
      <c r="A874" s="192">
        <v>874.0</v>
      </c>
      <c r="B874" s="193" t="s">
        <v>4662</v>
      </c>
      <c r="C874" s="194" t="s">
        <v>4663</v>
      </c>
      <c r="D874" s="195" t="str">
        <f>IFERROR(__xludf.DUMMYFUNCTION("ARRAYFORMULA(LET( converted, SUBSTITUTE( SUBSTITUTE( SUBSTITUTE( SUBSTITUTE( SUBSTITUTE( SUBSTITUTE( SUBSTITUTE( SUBSTITUTE( SUBSTITUTE( SUBSTITUTE( C874, ""۰"", ""0""), ""۱"", ""1""), ""۲"", ""2""), ""۳"", ""3""), ""۴"", ""4""), ""۵"", ""5""), ""۶"", ""6"&amp;"""), ""۷"", ""7""), ""۸"", ""8""), ""۹"", ""9""), IF(LEFT(converted,3)=""+98"", ""0"" &amp; RIGHT(converted, LEN(converted)-3), IF(LEFT(converted,2)=""98"", ""0"" &amp; RIGHT(converted, LEN(converted)-2), IF(LEFT(converted,1)&lt;&gt;""0"", ""0"" &amp; converted, REGEXREPLA"&amp;"CE(converted , ""\s"", """")) ) ) ) )"),"09387139166")</f>
        <v>09387139166</v>
      </c>
      <c r="E874" s="196" t="s">
        <v>17</v>
      </c>
      <c r="F874" s="197">
        <v>7.0</v>
      </c>
      <c r="G874" s="212" t="s">
        <v>730</v>
      </c>
      <c r="H874" s="193" t="s">
        <v>4664</v>
      </c>
      <c r="I874" s="194"/>
      <c r="J874" s="194" t="s">
        <v>4665</v>
      </c>
      <c r="K874" s="199" t="s">
        <v>4666</v>
      </c>
      <c r="L874" s="199" t="s">
        <v>4108</v>
      </c>
      <c r="M874" s="199"/>
      <c r="N874" s="199"/>
      <c r="O874" s="193"/>
      <c r="P874" s="193"/>
      <c r="Q874" s="200"/>
      <c r="R874" s="86"/>
      <c r="S874" s="114">
        <f t="shared" ref="S874:T874" si="875">A874</f>
        <v>874</v>
      </c>
      <c r="T874" s="114" t="str">
        <f t="shared" si="875"/>
        <v>محمدمهدی دانا</v>
      </c>
      <c r="U874" s="86" t="str">
        <f t="shared" si="3"/>
        <v>09387139166</v>
      </c>
      <c r="V874" s="86" t="str">
        <f t="shared" si="4"/>
        <v>پیش‌وایی 7</v>
      </c>
      <c r="W874" s="86"/>
      <c r="X874" s="86"/>
    </row>
    <row r="875">
      <c r="A875" s="201">
        <v>875.0</v>
      </c>
      <c r="B875" s="202" t="s">
        <v>4667</v>
      </c>
      <c r="C875" s="203" t="s">
        <v>4668</v>
      </c>
      <c r="D875" s="204" t="str">
        <f>IFERROR(__xludf.DUMMYFUNCTION("ARRAYFORMULA(LET( converted, SUBSTITUTE( SUBSTITUTE( SUBSTITUTE( SUBSTITUTE( SUBSTITUTE( SUBSTITUTE( SUBSTITUTE( SUBSTITUTE( SUBSTITUTE( SUBSTITUTE( C875, ""۰"", ""0""), ""۱"", ""1""), ""۲"", ""2""), ""۳"", ""3""), ""۴"", ""4""), ""۵"", ""5""), ""۶"", ""6"&amp;"""), ""۷"", ""7""), ""۸"", ""8""), ""۹"", ""9""), IF(LEFT(converted,3)=""+98"", ""0"" &amp; RIGHT(converted, LEN(converted)-3), IF(LEFT(converted,2)=""98"", ""0"" &amp; RIGHT(converted, LEN(converted)-2), IF(LEFT(converted,1)&lt;&gt;""0"", ""0"" &amp; converted, REGEXREPLA"&amp;"CE(converted , ""\s"", """")) ) ) ) )"),"09394377109")</f>
        <v>09394377109</v>
      </c>
      <c r="E875" s="205" t="s">
        <v>17</v>
      </c>
      <c r="F875" s="206">
        <v>7.0</v>
      </c>
      <c r="G875" s="213" t="s">
        <v>730</v>
      </c>
      <c r="H875" s="202" t="s">
        <v>4669</v>
      </c>
      <c r="I875" s="203"/>
      <c r="J875" s="203" t="s">
        <v>4670</v>
      </c>
      <c r="K875" s="207" t="s">
        <v>1374</v>
      </c>
      <c r="L875" s="207" t="s">
        <v>4671</v>
      </c>
      <c r="M875" s="207"/>
      <c r="N875" s="207"/>
      <c r="O875" s="202"/>
      <c r="P875" s="202"/>
      <c r="Q875" s="208"/>
      <c r="R875" s="86"/>
      <c r="S875" s="114">
        <f t="shared" ref="S875:T875" si="876">A875</f>
        <v>875</v>
      </c>
      <c r="T875" s="114" t="str">
        <f t="shared" si="876"/>
        <v>امیر بیکیان</v>
      </c>
      <c r="U875" s="86" t="str">
        <f t="shared" si="3"/>
        <v>09394377109</v>
      </c>
      <c r="V875" s="86" t="str">
        <f t="shared" si="4"/>
        <v>پیش‌وایی 7</v>
      </c>
      <c r="W875" s="86"/>
      <c r="X875" s="86"/>
    </row>
    <row r="876">
      <c r="A876" s="192">
        <v>876.0</v>
      </c>
      <c r="B876" s="199" t="s">
        <v>4672</v>
      </c>
      <c r="C876" s="194" t="s">
        <v>4673</v>
      </c>
      <c r="D876" s="195" t="str">
        <f>IFERROR(__xludf.DUMMYFUNCTION("ARRAYFORMULA(LET( converted, SUBSTITUTE( SUBSTITUTE( SUBSTITUTE( SUBSTITUTE( SUBSTITUTE( SUBSTITUTE( SUBSTITUTE( SUBSTITUTE( SUBSTITUTE( SUBSTITUTE( C876, ""۰"", ""0""), ""۱"", ""1""), ""۲"", ""2""), ""۳"", ""3""), ""۴"", ""4""), ""۵"", ""5""), ""۶"", ""6"&amp;"""), ""۷"", ""7""), ""۸"", ""8""), ""۹"", ""9""), IF(LEFT(converted,3)=""+98"", ""0"" &amp; RIGHT(converted, LEN(converted)-3), IF(LEFT(converted,2)=""98"", ""0"" &amp; RIGHT(converted, LEN(converted)-2), IF(LEFT(converted,1)&lt;&gt;""0"", ""0"" &amp; converted, REGEXREPLA"&amp;"CE(converted , ""\s"", """")) ) ) ) )"),"09139549961")</f>
        <v>09139549961</v>
      </c>
      <c r="E876" s="196" t="s">
        <v>17</v>
      </c>
      <c r="F876" s="197">
        <v>7.0</v>
      </c>
      <c r="G876" s="212" t="s">
        <v>746</v>
      </c>
      <c r="H876" s="193" t="s">
        <v>4674</v>
      </c>
      <c r="I876" s="194"/>
      <c r="J876" s="194" t="s">
        <v>4675</v>
      </c>
      <c r="K876" s="199" t="s">
        <v>214</v>
      </c>
      <c r="L876" s="199" t="s">
        <v>889</v>
      </c>
      <c r="M876" s="199"/>
      <c r="N876" s="199"/>
      <c r="O876" s="193"/>
      <c r="P876" s="193"/>
      <c r="Q876" s="200"/>
      <c r="R876" s="86"/>
      <c r="S876" s="114">
        <f t="shared" ref="S876:T876" si="877">A876</f>
        <v>876</v>
      </c>
      <c r="T876" s="114" t="str">
        <f t="shared" si="877"/>
        <v>بهاره کاظمی</v>
      </c>
      <c r="U876" s="86" t="str">
        <f t="shared" si="3"/>
        <v>09139549961</v>
      </c>
      <c r="V876" s="86" t="str">
        <f t="shared" si="4"/>
        <v>پیش‌وایی 7</v>
      </c>
      <c r="W876" s="86"/>
      <c r="X876" s="86"/>
    </row>
    <row r="877">
      <c r="A877" s="201">
        <v>877.0</v>
      </c>
      <c r="B877" s="202" t="s">
        <v>4676</v>
      </c>
      <c r="C877" s="203" t="s">
        <v>4677</v>
      </c>
      <c r="D877" s="204" t="str">
        <f>IFERROR(__xludf.DUMMYFUNCTION("ARRAYFORMULA(LET( converted, SUBSTITUTE( SUBSTITUTE( SUBSTITUTE( SUBSTITUTE( SUBSTITUTE( SUBSTITUTE( SUBSTITUTE( SUBSTITUTE( SUBSTITUTE( SUBSTITUTE( C877, ""۰"", ""0""), ""۱"", ""1""), ""۲"", ""2""), ""۳"", ""3""), ""۴"", ""4""), ""۵"", ""5""), ""۶"", ""6"&amp;"""), ""۷"", ""7""), ""۸"", ""8""), ""۹"", ""9""), IF(LEFT(converted,3)=""+98"", ""0"" &amp; RIGHT(converted, LEN(converted)-3), IF(LEFT(converted,2)=""98"", ""0"" &amp; RIGHT(converted, LEN(converted)-2), IF(LEFT(converted,1)&lt;&gt;""0"", ""0"" &amp; converted, REGEXREPLA"&amp;"CE(converted , ""\s"", """")) ) ) ) )"),"09161131492")</f>
        <v>09161131492</v>
      </c>
      <c r="E877" s="205" t="s">
        <v>17</v>
      </c>
      <c r="F877" s="206">
        <v>7.0</v>
      </c>
      <c r="G877" s="213" t="s">
        <v>730</v>
      </c>
      <c r="H877" s="202" t="s">
        <v>4678</v>
      </c>
      <c r="I877" s="203"/>
      <c r="J877" s="203" t="s">
        <v>4679</v>
      </c>
      <c r="K877" s="207" t="s">
        <v>1018</v>
      </c>
      <c r="L877" s="207" t="s">
        <v>4680</v>
      </c>
      <c r="M877" s="207"/>
      <c r="N877" s="207"/>
      <c r="O877" s="202"/>
      <c r="P877" s="202"/>
      <c r="Q877" s="208"/>
      <c r="R877" s="86"/>
      <c r="S877" s="114">
        <f t="shared" ref="S877:T877" si="878">A877</f>
        <v>877</v>
      </c>
      <c r="T877" s="114" t="str">
        <f t="shared" si="878"/>
        <v>علی طهماسبی</v>
      </c>
      <c r="U877" s="86" t="str">
        <f t="shared" si="3"/>
        <v>09161131492</v>
      </c>
      <c r="V877" s="86" t="str">
        <f t="shared" si="4"/>
        <v>پیش‌وایی 7</v>
      </c>
      <c r="W877" s="86"/>
      <c r="X877" s="86"/>
    </row>
    <row r="878">
      <c r="A878" s="192">
        <v>878.0</v>
      </c>
      <c r="B878" s="199" t="s">
        <v>4681</v>
      </c>
      <c r="C878" s="194" t="s">
        <v>4682</v>
      </c>
      <c r="D878" s="195" t="str">
        <f>IFERROR(__xludf.DUMMYFUNCTION("ARRAYFORMULA(LET( converted, SUBSTITUTE( SUBSTITUTE( SUBSTITUTE( SUBSTITUTE( SUBSTITUTE( SUBSTITUTE( SUBSTITUTE( SUBSTITUTE( SUBSTITUTE( SUBSTITUTE( C878, ""۰"", ""0""), ""۱"", ""1""), ""۲"", ""2""), ""۳"", ""3""), ""۴"", ""4""), ""۵"", ""5""), ""۶"", ""6"&amp;"""), ""۷"", ""7""), ""۸"", ""8""), ""۹"", ""9""), IF(LEFT(converted,3)=""+98"", ""0"" &amp; RIGHT(converted, LEN(converted)-3), IF(LEFT(converted,2)=""98"", ""0"" &amp; RIGHT(converted, LEN(converted)-2), IF(LEFT(converted,1)&lt;&gt;""0"", ""0"" &amp; converted, REGEXREPLA"&amp;"CE(converted , ""\s"", """")) ) ) ) )"),"09127143881")</f>
        <v>09127143881</v>
      </c>
      <c r="E878" s="196" t="s">
        <v>17</v>
      </c>
      <c r="F878" s="197">
        <v>7.0</v>
      </c>
      <c r="G878" s="212" t="s">
        <v>730</v>
      </c>
      <c r="H878" s="193" t="s">
        <v>4683</v>
      </c>
      <c r="I878" s="194"/>
      <c r="J878" s="194" t="s">
        <v>4684</v>
      </c>
      <c r="K878" s="199" t="s">
        <v>286</v>
      </c>
      <c r="L878" s="199" t="s">
        <v>4685</v>
      </c>
      <c r="M878" s="199"/>
      <c r="N878" s="199"/>
      <c r="O878" s="193"/>
      <c r="P878" s="193"/>
      <c r="Q878" s="200"/>
      <c r="R878" s="86"/>
      <c r="S878" s="114">
        <f t="shared" ref="S878:T878" si="879">A878</f>
        <v>878</v>
      </c>
      <c r="T878" s="114" t="str">
        <f t="shared" si="879"/>
        <v>مهدی بازرگانی</v>
      </c>
      <c r="U878" s="86" t="str">
        <f t="shared" si="3"/>
        <v>09127143881</v>
      </c>
      <c r="V878" s="86" t="str">
        <f t="shared" si="4"/>
        <v>پیش‌وایی 7</v>
      </c>
      <c r="W878" s="86"/>
      <c r="X878" s="86"/>
    </row>
    <row r="879">
      <c r="A879" s="201">
        <v>879.0</v>
      </c>
      <c r="B879" s="202" t="s">
        <v>4686</v>
      </c>
      <c r="C879" s="203" t="s">
        <v>4687</v>
      </c>
      <c r="D879" s="204" t="str">
        <f>IFERROR(__xludf.DUMMYFUNCTION("ARRAYFORMULA(LET( converted, SUBSTITUTE( SUBSTITUTE( SUBSTITUTE( SUBSTITUTE( SUBSTITUTE( SUBSTITUTE( SUBSTITUTE( SUBSTITUTE( SUBSTITUTE( SUBSTITUTE( C879, ""۰"", ""0""), ""۱"", ""1""), ""۲"", ""2""), ""۳"", ""3""), ""۴"", ""4""), ""۵"", ""5""), ""۶"", ""6"&amp;"""), ""۷"", ""7""), ""۸"", ""8""), ""۹"", ""9""), IF(LEFT(converted,3)=""+98"", ""0"" &amp; RIGHT(converted, LEN(converted)-3), IF(LEFT(converted,2)=""98"", ""0"" &amp; RIGHT(converted, LEN(converted)-2), IF(LEFT(converted,1)&lt;&gt;""0"", ""0"" &amp; converted, REGEXREPLA"&amp;"CE(converted , ""\s"", """")) ) ) ) )"),"09385111355")</f>
        <v>09385111355</v>
      </c>
      <c r="E879" s="205" t="s">
        <v>17</v>
      </c>
      <c r="F879" s="206">
        <v>7.0</v>
      </c>
      <c r="G879" s="213" t="s">
        <v>746</v>
      </c>
      <c r="H879" s="202" t="s">
        <v>4688</v>
      </c>
      <c r="I879" s="203"/>
      <c r="J879" s="203" t="s">
        <v>4689</v>
      </c>
      <c r="K879" s="207" t="s">
        <v>1854</v>
      </c>
      <c r="L879" s="207" t="s">
        <v>4690</v>
      </c>
      <c r="M879" s="207"/>
      <c r="N879" s="207"/>
      <c r="O879" s="202"/>
      <c r="P879" s="202"/>
      <c r="Q879" s="208"/>
      <c r="R879" s="86"/>
      <c r="S879" s="114">
        <f t="shared" ref="S879:T879" si="880">A879</f>
        <v>879</v>
      </c>
      <c r="T879" s="114" t="str">
        <f t="shared" si="880"/>
        <v>ریحانه حقیقی</v>
      </c>
      <c r="U879" s="86" t="str">
        <f t="shared" si="3"/>
        <v>09385111355</v>
      </c>
      <c r="V879" s="86" t="str">
        <f t="shared" si="4"/>
        <v>پیش‌وایی 7</v>
      </c>
      <c r="W879" s="86"/>
      <c r="X879" s="86"/>
    </row>
    <row r="880">
      <c r="A880" s="192">
        <v>880.0</v>
      </c>
      <c r="B880" s="199" t="s">
        <v>4691</v>
      </c>
      <c r="C880" s="194" t="s">
        <v>4692</v>
      </c>
      <c r="D880" s="195" t="str">
        <f>IFERROR(__xludf.DUMMYFUNCTION("ARRAYFORMULA(LET( converted, SUBSTITUTE( SUBSTITUTE( SUBSTITUTE( SUBSTITUTE( SUBSTITUTE( SUBSTITUTE( SUBSTITUTE( SUBSTITUTE( SUBSTITUTE( SUBSTITUTE( C880, ""۰"", ""0""), ""۱"", ""1""), ""۲"", ""2""), ""۳"", ""3""), ""۴"", ""4""), ""۵"", ""5""), ""۶"", ""6"&amp;"""), ""۷"", ""7""), ""۸"", ""8""), ""۹"", ""9""), IF(LEFT(converted,3)=""+98"", ""0"" &amp; RIGHT(converted, LEN(converted)-3), IF(LEFT(converted,2)=""98"", ""0"" &amp; RIGHT(converted, LEN(converted)-2), IF(LEFT(converted,1)&lt;&gt;""0"", ""0"" &amp; converted, REGEXREPLA"&amp;"CE(converted , ""\s"", """")) ) ) ) )"),"09102261431")</f>
        <v>09102261431</v>
      </c>
      <c r="E880" s="196" t="s">
        <v>17</v>
      </c>
      <c r="F880" s="197">
        <v>7.0</v>
      </c>
      <c r="G880" s="212" t="s">
        <v>746</v>
      </c>
      <c r="H880" s="193" t="s">
        <v>4693</v>
      </c>
      <c r="I880" s="194"/>
      <c r="J880" s="194" t="s">
        <v>4694</v>
      </c>
      <c r="K880" s="199" t="s">
        <v>4695</v>
      </c>
      <c r="L880" s="199" t="s">
        <v>4696</v>
      </c>
      <c r="M880" s="199"/>
      <c r="N880" s="199"/>
      <c r="O880" s="193"/>
      <c r="P880" s="193"/>
      <c r="Q880" s="200"/>
      <c r="R880" s="86"/>
      <c r="S880" s="114">
        <f t="shared" ref="S880:T880" si="881">A880</f>
        <v>880</v>
      </c>
      <c r="T880" s="114" t="str">
        <f t="shared" si="881"/>
        <v>باهره همراز</v>
      </c>
      <c r="U880" s="86" t="str">
        <f t="shared" si="3"/>
        <v>09102261431</v>
      </c>
      <c r="V880" s="86" t="str">
        <f t="shared" si="4"/>
        <v>پیش‌وایی 7</v>
      </c>
      <c r="W880" s="86"/>
      <c r="X880" s="86"/>
    </row>
    <row r="881">
      <c r="A881" s="201">
        <v>881.0</v>
      </c>
      <c r="B881" s="207" t="s">
        <v>4697</v>
      </c>
      <c r="C881" s="203" t="s">
        <v>4698</v>
      </c>
      <c r="D881" s="204" t="str">
        <f>IFERROR(__xludf.DUMMYFUNCTION("ARRAYFORMULA(LET( converted, SUBSTITUTE( SUBSTITUTE( SUBSTITUTE( SUBSTITUTE( SUBSTITUTE( SUBSTITUTE( SUBSTITUTE( SUBSTITUTE( SUBSTITUTE( SUBSTITUTE( C881, ""۰"", ""0""), ""۱"", ""1""), ""۲"", ""2""), ""۳"", ""3""), ""۴"", ""4""), ""۵"", ""5""), ""۶"", ""6"&amp;"""), ""۷"", ""7""), ""۸"", ""8""), ""۹"", ""9""), IF(LEFT(converted,3)=""+98"", ""0"" &amp; RIGHT(converted, LEN(converted)-3), IF(LEFT(converted,2)=""98"", ""0"" &amp; RIGHT(converted, LEN(converted)-2), IF(LEFT(converted,1)&lt;&gt;""0"", ""0"" &amp; converted, REGEXREPLA"&amp;"CE(converted , ""\s"", """")) ) ) ) )"),"09143159445")</f>
        <v>09143159445</v>
      </c>
      <c r="E881" s="205" t="s">
        <v>17</v>
      </c>
      <c r="F881" s="206">
        <v>7.0</v>
      </c>
      <c r="G881" s="213" t="s">
        <v>730</v>
      </c>
      <c r="H881" s="202" t="s">
        <v>345</v>
      </c>
      <c r="I881" s="203"/>
      <c r="J881" s="203" t="s">
        <v>4699</v>
      </c>
      <c r="K881" s="207" t="s">
        <v>342</v>
      </c>
      <c r="L881" s="207" t="s">
        <v>343</v>
      </c>
      <c r="M881" s="207"/>
      <c r="N881" s="207"/>
      <c r="O881" s="202"/>
      <c r="P881" s="202"/>
      <c r="Q881" s="208"/>
      <c r="R881" s="86"/>
      <c r="S881" s="114">
        <f t="shared" ref="S881:T881" si="882">A881</f>
        <v>881</v>
      </c>
      <c r="T881" s="114" t="str">
        <f t="shared" si="882"/>
        <v>آرش سروی</v>
      </c>
      <c r="U881" s="86" t="str">
        <f t="shared" si="3"/>
        <v>09143159445</v>
      </c>
      <c r="V881" s="86" t="str">
        <f t="shared" si="4"/>
        <v>پیش‌وایی 7</v>
      </c>
      <c r="W881" s="86"/>
      <c r="X881" s="86"/>
    </row>
    <row r="882">
      <c r="A882" s="192">
        <v>882.0</v>
      </c>
      <c r="B882" s="199" t="s">
        <v>4700</v>
      </c>
      <c r="C882" s="194" t="s">
        <v>4701</v>
      </c>
      <c r="D882" s="195" t="str">
        <f>IFERROR(__xludf.DUMMYFUNCTION("ARRAYFORMULA(LET( converted, SUBSTITUTE( SUBSTITUTE( SUBSTITUTE( SUBSTITUTE( SUBSTITUTE( SUBSTITUTE( SUBSTITUTE( SUBSTITUTE( SUBSTITUTE( SUBSTITUTE( C882, ""۰"", ""0""), ""۱"", ""1""), ""۲"", ""2""), ""۳"", ""3""), ""۴"", ""4""), ""۵"", ""5""), ""۶"", ""6"&amp;"""), ""۷"", ""7""), ""۸"", ""8""), ""۹"", ""9""), IF(LEFT(converted,3)=""+98"", ""0"" &amp; RIGHT(converted, LEN(converted)-3), IF(LEFT(converted,2)=""98"", ""0"" &amp; RIGHT(converted, LEN(converted)-2), IF(LEFT(converted,1)&lt;&gt;""0"", ""0"" &amp; converted, REGEXREPLA"&amp;"CE(converted , ""\s"", """")) ) ) ) )"),"09127502487")</f>
        <v>09127502487</v>
      </c>
      <c r="E882" s="196" t="s">
        <v>17</v>
      </c>
      <c r="F882" s="197">
        <v>7.0</v>
      </c>
      <c r="G882" s="212" t="s">
        <v>730</v>
      </c>
      <c r="H882" s="198" t="s">
        <v>4702</v>
      </c>
      <c r="I882" s="194"/>
      <c r="J882" s="194" t="s">
        <v>4703</v>
      </c>
      <c r="K882" s="199" t="s">
        <v>1018</v>
      </c>
      <c r="L882" s="199" t="s">
        <v>2618</v>
      </c>
      <c r="M882" s="199"/>
      <c r="N882" s="199"/>
      <c r="O882" s="193"/>
      <c r="P882" s="193"/>
      <c r="Q882" s="200"/>
      <c r="R882" s="86"/>
      <c r="S882" s="114">
        <f t="shared" ref="S882:T882" si="883">A882</f>
        <v>882</v>
      </c>
      <c r="T882" s="114" t="str">
        <f t="shared" si="883"/>
        <v>علی اژدری</v>
      </c>
      <c r="U882" s="86" t="str">
        <f t="shared" si="3"/>
        <v>09127502487</v>
      </c>
      <c r="V882" s="86" t="str">
        <f t="shared" si="4"/>
        <v>پیش‌وایی 7</v>
      </c>
      <c r="W882" s="86"/>
      <c r="X882" s="86"/>
    </row>
    <row r="883">
      <c r="A883" s="201">
        <v>883.0</v>
      </c>
      <c r="B883" s="202" t="s">
        <v>4704</v>
      </c>
      <c r="C883" s="203" t="s">
        <v>4705</v>
      </c>
      <c r="D883" s="204" t="str">
        <f>IFERROR(__xludf.DUMMYFUNCTION("ARRAYFORMULA(LET( converted, SUBSTITUTE( SUBSTITUTE( SUBSTITUTE( SUBSTITUTE( SUBSTITUTE( SUBSTITUTE( SUBSTITUTE( SUBSTITUTE( SUBSTITUTE( SUBSTITUTE( C883, ""۰"", ""0""), ""۱"", ""1""), ""۲"", ""2""), ""۳"", ""3""), ""۴"", ""4""), ""۵"", ""5""), ""۶"", ""6"&amp;"""), ""۷"", ""7""), ""۸"", ""8""), ""۹"", ""9""), IF(LEFT(converted,3)=""+98"", ""0"" &amp; RIGHT(converted, LEN(converted)-3), IF(LEFT(converted,2)=""98"", ""0"" &amp; RIGHT(converted, LEN(converted)-2), IF(LEFT(converted,1)&lt;&gt;""0"", ""0"" &amp; converted, REGEXREPLA"&amp;"CE(converted , ""\s"", """")) ) ) ) )"),"09124112249")</f>
        <v>09124112249</v>
      </c>
      <c r="E883" s="205" t="s">
        <v>17</v>
      </c>
      <c r="F883" s="206">
        <v>7.0</v>
      </c>
      <c r="G883" s="213" t="s">
        <v>746</v>
      </c>
      <c r="H883" s="202" t="s">
        <v>4706</v>
      </c>
      <c r="I883" s="203"/>
      <c r="J883" s="203" t="s">
        <v>4707</v>
      </c>
      <c r="K883" s="207" t="s">
        <v>1820</v>
      </c>
      <c r="L883" s="207" t="s">
        <v>4708</v>
      </c>
      <c r="M883" s="207"/>
      <c r="N883" s="207"/>
      <c r="O883" s="202"/>
      <c r="P883" s="202"/>
      <c r="Q883" s="208"/>
      <c r="R883" s="86"/>
      <c r="S883" s="114">
        <f t="shared" ref="S883:T883" si="884">A883</f>
        <v>883</v>
      </c>
      <c r="T883" s="114" t="str">
        <f t="shared" si="884"/>
        <v>آرزو قانع</v>
      </c>
      <c r="U883" s="86" t="str">
        <f t="shared" si="3"/>
        <v>09124112249</v>
      </c>
      <c r="V883" s="86" t="str">
        <f t="shared" si="4"/>
        <v>پیش‌وایی 7</v>
      </c>
      <c r="W883" s="86"/>
      <c r="X883" s="86"/>
    </row>
    <row r="884">
      <c r="A884" s="192">
        <v>884.0</v>
      </c>
      <c r="B884" s="193" t="s">
        <v>4709</v>
      </c>
      <c r="C884" s="194" t="s">
        <v>4710</v>
      </c>
      <c r="D884" s="195" t="str">
        <f>IFERROR(__xludf.DUMMYFUNCTION("ARRAYFORMULA(LET( converted, SUBSTITUTE( SUBSTITUTE( SUBSTITUTE( SUBSTITUTE( SUBSTITUTE( SUBSTITUTE( SUBSTITUTE( SUBSTITUTE( SUBSTITUTE( SUBSTITUTE( C884, ""۰"", ""0""), ""۱"", ""1""), ""۲"", ""2""), ""۳"", ""3""), ""۴"", ""4""), ""۵"", ""5""), ""۶"", ""6"&amp;"""), ""۷"", ""7""), ""۸"", ""8""), ""۹"", ""9""), IF(LEFT(converted,3)=""+98"", ""0"" &amp; RIGHT(converted, LEN(converted)-3), IF(LEFT(converted,2)=""98"", ""0"" &amp; RIGHT(converted, LEN(converted)-2), IF(LEFT(converted,1)&lt;&gt;""0"", ""0"" &amp; converted, REGEXREPLA"&amp;"CE(converted , ""\s"", """")) ) ) ) )"),"09127425108")</f>
        <v>09127425108</v>
      </c>
      <c r="E884" s="196" t="s">
        <v>17</v>
      </c>
      <c r="F884" s="197">
        <v>7.0</v>
      </c>
      <c r="G884" s="212" t="s">
        <v>730</v>
      </c>
      <c r="H884" s="193" t="s">
        <v>4711</v>
      </c>
      <c r="I884" s="194"/>
      <c r="J884" s="194" t="s">
        <v>4712</v>
      </c>
      <c r="K884" s="199" t="s">
        <v>303</v>
      </c>
      <c r="L884" s="199" t="s">
        <v>4713</v>
      </c>
      <c r="M884" s="199"/>
      <c r="N884" s="199"/>
      <c r="O884" s="193"/>
      <c r="P884" s="193"/>
      <c r="Q884" s="200"/>
      <c r="R884" s="86"/>
      <c r="S884" s="114">
        <f t="shared" ref="S884:T884" si="885">A884</f>
        <v>884</v>
      </c>
      <c r="T884" s="114" t="str">
        <f t="shared" si="885"/>
        <v>محمد ملت دوست</v>
      </c>
      <c r="U884" s="86" t="str">
        <f t="shared" si="3"/>
        <v>09127425108</v>
      </c>
      <c r="V884" s="86" t="str">
        <f t="shared" si="4"/>
        <v>پیش‌وایی 7</v>
      </c>
      <c r="W884" s="86"/>
      <c r="X884" s="86"/>
    </row>
    <row r="885">
      <c r="A885" s="201">
        <v>885.0</v>
      </c>
      <c r="B885" s="202" t="s">
        <v>4714</v>
      </c>
      <c r="C885" s="203" t="s">
        <v>4715</v>
      </c>
      <c r="D885" s="204" t="str">
        <f>IFERROR(__xludf.DUMMYFUNCTION("ARRAYFORMULA(LET( converted, SUBSTITUTE( SUBSTITUTE( SUBSTITUTE( SUBSTITUTE( SUBSTITUTE( SUBSTITUTE( SUBSTITUTE( SUBSTITUTE( SUBSTITUTE( SUBSTITUTE( C885, ""۰"", ""0""), ""۱"", ""1""), ""۲"", ""2""), ""۳"", ""3""), ""۴"", ""4""), ""۵"", ""5""), ""۶"", ""6"&amp;"""), ""۷"", ""7""), ""۸"", ""8""), ""۹"", ""9""), IF(LEFT(converted,3)=""+98"", ""0"" &amp; RIGHT(converted, LEN(converted)-3), IF(LEFT(converted,2)=""98"", ""0"" &amp; RIGHT(converted, LEN(converted)-2), IF(LEFT(converted,1)&lt;&gt;""0"", ""0"" &amp; converted, REGEXREPLA"&amp;"CE(converted , ""\s"", """")) ) ) ) )"),"09355138001")</f>
        <v>09355138001</v>
      </c>
      <c r="E885" s="205" t="s">
        <v>17</v>
      </c>
      <c r="F885" s="206">
        <v>7.0</v>
      </c>
      <c r="G885" s="202"/>
      <c r="H885" s="202" t="s">
        <v>4716</v>
      </c>
      <c r="I885" s="203"/>
      <c r="J885" s="203" t="s">
        <v>4717</v>
      </c>
      <c r="K885" s="207" t="s">
        <v>4718</v>
      </c>
      <c r="L885" s="207" t="s">
        <v>4719</v>
      </c>
      <c r="M885" s="207"/>
      <c r="N885" s="207"/>
      <c r="O885" s="202"/>
      <c r="P885" s="202"/>
      <c r="Q885" s="208"/>
      <c r="R885" s="86"/>
      <c r="S885" s="114">
        <f t="shared" ref="S885:T885" si="886">A885</f>
        <v>885</v>
      </c>
      <c r="T885" s="114" t="str">
        <f t="shared" si="886"/>
        <v>شیلا افضل</v>
      </c>
      <c r="U885" s="86" t="str">
        <f t="shared" si="3"/>
        <v>09355138001</v>
      </c>
      <c r="V885" s="86" t="str">
        <f t="shared" si="4"/>
        <v>پیش‌وایی 7</v>
      </c>
      <c r="W885" s="86"/>
      <c r="X885" s="86"/>
    </row>
    <row r="886">
      <c r="A886" s="192">
        <v>886.0</v>
      </c>
      <c r="B886" s="193" t="s">
        <v>4720</v>
      </c>
      <c r="C886" s="194" t="s">
        <v>4721</v>
      </c>
      <c r="D886" s="195" t="str">
        <f>IFERROR(__xludf.DUMMYFUNCTION("ARRAYFORMULA(LET( converted, SUBSTITUTE( SUBSTITUTE( SUBSTITUTE( SUBSTITUTE( SUBSTITUTE( SUBSTITUTE( SUBSTITUTE( SUBSTITUTE( SUBSTITUTE( SUBSTITUTE( C886, ""۰"", ""0""), ""۱"", ""1""), ""۲"", ""2""), ""۳"", ""3""), ""۴"", ""4""), ""۵"", ""5""), ""۶"", ""6"&amp;"""), ""۷"", ""7""), ""۸"", ""8""), ""۹"", ""9""), IF(LEFT(converted,3)=""+98"", ""0"" &amp; RIGHT(converted, LEN(converted)-3), IF(LEFT(converted,2)=""98"", ""0"" &amp; RIGHT(converted, LEN(converted)-2), IF(LEFT(converted,1)&lt;&gt;""0"", ""0"" &amp; converted, REGEXREPLA"&amp;"CE(converted , ""\s"", """")) ) ) ) )"),"09123840336")</f>
        <v>09123840336</v>
      </c>
      <c r="E886" s="196" t="s">
        <v>17</v>
      </c>
      <c r="F886" s="197">
        <v>7.0</v>
      </c>
      <c r="G886" s="193"/>
      <c r="H886" s="193" t="s">
        <v>4716</v>
      </c>
      <c r="I886" s="194"/>
      <c r="J886" s="194" t="s">
        <v>4722</v>
      </c>
      <c r="K886" s="199" t="s">
        <v>4723</v>
      </c>
      <c r="L886" s="199" t="s">
        <v>231</v>
      </c>
      <c r="M886" s="199"/>
      <c r="N886" s="199"/>
      <c r="O886" s="193"/>
      <c r="P886" s="193"/>
      <c r="Q886" s="200"/>
      <c r="R886" s="86"/>
      <c r="S886" s="114">
        <f t="shared" ref="S886:T886" si="887">A886</f>
        <v>886</v>
      </c>
      <c r="T886" s="114" t="str">
        <f t="shared" si="887"/>
        <v>میر مهدی موسوی</v>
      </c>
      <c r="U886" s="86" t="str">
        <f t="shared" si="3"/>
        <v>09123840336</v>
      </c>
      <c r="V886" s="86" t="str">
        <f t="shared" si="4"/>
        <v>پیش‌وایی 7</v>
      </c>
      <c r="W886" s="86"/>
      <c r="X886" s="86"/>
    </row>
    <row r="887">
      <c r="A887" s="201">
        <v>887.0</v>
      </c>
      <c r="B887" s="202" t="s">
        <v>4697</v>
      </c>
      <c r="C887" s="203" t="s">
        <v>4698</v>
      </c>
      <c r="D887" s="204" t="str">
        <f>IFERROR(__xludf.DUMMYFUNCTION("ARRAYFORMULA(LET( converted, SUBSTITUTE( SUBSTITUTE( SUBSTITUTE( SUBSTITUTE( SUBSTITUTE( SUBSTITUTE( SUBSTITUTE( SUBSTITUTE( SUBSTITUTE( SUBSTITUTE( C887, ""۰"", ""0""), ""۱"", ""1""), ""۲"", ""2""), ""۳"", ""3""), ""۴"", ""4""), ""۵"", ""5""), ""۶"", ""6"&amp;"""), ""۷"", ""7""), ""۸"", ""8""), ""۹"", ""9""), IF(LEFT(converted,3)=""+98"", ""0"" &amp; RIGHT(converted, LEN(converted)-3), IF(LEFT(converted,2)=""98"", ""0"" &amp; RIGHT(converted, LEN(converted)-2), IF(LEFT(converted,1)&lt;&gt;""0"", ""0"" &amp; converted, REGEXREPLA"&amp;"CE(converted , ""\s"", """")) ) ) ) )"),"09143159445")</f>
        <v>09143159445</v>
      </c>
      <c r="E887" s="205" t="s">
        <v>17</v>
      </c>
      <c r="F887" s="206">
        <v>8.0</v>
      </c>
      <c r="G887" s="202"/>
      <c r="H887" s="209" t="s">
        <v>345</v>
      </c>
      <c r="I887" s="203"/>
      <c r="J887" s="203"/>
      <c r="K887" s="202" t="s">
        <v>342</v>
      </c>
      <c r="L887" s="202" t="s">
        <v>343</v>
      </c>
      <c r="M887" s="207"/>
      <c r="N887" s="207"/>
      <c r="O887" s="202"/>
      <c r="P887" s="202"/>
      <c r="Q887" s="208"/>
      <c r="R887" s="86"/>
      <c r="S887" s="114">
        <f t="shared" ref="S887:T887" si="888">A887</f>
        <v>887</v>
      </c>
      <c r="T887" s="114" t="str">
        <f t="shared" si="888"/>
        <v>آرش سروی</v>
      </c>
      <c r="U887" s="86" t="str">
        <f t="shared" si="3"/>
        <v>09143159445</v>
      </c>
      <c r="V887" s="86" t="str">
        <f t="shared" si="4"/>
        <v>پیش‌وایی 8</v>
      </c>
      <c r="W887" s="86"/>
      <c r="X887" s="86"/>
    </row>
    <row r="888">
      <c r="A888" s="192">
        <v>888.0</v>
      </c>
      <c r="B888" s="193" t="s">
        <v>4724</v>
      </c>
      <c r="C888" s="194" t="s">
        <v>4725</v>
      </c>
      <c r="D888" s="195" t="str">
        <f>IFERROR(__xludf.DUMMYFUNCTION("ARRAYFORMULA(LET( converted, SUBSTITUTE( SUBSTITUTE( SUBSTITUTE( SUBSTITUTE( SUBSTITUTE( SUBSTITUTE( SUBSTITUTE( SUBSTITUTE( SUBSTITUTE( SUBSTITUTE( C888, ""۰"", ""0""), ""۱"", ""1""), ""۲"", ""2""), ""۳"", ""3""), ""۴"", ""4""), ""۵"", ""5""), ""۶"", ""6"&amp;"""), ""۷"", ""7""), ""۸"", ""8""), ""۹"", ""9""), IF(LEFT(converted,3)=""+98"", ""0"" &amp; RIGHT(converted, LEN(converted)-3), IF(LEFT(converted,2)=""98"", ""0"" &amp; RIGHT(converted, LEN(converted)-2), IF(LEFT(converted,1)&lt;&gt;""0"", ""0"" &amp; converted, REGEXREPLA"&amp;"CE(converted , ""\s"", """")) ) ) ) )"),"09395605075")</f>
        <v>09395605075</v>
      </c>
      <c r="E888" s="196" t="s">
        <v>17</v>
      </c>
      <c r="F888" s="197">
        <v>8.0</v>
      </c>
      <c r="G888" s="193"/>
      <c r="H888" s="193" t="s">
        <v>4726</v>
      </c>
      <c r="I888" s="194"/>
      <c r="J888" s="194"/>
      <c r="K888" s="193" t="s">
        <v>342</v>
      </c>
      <c r="L888" s="193" t="s">
        <v>4727</v>
      </c>
      <c r="M888" s="199"/>
      <c r="N888" s="193"/>
      <c r="O888" s="193"/>
      <c r="P888" s="193"/>
      <c r="Q888" s="200"/>
      <c r="R888" s="86"/>
      <c r="S888" s="114">
        <f t="shared" ref="S888:T888" si="889">A888</f>
        <v>888</v>
      </c>
      <c r="T888" s="114" t="str">
        <f t="shared" si="889"/>
        <v>آرش کشاورز</v>
      </c>
      <c r="U888" s="86" t="str">
        <f t="shared" si="3"/>
        <v>09395605075</v>
      </c>
      <c r="V888" s="86" t="str">
        <f t="shared" si="4"/>
        <v>پیش‌وایی 8</v>
      </c>
      <c r="W888" s="86"/>
      <c r="X888" s="86"/>
    </row>
    <row r="889">
      <c r="A889" s="201">
        <v>889.0</v>
      </c>
      <c r="B889" s="207" t="s">
        <v>4728</v>
      </c>
      <c r="C889" s="203" t="s">
        <v>4729</v>
      </c>
      <c r="D889" s="204" t="str">
        <f>IFERROR(__xludf.DUMMYFUNCTION("ARRAYFORMULA(LET( converted, SUBSTITUTE( SUBSTITUTE( SUBSTITUTE( SUBSTITUTE( SUBSTITUTE( SUBSTITUTE( SUBSTITUTE( SUBSTITUTE( SUBSTITUTE( SUBSTITUTE( C889, ""۰"", ""0""), ""۱"", ""1""), ""۲"", ""2""), ""۳"", ""3""), ""۴"", ""4""), ""۵"", ""5""), ""۶"", ""6"&amp;"""), ""۷"", ""7""), ""۸"", ""8""), ""۹"", ""9""), IF(LEFT(converted,3)=""+98"", ""0"" &amp; RIGHT(converted, LEN(converted)-3), IF(LEFT(converted,2)=""98"", ""0"" &amp; RIGHT(converted, LEN(converted)-2), IF(LEFT(converted,1)&lt;&gt;""0"", ""0"" &amp; converted, REGEXREPLA"&amp;"CE(converted , ""\s"", """")) ) ) ) )"),"09109005263")</f>
        <v>09109005263</v>
      </c>
      <c r="E889" s="205" t="s">
        <v>17</v>
      </c>
      <c r="F889" s="206">
        <v>8.0</v>
      </c>
      <c r="G889" s="202"/>
      <c r="H889" s="202" t="s">
        <v>4730</v>
      </c>
      <c r="I889" s="203"/>
      <c r="J889" s="203"/>
      <c r="K889" s="202" t="s">
        <v>200</v>
      </c>
      <c r="L889" s="202" t="s">
        <v>3555</v>
      </c>
      <c r="M889" s="202"/>
      <c r="N889" s="202"/>
      <c r="O889" s="202"/>
      <c r="P889" s="202"/>
      <c r="Q889" s="208"/>
      <c r="R889" s="86"/>
      <c r="S889" s="114">
        <f t="shared" ref="S889:T889" si="890">A889</f>
        <v>889</v>
      </c>
      <c r="T889" s="114" t="str">
        <f t="shared" si="890"/>
        <v>احسان اقبالی</v>
      </c>
      <c r="U889" s="86" t="str">
        <f t="shared" si="3"/>
        <v>09109005263</v>
      </c>
      <c r="V889" s="86" t="str">
        <f t="shared" si="4"/>
        <v>پیش‌وایی 8</v>
      </c>
      <c r="W889" s="86"/>
      <c r="X889" s="86"/>
    </row>
    <row r="890">
      <c r="A890" s="192">
        <v>890.0</v>
      </c>
      <c r="B890" s="193" t="s">
        <v>4731</v>
      </c>
      <c r="C890" s="194" t="s">
        <v>4732</v>
      </c>
      <c r="D890" s="195" t="str">
        <f>IFERROR(__xludf.DUMMYFUNCTION("ARRAYFORMULA(LET( converted, SUBSTITUTE( SUBSTITUTE( SUBSTITUTE( SUBSTITUTE( SUBSTITUTE( SUBSTITUTE( SUBSTITUTE( SUBSTITUTE( SUBSTITUTE( SUBSTITUTE( C890, ""۰"", ""0""), ""۱"", ""1""), ""۲"", ""2""), ""۳"", ""3""), ""۴"", ""4""), ""۵"", ""5""), ""۶"", ""6"&amp;"""), ""۷"", ""7""), ""۸"", ""8""), ""۹"", ""9""), IF(LEFT(converted,3)=""+98"", ""0"" &amp; RIGHT(converted, LEN(converted)-3), IF(LEFT(converted,2)=""98"", ""0"" &amp; RIGHT(converted, LEN(converted)-2), IF(LEFT(converted,1)&lt;&gt;""0"", ""0"" &amp; converted, REGEXREPLA"&amp;"CE(converted , ""\s"", """")) ) ) ) )"),"09331904053")</f>
        <v>09331904053</v>
      </c>
      <c r="E890" s="196" t="s">
        <v>17</v>
      </c>
      <c r="F890" s="197">
        <v>8.0</v>
      </c>
      <c r="G890" s="193"/>
      <c r="H890" s="193" t="s">
        <v>4733</v>
      </c>
      <c r="I890" s="194"/>
      <c r="J890" s="194"/>
      <c r="K890" s="193" t="s">
        <v>4734</v>
      </c>
      <c r="L890" s="193" t="s">
        <v>4735</v>
      </c>
      <c r="M890" s="193"/>
      <c r="N890" s="193"/>
      <c r="O890" s="193"/>
      <c r="P890" s="193"/>
      <c r="Q890" s="200"/>
      <c r="R890" s="86"/>
      <c r="S890" s="114">
        <f t="shared" ref="S890:T890" si="891">A890</f>
        <v>890</v>
      </c>
      <c r="T890" s="114" t="str">
        <f t="shared" si="891"/>
        <v>احمدرضا چراغ‌لو</v>
      </c>
      <c r="U890" s="86" t="str">
        <f t="shared" si="3"/>
        <v>09331904053</v>
      </c>
      <c r="V890" s="86" t="str">
        <f t="shared" si="4"/>
        <v>پیش‌وایی 8</v>
      </c>
      <c r="W890" s="86"/>
      <c r="X890" s="86"/>
    </row>
    <row r="891">
      <c r="A891" s="201">
        <v>891.0</v>
      </c>
      <c r="B891" s="207" t="s">
        <v>4736</v>
      </c>
      <c r="C891" s="203" t="s">
        <v>4737</v>
      </c>
      <c r="D891" s="204" t="str">
        <f>IFERROR(__xludf.DUMMYFUNCTION("ARRAYFORMULA(LET( converted, SUBSTITUTE( SUBSTITUTE( SUBSTITUTE( SUBSTITUTE( SUBSTITUTE( SUBSTITUTE( SUBSTITUTE( SUBSTITUTE( SUBSTITUTE( SUBSTITUTE( C891, ""۰"", ""0""), ""۱"", ""1""), ""۲"", ""2""), ""۳"", ""3""), ""۴"", ""4""), ""۵"", ""5""), ""۶"", ""6"&amp;"""), ""۷"", ""7""), ""۸"", ""8""), ""۹"", ""9""), IF(LEFT(converted,3)=""+98"", ""0"" &amp; RIGHT(converted, LEN(converted)-3), IF(LEFT(converted,2)=""98"", ""0"" &amp; RIGHT(converted, LEN(converted)-2), IF(LEFT(converted,1)&lt;&gt;""0"", ""0"" &amp; converted, REGEXREPLA"&amp;"CE(converted , ""\s"", """")) ) ) ) )"),"09213563794")</f>
        <v>09213563794</v>
      </c>
      <c r="E891" s="205" t="s">
        <v>17</v>
      </c>
      <c r="F891" s="206">
        <v>8.0</v>
      </c>
      <c r="G891" s="202"/>
      <c r="H891" s="202" t="s">
        <v>4738</v>
      </c>
      <c r="I891" s="203"/>
      <c r="J891" s="203"/>
      <c r="K891" s="202" t="s">
        <v>4739</v>
      </c>
      <c r="L891" s="202" t="s">
        <v>4740</v>
      </c>
      <c r="M891" s="202"/>
      <c r="N891" s="202"/>
      <c r="O891" s="202"/>
      <c r="P891" s="202"/>
      <c r="Q891" s="208"/>
      <c r="R891" s="86"/>
      <c r="S891" s="114">
        <f t="shared" ref="S891:T891" si="892">A891</f>
        <v>891</v>
      </c>
      <c r="T891" s="114" t="str">
        <f t="shared" si="892"/>
        <v>اشکان محرم زاده</v>
      </c>
      <c r="U891" s="86" t="str">
        <f t="shared" si="3"/>
        <v>09213563794</v>
      </c>
      <c r="V891" s="86" t="str">
        <f t="shared" si="4"/>
        <v>پیش‌وایی 8</v>
      </c>
      <c r="W891" s="86"/>
      <c r="X891" s="86"/>
    </row>
    <row r="892">
      <c r="A892" s="192">
        <v>892.0</v>
      </c>
      <c r="B892" s="193" t="s">
        <v>713</v>
      </c>
      <c r="C892" s="194" t="s">
        <v>4741</v>
      </c>
      <c r="D892" s="195" t="str">
        <f>IFERROR(__xludf.DUMMYFUNCTION("ARRAYFORMULA(LET( converted, SUBSTITUTE( SUBSTITUTE( SUBSTITUTE( SUBSTITUTE( SUBSTITUTE( SUBSTITUTE( SUBSTITUTE( SUBSTITUTE( SUBSTITUTE( SUBSTITUTE( C892, ""۰"", ""0""), ""۱"", ""1""), ""۲"", ""2""), ""۳"", ""3""), ""۴"", ""4""), ""۵"", ""5""), ""۶"", ""6"&amp;"""), ""۷"", ""7""), ""۸"", ""8""), ""۹"", ""9""), IF(LEFT(converted,3)=""+98"", ""0"" &amp; RIGHT(converted, LEN(converted)-3), IF(LEFT(converted,2)=""98"", ""0"" &amp; RIGHT(converted, LEN(converted)-2), IF(LEFT(converted,1)&lt;&gt;""0"", ""0"" &amp; converted, REGEXREPLA"&amp;"CE(converted , ""\s"", """")) ) ) ) )"),"09121472143")</f>
        <v>09121472143</v>
      </c>
      <c r="E892" s="196" t="s">
        <v>17</v>
      </c>
      <c r="F892" s="197">
        <v>8.0</v>
      </c>
      <c r="G892" s="193"/>
      <c r="H892" s="193"/>
      <c r="I892" s="194"/>
      <c r="J892" s="194"/>
      <c r="K892" s="193" t="s">
        <v>197</v>
      </c>
      <c r="L892" s="193" t="s">
        <v>2624</v>
      </c>
      <c r="M892" s="193"/>
      <c r="N892" s="193"/>
      <c r="O892" s="193"/>
      <c r="P892" s="193"/>
      <c r="Q892" s="200"/>
      <c r="R892" s="86"/>
      <c r="S892" s="114">
        <f t="shared" ref="S892:T892" si="893">A892</f>
        <v>892</v>
      </c>
      <c r="T892" s="114" t="str">
        <f t="shared" si="893"/>
        <v>اصغر قاسمی</v>
      </c>
      <c r="U892" s="86" t="str">
        <f t="shared" si="3"/>
        <v>09121472143</v>
      </c>
      <c r="V892" s="86" t="str">
        <f t="shared" si="4"/>
        <v>پیش‌وایی 8</v>
      </c>
      <c r="W892" s="86"/>
      <c r="X892" s="86"/>
    </row>
    <row r="893">
      <c r="A893" s="201">
        <v>893.0</v>
      </c>
      <c r="B893" s="202" t="s">
        <v>4742</v>
      </c>
      <c r="C893" s="203"/>
      <c r="D893" s="204" t="str">
        <f>IFERROR(__xludf.DUMMYFUNCTION("ARRAYFORMULA(LET( converted, SUBSTITUTE( SUBSTITUTE( SUBSTITUTE( SUBSTITUTE( SUBSTITUTE( SUBSTITUTE( SUBSTITUTE( SUBSTITUTE( SUBSTITUTE( SUBSTITUTE( C893, ""۰"", ""0""), ""۱"", ""1""), ""۲"", ""2""), ""۳"", ""3""), ""۴"", ""4""), ""۵"", ""5""), ""۶"", ""6"&amp;"""), ""۷"", ""7""), ""۸"", ""8""), ""۹"", ""9""), IF(LEFT(converted,3)=""+98"", ""0"" &amp; RIGHT(converted, LEN(converted)-3), IF(LEFT(converted,2)=""98"", ""0"" &amp; RIGHT(converted, LEN(converted)-2), IF(LEFT(converted,1)&lt;&gt;""0"", ""0"" &amp; converted, REGEXREPLA"&amp;"CE(converted , ""\s"", """")) ) ) ) )"),"0")</f>
        <v>0</v>
      </c>
      <c r="E893" s="205" t="s">
        <v>17</v>
      </c>
      <c r="F893" s="206">
        <v>8.0</v>
      </c>
      <c r="G893" s="202"/>
      <c r="H893" s="202" t="s">
        <v>4743</v>
      </c>
      <c r="I893" s="203"/>
      <c r="J893" s="203"/>
      <c r="K893" s="202" t="s">
        <v>206</v>
      </c>
      <c r="L893" s="202" t="s">
        <v>207</v>
      </c>
      <c r="M893" s="202"/>
      <c r="N893" s="202"/>
      <c r="O893" s="202"/>
      <c r="P893" s="202"/>
      <c r="Q893" s="208"/>
      <c r="R893" s="86"/>
      <c r="S893" s="114">
        <f t="shared" ref="S893:T893" si="894">A893</f>
        <v>893</v>
      </c>
      <c r="T893" s="114" t="str">
        <f t="shared" si="894"/>
        <v>افسانه کبیریان</v>
      </c>
      <c r="U893" s="86" t="str">
        <f t="shared" si="3"/>
        <v>0</v>
      </c>
      <c r="V893" s="86" t="str">
        <f t="shared" si="4"/>
        <v>پیش‌وایی 8</v>
      </c>
      <c r="W893" s="86"/>
      <c r="X893" s="86"/>
    </row>
    <row r="894">
      <c r="A894" s="192">
        <v>894.0</v>
      </c>
      <c r="B894" s="193" t="s">
        <v>4744</v>
      </c>
      <c r="C894" s="194" t="s">
        <v>4745</v>
      </c>
      <c r="D894" s="195" t="str">
        <f>IFERROR(__xludf.DUMMYFUNCTION("ARRAYFORMULA(LET( converted, SUBSTITUTE( SUBSTITUTE( SUBSTITUTE( SUBSTITUTE( SUBSTITUTE( SUBSTITUTE( SUBSTITUTE( SUBSTITUTE( SUBSTITUTE( SUBSTITUTE( C894, ""۰"", ""0""), ""۱"", ""1""), ""۲"", ""2""), ""۳"", ""3""), ""۴"", ""4""), ""۵"", ""5""), ""۶"", ""6"&amp;"""), ""۷"", ""7""), ""۸"", ""8""), ""۹"", ""9""), IF(LEFT(converted,3)=""+98"", ""0"" &amp; RIGHT(converted, LEN(converted)-3), IF(LEFT(converted,2)=""98"", ""0"" &amp; RIGHT(converted, LEN(converted)-2), IF(LEFT(converted,1)&lt;&gt;""0"", ""0"" &amp; converted, REGEXREPLA"&amp;"CE(converted , ""\s"", """")) ) ) ) )"),"09144327232")</f>
        <v>09144327232</v>
      </c>
      <c r="E894" s="196" t="s">
        <v>17</v>
      </c>
      <c r="F894" s="197">
        <v>8.0</v>
      </c>
      <c r="G894" s="193"/>
      <c r="H894" s="198" t="s">
        <v>4746</v>
      </c>
      <c r="I894" s="194"/>
      <c r="J894" s="194"/>
      <c r="K894" s="193" t="s">
        <v>1692</v>
      </c>
      <c r="L894" s="193" t="s">
        <v>4747</v>
      </c>
      <c r="M894" s="193"/>
      <c r="N894" s="193"/>
      <c r="O894" s="193"/>
      <c r="P894" s="193"/>
      <c r="Q894" s="200"/>
      <c r="R894" s="86"/>
      <c r="S894" s="114">
        <f t="shared" ref="S894:T894" si="895">A894</f>
        <v>894</v>
      </c>
      <c r="T894" s="114" t="str">
        <f t="shared" si="895"/>
        <v>الهام اجتهادی</v>
      </c>
      <c r="U894" s="86" t="str">
        <f t="shared" si="3"/>
        <v>09144327232</v>
      </c>
      <c r="V894" s="86" t="str">
        <f t="shared" si="4"/>
        <v>پیش‌وایی 8</v>
      </c>
      <c r="W894" s="86"/>
      <c r="X894" s="86"/>
    </row>
    <row r="895">
      <c r="A895" s="201">
        <v>895.0</v>
      </c>
      <c r="B895" s="202" t="s">
        <v>4748</v>
      </c>
      <c r="C895" s="203" t="s">
        <v>4749</v>
      </c>
      <c r="D895" s="204" t="str">
        <f>IFERROR(__xludf.DUMMYFUNCTION("ARRAYFORMULA(LET( converted, SUBSTITUTE( SUBSTITUTE( SUBSTITUTE( SUBSTITUTE( SUBSTITUTE( SUBSTITUTE( SUBSTITUTE( SUBSTITUTE( SUBSTITUTE( SUBSTITUTE( C895, ""۰"", ""0""), ""۱"", ""1""), ""۲"", ""2""), ""۳"", ""3""), ""۴"", ""4""), ""۵"", ""5""), ""۶"", ""6"&amp;"""), ""۷"", ""7""), ""۸"", ""8""), ""۹"", ""9""), IF(LEFT(converted,3)=""+98"", ""0"" &amp; RIGHT(converted, LEN(converted)-3), IF(LEFT(converted,2)=""98"", ""0"" &amp; RIGHT(converted, LEN(converted)-2), IF(LEFT(converted,1)&lt;&gt;""0"", ""0"" &amp; converted, REGEXREPLA"&amp;"CE(converted , ""\s"", """")) ) ) ) )"),"09389813202")</f>
        <v>09389813202</v>
      </c>
      <c r="E895" s="205" t="s">
        <v>17</v>
      </c>
      <c r="F895" s="206">
        <v>8.0</v>
      </c>
      <c r="G895" s="202"/>
      <c r="H895" s="202" t="s">
        <v>4750</v>
      </c>
      <c r="I895" s="203"/>
      <c r="J895" s="203"/>
      <c r="K895" s="202" t="s">
        <v>3903</v>
      </c>
      <c r="L895" s="202" t="s">
        <v>1019</v>
      </c>
      <c r="M895" s="202"/>
      <c r="N895" s="202"/>
      <c r="O895" s="202"/>
      <c r="P895" s="202"/>
      <c r="Q895" s="208"/>
      <c r="R895" s="86"/>
      <c r="S895" s="114">
        <f t="shared" ref="S895:T895" si="896">A895</f>
        <v>895</v>
      </c>
      <c r="T895" s="114" t="str">
        <f t="shared" si="896"/>
        <v>مدیر روابط عمومی بنیاد امین آرسته</v>
      </c>
      <c r="U895" s="86" t="str">
        <f t="shared" si="3"/>
        <v>09389813202</v>
      </c>
      <c r="V895" s="86" t="str">
        <f t="shared" si="4"/>
        <v>پیش‌وایی 8</v>
      </c>
      <c r="W895" s="86"/>
      <c r="X895" s="86"/>
    </row>
    <row r="896">
      <c r="A896" s="192">
        <v>896.0</v>
      </c>
      <c r="B896" s="193" t="s">
        <v>192</v>
      </c>
      <c r="C896" s="194" t="s">
        <v>4751</v>
      </c>
      <c r="D896" s="195" t="str">
        <f>IFERROR(__xludf.DUMMYFUNCTION("ARRAYFORMULA(LET( converted, SUBSTITUTE( SUBSTITUTE( SUBSTITUTE( SUBSTITUTE( SUBSTITUTE( SUBSTITUTE( SUBSTITUTE( SUBSTITUTE( SUBSTITUTE( SUBSTITUTE( C896, ""۰"", ""0""), ""۱"", ""1""), ""۲"", ""2""), ""۳"", ""3""), ""۴"", ""4""), ""۵"", ""5""), ""۶"", ""6"&amp;"""), ""۷"", ""7""), ""۸"", ""8""), ""۹"", ""9""), IF(LEFT(converted,3)=""+98"", ""0"" &amp; RIGHT(converted, LEN(converted)-3), IF(LEFT(converted,2)=""98"", ""0"" &amp; RIGHT(converted, LEN(converted)-2), IF(LEFT(converted,1)&lt;&gt;""0"", ""0"" &amp; converted, REGEXREPLA"&amp;"CE(converted , ""\s"", """")) ) ) ) )"),"09120315132")</f>
        <v>09120315132</v>
      </c>
      <c r="E896" s="196" t="s">
        <v>17</v>
      </c>
      <c r="F896" s="197">
        <v>8.0</v>
      </c>
      <c r="G896" s="193"/>
      <c r="H896" s="193" t="s">
        <v>4752</v>
      </c>
      <c r="I896" s="194"/>
      <c r="J896" s="194"/>
      <c r="K896" s="193" t="s">
        <v>192</v>
      </c>
      <c r="L896" s="193" t="s">
        <v>4753</v>
      </c>
      <c r="M896" s="193"/>
      <c r="N896" s="193"/>
      <c r="O896" s="193"/>
      <c r="P896" s="193"/>
      <c r="Q896" s="200"/>
      <c r="R896" s="86"/>
      <c r="S896" s="114">
        <f t="shared" ref="S896:T896" si="897">A896</f>
        <v>896</v>
      </c>
      <c r="T896" s="114" t="str">
        <f t="shared" si="897"/>
        <v>امیرحسین</v>
      </c>
      <c r="U896" s="86" t="str">
        <f t="shared" si="3"/>
        <v>09120315132</v>
      </c>
      <c r="V896" s="86" t="str">
        <f t="shared" si="4"/>
        <v>پیش‌وایی 8</v>
      </c>
      <c r="W896" s="86"/>
      <c r="X896" s="86"/>
    </row>
    <row r="897">
      <c r="A897" s="201">
        <v>897.0</v>
      </c>
      <c r="B897" s="202" t="s">
        <v>4754</v>
      </c>
      <c r="C897" s="203" t="s">
        <v>4755</v>
      </c>
      <c r="D897" s="204" t="str">
        <f>IFERROR(__xludf.DUMMYFUNCTION("ARRAYFORMULA(LET( converted, SUBSTITUTE( SUBSTITUTE( SUBSTITUTE( SUBSTITUTE( SUBSTITUTE( SUBSTITUTE( SUBSTITUTE( SUBSTITUTE( SUBSTITUTE( SUBSTITUTE( C897, ""۰"", ""0""), ""۱"", ""1""), ""۲"", ""2""), ""۳"", ""3""), ""۴"", ""4""), ""۵"", ""5""), ""۶"", ""6"&amp;"""), ""۷"", ""7""), ""۸"", ""8""), ""۹"", ""9""), IF(LEFT(converted,3)=""+98"", ""0"" &amp; RIGHT(converted, LEN(converted)-3), IF(LEFT(converted,2)=""98"", ""0"" &amp; RIGHT(converted, LEN(converted)-2), IF(LEFT(converted,1)&lt;&gt;""0"", ""0"" &amp; converted, REGEXREPLA"&amp;"CE(converted , ""\s"", """")) ) ) ) )"),"09168550752")</f>
        <v>09168550752</v>
      </c>
      <c r="E897" s="205" t="s">
        <v>17</v>
      </c>
      <c r="F897" s="206">
        <v>8.0</v>
      </c>
      <c r="G897" s="202"/>
      <c r="H897" s="202" t="s">
        <v>4756</v>
      </c>
      <c r="I897" s="203"/>
      <c r="J897" s="203"/>
      <c r="K897" s="202" t="s">
        <v>192</v>
      </c>
      <c r="L897" s="202" t="s">
        <v>2408</v>
      </c>
      <c r="M897" s="202"/>
      <c r="N897" s="202"/>
      <c r="O897" s="202"/>
      <c r="P897" s="202"/>
      <c r="Q897" s="208"/>
      <c r="R897" s="86"/>
      <c r="S897" s="114">
        <f t="shared" ref="S897:T897" si="898">A897</f>
        <v>897</v>
      </c>
      <c r="T897" s="114" t="str">
        <f t="shared" si="898"/>
        <v>امیرحسین ملکی</v>
      </c>
      <c r="U897" s="86" t="str">
        <f t="shared" si="3"/>
        <v>09168550752</v>
      </c>
      <c r="V897" s="86" t="str">
        <f t="shared" si="4"/>
        <v>پیش‌وایی 8</v>
      </c>
      <c r="W897" s="86"/>
      <c r="X897" s="86"/>
    </row>
    <row r="898">
      <c r="A898" s="192">
        <v>898.0</v>
      </c>
      <c r="B898" s="193" t="s">
        <v>4757</v>
      </c>
      <c r="C898" s="194" t="s">
        <v>4758</v>
      </c>
      <c r="D898" s="195" t="str">
        <f>IFERROR(__xludf.DUMMYFUNCTION("ARRAYFORMULA(LET( converted, SUBSTITUTE( SUBSTITUTE( SUBSTITUTE( SUBSTITUTE( SUBSTITUTE( SUBSTITUTE( SUBSTITUTE( SUBSTITUTE( SUBSTITUTE( SUBSTITUTE( C898, ""۰"", ""0""), ""۱"", ""1""), ""۲"", ""2""), ""۳"", ""3""), ""۴"", ""4""), ""۵"", ""5""), ""۶"", ""6"&amp;"""), ""۷"", ""7""), ""۸"", ""8""), ""۹"", ""9""), IF(LEFT(converted,3)=""+98"", ""0"" &amp; RIGHT(converted, LEN(converted)-3), IF(LEFT(converted,2)=""98"", ""0"" &amp; RIGHT(converted, LEN(converted)-2), IF(LEFT(converted,1)&lt;&gt;""0"", ""0"" &amp; converted, REGEXREPLA"&amp;"CE(converted , ""\s"", """")) ) ) ) )"),"09120882522")</f>
        <v>09120882522</v>
      </c>
      <c r="E898" s="196" t="s">
        <v>17</v>
      </c>
      <c r="F898" s="197">
        <v>8.0</v>
      </c>
      <c r="G898" s="193"/>
      <c r="H898" s="193"/>
      <c r="I898" s="194"/>
      <c r="J898" s="194"/>
      <c r="K898" s="193" t="s">
        <v>192</v>
      </c>
      <c r="L898" s="193" t="s">
        <v>4759</v>
      </c>
      <c r="M898" s="193"/>
      <c r="N898" s="193"/>
      <c r="O898" s="193"/>
      <c r="P898" s="193"/>
      <c r="Q898" s="200"/>
      <c r="R898" s="86"/>
      <c r="S898" s="114">
        <f t="shared" ref="S898:T898" si="899">A898</f>
        <v>898</v>
      </c>
      <c r="T898" s="114" t="str">
        <f t="shared" si="899"/>
        <v>امیرحسین قوام</v>
      </c>
      <c r="U898" s="86" t="str">
        <f t="shared" si="3"/>
        <v>09120882522</v>
      </c>
      <c r="V898" s="86" t="str">
        <f t="shared" si="4"/>
        <v>پیش‌وایی 8</v>
      </c>
      <c r="W898" s="86"/>
      <c r="X898" s="86"/>
    </row>
    <row r="899">
      <c r="A899" s="201">
        <v>899.0</v>
      </c>
      <c r="B899" s="202" t="s">
        <v>4760</v>
      </c>
      <c r="C899" s="203" t="s">
        <v>4761</v>
      </c>
      <c r="D899" s="204" t="str">
        <f>IFERROR(__xludf.DUMMYFUNCTION("ARRAYFORMULA(LET( converted, SUBSTITUTE( SUBSTITUTE( SUBSTITUTE( SUBSTITUTE( SUBSTITUTE( SUBSTITUTE( SUBSTITUTE( SUBSTITUTE( SUBSTITUTE( SUBSTITUTE( C899, ""۰"", ""0""), ""۱"", ""1""), ""۲"", ""2""), ""۳"", ""3""), ""۴"", ""4""), ""۵"", ""5""), ""۶"", ""6"&amp;"""), ""۷"", ""7""), ""۸"", ""8""), ""۹"", ""9""), IF(LEFT(converted,3)=""+98"", ""0"" &amp; RIGHT(converted, LEN(converted)-3), IF(LEFT(converted,2)=""98"", ""0"" &amp; RIGHT(converted, LEN(converted)-2), IF(LEFT(converted,1)&lt;&gt;""0"", ""0"" &amp; converted, REGEXREPLA"&amp;"CE(converted , ""\s"", """")) ) ) ) )"),"09368880172")</f>
        <v>09368880172</v>
      </c>
      <c r="E899" s="205" t="s">
        <v>17</v>
      </c>
      <c r="F899" s="206">
        <v>8.0</v>
      </c>
      <c r="G899" s="202"/>
      <c r="H899" s="202"/>
      <c r="I899" s="203"/>
      <c r="J899" s="203"/>
      <c r="K899" s="202" t="s">
        <v>1466</v>
      </c>
      <c r="L899" s="202" t="s">
        <v>4762</v>
      </c>
      <c r="M899" s="202"/>
      <c r="N899" s="202"/>
      <c r="O899" s="202"/>
      <c r="P899" s="202"/>
      <c r="Q899" s="208"/>
      <c r="R899" s="86"/>
      <c r="S899" s="114">
        <f t="shared" ref="S899:T899" si="900">A899</f>
        <v>899</v>
      </c>
      <c r="T899" s="114" t="str">
        <f t="shared" si="900"/>
        <v>امیرعلی حبشی زاده</v>
      </c>
      <c r="U899" s="86" t="str">
        <f t="shared" si="3"/>
        <v>09368880172</v>
      </c>
      <c r="V899" s="86" t="str">
        <f t="shared" si="4"/>
        <v>پیش‌وایی 8</v>
      </c>
      <c r="W899" s="86"/>
      <c r="X899" s="86"/>
    </row>
    <row r="900">
      <c r="A900" s="192">
        <v>900.0</v>
      </c>
      <c r="B900" s="193" t="s">
        <v>4763</v>
      </c>
      <c r="C900" s="194" t="s">
        <v>4764</v>
      </c>
      <c r="D900" s="195" t="str">
        <f>IFERROR(__xludf.DUMMYFUNCTION("ARRAYFORMULA(LET( converted, SUBSTITUTE( SUBSTITUTE( SUBSTITUTE( SUBSTITUTE( SUBSTITUTE( SUBSTITUTE( SUBSTITUTE( SUBSTITUTE( SUBSTITUTE( SUBSTITUTE( C900, ""۰"", ""0""), ""۱"", ""1""), ""۲"", ""2""), ""۳"", ""3""), ""۴"", ""4""), ""۵"", ""5""), ""۶"", ""6"&amp;"""), ""۷"", ""7""), ""۸"", ""8""), ""۹"", ""9""), IF(LEFT(converted,3)=""+98"", ""0"" &amp; RIGHT(converted, LEN(converted)-3), IF(LEFT(converted,2)=""98"", ""0"" &amp; RIGHT(converted, LEN(converted)-2), IF(LEFT(converted,1)&lt;&gt;""0"", ""0"" &amp; converted, REGEXREPLA"&amp;"CE(converted , ""\s"", """")) ) ) ) )"),"09120846086")</f>
        <v>09120846086</v>
      </c>
      <c r="E900" s="196" t="s">
        <v>17</v>
      </c>
      <c r="F900" s="197">
        <v>8.0</v>
      </c>
      <c r="G900" s="193"/>
      <c r="H900" s="193" t="s">
        <v>4765</v>
      </c>
      <c r="I900" s="194"/>
      <c r="J900" s="194"/>
      <c r="K900" s="193" t="s">
        <v>4766</v>
      </c>
      <c r="L900" s="193" t="s">
        <v>4767</v>
      </c>
      <c r="M900" s="193"/>
      <c r="N900" s="193"/>
      <c r="O900" s="193"/>
      <c r="P900" s="193"/>
      <c r="Q900" s="200"/>
      <c r="R900" s="86"/>
      <c r="S900" s="114">
        <f t="shared" ref="S900:T900" si="901">A900</f>
        <v>900</v>
      </c>
      <c r="T900" s="114" t="str">
        <f t="shared" si="901"/>
        <v>امیرمحمّد تهمتن</v>
      </c>
      <c r="U900" s="86" t="str">
        <f t="shared" si="3"/>
        <v>09120846086</v>
      </c>
      <c r="V900" s="86" t="str">
        <f t="shared" si="4"/>
        <v>پیش‌وایی 8</v>
      </c>
      <c r="W900" s="86"/>
      <c r="X900" s="86"/>
    </row>
    <row r="901">
      <c r="A901" s="201">
        <v>901.0</v>
      </c>
      <c r="B901" s="202" t="s">
        <v>4768</v>
      </c>
      <c r="C901" s="203" t="s">
        <v>4769</v>
      </c>
      <c r="D901" s="204" t="str">
        <f>IFERROR(__xludf.DUMMYFUNCTION("ARRAYFORMULA(LET( converted, SUBSTITUTE( SUBSTITUTE( SUBSTITUTE( SUBSTITUTE( SUBSTITUTE( SUBSTITUTE( SUBSTITUTE( SUBSTITUTE( SUBSTITUTE( SUBSTITUTE( C901, ""۰"", ""0""), ""۱"", ""1""), ""۲"", ""2""), ""۳"", ""3""), ""۴"", ""4""), ""۵"", ""5""), ""۶"", ""6"&amp;"""), ""۷"", ""7""), ""۸"", ""8""), ""۹"", ""9""), IF(LEFT(converted,3)=""+98"", ""0"" &amp; RIGHT(converted, LEN(converted)-3), IF(LEFT(converted,2)=""98"", ""0"" &amp; RIGHT(converted, LEN(converted)-2), IF(LEFT(converted,1)&lt;&gt;""0"", ""0"" &amp; converted, REGEXREPLA"&amp;"CE(converted , ""\s"", """")) ) ) ) )"),"09124446164")</f>
        <v>09124446164</v>
      </c>
      <c r="E901" s="205" t="s">
        <v>17</v>
      </c>
      <c r="F901" s="206">
        <v>8.0</v>
      </c>
      <c r="G901" s="202"/>
      <c r="H901" s="202" t="s">
        <v>4770</v>
      </c>
      <c r="I901" s="203"/>
      <c r="J901" s="203"/>
      <c r="K901" s="202" t="s">
        <v>3126</v>
      </c>
      <c r="L901" s="202" t="s">
        <v>4771</v>
      </c>
      <c r="M901" s="202"/>
      <c r="N901" s="202"/>
      <c r="O901" s="202"/>
      <c r="P901" s="202"/>
      <c r="Q901" s="208"/>
      <c r="R901" s="86"/>
      <c r="S901" s="114">
        <f t="shared" ref="S901:T901" si="902">A901</f>
        <v>901</v>
      </c>
      <c r="T901" s="114" t="str">
        <f t="shared" si="902"/>
        <v>ایمان اجتهادیان</v>
      </c>
      <c r="U901" s="86" t="str">
        <f t="shared" si="3"/>
        <v>09124446164</v>
      </c>
      <c r="V901" s="86" t="str">
        <f t="shared" si="4"/>
        <v>پیش‌وایی 8</v>
      </c>
      <c r="W901" s="86"/>
      <c r="X901" s="86"/>
    </row>
    <row r="902">
      <c r="A902" s="192">
        <v>902.0</v>
      </c>
      <c r="B902" s="193" t="s">
        <v>4772</v>
      </c>
      <c r="C902" s="194" t="s">
        <v>4773</v>
      </c>
      <c r="D902" s="195" t="str">
        <f>IFERROR(__xludf.DUMMYFUNCTION("ARRAYFORMULA(LET( converted, SUBSTITUTE( SUBSTITUTE( SUBSTITUTE( SUBSTITUTE( SUBSTITUTE( SUBSTITUTE( SUBSTITUTE( SUBSTITUTE( SUBSTITUTE( SUBSTITUTE( C902, ""۰"", ""0""), ""۱"", ""1""), ""۲"", ""2""), ""۳"", ""3""), ""۴"", ""4""), ""۵"", ""5""), ""۶"", ""6"&amp;"""), ""۷"", ""7""), ""۸"", ""8""), ""۹"", ""9""), IF(LEFT(converted,3)=""+98"", ""0"" &amp; RIGHT(converted, LEN(converted)-3), IF(LEFT(converted,2)=""98"", ""0"" &amp; RIGHT(converted, LEN(converted)-2), IF(LEFT(converted,1)&lt;&gt;""0"", ""0"" &amp; converted, REGEXREPLA"&amp;"CE(converted , ""\s"", """")) ) ) ) )"),"09131170532")</f>
        <v>09131170532</v>
      </c>
      <c r="E902" s="196" t="s">
        <v>17</v>
      </c>
      <c r="F902" s="197">
        <v>8.0</v>
      </c>
      <c r="G902" s="193"/>
      <c r="H902" s="193" t="s">
        <v>4774</v>
      </c>
      <c r="I902" s="194"/>
      <c r="J902" s="194"/>
      <c r="K902" s="193" t="s">
        <v>209</v>
      </c>
      <c r="L902" s="193" t="s">
        <v>4775</v>
      </c>
      <c r="M902" s="193"/>
      <c r="N902" s="193"/>
      <c r="O902" s="193"/>
      <c r="P902" s="193"/>
      <c r="Q902" s="200"/>
      <c r="R902" s="86"/>
      <c r="S902" s="114">
        <f t="shared" ref="S902:T902" si="903">A902</f>
        <v>902</v>
      </c>
      <c r="T902" s="114" t="str">
        <f t="shared" si="903"/>
        <v>بهروز حسن پور</v>
      </c>
      <c r="U902" s="86" t="str">
        <f t="shared" si="3"/>
        <v>09131170532</v>
      </c>
      <c r="V902" s="86" t="str">
        <f t="shared" si="4"/>
        <v>پیش‌وایی 8</v>
      </c>
      <c r="W902" s="86"/>
      <c r="X902" s="86"/>
    </row>
    <row r="903">
      <c r="A903" s="201">
        <v>903.0</v>
      </c>
      <c r="B903" s="202" t="s">
        <v>4776</v>
      </c>
      <c r="C903" s="203" t="s">
        <v>4777</v>
      </c>
      <c r="D903" s="204" t="str">
        <f>IFERROR(__xludf.DUMMYFUNCTION("ARRAYFORMULA(LET( converted, SUBSTITUTE( SUBSTITUTE( SUBSTITUTE( SUBSTITUTE( SUBSTITUTE( SUBSTITUTE( SUBSTITUTE( SUBSTITUTE( SUBSTITUTE( SUBSTITUTE( C903, ""۰"", ""0""), ""۱"", ""1""), ""۲"", ""2""), ""۳"", ""3""), ""۴"", ""4""), ""۵"", ""5""), ""۶"", ""6"&amp;"""), ""۷"", ""7""), ""۸"", ""8""), ""۹"", ""9""), IF(LEFT(converted,3)=""+98"", ""0"" &amp; RIGHT(converted, LEN(converted)-3), IF(LEFT(converted,2)=""98"", ""0"" &amp; RIGHT(converted, LEN(converted)-2), IF(LEFT(converted,1)&lt;&gt;""0"", ""0"" &amp; converted, REGEXREPLA"&amp;"CE(converted , ""\s"", """")) ) ) ) )"),"09131029547")</f>
        <v>09131029547</v>
      </c>
      <c r="E903" s="205" t="s">
        <v>17</v>
      </c>
      <c r="F903" s="206">
        <v>8.0</v>
      </c>
      <c r="G903" s="202"/>
      <c r="H903" s="202" t="s">
        <v>4778</v>
      </c>
      <c r="I903" s="203"/>
      <c r="J903" s="203"/>
      <c r="K903" s="202" t="s">
        <v>2369</v>
      </c>
      <c r="L903" s="202" t="s">
        <v>4779</v>
      </c>
      <c r="M903" s="202"/>
      <c r="N903" s="202"/>
      <c r="O903" s="202"/>
      <c r="P903" s="202"/>
      <c r="Q903" s="208"/>
      <c r="R903" s="86"/>
      <c r="S903" s="114">
        <f t="shared" ref="S903:T903" si="904">A903</f>
        <v>903</v>
      </c>
      <c r="T903" s="114" t="str">
        <f t="shared" si="904"/>
        <v>بیتا برنا</v>
      </c>
      <c r="U903" s="86" t="str">
        <f t="shared" si="3"/>
        <v>09131029547</v>
      </c>
      <c r="V903" s="86" t="str">
        <f t="shared" si="4"/>
        <v>پیش‌وایی 8</v>
      </c>
      <c r="W903" s="86"/>
      <c r="X903" s="86"/>
    </row>
    <row r="904">
      <c r="A904" s="192">
        <v>904.0</v>
      </c>
      <c r="B904" s="199" t="s">
        <v>4780</v>
      </c>
      <c r="C904" s="194" t="s">
        <v>4781</v>
      </c>
      <c r="D904" s="195" t="str">
        <f>IFERROR(__xludf.DUMMYFUNCTION("ARRAYFORMULA(LET( converted, SUBSTITUTE( SUBSTITUTE( SUBSTITUTE( SUBSTITUTE( SUBSTITUTE( SUBSTITUTE( SUBSTITUTE( SUBSTITUTE( SUBSTITUTE( SUBSTITUTE( C904, ""۰"", ""0""), ""۱"", ""1""), ""۲"", ""2""), ""۳"", ""3""), ""۴"", ""4""), ""۵"", ""5""), ""۶"", ""6"&amp;"""), ""۷"", ""7""), ""۸"", ""8""), ""۹"", ""9""), IF(LEFT(converted,3)=""+98"", ""0"" &amp; RIGHT(converted, LEN(converted)-3), IF(LEFT(converted,2)=""98"", ""0"" &amp; RIGHT(converted, LEN(converted)-2), IF(LEFT(converted,1)&lt;&gt;""0"", ""0"" &amp; converted, REGEXREPLA"&amp;"CE(converted , ""\s"", """")) ) ) ) )"),"09331636679")</f>
        <v>09331636679</v>
      </c>
      <c r="E904" s="196" t="s">
        <v>17</v>
      </c>
      <c r="F904" s="197">
        <v>8.0</v>
      </c>
      <c r="G904" s="193"/>
      <c r="H904" s="193" t="s">
        <v>4782</v>
      </c>
      <c r="I904" s="194"/>
      <c r="J904" s="194"/>
      <c r="K904" s="193" t="s">
        <v>4783</v>
      </c>
      <c r="L904" s="193" t="s">
        <v>4784</v>
      </c>
      <c r="M904" s="193"/>
      <c r="N904" s="193"/>
      <c r="O904" s="193"/>
      <c r="P904" s="193"/>
      <c r="Q904" s="200"/>
      <c r="R904" s="86"/>
      <c r="S904" s="114">
        <f t="shared" ref="S904:T904" si="905">A904</f>
        <v>904</v>
      </c>
      <c r="T904" s="114" t="str">
        <f t="shared" si="905"/>
        <v>پردیس رزاق منش</v>
      </c>
      <c r="U904" s="86" t="str">
        <f t="shared" si="3"/>
        <v>09331636679</v>
      </c>
      <c r="V904" s="86" t="str">
        <f t="shared" si="4"/>
        <v>پیش‌وایی 8</v>
      </c>
      <c r="W904" s="86"/>
      <c r="X904" s="86"/>
    </row>
    <row r="905">
      <c r="A905" s="201">
        <v>905.0</v>
      </c>
      <c r="B905" s="207" t="s">
        <v>4785</v>
      </c>
      <c r="C905" s="203" t="s">
        <v>4786</v>
      </c>
      <c r="D905" s="204" t="str">
        <f>IFERROR(__xludf.DUMMYFUNCTION("ARRAYFORMULA(LET( converted, SUBSTITUTE( SUBSTITUTE( SUBSTITUTE( SUBSTITUTE( SUBSTITUTE( SUBSTITUTE( SUBSTITUTE( SUBSTITUTE( SUBSTITUTE( SUBSTITUTE( C905, ""۰"", ""0""), ""۱"", ""1""), ""۲"", ""2""), ""۳"", ""3""), ""۴"", ""4""), ""۵"", ""5""), ""۶"", ""6"&amp;"""), ""۷"", ""7""), ""۸"", ""8""), ""۹"", ""9""), IF(LEFT(converted,3)=""+98"", ""0"" &amp; RIGHT(converted, LEN(converted)-3), IF(LEFT(converted,2)=""98"", ""0"" &amp; RIGHT(converted, LEN(converted)-2), IF(LEFT(converted,1)&lt;&gt;""0"", ""0"" &amp; converted, REGEXREPLA"&amp;"CE(converted , ""\s"", """")) ) ) ) )"),"09128400970")</f>
        <v>09128400970</v>
      </c>
      <c r="E905" s="205" t="s">
        <v>17</v>
      </c>
      <c r="F905" s="206">
        <v>8.0</v>
      </c>
      <c r="G905" s="202"/>
      <c r="H905" s="202" t="s">
        <v>4787</v>
      </c>
      <c r="I905" s="203"/>
      <c r="J905" s="203"/>
      <c r="K905" s="202" t="s">
        <v>4788</v>
      </c>
      <c r="L905" s="202" t="s">
        <v>4789</v>
      </c>
      <c r="M905" s="202"/>
      <c r="N905" s="202"/>
      <c r="O905" s="202"/>
      <c r="P905" s="202"/>
      <c r="Q905" s="208"/>
      <c r="R905" s="86"/>
      <c r="S905" s="114">
        <f t="shared" ref="S905:T905" si="906">A905</f>
        <v>905</v>
      </c>
      <c r="T905" s="114" t="str">
        <f t="shared" si="906"/>
        <v>پوریا محمد رضایی</v>
      </c>
      <c r="U905" s="86" t="str">
        <f t="shared" si="3"/>
        <v>09128400970</v>
      </c>
      <c r="V905" s="86" t="str">
        <f t="shared" si="4"/>
        <v>پیش‌وایی 8</v>
      </c>
      <c r="W905" s="86"/>
      <c r="X905" s="86"/>
    </row>
    <row r="906">
      <c r="A906" s="192">
        <v>906.0</v>
      </c>
      <c r="B906" s="199" t="s">
        <v>4790</v>
      </c>
      <c r="C906" s="194" t="s">
        <v>4791</v>
      </c>
      <c r="D906" s="195" t="str">
        <f>IFERROR(__xludf.DUMMYFUNCTION("ARRAYFORMULA(LET( converted, SUBSTITUTE( SUBSTITUTE( SUBSTITUTE( SUBSTITUTE( SUBSTITUTE( SUBSTITUTE( SUBSTITUTE( SUBSTITUTE( SUBSTITUTE( SUBSTITUTE( C906, ""۰"", ""0""), ""۱"", ""1""), ""۲"", ""2""), ""۳"", ""3""), ""۴"", ""4""), ""۵"", ""5""), ""۶"", ""6"&amp;"""), ""۷"", ""7""), ""۸"", ""8""), ""۹"", ""9""), IF(LEFT(converted,3)=""+98"", ""0"" &amp; RIGHT(converted, LEN(converted)-3), IF(LEFT(converted,2)=""98"", ""0"" &amp; RIGHT(converted, LEN(converted)-2), IF(LEFT(converted,1)&lt;&gt;""0"", ""0"" &amp; converted, REGEXREPLA"&amp;"CE(converted , ""\s"", """")) ) ) ) )"),"09123878903")</f>
        <v>09123878903</v>
      </c>
      <c r="E906" s="196" t="s">
        <v>17</v>
      </c>
      <c r="F906" s="197">
        <v>8.0</v>
      </c>
      <c r="G906" s="193"/>
      <c r="H906" s="193" t="s">
        <v>4792</v>
      </c>
      <c r="I906" s="194"/>
      <c r="J906" s="194"/>
      <c r="K906" s="193" t="s">
        <v>4793</v>
      </c>
      <c r="L906" s="193" t="s">
        <v>4794</v>
      </c>
      <c r="M906" s="193"/>
      <c r="N906" s="193"/>
      <c r="O906" s="193"/>
      <c r="P906" s="193"/>
      <c r="Q906" s="200"/>
      <c r="R906" s="86"/>
      <c r="S906" s="114">
        <f t="shared" ref="S906:T906" si="907">A906</f>
        <v>906</v>
      </c>
      <c r="T906" s="114" t="str">
        <f t="shared" si="907"/>
        <v>پیام شاه حسینی</v>
      </c>
      <c r="U906" s="86" t="str">
        <f t="shared" si="3"/>
        <v>09123878903</v>
      </c>
      <c r="V906" s="86" t="str">
        <f t="shared" si="4"/>
        <v>پیش‌وایی 8</v>
      </c>
      <c r="W906" s="86"/>
      <c r="X906" s="86"/>
    </row>
    <row r="907">
      <c r="A907" s="201">
        <v>907.0</v>
      </c>
      <c r="B907" s="202" t="s">
        <v>4795</v>
      </c>
      <c r="C907" s="203" t="s">
        <v>4796</v>
      </c>
      <c r="D907" s="204" t="str">
        <f>IFERROR(__xludf.DUMMYFUNCTION("ARRAYFORMULA(LET( converted, SUBSTITUTE( SUBSTITUTE( SUBSTITUTE( SUBSTITUTE( SUBSTITUTE( SUBSTITUTE( SUBSTITUTE( SUBSTITUTE( SUBSTITUTE( SUBSTITUTE( C907, ""۰"", ""0""), ""۱"", ""1""), ""۲"", ""2""), ""۳"", ""3""), ""۴"", ""4""), ""۵"", ""5""), ""۶"", ""6"&amp;"""), ""۷"", ""7""), ""۸"", ""8""), ""۹"", ""9""), IF(LEFT(converted,3)=""+98"", ""0"" &amp; RIGHT(converted, LEN(converted)-3), IF(LEFT(converted,2)=""98"", ""0"" &amp; RIGHT(converted, LEN(converted)-2), IF(LEFT(converted,1)&lt;&gt;""0"", ""0"" &amp; converted, REGEXREPLA"&amp;"CE(converted , ""\s"", """")) ) ) ) )"),"09192115870")</f>
        <v>09192115870</v>
      </c>
      <c r="E907" s="205" t="s">
        <v>17</v>
      </c>
      <c r="F907" s="206">
        <v>8.0</v>
      </c>
      <c r="G907" s="202"/>
      <c r="H907" s="202" t="s">
        <v>4797</v>
      </c>
      <c r="I907" s="203"/>
      <c r="J907" s="203"/>
      <c r="K907" s="202" t="s">
        <v>4798</v>
      </c>
      <c r="L907" s="202" t="s">
        <v>4799</v>
      </c>
      <c r="M907" s="202"/>
      <c r="N907" s="202"/>
      <c r="O907" s="202"/>
      <c r="P907" s="202"/>
      <c r="Q907" s="208"/>
      <c r="R907" s="86"/>
      <c r="S907" s="114">
        <f t="shared" ref="S907:T907" si="908">A907</f>
        <v>907</v>
      </c>
      <c r="T907" s="114" t="str">
        <f t="shared" si="908"/>
        <v>توحید علی‌پور</v>
      </c>
      <c r="U907" s="86" t="str">
        <f t="shared" si="3"/>
        <v>09192115870</v>
      </c>
      <c r="V907" s="86" t="str">
        <f t="shared" si="4"/>
        <v>پیش‌وایی 8</v>
      </c>
      <c r="W907" s="86"/>
      <c r="X907" s="86"/>
    </row>
    <row r="908">
      <c r="A908" s="192">
        <v>908.0</v>
      </c>
      <c r="B908" s="193" t="s">
        <v>4800</v>
      </c>
      <c r="C908" s="194" t="s">
        <v>4801</v>
      </c>
      <c r="D908" s="195" t="str">
        <f>IFERROR(__xludf.DUMMYFUNCTION("ARRAYFORMULA(LET( converted, SUBSTITUTE( SUBSTITUTE( SUBSTITUTE( SUBSTITUTE( SUBSTITUTE( SUBSTITUTE( SUBSTITUTE( SUBSTITUTE( SUBSTITUTE( SUBSTITUTE( C908, ""۰"", ""0""), ""۱"", ""1""), ""۲"", ""2""), ""۳"", ""3""), ""۴"", ""4""), ""۵"", ""5""), ""۶"", ""6"&amp;"""), ""۷"", ""7""), ""۸"", ""8""), ""۹"", ""9""), IF(LEFT(converted,3)=""+98"", ""0"" &amp; RIGHT(converted, LEN(converted)-3), IF(LEFT(converted,2)=""98"", ""0"" &amp; RIGHT(converted, LEN(converted)-2), IF(LEFT(converted,1)&lt;&gt;""0"", ""0"" &amp; converted, REGEXREPLA"&amp;"CE(converted , ""\s"", """")) ) ) ) )"),"09122780984")</f>
        <v>09122780984</v>
      </c>
      <c r="E908" s="196" t="s">
        <v>17</v>
      </c>
      <c r="F908" s="197">
        <v>8.0</v>
      </c>
      <c r="G908" s="193"/>
      <c r="H908" s="198" t="s">
        <v>4802</v>
      </c>
      <c r="I908" s="194"/>
      <c r="J908" s="194"/>
      <c r="K908" s="193" t="s">
        <v>4803</v>
      </c>
      <c r="L908" s="193" t="s">
        <v>4804</v>
      </c>
      <c r="M908" s="193"/>
      <c r="N908" s="193"/>
      <c r="O908" s="193"/>
      <c r="P908" s="193"/>
      <c r="Q908" s="200"/>
      <c r="R908" s="86"/>
      <c r="S908" s="114">
        <f t="shared" ref="S908:T908" si="909">A908</f>
        <v>908</v>
      </c>
      <c r="T908" s="114" t="str">
        <f t="shared" si="909"/>
        <v>ثمین سادات میرترابی</v>
      </c>
      <c r="U908" s="86" t="str">
        <f t="shared" si="3"/>
        <v>09122780984</v>
      </c>
      <c r="V908" s="86" t="str">
        <f t="shared" si="4"/>
        <v>پیش‌وایی 8</v>
      </c>
      <c r="W908" s="86"/>
      <c r="X908" s="86"/>
    </row>
    <row r="909">
      <c r="A909" s="201">
        <v>909.0</v>
      </c>
      <c r="B909" s="202" t="s">
        <v>4805</v>
      </c>
      <c r="C909" s="203" t="s">
        <v>4806</v>
      </c>
      <c r="D909" s="204" t="str">
        <f>IFERROR(__xludf.DUMMYFUNCTION("ARRAYFORMULA(LET( converted, SUBSTITUTE( SUBSTITUTE( SUBSTITUTE( SUBSTITUTE( SUBSTITUTE( SUBSTITUTE( SUBSTITUTE( SUBSTITUTE( SUBSTITUTE( SUBSTITUTE( C909, ""۰"", ""0""), ""۱"", ""1""), ""۲"", ""2""), ""۳"", ""3""), ""۴"", ""4""), ""۵"", ""5""), ""۶"", ""6"&amp;"""), ""۷"", ""7""), ""۸"", ""8""), ""۹"", ""9""), IF(LEFT(converted,3)=""+98"", ""0"" &amp; RIGHT(converted, LEN(converted)-3), IF(LEFT(converted,2)=""98"", ""0"" &amp; RIGHT(converted, LEN(converted)-2), IF(LEFT(converted,1)&lt;&gt;""0"", ""0"" &amp; converted, REGEXREPLA"&amp;"CE(converted , ""\s"", """")) ) ) ) )"),"09127074782")</f>
        <v>09127074782</v>
      </c>
      <c r="E909" s="205" t="s">
        <v>17</v>
      </c>
      <c r="F909" s="206">
        <v>8.0</v>
      </c>
      <c r="G909" s="202"/>
      <c r="H909" s="202" t="s">
        <v>4807</v>
      </c>
      <c r="I909" s="203"/>
      <c r="J909" s="203"/>
      <c r="K909" s="202" t="s">
        <v>1248</v>
      </c>
      <c r="L909" s="202" t="s">
        <v>4808</v>
      </c>
      <c r="M909" s="202"/>
      <c r="N909" s="202"/>
      <c r="O909" s="202"/>
      <c r="P909" s="202"/>
      <c r="Q909" s="208"/>
      <c r="R909" s="86"/>
      <c r="S909" s="114">
        <f t="shared" ref="S909:T909" si="910">A909</f>
        <v>909</v>
      </c>
      <c r="T909" s="114" t="str">
        <f t="shared" si="910"/>
        <v>جواد پاروئی</v>
      </c>
      <c r="U909" s="86" t="str">
        <f t="shared" si="3"/>
        <v>09127074782</v>
      </c>
      <c r="V909" s="86" t="str">
        <f t="shared" si="4"/>
        <v>پیش‌وایی 8</v>
      </c>
      <c r="W909" s="86"/>
      <c r="X909" s="86"/>
    </row>
    <row r="910">
      <c r="A910" s="192">
        <v>910.0</v>
      </c>
      <c r="B910" s="199" t="s">
        <v>1000</v>
      </c>
      <c r="C910" s="194" t="s">
        <v>1001</v>
      </c>
      <c r="D910" s="195" t="str">
        <f>IFERROR(__xludf.DUMMYFUNCTION("ARRAYFORMULA(LET( converted, SUBSTITUTE( SUBSTITUTE( SUBSTITUTE( SUBSTITUTE( SUBSTITUTE( SUBSTITUTE( SUBSTITUTE( SUBSTITUTE( SUBSTITUTE( SUBSTITUTE( C910, ""۰"", ""0""), ""۱"", ""1""), ""۲"", ""2""), ""۳"", ""3""), ""۴"", ""4""), ""۵"", ""5""), ""۶"", ""6"&amp;"""), ""۷"", ""7""), ""۸"", ""8""), ""۹"", ""9""), IF(LEFT(converted,3)=""+98"", ""0"" &amp; RIGHT(converted, LEN(converted)-3), IF(LEFT(converted,2)=""98"", ""0"" &amp; RIGHT(converted, LEN(converted)-2), IF(LEFT(converted,1)&lt;&gt;""0"", ""0"" &amp; converted, REGEXREPLA"&amp;"CE(converted , ""\s"", """")) ) ) ) )"),"09126798482")</f>
        <v>09126798482</v>
      </c>
      <c r="E910" s="196" t="s">
        <v>17</v>
      </c>
      <c r="F910" s="197">
        <v>8.0</v>
      </c>
      <c r="G910" s="193"/>
      <c r="H910" s="193" t="s">
        <v>4809</v>
      </c>
      <c r="I910" s="194"/>
      <c r="J910" s="194"/>
      <c r="K910" s="193" t="s">
        <v>1004</v>
      </c>
      <c r="L910" s="193" t="s">
        <v>1005</v>
      </c>
      <c r="M910" s="193"/>
      <c r="N910" s="193"/>
      <c r="O910" s="193"/>
      <c r="P910" s="193"/>
      <c r="Q910" s="200"/>
      <c r="R910" s="86"/>
      <c r="S910" s="114">
        <f t="shared" ref="S910:T910" si="911">A910</f>
        <v>910</v>
      </c>
      <c r="T910" s="114" t="str">
        <f t="shared" si="911"/>
        <v>حامد رضایی فرخ</v>
      </c>
      <c r="U910" s="86" t="str">
        <f t="shared" si="3"/>
        <v>09126798482</v>
      </c>
      <c r="V910" s="86" t="str">
        <f t="shared" si="4"/>
        <v>پیش‌وایی 8</v>
      </c>
      <c r="W910" s="86"/>
      <c r="X910" s="86"/>
    </row>
    <row r="911">
      <c r="A911" s="201">
        <v>911.0</v>
      </c>
      <c r="B911" s="207" t="s">
        <v>4810</v>
      </c>
      <c r="C911" s="203" t="s">
        <v>4467</v>
      </c>
      <c r="D911" s="204" t="str">
        <f>IFERROR(__xludf.DUMMYFUNCTION("ARRAYFORMULA(LET( converted, SUBSTITUTE( SUBSTITUTE( SUBSTITUTE( SUBSTITUTE( SUBSTITUTE( SUBSTITUTE( SUBSTITUTE( SUBSTITUTE( SUBSTITUTE( SUBSTITUTE( C911, ""۰"", ""0""), ""۱"", ""1""), ""۲"", ""2""), ""۳"", ""3""), ""۴"", ""4""), ""۵"", ""5""), ""۶"", ""6"&amp;"""), ""۷"", ""7""), ""۸"", ""8""), ""۹"", ""9""), IF(LEFT(converted,3)=""+98"", ""0"" &amp; RIGHT(converted, LEN(converted)-3), IF(LEFT(converted,2)=""98"", ""0"" &amp; RIGHT(converted, LEN(converted)-2), IF(LEFT(converted,1)&lt;&gt;""0"", ""0"" &amp; converted, REGEXREPLA"&amp;"CE(converted , ""\s"", """")) ) ) ) )"),"09151485244")</f>
        <v>09151485244</v>
      </c>
      <c r="E911" s="205" t="s">
        <v>17</v>
      </c>
      <c r="F911" s="206">
        <v>8.0</v>
      </c>
      <c r="G911" s="202"/>
      <c r="H911" s="202" t="s">
        <v>4468</v>
      </c>
      <c r="I911" s="203"/>
      <c r="J911" s="203"/>
      <c r="K911" s="202" t="s">
        <v>4811</v>
      </c>
      <c r="L911" s="202" t="s">
        <v>1863</v>
      </c>
      <c r="M911" s="202"/>
      <c r="N911" s="202"/>
      <c r="O911" s="202"/>
      <c r="P911" s="202"/>
      <c r="Q911" s="208"/>
      <c r="R911" s="86"/>
      <c r="S911" s="114">
        <f t="shared" ref="S911:T911" si="912">A911</f>
        <v>911</v>
      </c>
      <c r="T911" s="114" t="str">
        <f t="shared" si="912"/>
        <v>حسام الدین یوسفی</v>
      </c>
      <c r="U911" s="86" t="str">
        <f t="shared" si="3"/>
        <v>09151485244</v>
      </c>
      <c r="V911" s="86" t="str">
        <f t="shared" si="4"/>
        <v>پیش‌وایی 8</v>
      </c>
      <c r="W911" s="86"/>
      <c r="X911" s="86"/>
    </row>
    <row r="912">
      <c r="A912" s="192">
        <v>912.0</v>
      </c>
      <c r="B912" s="199" t="s">
        <v>4812</v>
      </c>
      <c r="C912" s="194" t="s">
        <v>4813</v>
      </c>
      <c r="D912" s="195" t="str">
        <f>IFERROR(__xludf.DUMMYFUNCTION("ARRAYFORMULA(LET( converted, SUBSTITUTE( SUBSTITUTE( SUBSTITUTE( SUBSTITUTE( SUBSTITUTE( SUBSTITUTE( SUBSTITUTE( SUBSTITUTE( SUBSTITUTE( SUBSTITUTE( C912, ""۰"", ""0""), ""۱"", ""1""), ""۲"", ""2""), ""۳"", ""3""), ""۴"", ""4""), ""۵"", ""5""), ""۶"", ""6"&amp;"""), ""۷"", ""7""), ""۸"", ""8""), ""۹"", ""9""), IF(LEFT(converted,3)=""+98"", ""0"" &amp; RIGHT(converted, LEN(converted)-3), IF(LEFT(converted,2)=""98"", ""0"" &amp; RIGHT(converted, LEN(converted)-2), IF(LEFT(converted,1)&lt;&gt;""0"", ""0"" &amp; converted, REGEXREPLA"&amp;"CE(converted , ""\s"", """")) ) ) ) )"),"09359953747")</f>
        <v>09359953747</v>
      </c>
      <c r="E912" s="196" t="s">
        <v>17</v>
      </c>
      <c r="F912" s="197">
        <v>8.0</v>
      </c>
      <c r="G912" s="193"/>
      <c r="H912" s="193" t="s">
        <v>4814</v>
      </c>
      <c r="I912" s="194"/>
      <c r="J912" s="194"/>
      <c r="K912" s="193" t="s">
        <v>896</v>
      </c>
      <c r="L912" s="193" t="s">
        <v>4815</v>
      </c>
      <c r="M912" s="193"/>
      <c r="N912" s="193"/>
      <c r="O912" s="193"/>
      <c r="P912" s="193"/>
      <c r="Q912" s="200"/>
      <c r="R912" s="86"/>
      <c r="S912" s="114">
        <f t="shared" ref="S912:T912" si="913">A912</f>
        <v>912</v>
      </c>
      <c r="T912" s="114" t="str">
        <f t="shared" si="913"/>
        <v>حسین خاکسار</v>
      </c>
      <c r="U912" s="86" t="str">
        <f t="shared" si="3"/>
        <v>09359953747</v>
      </c>
      <c r="V912" s="86" t="str">
        <f t="shared" si="4"/>
        <v>پیش‌وایی 8</v>
      </c>
      <c r="W912" s="86"/>
      <c r="X912" s="86"/>
    </row>
    <row r="913">
      <c r="A913" s="201">
        <v>913.0</v>
      </c>
      <c r="B913" s="202" t="s">
        <v>4816</v>
      </c>
      <c r="C913" s="203" t="s">
        <v>4817</v>
      </c>
      <c r="D913" s="204" t="str">
        <f>IFERROR(__xludf.DUMMYFUNCTION("ARRAYFORMULA(LET( converted, SUBSTITUTE( SUBSTITUTE( SUBSTITUTE( SUBSTITUTE( SUBSTITUTE( SUBSTITUTE( SUBSTITUTE( SUBSTITUTE( SUBSTITUTE( SUBSTITUTE( C913, ""۰"", ""0""), ""۱"", ""1""), ""۲"", ""2""), ""۳"", ""3""), ""۴"", ""4""), ""۵"", ""5""), ""۶"", ""6"&amp;"""), ""۷"", ""7""), ""۸"", ""8""), ""۹"", ""9""), IF(LEFT(converted,3)=""+98"", ""0"" &amp; RIGHT(converted, LEN(converted)-3), IF(LEFT(converted,2)=""98"", ""0"" &amp; RIGHT(converted, LEN(converted)-2), IF(LEFT(converted,1)&lt;&gt;""0"", ""0"" &amp; converted, REGEXREPLA"&amp;"CE(converted , ""\s"", """")) ) ) ) )"),"09176990925")</f>
        <v>09176990925</v>
      </c>
      <c r="E913" s="205" t="s">
        <v>17</v>
      </c>
      <c r="F913" s="206">
        <v>8.0</v>
      </c>
      <c r="G913" s="202"/>
      <c r="H913" s="202" t="s">
        <v>4818</v>
      </c>
      <c r="I913" s="203"/>
      <c r="J913" s="203"/>
      <c r="K913" s="202" t="s">
        <v>896</v>
      </c>
      <c r="L913" s="202" t="s">
        <v>4819</v>
      </c>
      <c r="M913" s="202"/>
      <c r="N913" s="202"/>
      <c r="O913" s="202"/>
      <c r="P913" s="202"/>
      <c r="Q913" s="208"/>
      <c r="R913" s="86"/>
      <c r="S913" s="114">
        <f t="shared" ref="S913:T913" si="914">A913</f>
        <v>913</v>
      </c>
      <c r="T913" s="114" t="str">
        <f t="shared" si="914"/>
        <v>حسین روشنایی</v>
      </c>
      <c r="U913" s="86" t="str">
        <f t="shared" si="3"/>
        <v>09176990925</v>
      </c>
      <c r="V913" s="86" t="str">
        <f t="shared" si="4"/>
        <v>پیش‌وایی 8</v>
      </c>
      <c r="W913" s="86"/>
      <c r="X913" s="86"/>
    </row>
    <row r="914">
      <c r="A914" s="192">
        <v>914.0</v>
      </c>
      <c r="B914" s="193" t="s">
        <v>4820</v>
      </c>
      <c r="C914" s="194" t="s">
        <v>4821</v>
      </c>
      <c r="D914" s="195" t="str">
        <f>IFERROR(__xludf.DUMMYFUNCTION("ARRAYFORMULA(LET( converted, SUBSTITUTE( SUBSTITUTE( SUBSTITUTE( SUBSTITUTE( SUBSTITUTE( SUBSTITUTE( SUBSTITUTE( SUBSTITUTE( SUBSTITUTE( SUBSTITUTE( C914, ""۰"", ""0""), ""۱"", ""1""), ""۲"", ""2""), ""۳"", ""3""), ""۴"", ""4""), ""۵"", ""5""), ""۶"", ""6"&amp;"""), ""۷"", ""7""), ""۸"", ""8""), ""۹"", ""9""), IF(LEFT(converted,3)=""+98"", ""0"" &amp; RIGHT(converted, LEN(converted)-3), IF(LEFT(converted,2)=""98"", ""0"" &amp; RIGHT(converted, LEN(converted)-2), IF(LEFT(converted,1)&lt;&gt;""0"", ""0"" &amp; converted, REGEXREPLA"&amp;"CE(converted , ""\s"", """")) ) ) ) )"),"09023345075")</f>
        <v>09023345075</v>
      </c>
      <c r="E914" s="196" t="s">
        <v>17</v>
      </c>
      <c r="F914" s="197">
        <v>8.0</v>
      </c>
      <c r="G914" s="193"/>
      <c r="H914" s="193" t="s">
        <v>4822</v>
      </c>
      <c r="I914" s="194"/>
      <c r="J914" s="194"/>
      <c r="K914" s="193" t="s">
        <v>896</v>
      </c>
      <c r="L914" s="193" t="s">
        <v>2422</v>
      </c>
      <c r="M914" s="193"/>
      <c r="N914" s="193"/>
      <c r="O914" s="193"/>
      <c r="P914" s="193"/>
      <c r="Q914" s="200"/>
      <c r="R914" s="86"/>
      <c r="S914" s="114">
        <f t="shared" ref="S914:T914" si="915">A914</f>
        <v>914</v>
      </c>
      <c r="T914" s="114" t="str">
        <f t="shared" si="915"/>
        <v>حسین ایمانی</v>
      </c>
      <c r="U914" s="86" t="str">
        <f t="shared" si="3"/>
        <v>09023345075</v>
      </c>
      <c r="V914" s="86" t="str">
        <f t="shared" si="4"/>
        <v>پیش‌وایی 8</v>
      </c>
      <c r="W914" s="86"/>
      <c r="X914" s="86"/>
    </row>
    <row r="915">
      <c r="A915" s="201">
        <v>915.0</v>
      </c>
      <c r="B915" s="202" t="s">
        <v>4823</v>
      </c>
      <c r="C915" s="203" t="s">
        <v>4824</v>
      </c>
      <c r="D915" s="204" t="str">
        <f>IFERROR(__xludf.DUMMYFUNCTION("ARRAYFORMULA(LET( converted, SUBSTITUTE( SUBSTITUTE( SUBSTITUTE( SUBSTITUTE( SUBSTITUTE( SUBSTITUTE( SUBSTITUTE( SUBSTITUTE( SUBSTITUTE( SUBSTITUTE( C915, ""۰"", ""0""), ""۱"", ""1""), ""۲"", ""2""), ""۳"", ""3""), ""۴"", ""4""), ""۵"", ""5""), ""۶"", ""6"&amp;"""), ""۷"", ""7""), ""۸"", ""8""), ""۹"", ""9""), IF(LEFT(converted,3)=""+98"", ""0"" &amp; RIGHT(converted, LEN(converted)-3), IF(LEFT(converted,2)=""98"", ""0"" &amp; RIGHT(converted, LEN(converted)-2), IF(LEFT(converted,1)&lt;&gt;""0"", ""0"" &amp; converted, REGEXREPLA"&amp;"CE(converted , ""\s"", """")) ) ) ) )"),"09157278010")</f>
        <v>09157278010</v>
      </c>
      <c r="E915" s="205" t="s">
        <v>17</v>
      </c>
      <c r="F915" s="206">
        <v>8.0</v>
      </c>
      <c r="G915" s="202"/>
      <c r="H915" s="202" t="s">
        <v>4825</v>
      </c>
      <c r="I915" s="203"/>
      <c r="J915" s="203"/>
      <c r="K915" s="202" t="s">
        <v>4826</v>
      </c>
      <c r="L915" s="202" t="s">
        <v>4827</v>
      </c>
      <c r="M915" s="202"/>
      <c r="N915" s="202"/>
      <c r="O915" s="202"/>
      <c r="P915" s="202"/>
      <c r="Q915" s="208"/>
      <c r="R915" s="86"/>
      <c r="S915" s="114">
        <f t="shared" ref="S915:T915" si="916">A915</f>
        <v>915</v>
      </c>
      <c r="T915" s="114" t="str">
        <f t="shared" si="916"/>
        <v>جلمبادانی مدیر مارکتینگ شرکت ردسا</v>
      </c>
      <c r="U915" s="86" t="str">
        <f t="shared" si="3"/>
        <v>09157278010</v>
      </c>
      <c r="V915" s="86" t="str">
        <f t="shared" si="4"/>
        <v>پیش‌وایی 8</v>
      </c>
      <c r="W915" s="86"/>
      <c r="X915" s="86"/>
    </row>
    <row r="916">
      <c r="A916" s="192">
        <v>916.0</v>
      </c>
      <c r="B916" s="193" t="s">
        <v>4828</v>
      </c>
      <c r="C916" s="194" t="s">
        <v>4829</v>
      </c>
      <c r="D916" s="195" t="str">
        <f>IFERROR(__xludf.DUMMYFUNCTION("ARRAYFORMULA(LET( converted, SUBSTITUTE( SUBSTITUTE( SUBSTITUTE( SUBSTITUTE( SUBSTITUTE( SUBSTITUTE( SUBSTITUTE( SUBSTITUTE( SUBSTITUTE( SUBSTITUTE( C916, ""۰"", ""0""), ""۱"", ""1""), ""۲"", ""2""), ""۳"", ""3""), ""۴"", ""4""), ""۵"", ""5""), ""۶"", ""6"&amp;"""), ""۷"", ""7""), ""۸"", ""8""), ""۹"", ""9""), IF(LEFT(converted,3)=""+98"", ""0"" &amp; RIGHT(converted, LEN(converted)-3), IF(LEFT(converted,2)=""98"", ""0"" &amp; RIGHT(converted, LEN(converted)-2), IF(LEFT(converted,1)&lt;&gt;""0"", ""0"" &amp; converted, REGEXREPLA"&amp;"CE(converted , ""\s"", """")) ) ) ) )"),"09124260862")</f>
        <v>09124260862</v>
      </c>
      <c r="E916" s="196" t="s">
        <v>17</v>
      </c>
      <c r="F916" s="197">
        <v>8.0</v>
      </c>
      <c r="G916" s="193"/>
      <c r="H916" s="193" t="s">
        <v>4830</v>
      </c>
      <c r="I916" s="194"/>
      <c r="J916" s="194"/>
      <c r="K916" s="193" t="s">
        <v>1351</v>
      </c>
      <c r="L916" s="193" t="s">
        <v>4831</v>
      </c>
      <c r="M916" s="193"/>
      <c r="N916" s="193"/>
      <c r="O916" s="193"/>
      <c r="P916" s="193"/>
      <c r="Q916" s="200"/>
      <c r="R916" s="86"/>
      <c r="S916" s="114">
        <f t="shared" ref="S916:T916" si="917">A916</f>
        <v>916</v>
      </c>
      <c r="T916" s="114" t="str">
        <f t="shared" si="917"/>
        <v>حمید کبیرمختارفر</v>
      </c>
      <c r="U916" s="86" t="str">
        <f t="shared" si="3"/>
        <v>09124260862</v>
      </c>
      <c r="V916" s="86" t="str">
        <f t="shared" si="4"/>
        <v>پیش‌وایی 8</v>
      </c>
      <c r="W916" s="86"/>
      <c r="X916" s="86"/>
    </row>
    <row r="917">
      <c r="A917" s="201">
        <v>917.0</v>
      </c>
      <c r="B917" s="207" t="s">
        <v>4444</v>
      </c>
      <c r="C917" s="203" t="s">
        <v>4832</v>
      </c>
      <c r="D917" s="204" t="str">
        <f>IFERROR(__xludf.DUMMYFUNCTION("ARRAYFORMULA(LET( converted, SUBSTITUTE( SUBSTITUTE( SUBSTITUTE( SUBSTITUTE( SUBSTITUTE( SUBSTITUTE( SUBSTITUTE( SUBSTITUTE( SUBSTITUTE( SUBSTITUTE( C917, ""۰"", ""0""), ""۱"", ""1""), ""۲"", ""2""), ""۳"", ""3""), ""۴"", ""4""), ""۵"", ""5""), ""۶"", ""6"&amp;"""), ""۷"", ""7""), ""۸"", ""8""), ""۹"", ""9""), IF(LEFT(converted,3)=""+98"", ""0"" &amp; RIGHT(converted, LEN(converted)-3), IF(LEFT(converted,2)=""98"", ""0"" &amp; RIGHT(converted, LEN(converted)-2), IF(LEFT(converted,1)&lt;&gt;""0"", ""0"" &amp; converted, REGEXREPLA"&amp;"CE(converted , ""\s"", """")) ) ) ) )"),"09027946559")</f>
        <v>09027946559</v>
      </c>
      <c r="E917" s="205" t="s">
        <v>17</v>
      </c>
      <c r="F917" s="206">
        <v>8.0</v>
      </c>
      <c r="G917" s="202"/>
      <c r="H917" s="202" t="s">
        <v>4833</v>
      </c>
      <c r="I917" s="203"/>
      <c r="J917" s="203"/>
      <c r="K917" s="202" t="s">
        <v>2280</v>
      </c>
      <c r="L917" s="202" t="s">
        <v>4834</v>
      </c>
      <c r="M917" s="202"/>
      <c r="N917" s="202"/>
      <c r="O917" s="202"/>
      <c r="P917" s="202"/>
      <c r="Q917" s="208"/>
      <c r="R917" s="86"/>
      <c r="S917" s="114">
        <f t="shared" ref="S917:T917" si="918">A917</f>
        <v>917</v>
      </c>
      <c r="T917" s="114" t="str">
        <f t="shared" si="918"/>
        <v>حمیدرضا حاتمی</v>
      </c>
      <c r="U917" s="86" t="str">
        <f t="shared" si="3"/>
        <v>09027946559</v>
      </c>
      <c r="V917" s="86" t="str">
        <f t="shared" si="4"/>
        <v>پیش‌وایی 8</v>
      </c>
      <c r="W917" s="86"/>
      <c r="X917" s="86"/>
    </row>
    <row r="918">
      <c r="A918" s="192">
        <v>918.0</v>
      </c>
      <c r="B918" s="193" t="s">
        <v>4835</v>
      </c>
      <c r="C918" s="194" t="s">
        <v>4836</v>
      </c>
      <c r="D918" s="195" t="str">
        <f>IFERROR(__xludf.DUMMYFUNCTION("ARRAYFORMULA(LET( converted, SUBSTITUTE( SUBSTITUTE( SUBSTITUTE( SUBSTITUTE( SUBSTITUTE( SUBSTITUTE( SUBSTITUTE( SUBSTITUTE( SUBSTITUTE( SUBSTITUTE( C918, ""۰"", ""0""), ""۱"", ""1""), ""۲"", ""2""), ""۳"", ""3""), ""۴"", ""4""), ""۵"", ""5""), ""۶"", ""6"&amp;"""), ""۷"", ""7""), ""۸"", ""8""), ""۹"", ""9""), IF(LEFT(converted,3)=""+98"", ""0"" &amp; RIGHT(converted, LEN(converted)-3), IF(LEFT(converted,2)=""98"", ""0"" &amp; RIGHT(converted, LEN(converted)-2), IF(LEFT(converted,1)&lt;&gt;""0"", ""0"" &amp; converted, REGEXREPLA"&amp;"CE(converted , ""\s"", """")) ) ) ) )"),"09037933974")</f>
        <v>09037933974</v>
      </c>
      <c r="E918" s="196" t="s">
        <v>17</v>
      </c>
      <c r="F918" s="197">
        <v>8.0</v>
      </c>
      <c r="G918" s="193"/>
      <c r="H918" s="193"/>
      <c r="I918" s="194"/>
      <c r="J918" s="194"/>
      <c r="K918" s="193" t="s">
        <v>1535</v>
      </c>
      <c r="L918" s="193" t="s">
        <v>4837</v>
      </c>
      <c r="M918" s="193"/>
      <c r="N918" s="193"/>
      <c r="O918" s="193"/>
      <c r="P918" s="193"/>
      <c r="Q918" s="200"/>
      <c r="R918" s="86"/>
      <c r="S918" s="114">
        <f t="shared" ref="S918:T918" si="919">A918</f>
        <v>918</v>
      </c>
      <c r="T918" s="114" t="str">
        <f t="shared" si="919"/>
        <v>خشایار معین فر</v>
      </c>
      <c r="U918" s="86" t="str">
        <f t="shared" si="3"/>
        <v>09037933974</v>
      </c>
      <c r="V918" s="86" t="str">
        <f t="shared" si="4"/>
        <v>پیش‌وایی 8</v>
      </c>
      <c r="W918" s="86"/>
      <c r="X918" s="86"/>
    </row>
    <row r="919">
      <c r="A919" s="201">
        <v>919.0</v>
      </c>
      <c r="B919" s="202" t="s">
        <v>4838</v>
      </c>
      <c r="C919" s="203" t="s">
        <v>4839</v>
      </c>
      <c r="D919" s="204" t="str">
        <f>IFERROR(__xludf.DUMMYFUNCTION("ARRAYFORMULA(LET( converted, SUBSTITUTE( SUBSTITUTE( SUBSTITUTE( SUBSTITUTE( SUBSTITUTE( SUBSTITUTE( SUBSTITUTE( SUBSTITUTE( SUBSTITUTE( SUBSTITUTE( C919, ""۰"", ""0""), ""۱"", ""1""), ""۲"", ""2""), ""۳"", ""3""), ""۴"", ""4""), ""۵"", ""5""), ""۶"", ""6"&amp;"""), ""۷"", ""7""), ""۸"", ""8""), ""۹"", ""9""), IF(LEFT(converted,3)=""+98"", ""0"" &amp; RIGHT(converted, LEN(converted)-3), IF(LEFT(converted,2)=""98"", ""0"" &amp; RIGHT(converted, LEN(converted)-2), IF(LEFT(converted,1)&lt;&gt;""0"", ""0"" &amp; converted, REGEXREPLA"&amp;"CE(converted , ""\s"", """")) ) ) ) )"),"09361261200")</f>
        <v>09361261200</v>
      </c>
      <c r="E919" s="205" t="s">
        <v>17</v>
      </c>
      <c r="F919" s="206">
        <v>8.0</v>
      </c>
      <c r="G919" s="202"/>
      <c r="H919" s="202" t="s">
        <v>4840</v>
      </c>
      <c r="I919" s="203"/>
      <c r="J919" s="203"/>
      <c r="K919" s="202" t="s">
        <v>1583</v>
      </c>
      <c r="L919" s="202" t="s">
        <v>4841</v>
      </c>
      <c r="M919" s="202"/>
      <c r="N919" s="202"/>
      <c r="O919" s="202"/>
      <c r="P919" s="202"/>
      <c r="Q919" s="208"/>
      <c r="R919" s="86"/>
      <c r="S919" s="114">
        <f t="shared" ref="S919:T919" si="920">A919</f>
        <v>919</v>
      </c>
      <c r="T919" s="114" t="str">
        <f t="shared" si="920"/>
        <v>رامتین درویش</v>
      </c>
      <c r="U919" s="86" t="str">
        <f t="shared" si="3"/>
        <v>09361261200</v>
      </c>
      <c r="V919" s="86" t="str">
        <f t="shared" si="4"/>
        <v>پیش‌وایی 8</v>
      </c>
      <c r="W919" s="86"/>
      <c r="X919" s="86"/>
    </row>
    <row r="920">
      <c r="A920" s="192">
        <v>920.0</v>
      </c>
      <c r="B920" s="193" t="s">
        <v>4842</v>
      </c>
      <c r="C920" s="194" t="s">
        <v>4843</v>
      </c>
      <c r="D920" s="195" t="str">
        <f>IFERROR(__xludf.DUMMYFUNCTION("ARRAYFORMULA(LET( converted, SUBSTITUTE( SUBSTITUTE( SUBSTITUTE( SUBSTITUTE( SUBSTITUTE( SUBSTITUTE( SUBSTITUTE( SUBSTITUTE( SUBSTITUTE( SUBSTITUTE( C920, ""۰"", ""0""), ""۱"", ""1""), ""۲"", ""2""), ""۳"", ""3""), ""۴"", ""4""), ""۵"", ""5""), ""۶"", ""6"&amp;"""), ""۷"", ""7""), ""۸"", ""8""), ""۹"", ""9""), IF(LEFT(converted,3)=""+98"", ""0"" &amp; RIGHT(converted, LEN(converted)-3), IF(LEFT(converted,2)=""98"", ""0"" &amp; RIGHT(converted, LEN(converted)-2), IF(LEFT(converted,1)&lt;&gt;""0"", ""0"" &amp; converted, REGEXREPLA"&amp;"CE(converted , ""\s"", """")) ) ) ) )"),"09351216101")</f>
        <v>09351216101</v>
      </c>
      <c r="E920" s="196" t="s">
        <v>17</v>
      </c>
      <c r="F920" s="197">
        <v>8.0</v>
      </c>
      <c r="G920" s="193"/>
      <c r="H920" s="198" t="s">
        <v>4844</v>
      </c>
      <c r="I920" s="194"/>
      <c r="J920" s="194"/>
      <c r="K920" s="193" t="s">
        <v>1419</v>
      </c>
      <c r="L920" s="193" t="s">
        <v>1577</v>
      </c>
      <c r="M920" s="193"/>
      <c r="N920" s="193"/>
      <c r="O920" s="193"/>
      <c r="P920" s="193"/>
      <c r="Q920" s="200"/>
      <c r="R920" s="86"/>
      <c r="S920" s="114">
        <f t="shared" ref="S920:T920" si="921">A920</f>
        <v>920</v>
      </c>
      <c r="T920" s="114" t="str">
        <f t="shared" si="921"/>
        <v>رسول صادقی</v>
      </c>
      <c r="U920" s="86" t="str">
        <f t="shared" si="3"/>
        <v>09351216101</v>
      </c>
      <c r="V920" s="86" t="str">
        <f t="shared" si="4"/>
        <v>پیش‌وایی 8</v>
      </c>
      <c r="W920" s="86"/>
      <c r="X920" s="86"/>
    </row>
    <row r="921">
      <c r="A921" s="201">
        <v>921.0</v>
      </c>
      <c r="B921" s="207" t="s">
        <v>4845</v>
      </c>
      <c r="C921" s="203" t="s">
        <v>4846</v>
      </c>
      <c r="D921" s="204" t="str">
        <f>IFERROR(__xludf.DUMMYFUNCTION("ARRAYFORMULA(LET( converted, SUBSTITUTE( SUBSTITUTE( SUBSTITUTE( SUBSTITUTE( SUBSTITUTE( SUBSTITUTE( SUBSTITUTE( SUBSTITUTE( SUBSTITUTE( SUBSTITUTE( C921, ""۰"", ""0""), ""۱"", ""1""), ""۲"", ""2""), ""۳"", ""3""), ""۴"", ""4""), ""۵"", ""5""), ""۶"", ""6"&amp;"""), ""۷"", ""7""), ""۸"", ""8""), ""۹"", ""9""), IF(LEFT(converted,3)=""+98"", ""0"" &amp; RIGHT(converted, LEN(converted)-3), IF(LEFT(converted,2)=""98"", ""0"" &amp; RIGHT(converted, LEN(converted)-2), IF(LEFT(converted,1)&lt;&gt;""0"", ""0"" &amp; converted, REGEXREPLA"&amp;"CE(converted , ""\s"", """")) ) ) ) )"),"09355344963")</f>
        <v>09355344963</v>
      </c>
      <c r="E921" s="205" t="s">
        <v>17</v>
      </c>
      <c r="F921" s="206">
        <v>8.0</v>
      </c>
      <c r="G921" s="202"/>
      <c r="H921" s="202" t="s">
        <v>239</v>
      </c>
      <c r="I921" s="203"/>
      <c r="J921" s="203"/>
      <c r="K921" s="202" t="s">
        <v>236</v>
      </c>
      <c r="L921" s="202" t="s">
        <v>237</v>
      </c>
      <c r="M921" s="202"/>
      <c r="N921" s="202"/>
      <c r="O921" s="202"/>
      <c r="P921" s="202"/>
      <c r="Q921" s="208"/>
      <c r="R921" s="86"/>
      <c r="S921" s="114">
        <f t="shared" ref="S921:T921" si="922">A921</f>
        <v>921</v>
      </c>
      <c r="T921" s="114" t="str">
        <f t="shared" si="922"/>
        <v>رها فرهادی</v>
      </c>
      <c r="U921" s="86" t="str">
        <f t="shared" si="3"/>
        <v>09355344963</v>
      </c>
      <c r="V921" s="86" t="str">
        <f t="shared" si="4"/>
        <v>پیش‌وایی 8</v>
      </c>
      <c r="W921" s="86"/>
      <c r="X921" s="86"/>
    </row>
    <row r="922">
      <c r="A922" s="192">
        <v>922.0</v>
      </c>
      <c r="B922" s="193" t="s">
        <v>4847</v>
      </c>
      <c r="C922" s="194" t="s">
        <v>4848</v>
      </c>
      <c r="D922" s="195" t="str">
        <f>IFERROR(__xludf.DUMMYFUNCTION("ARRAYFORMULA(LET( converted, SUBSTITUTE( SUBSTITUTE( SUBSTITUTE( SUBSTITUTE( SUBSTITUTE( SUBSTITUTE( SUBSTITUTE( SUBSTITUTE( SUBSTITUTE( SUBSTITUTE( C922, ""۰"", ""0""), ""۱"", ""1""), ""۲"", ""2""), ""۳"", ""3""), ""۴"", ""4""), ""۵"", ""5""), ""۶"", ""6"&amp;"""), ""۷"", ""7""), ""۸"", ""8""), ""۹"", ""9""), IF(LEFT(converted,3)=""+98"", ""0"" &amp; RIGHT(converted, LEN(converted)-3), IF(LEFT(converted,2)=""98"", ""0"" &amp; RIGHT(converted, LEN(converted)-2), IF(LEFT(converted,1)&lt;&gt;""0"", ""0"" &amp; converted, REGEXREPLA"&amp;"CE(converted , ""\s"", """")) ) ) ) )"),"09122083834")</f>
        <v>09122083834</v>
      </c>
      <c r="E922" s="196" t="s">
        <v>17</v>
      </c>
      <c r="F922" s="197">
        <v>8.0</v>
      </c>
      <c r="G922" s="193"/>
      <c r="H922" s="193" t="s">
        <v>4849</v>
      </c>
      <c r="I922" s="194"/>
      <c r="J922" s="194"/>
      <c r="K922" s="193" t="s">
        <v>4850</v>
      </c>
      <c r="L922" s="193" t="s">
        <v>4851</v>
      </c>
      <c r="M922" s="193"/>
      <c r="N922" s="193"/>
      <c r="O922" s="193"/>
      <c r="P922" s="193"/>
      <c r="Q922" s="200"/>
      <c r="R922" s="86"/>
      <c r="S922" s="114">
        <f t="shared" ref="S922:T922" si="923">A922</f>
        <v>922</v>
      </c>
      <c r="T922" s="114" t="str">
        <f t="shared" si="923"/>
        <v>روزبه شجاعی</v>
      </c>
      <c r="U922" s="86" t="str">
        <f t="shared" si="3"/>
        <v>09122083834</v>
      </c>
      <c r="V922" s="86" t="str">
        <f t="shared" si="4"/>
        <v>پیش‌وایی 8</v>
      </c>
      <c r="W922" s="86"/>
      <c r="X922" s="86"/>
    </row>
    <row r="923">
      <c r="A923" s="201">
        <v>923.0</v>
      </c>
      <c r="B923" s="207" t="s">
        <v>4852</v>
      </c>
      <c r="C923" s="203" t="s">
        <v>4853</v>
      </c>
      <c r="D923" s="204" t="str">
        <f>IFERROR(__xludf.DUMMYFUNCTION("ARRAYFORMULA(LET( converted, SUBSTITUTE( SUBSTITUTE( SUBSTITUTE( SUBSTITUTE( SUBSTITUTE( SUBSTITUTE( SUBSTITUTE( SUBSTITUTE( SUBSTITUTE( SUBSTITUTE( C923, ""۰"", ""0""), ""۱"", ""1""), ""۲"", ""2""), ""۳"", ""3""), ""۴"", ""4""), ""۵"", ""5""), ""۶"", ""6"&amp;"""), ""۷"", ""7""), ""۸"", ""8""), ""۹"", ""9""), IF(LEFT(converted,3)=""+98"", ""0"" &amp; RIGHT(converted, LEN(converted)-3), IF(LEFT(converted,2)=""98"", ""0"" &amp; RIGHT(converted, LEN(converted)-2), IF(LEFT(converted,1)&lt;&gt;""0"", ""0"" &amp; converted, REGEXREPLA"&amp;"CE(converted , ""\s"", """")) ) ) ) )"),"09368570499")</f>
        <v>09368570499</v>
      </c>
      <c r="E923" s="205" t="s">
        <v>17</v>
      </c>
      <c r="F923" s="206">
        <v>8.0</v>
      </c>
      <c r="G923" s="202"/>
      <c r="H923" s="202" t="s">
        <v>4854</v>
      </c>
      <c r="I923" s="203"/>
      <c r="J923" s="203"/>
      <c r="K923" s="202" t="s">
        <v>4855</v>
      </c>
      <c r="L923" s="202" t="s">
        <v>2573</v>
      </c>
      <c r="M923" s="202"/>
      <c r="N923" s="202"/>
      <c r="O923" s="202"/>
      <c r="P923" s="202"/>
      <c r="Q923" s="208"/>
      <c r="R923" s="86"/>
      <c r="S923" s="114">
        <f t="shared" ref="S923:T923" si="924">A923</f>
        <v>923</v>
      </c>
      <c r="T923" s="114" t="str">
        <f t="shared" si="924"/>
        <v>روژین جعفری</v>
      </c>
      <c r="U923" s="86" t="str">
        <f t="shared" si="3"/>
        <v>09368570499</v>
      </c>
      <c r="V923" s="86" t="str">
        <f t="shared" si="4"/>
        <v>پیش‌وایی 8</v>
      </c>
      <c r="W923" s="86"/>
      <c r="X923" s="86"/>
    </row>
    <row r="924">
      <c r="A924" s="192">
        <v>924.0</v>
      </c>
      <c r="B924" s="193" t="s">
        <v>3514</v>
      </c>
      <c r="C924" s="194" t="s">
        <v>3515</v>
      </c>
      <c r="D924" s="195" t="str">
        <f>IFERROR(__xludf.DUMMYFUNCTION("ARRAYFORMULA(LET( converted, SUBSTITUTE( SUBSTITUTE( SUBSTITUTE( SUBSTITUTE( SUBSTITUTE( SUBSTITUTE( SUBSTITUTE( SUBSTITUTE( SUBSTITUTE( SUBSTITUTE( C924, ""۰"", ""0""), ""۱"", ""1""), ""۲"", ""2""), ""۳"", ""3""), ""۴"", ""4""), ""۵"", ""5""), ""۶"", ""6"&amp;"""), ""۷"", ""7""), ""۸"", ""8""), ""۹"", ""9""), IF(LEFT(converted,3)=""+98"", ""0"" &amp; RIGHT(converted, LEN(converted)-3), IF(LEFT(converted,2)=""98"", ""0"" &amp; RIGHT(converted, LEN(converted)-2), IF(LEFT(converted,1)&lt;&gt;""0"", ""0"" &amp; converted, REGEXREPLA"&amp;"CE(converted , ""\s"", """")) ) ) ) )"),"09124849142")</f>
        <v>09124849142</v>
      </c>
      <c r="E924" s="196" t="s">
        <v>17</v>
      </c>
      <c r="F924" s="197">
        <v>8.0</v>
      </c>
      <c r="G924" s="193"/>
      <c r="H924" s="193" t="s">
        <v>3516</v>
      </c>
      <c r="I924" s="194"/>
      <c r="J924" s="194"/>
      <c r="K924" s="193" t="s">
        <v>1398</v>
      </c>
      <c r="L924" s="193" t="s">
        <v>3518</v>
      </c>
      <c r="M924" s="193"/>
      <c r="N924" s="193"/>
      <c r="O924" s="193"/>
      <c r="P924" s="193"/>
      <c r="Q924" s="200"/>
      <c r="R924" s="86"/>
      <c r="S924" s="114">
        <f t="shared" ref="S924:T924" si="925">A924</f>
        <v>924</v>
      </c>
      <c r="T924" s="114" t="str">
        <f t="shared" si="925"/>
        <v>زهرا صباغ</v>
      </c>
      <c r="U924" s="86" t="str">
        <f t="shared" si="3"/>
        <v>09124849142</v>
      </c>
      <c r="V924" s="86" t="str">
        <f t="shared" si="4"/>
        <v>پیش‌وایی 8</v>
      </c>
      <c r="W924" s="86"/>
      <c r="X924" s="86"/>
    </row>
    <row r="925">
      <c r="A925" s="201">
        <v>925.0</v>
      </c>
      <c r="B925" s="202" t="s">
        <v>4856</v>
      </c>
      <c r="C925" s="203" t="s">
        <v>4857</v>
      </c>
      <c r="D925" s="204" t="str">
        <f>IFERROR(__xludf.DUMMYFUNCTION("ARRAYFORMULA(LET( converted, SUBSTITUTE( SUBSTITUTE( SUBSTITUTE( SUBSTITUTE( SUBSTITUTE( SUBSTITUTE( SUBSTITUTE( SUBSTITUTE( SUBSTITUTE( SUBSTITUTE( C925, ""۰"", ""0""), ""۱"", ""1""), ""۲"", ""2""), ""۳"", ""3""), ""۴"", ""4""), ""۵"", ""5""), ""۶"", ""6"&amp;"""), ""۷"", ""7""), ""۸"", ""8""), ""۹"", ""9""), IF(LEFT(converted,3)=""+98"", ""0"" &amp; RIGHT(converted, LEN(converted)-3), IF(LEFT(converted,2)=""98"", ""0"" &amp; RIGHT(converted, LEN(converted)-2), IF(LEFT(converted,1)&lt;&gt;""0"", ""0"" &amp; converted, REGEXREPLA"&amp;"CE(converted , ""\s"", """")) ) ) ) )"),"09374712864")</f>
        <v>09374712864</v>
      </c>
      <c r="E925" s="205" t="s">
        <v>17</v>
      </c>
      <c r="F925" s="206">
        <v>8.0</v>
      </c>
      <c r="G925" s="202"/>
      <c r="H925" s="202" t="s">
        <v>4858</v>
      </c>
      <c r="I925" s="203"/>
      <c r="J925" s="203"/>
      <c r="K925" s="202" t="s">
        <v>852</v>
      </c>
      <c r="L925" s="202" t="s">
        <v>4859</v>
      </c>
      <c r="M925" s="202"/>
      <c r="N925" s="202"/>
      <c r="O925" s="202"/>
      <c r="P925" s="202"/>
      <c r="Q925" s="208"/>
      <c r="R925" s="86"/>
      <c r="S925" s="114">
        <f t="shared" ref="S925:T925" si="926">A925</f>
        <v>925</v>
      </c>
      <c r="T925" s="114" t="str">
        <f t="shared" si="926"/>
        <v>زهره حاجی قاسمی</v>
      </c>
      <c r="U925" s="86" t="str">
        <f t="shared" si="3"/>
        <v>09374712864</v>
      </c>
      <c r="V925" s="86" t="str">
        <f t="shared" si="4"/>
        <v>پیش‌وایی 8</v>
      </c>
      <c r="W925" s="86"/>
      <c r="X925" s="86"/>
    </row>
    <row r="926">
      <c r="A926" s="192">
        <v>926.0</v>
      </c>
      <c r="B926" s="193" t="s">
        <v>4860</v>
      </c>
      <c r="C926" s="194" t="s">
        <v>4861</v>
      </c>
      <c r="D926" s="195" t="str">
        <f>IFERROR(__xludf.DUMMYFUNCTION("ARRAYFORMULA(LET( converted, SUBSTITUTE( SUBSTITUTE( SUBSTITUTE( SUBSTITUTE( SUBSTITUTE( SUBSTITUTE( SUBSTITUTE( SUBSTITUTE( SUBSTITUTE( SUBSTITUTE( C926, ""۰"", ""0""), ""۱"", ""1""), ""۲"", ""2""), ""۳"", ""3""), ""۴"", ""4""), ""۵"", ""5""), ""۶"", ""6"&amp;"""), ""۷"", ""7""), ""۸"", ""8""), ""۹"", ""9""), IF(LEFT(converted,3)=""+98"", ""0"" &amp; RIGHT(converted, LEN(converted)-3), IF(LEFT(converted,2)=""98"", ""0"" &amp; RIGHT(converted, LEN(converted)-2), IF(LEFT(converted,1)&lt;&gt;""0"", ""0"" &amp; converted, REGEXREPLA"&amp;"CE(converted , ""\s"", """")) ) ) ) )"),"09123062119")</f>
        <v>09123062119</v>
      </c>
      <c r="E926" s="196" t="s">
        <v>17</v>
      </c>
      <c r="F926" s="197">
        <v>8.0</v>
      </c>
      <c r="G926" s="193"/>
      <c r="H926" s="193" t="s">
        <v>4862</v>
      </c>
      <c r="I926" s="194"/>
      <c r="J926" s="194"/>
      <c r="K926" s="193" t="s">
        <v>4863</v>
      </c>
      <c r="L926" s="193" t="s">
        <v>2201</v>
      </c>
      <c r="M926" s="193"/>
      <c r="N926" s="193"/>
      <c r="O926" s="193"/>
      <c r="P926" s="193"/>
      <c r="Q926" s="200"/>
      <c r="R926" s="86"/>
      <c r="S926" s="114">
        <f t="shared" ref="S926:T926" si="927">A926</f>
        <v>926</v>
      </c>
      <c r="T926" s="114" t="str">
        <f t="shared" si="927"/>
        <v>زهره سادات هاشمی</v>
      </c>
      <c r="U926" s="86" t="str">
        <f t="shared" si="3"/>
        <v>09123062119</v>
      </c>
      <c r="V926" s="86" t="str">
        <f t="shared" si="4"/>
        <v>پیش‌وایی 8</v>
      </c>
      <c r="W926" s="86"/>
      <c r="X926" s="86"/>
    </row>
    <row r="927">
      <c r="A927" s="201">
        <v>927.0</v>
      </c>
      <c r="B927" s="207" t="s">
        <v>4864</v>
      </c>
      <c r="C927" s="203" t="s">
        <v>4865</v>
      </c>
      <c r="D927" s="204" t="str">
        <f>IFERROR(__xludf.DUMMYFUNCTION("ARRAYFORMULA(LET( converted, SUBSTITUTE( SUBSTITUTE( SUBSTITUTE( SUBSTITUTE( SUBSTITUTE( SUBSTITUTE( SUBSTITUTE( SUBSTITUTE( SUBSTITUTE( SUBSTITUTE( C927, ""۰"", ""0""), ""۱"", ""1""), ""۲"", ""2""), ""۳"", ""3""), ""۴"", ""4""), ""۵"", ""5""), ""۶"", ""6"&amp;"""), ""۷"", ""7""), ""۸"", ""8""), ""۹"", ""9""), IF(LEFT(converted,3)=""+98"", ""0"" &amp; RIGHT(converted, LEN(converted)-3), IF(LEFT(converted,2)=""98"", ""0"" &amp; RIGHT(converted, LEN(converted)-2), IF(LEFT(converted,1)&lt;&gt;""0"", ""0"" &amp; converted, REGEXREPLA"&amp;"CE(converted , ""\s"", """")) ) ) ) )"),"09109193213")</f>
        <v>09109193213</v>
      </c>
      <c r="E927" s="205" t="s">
        <v>17</v>
      </c>
      <c r="F927" s="206">
        <v>8.0</v>
      </c>
      <c r="G927" s="202"/>
      <c r="H927" s="202" t="s">
        <v>4866</v>
      </c>
      <c r="I927" s="203"/>
      <c r="J927" s="203"/>
      <c r="K927" s="202" t="s">
        <v>4867</v>
      </c>
      <c r="L927" s="202" t="s">
        <v>4868</v>
      </c>
      <c r="M927" s="202"/>
      <c r="N927" s="202"/>
      <c r="O927" s="202"/>
      <c r="P927" s="202"/>
      <c r="Q927" s="208"/>
      <c r="R927" s="86"/>
      <c r="S927" s="114">
        <f t="shared" ref="S927:T927" si="928">A927</f>
        <v>927</v>
      </c>
      <c r="T927" s="114" t="str">
        <f t="shared" si="928"/>
        <v>سارینا یوسف زاده</v>
      </c>
      <c r="U927" s="86" t="str">
        <f t="shared" si="3"/>
        <v>09109193213</v>
      </c>
      <c r="V927" s="86" t="str">
        <f t="shared" si="4"/>
        <v>پیش‌وایی 8</v>
      </c>
      <c r="W927" s="86"/>
      <c r="X927" s="86"/>
    </row>
    <row r="928">
      <c r="A928" s="192">
        <v>928.0</v>
      </c>
      <c r="B928" s="193" t="s">
        <v>4869</v>
      </c>
      <c r="C928" s="194" t="s">
        <v>4870</v>
      </c>
      <c r="D928" s="195" t="str">
        <f>IFERROR(__xludf.DUMMYFUNCTION("ARRAYFORMULA(LET( converted, SUBSTITUTE( SUBSTITUTE( SUBSTITUTE( SUBSTITUTE( SUBSTITUTE( SUBSTITUTE( SUBSTITUTE( SUBSTITUTE( SUBSTITUTE( SUBSTITUTE( C928, ""۰"", ""0""), ""۱"", ""1""), ""۲"", ""2""), ""۳"", ""3""), ""۴"", ""4""), ""۵"", ""5""), ""۶"", ""6"&amp;"""), ""۷"", ""7""), ""۸"", ""8""), ""۹"", ""9""), IF(LEFT(converted,3)=""+98"", ""0"" &amp; RIGHT(converted, LEN(converted)-3), IF(LEFT(converted,2)=""98"", ""0"" &amp; RIGHT(converted, LEN(converted)-2), IF(LEFT(converted,1)&lt;&gt;""0"", ""0"" &amp; converted, REGEXREPLA"&amp;"CE(converted , ""\s"", """")) ) ) ) )"),"09120353615")</f>
        <v>09120353615</v>
      </c>
      <c r="E928" s="196" t="s">
        <v>17</v>
      </c>
      <c r="F928" s="197">
        <v>8.0</v>
      </c>
      <c r="G928" s="193"/>
      <c r="H928" s="193" t="s">
        <v>4871</v>
      </c>
      <c r="I928" s="194"/>
      <c r="J928" s="194"/>
      <c r="K928" s="193" t="s">
        <v>4872</v>
      </c>
      <c r="L928" s="193" t="s">
        <v>1913</v>
      </c>
      <c r="M928" s="193"/>
      <c r="N928" s="193"/>
      <c r="O928" s="193"/>
      <c r="P928" s="193"/>
      <c r="Q928" s="200"/>
      <c r="R928" s="86"/>
      <c r="S928" s="114">
        <f t="shared" ref="S928:T928" si="929">A928</f>
        <v>928</v>
      </c>
      <c r="T928" s="114" t="str">
        <f t="shared" si="929"/>
        <v>سبحان مرادی</v>
      </c>
      <c r="U928" s="86" t="str">
        <f t="shared" si="3"/>
        <v>09120353615</v>
      </c>
      <c r="V928" s="86" t="str">
        <f t="shared" si="4"/>
        <v>پیش‌وایی 8</v>
      </c>
      <c r="W928" s="86"/>
      <c r="X928" s="86"/>
    </row>
    <row r="929">
      <c r="A929" s="201">
        <v>929.0</v>
      </c>
      <c r="B929" s="207" t="s">
        <v>4873</v>
      </c>
      <c r="C929" s="203" t="s">
        <v>4874</v>
      </c>
      <c r="D929" s="204" t="str">
        <f>IFERROR(__xludf.DUMMYFUNCTION("ARRAYFORMULA(LET( converted, SUBSTITUTE( SUBSTITUTE( SUBSTITUTE( SUBSTITUTE( SUBSTITUTE( SUBSTITUTE( SUBSTITUTE( SUBSTITUTE( SUBSTITUTE( SUBSTITUTE( C929, ""۰"", ""0""), ""۱"", ""1""), ""۲"", ""2""), ""۳"", ""3""), ""۴"", ""4""), ""۵"", ""5""), ""۶"", ""6"&amp;"""), ""۷"", ""7""), ""۸"", ""8""), ""۹"", ""9""), IF(LEFT(converted,3)=""+98"", ""0"" &amp; RIGHT(converted, LEN(converted)-3), IF(LEFT(converted,2)=""98"", ""0"" &amp; RIGHT(converted, LEN(converted)-2), IF(LEFT(converted,1)&lt;&gt;""0"", ""0"" &amp; converted, REGEXREPLA"&amp;"CE(converted , ""\s"", """")) ) ) ) )"),"09904040122")</f>
        <v>09904040122</v>
      </c>
      <c r="E929" s="205" t="s">
        <v>17</v>
      </c>
      <c r="F929" s="206">
        <v>8.0</v>
      </c>
      <c r="G929" s="202"/>
      <c r="H929" s="202" t="s">
        <v>4875</v>
      </c>
      <c r="I929" s="203"/>
      <c r="J929" s="203"/>
      <c r="K929" s="202" t="s">
        <v>247</v>
      </c>
      <c r="L929" s="202" t="s">
        <v>4876</v>
      </c>
      <c r="M929" s="202"/>
      <c r="N929" s="202"/>
      <c r="O929" s="202"/>
      <c r="P929" s="202"/>
      <c r="Q929" s="208"/>
      <c r="R929" s="86"/>
      <c r="S929" s="114">
        <f t="shared" ref="S929:T929" si="930">A929</f>
        <v>929</v>
      </c>
      <c r="T929" s="114" t="str">
        <f t="shared" si="930"/>
        <v>سجاد رودباری</v>
      </c>
      <c r="U929" s="86" t="str">
        <f t="shared" si="3"/>
        <v>09904040122</v>
      </c>
      <c r="V929" s="86" t="str">
        <f t="shared" si="4"/>
        <v>پیش‌وایی 8</v>
      </c>
      <c r="W929" s="86"/>
      <c r="X929" s="86"/>
    </row>
    <row r="930">
      <c r="A930" s="192">
        <v>930.0</v>
      </c>
      <c r="B930" s="199" t="s">
        <v>4877</v>
      </c>
      <c r="C930" s="194" t="s">
        <v>4878</v>
      </c>
      <c r="D930" s="195" t="str">
        <f>IFERROR(__xludf.DUMMYFUNCTION("ARRAYFORMULA(LET( converted, SUBSTITUTE( SUBSTITUTE( SUBSTITUTE( SUBSTITUTE( SUBSTITUTE( SUBSTITUTE( SUBSTITUTE( SUBSTITUTE( SUBSTITUTE( SUBSTITUTE( C930, ""۰"", ""0""), ""۱"", ""1""), ""۲"", ""2""), ""۳"", ""3""), ""۴"", ""4""), ""۵"", ""5""), ""۶"", ""6"&amp;"""), ""۷"", ""7""), ""۸"", ""8""), ""۹"", ""9""), IF(LEFT(converted,3)=""+98"", ""0"" &amp; RIGHT(converted, LEN(converted)-3), IF(LEFT(converted,2)=""98"", ""0"" &amp; RIGHT(converted, LEN(converted)-2), IF(LEFT(converted,1)&lt;&gt;""0"", ""0"" &amp; converted, REGEXREPLA"&amp;"CE(converted , ""\s"", """")) ) ) ) )"),"09100271499")</f>
        <v>09100271499</v>
      </c>
      <c r="E930" s="196" t="s">
        <v>17</v>
      </c>
      <c r="F930" s="197">
        <v>8.0</v>
      </c>
      <c r="G930" s="193"/>
      <c r="H930" s="193" t="s">
        <v>4879</v>
      </c>
      <c r="I930" s="194"/>
      <c r="J930" s="194"/>
      <c r="K930" s="193" t="s">
        <v>1071</v>
      </c>
      <c r="L930" s="193" t="s">
        <v>4880</v>
      </c>
      <c r="M930" s="193"/>
      <c r="N930" s="193"/>
      <c r="O930" s="193"/>
      <c r="P930" s="193"/>
      <c r="Q930" s="200"/>
      <c r="R930" s="86"/>
      <c r="S930" s="114">
        <f t="shared" ref="S930:T930" si="931">A930</f>
        <v>930</v>
      </c>
      <c r="T930" s="114" t="str">
        <f t="shared" si="931"/>
        <v>سحر سراجیان</v>
      </c>
      <c r="U930" s="86" t="str">
        <f t="shared" si="3"/>
        <v>09100271499</v>
      </c>
      <c r="V930" s="86" t="str">
        <f t="shared" si="4"/>
        <v>پیش‌وایی 8</v>
      </c>
      <c r="W930" s="86"/>
      <c r="X930" s="86"/>
    </row>
    <row r="931">
      <c r="A931" s="201">
        <v>931.0</v>
      </c>
      <c r="B931" s="202" t="s">
        <v>4881</v>
      </c>
      <c r="C931" s="203" t="s">
        <v>4882</v>
      </c>
      <c r="D931" s="204" t="str">
        <f>IFERROR(__xludf.DUMMYFUNCTION("ARRAYFORMULA(LET( converted, SUBSTITUTE( SUBSTITUTE( SUBSTITUTE( SUBSTITUTE( SUBSTITUTE( SUBSTITUTE( SUBSTITUTE( SUBSTITUTE( SUBSTITUTE( SUBSTITUTE( C931, ""۰"", ""0""), ""۱"", ""1""), ""۲"", ""2""), ""۳"", ""3""), ""۴"", ""4""), ""۵"", ""5""), ""۶"", ""6"&amp;"""), ""۷"", ""7""), ""۸"", ""8""), ""۹"", ""9""), IF(LEFT(converted,3)=""+98"", ""0"" &amp; RIGHT(converted, LEN(converted)-3), IF(LEFT(converted,2)=""98"", ""0"" &amp; RIGHT(converted, LEN(converted)-2), IF(LEFT(converted,1)&lt;&gt;""0"", ""0"" &amp; converted, REGEXREPLA"&amp;"CE(converted , ""\s"", """")) ) ) ) )"),"09178708280")</f>
        <v>09178708280</v>
      </c>
      <c r="E931" s="205" t="s">
        <v>17</v>
      </c>
      <c r="F931" s="206">
        <v>8.0</v>
      </c>
      <c r="G931" s="202"/>
      <c r="H931" s="202" t="s">
        <v>4883</v>
      </c>
      <c r="I931" s="203"/>
      <c r="J931" s="203"/>
      <c r="K931" s="202" t="s">
        <v>758</v>
      </c>
      <c r="L931" s="202" t="s">
        <v>4884</v>
      </c>
      <c r="M931" s="202"/>
      <c r="N931" s="202"/>
      <c r="O931" s="202"/>
      <c r="P931" s="202"/>
      <c r="Q931" s="208"/>
      <c r="R931" s="86"/>
      <c r="S931" s="114">
        <f t="shared" ref="S931:T931" si="932">A931</f>
        <v>931</v>
      </c>
      <c r="T931" s="114" t="str">
        <f t="shared" si="932"/>
        <v>سعید رضایی</v>
      </c>
      <c r="U931" s="86" t="str">
        <f t="shared" si="3"/>
        <v>09178708280</v>
      </c>
      <c r="V931" s="86" t="str">
        <f t="shared" si="4"/>
        <v>پیش‌وایی 8</v>
      </c>
      <c r="W931" s="86"/>
      <c r="X931" s="86"/>
    </row>
    <row r="932">
      <c r="A932" s="192">
        <v>932.0</v>
      </c>
      <c r="B932" s="193" t="s">
        <v>457</v>
      </c>
      <c r="C932" s="194" t="s">
        <v>4885</v>
      </c>
      <c r="D932" s="195" t="str">
        <f>IFERROR(__xludf.DUMMYFUNCTION("ARRAYFORMULA(LET( converted, SUBSTITUTE( SUBSTITUTE( SUBSTITUTE( SUBSTITUTE( SUBSTITUTE( SUBSTITUTE( SUBSTITUTE( SUBSTITUTE( SUBSTITUTE( SUBSTITUTE( C932, ""۰"", ""0""), ""۱"", ""1""), ""۲"", ""2""), ""۳"", ""3""), ""۴"", ""4""), ""۵"", ""5""), ""۶"", ""6"&amp;"""), ""۷"", ""7""), ""۸"", ""8""), ""۹"", ""9""), IF(LEFT(converted,3)=""+98"", ""0"" &amp; RIGHT(converted, LEN(converted)-3), IF(LEFT(converted,2)=""98"", ""0"" &amp; RIGHT(converted, LEN(converted)-2), IF(LEFT(converted,1)&lt;&gt;""0"", ""0"" &amp; converted, REGEXREPLA"&amp;"CE(converted , ""\s"", """")) ) ) ) )"),"09129455538")</f>
        <v>09129455538</v>
      </c>
      <c r="E932" s="196" t="s">
        <v>17</v>
      </c>
      <c r="F932" s="197">
        <v>8.0</v>
      </c>
      <c r="G932" s="193"/>
      <c r="H932" s="193"/>
      <c r="I932" s="194"/>
      <c r="J932" s="194"/>
      <c r="K932" s="193" t="s">
        <v>758</v>
      </c>
      <c r="L932" s="193" t="s">
        <v>1303</v>
      </c>
      <c r="M932" s="193"/>
      <c r="N932" s="193"/>
      <c r="O932" s="193"/>
      <c r="P932" s="193"/>
      <c r="Q932" s="200"/>
      <c r="R932" s="86"/>
      <c r="S932" s="114">
        <f t="shared" ref="S932:T932" si="933">A932</f>
        <v>932</v>
      </c>
      <c r="T932" s="114" t="str">
        <f t="shared" si="933"/>
        <v>سعید حسینی</v>
      </c>
      <c r="U932" s="86" t="str">
        <f t="shared" si="3"/>
        <v>09129455538</v>
      </c>
      <c r="V932" s="86" t="str">
        <f t="shared" si="4"/>
        <v>پیش‌وایی 8</v>
      </c>
      <c r="W932" s="86"/>
      <c r="X932" s="86"/>
    </row>
    <row r="933">
      <c r="A933" s="201">
        <v>933.0</v>
      </c>
      <c r="B933" s="207" t="s">
        <v>4886</v>
      </c>
      <c r="C933" s="203" t="s">
        <v>4887</v>
      </c>
      <c r="D933" s="204" t="str">
        <f>IFERROR(__xludf.DUMMYFUNCTION("ARRAYFORMULA(LET( converted, SUBSTITUTE( SUBSTITUTE( SUBSTITUTE( SUBSTITUTE( SUBSTITUTE( SUBSTITUTE( SUBSTITUTE( SUBSTITUTE( SUBSTITUTE( SUBSTITUTE( C933, ""۰"", ""0""), ""۱"", ""1""), ""۲"", ""2""), ""۳"", ""3""), ""۴"", ""4""), ""۵"", ""5""), ""۶"", ""6"&amp;"""), ""۷"", ""7""), ""۸"", ""8""), ""۹"", ""9""), IF(LEFT(converted,3)=""+98"", ""0"" &amp; RIGHT(converted, LEN(converted)-3), IF(LEFT(converted,2)=""98"", ""0"" &amp; RIGHT(converted, LEN(converted)-2), IF(LEFT(converted,1)&lt;&gt;""0"", ""0"" &amp; converted, REGEXREPLA"&amp;"CE(converted , ""\s"", """")) ) ) ) )"),"09127649357")</f>
        <v>09127649357</v>
      </c>
      <c r="E933" s="205" t="s">
        <v>17</v>
      </c>
      <c r="F933" s="206">
        <v>8.0</v>
      </c>
      <c r="G933" s="202"/>
      <c r="H933" s="202" t="s">
        <v>4888</v>
      </c>
      <c r="I933" s="203"/>
      <c r="J933" s="203"/>
      <c r="K933" s="202" t="s">
        <v>1576</v>
      </c>
      <c r="L933" s="202" t="s">
        <v>4889</v>
      </c>
      <c r="M933" s="202"/>
      <c r="N933" s="202"/>
      <c r="O933" s="202"/>
      <c r="P933" s="202"/>
      <c r="Q933" s="208"/>
      <c r="R933" s="86"/>
      <c r="S933" s="114">
        <f t="shared" ref="S933:T933" si="934">A933</f>
        <v>933</v>
      </c>
      <c r="T933" s="114" t="str">
        <f t="shared" si="934"/>
        <v>سمانه نیک پور</v>
      </c>
      <c r="U933" s="86" t="str">
        <f t="shared" si="3"/>
        <v>09127649357</v>
      </c>
      <c r="V933" s="86" t="str">
        <f t="shared" si="4"/>
        <v>پیش‌وایی 8</v>
      </c>
      <c r="W933" s="86"/>
      <c r="X933" s="86"/>
    </row>
    <row r="934">
      <c r="A934" s="192">
        <v>934.0</v>
      </c>
      <c r="B934" s="193" t="s">
        <v>4890</v>
      </c>
      <c r="C934" s="194" t="s">
        <v>4891</v>
      </c>
      <c r="D934" s="195" t="str">
        <f>IFERROR(__xludf.DUMMYFUNCTION("ARRAYFORMULA(LET( converted, SUBSTITUTE( SUBSTITUTE( SUBSTITUTE( SUBSTITUTE( SUBSTITUTE( SUBSTITUTE( SUBSTITUTE( SUBSTITUTE( SUBSTITUTE( SUBSTITUTE( C934, ""۰"", ""0""), ""۱"", ""1""), ""۲"", ""2""), ""۳"", ""3""), ""۴"", ""4""), ""۵"", ""5""), ""۶"", ""6"&amp;"""), ""۷"", ""7""), ""۸"", ""8""), ""۹"", ""9""), IF(LEFT(converted,3)=""+98"", ""0"" &amp; RIGHT(converted, LEN(converted)-3), IF(LEFT(converted,2)=""98"", ""0"" &amp; RIGHT(converted, LEN(converted)-2), IF(LEFT(converted,1)&lt;&gt;""0"", ""0"" &amp; converted, REGEXREPLA"&amp;"CE(converted , ""\s"", """")) ) ) ) )"),"09122229770")</f>
        <v>09122229770</v>
      </c>
      <c r="E934" s="196" t="s">
        <v>17</v>
      </c>
      <c r="F934" s="197">
        <v>8.0</v>
      </c>
      <c r="G934" s="193"/>
      <c r="H934" s="193" t="s">
        <v>4892</v>
      </c>
      <c r="I934" s="194"/>
      <c r="J934" s="194"/>
      <c r="K934" s="193" t="s">
        <v>774</v>
      </c>
      <c r="L934" s="193" t="s">
        <v>4893</v>
      </c>
      <c r="M934" s="193"/>
      <c r="N934" s="193"/>
      <c r="O934" s="193"/>
      <c r="P934" s="193"/>
      <c r="Q934" s="200"/>
      <c r="R934" s="86"/>
      <c r="S934" s="114">
        <f t="shared" ref="S934:T934" si="935">A934</f>
        <v>934</v>
      </c>
      <c r="T934" s="114" t="str">
        <f t="shared" si="935"/>
        <v>سیاوش کبگانی</v>
      </c>
      <c r="U934" s="86" t="str">
        <f t="shared" si="3"/>
        <v>09122229770</v>
      </c>
      <c r="V934" s="86" t="str">
        <f t="shared" si="4"/>
        <v>پیش‌وایی 8</v>
      </c>
      <c r="W934" s="86"/>
      <c r="X934" s="86"/>
    </row>
    <row r="935">
      <c r="A935" s="201">
        <v>935.0</v>
      </c>
      <c r="B935" s="202" t="s">
        <v>4894</v>
      </c>
      <c r="C935" s="203" t="s">
        <v>4895</v>
      </c>
      <c r="D935" s="204" t="str">
        <f>IFERROR(__xludf.DUMMYFUNCTION("ARRAYFORMULA(LET( converted, SUBSTITUTE( SUBSTITUTE( SUBSTITUTE( SUBSTITUTE( SUBSTITUTE( SUBSTITUTE( SUBSTITUTE( SUBSTITUTE( SUBSTITUTE( SUBSTITUTE( C935, ""۰"", ""0""), ""۱"", ""1""), ""۲"", ""2""), ""۳"", ""3""), ""۴"", ""4""), ""۵"", ""5""), ""۶"", ""6"&amp;"""), ""۷"", ""7""), ""۸"", ""8""), ""۹"", ""9""), IF(LEFT(converted,3)=""+98"", ""0"" &amp; RIGHT(converted, LEN(converted)-3), IF(LEFT(converted,2)=""98"", ""0"" &amp; RIGHT(converted, LEN(converted)-2), IF(LEFT(converted,1)&lt;&gt;""0"", ""0"" &amp; converted, REGEXREPLA"&amp;"CE(converted , ""\s"", """")) ) ) ) )"),"09195373573")</f>
        <v>09195373573</v>
      </c>
      <c r="E935" s="205" t="s">
        <v>17</v>
      </c>
      <c r="F935" s="206">
        <v>8.0</v>
      </c>
      <c r="G935" s="202"/>
      <c r="H935" s="202" t="s">
        <v>4896</v>
      </c>
      <c r="I935" s="203"/>
      <c r="J935" s="203"/>
      <c r="K935" s="202" t="s">
        <v>4897</v>
      </c>
      <c r="L935" s="202" t="s">
        <v>1934</v>
      </c>
      <c r="M935" s="202"/>
      <c r="N935" s="202"/>
      <c r="O935" s="202"/>
      <c r="P935" s="202"/>
      <c r="Q935" s="208"/>
      <c r="R935" s="86"/>
      <c r="S935" s="114">
        <f t="shared" ref="S935:T935" si="936">A935</f>
        <v>935</v>
      </c>
      <c r="T935" s="114" t="str">
        <f t="shared" si="936"/>
        <v>سید محمدرضا نجفی</v>
      </c>
      <c r="U935" s="86" t="str">
        <f t="shared" si="3"/>
        <v>09195373573</v>
      </c>
      <c r="V935" s="86" t="str">
        <f t="shared" si="4"/>
        <v>پیش‌وایی 8</v>
      </c>
      <c r="W935" s="86"/>
      <c r="X935" s="86"/>
    </row>
    <row r="936">
      <c r="A936" s="192">
        <v>936.0</v>
      </c>
      <c r="B936" s="193" t="s">
        <v>397</v>
      </c>
      <c r="C936" s="194" t="s">
        <v>4898</v>
      </c>
      <c r="D936" s="195" t="str">
        <f>IFERROR(__xludf.DUMMYFUNCTION("ARRAYFORMULA(LET( converted, SUBSTITUTE( SUBSTITUTE( SUBSTITUTE( SUBSTITUTE( SUBSTITUTE( SUBSTITUTE( SUBSTITUTE( SUBSTITUTE( SUBSTITUTE( SUBSTITUTE( C936, ""۰"", ""0""), ""۱"", ""1""), ""۲"", ""2""), ""۳"", ""3""), ""۴"", ""4""), ""۵"", ""5""), ""۶"", ""6"&amp;"""), ""۷"", ""7""), ""۸"", ""8""), ""۹"", ""9""), IF(LEFT(converted,3)=""+98"", ""0"" &amp; RIGHT(converted, LEN(converted)-3), IF(LEFT(converted,2)=""98"", ""0"" &amp; RIGHT(converted, LEN(converted)-2), IF(LEFT(converted,1)&lt;&gt;""0"", ""0"" &amp; converted, REGEXREPLA"&amp;"CE(converted , ""\s"", """")) ) ) ) )"),"09124573512")</f>
        <v>09124573512</v>
      </c>
      <c r="E936" s="196" t="s">
        <v>17</v>
      </c>
      <c r="F936" s="197">
        <v>8.0</v>
      </c>
      <c r="G936" s="193"/>
      <c r="H936" s="193" t="s">
        <v>4899</v>
      </c>
      <c r="I936" s="194"/>
      <c r="J936" s="194"/>
      <c r="K936" s="193" t="s">
        <v>4900</v>
      </c>
      <c r="L936" s="193" t="s">
        <v>1303</v>
      </c>
      <c r="M936" s="193"/>
      <c r="N936" s="193"/>
      <c r="O936" s="193"/>
      <c r="P936" s="193"/>
      <c r="Q936" s="200"/>
      <c r="R936" s="86"/>
      <c r="S936" s="114">
        <f t="shared" ref="S936:T936" si="937">A936</f>
        <v>936</v>
      </c>
      <c r="T936" s="114" t="str">
        <f t="shared" si="937"/>
        <v>محمد حسینی</v>
      </c>
      <c r="U936" s="86" t="str">
        <f t="shared" si="3"/>
        <v>09124573512</v>
      </c>
      <c r="V936" s="86" t="str">
        <f t="shared" si="4"/>
        <v>پیش‌وایی 8</v>
      </c>
      <c r="W936" s="86"/>
      <c r="X936" s="86"/>
    </row>
    <row r="937">
      <c r="A937" s="201">
        <v>937.0</v>
      </c>
      <c r="B937" s="202" t="s">
        <v>4901</v>
      </c>
      <c r="C937" s="203" t="s">
        <v>4902</v>
      </c>
      <c r="D937" s="204" t="str">
        <f>IFERROR(__xludf.DUMMYFUNCTION("ARRAYFORMULA(LET( converted, SUBSTITUTE( SUBSTITUTE( SUBSTITUTE( SUBSTITUTE( SUBSTITUTE( SUBSTITUTE( SUBSTITUTE( SUBSTITUTE( SUBSTITUTE( SUBSTITUTE( C937, ""۰"", ""0""), ""۱"", ""1""), ""۲"", ""2""), ""۳"", ""3""), ""۴"", ""4""), ""۵"", ""5""), ""۶"", ""6"&amp;"""), ""۷"", ""7""), ""۸"", ""8""), ""۹"", ""9""), IF(LEFT(converted,3)=""+98"", ""0"" &amp; RIGHT(converted, LEN(converted)-3), IF(LEFT(converted,2)=""98"", ""0"" &amp; RIGHT(converted, LEN(converted)-2), IF(LEFT(converted,1)&lt;&gt;""0"", ""0"" &amp; converted, REGEXREPLA"&amp;"CE(converted , ""\s"", """")) ) ) ) )"),"09161612094")</f>
        <v>09161612094</v>
      </c>
      <c r="E937" s="205" t="s">
        <v>17</v>
      </c>
      <c r="F937" s="206">
        <v>8.0</v>
      </c>
      <c r="G937" s="202"/>
      <c r="H937" s="202"/>
      <c r="I937" s="203"/>
      <c r="J937" s="203"/>
      <c r="K937" s="202" t="s">
        <v>4903</v>
      </c>
      <c r="L937" s="202" t="s">
        <v>4904</v>
      </c>
      <c r="M937" s="202"/>
      <c r="N937" s="202"/>
      <c r="O937" s="202"/>
      <c r="P937" s="202"/>
      <c r="Q937" s="208"/>
      <c r="R937" s="86"/>
      <c r="S937" s="114">
        <f t="shared" ref="S937:T937" si="938">A937</f>
        <v>937</v>
      </c>
      <c r="T937" s="114" t="str">
        <f t="shared" si="938"/>
        <v>سید علی شاهرخی موسوی</v>
      </c>
      <c r="U937" s="86" t="str">
        <f t="shared" si="3"/>
        <v>09161612094</v>
      </c>
      <c r="V937" s="86" t="str">
        <f t="shared" si="4"/>
        <v>پیش‌وایی 8</v>
      </c>
      <c r="W937" s="86"/>
      <c r="X937" s="86"/>
    </row>
    <row r="938">
      <c r="A938" s="192">
        <v>938.0</v>
      </c>
      <c r="B938" s="193" t="s">
        <v>4905</v>
      </c>
      <c r="C938" s="194" t="s">
        <v>4906</v>
      </c>
      <c r="D938" s="195" t="str">
        <f>IFERROR(__xludf.DUMMYFUNCTION("ARRAYFORMULA(LET( converted, SUBSTITUTE( SUBSTITUTE( SUBSTITUTE( SUBSTITUTE( SUBSTITUTE( SUBSTITUTE( SUBSTITUTE( SUBSTITUTE( SUBSTITUTE( SUBSTITUTE( C938, ""۰"", ""0""), ""۱"", ""1""), ""۲"", ""2""), ""۳"", ""3""), ""۴"", ""4""), ""۵"", ""5""), ""۶"", ""6"&amp;"""), ""۷"", ""7""), ""۸"", ""8""), ""۹"", ""9""), IF(LEFT(converted,3)=""+98"", ""0"" &amp; RIGHT(converted, LEN(converted)-3), IF(LEFT(converted,2)=""98"", ""0"" &amp; RIGHT(converted, LEN(converted)-2), IF(LEFT(converted,1)&lt;&gt;""0"", ""0"" &amp; converted, REGEXREPLA"&amp;"CE(converted , ""\s"", """")) ) ) ) )"),"09128889040")</f>
        <v>09128889040</v>
      </c>
      <c r="E938" s="196" t="s">
        <v>17</v>
      </c>
      <c r="F938" s="197">
        <v>8.0</v>
      </c>
      <c r="G938" s="193"/>
      <c r="H938" s="193"/>
      <c r="I938" s="194"/>
      <c r="J938" s="194"/>
      <c r="K938" s="193" t="s">
        <v>4907</v>
      </c>
      <c r="L938" s="193" t="s">
        <v>4908</v>
      </c>
      <c r="M938" s="193"/>
      <c r="N938" s="193"/>
      <c r="O938" s="193"/>
      <c r="P938" s="193"/>
      <c r="Q938" s="200"/>
      <c r="R938" s="86"/>
      <c r="S938" s="114">
        <f t="shared" ref="S938:T938" si="939">A938</f>
        <v>938</v>
      </c>
      <c r="T938" s="114" t="str">
        <f t="shared" si="939"/>
        <v>سید هادی علوی</v>
      </c>
      <c r="U938" s="86" t="str">
        <f t="shared" si="3"/>
        <v>09128889040</v>
      </c>
      <c r="V938" s="86" t="str">
        <f t="shared" si="4"/>
        <v>پیش‌وایی 8</v>
      </c>
      <c r="W938" s="86"/>
      <c r="X938" s="86"/>
    </row>
    <row r="939">
      <c r="A939" s="201">
        <v>939.0</v>
      </c>
      <c r="B939" s="202" t="s">
        <v>4909</v>
      </c>
      <c r="C939" s="203" t="s">
        <v>4910</v>
      </c>
      <c r="D939" s="204" t="str">
        <f>IFERROR(__xludf.DUMMYFUNCTION("ARRAYFORMULA(LET( converted, SUBSTITUTE( SUBSTITUTE( SUBSTITUTE( SUBSTITUTE( SUBSTITUTE( SUBSTITUTE( SUBSTITUTE( SUBSTITUTE( SUBSTITUTE( SUBSTITUTE( C939, ""۰"", ""0""), ""۱"", ""1""), ""۲"", ""2""), ""۳"", ""3""), ""۴"", ""4""), ""۵"", ""5""), ""۶"", ""6"&amp;"""), ""۷"", ""7""), ""۸"", ""8""), ""۹"", ""9""), IF(LEFT(converted,3)=""+98"", ""0"" &amp; RIGHT(converted, LEN(converted)-3), IF(LEFT(converted,2)=""98"", ""0"" &amp; RIGHT(converted, LEN(converted)-2), IF(LEFT(converted,1)&lt;&gt;""0"", ""0"" &amp; converted, REGEXREPLA"&amp;"CE(converted , ""\s"", """")) ) ) ) )"),"09173729259")</f>
        <v>09173729259</v>
      </c>
      <c r="E939" s="205" t="s">
        <v>17</v>
      </c>
      <c r="F939" s="206">
        <v>8.0</v>
      </c>
      <c r="G939" s="202"/>
      <c r="H939" s="202" t="s">
        <v>4911</v>
      </c>
      <c r="I939" s="203"/>
      <c r="J939" s="203"/>
      <c r="K939" s="202" t="s">
        <v>4912</v>
      </c>
      <c r="L939" s="202" t="s">
        <v>4893</v>
      </c>
      <c r="M939" s="202"/>
      <c r="N939" s="202"/>
      <c r="O939" s="202"/>
      <c r="P939" s="202"/>
      <c r="Q939" s="208"/>
      <c r="R939" s="86"/>
      <c r="S939" s="114">
        <f t="shared" ref="S939:T939" si="940">A939</f>
        <v>939</v>
      </c>
      <c r="T939" s="114" t="str">
        <f t="shared" si="940"/>
        <v>سیمین دخت کبگانی</v>
      </c>
      <c r="U939" s="86" t="str">
        <f t="shared" si="3"/>
        <v>09173729259</v>
      </c>
      <c r="V939" s="86" t="str">
        <f t="shared" si="4"/>
        <v>پیش‌وایی 8</v>
      </c>
      <c r="W939" s="86"/>
      <c r="X939" s="86"/>
    </row>
    <row r="940">
      <c r="A940" s="192">
        <v>940.0</v>
      </c>
      <c r="B940" s="199" t="s">
        <v>4913</v>
      </c>
      <c r="C940" s="194" t="s">
        <v>4914</v>
      </c>
      <c r="D940" s="195" t="str">
        <f>IFERROR(__xludf.DUMMYFUNCTION("ARRAYFORMULA(LET( converted, SUBSTITUTE( SUBSTITUTE( SUBSTITUTE( SUBSTITUTE( SUBSTITUTE( SUBSTITUTE( SUBSTITUTE( SUBSTITUTE( SUBSTITUTE( SUBSTITUTE( C940, ""۰"", ""0""), ""۱"", ""1""), ""۲"", ""2""), ""۳"", ""3""), ""۴"", ""4""), ""۵"", ""5""), ""۶"", ""6"&amp;"""), ""۷"", ""7""), ""۸"", ""8""), ""۹"", ""9""), IF(LEFT(converted,3)=""+98"", ""0"" &amp; RIGHT(converted, LEN(converted)-3), IF(LEFT(converted,2)=""98"", ""0"" &amp; RIGHT(converted, LEN(converted)-2), IF(LEFT(converted,1)&lt;&gt;""0"", ""0"" &amp; converted, REGEXREPLA"&amp;"CE(converted , ""\s"", """")) ) ) ) )"),"09386861447")</f>
        <v>09386861447</v>
      </c>
      <c r="E940" s="196" t="s">
        <v>17</v>
      </c>
      <c r="F940" s="197">
        <v>8.0</v>
      </c>
      <c r="G940" s="193"/>
      <c r="H940" s="193" t="s">
        <v>4915</v>
      </c>
      <c r="I940" s="194"/>
      <c r="J940" s="194"/>
      <c r="K940" s="193" t="s">
        <v>334</v>
      </c>
      <c r="L940" s="193" t="s">
        <v>4916</v>
      </c>
      <c r="M940" s="193"/>
      <c r="N940" s="193"/>
      <c r="O940" s="193"/>
      <c r="P940" s="193"/>
      <c r="Q940" s="200"/>
      <c r="R940" s="86"/>
      <c r="S940" s="114">
        <f t="shared" ref="S940:T940" si="941">A940</f>
        <v>940</v>
      </c>
      <c r="T940" s="114" t="str">
        <f t="shared" si="941"/>
        <v>شایان شفائی</v>
      </c>
      <c r="U940" s="86" t="str">
        <f t="shared" si="3"/>
        <v>09386861447</v>
      </c>
      <c r="V940" s="86" t="str">
        <f t="shared" si="4"/>
        <v>پیش‌وایی 8</v>
      </c>
      <c r="W940" s="86"/>
      <c r="X940" s="86"/>
    </row>
    <row r="941">
      <c r="A941" s="201">
        <v>941.0</v>
      </c>
      <c r="B941" s="202" t="s">
        <v>4917</v>
      </c>
      <c r="C941" s="203" t="s">
        <v>4918</v>
      </c>
      <c r="D941" s="204" t="str">
        <f>IFERROR(__xludf.DUMMYFUNCTION("ARRAYFORMULA(LET( converted, SUBSTITUTE( SUBSTITUTE( SUBSTITUTE( SUBSTITUTE( SUBSTITUTE( SUBSTITUTE( SUBSTITUTE( SUBSTITUTE( SUBSTITUTE( SUBSTITUTE( C941, ""۰"", ""0""), ""۱"", ""1""), ""۲"", ""2""), ""۳"", ""3""), ""۴"", ""4""), ""۵"", ""5""), ""۶"", ""6"&amp;"""), ""۷"", ""7""), ""۸"", ""8""), ""۹"", ""9""), IF(LEFT(converted,3)=""+98"", ""0"" &amp; RIGHT(converted, LEN(converted)-3), IF(LEFT(converted,2)=""98"", ""0"" &amp; RIGHT(converted, LEN(converted)-2), IF(LEFT(converted,1)&lt;&gt;""0"", ""0"" &amp; converted, REGEXREPLA"&amp;"CE(converted , ""\s"", """")) ) ) ) )"),"09107588569")</f>
        <v>09107588569</v>
      </c>
      <c r="E941" s="205" t="s">
        <v>17</v>
      </c>
      <c r="F941" s="206">
        <v>8.0</v>
      </c>
      <c r="G941" s="202"/>
      <c r="H941" s="202" t="s">
        <v>4919</v>
      </c>
      <c r="I941" s="203"/>
      <c r="J941" s="203"/>
      <c r="K941" s="202" t="s">
        <v>1944</v>
      </c>
      <c r="L941" s="202" t="s">
        <v>4920</v>
      </c>
      <c r="M941" s="202"/>
      <c r="N941" s="202"/>
      <c r="O941" s="202"/>
      <c r="P941" s="202"/>
      <c r="Q941" s="208"/>
      <c r="R941" s="86"/>
      <c r="S941" s="114">
        <f t="shared" ref="S941:T941" si="942">A941</f>
        <v>941</v>
      </c>
      <c r="T941" s="114" t="str">
        <f t="shared" si="942"/>
        <v>شقایق ساربانها</v>
      </c>
      <c r="U941" s="86" t="str">
        <f t="shared" si="3"/>
        <v>09107588569</v>
      </c>
      <c r="V941" s="86" t="str">
        <f t="shared" si="4"/>
        <v>پیش‌وایی 8</v>
      </c>
      <c r="W941" s="86"/>
      <c r="X941" s="86"/>
    </row>
    <row r="942">
      <c r="A942" s="192">
        <v>942.0</v>
      </c>
      <c r="B942" s="193" t="s">
        <v>4921</v>
      </c>
      <c r="C942" s="194" t="s">
        <v>4922</v>
      </c>
      <c r="D942" s="195" t="str">
        <f>IFERROR(__xludf.DUMMYFUNCTION("ARRAYFORMULA(LET( converted, SUBSTITUTE( SUBSTITUTE( SUBSTITUTE( SUBSTITUTE( SUBSTITUTE( SUBSTITUTE( SUBSTITUTE( SUBSTITUTE( SUBSTITUTE( SUBSTITUTE( C942, ""۰"", ""0""), ""۱"", ""1""), ""۲"", ""2""), ""۳"", ""3""), ""۴"", ""4""), ""۵"", ""5""), ""۶"", ""6"&amp;"""), ""۷"", ""7""), ""۸"", ""8""), ""۹"", ""9""), IF(LEFT(converted,3)=""+98"", ""0"" &amp; RIGHT(converted, LEN(converted)-3), IF(LEFT(converted,2)=""98"", ""0"" &amp; RIGHT(converted, LEN(converted)-2), IF(LEFT(converted,1)&lt;&gt;""0"", ""0"" &amp; converted, REGEXREPLA"&amp;"CE(converted , ""\s"", """")) ) ) ) )"),"09370553164")</f>
        <v>09370553164</v>
      </c>
      <c r="E942" s="196" t="s">
        <v>17</v>
      </c>
      <c r="F942" s="197">
        <v>8.0</v>
      </c>
      <c r="G942" s="193"/>
      <c r="H942" s="198" t="s">
        <v>4923</v>
      </c>
      <c r="I942" s="194"/>
      <c r="J942" s="194"/>
      <c r="K942" s="193" t="s">
        <v>2291</v>
      </c>
      <c r="L942" s="193" t="s">
        <v>4924</v>
      </c>
      <c r="M942" s="193"/>
      <c r="N942" s="193"/>
      <c r="O942" s="193"/>
      <c r="P942" s="193"/>
      <c r="Q942" s="200"/>
      <c r="R942" s="86"/>
      <c r="S942" s="114">
        <f t="shared" ref="S942:T942" si="943">A942</f>
        <v>942</v>
      </c>
      <c r="T942" s="114" t="str">
        <f t="shared" si="943"/>
        <v>شهلا فیروزی</v>
      </c>
      <c r="U942" s="86" t="str">
        <f t="shared" si="3"/>
        <v>09370553164</v>
      </c>
      <c r="V942" s="86" t="str">
        <f t="shared" si="4"/>
        <v>پیش‌وایی 8</v>
      </c>
      <c r="W942" s="86"/>
      <c r="X942" s="86"/>
    </row>
    <row r="943">
      <c r="A943" s="201">
        <v>943.0</v>
      </c>
      <c r="B943" s="207" t="s">
        <v>4925</v>
      </c>
      <c r="C943" s="203" t="s">
        <v>4926</v>
      </c>
      <c r="D943" s="204" t="str">
        <f>IFERROR(__xludf.DUMMYFUNCTION("ARRAYFORMULA(LET( converted, SUBSTITUTE( SUBSTITUTE( SUBSTITUTE( SUBSTITUTE( SUBSTITUTE( SUBSTITUTE( SUBSTITUTE( SUBSTITUTE( SUBSTITUTE( SUBSTITUTE( C943, ""۰"", ""0""), ""۱"", ""1""), ""۲"", ""2""), ""۳"", ""3""), ""۴"", ""4""), ""۵"", ""5""), ""۶"", ""6"&amp;"""), ""۷"", ""7""), ""۸"", ""8""), ""۹"", ""9""), IF(LEFT(converted,3)=""+98"", ""0"" &amp; RIGHT(converted, LEN(converted)-3), IF(LEFT(converted,2)=""98"", ""0"" &amp; RIGHT(converted, LEN(converted)-2), IF(LEFT(converted,1)&lt;&gt;""0"", ""0"" &amp; converted, REGEXREPLA"&amp;"CE(converted , ""\s"", """")) ) ) ) )"),"09125954068")</f>
        <v>09125954068</v>
      </c>
      <c r="E943" s="205" t="s">
        <v>17</v>
      </c>
      <c r="F943" s="206">
        <v>8.0</v>
      </c>
      <c r="G943" s="202"/>
      <c r="H943" s="202" t="s">
        <v>4927</v>
      </c>
      <c r="I943" s="203"/>
      <c r="J943" s="203"/>
      <c r="K943" s="202" t="s">
        <v>346</v>
      </c>
      <c r="L943" s="202" t="s">
        <v>2816</v>
      </c>
      <c r="M943" s="202"/>
      <c r="N943" s="202"/>
      <c r="O943" s="202"/>
      <c r="P943" s="202"/>
      <c r="Q943" s="208"/>
      <c r="R943" s="86"/>
      <c r="S943" s="114">
        <f t="shared" ref="S943:T943" si="944">A943</f>
        <v>943</v>
      </c>
      <c r="T943" s="114" t="str">
        <f t="shared" si="944"/>
        <v>شیوا رضایی</v>
      </c>
      <c r="U943" s="86" t="str">
        <f t="shared" si="3"/>
        <v>09125954068</v>
      </c>
      <c r="V943" s="86" t="str">
        <f t="shared" si="4"/>
        <v>پیش‌وایی 8</v>
      </c>
      <c r="W943" s="86"/>
      <c r="X943" s="86"/>
    </row>
    <row r="944">
      <c r="A944" s="192">
        <v>944.0</v>
      </c>
      <c r="B944" s="193" t="s">
        <v>4122</v>
      </c>
      <c r="C944" s="194" t="s">
        <v>4623</v>
      </c>
      <c r="D944" s="195" t="str">
        <f>IFERROR(__xludf.DUMMYFUNCTION("ARRAYFORMULA(LET( converted, SUBSTITUTE( SUBSTITUTE( SUBSTITUTE( SUBSTITUTE( SUBSTITUTE( SUBSTITUTE( SUBSTITUTE( SUBSTITUTE( SUBSTITUTE( SUBSTITUTE( C944, ""۰"", ""0""), ""۱"", ""1""), ""۲"", ""2""), ""۳"", ""3""), ""۴"", ""4""), ""۵"", ""5""), ""۶"", ""6"&amp;"""), ""۷"", ""7""), ""۸"", ""8""), ""۹"", ""9""), IF(LEFT(converted,3)=""+98"", ""0"" &amp; RIGHT(converted, LEN(converted)-3), IF(LEFT(converted,2)=""98"", ""0"" &amp; RIGHT(converted, LEN(converted)-2), IF(LEFT(converted,1)&lt;&gt;""0"", ""0"" &amp; converted, REGEXREPLA"&amp;"CE(converted , ""\s"", """")) ) ) ) )"),"09024030663")</f>
        <v>09024030663</v>
      </c>
      <c r="E944" s="196" t="s">
        <v>17</v>
      </c>
      <c r="F944" s="197">
        <v>8.0</v>
      </c>
      <c r="G944" s="193"/>
      <c r="H944" s="193" t="s">
        <v>4928</v>
      </c>
      <c r="I944" s="194"/>
      <c r="J944" s="194"/>
      <c r="K944" s="193" t="s">
        <v>4124</v>
      </c>
      <c r="L944" s="193" t="s">
        <v>4125</v>
      </c>
      <c r="M944" s="193"/>
      <c r="N944" s="193"/>
      <c r="O944" s="193"/>
      <c r="P944" s="193"/>
      <c r="Q944" s="200"/>
      <c r="R944" s="86"/>
      <c r="S944" s="114">
        <f t="shared" ref="S944:T944" si="945">A944</f>
        <v>944</v>
      </c>
      <c r="T944" s="114" t="str">
        <f t="shared" si="945"/>
        <v>صابر خورشیدی</v>
      </c>
      <c r="U944" s="86" t="str">
        <f t="shared" si="3"/>
        <v>09024030663</v>
      </c>
      <c r="V944" s="86" t="str">
        <f t="shared" si="4"/>
        <v>پیش‌وایی 8</v>
      </c>
      <c r="W944" s="86"/>
      <c r="X944" s="86"/>
    </row>
    <row r="945">
      <c r="A945" s="201">
        <v>945.0</v>
      </c>
      <c r="B945" s="202" t="s">
        <v>4929</v>
      </c>
      <c r="C945" s="203" t="s">
        <v>4930</v>
      </c>
      <c r="D945" s="204" t="str">
        <f>IFERROR(__xludf.DUMMYFUNCTION("ARRAYFORMULA(LET( converted, SUBSTITUTE( SUBSTITUTE( SUBSTITUTE( SUBSTITUTE( SUBSTITUTE( SUBSTITUTE( SUBSTITUTE( SUBSTITUTE( SUBSTITUTE( SUBSTITUTE( C945, ""۰"", ""0""), ""۱"", ""1""), ""۲"", ""2""), ""۳"", ""3""), ""۴"", ""4""), ""۵"", ""5""), ""۶"", ""6"&amp;"""), ""۷"", ""7""), ""۸"", ""8""), ""۹"", ""9""), IF(LEFT(converted,3)=""+98"", ""0"" &amp; RIGHT(converted, LEN(converted)-3), IF(LEFT(converted,2)=""98"", ""0"" &amp; RIGHT(converted, LEN(converted)-2), IF(LEFT(converted,1)&lt;&gt;""0"", ""0"" &amp; converted, REGEXREPLA"&amp;"CE(converted , ""\s"", """")) ) ) ) )"),"09120662446")</f>
        <v>09120662446</v>
      </c>
      <c r="E945" s="205" t="s">
        <v>17</v>
      </c>
      <c r="F945" s="206">
        <v>8.0</v>
      </c>
      <c r="G945" s="202"/>
      <c r="H945" s="202" t="s">
        <v>4931</v>
      </c>
      <c r="I945" s="203"/>
      <c r="J945" s="203"/>
      <c r="K945" s="202" t="s">
        <v>1577</v>
      </c>
      <c r="L945" s="202" t="s">
        <v>4932</v>
      </c>
      <c r="M945" s="202"/>
      <c r="N945" s="202"/>
      <c r="O945" s="202"/>
      <c r="P945" s="202"/>
      <c r="Q945" s="208"/>
      <c r="R945" s="86"/>
      <c r="S945" s="114">
        <f t="shared" ref="S945:T945" si="946">A945</f>
        <v>945</v>
      </c>
      <c r="T945" s="114" t="str">
        <f t="shared" si="946"/>
        <v>عطیه صادقی</v>
      </c>
      <c r="U945" s="86" t="str">
        <f t="shared" si="3"/>
        <v>09120662446</v>
      </c>
      <c r="V945" s="86" t="str">
        <f t="shared" si="4"/>
        <v>پیش‌وایی 8</v>
      </c>
      <c r="W945" s="86"/>
      <c r="X945" s="86"/>
    </row>
    <row r="946">
      <c r="A946" s="192">
        <v>946.0</v>
      </c>
      <c r="B946" s="193" t="s">
        <v>4933</v>
      </c>
      <c r="C946" s="194" t="s">
        <v>4934</v>
      </c>
      <c r="D946" s="195" t="str">
        <f>IFERROR(__xludf.DUMMYFUNCTION("ARRAYFORMULA(LET( converted, SUBSTITUTE( SUBSTITUTE( SUBSTITUTE( SUBSTITUTE( SUBSTITUTE( SUBSTITUTE( SUBSTITUTE( SUBSTITUTE( SUBSTITUTE( SUBSTITUTE( C946, ""۰"", ""0""), ""۱"", ""1""), ""۲"", ""2""), ""۳"", ""3""), ""۴"", ""4""), ""۵"", ""5""), ""۶"", ""6"&amp;"""), ""۷"", ""7""), ""۸"", ""8""), ""۹"", ""9""), IF(LEFT(converted,3)=""+98"", ""0"" &amp; RIGHT(converted, LEN(converted)-3), IF(LEFT(converted,2)=""98"", ""0"" &amp; RIGHT(converted, LEN(converted)-2), IF(LEFT(converted,1)&lt;&gt;""0"", ""0"" &amp; converted, REGEXREPLA"&amp;"CE(converted , ""\s"", """")) ) ) ) )"),"09109024826")</f>
        <v>09109024826</v>
      </c>
      <c r="E946" s="196" t="s">
        <v>17</v>
      </c>
      <c r="F946" s="197">
        <v>8.0</v>
      </c>
      <c r="G946" s="193"/>
      <c r="H946" s="193" t="s">
        <v>4935</v>
      </c>
      <c r="I946" s="194"/>
      <c r="J946" s="194"/>
      <c r="K946" s="193" t="s">
        <v>2820</v>
      </c>
      <c r="L946" s="193" t="s">
        <v>2573</v>
      </c>
      <c r="M946" s="193"/>
      <c r="N946" s="193"/>
      <c r="O946" s="193"/>
      <c r="P946" s="193"/>
      <c r="Q946" s="200"/>
      <c r="R946" s="86"/>
      <c r="S946" s="114">
        <f t="shared" ref="S946:T946" si="947">A946</f>
        <v>946</v>
      </c>
      <c r="T946" s="114" t="str">
        <f t="shared" si="947"/>
        <v>عباس جعفری</v>
      </c>
      <c r="U946" s="86" t="str">
        <f t="shared" si="3"/>
        <v>09109024826</v>
      </c>
      <c r="V946" s="86" t="str">
        <f t="shared" si="4"/>
        <v>پیش‌وایی 8</v>
      </c>
      <c r="W946" s="86"/>
      <c r="X946" s="86"/>
    </row>
    <row r="947">
      <c r="A947" s="201">
        <v>947.0</v>
      </c>
      <c r="B947" s="207" t="s">
        <v>4404</v>
      </c>
      <c r="C947" s="203" t="s">
        <v>4405</v>
      </c>
      <c r="D947" s="204" t="str">
        <f>IFERROR(__xludf.DUMMYFUNCTION("ARRAYFORMULA(LET( converted, SUBSTITUTE( SUBSTITUTE( SUBSTITUTE( SUBSTITUTE( SUBSTITUTE( SUBSTITUTE( SUBSTITUTE( SUBSTITUTE( SUBSTITUTE( SUBSTITUTE( C947, ""۰"", ""0""), ""۱"", ""1""), ""۲"", ""2""), ""۳"", ""3""), ""۴"", ""4""), ""۵"", ""5""), ""۶"", ""6"&amp;"""), ""۷"", ""7""), ""۸"", ""8""), ""۹"", ""9""), IF(LEFT(converted,3)=""+98"", ""0"" &amp; RIGHT(converted, LEN(converted)-3), IF(LEFT(converted,2)=""98"", ""0"" &amp; RIGHT(converted, LEN(converted)-2), IF(LEFT(converted,1)&lt;&gt;""0"", ""0"" &amp; converted, REGEXREPLA"&amp;"CE(converted , ""\s"", """")) ) ) ) )"),"09153437251")</f>
        <v>09153437251</v>
      </c>
      <c r="E947" s="205" t="s">
        <v>17</v>
      </c>
      <c r="F947" s="206">
        <v>8.0</v>
      </c>
      <c r="G947" s="202"/>
      <c r="H947" s="202" t="s">
        <v>4406</v>
      </c>
      <c r="I947" s="203"/>
      <c r="J947" s="203"/>
      <c r="K947" s="202" t="s">
        <v>4408</v>
      </c>
      <c r="L947" s="202" t="s">
        <v>4409</v>
      </c>
      <c r="M947" s="202"/>
      <c r="N947" s="202"/>
      <c r="O947" s="202"/>
      <c r="P947" s="202"/>
      <c r="Q947" s="208"/>
      <c r="R947" s="86"/>
      <c r="S947" s="114">
        <f t="shared" ref="S947:T947" si="948">A947</f>
        <v>947</v>
      </c>
      <c r="T947" s="114" t="str">
        <f t="shared" si="948"/>
        <v>عبدالرحیم کردی</v>
      </c>
      <c r="U947" s="86" t="str">
        <f t="shared" si="3"/>
        <v>09153437251</v>
      </c>
      <c r="V947" s="86" t="str">
        <f t="shared" si="4"/>
        <v>پیش‌وایی 8</v>
      </c>
      <c r="W947" s="86"/>
      <c r="X947" s="86"/>
    </row>
    <row r="948">
      <c r="A948" s="192">
        <v>948.0</v>
      </c>
      <c r="B948" s="193" t="s">
        <v>4936</v>
      </c>
      <c r="C948" s="194" t="s">
        <v>4937</v>
      </c>
      <c r="D948" s="195" t="str">
        <f>IFERROR(__xludf.DUMMYFUNCTION("ARRAYFORMULA(LET( converted, SUBSTITUTE( SUBSTITUTE( SUBSTITUTE( SUBSTITUTE( SUBSTITUTE( SUBSTITUTE( SUBSTITUTE( SUBSTITUTE( SUBSTITUTE( SUBSTITUTE( C948, ""۰"", ""0""), ""۱"", ""1""), ""۲"", ""2""), ""۳"", ""3""), ""۴"", ""4""), ""۵"", ""5""), ""۶"", ""6"&amp;"""), ""۷"", ""7""), ""۸"", ""8""), ""۹"", ""9""), IF(LEFT(converted,3)=""+98"", ""0"" &amp; RIGHT(converted, LEN(converted)-3), IF(LEFT(converted,2)=""98"", ""0"" &amp; RIGHT(converted, LEN(converted)-2), IF(LEFT(converted,1)&lt;&gt;""0"", ""0"" &amp; converted, REGEXREPLA"&amp;"CE(converted , ""\s"", """")) ) ) ) )"),"09133508076")</f>
        <v>09133508076</v>
      </c>
      <c r="E948" s="196" t="s">
        <v>17</v>
      </c>
      <c r="F948" s="197">
        <v>8.0</v>
      </c>
      <c r="G948" s="193"/>
      <c r="H948" s="193" t="s">
        <v>4938</v>
      </c>
      <c r="I948" s="194"/>
      <c r="J948" s="194"/>
      <c r="K948" s="193" t="s">
        <v>3092</v>
      </c>
      <c r="L948" s="193" t="s">
        <v>4104</v>
      </c>
      <c r="M948" s="193"/>
      <c r="N948" s="193"/>
      <c r="O948" s="193"/>
      <c r="P948" s="193"/>
      <c r="Q948" s="200"/>
      <c r="R948" s="86"/>
      <c r="S948" s="114">
        <f t="shared" ref="S948:T948" si="949">A948</f>
        <v>948</v>
      </c>
      <c r="T948" s="114" t="str">
        <f t="shared" si="949"/>
        <v>عرفان کلانتریان</v>
      </c>
      <c r="U948" s="86" t="str">
        <f t="shared" si="3"/>
        <v>09133508076</v>
      </c>
      <c r="V948" s="86" t="str">
        <f t="shared" si="4"/>
        <v>پیش‌وایی 8</v>
      </c>
      <c r="W948" s="86"/>
      <c r="X948" s="86"/>
    </row>
    <row r="949">
      <c r="A949" s="201">
        <v>949.0</v>
      </c>
      <c r="B949" s="207" t="s">
        <v>4939</v>
      </c>
      <c r="C949" s="203" t="s">
        <v>4940</v>
      </c>
      <c r="D949" s="204" t="str">
        <f>IFERROR(__xludf.DUMMYFUNCTION("ARRAYFORMULA(LET( converted, SUBSTITUTE( SUBSTITUTE( SUBSTITUTE( SUBSTITUTE( SUBSTITUTE( SUBSTITUTE( SUBSTITUTE( SUBSTITUTE( SUBSTITUTE( SUBSTITUTE( C949, ""۰"", ""0""), ""۱"", ""1""), ""۲"", ""2""), ""۳"", ""3""), ""۴"", ""4""), ""۵"", ""5""), ""۶"", ""6"&amp;"""), ""۷"", ""7""), ""۸"", ""8""), ""۹"", ""9""), IF(LEFT(converted,3)=""+98"", ""0"" &amp; RIGHT(converted, LEN(converted)-3), IF(LEFT(converted,2)=""98"", ""0"" &amp; RIGHT(converted, LEN(converted)-2), IF(LEFT(converted,1)&lt;&gt;""0"", ""0"" &amp; converted, REGEXREPLA"&amp;"CE(converted , ""\s"", """")) ) ) ) )"),"09120223289")</f>
        <v>09120223289</v>
      </c>
      <c r="E949" s="205" t="s">
        <v>17</v>
      </c>
      <c r="F949" s="206">
        <v>8.0</v>
      </c>
      <c r="G949" s="202"/>
      <c r="H949" s="202" t="s">
        <v>4941</v>
      </c>
      <c r="I949" s="203"/>
      <c r="J949" s="203"/>
      <c r="K949" s="202" t="s">
        <v>4942</v>
      </c>
      <c r="L949" s="202" t="s">
        <v>4943</v>
      </c>
      <c r="M949" s="202"/>
      <c r="N949" s="202"/>
      <c r="O949" s="202"/>
      <c r="P949" s="202"/>
      <c r="Q949" s="208"/>
      <c r="R949" s="86"/>
      <c r="S949" s="114">
        <f t="shared" ref="S949:T949" si="950">A949</f>
        <v>949</v>
      </c>
      <c r="T949" s="114" t="str">
        <f t="shared" si="950"/>
        <v>عظیم شاه محمدی</v>
      </c>
      <c r="U949" s="86" t="str">
        <f t="shared" si="3"/>
        <v>09120223289</v>
      </c>
      <c r="V949" s="86" t="str">
        <f t="shared" si="4"/>
        <v>پیش‌وایی 8</v>
      </c>
      <c r="W949" s="86"/>
      <c r="X949" s="86"/>
    </row>
    <row r="950">
      <c r="A950" s="192">
        <v>950.0</v>
      </c>
      <c r="B950" s="193" t="s">
        <v>4944</v>
      </c>
      <c r="C950" s="194" t="s">
        <v>1015</v>
      </c>
      <c r="D950" s="195" t="str">
        <f>IFERROR(__xludf.DUMMYFUNCTION("ARRAYFORMULA(LET( converted, SUBSTITUTE( SUBSTITUTE( SUBSTITUTE( SUBSTITUTE( SUBSTITUTE( SUBSTITUTE( SUBSTITUTE( SUBSTITUTE( SUBSTITUTE( SUBSTITUTE( C950, ""۰"", ""0""), ""۱"", ""1""), ""۲"", ""2""), ""۳"", ""3""), ""۴"", ""4""), ""۵"", ""5""), ""۶"", ""6"&amp;"""), ""۷"", ""7""), ""۸"", ""8""), ""۹"", ""9""), IF(LEFT(converted,3)=""+98"", ""0"" &amp; RIGHT(converted, LEN(converted)-3), IF(LEFT(converted,2)=""98"", ""0"" &amp; RIGHT(converted, LEN(converted)-2), IF(LEFT(converted,1)&lt;&gt;""0"", ""0"" &amp; converted, REGEXREPLA"&amp;"CE(converted , ""\s"", """")) ) ) ) )"),"09124369973")</f>
        <v>09124369973</v>
      </c>
      <c r="E950" s="196" t="s">
        <v>17</v>
      </c>
      <c r="F950" s="197">
        <v>8.0</v>
      </c>
      <c r="G950" s="193"/>
      <c r="H950" s="193" t="s">
        <v>1016</v>
      </c>
      <c r="I950" s="194"/>
      <c r="J950" s="194"/>
      <c r="K950" s="193" t="s">
        <v>1018</v>
      </c>
      <c r="L950" s="193" t="s">
        <v>4945</v>
      </c>
      <c r="M950" s="193"/>
      <c r="N950" s="193"/>
      <c r="O950" s="193"/>
      <c r="P950" s="193"/>
      <c r="Q950" s="200"/>
      <c r="R950" s="86"/>
      <c r="S950" s="114">
        <f t="shared" ref="S950:T950" si="951">A950</f>
        <v>950</v>
      </c>
      <c r="T950" s="114" t="str">
        <f t="shared" si="951"/>
        <v>علی خان احمدی</v>
      </c>
      <c r="U950" s="86" t="str">
        <f t="shared" si="3"/>
        <v>09124369973</v>
      </c>
      <c r="V950" s="86" t="str">
        <f t="shared" si="4"/>
        <v>پیش‌وایی 8</v>
      </c>
      <c r="W950" s="86"/>
      <c r="X950" s="86"/>
    </row>
    <row r="951">
      <c r="A951" s="201">
        <v>951.0</v>
      </c>
      <c r="B951" s="202" t="s">
        <v>4946</v>
      </c>
      <c r="C951" s="203" t="s">
        <v>4947</v>
      </c>
      <c r="D951" s="204" t="str">
        <f>IFERROR(__xludf.DUMMYFUNCTION("ARRAYFORMULA(LET( converted, SUBSTITUTE( SUBSTITUTE( SUBSTITUTE( SUBSTITUTE( SUBSTITUTE( SUBSTITUTE( SUBSTITUTE( SUBSTITUTE( SUBSTITUTE( SUBSTITUTE( C951, ""۰"", ""0""), ""۱"", ""1""), ""۲"", ""2""), ""۳"", ""3""), ""۴"", ""4""), ""۵"", ""5""), ""۶"", ""6"&amp;"""), ""۷"", ""7""), ""۸"", ""8""), ""۹"", ""9""), IF(LEFT(converted,3)=""+98"", ""0"" &amp; RIGHT(converted, LEN(converted)-3), IF(LEFT(converted,2)=""98"", ""0"" &amp; RIGHT(converted, LEN(converted)-2), IF(LEFT(converted,1)&lt;&gt;""0"", ""0"" &amp; converted, REGEXREPLA"&amp;"CE(converted , ""\s"", """")) ) ) ) )"),"09127711483")</f>
        <v>09127711483</v>
      </c>
      <c r="E951" s="205" t="s">
        <v>17</v>
      </c>
      <c r="F951" s="206">
        <v>8.0</v>
      </c>
      <c r="G951" s="202"/>
      <c r="H951" s="202"/>
      <c r="I951" s="203"/>
      <c r="J951" s="203"/>
      <c r="K951" s="202" t="s">
        <v>1018</v>
      </c>
      <c r="L951" s="202" t="s">
        <v>4948</v>
      </c>
      <c r="M951" s="202"/>
      <c r="N951" s="202"/>
      <c r="O951" s="202"/>
      <c r="P951" s="202"/>
      <c r="Q951" s="208"/>
      <c r="R951" s="86"/>
      <c r="S951" s="114">
        <f t="shared" ref="S951:T951" si="952">A951</f>
        <v>951</v>
      </c>
      <c r="T951" s="114" t="str">
        <f t="shared" si="952"/>
        <v>علی شکوهی‌نیا</v>
      </c>
      <c r="U951" s="86" t="str">
        <f t="shared" si="3"/>
        <v>09127711483</v>
      </c>
      <c r="V951" s="86" t="str">
        <f t="shared" si="4"/>
        <v>پیش‌وایی 8</v>
      </c>
      <c r="W951" s="86"/>
      <c r="X951" s="86"/>
    </row>
    <row r="952">
      <c r="A952" s="192">
        <v>952.0</v>
      </c>
      <c r="B952" s="193" t="s">
        <v>4949</v>
      </c>
      <c r="C952" s="194" t="s">
        <v>4950</v>
      </c>
      <c r="D952" s="195" t="str">
        <f>IFERROR(__xludf.DUMMYFUNCTION("ARRAYFORMULA(LET( converted, SUBSTITUTE( SUBSTITUTE( SUBSTITUTE( SUBSTITUTE( SUBSTITUTE( SUBSTITUTE( SUBSTITUTE( SUBSTITUTE( SUBSTITUTE( SUBSTITUTE( C952, ""۰"", ""0""), ""۱"", ""1""), ""۲"", ""2""), ""۳"", ""3""), ""۴"", ""4""), ""۵"", ""5""), ""۶"", ""6"&amp;"""), ""۷"", ""7""), ""۸"", ""8""), ""۹"", ""9""), IF(LEFT(converted,3)=""+98"", ""0"" &amp; RIGHT(converted, LEN(converted)-3), IF(LEFT(converted,2)=""98"", ""0"" &amp; RIGHT(converted, LEN(converted)-2), IF(LEFT(converted,1)&lt;&gt;""0"", ""0"" &amp; converted, REGEXREPLA"&amp;"CE(converted , ""\s"", """")) ) ) ) )"),"09133140949")</f>
        <v>09133140949</v>
      </c>
      <c r="E952" s="196" t="s">
        <v>17</v>
      </c>
      <c r="F952" s="197">
        <v>8.0</v>
      </c>
      <c r="G952" s="193"/>
      <c r="H952" s="193" t="s">
        <v>4951</v>
      </c>
      <c r="I952" s="194"/>
      <c r="J952" s="194"/>
      <c r="K952" s="193" t="s">
        <v>1018</v>
      </c>
      <c r="L952" s="193" t="s">
        <v>248</v>
      </c>
      <c r="M952" s="193"/>
      <c r="N952" s="193"/>
      <c r="O952" s="193"/>
      <c r="P952" s="193"/>
      <c r="Q952" s="200"/>
      <c r="R952" s="86"/>
      <c r="S952" s="114">
        <f t="shared" ref="S952:T952" si="953">A952</f>
        <v>952</v>
      </c>
      <c r="T952" s="114" t="str">
        <f t="shared" si="953"/>
        <v>علی صفری</v>
      </c>
      <c r="U952" s="86" t="str">
        <f t="shared" si="3"/>
        <v>09133140949</v>
      </c>
      <c r="V952" s="86" t="str">
        <f t="shared" si="4"/>
        <v>پیش‌وایی 8</v>
      </c>
      <c r="W952" s="86"/>
      <c r="X952" s="86"/>
    </row>
    <row r="953">
      <c r="A953" s="201">
        <v>953.0</v>
      </c>
      <c r="B953" s="202" t="s">
        <v>4952</v>
      </c>
      <c r="C953" s="203" t="s">
        <v>4953</v>
      </c>
      <c r="D953" s="204" t="str">
        <f>IFERROR(__xludf.DUMMYFUNCTION("ARRAYFORMULA(LET( converted, SUBSTITUTE( SUBSTITUTE( SUBSTITUTE( SUBSTITUTE( SUBSTITUTE( SUBSTITUTE( SUBSTITUTE( SUBSTITUTE( SUBSTITUTE( SUBSTITUTE( C953, ""۰"", ""0""), ""۱"", ""1""), ""۲"", ""2""), ""۳"", ""3""), ""۴"", ""4""), ""۵"", ""5""), ""۶"", ""6"&amp;"""), ""۷"", ""7""), ""۸"", ""8""), ""۹"", ""9""), IF(LEFT(converted,3)=""+98"", ""0"" &amp; RIGHT(converted, LEN(converted)-3), IF(LEFT(converted,2)=""98"", ""0"" &amp; RIGHT(converted, LEN(converted)-2), IF(LEFT(converted,1)&lt;&gt;""0"", ""0"" &amp; converted, REGEXREPLA"&amp;"CE(converted , ""\s"", """")) ) ) ) )"),"09398068483")</f>
        <v>09398068483</v>
      </c>
      <c r="E953" s="205" t="s">
        <v>17</v>
      </c>
      <c r="F953" s="206">
        <v>8.0</v>
      </c>
      <c r="G953" s="202"/>
      <c r="H953" s="202" t="s">
        <v>4954</v>
      </c>
      <c r="I953" s="203"/>
      <c r="J953" s="203"/>
      <c r="K953" s="202" t="s">
        <v>1018</v>
      </c>
      <c r="L953" s="202" t="s">
        <v>3002</v>
      </c>
      <c r="M953" s="202"/>
      <c r="N953" s="202"/>
      <c r="O953" s="202"/>
      <c r="P953" s="202"/>
      <c r="Q953" s="208"/>
      <c r="R953" s="86"/>
      <c r="S953" s="114">
        <f t="shared" ref="S953:T953" si="954">A953</f>
        <v>953</v>
      </c>
      <c r="T953" s="114" t="str">
        <f t="shared" si="954"/>
        <v>علی طیبی</v>
      </c>
      <c r="U953" s="86" t="str">
        <f t="shared" si="3"/>
        <v>09398068483</v>
      </c>
      <c r="V953" s="86" t="str">
        <f t="shared" si="4"/>
        <v>پیش‌وایی 8</v>
      </c>
      <c r="W953" s="86"/>
      <c r="X953" s="86"/>
    </row>
    <row r="954">
      <c r="A954" s="192">
        <v>954.0</v>
      </c>
      <c r="B954" s="199" t="s">
        <v>3627</v>
      </c>
      <c r="C954" s="194" t="s">
        <v>3623</v>
      </c>
      <c r="D954" s="195" t="str">
        <f>IFERROR(__xludf.DUMMYFUNCTION("ARRAYFORMULA(LET( converted, SUBSTITUTE( SUBSTITUTE( SUBSTITUTE( SUBSTITUTE( SUBSTITUTE( SUBSTITUTE( SUBSTITUTE( SUBSTITUTE( SUBSTITUTE( SUBSTITUTE( C954, ""۰"", ""0""), ""۱"", ""1""), ""۲"", ""2""), ""۳"", ""3""), ""۴"", ""4""), ""۵"", ""5""), ""۶"", ""6"&amp;"""), ""۷"", ""7""), ""۸"", ""8""), ""۹"", ""9""), IF(LEFT(converted,3)=""+98"", ""0"" &amp; RIGHT(converted, LEN(converted)-3), IF(LEFT(converted,2)=""98"", ""0"" &amp; RIGHT(converted, LEN(converted)-2), IF(LEFT(converted,1)&lt;&gt;""0"", ""0"" &amp; converted, REGEXREPLA"&amp;"CE(converted , ""\s"", """")) ) ) ) )"),"09122899010")</f>
        <v>09122899010</v>
      </c>
      <c r="E954" s="196" t="s">
        <v>17</v>
      </c>
      <c r="F954" s="197">
        <v>8.0</v>
      </c>
      <c r="G954" s="193"/>
      <c r="H954" s="193" t="s">
        <v>4955</v>
      </c>
      <c r="I954" s="194"/>
      <c r="J954" s="194"/>
      <c r="K954" s="193" t="s">
        <v>1018</v>
      </c>
      <c r="L954" s="193" t="s">
        <v>3630</v>
      </c>
      <c r="M954" s="193"/>
      <c r="N954" s="193"/>
      <c r="O954" s="193"/>
      <c r="P954" s="193"/>
      <c r="Q954" s="200"/>
      <c r="R954" s="86"/>
      <c r="S954" s="114">
        <f t="shared" ref="S954:T954" si="955">A954</f>
        <v>954</v>
      </c>
      <c r="T954" s="114" t="str">
        <f t="shared" si="955"/>
        <v>علی کولیوند</v>
      </c>
      <c r="U954" s="86" t="str">
        <f t="shared" si="3"/>
        <v>09122899010</v>
      </c>
      <c r="V954" s="86" t="str">
        <f t="shared" si="4"/>
        <v>پیش‌وایی 8</v>
      </c>
      <c r="W954" s="86"/>
      <c r="X954" s="86"/>
    </row>
    <row r="955">
      <c r="A955" s="201">
        <v>955.0</v>
      </c>
      <c r="B955" s="202" t="s">
        <v>4956</v>
      </c>
      <c r="C955" s="203" t="s">
        <v>4957</v>
      </c>
      <c r="D955" s="204" t="str">
        <f>IFERROR(__xludf.DUMMYFUNCTION("ARRAYFORMULA(LET( converted, SUBSTITUTE( SUBSTITUTE( SUBSTITUTE( SUBSTITUTE( SUBSTITUTE( SUBSTITUTE( SUBSTITUTE( SUBSTITUTE( SUBSTITUTE( SUBSTITUTE( C955, ""۰"", ""0""), ""۱"", ""1""), ""۲"", ""2""), ""۳"", ""3""), ""۴"", ""4""), ""۵"", ""5""), ""۶"", ""6"&amp;"""), ""۷"", ""7""), ""۸"", ""8""), ""۹"", ""9""), IF(LEFT(converted,3)=""+98"", ""0"" &amp; RIGHT(converted, LEN(converted)-3), IF(LEFT(converted,2)=""98"", ""0"" &amp; RIGHT(converted, LEN(converted)-2), IF(LEFT(converted,1)&lt;&gt;""0"", ""0"" &amp; converted, REGEXREPLA"&amp;"CE(converted , ""\s"", """")) ) ) ) )"),"09111382921")</f>
        <v>09111382921</v>
      </c>
      <c r="E955" s="205" t="s">
        <v>17</v>
      </c>
      <c r="F955" s="206">
        <v>8.0</v>
      </c>
      <c r="G955" s="202"/>
      <c r="H955" s="202" t="s">
        <v>4958</v>
      </c>
      <c r="I955" s="203"/>
      <c r="J955" s="203"/>
      <c r="K955" s="202" t="s">
        <v>1018</v>
      </c>
      <c r="L955" s="202" t="s">
        <v>4959</v>
      </c>
      <c r="M955" s="202"/>
      <c r="N955" s="202"/>
      <c r="O955" s="202"/>
      <c r="P955" s="202"/>
      <c r="Q955" s="208"/>
      <c r="R955" s="86"/>
      <c r="S955" s="114">
        <f t="shared" ref="S955:T955" si="956">A955</f>
        <v>955</v>
      </c>
      <c r="T955" s="114" t="str">
        <f t="shared" si="956"/>
        <v>علی محمد عمویی</v>
      </c>
      <c r="U955" s="86" t="str">
        <f t="shared" si="3"/>
        <v>09111382921</v>
      </c>
      <c r="V955" s="86" t="str">
        <f t="shared" si="4"/>
        <v>پیش‌وایی 8</v>
      </c>
      <c r="W955" s="86"/>
      <c r="X955" s="86"/>
    </row>
    <row r="956">
      <c r="A956" s="192">
        <v>956.0</v>
      </c>
      <c r="B956" s="193" t="s">
        <v>4960</v>
      </c>
      <c r="C956" s="194" t="s">
        <v>4961</v>
      </c>
      <c r="D956" s="195" t="str">
        <f>IFERROR(__xludf.DUMMYFUNCTION("ARRAYFORMULA(LET( converted, SUBSTITUTE( SUBSTITUTE( SUBSTITUTE( SUBSTITUTE( SUBSTITUTE( SUBSTITUTE( SUBSTITUTE( SUBSTITUTE( SUBSTITUTE( SUBSTITUTE( C956, ""۰"", ""0""), ""۱"", ""1""), ""۲"", ""2""), ""۳"", ""3""), ""۴"", ""4""), ""۵"", ""5""), ""۶"", ""6"&amp;"""), ""۷"", ""7""), ""۸"", ""8""), ""۹"", ""9""), IF(LEFT(converted,3)=""+98"", ""0"" &amp; RIGHT(converted, LEN(converted)-3), IF(LEFT(converted,2)=""98"", ""0"" &amp; RIGHT(converted, LEN(converted)-2), IF(LEFT(converted,1)&lt;&gt;""0"", ""0"" &amp; converted, REGEXREPLA"&amp;"CE(converted , ""\s"", """")) ) ) ) )"),"09122062426")</f>
        <v>09122062426</v>
      </c>
      <c r="E956" s="196" t="s">
        <v>17</v>
      </c>
      <c r="F956" s="197">
        <v>8.0</v>
      </c>
      <c r="G956" s="193"/>
      <c r="H956" s="193" t="s">
        <v>4962</v>
      </c>
      <c r="I956" s="194"/>
      <c r="J956" s="194"/>
      <c r="K956" s="193" t="s">
        <v>1018</v>
      </c>
      <c r="L956" s="193" t="s">
        <v>4963</v>
      </c>
      <c r="M956" s="193"/>
      <c r="N956" s="193"/>
      <c r="O956" s="193"/>
      <c r="P956" s="193"/>
      <c r="Q956" s="200"/>
      <c r="R956" s="86"/>
      <c r="S956" s="114">
        <f t="shared" ref="S956:T956" si="957">A956</f>
        <v>956</v>
      </c>
      <c r="T956" s="114" t="str">
        <f t="shared" si="957"/>
        <v>علی نیکونیا</v>
      </c>
      <c r="U956" s="86" t="str">
        <f t="shared" si="3"/>
        <v>09122062426</v>
      </c>
      <c r="V956" s="86" t="str">
        <f t="shared" si="4"/>
        <v>پیش‌وایی 8</v>
      </c>
      <c r="W956" s="86"/>
      <c r="X956" s="86"/>
    </row>
    <row r="957">
      <c r="A957" s="201">
        <v>957.0</v>
      </c>
      <c r="B957" s="202" t="s">
        <v>4964</v>
      </c>
      <c r="C957" s="203" t="s">
        <v>4965</v>
      </c>
      <c r="D957" s="204" t="str">
        <f>IFERROR(__xludf.DUMMYFUNCTION("ARRAYFORMULA(LET( converted, SUBSTITUTE( SUBSTITUTE( SUBSTITUTE( SUBSTITUTE( SUBSTITUTE( SUBSTITUTE( SUBSTITUTE( SUBSTITUTE( SUBSTITUTE( SUBSTITUTE( C957, ""۰"", ""0""), ""۱"", ""1""), ""۲"", ""2""), ""۳"", ""3""), ""۴"", ""4""), ""۵"", ""5""), ""۶"", ""6"&amp;"""), ""۷"", ""7""), ""۸"", ""8""), ""۹"", ""9""), IF(LEFT(converted,3)=""+98"", ""0"" &amp; RIGHT(converted, LEN(converted)-3), IF(LEFT(converted,2)=""98"", ""0"" &amp; RIGHT(converted, LEN(converted)-2), IF(LEFT(converted,1)&lt;&gt;""0"", ""0"" &amp; converted, REGEXREPLA"&amp;"CE(converted , ""\s"", """")) ) ) ) )"),"09381322003")</f>
        <v>09381322003</v>
      </c>
      <c r="E957" s="205" t="s">
        <v>17</v>
      </c>
      <c r="F957" s="206">
        <v>8.0</v>
      </c>
      <c r="G957" s="202"/>
      <c r="H957" s="202" t="s">
        <v>4966</v>
      </c>
      <c r="I957" s="203"/>
      <c r="J957" s="203"/>
      <c r="K957" s="202" t="s">
        <v>1018</v>
      </c>
      <c r="L957" s="202" t="s">
        <v>4967</v>
      </c>
      <c r="M957" s="202"/>
      <c r="N957" s="202"/>
      <c r="O957" s="202"/>
      <c r="P957" s="202"/>
      <c r="Q957" s="208"/>
      <c r="R957" s="86"/>
      <c r="S957" s="114">
        <f t="shared" ref="S957:T957" si="958">A957</f>
        <v>957</v>
      </c>
      <c r="T957" s="114" t="str">
        <f t="shared" si="958"/>
        <v>علی پیروزوند</v>
      </c>
      <c r="U957" s="86" t="str">
        <f t="shared" si="3"/>
        <v>09381322003</v>
      </c>
      <c r="V957" s="86" t="str">
        <f t="shared" si="4"/>
        <v>پیش‌وایی 8</v>
      </c>
      <c r="W957" s="86"/>
      <c r="X957" s="86"/>
    </row>
    <row r="958">
      <c r="A958" s="192">
        <v>958.0</v>
      </c>
      <c r="B958" s="199" t="s">
        <v>4968</v>
      </c>
      <c r="C958" s="194" t="s">
        <v>4969</v>
      </c>
      <c r="D958" s="195" t="str">
        <f>IFERROR(__xludf.DUMMYFUNCTION("ARRAYFORMULA(LET( converted, SUBSTITUTE( SUBSTITUTE( SUBSTITUTE( SUBSTITUTE( SUBSTITUTE( SUBSTITUTE( SUBSTITUTE( SUBSTITUTE( SUBSTITUTE( SUBSTITUTE( C958, ""۰"", ""0""), ""۱"", ""1""), ""۲"", ""2""), ""۳"", ""3""), ""۴"", ""4""), ""۵"", ""5""), ""۶"", ""6"&amp;"""), ""۷"", ""7""), ""۸"", ""8""), ""۹"", ""9""), IF(LEFT(converted,3)=""+98"", ""0"" &amp; RIGHT(converted, LEN(converted)-3), IF(LEFT(converted,2)=""98"", ""0"" &amp; RIGHT(converted, LEN(converted)-2), IF(LEFT(converted,1)&lt;&gt;""0"", ""0"" &amp; converted, REGEXREPLA"&amp;"CE(converted , ""\s"", """")) ) ) ) )"),"09121233837")</f>
        <v>09121233837</v>
      </c>
      <c r="E958" s="196" t="s">
        <v>17</v>
      </c>
      <c r="F958" s="197">
        <v>8.0</v>
      </c>
      <c r="G958" s="193"/>
      <c r="H958" s="193" t="s">
        <v>4970</v>
      </c>
      <c r="I958" s="194"/>
      <c r="J958" s="194"/>
      <c r="K958" s="193" t="s">
        <v>259</v>
      </c>
      <c r="L958" s="199" t="s">
        <v>4971</v>
      </c>
      <c r="M958" s="193"/>
      <c r="N958" s="193"/>
      <c r="O958" s="193"/>
      <c r="P958" s="193"/>
      <c r="Q958" s="200"/>
      <c r="R958" s="86"/>
      <c r="S958" s="114">
        <f t="shared" ref="S958:T958" si="959">A958</f>
        <v>958</v>
      </c>
      <c r="T958" s="114" t="str">
        <f t="shared" si="959"/>
        <v>علیرضا اسداله‌زاده</v>
      </c>
      <c r="U958" s="86" t="str">
        <f t="shared" si="3"/>
        <v>09121233837</v>
      </c>
      <c r="V958" s="86" t="str">
        <f t="shared" si="4"/>
        <v>پیش‌وایی 8</v>
      </c>
      <c r="W958" s="86"/>
      <c r="X958" s="86"/>
    </row>
    <row r="959">
      <c r="A959" s="201">
        <v>959.0</v>
      </c>
      <c r="B959" s="202" t="s">
        <v>4972</v>
      </c>
      <c r="C959" s="203" t="s">
        <v>4973</v>
      </c>
      <c r="D959" s="204" t="str">
        <f>IFERROR(__xludf.DUMMYFUNCTION("ARRAYFORMULA(LET( converted, SUBSTITUTE( SUBSTITUTE( SUBSTITUTE( SUBSTITUTE( SUBSTITUTE( SUBSTITUTE( SUBSTITUTE( SUBSTITUTE( SUBSTITUTE( SUBSTITUTE( C959, ""۰"", ""0""), ""۱"", ""1""), ""۲"", ""2""), ""۳"", ""3""), ""۴"", ""4""), ""۵"", ""5""), ""۶"", ""6"&amp;"""), ""۷"", ""7""), ""۸"", ""8""), ""۹"", ""9""), IF(LEFT(converted,3)=""+98"", ""0"" &amp; RIGHT(converted, LEN(converted)-3), IF(LEFT(converted,2)=""98"", ""0"" &amp; RIGHT(converted, LEN(converted)-2), IF(LEFT(converted,1)&lt;&gt;""0"", ""0"" &amp; converted, REGEXREPLA"&amp;"CE(converted , ""\s"", """")) ) ) ) )"),"09120342467")</f>
        <v>09120342467</v>
      </c>
      <c r="E959" s="205" t="s">
        <v>17</v>
      </c>
      <c r="F959" s="206">
        <v>8.0</v>
      </c>
      <c r="G959" s="202"/>
      <c r="H959" s="202" t="s">
        <v>4974</v>
      </c>
      <c r="I959" s="203"/>
      <c r="J959" s="203"/>
      <c r="K959" s="202" t="s">
        <v>259</v>
      </c>
      <c r="L959" s="202" t="s">
        <v>4975</v>
      </c>
      <c r="M959" s="202"/>
      <c r="N959" s="202"/>
      <c r="O959" s="202"/>
      <c r="P959" s="202"/>
      <c r="Q959" s="208"/>
      <c r="R959" s="86"/>
      <c r="S959" s="114">
        <f t="shared" ref="S959:T959" si="960">A959</f>
        <v>959</v>
      </c>
      <c r="T959" s="114" t="str">
        <f t="shared" si="960"/>
        <v>علیرضا هروی</v>
      </c>
      <c r="U959" s="86" t="str">
        <f t="shared" si="3"/>
        <v>09120342467</v>
      </c>
      <c r="V959" s="86" t="str">
        <f t="shared" si="4"/>
        <v>پیش‌وایی 8</v>
      </c>
      <c r="W959" s="86"/>
      <c r="X959" s="86"/>
    </row>
    <row r="960">
      <c r="A960" s="192">
        <v>960.0</v>
      </c>
      <c r="B960" s="199" t="s">
        <v>4976</v>
      </c>
      <c r="C960" s="194" t="s">
        <v>4977</v>
      </c>
      <c r="D960" s="195" t="str">
        <f>IFERROR(__xludf.DUMMYFUNCTION("ARRAYFORMULA(LET( converted, SUBSTITUTE( SUBSTITUTE( SUBSTITUTE( SUBSTITUTE( SUBSTITUTE( SUBSTITUTE( SUBSTITUTE( SUBSTITUTE( SUBSTITUTE( SUBSTITUTE( C960, ""۰"", ""0""), ""۱"", ""1""), ""۲"", ""2""), ""۳"", ""3""), ""۴"", ""4""), ""۵"", ""5""), ""۶"", ""6"&amp;"""), ""۷"", ""7""), ""۸"", ""8""), ""۹"", ""9""), IF(LEFT(converted,3)=""+98"", ""0"" &amp; RIGHT(converted, LEN(converted)-3), IF(LEFT(converted,2)=""98"", ""0"" &amp; RIGHT(converted, LEN(converted)-2), IF(LEFT(converted,1)&lt;&gt;""0"", ""0"" &amp; converted, REGEXREPLA"&amp;"CE(converted , ""\s"", """")) ) ) ) )"),"09917897915")</f>
        <v>09917897915</v>
      </c>
      <c r="E960" s="196" t="s">
        <v>17</v>
      </c>
      <c r="F960" s="197">
        <v>8.0</v>
      </c>
      <c r="G960" s="193"/>
      <c r="H960" s="193" t="s">
        <v>4978</v>
      </c>
      <c r="I960" s="194"/>
      <c r="J960" s="194"/>
      <c r="K960" s="193" t="s">
        <v>4979</v>
      </c>
      <c r="L960" s="193" t="s">
        <v>4980</v>
      </c>
      <c r="M960" s="193"/>
      <c r="N960" s="193"/>
      <c r="O960" s="193"/>
      <c r="P960" s="193"/>
      <c r="Q960" s="200"/>
      <c r="R960" s="86"/>
      <c r="S960" s="114">
        <f t="shared" ref="S960:T960" si="961">A960</f>
        <v>960</v>
      </c>
      <c r="T960" s="114" t="str">
        <f t="shared" si="961"/>
        <v>عیسی فدائی</v>
      </c>
      <c r="U960" s="86" t="str">
        <f t="shared" si="3"/>
        <v>09917897915</v>
      </c>
      <c r="V960" s="86" t="str">
        <f t="shared" si="4"/>
        <v>پیش‌وایی 8</v>
      </c>
      <c r="W960" s="86"/>
      <c r="X960" s="86"/>
    </row>
    <row r="961">
      <c r="A961" s="201">
        <v>961.0</v>
      </c>
      <c r="B961" s="207" t="s">
        <v>4981</v>
      </c>
      <c r="C961" s="203" t="s">
        <v>4982</v>
      </c>
      <c r="D961" s="204" t="str">
        <f>IFERROR(__xludf.DUMMYFUNCTION("ARRAYFORMULA(LET( converted, SUBSTITUTE( SUBSTITUTE( SUBSTITUTE( SUBSTITUTE( SUBSTITUTE( SUBSTITUTE( SUBSTITUTE( SUBSTITUTE( SUBSTITUTE( SUBSTITUTE( C961, ""۰"", ""0""), ""۱"", ""1""), ""۲"", ""2""), ""۳"", ""3""), ""۴"", ""4""), ""۵"", ""5""), ""۶"", ""6"&amp;"""), ""۷"", ""7""), ""۸"", ""8""), ""۹"", ""9""), IF(LEFT(converted,3)=""+98"", ""0"" &amp; RIGHT(converted, LEN(converted)-3), IF(LEFT(converted,2)=""98"", ""0"" &amp; RIGHT(converted, LEN(converted)-2), IF(LEFT(converted,1)&lt;&gt;""0"", ""0"" &amp; converted, REGEXREPLA"&amp;"CE(converted , ""\s"", """")) ) ) ) )"),"09213239516")</f>
        <v>09213239516</v>
      </c>
      <c r="E961" s="205" t="s">
        <v>17</v>
      </c>
      <c r="F961" s="206">
        <v>8.0</v>
      </c>
      <c r="G961" s="202"/>
      <c r="H961" s="202" t="s">
        <v>4983</v>
      </c>
      <c r="I961" s="203"/>
      <c r="J961" s="203"/>
      <c r="K961" s="202" t="s">
        <v>4079</v>
      </c>
      <c r="L961" s="202" t="s">
        <v>1743</v>
      </c>
      <c r="M961" s="202"/>
      <c r="N961" s="202"/>
      <c r="O961" s="202"/>
      <c r="P961" s="202"/>
      <c r="Q961" s="208"/>
      <c r="R961" s="86"/>
      <c r="S961" s="114">
        <f t="shared" ref="S961:T961" si="962">A961</f>
        <v>961</v>
      </c>
      <c r="T961" s="114" t="str">
        <f t="shared" si="962"/>
        <v>فائزه نظری</v>
      </c>
      <c r="U961" s="86" t="str">
        <f t="shared" si="3"/>
        <v>09213239516</v>
      </c>
      <c r="V961" s="86" t="str">
        <f t="shared" si="4"/>
        <v>پیش‌وایی 8</v>
      </c>
      <c r="W961" s="86"/>
      <c r="X961" s="86"/>
    </row>
    <row r="962">
      <c r="A962" s="192">
        <v>962.0</v>
      </c>
      <c r="B962" s="193" t="s">
        <v>4984</v>
      </c>
      <c r="C962" s="194" t="s">
        <v>4985</v>
      </c>
      <c r="D962" s="195" t="str">
        <f>IFERROR(__xludf.DUMMYFUNCTION("ARRAYFORMULA(LET( converted, SUBSTITUTE( SUBSTITUTE( SUBSTITUTE( SUBSTITUTE( SUBSTITUTE( SUBSTITUTE( SUBSTITUTE( SUBSTITUTE( SUBSTITUTE( SUBSTITUTE( C962, ""۰"", ""0""), ""۱"", ""1""), ""۲"", ""2""), ""۳"", ""3""), ""۴"", ""4""), ""۵"", ""5""), ""۶"", ""6"&amp;"""), ""۷"", ""7""), ""۸"", ""8""), ""۹"", ""9""), IF(LEFT(converted,3)=""+98"", ""0"" &amp; RIGHT(converted, LEN(converted)-3), IF(LEFT(converted,2)=""98"", ""0"" &amp; RIGHT(converted, LEN(converted)-2), IF(LEFT(converted,1)&lt;&gt;""0"", ""0"" &amp; converted, REGEXREPLA"&amp;"CE(converted , ""\s"", """")) ) ) ) )"),"09124499636")</f>
        <v>09124499636</v>
      </c>
      <c r="E962" s="196" t="s">
        <v>17</v>
      </c>
      <c r="F962" s="197">
        <v>8.0</v>
      </c>
      <c r="G962" s="193"/>
      <c r="H962" s="193" t="s">
        <v>4986</v>
      </c>
      <c r="I962" s="194"/>
      <c r="J962" s="194"/>
      <c r="K962" s="193" t="s">
        <v>274</v>
      </c>
      <c r="L962" s="193" t="s">
        <v>4987</v>
      </c>
      <c r="M962" s="193"/>
      <c r="N962" s="193"/>
      <c r="O962" s="193"/>
      <c r="P962" s="193"/>
      <c r="Q962" s="200"/>
      <c r="R962" s="86"/>
      <c r="S962" s="114">
        <f t="shared" ref="S962:T962" si="963">A962</f>
        <v>962</v>
      </c>
      <c r="T962" s="114" t="str">
        <f t="shared" si="963"/>
        <v>فاطمه اسفندیاری</v>
      </c>
      <c r="U962" s="86" t="str">
        <f t="shared" si="3"/>
        <v>09124499636</v>
      </c>
      <c r="V962" s="86" t="str">
        <f t="shared" si="4"/>
        <v>پیش‌وایی 8</v>
      </c>
      <c r="W962" s="86"/>
      <c r="X962" s="86"/>
    </row>
    <row r="963">
      <c r="A963" s="201">
        <v>963.0</v>
      </c>
      <c r="B963" s="207" t="s">
        <v>4988</v>
      </c>
      <c r="C963" s="203" t="s">
        <v>4989</v>
      </c>
      <c r="D963" s="204" t="str">
        <f>IFERROR(__xludf.DUMMYFUNCTION("ARRAYFORMULA(LET( converted, SUBSTITUTE( SUBSTITUTE( SUBSTITUTE( SUBSTITUTE( SUBSTITUTE( SUBSTITUTE( SUBSTITUTE( SUBSTITUTE( SUBSTITUTE( SUBSTITUTE( C963, ""۰"", ""0""), ""۱"", ""1""), ""۲"", ""2""), ""۳"", ""3""), ""۴"", ""4""), ""۵"", ""5""), ""۶"", ""6"&amp;"""), ""۷"", ""7""), ""۸"", ""8""), ""۹"", ""9""), IF(LEFT(converted,3)=""+98"", ""0"" &amp; RIGHT(converted, LEN(converted)-3), IF(LEFT(converted,2)=""98"", ""0"" &amp; RIGHT(converted, LEN(converted)-2), IF(LEFT(converted,1)&lt;&gt;""0"", ""0"" &amp; converted, REGEXREPLA"&amp;"CE(converted , ""\s"", """")) ) ) ) )"),"09332762487")</f>
        <v>09332762487</v>
      </c>
      <c r="E963" s="205" t="s">
        <v>17</v>
      </c>
      <c r="F963" s="206">
        <v>8.0</v>
      </c>
      <c r="G963" s="202"/>
      <c r="H963" s="202" t="s">
        <v>4990</v>
      </c>
      <c r="I963" s="203"/>
      <c r="J963" s="203"/>
      <c r="K963" s="202" t="s">
        <v>274</v>
      </c>
      <c r="L963" s="202" t="s">
        <v>4991</v>
      </c>
      <c r="M963" s="202"/>
      <c r="N963" s="202"/>
      <c r="O963" s="202"/>
      <c r="P963" s="202"/>
      <c r="Q963" s="208"/>
      <c r="R963" s="86"/>
      <c r="S963" s="114">
        <f t="shared" ref="S963:T963" si="964">A963</f>
        <v>963</v>
      </c>
      <c r="T963" s="114" t="str">
        <f t="shared" si="964"/>
        <v>فاطمه بخشعلی پور</v>
      </c>
      <c r="U963" s="86" t="str">
        <f t="shared" si="3"/>
        <v>09332762487</v>
      </c>
      <c r="V963" s="86" t="str">
        <f t="shared" si="4"/>
        <v>پیش‌وایی 8</v>
      </c>
      <c r="W963" s="86"/>
      <c r="X963" s="86"/>
    </row>
    <row r="964">
      <c r="A964" s="192">
        <v>964.0</v>
      </c>
      <c r="B964" s="193" t="s">
        <v>4992</v>
      </c>
      <c r="C964" s="194" t="s">
        <v>4993</v>
      </c>
      <c r="D964" s="195" t="str">
        <f>IFERROR(__xludf.DUMMYFUNCTION("ARRAYFORMULA(LET( converted, SUBSTITUTE( SUBSTITUTE( SUBSTITUTE( SUBSTITUTE( SUBSTITUTE( SUBSTITUTE( SUBSTITUTE( SUBSTITUTE( SUBSTITUTE( SUBSTITUTE( C964, ""۰"", ""0""), ""۱"", ""1""), ""۲"", ""2""), ""۳"", ""3""), ""۴"", ""4""), ""۵"", ""5""), ""۶"", ""6"&amp;"""), ""۷"", ""7""), ""۸"", ""8""), ""۹"", ""9""), IF(LEFT(converted,3)=""+98"", ""0"" &amp; RIGHT(converted, LEN(converted)-3), IF(LEFT(converted,2)=""98"", ""0"" &amp; RIGHT(converted, LEN(converted)-2), IF(LEFT(converted,1)&lt;&gt;""0"", ""0"" &amp; converted, REGEXREPLA"&amp;"CE(converted , ""\s"", """")) ) ) ) )"),"09111370920")</f>
        <v>09111370920</v>
      </c>
      <c r="E964" s="196" t="s">
        <v>17</v>
      </c>
      <c r="F964" s="197">
        <v>8.0</v>
      </c>
      <c r="G964" s="193"/>
      <c r="H964" s="193" t="s">
        <v>4994</v>
      </c>
      <c r="I964" s="194"/>
      <c r="J964" s="194"/>
      <c r="K964" s="193" t="s">
        <v>274</v>
      </c>
      <c r="L964" s="193" t="s">
        <v>4995</v>
      </c>
      <c r="M964" s="193"/>
      <c r="N964" s="193"/>
      <c r="O964" s="193"/>
      <c r="P964" s="193"/>
      <c r="Q964" s="200"/>
      <c r="R964" s="86"/>
      <c r="S964" s="114">
        <f t="shared" ref="S964:T964" si="965">A964</f>
        <v>964</v>
      </c>
      <c r="T964" s="114" t="str">
        <f t="shared" si="965"/>
        <v>فاطمه رضاخواه گورابسری</v>
      </c>
      <c r="U964" s="86" t="str">
        <f t="shared" si="3"/>
        <v>09111370920</v>
      </c>
      <c r="V964" s="86" t="str">
        <f t="shared" si="4"/>
        <v>پیش‌وایی 8</v>
      </c>
      <c r="W964" s="86"/>
      <c r="X964" s="86"/>
    </row>
    <row r="965">
      <c r="A965" s="201">
        <v>965.0</v>
      </c>
      <c r="B965" s="202" t="s">
        <v>4996</v>
      </c>
      <c r="C965" s="203" t="s">
        <v>4997</v>
      </c>
      <c r="D965" s="204" t="str">
        <f>IFERROR(__xludf.DUMMYFUNCTION("ARRAYFORMULA(LET( converted, SUBSTITUTE( SUBSTITUTE( SUBSTITUTE( SUBSTITUTE( SUBSTITUTE( SUBSTITUTE( SUBSTITUTE( SUBSTITUTE( SUBSTITUTE( SUBSTITUTE( C965, ""۰"", ""0""), ""۱"", ""1""), ""۲"", ""2""), ""۳"", ""3""), ""۴"", ""4""), ""۵"", ""5""), ""۶"", ""6"&amp;"""), ""۷"", ""7""), ""۸"", ""8""), ""۹"", ""9""), IF(LEFT(converted,3)=""+98"", ""0"" &amp; RIGHT(converted, LEN(converted)-3), IF(LEFT(converted,2)=""98"", ""0"" &amp; RIGHT(converted, LEN(converted)-2), IF(LEFT(converted,1)&lt;&gt;""0"", ""0"" &amp; converted, REGEXREPLA"&amp;"CE(converted , ""\s"", """")) ) ) ) )"),"09127622270")</f>
        <v>09127622270</v>
      </c>
      <c r="E965" s="205" t="s">
        <v>17</v>
      </c>
      <c r="F965" s="206">
        <v>8.0</v>
      </c>
      <c r="G965" s="202"/>
      <c r="H965" s="202" t="s">
        <v>4998</v>
      </c>
      <c r="I965" s="203"/>
      <c r="J965" s="203"/>
      <c r="K965" s="202" t="s">
        <v>274</v>
      </c>
      <c r="L965" s="202" t="s">
        <v>4999</v>
      </c>
      <c r="M965" s="202"/>
      <c r="N965" s="202"/>
      <c r="O965" s="202"/>
      <c r="P965" s="202"/>
      <c r="Q965" s="208"/>
      <c r="R965" s="86"/>
      <c r="S965" s="114">
        <f t="shared" ref="S965:T965" si="966">A965</f>
        <v>965</v>
      </c>
      <c r="T965" s="114" t="str">
        <f t="shared" si="966"/>
        <v>فاطمه کرمیان</v>
      </c>
      <c r="U965" s="86" t="str">
        <f t="shared" si="3"/>
        <v>09127622270</v>
      </c>
      <c r="V965" s="86" t="str">
        <f t="shared" si="4"/>
        <v>پیش‌وایی 8</v>
      </c>
      <c r="W965" s="86"/>
      <c r="X965" s="86"/>
    </row>
    <row r="966">
      <c r="A966" s="192">
        <v>966.0</v>
      </c>
      <c r="B966" s="193" t="s">
        <v>5000</v>
      </c>
      <c r="C966" s="194" t="s">
        <v>5001</v>
      </c>
      <c r="D966" s="195" t="str">
        <f>IFERROR(__xludf.DUMMYFUNCTION("ARRAYFORMULA(LET( converted, SUBSTITUTE( SUBSTITUTE( SUBSTITUTE( SUBSTITUTE( SUBSTITUTE( SUBSTITUTE( SUBSTITUTE( SUBSTITUTE( SUBSTITUTE( SUBSTITUTE( C966, ""۰"", ""0""), ""۱"", ""1""), ""۲"", ""2""), ""۳"", ""3""), ""۴"", ""4""), ""۵"", ""5""), ""۶"", ""6"&amp;"""), ""۷"", ""7""), ""۸"", ""8""), ""۹"", ""9""), IF(LEFT(converted,3)=""+98"", ""0"" &amp; RIGHT(converted, LEN(converted)-3), IF(LEFT(converted,2)=""98"", ""0"" &amp; RIGHT(converted, LEN(converted)-2), IF(LEFT(converted,1)&lt;&gt;""0"", ""0"" &amp; converted, REGEXREPLA"&amp;"CE(converted , ""\s"", """")) ) ) ) )"),"09384154314")</f>
        <v>09384154314</v>
      </c>
      <c r="E966" s="196" t="s">
        <v>17</v>
      </c>
      <c r="F966" s="197">
        <v>8.0</v>
      </c>
      <c r="G966" s="193"/>
      <c r="H966" s="193" t="s">
        <v>279</v>
      </c>
      <c r="I966" s="194"/>
      <c r="J966" s="194"/>
      <c r="K966" s="193" t="s">
        <v>274</v>
      </c>
      <c r="L966" s="193" t="s">
        <v>277</v>
      </c>
      <c r="M966" s="193"/>
      <c r="N966" s="193"/>
      <c r="O966" s="193"/>
      <c r="P966" s="193"/>
      <c r="Q966" s="200"/>
      <c r="R966" s="86"/>
      <c r="S966" s="114">
        <f t="shared" ref="S966:T966" si="967">A966</f>
        <v>966</v>
      </c>
      <c r="T966" s="114" t="str">
        <f t="shared" si="967"/>
        <v>فاطمه مظاهری</v>
      </c>
      <c r="U966" s="86" t="str">
        <f t="shared" si="3"/>
        <v>09384154314</v>
      </c>
      <c r="V966" s="86" t="str">
        <f t="shared" si="4"/>
        <v>پیش‌وایی 8</v>
      </c>
      <c r="W966" s="86"/>
      <c r="X966" s="86"/>
    </row>
    <row r="967">
      <c r="A967" s="201">
        <v>967.0</v>
      </c>
      <c r="B967" s="202" t="s">
        <v>5002</v>
      </c>
      <c r="C967" s="203" t="s">
        <v>5003</v>
      </c>
      <c r="D967" s="204" t="str">
        <f>IFERROR(__xludf.DUMMYFUNCTION("ARRAYFORMULA(LET( converted, SUBSTITUTE( SUBSTITUTE( SUBSTITUTE( SUBSTITUTE( SUBSTITUTE( SUBSTITUTE( SUBSTITUTE( SUBSTITUTE( SUBSTITUTE( SUBSTITUTE( C967, ""۰"", ""0""), ""۱"", ""1""), ""۲"", ""2""), ""۳"", ""3""), ""۴"", ""4""), ""۵"", ""5""), ""۶"", ""6"&amp;"""), ""۷"", ""7""), ""۸"", ""8""), ""۹"", ""9""), IF(LEFT(converted,3)=""+98"", ""0"" &amp; RIGHT(converted, LEN(converted)-3), IF(LEFT(converted,2)=""98"", ""0"" &amp; RIGHT(converted, LEN(converted)-2), IF(LEFT(converted,1)&lt;&gt;""0"", ""0"" &amp; converted, REGEXREPLA"&amp;"CE(converted , ""\s"", """")) ) ) ) )"),"09385975936")</f>
        <v>09385975936</v>
      </c>
      <c r="E967" s="205" t="s">
        <v>17</v>
      </c>
      <c r="F967" s="206">
        <v>8.0</v>
      </c>
      <c r="G967" s="202"/>
      <c r="H967" s="202" t="s">
        <v>5004</v>
      </c>
      <c r="I967" s="203"/>
      <c r="J967" s="203"/>
      <c r="K967" s="202" t="s">
        <v>274</v>
      </c>
      <c r="L967" s="202" t="s">
        <v>5005</v>
      </c>
      <c r="M967" s="202"/>
      <c r="N967" s="202"/>
      <c r="O967" s="202"/>
      <c r="P967" s="202"/>
      <c r="Q967" s="208"/>
      <c r="R967" s="86"/>
      <c r="S967" s="114">
        <f t="shared" ref="S967:T967" si="968">A967</f>
        <v>967</v>
      </c>
      <c r="T967" s="114" t="str">
        <f t="shared" si="968"/>
        <v>فاطمه جان</v>
      </c>
      <c r="U967" s="86" t="str">
        <f t="shared" si="3"/>
        <v>09385975936</v>
      </c>
      <c r="V967" s="86" t="str">
        <f t="shared" si="4"/>
        <v>پیش‌وایی 8</v>
      </c>
      <c r="W967" s="86"/>
      <c r="X967" s="86"/>
    </row>
    <row r="968">
      <c r="A968" s="192">
        <v>968.0</v>
      </c>
      <c r="B968" s="199" t="s">
        <v>5006</v>
      </c>
      <c r="C968" s="194" t="s">
        <v>5007</v>
      </c>
      <c r="D968" s="195" t="str">
        <f>IFERROR(__xludf.DUMMYFUNCTION("ARRAYFORMULA(LET( converted, SUBSTITUTE( SUBSTITUTE( SUBSTITUTE( SUBSTITUTE( SUBSTITUTE( SUBSTITUTE( SUBSTITUTE( SUBSTITUTE( SUBSTITUTE( SUBSTITUTE( C968, ""۰"", ""0""), ""۱"", ""1""), ""۲"", ""2""), ""۳"", ""3""), ""۴"", ""4""), ""۵"", ""5""), ""۶"", ""6"&amp;"""), ""۷"", ""7""), ""۸"", ""8""), ""۹"", ""9""), IF(LEFT(converted,3)=""+98"", ""0"" &amp; RIGHT(converted, LEN(converted)-3), IF(LEFT(converted,2)=""98"", ""0"" &amp; RIGHT(converted, LEN(converted)-2), IF(LEFT(converted,1)&lt;&gt;""0"", ""0"" &amp; converted, REGEXREPLA"&amp;"CE(converted , ""\s"", """")) ) ) ) )"),"09122434557")</f>
        <v>09122434557</v>
      </c>
      <c r="E968" s="196" t="s">
        <v>17</v>
      </c>
      <c r="F968" s="197">
        <v>8.0</v>
      </c>
      <c r="G968" s="193"/>
      <c r="H968" s="193" t="s">
        <v>5008</v>
      </c>
      <c r="I968" s="194"/>
      <c r="J968" s="194"/>
      <c r="K968" s="193" t="s">
        <v>186</v>
      </c>
      <c r="L968" s="193" t="s">
        <v>4476</v>
      </c>
      <c r="M968" s="193"/>
      <c r="N968" s="193"/>
      <c r="O968" s="193"/>
      <c r="P968" s="193"/>
      <c r="Q968" s="200"/>
      <c r="R968" s="86"/>
      <c r="S968" s="114">
        <f t="shared" ref="S968:T968" si="969">A968</f>
        <v>968</v>
      </c>
      <c r="T968" s="114" t="str">
        <f t="shared" si="969"/>
        <v>فرزاد حمیدی منش</v>
      </c>
      <c r="U968" s="86" t="str">
        <f t="shared" si="3"/>
        <v>09122434557</v>
      </c>
      <c r="V968" s="86" t="str">
        <f t="shared" si="4"/>
        <v>پیش‌وایی 8</v>
      </c>
      <c r="W968" s="86"/>
      <c r="X968" s="86"/>
    </row>
    <row r="969">
      <c r="A969" s="201">
        <v>969.0</v>
      </c>
      <c r="B969" s="202" t="s">
        <v>2666</v>
      </c>
      <c r="C969" s="203"/>
      <c r="D969" s="204" t="str">
        <f>IFERROR(__xludf.DUMMYFUNCTION("ARRAYFORMULA(LET( converted, SUBSTITUTE( SUBSTITUTE( SUBSTITUTE( SUBSTITUTE( SUBSTITUTE( SUBSTITUTE( SUBSTITUTE( SUBSTITUTE( SUBSTITUTE( SUBSTITUTE( C969, ""۰"", ""0""), ""۱"", ""1""), ""۲"", ""2""), ""۳"", ""3""), ""۴"", ""4""), ""۵"", ""5""), ""۶"", ""6"&amp;"""), ""۷"", ""7""), ""۸"", ""8""), ""۹"", ""9""), IF(LEFT(converted,3)=""+98"", ""0"" &amp; RIGHT(converted, LEN(converted)-3), IF(LEFT(converted,2)=""98"", ""0"" &amp; RIGHT(converted, LEN(converted)-2), IF(LEFT(converted,1)&lt;&gt;""0"", ""0"" &amp; converted, REGEXREPLA"&amp;"CE(converted , ""\s"", """")) ) ) ) )"),"0")</f>
        <v>0</v>
      </c>
      <c r="E969" s="205" t="s">
        <v>17</v>
      </c>
      <c r="F969" s="206">
        <v>8.0</v>
      </c>
      <c r="G969" s="202"/>
      <c r="H969" s="202" t="s">
        <v>5009</v>
      </c>
      <c r="I969" s="203"/>
      <c r="J969" s="203"/>
      <c r="K969" s="202" t="s">
        <v>2670</v>
      </c>
      <c r="L969" s="202" t="s">
        <v>2671</v>
      </c>
      <c r="M969" s="202"/>
      <c r="N969" s="202"/>
      <c r="O969" s="202"/>
      <c r="P969" s="202"/>
      <c r="Q969" s="208"/>
      <c r="R969" s="86"/>
      <c r="S969" s="114">
        <f t="shared" ref="S969:T969" si="970">A969</f>
        <v>969</v>
      </c>
      <c r="T969" s="114" t="str">
        <f t="shared" si="970"/>
        <v>فرزانه هراتی</v>
      </c>
      <c r="U969" s="86" t="str">
        <f t="shared" si="3"/>
        <v>0</v>
      </c>
      <c r="V969" s="86" t="str">
        <f t="shared" si="4"/>
        <v>پیش‌وایی 8</v>
      </c>
      <c r="W969" s="86"/>
      <c r="X969" s="86"/>
    </row>
    <row r="970">
      <c r="A970" s="192">
        <v>970.0</v>
      </c>
      <c r="B970" s="193" t="s">
        <v>5010</v>
      </c>
      <c r="C970" s="194" t="s">
        <v>5011</v>
      </c>
      <c r="D970" s="195" t="str">
        <f>IFERROR(__xludf.DUMMYFUNCTION("ARRAYFORMULA(LET( converted, SUBSTITUTE( SUBSTITUTE( SUBSTITUTE( SUBSTITUTE( SUBSTITUTE( SUBSTITUTE( SUBSTITUTE( SUBSTITUTE( SUBSTITUTE( SUBSTITUTE( C970, ""۰"", ""0""), ""۱"", ""1""), ""۲"", ""2""), ""۳"", ""3""), ""۴"", ""4""), ""۵"", ""5""), ""۶"", ""6"&amp;"""), ""۷"", ""7""), ""۸"", ""8""), ""۹"", ""9""), IF(LEFT(converted,3)=""+98"", ""0"" &amp; RIGHT(converted, LEN(converted)-3), IF(LEFT(converted,2)=""98"", ""0"" &amp; RIGHT(converted, LEN(converted)-2), IF(LEFT(converted,1)&lt;&gt;""0"", ""0"" &amp; converted, REGEXREPLA"&amp;"CE(converted , ""\s"", """")) ) ) ) )"),"09910454820")</f>
        <v>09910454820</v>
      </c>
      <c r="E970" s="196" t="s">
        <v>17</v>
      </c>
      <c r="F970" s="197">
        <v>8.0</v>
      </c>
      <c r="G970" s="193"/>
      <c r="H970" s="193" t="s">
        <v>5012</v>
      </c>
      <c r="I970" s="194"/>
      <c r="J970" s="194"/>
      <c r="K970" s="193" t="s">
        <v>3182</v>
      </c>
      <c r="L970" s="193" t="s">
        <v>5013</v>
      </c>
      <c r="M970" s="193"/>
      <c r="N970" s="193"/>
      <c r="O970" s="193"/>
      <c r="P970" s="193"/>
      <c r="Q970" s="200"/>
      <c r="R970" s="86"/>
      <c r="S970" s="114">
        <f t="shared" ref="S970:T970" si="971">A970</f>
        <v>970</v>
      </c>
      <c r="T970" s="114" t="str">
        <f t="shared" si="971"/>
        <v>فرناز زاهدی</v>
      </c>
      <c r="U970" s="86" t="str">
        <f t="shared" si="3"/>
        <v>09910454820</v>
      </c>
      <c r="V970" s="86" t="str">
        <f t="shared" si="4"/>
        <v>پیش‌وایی 8</v>
      </c>
      <c r="W970" s="86"/>
      <c r="X970" s="86"/>
    </row>
    <row r="971">
      <c r="A971" s="201">
        <v>971.0</v>
      </c>
      <c r="B971" s="202" t="s">
        <v>5014</v>
      </c>
      <c r="C971" s="203" t="s">
        <v>5015</v>
      </c>
      <c r="D971" s="204" t="str">
        <f>IFERROR(__xludf.DUMMYFUNCTION("ARRAYFORMULA(LET( converted, SUBSTITUTE( SUBSTITUTE( SUBSTITUTE( SUBSTITUTE( SUBSTITUTE( SUBSTITUTE( SUBSTITUTE( SUBSTITUTE( SUBSTITUTE( SUBSTITUTE( C971, ""۰"", ""0""), ""۱"", ""1""), ""۲"", ""2""), ""۳"", ""3""), ""۴"", ""4""), ""۵"", ""5""), ""۶"", ""6"&amp;"""), ""۷"", ""7""), ""۸"", ""8""), ""۹"", ""9""), IF(LEFT(converted,3)=""+98"", ""0"" &amp; RIGHT(converted, LEN(converted)-3), IF(LEFT(converted,2)=""98"", ""0"" &amp; RIGHT(converted, LEN(converted)-2), IF(LEFT(converted,1)&lt;&gt;""0"", ""0"" &amp; converted, REGEXREPLA"&amp;"CE(converted , ""\s"", """")) ) ) ) )"),"09106959620")</f>
        <v>09106959620</v>
      </c>
      <c r="E971" s="205" t="s">
        <v>17</v>
      </c>
      <c r="F971" s="206">
        <v>8.0</v>
      </c>
      <c r="G971" s="202"/>
      <c r="H971" s="202" t="s">
        <v>5016</v>
      </c>
      <c r="I971" s="203"/>
      <c r="J971" s="203"/>
      <c r="K971" s="202" t="s">
        <v>5017</v>
      </c>
      <c r="L971" s="202" t="s">
        <v>5018</v>
      </c>
      <c r="M971" s="202"/>
      <c r="N971" s="202"/>
      <c r="O971" s="202"/>
      <c r="P971" s="202"/>
      <c r="Q971" s="208"/>
      <c r="R971" s="86"/>
      <c r="S971" s="114">
        <f t="shared" ref="S971:T971" si="972">A971</f>
        <v>971</v>
      </c>
      <c r="T971" s="114" t="str">
        <f t="shared" si="972"/>
        <v>کیانا یاربهمن</v>
      </c>
      <c r="U971" s="86" t="str">
        <f t="shared" si="3"/>
        <v>09106959620</v>
      </c>
      <c r="V971" s="86" t="str">
        <f t="shared" si="4"/>
        <v>پیش‌وایی 8</v>
      </c>
      <c r="W971" s="86"/>
      <c r="X971" s="86"/>
    </row>
    <row r="972">
      <c r="A972" s="192">
        <v>972.0</v>
      </c>
      <c r="B972" s="199" t="s">
        <v>5019</v>
      </c>
      <c r="C972" s="194" t="s">
        <v>5020</v>
      </c>
      <c r="D972" s="195" t="str">
        <f>IFERROR(__xludf.DUMMYFUNCTION("ARRAYFORMULA(LET( converted, SUBSTITUTE( SUBSTITUTE( SUBSTITUTE( SUBSTITUTE( SUBSTITUTE( SUBSTITUTE( SUBSTITUTE( SUBSTITUTE( SUBSTITUTE( SUBSTITUTE( C972, ""۰"", ""0""), ""۱"", ""1""), ""۲"", ""2""), ""۳"", ""3""), ""۴"", ""4""), ""۵"", ""5""), ""۶"", ""6"&amp;"""), ""۷"", ""7""), ""۸"", ""8""), ""۹"", ""9""), IF(LEFT(converted,3)=""+98"", ""0"" &amp; RIGHT(converted, LEN(converted)-3), IF(LEFT(converted,2)=""98"", ""0"" &amp; RIGHT(converted, LEN(converted)-2), IF(LEFT(converted,1)&lt;&gt;""0"", ""0"" &amp; converted, REGEXREPLA"&amp;"CE(converted , ""\s"", """")) ) ) ) )"),"09117541190")</f>
        <v>09117541190</v>
      </c>
      <c r="E972" s="196" t="s">
        <v>17</v>
      </c>
      <c r="F972" s="197">
        <v>8.0</v>
      </c>
      <c r="G972" s="193"/>
      <c r="H972" s="193" t="s">
        <v>5021</v>
      </c>
      <c r="I972" s="194"/>
      <c r="J972" s="194"/>
      <c r="K972" s="193" t="s">
        <v>5022</v>
      </c>
      <c r="L972" s="193" t="s">
        <v>5023</v>
      </c>
      <c r="M972" s="193"/>
      <c r="N972" s="193"/>
      <c r="O972" s="193"/>
      <c r="P972" s="193"/>
      <c r="Q972" s="200"/>
      <c r="R972" s="86"/>
      <c r="S972" s="114">
        <f t="shared" ref="S972:T972" si="973">A972</f>
        <v>972</v>
      </c>
      <c r="T972" s="114" t="str">
        <f t="shared" si="973"/>
        <v>مائده جوادی راد</v>
      </c>
      <c r="U972" s="86" t="str">
        <f t="shared" si="3"/>
        <v>09117541190</v>
      </c>
      <c r="V972" s="86" t="str">
        <f t="shared" si="4"/>
        <v>پیش‌وایی 8</v>
      </c>
      <c r="W972" s="86"/>
      <c r="X972" s="86"/>
    </row>
    <row r="973">
      <c r="A973" s="201">
        <v>973.0</v>
      </c>
      <c r="B973" s="207" t="s">
        <v>5024</v>
      </c>
      <c r="C973" s="203" t="s">
        <v>5025</v>
      </c>
      <c r="D973" s="204" t="str">
        <f>IFERROR(__xludf.DUMMYFUNCTION("ARRAYFORMULA(LET( converted, SUBSTITUTE( SUBSTITUTE( SUBSTITUTE( SUBSTITUTE( SUBSTITUTE( SUBSTITUTE( SUBSTITUTE( SUBSTITUTE( SUBSTITUTE( SUBSTITUTE( C973, ""۰"", ""0""), ""۱"", ""1""), ""۲"", ""2""), ""۳"", ""3""), ""۴"", ""4""), ""۵"", ""5""), ""۶"", ""6"&amp;"""), ""۷"", ""7""), ""۸"", ""8""), ""۹"", ""9""), IF(LEFT(converted,3)=""+98"", ""0"" &amp; RIGHT(converted, LEN(converted)-3), IF(LEFT(converted,2)=""98"", ""0"" &amp; RIGHT(converted, LEN(converted)-2), IF(LEFT(converted,1)&lt;&gt;""0"", ""0"" &amp; converted, REGEXREPLA"&amp;"CE(converted , ""\s"", """")) ) ) ) )"),"09352717944")</f>
        <v>09352717944</v>
      </c>
      <c r="E973" s="205" t="s">
        <v>17</v>
      </c>
      <c r="F973" s="206">
        <v>8.0</v>
      </c>
      <c r="G973" s="202"/>
      <c r="H973" s="202" t="s">
        <v>5026</v>
      </c>
      <c r="I973" s="203"/>
      <c r="J973" s="203"/>
      <c r="K973" s="202" t="s">
        <v>5027</v>
      </c>
      <c r="L973" s="202" t="s">
        <v>5028</v>
      </c>
      <c r="M973" s="202"/>
      <c r="N973" s="202"/>
      <c r="O973" s="202"/>
      <c r="P973" s="202"/>
      <c r="Q973" s="208"/>
      <c r="R973" s="86"/>
      <c r="S973" s="114">
        <f t="shared" ref="S973:T973" si="974">A973</f>
        <v>973</v>
      </c>
      <c r="T973" s="114" t="str">
        <f t="shared" si="974"/>
        <v>مانی حاجی مهدی</v>
      </c>
      <c r="U973" s="86" t="str">
        <f t="shared" si="3"/>
        <v>09352717944</v>
      </c>
      <c r="V973" s="86" t="str">
        <f t="shared" si="4"/>
        <v>پیش‌وایی 8</v>
      </c>
      <c r="W973" s="86"/>
      <c r="X973" s="86"/>
    </row>
    <row r="974">
      <c r="A974" s="192">
        <v>974.0</v>
      </c>
      <c r="B974" s="193" t="s">
        <v>5029</v>
      </c>
      <c r="C974" s="194" t="s">
        <v>5030</v>
      </c>
      <c r="D974" s="195" t="str">
        <f>IFERROR(__xludf.DUMMYFUNCTION("ARRAYFORMULA(LET( converted, SUBSTITUTE( SUBSTITUTE( SUBSTITUTE( SUBSTITUTE( SUBSTITUTE( SUBSTITUTE( SUBSTITUTE( SUBSTITUTE( SUBSTITUTE( SUBSTITUTE( C974, ""۰"", ""0""), ""۱"", ""1""), ""۲"", ""2""), ""۳"", ""3""), ""۴"", ""4""), ""۵"", ""5""), ""۶"", ""6"&amp;"""), ""۷"", ""7""), ""۸"", ""8""), ""۹"", ""9""), IF(LEFT(converted,3)=""+98"", ""0"" &amp; RIGHT(converted, LEN(converted)-3), IF(LEFT(converted,2)=""98"", ""0"" &amp; RIGHT(converted, LEN(converted)-2), IF(LEFT(converted,1)&lt;&gt;""0"", ""0"" &amp; converted, REGEXREPLA"&amp;"CE(converted , ""\s"", """")) ) ) ) )"),"09132078396")</f>
        <v>09132078396</v>
      </c>
      <c r="E974" s="196" t="s">
        <v>17</v>
      </c>
      <c r="F974" s="197">
        <v>8.0</v>
      </c>
      <c r="G974" s="193"/>
      <c r="H974" s="198" t="s">
        <v>5031</v>
      </c>
      <c r="I974" s="194"/>
      <c r="J974" s="194"/>
      <c r="K974" s="193" t="s">
        <v>5032</v>
      </c>
      <c r="L974" s="193" t="s">
        <v>5033</v>
      </c>
      <c r="M974" s="193"/>
      <c r="N974" s="193"/>
      <c r="O974" s="193"/>
      <c r="P974" s="193"/>
      <c r="Q974" s="200"/>
      <c r="R974" s="86"/>
      <c r="S974" s="114">
        <f t="shared" ref="S974:T974" si="975">A974</f>
        <v>974</v>
      </c>
      <c r="T974" s="114" t="str">
        <f t="shared" si="975"/>
        <v>متین شیرازی نژاد</v>
      </c>
      <c r="U974" s="86" t="str">
        <f t="shared" si="3"/>
        <v>09132078396</v>
      </c>
      <c r="V974" s="86" t="str">
        <f t="shared" si="4"/>
        <v>پیش‌وایی 8</v>
      </c>
      <c r="W974" s="86"/>
      <c r="X974" s="86"/>
    </row>
    <row r="975">
      <c r="A975" s="201">
        <v>975.0</v>
      </c>
      <c r="B975" s="202" t="s">
        <v>5034</v>
      </c>
      <c r="C975" s="203">
        <f>905525016966</f>
        <v>905525016966</v>
      </c>
      <c r="D975" s="204" t="str">
        <f>IFERROR(__xludf.DUMMYFUNCTION("ARRAYFORMULA(LET( converted, SUBSTITUTE( SUBSTITUTE( SUBSTITUTE( SUBSTITUTE( SUBSTITUTE( SUBSTITUTE( SUBSTITUTE( SUBSTITUTE( SUBSTITUTE( SUBSTITUTE( C975, ""۰"", ""0""), ""۱"", ""1""), ""۲"", ""2""), ""۳"", ""3""), ""۴"", ""4""), ""۵"", ""5""), ""۶"", ""6"&amp;"""), ""۷"", ""7""), ""۸"", ""8""), ""۹"", ""9""), IF(LEFT(converted,3)=""+98"", ""0"" &amp; RIGHT(converted, LEN(converted)-3), IF(LEFT(converted,2)=""98"", ""0"" &amp; RIGHT(converted, LEN(converted)-2), IF(LEFT(converted,1)&lt;&gt;""0"", ""0"" &amp; converted, REGEXREPLA"&amp;"CE(converted , ""\s"", """")) ) ) ) )"),"0905525016966")</f>
        <v>0905525016966</v>
      </c>
      <c r="E975" s="205" t="s">
        <v>17</v>
      </c>
      <c r="F975" s="206">
        <v>8.0</v>
      </c>
      <c r="G975" s="202"/>
      <c r="H975" s="202"/>
      <c r="I975" s="203"/>
      <c r="J975" s="203"/>
      <c r="K975" s="202" t="s">
        <v>5032</v>
      </c>
      <c r="L975" s="202" t="s">
        <v>5035</v>
      </c>
      <c r="M975" s="202"/>
      <c r="N975" s="202"/>
      <c r="O975" s="202"/>
      <c r="P975" s="202"/>
      <c r="Q975" s="208"/>
      <c r="R975" s="86"/>
      <c r="S975" s="114">
        <f t="shared" ref="S975:T975" si="976">A975</f>
        <v>975</v>
      </c>
      <c r="T975" s="114" t="str">
        <f t="shared" si="976"/>
        <v>متین رضاخواه</v>
      </c>
      <c r="U975" s="86" t="str">
        <f t="shared" si="3"/>
        <v>0905525016966</v>
      </c>
      <c r="V975" s="86" t="str">
        <f t="shared" si="4"/>
        <v>پیش‌وایی 8</v>
      </c>
      <c r="W975" s="86"/>
      <c r="X975" s="86"/>
    </row>
    <row r="976">
      <c r="A976" s="192">
        <v>976.0</v>
      </c>
      <c r="B976" s="193" t="s">
        <v>5036</v>
      </c>
      <c r="C976" s="194" t="s">
        <v>5037</v>
      </c>
      <c r="D976" s="195" t="str">
        <f>IFERROR(__xludf.DUMMYFUNCTION("ARRAYFORMULA(LET( converted, SUBSTITUTE( SUBSTITUTE( SUBSTITUTE( SUBSTITUTE( SUBSTITUTE( SUBSTITUTE( SUBSTITUTE( SUBSTITUTE( SUBSTITUTE( SUBSTITUTE( C976, ""۰"", ""0""), ""۱"", ""1""), ""۲"", ""2""), ""۳"", ""3""), ""۴"", ""4""), ""۵"", ""5""), ""۶"", ""6"&amp;"""), ""۷"", ""7""), ""۸"", ""8""), ""۹"", ""9""), IF(LEFT(converted,3)=""+98"", ""0"" &amp; RIGHT(converted, LEN(converted)-3), IF(LEFT(converted,2)=""98"", ""0"" &amp; RIGHT(converted, LEN(converted)-2), IF(LEFT(converted,1)&lt;&gt;""0"", ""0"" &amp; converted, REGEXREPLA"&amp;"CE(converted , ""\s"", """")) ) ) ) )"),"09371762407")</f>
        <v>09371762407</v>
      </c>
      <c r="E976" s="196" t="s">
        <v>17</v>
      </c>
      <c r="F976" s="197">
        <v>8.0</v>
      </c>
      <c r="G976" s="193"/>
      <c r="H976" s="193" t="s">
        <v>5038</v>
      </c>
      <c r="I976" s="194"/>
      <c r="J976" s="194"/>
      <c r="K976" s="193" t="s">
        <v>1543</v>
      </c>
      <c r="L976" s="193" t="s">
        <v>3032</v>
      </c>
      <c r="M976" s="193"/>
      <c r="N976" s="193"/>
      <c r="O976" s="193"/>
      <c r="P976" s="193"/>
      <c r="Q976" s="200"/>
      <c r="R976" s="86"/>
      <c r="S976" s="114">
        <f t="shared" ref="S976:T976" si="977">A976</f>
        <v>976</v>
      </c>
      <c r="T976" s="114" t="str">
        <f t="shared" si="977"/>
        <v>مجتبی نوروزی</v>
      </c>
      <c r="U976" s="86" t="str">
        <f t="shared" si="3"/>
        <v>09371762407</v>
      </c>
      <c r="V976" s="86" t="str">
        <f t="shared" si="4"/>
        <v>پیش‌وایی 8</v>
      </c>
      <c r="W976" s="86"/>
      <c r="X976" s="86"/>
    </row>
    <row r="977">
      <c r="A977" s="201">
        <v>977.0</v>
      </c>
      <c r="B977" s="207" t="s">
        <v>5039</v>
      </c>
      <c r="C977" s="203" t="s">
        <v>5040</v>
      </c>
      <c r="D977" s="204" t="str">
        <f>IFERROR(__xludf.DUMMYFUNCTION("ARRAYFORMULA(LET( converted, SUBSTITUTE( SUBSTITUTE( SUBSTITUTE( SUBSTITUTE( SUBSTITUTE( SUBSTITUTE( SUBSTITUTE( SUBSTITUTE( SUBSTITUTE( SUBSTITUTE( C977, ""۰"", ""0""), ""۱"", ""1""), ""۲"", ""2""), ""۳"", ""3""), ""۴"", ""4""), ""۵"", ""5""), ""۶"", ""6"&amp;"""), ""۷"", ""7""), ""۸"", ""8""), ""۹"", ""9""), IF(LEFT(converted,3)=""+98"", ""0"" &amp; RIGHT(converted, LEN(converted)-3), IF(LEFT(converted,2)=""98"", ""0"" &amp; RIGHT(converted, LEN(converted)-2), IF(LEFT(converted,1)&lt;&gt;""0"", ""0"" &amp; converted, REGEXREPLA"&amp;"CE(converted , ""\s"", """")) ) ) ) )"),"09365472750")</f>
        <v>09365472750</v>
      </c>
      <c r="E977" s="205" t="s">
        <v>17</v>
      </c>
      <c r="F977" s="206">
        <v>8.0</v>
      </c>
      <c r="G977" s="202"/>
      <c r="H977" s="202" t="s">
        <v>5041</v>
      </c>
      <c r="I977" s="203"/>
      <c r="J977" s="203"/>
      <c r="K977" s="202" t="s">
        <v>27</v>
      </c>
      <c r="L977" s="202" t="s">
        <v>5042</v>
      </c>
      <c r="M977" s="202"/>
      <c r="N977" s="202"/>
      <c r="O977" s="202"/>
      <c r="P977" s="202"/>
      <c r="Q977" s="208"/>
      <c r="R977" s="86"/>
      <c r="S977" s="114">
        <f t="shared" ref="S977:T977" si="978">A977</f>
        <v>977</v>
      </c>
      <c r="T977" s="114" t="str">
        <f t="shared" si="978"/>
        <v>مجید علیخانی</v>
      </c>
      <c r="U977" s="86" t="str">
        <f t="shared" si="3"/>
        <v>09365472750</v>
      </c>
      <c r="V977" s="86" t="str">
        <f t="shared" si="4"/>
        <v>پیش‌وایی 8</v>
      </c>
      <c r="W977" s="86"/>
      <c r="X977" s="86"/>
    </row>
    <row r="978">
      <c r="A978" s="192">
        <v>978.0</v>
      </c>
      <c r="B978" s="193" t="s">
        <v>5043</v>
      </c>
      <c r="C978" s="194" t="s">
        <v>5044</v>
      </c>
      <c r="D978" s="195" t="str">
        <f>IFERROR(__xludf.DUMMYFUNCTION("ARRAYFORMULA(LET( converted, SUBSTITUTE( SUBSTITUTE( SUBSTITUTE( SUBSTITUTE( SUBSTITUTE( SUBSTITUTE( SUBSTITUTE( SUBSTITUTE( SUBSTITUTE( SUBSTITUTE( C978, ""۰"", ""0""), ""۱"", ""1""), ""۲"", ""2""), ""۳"", ""3""), ""۴"", ""4""), ""۵"", ""5""), ""۶"", ""6"&amp;"""), ""۷"", ""7""), ""۸"", ""8""), ""۹"", ""9""), IF(LEFT(converted,3)=""+98"", ""0"" &amp; RIGHT(converted, LEN(converted)-3), IF(LEFT(converted,2)=""98"", ""0"" &amp; RIGHT(converted, LEN(converted)-2), IF(LEFT(converted,1)&lt;&gt;""0"", ""0"" &amp; converted, REGEXREPLA"&amp;"CE(converted , ""\s"", """")) ) ) ) )"),"09127224421")</f>
        <v>09127224421</v>
      </c>
      <c r="E978" s="196" t="s">
        <v>17</v>
      </c>
      <c r="F978" s="197">
        <v>8.0</v>
      </c>
      <c r="G978" s="193"/>
      <c r="H978" s="193"/>
      <c r="I978" s="194"/>
      <c r="J978" s="194"/>
      <c r="K978" s="193" t="s">
        <v>27</v>
      </c>
      <c r="L978" s="193" t="s">
        <v>2676</v>
      </c>
      <c r="M978" s="193"/>
      <c r="N978" s="193"/>
      <c r="O978" s="193"/>
      <c r="P978" s="193"/>
      <c r="Q978" s="200"/>
      <c r="R978" s="86"/>
      <c r="S978" s="114">
        <f t="shared" ref="S978:T978" si="979">A978</f>
        <v>978</v>
      </c>
      <c r="T978" s="114" t="str">
        <f t="shared" si="979"/>
        <v>مجید کرمی</v>
      </c>
      <c r="U978" s="86" t="str">
        <f t="shared" si="3"/>
        <v>09127224421</v>
      </c>
      <c r="V978" s="86" t="str">
        <f t="shared" si="4"/>
        <v>پیش‌وایی 8</v>
      </c>
      <c r="W978" s="86"/>
      <c r="X978" s="86"/>
    </row>
    <row r="979">
      <c r="A979" s="201">
        <v>979.0</v>
      </c>
      <c r="B979" s="202" t="s">
        <v>5045</v>
      </c>
      <c r="C979" s="203" t="s">
        <v>5046</v>
      </c>
      <c r="D979" s="204" t="str">
        <f>IFERROR(__xludf.DUMMYFUNCTION("ARRAYFORMULA(LET( converted, SUBSTITUTE( SUBSTITUTE( SUBSTITUTE( SUBSTITUTE( SUBSTITUTE( SUBSTITUTE( SUBSTITUTE( SUBSTITUTE( SUBSTITUTE( SUBSTITUTE( C979, ""۰"", ""0""), ""۱"", ""1""), ""۲"", ""2""), ""۳"", ""3""), ""۴"", ""4""), ""۵"", ""5""), ""۶"", ""6"&amp;"""), ""۷"", ""7""), ""۸"", ""8""), ""۹"", ""9""), IF(LEFT(converted,3)=""+98"", ""0"" &amp; RIGHT(converted, LEN(converted)-3), IF(LEFT(converted,2)=""98"", ""0"" &amp; RIGHT(converted, LEN(converted)-2), IF(LEFT(converted,1)&lt;&gt;""0"", ""0"" &amp; converted, REGEXREPLA"&amp;"CE(converted , ""\s"", """")) ) ) ) )"),"09901963408")</f>
        <v>09901963408</v>
      </c>
      <c r="E979" s="205" t="s">
        <v>17</v>
      </c>
      <c r="F979" s="206">
        <v>8.0</v>
      </c>
      <c r="G979" s="202"/>
      <c r="H979" s="209" t="s">
        <v>5047</v>
      </c>
      <c r="I979" s="203"/>
      <c r="J979" s="203"/>
      <c r="K979" s="202" t="s">
        <v>311</v>
      </c>
      <c r="L979" s="202" t="s">
        <v>358</v>
      </c>
      <c r="M979" s="202"/>
      <c r="N979" s="202"/>
      <c r="O979" s="202"/>
      <c r="P979" s="202"/>
      <c r="Q979" s="208"/>
      <c r="R979" s="86"/>
      <c r="S979" s="114">
        <f t="shared" ref="S979:T979" si="980">A979</f>
        <v>979</v>
      </c>
      <c r="T979" s="114" t="str">
        <f t="shared" si="980"/>
        <v>محسن باقری</v>
      </c>
      <c r="U979" s="86" t="str">
        <f t="shared" si="3"/>
        <v>09901963408</v>
      </c>
      <c r="V979" s="86" t="str">
        <f t="shared" si="4"/>
        <v>پیش‌وایی 8</v>
      </c>
      <c r="W979" s="86"/>
      <c r="X979" s="86"/>
    </row>
    <row r="980">
      <c r="A980" s="192">
        <v>980.0</v>
      </c>
      <c r="B980" s="193" t="s">
        <v>5048</v>
      </c>
      <c r="C980" s="194" t="s">
        <v>5049</v>
      </c>
      <c r="D980" s="195" t="str">
        <f>IFERROR(__xludf.DUMMYFUNCTION("ARRAYFORMULA(LET( converted, SUBSTITUTE( SUBSTITUTE( SUBSTITUTE( SUBSTITUTE( SUBSTITUTE( SUBSTITUTE( SUBSTITUTE( SUBSTITUTE( SUBSTITUTE( SUBSTITUTE( C980, ""۰"", ""0""), ""۱"", ""1""), ""۲"", ""2""), ""۳"", ""3""), ""۴"", ""4""), ""۵"", ""5""), ""۶"", ""6"&amp;"""), ""۷"", ""7""), ""۸"", ""8""), ""۹"", ""9""), IF(LEFT(converted,3)=""+98"", ""0"" &amp; RIGHT(converted, LEN(converted)-3), IF(LEFT(converted,2)=""98"", ""0"" &amp; RIGHT(converted, LEN(converted)-2), IF(LEFT(converted,1)&lt;&gt;""0"", ""0"" &amp; converted, REGEXREPLA"&amp;"CE(converted , ""\s"", """")) ) ) ) )"),"09132148482")</f>
        <v>09132148482</v>
      </c>
      <c r="E980" s="196" t="s">
        <v>17</v>
      </c>
      <c r="F980" s="197">
        <v>8.0</v>
      </c>
      <c r="G980" s="193"/>
      <c r="H980" s="193" t="s">
        <v>314</v>
      </c>
      <c r="I980" s="194"/>
      <c r="J980" s="194"/>
      <c r="K980" s="193" t="s">
        <v>311</v>
      </c>
      <c r="L980" s="193" t="s">
        <v>312</v>
      </c>
      <c r="M980" s="193"/>
      <c r="N980" s="193"/>
      <c r="O980" s="193"/>
      <c r="P980" s="193"/>
      <c r="Q980" s="200"/>
      <c r="R980" s="86"/>
      <c r="S980" s="114">
        <f t="shared" ref="S980:T980" si="981">A980</f>
        <v>980</v>
      </c>
      <c r="T980" s="114" t="str">
        <f t="shared" si="981"/>
        <v>محسن ملک محمدی</v>
      </c>
      <c r="U980" s="86" t="str">
        <f t="shared" si="3"/>
        <v>09132148482</v>
      </c>
      <c r="V980" s="86" t="str">
        <f t="shared" si="4"/>
        <v>پیش‌وایی 8</v>
      </c>
      <c r="W980" s="86"/>
      <c r="X980" s="86"/>
    </row>
    <row r="981">
      <c r="A981" s="201">
        <v>981.0</v>
      </c>
      <c r="B981" s="202" t="s">
        <v>5050</v>
      </c>
      <c r="C981" s="203" t="s">
        <v>5051</v>
      </c>
      <c r="D981" s="204" t="str">
        <f>IFERROR(__xludf.DUMMYFUNCTION("ARRAYFORMULA(LET( converted, SUBSTITUTE( SUBSTITUTE( SUBSTITUTE( SUBSTITUTE( SUBSTITUTE( SUBSTITUTE( SUBSTITUTE( SUBSTITUTE( SUBSTITUTE( SUBSTITUTE( C981, ""۰"", ""0""), ""۱"", ""1""), ""۲"", ""2""), ""۳"", ""3""), ""۴"", ""4""), ""۵"", ""5""), ""۶"", ""6"&amp;"""), ""۷"", ""7""), ""۸"", ""8""), ""۹"", ""9""), IF(LEFT(converted,3)=""+98"", ""0"" &amp; RIGHT(converted, LEN(converted)-3), IF(LEFT(converted,2)=""98"", ""0"" &amp; RIGHT(converted, LEN(converted)-2), IF(LEFT(converted,1)&lt;&gt;""0"", ""0"" &amp; converted, REGEXREPLA"&amp;"CE(converted , ""\s"", """")) ) ) ) )"),"09121549767")</f>
        <v>09121549767</v>
      </c>
      <c r="E981" s="205" t="s">
        <v>17</v>
      </c>
      <c r="F981" s="206">
        <v>8.0</v>
      </c>
      <c r="G981" s="202"/>
      <c r="H981" s="202" t="s">
        <v>5052</v>
      </c>
      <c r="I981" s="203"/>
      <c r="J981" s="203"/>
      <c r="K981" s="202" t="s">
        <v>311</v>
      </c>
      <c r="L981" s="202" t="s">
        <v>5053</v>
      </c>
      <c r="M981" s="202"/>
      <c r="N981" s="202"/>
      <c r="O981" s="202"/>
      <c r="P981" s="202"/>
      <c r="Q981" s="208"/>
      <c r="R981" s="86"/>
      <c r="S981" s="114">
        <f t="shared" ref="S981:T981" si="982">A981</f>
        <v>981</v>
      </c>
      <c r="T981" s="114" t="str">
        <f t="shared" si="982"/>
        <v>محسن یاوری</v>
      </c>
      <c r="U981" s="86" t="str">
        <f t="shared" si="3"/>
        <v>09121549767</v>
      </c>
      <c r="V981" s="86" t="str">
        <f t="shared" si="4"/>
        <v>پیش‌وایی 8</v>
      </c>
      <c r="W981" s="86"/>
      <c r="X981" s="86"/>
    </row>
    <row r="982">
      <c r="A982" s="192">
        <v>982.0</v>
      </c>
      <c r="B982" s="193" t="s">
        <v>5054</v>
      </c>
      <c r="C982" s="194" t="s">
        <v>5055</v>
      </c>
      <c r="D982" s="195" t="str">
        <f>IFERROR(__xludf.DUMMYFUNCTION("ARRAYFORMULA(LET( converted, SUBSTITUTE( SUBSTITUTE( SUBSTITUTE( SUBSTITUTE( SUBSTITUTE( SUBSTITUTE( SUBSTITUTE( SUBSTITUTE( SUBSTITUTE( SUBSTITUTE( C982, ""۰"", ""0""), ""۱"", ""1""), ""۲"", ""2""), ""۳"", ""3""), ""۴"", ""4""), ""۵"", ""5""), ""۶"", ""6"&amp;"""), ""۷"", ""7""), ""۸"", ""8""), ""۹"", ""9""), IF(LEFT(converted,3)=""+98"", ""0"" &amp; RIGHT(converted, LEN(converted)-3), IF(LEFT(converted,2)=""98"", ""0"" &amp; RIGHT(converted, LEN(converted)-2), IF(LEFT(converted,1)&lt;&gt;""0"", ""0"" &amp; converted, REGEXREPLA"&amp;"CE(converted , ""\s"", """")) ) ) ) )"),"09905528561")</f>
        <v>09905528561</v>
      </c>
      <c r="E982" s="196" t="s">
        <v>17</v>
      </c>
      <c r="F982" s="197">
        <v>8.0</v>
      </c>
      <c r="G982" s="193"/>
      <c r="H982" s="198" t="s">
        <v>5056</v>
      </c>
      <c r="I982" s="194"/>
      <c r="J982" s="194"/>
      <c r="K982" s="193" t="s">
        <v>311</v>
      </c>
      <c r="L982" s="193" t="s">
        <v>5057</v>
      </c>
      <c r="M982" s="193"/>
      <c r="N982" s="193"/>
      <c r="O982" s="193"/>
      <c r="P982" s="193"/>
      <c r="Q982" s="200"/>
      <c r="R982" s="86"/>
      <c r="S982" s="114">
        <f t="shared" ref="S982:T982" si="983">A982</f>
        <v>982</v>
      </c>
      <c r="T982" s="114" t="str">
        <f t="shared" si="983"/>
        <v>محسن یقین لو</v>
      </c>
      <c r="U982" s="86" t="str">
        <f t="shared" si="3"/>
        <v>09905528561</v>
      </c>
      <c r="V982" s="86" t="str">
        <f t="shared" si="4"/>
        <v>پیش‌وایی 8</v>
      </c>
      <c r="W982" s="86"/>
      <c r="X982" s="86"/>
    </row>
    <row r="983">
      <c r="A983" s="201">
        <v>983.0</v>
      </c>
      <c r="B983" s="202" t="s">
        <v>5058</v>
      </c>
      <c r="C983" s="203" t="s">
        <v>5059</v>
      </c>
      <c r="D983" s="204" t="str">
        <f>IFERROR(__xludf.DUMMYFUNCTION("ARRAYFORMULA(LET( converted, SUBSTITUTE( SUBSTITUTE( SUBSTITUTE( SUBSTITUTE( SUBSTITUTE( SUBSTITUTE( SUBSTITUTE( SUBSTITUTE( SUBSTITUTE( SUBSTITUTE( C983, ""۰"", ""0""), ""۱"", ""1""), ""۲"", ""2""), ""۳"", ""3""), ""۴"", ""4""), ""۵"", ""5""), ""۶"", ""6"&amp;"""), ""۷"", ""7""), ""۸"", ""8""), ""۹"", ""9""), IF(LEFT(converted,3)=""+98"", ""0"" &amp; RIGHT(converted, LEN(converted)-3), IF(LEFT(converted,2)=""98"", ""0"" &amp; RIGHT(converted, LEN(converted)-2), IF(LEFT(converted,1)&lt;&gt;""0"", ""0"" &amp; converted, REGEXREPLA"&amp;"CE(converted , ""\s"", """")) ) ) ) )"),"09125434530")</f>
        <v>09125434530</v>
      </c>
      <c r="E983" s="205" t="s">
        <v>17</v>
      </c>
      <c r="F983" s="206">
        <v>8.0</v>
      </c>
      <c r="G983" s="202"/>
      <c r="H983" s="202"/>
      <c r="I983" s="203"/>
      <c r="J983" s="203"/>
      <c r="K983" s="202" t="s">
        <v>311</v>
      </c>
      <c r="L983" s="202" t="s">
        <v>253</v>
      </c>
      <c r="M983" s="202"/>
      <c r="N983" s="202"/>
      <c r="O983" s="202"/>
      <c r="P983" s="202"/>
      <c r="Q983" s="208"/>
      <c r="R983" s="86"/>
      <c r="S983" s="114">
        <f t="shared" ref="S983:T983" si="984">A983</f>
        <v>983</v>
      </c>
      <c r="T983" s="114" t="str">
        <f t="shared" si="984"/>
        <v>محسن شریف</v>
      </c>
      <c r="U983" s="86" t="str">
        <f t="shared" si="3"/>
        <v>09125434530</v>
      </c>
      <c r="V983" s="86" t="str">
        <f t="shared" si="4"/>
        <v>پیش‌وایی 8</v>
      </c>
      <c r="W983" s="86"/>
      <c r="X983" s="86"/>
    </row>
    <row r="984">
      <c r="A984" s="192">
        <v>984.0</v>
      </c>
      <c r="B984" s="193" t="s">
        <v>5060</v>
      </c>
      <c r="C984" s="194" t="s">
        <v>5061</v>
      </c>
      <c r="D984" s="195" t="str">
        <f>IFERROR(__xludf.DUMMYFUNCTION("ARRAYFORMULA(LET( converted, SUBSTITUTE( SUBSTITUTE( SUBSTITUTE( SUBSTITUTE( SUBSTITUTE( SUBSTITUTE( SUBSTITUTE( SUBSTITUTE( SUBSTITUTE( SUBSTITUTE( C984, ""۰"", ""0""), ""۱"", ""1""), ""۲"", ""2""), ""۳"", ""3""), ""۴"", ""4""), ""۵"", ""5""), ""۶"", ""6"&amp;"""), ""۷"", ""7""), ""۸"", ""8""), ""۹"", ""9""), IF(LEFT(converted,3)=""+98"", ""0"" &amp; RIGHT(converted, LEN(converted)-3), IF(LEFT(converted,2)=""98"", ""0"" &amp; RIGHT(converted, LEN(converted)-2), IF(LEFT(converted,1)&lt;&gt;""0"", ""0"" &amp; converted, REGEXREPLA"&amp;"CE(converted , ""\s"", """")) ) ) ) )"),"09127744856")</f>
        <v>09127744856</v>
      </c>
      <c r="E984" s="196" t="s">
        <v>17</v>
      </c>
      <c r="F984" s="197">
        <v>8.0</v>
      </c>
      <c r="G984" s="193"/>
      <c r="H984" s="193" t="s">
        <v>5009</v>
      </c>
      <c r="I984" s="194"/>
      <c r="J984" s="194"/>
      <c r="K984" s="193" t="s">
        <v>311</v>
      </c>
      <c r="L984" s="193" t="s">
        <v>5062</v>
      </c>
      <c r="M984" s="193"/>
      <c r="N984" s="193"/>
      <c r="O984" s="193"/>
      <c r="P984" s="193"/>
      <c r="Q984" s="200"/>
      <c r="R984" s="86"/>
      <c r="S984" s="114">
        <f t="shared" ref="S984:T984" si="985">A984</f>
        <v>984</v>
      </c>
      <c r="T984" s="114" t="str">
        <f t="shared" si="985"/>
        <v>محسن مرجانی</v>
      </c>
      <c r="U984" s="86" t="str">
        <f t="shared" si="3"/>
        <v>09127744856</v>
      </c>
      <c r="V984" s="86" t="str">
        <f t="shared" si="4"/>
        <v>پیش‌وایی 8</v>
      </c>
      <c r="W984" s="86"/>
      <c r="X984" s="86"/>
    </row>
    <row r="985">
      <c r="A985" s="201">
        <v>985.0</v>
      </c>
      <c r="B985" s="202" t="s">
        <v>5063</v>
      </c>
      <c r="C985" s="203" t="s">
        <v>5064</v>
      </c>
      <c r="D985" s="204" t="str">
        <f>IFERROR(__xludf.DUMMYFUNCTION("ARRAYFORMULA(LET( converted, SUBSTITUTE( SUBSTITUTE( SUBSTITUTE( SUBSTITUTE( SUBSTITUTE( SUBSTITUTE( SUBSTITUTE( SUBSTITUTE( SUBSTITUTE( SUBSTITUTE( C985, ""۰"", ""0""), ""۱"", ""1""), ""۲"", ""2""), ""۳"", ""3""), ""۴"", ""4""), ""۵"", ""5""), ""۶"", ""6"&amp;"""), ""۷"", ""7""), ""۸"", ""8""), ""۹"", ""9""), IF(LEFT(converted,3)=""+98"", ""0"" &amp; RIGHT(converted, LEN(converted)-3), IF(LEFT(converted,2)=""98"", ""0"" &amp; RIGHT(converted, LEN(converted)-2), IF(LEFT(converted,1)&lt;&gt;""0"", ""0"" &amp; converted, REGEXREPLA"&amp;"CE(converted , ""\s"", """")) ) ) ) )"),"09166612375")</f>
        <v>09166612375</v>
      </c>
      <c r="E985" s="205" t="s">
        <v>17</v>
      </c>
      <c r="F985" s="206">
        <v>8.0</v>
      </c>
      <c r="G985" s="202"/>
      <c r="H985" s="202" t="s">
        <v>5065</v>
      </c>
      <c r="I985" s="203"/>
      <c r="J985" s="203"/>
      <c r="K985" s="202" t="s">
        <v>303</v>
      </c>
      <c r="L985" s="202" t="s">
        <v>5066</v>
      </c>
      <c r="M985" s="202"/>
      <c r="N985" s="202"/>
      <c r="O985" s="202"/>
      <c r="P985" s="202"/>
      <c r="Q985" s="208"/>
      <c r="R985" s="86"/>
      <c r="S985" s="114">
        <f t="shared" ref="S985:T985" si="986">A985</f>
        <v>985</v>
      </c>
      <c r="T985" s="114" t="str">
        <f t="shared" si="986"/>
        <v>محمد عزیزی</v>
      </c>
      <c r="U985" s="86" t="str">
        <f t="shared" si="3"/>
        <v>09166612375</v>
      </c>
      <c r="V985" s="86" t="str">
        <f t="shared" si="4"/>
        <v>پیش‌وایی 8</v>
      </c>
      <c r="W985" s="86"/>
      <c r="X985" s="86"/>
    </row>
    <row r="986">
      <c r="A986" s="192">
        <v>986.0</v>
      </c>
      <c r="B986" s="193" t="s">
        <v>5067</v>
      </c>
      <c r="C986" s="194" t="s">
        <v>5068</v>
      </c>
      <c r="D986" s="195" t="str">
        <f>IFERROR(__xludf.DUMMYFUNCTION("ARRAYFORMULA(LET( converted, SUBSTITUTE( SUBSTITUTE( SUBSTITUTE( SUBSTITUTE( SUBSTITUTE( SUBSTITUTE( SUBSTITUTE( SUBSTITUTE( SUBSTITUTE( SUBSTITUTE( C986, ""۰"", ""0""), ""۱"", ""1""), ""۲"", ""2""), ""۳"", ""3""), ""۴"", ""4""), ""۵"", ""5""), ""۶"", ""6"&amp;"""), ""۷"", ""7""), ""۸"", ""8""), ""۹"", ""9""), IF(LEFT(converted,3)=""+98"", ""0"" &amp; RIGHT(converted, LEN(converted)-3), IF(LEFT(converted,2)=""98"", ""0"" &amp; RIGHT(converted, LEN(converted)-2), IF(LEFT(converted,1)&lt;&gt;""0"", ""0"" &amp; converted, REGEXREPLA"&amp;"CE(converted , ""\s"", """")) ) ) ) )"),"09124221696")</f>
        <v>09124221696</v>
      </c>
      <c r="E986" s="196" t="s">
        <v>17</v>
      </c>
      <c r="F986" s="197">
        <v>8.0</v>
      </c>
      <c r="G986" s="193"/>
      <c r="H986" s="198" t="s">
        <v>5069</v>
      </c>
      <c r="I986" s="194"/>
      <c r="J986" s="194"/>
      <c r="K986" s="193" t="s">
        <v>303</v>
      </c>
      <c r="L986" s="193" t="s">
        <v>5070</v>
      </c>
      <c r="M986" s="193"/>
      <c r="N986" s="193"/>
      <c r="O986" s="193"/>
      <c r="P986" s="193"/>
      <c r="Q986" s="200"/>
      <c r="R986" s="86"/>
      <c r="S986" s="114">
        <f t="shared" ref="S986:T986" si="987">A986</f>
        <v>986</v>
      </c>
      <c r="T986" s="114" t="str">
        <f t="shared" si="987"/>
        <v>محمد باقر ثامنی</v>
      </c>
      <c r="U986" s="86" t="str">
        <f t="shared" si="3"/>
        <v>09124221696</v>
      </c>
      <c r="V986" s="86" t="str">
        <f t="shared" si="4"/>
        <v>پیش‌وایی 8</v>
      </c>
      <c r="W986" s="86"/>
      <c r="X986" s="86"/>
    </row>
    <row r="987">
      <c r="A987" s="201">
        <v>987.0</v>
      </c>
      <c r="B987" s="207" t="s">
        <v>5071</v>
      </c>
      <c r="C987" s="203" t="s">
        <v>5072</v>
      </c>
      <c r="D987" s="204" t="str">
        <f>IFERROR(__xludf.DUMMYFUNCTION("ARRAYFORMULA(LET( converted, SUBSTITUTE( SUBSTITUTE( SUBSTITUTE( SUBSTITUTE( SUBSTITUTE( SUBSTITUTE( SUBSTITUTE( SUBSTITUTE( SUBSTITUTE( SUBSTITUTE( C987, ""۰"", ""0""), ""۱"", ""1""), ""۲"", ""2""), ""۳"", ""3""), ""۴"", ""4""), ""۵"", ""5""), ""۶"", ""6"&amp;"""), ""۷"", ""7""), ""۸"", ""8""), ""۹"", ""9""), IF(LEFT(converted,3)=""+98"", ""0"" &amp; RIGHT(converted, LEN(converted)-3), IF(LEFT(converted,2)=""98"", ""0"" &amp; RIGHT(converted, LEN(converted)-2), IF(LEFT(converted,1)&lt;&gt;""0"", ""0"" &amp; converted, REGEXREPLA"&amp;"CE(converted , ""\s"", """")) ) ) ) )"),"09121086164")</f>
        <v>09121086164</v>
      </c>
      <c r="E987" s="205" t="s">
        <v>17</v>
      </c>
      <c r="F987" s="206">
        <v>8.0</v>
      </c>
      <c r="G987" s="202"/>
      <c r="H987" s="202" t="s">
        <v>5073</v>
      </c>
      <c r="I987" s="203"/>
      <c r="J987" s="203"/>
      <c r="K987" s="202" t="s">
        <v>303</v>
      </c>
      <c r="L987" s="202" t="s">
        <v>5074</v>
      </c>
      <c r="M987" s="202"/>
      <c r="N987" s="202"/>
      <c r="O987" s="202"/>
      <c r="P987" s="202"/>
      <c r="Q987" s="208"/>
      <c r="R987" s="86"/>
      <c r="S987" s="114">
        <f t="shared" ref="S987:T987" si="988">A987</f>
        <v>987</v>
      </c>
      <c r="T987" s="114" t="str">
        <f t="shared" si="988"/>
        <v>محمد راجی</v>
      </c>
      <c r="U987" s="86" t="str">
        <f t="shared" si="3"/>
        <v>09121086164</v>
      </c>
      <c r="V987" s="86" t="str">
        <f t="shared" si="4"/>
        <v>پیش‌وایی 8</v>
      </c>
      <c r="W987" s="86"/>
      <c r="X987" s="86"/>
    </row>
    <row r="988">
      <c r="A988" s="192">
        <v>988.0</v>
      </c>
      <c r="B988" s="193" t="s">
        <v>5075</v>
      </c>
      <c r="C988" s="194" t="s">
        <v>5076</v>
      </c>
      <c r="D988" s="195" t="str">
        <f>IFERROR(__xludf.DUMMYFUNCTION("ARRAYFORMULA(LET( converted, SUBSTITUTE( SUBSTITUTE( SUBSTITUTE( SUBSTITUTE( SUBSTITUTE( SUBSTITUTE( SUBSTITUTE( SUBSTITUTE( SUBSTITUTE( SUBSTITUTE( C988, ""۰"", ""0""), ""۱"", ""1""), ""۲"", ""2""), ""۳"", ""3""), ""۴"", ""4""), ""۵"", ""5""), ""۶"", ""6"&amp;"""), ""۷"", ""7""), ""۸"", ""8""), ""۹"", ""9""), IF(LEFT(converted,3)=""+98"", ""0"" &amp; RIGHT(converted, LEN(converted)-3), IF(LEFT(converted,2)=""98"", ""0"" &amp; RIGHT(converted, LEN(converted)-2), IF(LEFT(converted,1)&lt;&gt;""0"", ""0"" &amp; converted, REGEXREPLA"&amp;"CE(converted , ""\s"", """")) ) ) ) )"),"09131085135")</f>
        <v>09131085135</v>
      </c>
      <c r="E988" s="196" t="s">
        <v>17</v>
      </c>
      <c r="F988" s="197">
        <v>8.0</v>
      </c>
      <c r="G988" s="193"/>
      <c r="H988" s="198" t="s">
        <v>5077</v>
      </c>
      <c r="I988" s="194"/>
      <c r="J988" s="194"/>
      <c r="K988" s="193" t="s">
        <v>303</v>
      </c>
      <c r="L988" s="193" t="s">
        <v>5078</v>
      </c>
      <c r="M988" s="193"/>
      <c r="N988" s="193"/>
      <c r="O988" s="193"/>
      <c r="P988" s="193"/>
      <c r="Q988" s="200"/>
      <c r="R988" s="86"/>
      <c r="S988" s="114">
        <f t="shared" ref="S988:T988" si="989">A988</f>
        <v>988</v>
      </c>
      <c r="T988" s="114" t="str">
        <f t="shared" si="989"/>
        <v>محمد روستایی</v>
      </c>
      <c r="U988" s="86" t="str">
        <f t="shared" si="3"/>
        <v>09131085135</v>
      </c>
      <c r="V988" s="86" t="str">
        <f t="shared" si="4"/>
        <v>پیش‌وایی 8</v>
      </c>
      <c r="W988" s="86"/>
      <c r="X988" s="86"/>
    </row>
    <row r="989">
      <c r="A989" s="201">
        <v>989.0</v>
      </c>
      <c r="B989" s="202" t="s">
        <v>5079</v>
      </c>
      <c r="C989" s="203" t="s">
        <v>5080</v>
      </c>
      <c r="D989" s="204" t="str">
        <f>IFERROR(__xludf.DUMMYFUNCTION("ARRAYFORMULA(LET( converted, SUBSTITUTE( SUBSTITUTE( SUBSTITUTE( SUBSTITUTE( SUBSTITUTE( SUBSTITUTE( SUBSTITUTE( SUBSTITUTE( SUBSTITUTE( SUBSTITUTE( C989, ""۰"", ""0""), ""۱"", ""1""), ""۲"", ""2""), ""۳"", ""3""), ""۴"", ""4""), ""۵"", ""5""), ""۶"", ""6"&amp;"""), ""۷"", ""7""), ""۸"", ""8""), ""۹"", ""9""), IF(LEFT(converted,3)=""+98"", ""0"" &amp; RIGHT(converted, LEN(converted)-3), IF(LEFT(converted,2)=""98"", ""0"" &amp; RIGHT(converted, LEN(converted)-2), IF(LEFT(converted,1)&lt;&gt;""0"", ""0"" &amp; converted, REGEXREPLA"&amp;"CE(converted , ""\s"", """")) ) ) ) )"),"09199133363")</f>
        <v>09199133363</v>
      </c>
      <c r="E989" s="205" t="s">
        <v>17</v>
      </c>
      <c r="F989" s="206">
        <v>8.0</v>
      </c>
      <c r="G989" s="202"/>
      <c r="H989" s="202" t="s">
        <v>5081</v>
      </c>
      <c r="I989" s="203"/>
      <c r="J989" s="203"/>
      <c r="K989" s="202" t="s">
        <v>303</v>
      </c>
      <c r="L989" s="202" t="s">
        <v>3357</v>
      </c>
      <c r="M989" s="202"/>
      <c r="N989" s="202"/>
      <c r="O989" s="202"/>
      <c r="P989" s="202"/>
      <c r="Q989" s="208"/>
      <c r="R989" s="86"/>
      <c r="S989" s="114">
        <f t="shared" ref="S989:T989" si="990">A989</f>
        <v>989</v>
      </c>
      <c r="T989" s="114" t="str">
        <f t="shared" si="990"/>
        <v>محمد سریزدی</v>
      </c>
      <c r="U989" s="86" t="str">
        <f t="shared" si="3"/>
        <v>09199133363</v>
      </c>
      <c r="V989" s="86" t="str">
        <f t="shared" si="4"/>
        <v>پیش‌وایی 8</v>
      </c>
      <c r="W989" s="86"/>
      <c r="X989" s="86"/>
    </row>
    <row r="990">
      <c r="A990" s="192">
        <v>990.0</v>
      </c>
      <c r="B990" s="193" t="s">
        <v>5082</v>
      </c>
      <c r="C990" s="194" t="s">
        <v>5083</v>
      </c>
      <c r="D990" s="195" t="str">
        <f>IFERROR(__xludf.DUMMYFUNCTION("ARRAYFORMULA(LET( converted, SUBSTITUTE( SUBSTITUTE( SUBSTITUTE( SUBSTITUTE( SUBSTITUTE( SUBSTITUTE( SUBSTITUTE( SUBSTITUTE( SUBSTITUTE( SUBSTITUTE( C990, ""۰"", ""0""), ""۱"", ""1""), ""۲"", ""2""), ""۳"", ""3""), ""۴"", ""4""), ""۵"", ""5""), ""۶"", ""6"&amp;"""), ""۷"", ""7""), ""۸"", ""8""), ""۹"", ""9""), IF(LEFT(converted,3)=""+98"", ""0"" &amp; RIGHT(converted, LEN(converted)-3), IF(LEFT(converted,2)=""98"", ""0"" &amp; RIGHT(converted, LEN(converted)-2), IF(LEFT(converted,1)&lt;&gt;""0"", ""0"" &amp; converted, REGEXREPLA"&amp;"CE(converted , ""\s"", """")) ) ) ) )"),"09137727022")</f>
        <v>09137727022</v>
      </c>
      <c r="E990" s="196" t="s">
        <v>17</v>
      </c>
      <c r="F990" s="197">
        <v>8.0</v>
      </c>
      <c r="G990" s="193"/>
      <c r="H990" s="193"/>
      <c r="I990" s="194"/>
      <c r="J990" s="194"/>
      <c r="K990" s="193" t="s">
        <v>303</v>
      </c>
      <c r="L990" s="193" t="s">
        <v>5084</v>
      </c>
      <c r="M990" s="193"/>
      <c r="N990" s="193"/>
      <c r="O990" s="193"/>
      <c r="P990" s="193"/>
      <c r="Q990" s="200"/>
      <c r="R990" s="86"/>
      <c r="S990" s="114">
        <f t="shared" ref="S990:T990" si="991">A990</f>
        <v>990</v>
      </c>
      <c r="T990" s="114" t="str">
        <f t="shared" si="991"/>
        <v>محمد صالحی پاک</v>
      </c>
      <c r="U990" s="86" t="str">
        <f t="shared" si="3"/>
        <v>09137727022</v>
      </c>
      <c r="V990" s="86" t="str">
        <f t="shared" si="4"/>
        <v>پیش‌وایی 8</v>
      </c>
      <c r="W990" s="86"/>
      <c r="X990" s="86"/>
    </row>
    <row r="991">
      <c r="A991" s="201">
        <v>991.0</v>
      </c>
      <c r="B991" s="202" t="s">
        <v>5085</v>
      </c>
      <c r="C991" s="203" t="s">
        <v>5086</v>
      </c>
      <c r="D991" s="204" t="str">
        <f>IFERROR(__xludf.DUMMYFUNCTION("ARRAYFORMULA(LET( converted, SUBSTITUTE( SUBSTITUTE( SUBSTITUTE( SUBSTITUTE( SUBSTITUTE( SUBSTITUTE( SUBSTITUTE( SUBSTITUTE( SUBSTITUTE( SUBSTITUTE( C991, ""۰"", ""0""), ""۱"", ""1""), ""۲"", ""2""), ""۳"", ""3""), ""۴"", ""4""), ""۵"", ""5""), ""۶"", ""6"&amp;"""), ""۷"", ""7""), ""۸"", ""8""), ""۹"", ""9""), IF(LEFT(converted,3)=""+98"", ""0"" &amp; RIGHT(converted, LEN(converted)-3), IF(LEFT(converted,2)=""98"", ""0"" &amp; RIGHT(converted, LEN(converted)-2), IF(LEFT(converted,1)&lt;&gt;""0"", ""0"" &amp; converted, REGEXREPLA"&amp;"CE(converted , ""\s"", """")) ) ) ) )"),"09122001676")</f>
        <v>09122001676</v>
      </c>
      <c r="E991" s="205" t="s">
        <v>17</v>
      </c>
      <c r="F991" s="206">
        <v>8.0</v>
      </c>
      <c r="G991" s="202"/>
      <c r="H991" s="202" t="s">
        <v>5087</v>
      </c>
      <c r="I991" s="203"/>
      <c r="J991" s="203"/>
      <c r="K991" s="202" t="s">
        <v>303</v>
      </c>
      <c r="L991" s="202" t="s">
        <v>3635</v>
      </c>
      <c r="M991" s="202"/>
      <c r="N991" s="202"/>
      <c r="O991" s="202"/>
      <c r="P991" s="202"/>
      <c r="Q991" s="208"/>
      <c r="R991" s="86"/>
      <c r="S991" s="114">
        <f t="shared" ref="S991:T991" si="992">A991</f>
        <v>991</v>
      </c>
      <c r="T991" s="114" t="str">
        <f t="shared" si="992"/>
        <v>محمد محبی</v>
      </c>
      <c r="U991" s="86" t="str">
        <f t="shared" si="3"/>
        <v>09122001676</v>
      </c>
      <c r="V991" s="86" t="str">
        <f t="shared" si="4"/>
        <v>پیش‌وایی 8</v>
      </c>
      <c r="W991" s="86"/>
      <c r="X991" s="86"/>
    </row>
    <row r="992">
      <c r="A992" s="192">
        <v>992.0</v>
      </c>
      <c r="B992" s="193" t="s">
        <v>5088</v>
      </c>
      <c r="C992" s="194" t="s">
        <v>5089</v>
      </c>
      <c r="D992" s="195" t="str">
        <f>IFERROR(__xludf.DUMMYFUNCTION("ARRAYFORMULA(LET( converted, SUBSTITUTE( SUBSTITUTE( SUBSTITUTE( SUBSTITUTE( SUBSTITUTE( SUBSTITUTE( SUBSTITUTE( SUBSTITUTE( SUBSTITUTE( SUBSTITUTE( C992, ""۰"", ""0""), ""۱"", ""1""), ""۲"", ""2""), ""۳"", ""3""), ""۴"", ""4""), ""۵"", ""5""), ""۶"", ""6"&amp;"""), ""۷"", ""7""), ""۸"", ""8""), ""۹"", ""9""), IF(LEFT(converted,3)=""+98"", ""0"" &amp; RIGHT(converted, LEN(converted)-3), IF(LEFT(converted,2)=""98"", ""0"" &amp; RIGHT(converted, LEN(converted)-2), IF(LEFT(converted,1)&lt;&gt;""0"", ""0"" &amp; converted, REGEXREPLA"&amp;"CE(converted , ""\s"", """")) ) ) ) )"),"09125513424")</f>
        <v>09125513424</v>
      </c>
      <c r="E992" s="196" t="s">
        <v>17</v>
      </c>
      <c r="F992" s="197">
        <v>8.0</v>
      </c>
      <c r="G992" s="193"/>
      <c r="H992" s="193" t="s">
        <v>5090</v>
      </c>
      <c r="I992" s="194"/>
      <c r="J992" s="194"/>
      <c r="K992" s="193" t="s">
        <v>1787</v>
      </c>
      <c r="L992" s="193" t="s">
        <v>5091</v>
      </c>
      <c r="M992" s="193"/>
      <c r="N992" s="193"/>
      <c r="O992" s="193"/>
      <c r="P992" s="193"/>
      <c r="Q992" s="200"/>
      <c r="R992" s="86"/>
      <c r="S992" s="114">
        <f t="shared" ref="S992:T992" si="993">A992</f>
        <v>992</v>
      </c>
      <c r="T992" s="114" t="str">
        <f t="shared" si="993"/>
        <v>محمد حسین تبرایی</v>
      </c>
      <c r="U992" s="86" t="str">
        <f t="shared" si="3"/>
        <v>09125513424</v>
      </c>
      <c r="V992" s="86" t="str">
        <f t="shared" si="4"/>
        <v>پیش‌وایی 8</v>
      </c>
      <c r="W992" s="86"/>
      <c r="X992" s="86"/>
    </row>
    <row r="993">
      <c r="A993" s="201">
        <v>993.0</v>
      </c>
      <c r="B993" s="207" t="s">
        <v>5092</v>
      </c>
      <c r="C993" s="203" t="s">
        <v>5093</v>
      </c>
      <c r="D993" s="204" t="str">
        <f>IFERROR(__xludf.DUMMYFUNCTION("ARRAYFORMULA(LET( converted, SUBSTITUTE( SUBSTITUTE( SUBSTITUTE( SUBSTITUTE( SUBSTITUTE( SUBSTITUTE( SUBSTITUTE( SUBSTITUTE( SUBSTITUTE( SUBSTITUTE( C993, ""۰"", ""0""), ""۱"", ""1""), ""۲"", ""2""), ""۳"", ""3""), ""۴"", ""4""), ""۵"", ""5""), ""۶"", ""6"&amp;"""), ""۷"", ""7""), ""۸"", ""8""), ""۹"", ""9""), IF(LEFT(converted,3)=""+98"", ""0"" &amp; RIGHT(converted, LEN(converted)-3), IF(LEFT(converted,2)=""98"", ""0"" &amp; RIGHT(converted, LEN(converted)-2), IF(LEFT(converted,1)&lt;&gt;""0"", ""0"" &amp; converted, REGEXREPLA"&amp;"CE(converted , ""\s"", """")) ) ) ) )"),"09130256846")</f>
        <v>09130256846</v>
      </c>
      <c r="E993" s="205" t="s">
        <v>17</v>
      </c>
      <c r="F993" s="206">
        <v>8.0</v>
      </c>
      <c r="G993" s="202"/>
      <c r="H993" s="202" t="s">
        <v>5094</v>
      </c>
      <c r="I993" s="203"/>
      <c r="J993" s="203"/>
      <c r="K993" s="202" t="s">
        <v>5095</v>
      </c>
      <c r="L993" s="202" t="s">
        <v>5096</v>
      </c>
      <c r="M993" s="202"/>
      <c r="N993" s="202"/>
      <c r="O993" s="202"/>
      <c r="P993" s="202"/>
      <c r="Q993" s="208"/>
      <c r="R993" s="86"/>
      <c r="S993" s="114">
        <f t="shared" ref="S993:T993" si="994">A993</f>
        <v>993</v>
      </c>
      <c r="T993" s="114" t="str">
        <f t="shared" si="994"/>
        <v>محمد یاسین پارسی</v>
      </c>
      <c r="U993" s="86" t="str">
        <f t="shared" si="3"/>
        <v>09130256846</v>
      </c>
      <c r="V993" s="86" t="str">
        <f t="shared" si="4"/>
        <v>پیش‌وایی 8</v>
      </c>
      <c r="W993" s="86"/>
      <c r="X993" s="86"/>
    </row>
    <row r="994">
      <c r="A994" s="192">
        <v>994.0</v>
      </c>
      <c r="B994" s="199" t="s">
        <v>5097</v>
      </c>
      <c r="C994" s="194" t="s">
        <v>5098</v>
      </c>
      <c r="D994" s="195" t="str">
        <f>IFERROR(__xludf.DUMMYFUNCTION("ARRAYFORMULA(LET( converted, SUBSTITUTE( SUBSTITUTE( SUBSTITUTE( SUBSTITUTE( SUBSTITUTE( SUBSTITUTE( SUBSTITUTE( SUBSTITUTE( SUBSTITUTE( SUBSTITUTE( C994, ""۰"", ""0""), ""۱"", ""1""), ""۲"", ""2""), ""۳"", ""3""), ""۴"", ""4""), ""۵"", ""5""), ""۶"", ""6"&amp;"""), ""۷"", ""7""), ""۸"", ""8""), ""۹"", ""9""), IF(LEFT(converted,3)=""+98"", ""0"" &amp; RIGHT(converted, LEN(converted)-3), IF(LEFT(converted,2)=""98"", ""0"" &amp; RIGHT(converted, LEN(converted)-2), IF(LEFT(converted,1)&lt;&gt;""0"", ""0"" &amp; converted, REGEXREPLA"&amp;"CE(converted , ""\s"", """")) ) ) ) )"),"09123502160")</f>
        <v>09123502160</v>
      </c>
      <c r="E994" s="196" t="s">
        <v>17</v>
      </c>
      <c r="F994" s="197">
        <v>8.0</v>
      </c>
      <c r="G994" s="193"/>
      <c r="H994" s="193" t="s">
        <v>5099</v>
      </c>
      <c r="I994" s="194"/>
      <c r="J994" s="194"/>
      <c r="K994" s="193" t="s">
        <v>1670</v>
      </c>
      <c r="L994" s="193" t="s">
        <v>5100</v>
      </c>
      <c r="M994" s="193"/>
      <c r="N994" s="193"/>
      <c r="O994" s="193"/>
      <c r="P994" s="193"/>
      <c r="Q994" s="200"/>
      <c r="R994" s="86"/>
      <c r="S994" s="114">
        <f t="shared" ref="S994:T994" si="995">A994</f>
        <v>994</v>
      </c>
      <c r="T994" s="114" t="str">
        <f t="shared" si="995"/>
        <v>سهیل ممدوحی</v>
      </c>
      <c r="U994" s="86" t="str">
        <f t="shared" si="3"/>
        <v>09123502160</v>
      </c>
      <c r="V994" s="86" t="str">
        <f t="shared" si="4"/>
        <v>پیش‌وایی 8</v>
      </c>
      <c r="W994" s="86"/>
      <c r="X994" s="86"/>
    </row>
    <row r="995">
      <c r="A995" s="201">
        <v>995.0</v>
      </c>
      <c r="B995" s="207" t="s">
        <v>1890</v>
      </c>
      <c r="C995" s="203" t="s">
        <v>1891</v>
      </c>
      <c r="D995" s="204" t="str">
        <f>IFERROR(__xludf.DUMMYFUNCTION("ARRAYFORMULA(LET( converted, SUBSTITUTE( SUBSTITUTE( SUBSTITUTE( SUBSTITUTE( SUBSTITUTE( SUBSTITUTE( SUBSTITUTE( SUBSTITUTE( SUBSTITUTE( SUBSTITUTE( C995, ""۰"", ""0""), ""۱"", ""1""), ""۲"", ""2""), ""۳"", ""3""), ""۴"", ""4""), ""۵"", ""5""), ""۶"", ""6"&amp;"""), ""۷"", ""7""), ""۸"", ""8""), ""۹"", ""9""), IF(LEFT(converted,3)=""+98"", ""0"" &amp; RIGHT(converted, LEN(converted)-3), IF(LEFT(converted,2)=""98"", ""0"" &amp; RIGHT(converted, LEN(converted)-2), IF(LEFT(converted,1)&lt;&gt;""0"", ""0"" &amp; converted, REGEXREPLA"&amp;"CE(converted , ""\s"", """")) ) ) ) )"),"09128908388")</f>
        <v>09128908388</v>
      </c>
      <c r="E995" s="205" t="s">
        <v>17</v>
      </c>
      <c r="F995" s="206">
        <v>8.0</v>
      </c>
      <c r="G995" s="202"/>
      <c r="H995" s="202" t="s">
        <v>5101</v>
      </c>
      <c r="I995" s="203"/>
      <c r="J995" s="203"/>
      <c r="K995" s="202" t="s">
        <v>307</v>
      </c>
      <c r="L995" s="202" t="s">
        <v>1019</v>
      </c>
      <c r="M995" s="202"/>
      <c r="N995" s="202"/>
      <c r="O995" s="202"/>
      <c r="P995" s="202"/>
      <c r="Q995" s="208"/>
      <c r="R995" s="86"/>
      <c r="S995" s="114">
        <f t="shared" ref="S995:T995" si="996">A995</f>
        <v>995</v>
      </c>
      <c r="T995" s="114" t="str">
        <f t="shared" si="996"/>
        <v>محمدرضا احمدی</v>
      </c>
      <c r="U995" s="86" t="str">
        <f t="shared" si="3"/>
        <v>09128908388</v>
      </c>
      <c r="V995" s="86" t="str">
        <f t="shared" si="4"/>
        <v>پیش‌وایی 8</v>
      </c>
      <c r="W995" s="86"/>
      <c r="X995" s="86"/>
    </row>
    <row r="996">
      <c r="A996" s="192">
        <v>996.0</v>
      </c>
      <c r="B996" s="199" t="s">
        <v>5102</v>
      </c>
      <c r="C996" s="194" t="s">
        <v>5103</v>
      </c>
      <c r="D996" s="195" t="str">
        <f>IFERROR(__xludf.DUMMYFUNCTION("ARRAYFORMULA(LET( converted, SUBSTITUTE( SUBSTITUTE( SUBSTITUTE( SUBSTITUTE( SUBSTITUTE( SUBSTITUTE( SUBSTITUTE( SUBSTITUTE( SUBSTITUTE( SUBSTITUTE( C996, ""۰"", ""0""), ""۱"", ""1""), ""۲"", ""2""), ""۳"", ""3""), ""۴"", ""4""), ""۵"", ""5""), ""۶"", ""6"&amp;"""), ""۷"", ""7""), ""۸"", ""8""), ""۹"", ""9""), IF(LEFT(converted,3)=""+98"", ""0"" &amp; RIGHT(converted, LEN(converted)-3), IF(LEFT(converted,2)=""98"", ""0"" &amp; RIGHT(converted, LEN(converted)-2), IF(LEFT(converted,1)&lt;&gt;""0"", ""0"" &amp; converted, REGEXREPLA"&amp;"CE(converted , ""\s"", """")) ) ) ) )"),"09386490272")</f>
        <v>09386490272</v>
      </c>
      <c r="E996" s="196" t="s">
        <v>17</v>
      </c>
      <c r="F996" s="197">
        <v>8.0</v>
      </c>
      <c r="G996" s="193"/>
      <c r="H996" s="193" t="s">
        <v>5104</v>
      </c>
      <c r="I996" s="194"/>
      <c r="J996" s="194"/>
      <c r="K996" s="193" t="s">
        <v>307</v>
      </c>
      <c r="L996" s="193" t="s">
        <v>3194</v>
      </c>
      <c r="M996" s="193"/>
      <c r="N996" s="193"/>
      <c r="O996" s="193"/>
      <c r="P996" s="193"/>
      <c r="Q996" s="200"/>
      <c r="R996" s="86"/>
      <c r="S996" s="114">
        <f t="shared" ref="S996:T996" si="997">A996</f>
        <v>996</v>
      </c>
      <c r="T996" s="114" t="str">
        <f t="shared" si="997"/>
        <v>محمدرضا امیری</v>
      </c>
      <c r="U996" s="86" t="str">
        <f t="shared" si="3"/>
        <v>09386490272</v>
      </c>
      <c r="V996" s="86" t="str">
        <f t="shared" si="4"/>
        <v>پیش‌وایی 8</v>
      </c>
      <c r="W996" s="86"/>
      <c r="X996" s="86"/>
    </row>
    <row r="997">
      <c r="A997" s="201">
        <v>997.0</v>
      </c>
      <c r="B997" s="202" t="s">
        <v>5105</v>
      </c>
      <c r="C997" s="203" t="s">
        <v>5106</v>
      </c>
      <c r="D997" s="204" t="str">
        <f>IFERROR(__xludf.DUMMYFUNCTION("ARRAYFORMULA(LET( converted, SUBSTITUTE( SUBSTITUTE( SUBSTITUTE( SUBSTITUTE( SUBSTITUTE( SUBSTITUTE( SUBSTITUTE( SUBSTITUTE( SUBSTITUTE( SUBSTITUTE( C997, ""۰"", ""0""), ""۱"", ""1""), ""۲"", ""2""), ""۳"", ""3""), ""۴"", ""4""), ""۵"", ""5""), ""۶"", ""6"&amp;"""), ""۷"", ""7""), ""۸"", ""8""), ""۹"", ""9""), IF(LEFT(converted,3)=""+98"", ""0"" &amp; RIGHT(converted, LEN(converted)-3), IF(LEFT(converted,2)=""98"", ""0"" &amp; RIGHT(converted, LEN(converted)-2), IF(LEFT(converted,1)&lt;&gt;""0"", ""0"" &amp; converted, REGEXREPLA"&amp;"CE(converted , ""\s"", """")) ) ) ) )"),"09102107081")</f>
        <v>09102107081</v>
      </c>
      <c r="E997" s="205" t="s">
        <v>17</v>
      </c>
      <c r="F997" s="206">
        <v>8.0</v>
      </c>
      <c r="G997" s="202"/>
      <c r="H997" s="202"/>
      <c r="I997" s="203"/>
      <c r="J997" s="203"/>
      <c r="K997" s="202" t="s">
        <v>307</v>
      </c>
      <c r="L997" s="202" t="s">
        <v>2636</v>
      </c>
      <c r="M997" s="202"/>
      <c r="N997" s="202"/>
      <c r="O997" s="202"/>
      <c r="P997" s="202"/>
      <c r="Q997" s="208"/>
      <c r="R997" s="86"/>
      <c r="S997" s="114">
        <f t="shared" ref="S997:T997" si="998">A997</f>
        <v>997</v>
      </c>
      <c r="T997" s="114" t="str">
        <f t="shared" si="998"/>
        <v>محمدرضا شعبانی</v>
      </c>
      <c r="U997" s="86" t="str">
        <f t="shared" si="3"/>
        <v>09102107081</v>
      </c>
      <c r="V997" s="86" t="str">
        <f t="shared" si="4"/>
        <v>پیش‌وایی 8</v>
      </c>
      <c r="W997" s="86"/>
      <c r="X997" s="86"/>
    </row>
    <row r="998">
      <c r="A998" s="192">
        <v>998.0</v>
      </c>
      <c r="B998" s="193" t="s">
        <v>5107</v>
      </c>
      <c r="C998" s="194" t="s">
        <v>5108</v>
      </c>
      <c r="D998" s="195" t="str">
        <f>IFERROR(__xludf.DUMMYFUNCTION("ARRAYFORMULA(LET( converted, SUBSTITUTE( SUBSTITUTE( SUBSTITUTE( SUBSTITUTE( SUBSTITUTE( SUBSTITUTE( SUBSTITUTE( SUBSTITUTE( SUBSTITUTE( SUBSTITUTE( C998, ""۰"", ""0""), ""۱"", ""1""), ""۲"", ""2""), ""۳"", ""3""), ""۴"", ""4""), ""۵"", ""5""), ""۶"", ""6"&amp;"""), ""۷"", ""7""), ""۸"", ""8""), ""۹"", ""9""), IF(LEFT(converted,3)=""+98"", ""0"" &amp; RIGHT(converted, LEN(converted)-3), IF(LEFT(converted,2)=""98"", ""0"" &amp; RIGHT(converted, LEN(converted)-2), IF(LEFT(converted,1)&lt;&gt;""0"", ""0"" &amp; converted, REGEXREPLA"&amp;"CE(converted , ""\s"", """")) ) ) ) )"),"09121540922")</f>
        <v>09121540922</v>
      </c>
      <c r="E998" s="196" t="s">
        <v>17</v>
      </c>
      <c r="F998" s="197">
        <v>8.0</v>
      </c>
      <c r="G998" s="193"/>
      <c r="H998" s="198" t="s">
        <v>5109</v>
      </c>
      <c r="I998" s="194"/>
      <c r="J998" s="194"/>
      <c r="K998" s="193" t="s">
        <v>307</v>
      </c>
      <c r="L998" s="193" t="s">
        <v>5110</v>
      </c>
      <c r="M998" s="193"/>
      <c r="N998" s="193"/>
      <c r="O998" s="193"/>
      <c r="P998" s="193"/>
      <c r="Q998" s="200"/>
      <c r="R998" s="86"/>
      <c r="S998" s="114">
        <f t="shared" ref="S998:T998" si="999">A998</f>
        <v>998</v>
      </c>
      <c r="T998" s="114" t="str">
        <f t="shared" si="999"/>
        <v>محمدرضا نجار دیسفانی</v>
      </c>
      <c r="U998" s="86" t="str">
        <f t="shared" si="3"/>
        <v>09121540922</v>
      </c>
      <c r="V998" s="86" t="str">
        <f t="shared" si="4"/>
        <v>پیش‌وایی 8</v>
      </c>
      <c r="W998" s="86"/>
      <c r="X998" s="86"/>
    </row>
    <row r="999">
      <c r="A999" s="201">
        <v>999.0</v>
      </c>
      <c r="B999" s="202" t="s">
        <v>5111</v>
      </c>
      <c r="C999" s="203" t="s">
        <v>4895</v>
      </c>
      <c r="D999" s="204" t="str">
        <f>IFERROR(__xludf.DUMMYFUNCTION("ARRAYFORMULA(LET( converted, SUBSTITUTE( SUBSTITUTE( SUBSTITUTE( SUBSTITUTE( SUBSTITUTE( SUBSTITUTE( SUBSTITUTE( SUBSTITUTE( SUBSTITUTE( SUBSTITUTE( C999, ""۰"", ""0""), ""۱"", ""1""), ""۲"", ""2""), ""۳"", ""3""), ""۴"", ""4""), ""۵"", ""5""), ""۶"", ""6"&amp;"""), ""۷"", ""7""), ""۸"", ""8""), ""۹"", ""9""), IF(LEFT(converted,3)=""+98"", ""0"" &amp; RIGHT(converted, LEN(converted)-3), IF(LEFT(converted,2)=""98"", ""0"" &amp; RIGHT(converted, LEN(converted)-2), IF(LEFT(converted,1)&lt;&gt;""0"", ""0"" &amp; converted, REGEXREPLA"&amp;"CE(converted , ""\s"", """")) ) ) ) )"),"09195373573")</f>
        <v>09195373573</v>
      </c>
      <c r="E999" s="205" t="s">
        <v>17</v>
      </c>
      <c r="F999" s="206">
        <v>8.0</v>
      </c>
      <c r="G999" s="202"/>
      <c r="H999" s="202"/>
      <c r="I999" s="203"/>
      <c r="J999" s="203"/>
      <c r="K999" s="202" t="s">
        <v>307</v>
      </c>
      <c r="L999" s="202" t="s">
        <v>1086</v>
      </c>
      <c r="M999" s="202"/>
      <c r="N999" s="202"/>
      <c r="O999" s="202"/>
      <c r="P999" s="202"/>
      <c r="Q999" s="208"/>
      <c r="R999" s="86"/>
      <c r="S999" s="114">
        <f t="shared" ref="S999:T999" si="1000">A999</f>
        <v>999</v>
      </c>
      <c r="T999" s="114" t="str">
        <f t="shared" si="1000"/>
        <v>محمدرضا رجبی</v>
      </c>
      <c r="U999" s="86" t="str">
        <f t="shared" si="3"/>
        <v>09195373573</v>
      </c>
      <c r="V999" s="86" t="str">
        <f t="shared" si="4"/>
        <v>پیش‌وایی 8</v>
      </c>
      <c r="W999" s="86"/>
      <c r="X999" s="86"/>
    </row>
    <row r="1000">
      <c r="A1000" s="192">
        <v>1000.0</v>
      </c>
      <c r="B1000" s="193" t="s">
        <v>5112</v>
      </c>
      <c r="C1000" s="194" t="s">
        <v>5113</v>
      </c>
      <c r="D1000" s="195" t="str">
        <f>IFERROR(__xludf.DUMMYFUNCTION("ARRAYFORMULA(LET( converted, SUBSTITUTE( SUBSTITUTE( SUBSTITUTE( SUBSTITUTE( SUBSTITUTE( SUBSTITUTE( SUBSTITUTE( SUBSTITUTE( SUBSTITUTE( SUBSTITUTE( C1000, ""۰"", ""0""), ""۱"", ""1""), ""۲"", ""2""), ""۳"", ""3""), ""۴"", ""4""), ""۵"", ""5""), ""۶"", """&amp;"6""), ""۷"", ""7""), ""۸"", ""8""), ""۹"", ""9""), IF(LEFT(converted,3)=""+98"", ""0"" &amp; RIGHT(converted, LEN(converted)-3), IF(LEFT(converted,2)=""98"", ""0"" &amp; RIGHT(converted, LEN(converted)-2), IF(LEFT(converted,1)&lt;&gt;""0"", ""0"" &amp; converted, REGEXREPL"&amp;"ACE(converted , ""\s"", """")) ) ) ) )"),"09129314031")</f>
        <v>09129314031</v>
      </c>
      <c r="E1000" s="196" t="s">
        <v>17</v>
      </c>
      <c r="F1000" s="197">
        <v>8.0</v>
      </c>
      <c r="G1000" s="193"/>
      <c r="H1000" s="193" t="s">
        <v>5114</v>
      </c>
      <c r="I1000" s="194"/>
      <c r="J1000" s="194"/>
      <c r="K1000" s="193" t="s">
        <v>307</v>
      </c>
      <c r="L1000" s="193" t="s">
        <v>5115</v>
      </c>
      <c r="M1000" s="193"/>
      <c r="N1000" s="193"/>
      <c r="O1000" s="193"/>
      <c r="P1000" s="193"/>
      <c r="Q1000" s="200"/>
      <c r="R1000" s="86"/>
      <c r="S1000" s="114">
        <f t="shared" ref="S1000:T1000" si="1001">A1000</f>
        <v>1000</v>
      </c>
      <c r="T1000" s="114" t="str">
        <f t="shared" si="1001"/>
        <v>محمدرضا نریمانی</v>
      </c>
      <c r="U1000" s="86" t="str">
        <f t="shared" si="3"/>
        <v>09129314031</v>
      </c>
      <c r="V1000" s="86" t="str">
        <f t="shared" si="4"/>
        <v>پیش‌وایی 8</v>
      </c>
      <c r="W1000" s="86"/>
      <c r="X1000" s="86"/>
    </row>
    <row r="1001">
      <c r="A1001" s="201">
        <v>1001.0</v>
      </c>
      <c r="B1001" s="202" t="s">
        <v>5116</v>
      </c>
      <c r="C1001" s="203" t="s">
        <v>5117</v>
      </c>
      <c r="D1001" s="204" t="str">
        <f>IFERROR(__xludf.DUMMYFUNCTION("ARRAYFORMULA(LET( converted, SUBSTITUTE( SUBSTITUTE( SUBSTITUTE( SUBSTITUTE( SUBSTITUTE( SUBSTITUTE( SUBSTITUTE( SUBSTITUTE( SUBSTITUTE( SUBSTITUTE( C1001, ""۰"", ""0""), ""۱"", ""1""), ""۲"", ""2""), ""۳"", ""3""), ""۴"", ""4""), ""۵"", ""5""), ""۶"", """&amp;"6""), ""۷"", ""7""), ""۸"", ""8""), ""۹"", ""9""), IF(LEFT(converted,3)=""+98"", ""0"" &amp; RIGHT(converted, LEN(converted)-3), IF(LEFT(converted,2)=""98"", ""0"" &amp; RIGHT(converted, LEN(converted)-2), IF(LEFT(converted,1)&lt;&gt;""0"", ""0"" &amp; converted, REGEXREPL"&amp;"ACE(converted , ""\s"", """")) ) ) ) )"),"09133673551")</f>
        <v>09133673551</v>
      </c>
      <c r="E1001" s="205" t="s">
        <v>17</v>
      </c>
      <c r="F1001" s="206">
        <v>8.0</v>
      </c>
      <c r="G1001" s="202"/>
      <c r="H1001" s="209" t="s">
        <v>5118</v>
      </c>
      <c r="I1001" s="203"/>
      <c r="J1001" s="203"/>
      <c r="K1001" s="202" t="s">
        <v>5119</v>
      </c>
      <c r="L1001" s="202" t="s">
        <v>5120</v>
      </c>
      <c r="M1001" s="202"/>
      <c r="N1001" s="202"/>
      <c r="O1001" s="202"/>
      <c r="P1001" s="202"/>
      <c r="Q1001" s="208"/>
      <c r="R1001" s="86"/>
      <c r="S1001" s="114">
        <f t="shared" ref="S1001:T1001" si="1002">A1001</f>
        <v>1001</v>
      </c>
      <c r="T1001" s="114" t="str">
        <f t="shared" si="1002"/>
        <v>محمدسجاد برزو اصفهانی</v>
      </c>
      <c r="U1001" s="86" t="str">
        <f t="shared" si="3"/>
        <v>09133673551</v>
      </c>
      <c r="V1001" s="86" t="str">
        <f t="shared" si="4"/>
        <v>پیش‌وایی 8</v>
      </c>
      <c r="W1001" s="86"/>
      <c r="X1001" s="86"/>
    </row>
    <row r="1002">
      <c r="A1002" s="192">
        <v>1002.0</v>
      </c>
      <c r="B1002" s="193" t="s">
        <v>5121</v>
      </c>
      <c r="C1002" s="194" t="s">
        <v>5122</v>
      </c>
      <c r="D1002" s="195" t="str">
        <f>IFERROR(__xludf.DUMMYFUNCTION("ARRAYFORMULA(LET( converted, SUBSTITUTE( SUBSTITUTE( SUBSTITUTE( SUBSTITUTE( SUBSTITUTE( SUBSTITUTE( SUBSTITUTE( SUBSTITUTE( SUBSTITUTE( SUBSTITUTE( C1002, ""۰"", ""0""), ""۱"", ""1""), ""۲"", ""2""), ""۳"", ""3""), ""۴"", ""4""), ""۵"", ""5""), ""۶"", """&amp;"6""), ""۷"", ""7""), ""۸"", ""8""), ""۹"", ""9""), IF(LEFT(converted,3)=""+98"", ""0"" &amp; RIGHT(converted, LEN(converted)-3), IF(LEFT(converted,2)=""98"", ""0"" &amp; RIGHT(converted, LEN(converted)-2), IF(LEFT(converted,1)&lt;&gt;""0"", ""0"" &amp; converted, REGEXREPL"&amp;"ACE(converted , ""\s"", """")) ) ) ) )"),"09214186527")</f>
        <v>09214186527</v>
      </c>
      <c r="E1002" s="196" t="s">
        <v>17</v>
      </c>
      <c r="F1002" s="197">
        <v>8.0</v>
      </c>
      <c r="G1002" s="193"/>
      <c r="H1002" s="193" t="s">
        <v>5123</v>
      </c>
      <c r="I1002" s="194"/>
      <c r="J1002" s="194"/>
      <c r="K1002" s="193" t="s">
        <v>2306</v>
      </c>
      <c r="L1002" s="193" t="s">
        <v>1019</v>
      </c>
      <c r="M1002" s="193"/>
      <c r="N1002" s="193"/>
      <c r="O1002" s="193"/>
      <c r="P1002" s="193"/>
      <c r="Q1002" s="200"/>
      <c r="R1002" s="86"/>
      <c r="S1002" s="114">
        <f t="shared" ref="S1002:T1002" si="1003">A1002</f>
        <v>1002</v>
      </c>
      <c r="T1002" s="114" t="str">
        <f t="shared" si="1003"/>
        <v>مرتضی احمدی</v>
      </c>
      <c r="U1002" s="86" t="str">
        <f t="shared" si="3"/>
        <v>09214186527</v>
      </c>
      <c r="V1002" s="86" t="str">
        <f t="shared" si="4"/>
        <v>پیش‌وایی 8</v>
      </c>
      <c r="W1002" s="86"/>
      <c r="X1002" s="86"/>
    </row>
    <row r="1003">
      <c r="A1003" s="201">
        <v>1003.0</v>
      </c>
      <c r="B1003" s="207" t="s">
        <v>5124</v>
      </c>
      <c r="C1003" s="203" t="s">
        <v>5125</v>
      </c>
      <c r="D1003" s="204" t="str">
        <f>IFERROR(__xludf.DUMMYFUNCTION("ARRAYFORMULA(LET( converted, SUBSTITUTE( SUBSTITUTE( SUBSTITUTE( SUBSTITUTE( SUBSTITUTE( SUBSTITUTE( SUBSTITUTE( SUBSTITUTE( SUBSTITUTE( SUBSTITUTE( C1003, ""۰"", ""0""), ""۱"", ""1""), ""۲"", ""2""), ""۳"", ""3""), ""۴"", ""4""), ""۵"", ""5""), ""۶"", """&amp;"6""), ""۷"", ""7""), ""۸"", ""8""), ""۹"", ""9""), IF(LEFT(converted,3)=""+98"", ""0"" &amp; RIGHT(converted, LEN(converted)-3), IF(LEFT(converted,2)=""98"", ""0"" &amp; RIGHT(converted, LEN(converted)-2), IF(LEFT(converted,1)&lt;&gt;""0"", ""0"" &amp; converted, REGEXREPL"&amp;"ACE(converted , ""\s"", """")) ) ) ) )"),"09128164272")</f>
        <v>09128164272</v>
      </c>
      <c r="E1003" s="205" t="s">
        <v>17</v>
      </c>
      <c r="F1003" s="206">
        <v>8.0</v>
      </c>
      <c r="G1003" s="202"/>
      <c r="H1003" s="202"/>
      <c r="I1003" s="203"/>
      <c r="J1003" s="203"/>
      <c r="K1003" s="202" t="s">
        <v>5126</v>
      </c>
      <c r="L1003" s="202" t="s">
        <v>5127</v>
      </c>
      <c r="M1003" s="202"/>
      <c r="N1003" s="202"/>
      <c r="O1003" s="202"/>
      <c r="P1003" s="202"/>
      <c r="Q1003" s="208"/>
      <c r="R1003" s="86"/>
      <c r="S1003" s="114">
        <f t="shared" ref="S1003:T1003" si="1004">A1003</f>
        <v>1003</v>
      </c>
      <c r="T1003" s="114" t="str">
        <f t="shared" si="1004"/>
        <v>مرضیه گندمی</v>
      </c>
      <c r="U1003" s="86" t="str">
        <f t="shared" si="3"/>
        <v>09128164272</v>
      </c>
      <c r="V1003" s="86" t="str">
        <f t="shared" si="4"/>
        <v>پیش‌وایی 8</v>
      </c>
      <c r="W1003" s="86"/>
      <c r="X1003" s="86"/>
    </row>
    <row r="1004">
      <c r="A1004" s="192">
        <v>1004.0</v>
      </c>
      <c r="B1004" s="193" t="s">
        <v>5128</v>
      </c>
      <c r="C1004" s="194" t="s">
        <v>5129</v>
      </c>
      <c r="D1004" s="195" t="str">
        <f>IFERROR(__xludf.DUMMYFUNCTION("ARRAYFORMULA(LET( converted, SUBSTITUTE( SUBSTITUTE( SUBSTITUTE( SUBSTITUTE( SUBSTITUTE( SUBSTITUTE( SUBSTITUTE( SUBSTITUTE( SUBSTITUTE( SUBSTITUTE( C1004, ""۰"", ""0""), ""۱"", ""1""), ""۲"", ""2""), ""۳"", ""3""), ""۴"", ""4""), ""۵"", ""5""), ""۶"", """&amp;"6""), ""۷"", ""7""), ""۸"", ""8""), ""۹"", ""9""), IF(LEFT(converted,3)=""+98"", ""0"" &amp; RIGHT(converted, LEN(converted)-3), IF(LEFT(converted,2)=""98"", ""0"" &amp; RIGHT(converted, LEN(converted)-2), IF(LEFT(converted,1)&lt;&gt;""0"", ""0"" &amp; converted, REGEXREPL"&amp;"ACE(converted , ""\s"", """")) ) ) ) )"),"09129510392")</f>
        <v>09129510392</v>
      </c>
      <c r="E1004" s="196" t="s">
        <v>17</v>
      </c>
      <c r="F1004" s="197">
        <v>8.0</v>
      </c>
      <c r="G1004" s="193"/>
      <c r="H1004" s="193" t="s">
        <v>5130</v>
      </c>
      <c r="I1004" s="194"/>
      <c r="J1004" s="194"/>
      <c r="K1004" s="193" t="s">
        <v>292</v>
      </c>
      <c r="L1004" s="193" t="s">
        <v>5066</v>
      </c>
      <c r="M1004" s="193"/>
      <c r="N1004" s="193"/>
      <c r="O1004" s="193"/>
      <c r="P1004" s="193"/>
      <c r="Q1004" s="200"/>
      <c r="R1004" s="86"/>
      <c r="S1004" s="114">
        <f t="shared" ref="S1004:T1004" si="1005">A1004</f>
        <v>1004</v>
      </c>
      <c r="T1004" s="114" t="str">
        <f t="shared" si="1005"/>
        <v>مریم عزیزی</v>
      </c>
      <c r="U1004" s="86" t="str">
        <f t="shared" si="3"/>
        <v>09129510392</v>
      </c>
      <c r="V1004" s="86" t="str">
        <f t="shared" si="4"/>
        <v>پیش‌وایی 8</v>
      </c>
      <c r="W1004" s="86"/>
      <c r="X1004" s="86"/>
    </row>
    <row r="1005">
      <c r="A1005" s="201">
        <v>1005.0</v>
      </c>
      <c r="B1005" s="202" t="s">
        <v>5131</v>
      </c>
      <c r="C1005" s="203" t="s">
        <v>5132</v>
      </c>
      <c r="D1005" s="204" t="str">
        <f>IFERROR(__xludf.DUMMYFUNCTION("ARRAYFORMULA(LET( converted, SUBSTITUTE( SUBSTITUTE( SUBSTITUTE( SUBSTITUTE( SUBSTITUTE( SUBSTITUTE( SUBSTITUTE( SUBSTITUTE( SUBSTITUTE( SUBSTITUTE( C1005, ""۰"", ""0""), ""۱"", ""1""), ""۲"", ""2""), ""۳"", ""3""), ""۴"", ""4""), ""۵"", ""5""), ""۶"", """&amp;"6""), ""۷"", ""7""), ""۸"", ""8""), ""۹"", ""9""), IF(LEFT(converted,3)=""+98"", ""0"" &amp; RIGHT(converted, LEN(converted)-3), IF(LEFT(converted,2)=""98"", ""0"" &amp; RIGHT(converted, LEN(converted)-2), IF(LEFT(converted,1)&lt;&gt;""0"", ""0"" &amp; converted, REGEXREPL"&amp;"ACE(converted , ""\s"", """")) ) ) ) )"),"09902161336")</f>
        <v>09902161336</v>
      </c>
      <c r="E1005" s="205" t="s">
        <v>17</v>
      </c>
      <c r="F1005" s="206">
        <v>8.0</v>
      </c>
      <c r="G1005" s="202"/>
      <c r="H1005" s="202" t="s">
        <v>5133</v>
      </c>
      <c r="I1005" s="203"/>
      <c r="J1005" s="203"/>
      <c r="K1005" s="202" t="s">
        <v>292</v>
      </c>
      <c r="L1005" s="202" t="s">
        <v>2950</v>
      </c>
      <c r="M1005" s="202"/>
      <c r="N1005" s="202"/>
      <c r="O1005" s="202"/>
      <c r="P1005" s="202"/>
      <c r="Q1005" s="208"/>
      <c r="R1005" s="86"/>
      <c r="S1005" s="114">
        <f t="shared" ref="S1005:T1005" si="1006">A1005</f>
        <v>1005</v>
      </c>
      <c r="T1005" s="114" t="str">
        <f t="shared" si="1006"/>
        <v>مریم مقصود</v>
      </c>
      <c r="U1005" s="86" t="str">
        <f t="shared" si="3"/>
        <v>09902161336</v>
      </c>
      <c r="V1005" s="86" t="str">
        <f t="shared" si="4"/>
        <v>پیش‌وایی 8</v>
      </c>
      <c r="W1005" s="86"/>
      <c r="X1005" s="86"/>
    </row>
    <row r="1006">
      <c r="A1006" s="192">
        <v>1006.0</v>
      </c>
      <c r="B1006" s="199" t="s">
        <v>5134</v>
      </c>
      <c r="C1006" s="194" t="s">
        <v>5135</v>
      </c>
      <c r="D1006" s="195" t="str">
        <f>IFERROR(__xludf.DUMMYFUNCTION("ARRAYFORMULA(LET( converted, SUBSTITUTE( SUBSTITUTE( SUBSTITUTE( SUBSTITUTE( SUBSTITUTE( SUBSTITUTE( SUBSTITUTE( SUBSTITUTE( SUBSTITUTE( SUBSTITUTE( C1006, ""۰"", ""0""), ""۱"", ""1""), ""۲"", ""2""), ""۳"", ""3""), ""۴"", ""4""), ""۵"", ""5""), ""۶"", """&amp;"6""), ""۷"", ""7""), ""۸"", ""8""), ""۹"", ""9""), IF(LEFT(converted,3)=""+98"", ""0"" &amp; RIGHT(converted, LEN(converted)-3), IF(LEFT(converted,2)=""98"", ""0"" &amp; RIGHT(converted, LEN(converted)-2), IF(LEFT(converted,1)&lt;&gt;""0"", ""0"" &amp; converted, REGEXREPL"&amp;"ACE(converted , ""\s"", """")) ) ) ) )"),"09122652561")</f>
        <v>09122652561</v>
      </c>
      <c r="E1006" s="196" t="s">
        <v>17</v>
      </c>
      <c r="F1006" s="197">
        <v>8.0</v>
      </c>
      <c r="G1006" s="193"/>
      <c r="H1006" s="193" t="s">
        <v>5136</v>
      </c>
      <c r="I1006" s="194"/>
      <c r="J1006" s="194"/>
      <c r="K1006" s="193" t="s">
        <v>292</v>
      </c>
      <c r="L1006" s="193" t="s">
        <v>5137</v>
      </c>
      <c r="M1006" s="193"/>
      <c r="N1006" s="193"/>
      <c r="O1006" s="193"/>
      <c r="P1006" s="193"/>
      <c r="Q1006" s="200"/>
      <c r="R1006" s="86"/>
      <c r="S1006" s="114">
        <f t="shared" ref="S1006:T1006" si="1007">A1006</f>
        <v>1006</v>
      </c>
      <c r="T1006" s="114" t="str">
        <f t="shared" si="1007"/>
        <v>مریم میبدی</v>
      </c>
      <c r="U1006" s="86" t="str">
        <f t="shared" si="3"/>
        <v>09122652561</v>
      </c>
      <c r="V1006" s="86" t="str">
        <f t="shared" si="4"/>
        <v>پیش‌وایی 8</v>
      </c>
      <c r="W1006" s="86"/>
      <c r="X1006" s="86"/>
    </row>
    <row r="1007">
      <c r="A1007" s="201">
        <v>1007.0</v>
      </c>
      <c r="B1007" s="207" t="s">
        <v>1772</v>
      </c>
      <c r="C1007" s="203" t="s">
        <v>3763</v>
      </c>
      <c r="D1007" s="204" t="str">
        <f>IFERROR(__xludf.DUMMYFUNCTION("ARRAYFORMULA(LET( converted, SUBSTITUTE( SUBSTITUTE( SUBSTITUTE( SUBSTITUTE( SUBSTITUTE( SUBSTITUTE( SUBSTITUTE( SUBSTITUTE( SUBSTITUTE( SUBSTITUTE( C1007, ""۰"", ""0""), ""۱"", ""1""), ""۲"", ""2""), ""۳"", ""3""), ""۴"", ""4""), ""۵"", ""5""), ""۶"", """&amp;"6""), ""۷"", ""7""), ""۸"", ""8""), ""۹"", ""9""), IF(LEFT(converted,3)=""+98"", ""0"" &amp; RIGHT(converted, LEN(converted)-3), IF(LEFT(converted,2)=""98"", ""0"" &amp; RIGHT(converted, LEN(converted)-2), IF(LEFT(converted,1)&lt;&gt;""0"", ""0"" &amp; converted, REGEXREPL"&amp;"ACE(converted , ""\s"", """")) ) ) ) )"),"09122985163")</f>
        <v>09122985163</v>
      </c>
      <c r="E1007" s="205" t="s">
        <v>17</v>
      </c>
      <c r="F1007" s="206">
        <v>8.0</v>
      </c>
      <c r="G1007" s="202"/>
      <c r="H1007" s="202" t="s">
        <v>5138</v>
      </c>
      <c r="I1007" s="203"/>
      <c r="J1007" s="203"/>
      <c r="K1007" s="202" t="s">
        <v>1774</v>
      </c>
      <c r="L1007" s="202" t="s">
        <v>1775</v>
      </c>
      <c r="M1007" s="202"/>
      <c r="N1007" s="202"/>
      <c r="O1007" s="202"/>
      <c r="P1007" s="202"/>
      <c r="Q1007" s="208"/>
      <c r="R1007" s="86"/>
      <c r="S1007" s="114">
        <f t="shared" ref="S1007:T1007" si="1008">A1007</f>
        <v>1007</v>
      </c>
      <c r="T1007" s="114" t="str">
        <f t="shared" si="1008"/>
        <v>ملیکا لسانی</v>
      </c>
      <c r="U1007" s="86" t="str">
        <f t="shared" si="3"/>
        <v>09122985163</v>
      </c>
      <c r="V1007" s="86" t="str">
        <f t="shared" si="4"/>
        <v>پیش‌وایی 8</v>
      </c>
      <c r="W1007" s="86"/>
      <c r="X1007" s="86"/>
    </row>
    <row r="1008">
      <c r="A1008" s="192">
        <v>1008.0</v>
      </c>
      <c r="B1008" s="193" t="s">
        <v>5139</v>
      </c>
      <c r="C1008" s="194" t="s">
        <v>3333</v>
      </c>
      <c r="D1008" s="195" t="str">
        <f>IFERROR(__xludf.DUMMYFUNCTION("ARRAYFORMULA(LET( converted, SUBSTITUTE( SUBSTITUTE( SUBSTITUTE( SUBSTITUTE( SUBSTITUTE( SUBSTITUTE( SUBSTITUTE( SUBSTITUTE( SUBSTITUTE( SUBSTITUTE( C1008, ""۰"", ""0""), ""۱"", ""1""), ""۲"", ""2""), ""۳"", ""3""), ""۴"", ""4""), ""۵"", ""5""), ""۶"", """&amp;"6""), ""۷"", ""7""), ""۸"", ""8""), ""۹"", ""9""), IF(LEFT(converted,3)=""+98"", ""0"" &amp; RIGHT(converted, LEN(converted)-3), IF(LEFT(converted,2)=""98"", ""0"" &amp; RIGHT(converted, LEN(converted)-2), IF(LEFT(converted,1)&lt;&gt;""0"", ""0"" &amp; converted, REGEXREPL"&amp;"ACE(converted , ""\s"", """")) ) ) ) )"),"09158708848")</f>
        <v>09158708848</v>
      </c>
      <c r="E1008" s="196" t="s">
        <v>17</v>
      </c>
      <c r="F1008" s="197">
        <v>8.0</v>
      </c>
      <c r="G1008" s="193"/>
      <c r="H1008" s="193" t="s">
        <v>3334</v>
      </c>
      <c r="I1008" s="194"/>
      <c r="J1008" s="194"/>
      <c r="K1008" s="193" t="s">
        <v>3336</v>
      </c>
      <c r="L1008" s="193" t="s">
        <v>3337</v>
      </c>
      <c r="M1008" s="193"/>
      <c r="N1008" s="193"/>
      <c r="O1008" s="193"/>
      <c r="P1008" s="193"/>
      <c r="Q1008" s="200"/>
      <c r="R1008" s="86"/>
      <c r="S1008" s="114">
        <f t="shared" ref="S1008:T1008" si="1009">A1008</f>
        <v>1008</v>
      </c>
      <c r="T1008" s="114" t="str">
        <f t="shared" si="1009"/>
        <v>دکتر منا غرابادیان</v>
      </c>
      <c r="U1008" s="86" t="str">
        <f t="shared" si="3"/>
        <v>09158708848</v>
      </c>
      <c r="V1008" s="86" t="str">
        <f t="shared" si="4"/>
        <v>پیش‌وایی 8</v>
      </c>
      <c r="W1008" s="86"/>
      <c r="X1008" s="86"/>
    </row>
    <row r="1009">
      <c r="A1009" s="201">
        <v>1009.0</v>
      </c>
      <c r="B1009" s="202" t="s">
        <v>5140</v>
      </c>
      <c r="C1009" s="203" t="s">
        <v>5141</v>
      </c>
      <c r="D1009" s="204" t="str">
        <f>IFERROR(__xludf.DUMMYFUNCTION("ARRAYFORMULA(LET( converted, SUBSTITUTE( SUBSTITUTE( SUBSTITUTE( SUBSTITUTE( SUBSTITUTE( SUBSTITUTE( SUBSTITUTE( SUBSTITUTE( SUBSTITUTE( SUBSTITUTE( C1009, ""۰"", ""0""), ""۱"", ""1""), ""۲"", ""2""), ""۳"", ""3""), ""۴"", ""4""), ""۵"", ""5""), ""۶"", """&amp;"6""), ""۷"", ""7""), ""۸"", ""8""), ""۹"", ""9""), IF(LEFT(converted,3)=""+98"", ""0"" &amp; RIGHT(converted, LEN(converted)-3), IF(LEFT(converted,2)=""98"", ""0"" &amp; RIGHT(converted, LEN(converted)-2), IF(LEFT(converted,1)&lt;&gt;""0"", ""0"" &amp; converted, REGEXREPL"&amp;"ACE(converted , ""\s"", """")) ) ) ) )"),"09124504511")</f>
        <v>09124504511</v>
      </c>
      <c r="E1009" s="205" t="s">
        <v>17</v>
      </c>
      <c r="F1009" s="206">
        <v>8.0</v>
      </c>
      <c r="G1009" s="202"/>
      <c r="H1009" s="202" t="s">
        <v>5142</v>
      </c>
      <c r="I1009" s="203"/>
      <c r="J1009" s="203"/>
      <c r="K1009" s="202" t="s">
        <v>381</v>
      </c>
      <c r="L1009" s="202" t="s">
        <v>5143</v>
      </c>
      <c r="M1009" s="202"/>
      <c r="N1009" s="202"/>
      <c r="O1009" s="202"/>
      <c r="P1009" s="202"/>
      <c r="Q1009" s="208"/>
      <c r="R1009" s="86"/>
      <c r="S1009" s="114">
        <f t="shared" ref="S1009:T1009" si="1010">A1009</f>
        <v>1009</v>
      </c>
      <c r="T1009" s="114" t="str">
        <f t="shared" si="1010"/>
        <v>منصور کشاورز کرمانی</v>
      </c>
      <c r="U1009" s="86" t="str">
        <f t="shared" si="3"/>
        <v>09124504511</v>
      </c>
      <c r="V1009" s="86" t="str">
        <f t="shared" si="4"/>
        <v>پیش‌وایی 8</v>
      </c>
      <c r="W1009" s="86"/>
      <c r="X1009" s="86"/>
    </row>
    <row r="1010">
      <c r="A1010" s="192">
        <v>1010.0</v>
      </c>
      <c r="B1010" s="193" t="s">
        <v>5144</v>
      </c>
      <c r="C1010" s="194" t="s">
        <v>5145</v>
      </c>
      <c r="D1010" s="195" t="str">
        <f>IFERROR(__xludf.DUMMYFUNCTION("ARRAYFORMULA(LET( converted, SUBSTITUTE( SUBSTITUTE( SUBSTITUTE( SUBSTITUTE( SUBSTITUTE( SUBSTITUTE( SUBSTITUTE( SUBSTITUTE( SUBSTITUTE( SUBSTITUTE( C1010, ""۰"", ""0""), ""۱"", ""1""), ""۲"", ""2""), ""۳"", ""3""), ""۴"", ""4""), ""۵"", ""5""), ""۶"", """&amp;"6""), ""۷"", ""7""), ""۸"", ""8""), ""۹"", ""9""), IF(LEFT(converted,3)=""+98"", ""0"" &amp; RIGHT(converted, LEN(converted)-3), IF(LEFT(converted,2)=""98"", ""0"" &amp; RIGHT(converted, LEN(converted)-2), IF(LEFT(converted,1)&lt;&gt;""0"", ""0"" &amp; converted, REGEXREPL"&amp;"ACE(converted , ""\s"", """")) ) ) ) )"),"09128123650")</f>
        <v>09128123650</v>
      </c>
      <c r="E1010" s="196" t="s">
        <v>17</v>
      </c>
      <c r="F1010" s="197">
        <v>8.0</v>
      </c>
      <c r="G1010" s="193"/>
      <c r="H1010" s="193" t="s">
        <v>5146</v>
      </c>
      <c r="I1010" s="194"/>
      <c r="J1010" s="194"/>
      <c r="K1010" s="193" t="s">
        <v>5147</v>
      </c>
      <c r="L1010" s="193" t="s">
        <v>5148</v>
      </c>
      <c r="M1010" s="193"/>
      <c r="N1010" s="193"/>
      <c r="O1010" s="193"/>
      <c r="P1010" s="193"/>
      <c r="Q1010" s="200"/>
      <c r="R1010" s="86"/>
      <c r="S1010" s="114">
        <f t="shared" ref="S1010:T1010" si="1011">A1010</f>
        <v>1010</v>
      </c>
      <c r="T1010" s="114" t="str">
        <f t="shared" si="1011"/>
        <v>منیژه نقی لو</v>
      </c>
      <c r="U1010" s="86" t="str">
        <f t="shared" si="3"/>
        <v>09128123650</v>
      </c>
      <c r="V1010" s="86" t="str">
        <f t="shared" si="4"/>
        <v>پیش‌وایی 8</v>
      </c>
      <c r="W1010" s="86"/>
      <c r="X1010" s="86"/>
    </row>
    <row r="1011">
      <c r="A1011" s="201">
        <v>1011.0</v>
      </c>
      <c r="B1011" s="207" t="s">
        <v>5149</v>
      </c>
      <c r="C1011" s="203" t="s">
        <v>5150</v>
      </c>
      <c r="D1011" s="204" t="str">
        <f>IFERROR(__xludf.DUMMYFUNCTION("ARRAYFORMULA(LET( converted, SUBSTITUTE( SUBSTITUTE( SUBSTITUTE( SUBSTITUTE( SUBSTITUTE( SUBSTITUTE( SUBSTITUTE( SUBSTITUTE( SUBSTITUTE( SUBSTITUTE( C1011, ""۰"", ""0""), ""۱"", ""1""), ""۲"", ""2""), ""۳"", ""3""), ""۴"", ""4""), ""۵"", ""5""), ""۶"", """&amp;"6""), ""۷"", ""7""), ""۸"", ""8""), ""۹"", ""9""), IF(LEFT(converted,3)=""+98"", ""0"" &amp; RIGHT(converted, LEN(converted)-3), IF(LEFT(converted,2)=""98"", ""0"" &amp; RIGHT(converted, LEN(converted)-2), IF(LEFT(converted,1)&lt;&gt;""0"", ""0"" &amp; converted, REGEXREPL"&amp;"ACE(converted , ""\s"", """")) ) ) ) )"),"09129302177")</f>
        <v>09129302177</v>
      </c>
      <c r="E1011" s="205" t="s">
        <v>17</v>
      </c>
      <c r="F1011" s="206">
        <v>8.0</v>
      </c>
      <c r="G1011" s="202"/>
      <c r="H1011" s="202" t="s">
        <v>5151</v>
      </c>
      <c r="I1011" s="203"/>
      <c r="J1011" s="203"/>
      <c r="K1011" s="202" t="s">
        <v>5152</v>
      </c>
      <c r="L1011" s="202" t="s">
        <v>5153</v>
      </c>
      <c r="M1011" s="202"/>
      <c r="N1011" s="202"/>
      <c r="O1011" s="202"/>
      <c r="P1011" s="202"/>
      <c r="Q1011" s="208"/>
      <c r="R1011" s="86"/>
      <c r="S1011" s="114">
        <f t="shared" ref="S1011:T1011" si="1012">A1011</f>
        <v>1011</v>
      </c>
      <c r="T1011" s="114" t="str">
        <f t="shared" si="1012"/>
        <v>مه تا نقی لو</v>
      </c>
      <c r="U1011" s="86" t="str">
        <f t="shared" si="3"/>
        <v>09129302177</v>
      </c>
      <c r="V1011" s="86" t="str">
        <f t="shared" si="4"/>
        <v>پیش‌وایی 8</v>
      </c>
      <c r="W1011" s="86"/>
      <c r="X1011" s="86"/>
    </row>
    <row r="1012">
      <c r="A1012" s="192">
        <v>1012.0</v>
      </c>
      <c r="B1012" s="193" t="s">
        <v>5154</v>
      </c>
      <c r="C1012" s="194" t="s">
        <v>5155</v>
      </c>
      <c r="D1012" s="195" t="str">
        <f>IFERROR(__xludf.DUMMYFUNCTION("ARRAYFORMULA(LET( converted, SUBSTITUTE( SUBSTITUTE( SUBSTITUTE( SUBSTITUTE( SUBSTITUTE( SUBSTITUTE( SUBSTITUTE( SUBSTITUTE( SUBSTITUTE( SUBSTITUTE( C1012, ""۰"", ""0""), ""۱"", ""1""), ""۲"", ""2""), ""۳"", ""3""), ""۴"", ""4""), ""۵"", ""5""), ""۶"", """&amp;"6""), ""۷"", ""7""), ""۸"", ""8""), ""۹"", ""9""), IF(LEFT(converted,3)=""+98"", ""0"" &amp; RIGHT(converted, LEN(converted)-3), IF(LEFT(converted,2)=""98"", ""0"" &amp; RIGHT(converted, LEN(converted)-2), IF(LEFT(converted,1)&lt;&gt;""0"", ""0"" &amp; converted, REGEXREPL"&amp;"ACE(converted , ""\s"", """")) ) ) ) )"),"09186783426")</f>
        <v>09186783426</v>
      </c>
      <c r="E1012" s="196" t="s">
        <v>17</v>
      </c>
      <c r="F1012" s="197">
        <v>8.0</v>
      </c>
      <c r="G1012" s="193"/>
      <c r="H1012" s="193" t="s">
        <v>5156</v>
      </c>
      <c r="I1012" s="194"/>
      <c r="J1012" s="194"/>
      <c r="K1012" s="193" t="s">
        <v>286</v>
      </c>
      <c r="L1012" s="193" t="s">
        <v>5157</v>
      </c>
      <c r="M1012" s="193"/>
      <c r="N1012" s="193"/>
      <c r="O1012" s="193"/>
      <c r="P1012" s="193"/>
      <c r="Q1012" s="200"/>
      <c r="R1012" s="86"/>
      <c r="S1012" s="114">
        <f t="shared" ref="S1012:T1012" si="1013">A1012</f>
        <v>1012</v>
      </c>
      <c r="T1012" s="114" t="str">
        <f t="shared" si="1013"/>
        <v>مهدی صوفیان</v>
      </c>
      <c r="U1012" s="86" t="str">
        <f t="shared" si="3"/>
        <v>09186783426</v>
      </c>
      <c r="V1012" s="86" t="str">
        <f t="shared" si="4"/>
        <v>پیش‌وایی 8</v>
      </c>
      <c r="W1012" s="86"/>
      <c r="X1012" s="86"/>
    </row>
    <row r="1013">
      <c r="A1013" s="201">
        <v>1013.0</v>
      </c>
      <c r="B1013" s="202" t="s">
        <v>5158</v>
      </c>
      <c r="C1013" s="203" t="s">
        <v>2933</v>
      </c>
      <c r="D1013" s="204" t="str">
        <f>IFERROR(__xludf.DUMMYFUNCTION("ARRAYFORMULA(LET( converted, SUBSTITUTE( SUBSTITUTE( SUBSTITUTE( SUBSTITUTE( SUBSTITUTE( SUBSTITUTE( SUBSTITUTE( SUBSTITUTE( SUBSTITUTE( SUBSTITUTE( C1013, ""۰"", ""0""), ""۱"", ""1""), ""۲"", ""2""), ""۳"", ""3""), ""۴"", ""4""), ""۵"", ""5""), ""۶"", """&amp;"6""), ""۷"", ""7""), ""۸"", ""8""), ""۹"", ""9""), IF(LEFT(converted,3)=""+98"", ""0"" &amp; RIGHT(converted, LEN(converted)-3), IF(LEFT(converted,2)=""98"", ""0"" &amp; RIGHT(converted, LEN(converted)-2), IF(LEFT(converted,1)&lt;&gt;""0"", ""0"" &amp; converted, REGEXREPL"&amp;"ACE(converted , ""\s"", """")) ) ) ) )"),"09126819077")</f>
        <v>09126819077</v>
      </c>
      <c r="E1013" s="205" t="s">
        <v>17</v>
      </c>
      <c r="F1013" s="206">
        <v>8.0</v>
      </c>
      <c r="G1013" s="202"/>
      <c r="H1013" s="202" t="s">
        <v>2934</v>
      </c>
      <c r="I1013" s="203"/>
      <c r="J1013" s="203"/>
      <c r="K1013" s="202" t="s">
        <v>286</v>
      </c>
      <c r="L1013" s="202" t="s">
        <v>2936</v>
      </c>
      <c r="M1013" s="202"/>
      <c r="N1013" s="202"/>
      <c r="O1013" s="202"/>
      <c r="P1013" s="202"/>
      <c r="Q1013" s="208"/>
      <c r="R1013" s="86"/>
      <c r="S1013" s="114">
        <f t="shared" ref="S1013:T1013" si="1014">A1013</f>
        <v>1013</v>
      </c>
      <c r="T1013" s="114" t="str">
        <f t="shared" si="1014"/>
        <v>مهدی تقوی</v>
      </c>
      <c r="U1013" s="86" t="str">
        <f t="shared" si="3"/>
        <v>09126819077</v>
      </c>
      <c r="V1013" s="86" t="str">
        <f t="shared" si="4"/>
        <v>پیش‌وایی 8</v>
      </c>
      <c r="W1013" s="86"/>
      <c r="X1013" s="86"/>
    </row>
    <row r="1014">
      <c r="A1014" s="192">
        <v>1014.0</v>
      </c>
      <c r="B1014" s="193" t="s">
        <v>5159</v>
      </c>
      <c r="C1014" s="194" t="s">
        <v>5160</v>
      </c>
      <c r="D1014" s="195" t="str">
        <f>IFERROR(__xludf.DUMMYFUNCTION("ARRAYFORMULA(LET( converted, SUBSTITUTE( SUBSTITUTE( SUBSTITUTE( SUBSTITUTE( SUBSTITUTE( SUBSTITUTE( SUBSTITUTE( SUBSTITUTE( SUBSTITUTE( SUBSTITUTE( C1014, ""۰"", ""0""), ""۱"", ""1""), ""۲"", ""2""), ""۳"", ""3""), ""۴"", ""4""), ""۵"", ""5""), ""۶"", """&amp;"6""), ""۷"", ""7""), ""۸"", ""8""), ""۹"", ""9""), IF(LEFT(converted,3)=""+98"", ""0"" &amp; RIGHT(converted, LEN(converted)-3), IF(LEFT(converted,2)=""98"", ""0"" &amp; RIGHT(converted, LEN(converted)-2), IF(LEFT(converted,1)&lt;&gt;""0"", ""0"" &amp; converted, REGEXREPL"&amp;"ACE(converted , ""\s"", """")) ) ) ) )"),"09900669007")</f>
        <v>09900669007</v>
      </c>
      <c r="E1014" s="196" t="s">
        <v>17</v>
      </c>
      <c r="F1014" s="197">
        <v>8.0</v>
      </c>
      <c r="G1014" s="193"/>
      <c r="H1014" s="198" t="s">
        <v>5161</v>
      </c>
      <c r="I1014" s="194"/>
      <c r="J1014" s="194"/>
      <c r="K1014" s="193" t="s">
        <v>286</v>
      </c>
      <c r="L1014" s="193" t="s">
        <v>2624</v>
      </c>
      <c r="M1014" s="193"/>
      <c r="N1014" s="193"/>
      <c r="O1014" s="193"/>
      <c r="P1014" s="193"/>
      <c r="Q1014" s="200"/>
      <c r="R1014" s="86"/>
      <c r="S1014" s="114">
        <f t="shared" ref="S1014:T1014" si="1015">A1014</f>
        <v>1014</v>
      </c>
      <c r="T1014" s="114" t="str">
        <f t="shared" si="1015"/>
        <v>مهدی قاسمی</v>
      </c>
      <c r="U1014" s="86" t="str">
        <f t="shared" si="3"/>
        <v>09900669007</v>
      </c>
      <c r="V1014" s="86" t="str">
        <f t="shared" si="4"/>
        <v>پیش‌وایی 8</v>
      </c>
      <c r="W1014" s="86"/>
      <c r="X1014" s="86"/>
    </row>
    <row r="1015">
      <c r="A1015" s="201">
        <v>1015.0</v>
      </c>
      <c r="B1015" s="202" t="s">
        <v>5162</v>
      </c>
      <c r="C1015" s="203" t="s">
        <v>5163</v>
      </c>
      <c r="D1015" s="204" t="str">
        <f>IFERROR(__xludf.DUMMYFUNCTION("ARRAYFORMULA(LET( converted, SUBSTITUTE( SUBSTITUTE( SUBSTITUTE( SUBSTITUTE( SUBSTITUTE( SUBSTITUTE( SUBSTITUTE( SUBSTITUTE( SUBSTITUTE( SUBSTITUTE( C1015, ""۰"", ""0""), ""۱"", ""1""), ""۲"", ""2""), ""۳"", ""3""), ""۴"", ""4""), ""۵"", ""5""), ""۶"", """&amp;"6""), ""۷"", ""7""), ""۸"", ""8""), ""۹"", ""9""), IF(LEFT(converted,3)=""+98"", ""0"" &amp; RIGHT(converted, LEN(converted)-3), IF(LEFT(converted,2)=""98"", ""0"" &amp; RIGHT(converted, LEN(converted)-2), IF(LEFT(converted,1)&lt;&gt;""0"", ""0"" &amp; converted, REGEXREPL"&amp;"ACE(converted , ""\s"", """")) ) ) ) )"),"09370553427")</f>
        <v>09370553427</v>
      </c>
      <c r="E1015" s="205" t="s">
        <v>17</v>
      </c>
      <c r="F1015" s="206">
        <v>8.0</v>
      </c>
      <c r="G1015" s="202"/>
      <c r="H1015" s="209" t="s">
        <v>5164</v>
      </c>
      <c r="I1015" s="203"/>
      <c r="J1015" s="203"/>
      <c r="K1015" s="202" t="s">
        <v>286</v>
      </c>
      <c r="L1015" s="202" t="s">
        <v>5165</v>
      </c>
      <c r="M1015" s="202"/>
      <c r="N1015" s="202"/>
      <c r="O1015" s="202"/>
      <c r="P1015" s="202"/>
      <c r="Q1015" s="208"/>
      <c r="R1015" s="86"/>
      <c r="S1015" s="114">
        <f t="shared" ref="S1015:T1015" si="1016">A1015</f>
        <v>1015</v>
      </c>
      <c r="T1015" s="114" t="str">
        <f t="shared" si="1016"/>
        <v>مهدی قندهاری</v>
      </c>
      <c r="U1015" s="86" t="str">
        <f t="shared" si="3"/>
        <v>09370553427</v>
      </c>
      <c r="V1015" s="86" t="str">
        <f t="shared" si="4"/>
        <v>پیش‌وایی 8</v>
      </c>
      <c r="W1015" s="86"/>
      <c r="X1015" s="86"/>
    </row>
    <row r="1016">
      <c r="A1016" s="192">
        <v>1016.0</v>
      </c>
      <c r="B1016" s="193" t="s">
        <v>5166</v>
      </c>
      <c r="C1016" s="194" t="s">
        <v>5167</v>
      </c>
      <c r="D1016" s="195" t="str">
        <f>IFERROR(__xludf.DUMMYFUNCTION("ARRAYFORMULA(LET( converted, SUBSTITUTE( SUBSTITUTE( SUBSTITUTE( SUBSTITUTE( SUBSTITUTE( SUBSTITUTE( SUBSTITUTE( SUBSTITUTE( SUBSTITUTE( SUBSTITUTE( C1016, ""۰"", ""0""), ""۱"", ""1""), ""۲"", ""2""), ""۳"", ""3""), ""۴"", ""4""), ""۵"", ""5""), ""۶"", """&amp;"6""), ""۷"", ""7""), ""۸"", ""8""), ""۹"", ""9""), IF(LEFT(converted,3)=""+98"", ""0"" &amp; RIGHT(converted, LEN(converted)-3), IF(LEFT(converted,2)=""98"", ""0"" &amp; RIGHT(converted, LEN(converted)-2), IF(LEFT(converted,1)&lt;&gt;""0"", ""0"" &amp; converted, REGEXREPL"&amp;"ACE(converted , ""\s"", """")) ) ) ) )"),"09121932731")</f>
        <v>09121932731</v>
      </c>
      <c r="E1016" s="196" t="s">
        <v>17</v>
      </c>
      <c r="F1016" s="197">
        <v>8.0</v>
      </c>
      <c r="G1016" s="193"/>
      <c r="H1016" s="198" t="s">
        <v>5168</v>
      </c>
      <c r="I1016" s="194"/>
      <c r="J1016" s="194"/>
      <c r="K1016" s="193" t="s">
        <v>286</v>
      </c>
      <c r="L1016" s="193" t="s">
        <v>1640</v>
      </c>
      <c r="M1016" s="193"/>
      <c r="N1016" s="193"/>
      <c r="O1016" s="193"/>
      <c r="P1016" s="193"/>
      <c r="Q1016" s="200"/>
      <c r="R1016" s="86"/>
      <c r="S1016" s="114">
        <f t="shared" ref="S1016:T1016" si="1017">A1016</f>
        <v>1016</v>
      </c>
      <c r="T1016" s="114" t="str">
        <f t="shared" si="1017"/>
        <v>مهدی محمودزاده</v>
      </c>
      <c r="U1016" s="86" t="str">
        <f t="shared" si="3"/>
        <v>09121932731</v>
      </c>
      <c r="V1016" s="86" t="str">
        <f t="shared" si="4"/>
        <v>پیش‌وایی 8</v>
      </c>
      <c r="W1016" s="86"/>
      <c r="X1016" s="86"/>
    </row>
    <row r="1017">
      <c r="A1017" s="201">
        <v>1017.0</v>
      </c>
      <c r="B1017" s="202" t="s">
        <v>5169</v>
      </c>
      <c r="C1017" s="203" t="s">
        <v>4201</v>
      </c>
      <c r="D1017" s="204" t="str">
        <f>IFERROR(__xludf.DUMMYFUNCTION("ARRAYFORMULA(LET( converted, SUBSTITUTE( SUBSTITUTE( SUBSTITUTE( SUBSTITUTE( SUBSTITUTE( SUBSTITUTE( SUBSTITUTE( SUBSTITUTE( SUBSTITUTE( SUBSTITUTE( C1017, ""۰"", ""0""), ""۱"", ""1""), ""۲"", ""2""), ""۳"", ""3""), ""۴"", ""4""), ""۵"", ""5""), ""۶"", """&amp;"6""), ""۷"", ""7""), ""۸"", ""8""), ""۹"", ""9""), IF(LEFT(converted,3)=""+98"", ""0"" &amp; RIGHT(converted, LEN(converted)-3), IF(LEFT(converted,2)=""98"", ""0"" &amp; RIGHT(converted, LEN(converted)-2), IF(LEFT(converted,1)&lt;&gt;""0"", ""0"" &amp; converted, REGEXREPL"&amp;"ACE(converted , ""\s"", """")) ) ) ) )"),"09122597327")</f>
        <v>09122597327</v>
      </c>
      <c r="E1017" s="205" t="s">
        <v>17</v>
      </c>
      <c r="F1017" s="206">
        <v>8.0</v>
      </c>
      <c r="G1017" s="202"/>
      <c r="H1017" s="209" t="s">
        <v>4202</v>
      </c>
      <c r="I1017" s="203"/>
      <c r="J1017" s="203"/>
      <c r="K1017" s="202" t="s">
        <v>286</v>
      </c>
      <c r="L1017" s="202" t="s">
        <v>5110</v>
      </c>
      <c r="M1017" s="202"/>
      <c r="N1017" s="202"/>
      <c r="O1017" s="202"/>
      <c r="P1017" s="202"/>
      <c r="Q1017" s="208"/>
      <c r="R1017" s="86"/>
      <c r="S1017" s="114">
        <f t="shared" ref="S1017:T1017" si="1018">A1017</f>
        <v>1017</v>
      </c>
      <c r="T1017" s="114" t="str">
        <f t="shared" si="1018"/>
        <v>مهدی نجار دیسفانی</v>
      </c>
      <c r="U1017" s="86" t="str">
        <f t="shared" si="3"/>
        <v>09122597327</v>
      </c>
      <c r="V1017" s="86" t="str">
        <f t="shared" si="4"/>
        <v>پیش‌وایی 8</v>
      </c>
      <c r="W1017" s="86"/>
      <c r="X1017" s="86"/>
    </row>
    <row r="1018">
      <c r="A1018" s="192">
        <v>1018.0</v>
      </c>
      <c r="B1018" s="199" t="s">
        <v>5170</v>
      </c>
      <c r="C1018" s="194" t="s">
        <v>5171</v>
      </c>
      <c r="D1018" s="195" t="str">
        <f>IFERROR(__xludf.DUMMYFUNCTION("ARRAYFORMULA(LET( converted, SUBSTITUTE( SUBSTITUTE( SUBSTITUTE( SUBSTITUTE( SUBSTITUTE( SUBSTITUTE( SUBSTITUTE( SUBSTITUTE( SUBSTITUTE( SUBSTITUTE( C1018, ""۰"", ""0""), ""۱"", ""1""), ""۲"", ""2""), ""۳"", ""3""), ""۴"", ""4""), ""۵"", ""5""), ""۶"", """&amp;"6""), ""۷"", ""7""), ""۸"", ""8""), ""۹"", ""9""), IF(LEFT(converted,3)=""+98"", ""0"" &amp; RIGHT(converted, LEN(converted)-3), IF(LEFT(converted,2)=""98"", ""0"" &amp; RIGHT(converted, LEN(converted)-2), IF(LEFT(converted,1)&lt;&gt;""0"", ""0"" &amp; converted, REGEXREPL"&amp;"ACE(converted , ""\s"", """")) ) ) ) )"),"09912099474")</f>
        <v>09912099474</v>
      </c>
      <c r="E1018" s="196" t="s">
        <v>17</v>
      </c>
      <c r="F1018" s="197">
        <v>8.0</v>
      </c>
      <c r="G1018" s="193"/>
      <c r="H1018" s="193" t="s">
        <v>5172</v>
      </c>
      <c r="I1018" s="194"/>
      <c r="J1018" s="194"/>
      <c r="K1018" s="193" t="s">
        <v>286</v>
      </c>
      <c r="L1018" s="193" t="s">
        <v>5173</v>
      </c>
      <c r="M1018" s="193"/>
      <c r="N1018" s="193"/>
      <c r="O1018" s="193"/>
      <c r="P1018" s="193"/>
      <c r="Q1018" s="200"/>
      <c r="R1018" s="86"/>
      <c r="S1018" s="114">
        <f t="shared" ref="S1018:T1018" si="1019">A1018</f>
        <v>1018</v>
      </c>
      <c r="T1018" s="114" t="str">
        <f t="shared" si="1019"/>
        <v>مهدی نوری مادر</v>
      </c>
      <c r="U1018" s="86" t="str">
        <f t="shared" si="3"/>
        <v>09912099474</v>
      </c>
      <c r="V1018" s="86" t="str">
        <f t="shared" si="4"/>
        <v>پیش‌وایی 8</v>
      </c>
      <c r="W1018" s="86"/>
      <c r="X1018" s="86"/>
    </row>
    <row r="1019">
      <c r="A1019" s="201">
        <v>1019.0</v>
      </c>
      <c r="B1019" s="202" t="s">
        <v>5174</v>
      </c>
      <c r="C1019" s="203" t="s">
        <v>5175</v>
      </c>
      <c r="D1019" s="204" t="str">
        <f>IFERROR(__xludf.DUMMYFUNCTION("ARRAYFORMULA(LET( converted, SUBSTITUTE( SUBSTITUTE( SUBSTITUTE( SUBSTITUTE( SUBSTITUTE( SUBSTITUTE( SUBSTITUTE( SUBSTITUTE( SUBSTITUTE( SUBSTITUTE( C1019, ""۰"", ""0""), ""۱"", ""1""), ""۲"", ""2""), ""۳"", ""3""), ""۴"", ""4""), ""۵"", ""5""), ""۶"", """&amp;"6""), ""۷"", ""7""), ""۸"", ""8""), ""۹"", ""9""), IF(LEFT(converted,3)=""+98"", ""0"" &amp; RIGHT(converted, LEN(converted)-3), IF(LEFT(converted,2)=""98"", ""0"" &amp; RIGHT(converted, LEN(converted)-2), IF(LEFT(converted,1)&lt;&gt;""0"", ""0"" &amp; converted, REGEXREPL"&amp;"ACE(converted , ""\s"", """")) ) ) ) )"),"09133861563")</f>
        <v>09133861563</v>
      </c>
      <c r="E1019" s="205" t="s">
        <v>17</v>
      </c>
      <c r="F1019" s="206">
        <v>8.0</v>
      </c>
      <c r="G1019" s="202"/>
      <c r="H1019" s="209" t="s">
        <v>5176</v>
      </c>
      <c r="I1019" s="203"/>
      <c r="J1019" s="203"/>
      <c r="K1019" s="202" t="s">
        <v>286</v>
      </c>
      <c r="L1019" s="202" t="s">
        <v>5177</v>
      </c>
      <c r="M1019" s="202"/>
      <c r="N1019" s="202"/>
      <c r="O1019" s="202"/>
      <c r="P1019" s="202"/>
      <c r="Q1019" s="208"/>
      <c r="R1019" s="86"/>
      <c r="S1019" s="114">
        <f t="shared" ref="S1019:T1019" si="1020">A1019</f>
        <v>1019</v>
      </c>
      <c r="T1019" s="114" t="str">
        <f t="shared" si="1020"/>
        <v>مهدی نیکبخت</v>
      </c>
      <c r="U1019" s="86" t="str">
        <f t="shared" si="3"/>
        <v>09133861563</v>
      </c>
      <c r="V1019" s="86" t="str">
        <f t="shared" si="4"/>
        <v>پیش‌وایی 8</v>
      </c>
      <c r="W1019" s="86"/>
      <c r="X1019" s="86"/>
    </row>
    <row r="1020">
      <c r="A1020" s="192">
        <v>1020.0</v>
      </c>
      <c r="B1020" s="193" t="s">
        <v>5178</v>
      </c>
      <c r="C1020" s="194" t="s">
        <v>5179</v>
      </c>
      <c r="D1020" s="195" t="str">
        <f>IFERROR(__xludf.DUMMYFUNCTION("ARRAYFORMULA(LET( converted, SUBSTITUTE( SUBSTITUTE( SUBSTITUTE( SUBSTITUTE( SUBSTITUTE( SUBSTITUTE( SUBSTITUTE( SUBSTITUTE( SUBSTITUTE( SUBSTITUTE( C1020, ""۰"", ""0""), ""۱"", ""1""), ""۲"", ""2""), ""۳"", ""3""), ""۴"", ""4""), ""۵"", ""5""), ""۶"", """&amp;"6""), ""۷"", ""7""), ""۸"", ""8""), ""۹"", ""9""), IF(LEFT(converted,3)=""+98"", ""0"" &amp; RIGHT(converted, LEN(converted)-3), IF(LEFT(converted,2)=""98"", ""0"" &amp; RIGHT(converted, LEN(converted)-2), IF(LEFT(converted,1)&lt;&gt;""0"", ""0"" &amp; converted, REGEXREPL"&amp;"ACE(converted , ""\s"", """")) ) ) ) )"),"09123361337")</f>
        <v>09123361337</v>
      </c>
      <c r="E1020" s="196" t="s">
        <v>17</v>
      </c>
      <c r="F1020" s="197">
        <v>8.0</v>
      </c>
      <c r="G1020" s="193"/>
      <c r="H1020" s="193"/>
      <c r="I1020" s="194"/>
      <c r="J1020" s="194"/>
      <c r="K1020" s="193" t="s">
        <v>286</v>
      </c>
      <c r="L1020" s="193" t="s">
        <v>5180</v>
      </c>
      <c r="M1020" s="193"/>
      <c r="N1020" s="193"/>
      <c r="O1020" s="193"/>
      <c r="P1020" s="193"/>
      <c r="Q1020" s="200"/>
      <c r="R1020" s="86"/>
      <c r="S1020" s="114">
        <f t="shared" ref="S1020:T1020" si="1021">A1020</f>
        <v>1020</v>
      </c>
      <c r="T1020" s="114" t="str">
        <f t="shared" si="1021"/>
        <v>مهدی مهرآور</v>
      </c>
      <c r="U1020" s="86" t="str">
        <f t="shared" si="3"/>
        <v>09123361337</v>
      </c>
      <c r="V1020" s="86" t="str">
        <f t="shared" si="4"/>
        <v>پیش‌وایی 8</v>
      </c>
      <c r="W1020" s="86"/>
      <c r="X1020" s="86"/>
    </row>
    <row r="1021">
      <c r="A1021" s="201">
        <v>1021.0</v>
      </c>
      <c r="B1021" s="202" t="s">
        <v>5181</v>
      </c>
      <c r="C1021" s="203" t="s">
        <v>5182</v>
      </c>
      <c r="D1021" s="204" t="str">
        <f>IFERROR(__xludf.DUMMYFUNCTION("ARRAYFORMULA(LET( converted, SUBSTITUTE( SUBSTITUTE( SUBSTITUTE( SUBSTITUTE( SUBSTITUTE( SUBSTITUTE( SUBSTITUTE( SUBSTITUTE( SUBSTITUTE( SUBSTITUTE( C1021, ""۰"", ""0""), ""۱"", ""1""), ""۲"", ""2""), ""۳"", ""3""), ""۴"", ""4""), ""۵"", ""5""), ""۶"", """&amp;"6""), ""۷"", ""7""), ""۸"", ""8""), ""۹"", ""9""), IF(LEFT(converted,3)=""+98"", ""0"" &amp; RIGHT(converted, LEN(converted)-3), IF(LEFT(converted,2)=""98"", ""0"" &amp; RIGHT(converted, LEN(converted)-2), IF(LEFT(converted,1)&lt;&gt;""0"", ""0"" &amp; converted, REGEXREPL"&amp;"ACE(converted , ""\s"", """")) ) ) ) )"),"09383896866")</f>
        <v>09383896866</v>
      </c>
      <c r="E1021" s="205" t="s">
        <v>17</v>
      </c>
      <c r="F1021" s="206">
        <v>8.0</v>
      </c>
      <c r="G1021" s="202"/>
      <c r="H1021" s="202" t="s">
        <v>5183</v>
      </c>
      <c r="I1021" s="203"/>
      <c r="J1021" s="203"/>
      <c r="K1021" s="202" t="s">
        <v>286</v>
      </c>
      <c r="L1021" s="202" t="s">
        <v>2451</v>
      </c>
      <c r="M1021" s="202"/>
      <c r="N1021" s="202"/>
      <c r="O1021" s="202"/>
      <c r="P1021" s="202"/>
      <c r="Q1021" s="208"/>
      <c r="R1021" s="86"/>
      <c r="S1021" s="114">
        <f t="shared" ref="S1021:T1021" si="1022">A1021</f>
        <v>1021</v>
      </c>
      <c r="T1021" s="114" t="str">
        <f t="shared" si="1022"/>
        <v>مَهدی جلالی</v>
      </c>
      <c r="U1021" s="86" t="str">
        <f t="shared" si="3"/>
        <v>09383896866</v>
      </c>
      <c r="V1021" s="86" t="str">
        <f t="shared" si="4"/>
        <v>پیش‌وایی 8</v>
      </c>
      <c r="W1021" s="86"/>
      <c r="X1021" s="86"/>
    </row>
    <row r="1022">
      <c r="A1022" s="192">
        <v>1022.0</v>
      </c>
      <c r="B1022" s="193" t="s">
        <v>5184</v>
      </c>
      <c r="C1022" s="194" t="s">
        <v>5185</v>
      </c>
      <c r="D1022" s="195" t="str">
        <f>IFERROR(__xludf.DUMMYFUNCTION("ARRAYFORMULA(LET( converted, SUBSTITUTE( SUBSTITUTE( SUBSTITUTE( SUBSTITUTE( SUBSTITUTE( SUBSTITUTE( SUBSTITUTE( SUBSTITUTE( SUBSTITUTE( SUBSTITUTE( C1022, ""۰"", ""0""), ""۱"", ""1""), ""۲"", ""2""), ""۳"", ""3""), ""۴"", ""4""), ""۵"", ""5""), ""۶"", """&amp;"6""), ""۷"", ""7""), ""۸"", ""8""), ""۹"", ""9""), IF(LEFT(converted,3)=""+98"", ""0"" &amp; RIGHT(converted, LEN(converted)-3), IF(LEFT(converted,2)=""98"", ""0"" &amp; RIGHT(converted, LEN(converted)-2), IF(LEFT(converted,1)&lt;&gt;""0"", ""0"" &amp; converted, REGEXREPL"&amp;"ACE(converted , ""\s"", """")) ) ) ) )"),"09121784378")</f>
        <v>09121784378</v>
      </c>
      <c r="E1022" s="196" t="s">
        <v>17</v>
      </c>
      <c r="F1022" s="197">
        <v>8.0</v>
      </c>
      <c r="G1022" s="193"/>
      <c r="H1022" s="193" t="s">
        <v>5186</v>
      </c>
      <c r="I1022" s="194"/>
      <c r="J1022" s="194"/>
      <c r="K1022" s="193" t="s">
        <v>2381</v>
      </c>
      <c r="L1022" s="193" t="s">
        <v>5187</v>
      </c>
      <c r="M1022" s="193"/>
      <c r="N1022" s="193"/>
      <c r="O1022" s="193"/>
      <c r="P1022" s="193"/>
      <c r="Q1022" s="200"/>
      <c r="R1022" s="86"/>
      <c r="S1022" s="114">
        <f t="shared" ref="S1022:T1022" si="1023">A1022</f>
        <v>1022</v>
      </c>
      <c r="T1022" s="114" t="str">
        <f t="shared" si="1023"/>
        <v>مهدیار کوکب زاده</v>
      </c>
      <c r="U1022" s="86" t="str">
        <f t="shared" si="3"/>
        <v>09121784378</v>
      </c>
      <c r="V1022" s="86" t="str">
        <f t="shared" si="4"/>
        <v>پیش‌وایی 8</v>
      </c>
      <c r="W1022" s="86"/>
      <c r="X1022" s="86"/>
    </row>
    <row r="1023">
      <c r="A1023" s="201">
        <v>1023.0</v>
      </c>
      <c r="B1023" s="207" t="s">
        <v>5188</v>
      </c>
      <c r="C1023" s="203" t="s">
        <v>5189</v>
      </c>
      <c r="D1023" s="204" t="str">
        <f>IFERROR(__xludf.DUMMYFUNCTION("ARRAYFORMULA(LET( converted, SUBSTITUTE( SUBSTITUTE( SUBSTITUTE( SUBSTITUTE( SUBSTITUTE( SUBSTITUTE( SUBSTITUTE( SUBSTITUTE( SUBSTITUTE( SUBSTITUTE( C1023, ""۰"", ""0""), ""۱"", ""1""), ""۲"", ""2""), ""۳"", ""3""), ""۴"", ""4""), ""۵"", ""5""), ""۶"", """&amp;"6""), ""۷"", ""7""), ""۸"", ""8""), ""۹"", ""9""), IF(LEFT(converted,3)=""+98"", ""0"" &amp; RIGHT(converted, LEN(converted)-3), IF(LEFT(converted,2)=""98"", ""0"" &amp; RIGHT(converted, LEN(converted)-2), IF(LEFT(converted,1)&lt;&gt;""0"", ""0"" &amp; converted, REGEXREPL"&amp;"ACE(converted , ""\s"", """")) ) ) ) )"),"09129450379")</f>
        <v>09129450379</v>
      </c>
      <c r="E1023" s="205" t="s">
        <v>17</v>
      </c>
      <c r="F1023" s="206">
        <v>8.0</v>
      </c>
      <c r="G1023" s="202"/>
      <c r="H1023" s="202" t="s">
        <v>5190</v>
      </c>
      <c r="I1023" s="203"/>
      <c r="J1023" s="203"/>
      <c r="K1023" s="202" t="s">
        <v>2683</v>
      </c>
      <c r="L1023" s="202" t="s">
        <v>920</v>
      </c>
      <c r="M1023" s="202"/>
      <c r="N1023" s="202"/>
      <c r="O1023" s="202"/>
      <c r="P1023" s="202"/>
      <c r="Q1023" s="208"/>
      <c r="R1023" s="86"/>
      <c r="S1023" s="114">
        <f t="shared" ref="S1023:T1023" si="1024">A1023</f>
        <v>1023</v>
      </c>
      <c r="T1023" s="114" t="str">
        <f t="shared" si="1024"/>
        <v>مهدیه سلیمانی</v>
      </c>
      <c r="U1023" s="86" t="str">
        <f t="shared" si="3"/>
        <v>09129450379</v>
      </c>
      <c r="V1023" s="86" t="str">
        <f t="shared" si="4"/>
        <v>پیش‌وایی 8</v>
      </c>
      <c r="W1023" s="86"/>
      <c r="X1023" s="86"/>
    </row>
    <row r="1024">
      <c r="A1024" s="192">
        <v>1024.0</v>
      </c>
      <c r="B1024" s="193" t="s">
        <v>73</v>
      </c>
      <c r="C1024" s="194"/>
      <c r="D1024" s="195" t="str">
        <f>IFERROR(__xludf.DUMMYFUNCTION("ARRAYFORMULA(LET( converted, SUBSTITUTE( SUBSTITUTE( SUBSTITUTE( SUBSTITUTE( SUBSTITUTE( SUBSTITUTE( SUBSTITUTE( SUBSTITUTE( SUBSTITUTE( SUBSTITUTE( C1024, ""۰"", ""0""), ""۱"", ""1""), ""۲"", ""2""), ""۳"", ""3""), ""۴"", ""4""), ""۵"", ""5""), ""۶"", """&amp;"6""), ""۷"", ""7""), ""۸"", ""8""), ""۹"", ""9""), IF(LEFT(converted,3)=""+98"", ""0"" &amp; RIGHT(converted, LEN(converted)-3), IF(LEFT(converted,2)=""98"", ""0"" &amp; RIGHT(converted, LEN(converted)-2), IF(LEFT(converted,1)&lt;&gt;""0"", ""0"" &amp; converted, REGEXREPL"&amp;"ACE(converted , ""\s"", """")) ) ) ) )"),"0")</f>
        <v>0</v>
      </c>
      <c r="E1024" s="196" t="s">
        <v>17</v>
      </c>
      <c r="F1024" s="197">
        <v>8.0</v>
      </c>
      <c r="G1024" s="193"/>
      <c r="H1024" s="198" t="s">
        <v>5191</v>
      </c>
      <c r="I1024" s="194"/>
      <c r="J1024" s="194"/>
      <c r="K1024" s="193" t="s">
        <v>185</v>
      </c>
      <c r="L1024" s="193" t="s">
        <v>289</v>
      </c>
      <c r="M1024" s="193"/>
      <c r="N1024" s="193"/>
      <c r="O1024" s="193"/>
      <c r="P1024" s="193"/>
      <c r="Q1024" s="200"/>
      <c r="R1024" s="86"/>
      <c r="S1024" s="114">
        <f t="shared" ref="S1024:T1024" si="1025">A1024</f>
        <v>1024</v>
      </c>
      <c r="T1024" s="114" t="str">
        <f t="shared" si="1025"/>
        <v>مهران میکائیلی</v>
      </c>
      <c r="U1024" s="86" t="str">
        <f t="shared" si="3"/>
        <v>0</v>
      </c>
      <c r="V1024" s="86" t="str">
        <f t="shared" si="4"/>
        <v>پیش‌وایی 8</v>
      </c>
      <c r="W1024" s="86"/>
      <c r="X1024" s="86"/>
    </row>
    <row r="1025">
      <c r="A1025" s="201">
        <v>1025.0</v>
      </c>
      <c r="B1025" s="202" t="s">
        <v>5192</v>
      </c>
      <c r="C1025" s="203" t="s">
        <v>5193</v>
      </c>
      <c r="D1025" s="204" t="str">
        <f>IFERROR(__xludf.DUMMYFUNCTION("ARRAYFORMULA(LET( converted, SUBSTITUTE( SUBSTITUTE( SUBSTITUTE( SUBSTITUTE( SUBSTITUTE( SUBSTITUTE( SUBSTITUTE( SUBSTITUTE( SUBSTITUTE( SUBSTITUTE( C1025, ""۰"", ""0""), ""۱"", ""1""), ""۲"", ""2""), ""۳"", ""3""), ""۴"", ""4""), ""۵"", ""5""), ""۶"", """&amp;"6""), ""۷"", ""7""), ""۸"", ""8""), ""۹"", ""9""), IF(LEFT(converted,3)=""+98"", ""0"" &amp; RIGHT(converted, LEN(converted)-3), IF(LEFT(converted,2)=""98"", ""0"" &amp; RIGHT(converted, LEN(converted)-2), IF(LEFT(converted,1)&lt;&gt;""0"", ""0"" &amp; converted, REGEXREPL"&amp;"ACE(converted , ""\s"", """")) ) ) ) )"),"09126935259")</f>
        <v>09126935259</v>
      </c>
      <c r="E1025" s="205" t="s">
        <v>17</v>
      </c>
      <c r="F1025" s="206">
        <v>8.0</v>
      </c>
      <c r="G1025" s="202"/>
      <c r="H1025" s="202" t="s">
        <v>5194</v>
      </c>
      <c r="I1025" s="203"/>
      <c r="J1025" s="203"/>
      <c r="K1025" s="202" t="s">
        <v>1504</v>
      </c>
      <c r="L1025" s="202" t="s">
        <v>5195</v>
      </c>
      <c r="M1025" s="202"/>
      <c r="N1025" s="202"/>
      <c r="O1025" s="202"/>
      <c r="P1025" s="202"/>
      <c r="Q1025" s="208"/>
      <c r="R1025" s="86"/>
      <c r="S1025" s="114">
        <f t="shared" ref="S1025:T1025" si="1026">A1025</f>
        <v>1025</v>
      </c>
      <c r="T1025" s="114" t="str">
        <f t="shared" si="1026"/>
        <v>مهسا جزایری</v>
      </c>
      <c r="U1025" s="86" t="str">
        <f t="shared" si="3"/>
        <v>09126935259</v>
      </c>
      <c r="V1025" s="86" t="str">
        <f t="shared" si="4"/>
        <v>پیش‌وایی 8</v>
      </c>
      <c r="W1025" s="86"/>
      <c r="X1025" s="86"/>
    </row>
    <row r="1026">
      <c r="A1026" s="192">
        <v>1026.0</v>
      </c>
      <c r="B1026" s="193" t="s">
        <v>5196</v>
      </c>
      <c r="C1026" s="194" t="s">
        <v>5197</v>
      </c>
      <c r="D1026" s="195" t="str">
        <f>IFERROR(__xludf.DUMMYFUNCTION("ARRAYFORMULA(LET( converted, SUBSTITUTE( SUBSTITUTE( SUBSTITUTE( SUBSTITUTE( SUBSTITUTE( SUBSTITUTE( SUBSTITUTE( SUBSTITUTE( SUBSTITUTE( SUBSTITUTE( C1026, ""۰"", ""0""), ""۱"", ""1""), ""۲"", ""2""), ""۳"", ""3""), ""۴"", ""4""), ""۵"", ""5""), ""۶"", """&amp;"6""), ""۷"", ""7""), ""۸"", ""8""), ""۹"", ""9""), IF(LEFT(converted,3)=""+98"", ""0"" &amp; RIGHT(converted, LEN(converted)-3), IF(LEFT(converted,2)=""98"", ""0"" &amp; RIGHT(converted, LEN(converted)-2), IF(LEFT(converted,1)&lt;&gt;""0"", ""0"" &amp; converted, REGEXREPL"&amp;"ACE(converted , ""\s"", """")) ) ) ) )"),"09127791557")</f>
        <v>09127791557</v>
      </c>
      <c r="E1026" s="196" t="s">
        <v>17</v>
      </c>
      <c r="F1026" s="197">
        <v>8.0</v>
      </c>
      <c r="G1026" s="193"/>
      <c r="H1026" s="198" t="s">
        <v>5198</v>
      </c>
      <c r="I1026" s="194"/>
      <c r="J1026" s="194"/>
      <c r="K1026" s="193" t="s">
        <v>1183</v>
      </c>
      <c r="L1026" s="193" t="s">
        <v>5199</v>
      </c>
      <c r="M1026" s="193"/>
      <c r="N1026" s="193"/>
      <c r="O1026" s="193"/>
      <c r="P1026" s="193"/>
      <c r="Q1026" s="200"/>
      <c r="R1026" s="86"/>
      <c r="S1026" s="114">
        <f t="shared" ref="S1026:T1026" si="1027">A1026</f>
        <v>1026</v>
      </c>
      <c r="T1026" s="114" t="str">
        <f t="shared" si="1027"/>
        <v>مهشید قراگوزلو</v>
      </c>
      <c r="U1026" s="86" t="str">
        <f t="shared" si="3"/>
        <v>09127791557</v>
      </c>
      <c r="V1026" s="86" t="str">
        <f t="shared" si="4"/>
        <v>پیش‌وایی 8</v>
      </c>
      <c r="W1026" s="86"/>
      <c r="X1026" s="86"/>
    </row>
    <row r="1027">
      <c r="A1027" s="201">
        <v>1027.0</v>
      </c>
      <c r="B1027" s="202" t="s">
        <v>5200</v>
      </c>
      <c r="C1027" s="203" t="s">
        <v>5201</v>
      </c>
      <c r="D1027" s="204" t="str">
        <f>IFERROR(__xludf.DUMMYFUNCTION("ARRAYFORMULA(LET( converted, SUBSTITUTE( SUBSTITUTE( SUBSTITUTE( SUBSTITUTE( SUBSTITUTE( SUBSTITUTE( SUBSTITUTE( SUBSTITUTE( SUBSTITUTE( SUBSTITUTE( C1027, ""۰"", ""0""), ""۱"", ""1""), ""۲"", ""2""), ""۳"", ""3""), ""۴"", ""4""), ""۵"", ""5""), ""۶"", """&amp;"6""), ""۷"", ""7""), ""۸"", ""8""), ""۹"", ""9""), IF(LEFT(converted,3)=""+98"", ""0"" &amp; RIGHT(converted, LEN(converted)-3), IF(LEFT(converted,2)=""98"", ""0"" &amp; RIGHT(converted, LEN(converted)-2), IF(LEFT(converted,1)&lt;&gt;""0"", ""0"" &amp; converted, REGEXREPL"&amp;"ACE(converted , ""\s"", """")) ) ) ) )"),"09300642799")</f>
        <v>09300642799</v>
      </c>
      <c r="E1027" s="205" t="s">
        <v>17</v>
      </c>
      <c r="F1027" s="206">
        <v>8.0</v>
      </c>
      <c r="G1027" s="202"/>
      <c r="H1027" s="202" t="s">
        <v>5202</v>
      </c>
      <c r="I1027" s="203"/>
      <c r="J1027" s="203"/>
      <c r="K1027" s="202" t="s">
        <v>1262</v>
      </c>
      <c r="L1027" s="202" t="s">
        <v>248</v>
      </c>
      <c r="M1027" s="202"/>
      <c r="N1027" s="202"/>
      <c r="O1027" s="202"/>
      <c r="P1027" s="202"/>
      <c r="Q1027" s="208"/>
      <c r="R1027" s="86"/>
      <c r="S1027" s="114">
        <f t="shared" ref="S1027:T1027" si="1028">A1027</f>
        <v>1027</v>
      </c>
      <c r="T1027" s="114" t="str">
        <f t="shared" si="1028"/>
        <v>میترا صفری</v>
      </c>
      <c r="U1027" s="86" t="str">
        <f t="shared" si="3"/>
        <v>09300642799</v>
      </c>
      <c r="V1027" s="86" t="str">
        <f t="shared" si="4"/>
        <v>پیش‌وایی 8</v>
      </c>
      <c r="W1027" s="86"/>
      <c r="X1027" s="86"/>
    </row>
    <row r="1028">
      <c r="A1028" s="192">
        <v>1028.0</v>
      </c>
      <c r="B1028" s="193" t="s">
        <v>5203</v>
      </c>
      <c r="C1028" s="194" t="s">
        <v>5204</v>
      </c>
      <c r="D1028" s="195" t="str">
        <f>IFERROR(__xludf.DUMMYFUNCTION("ARRAYFORMULA(LET( converted, SUBSTITUTE( SUBSTITUTE( SUBSTITUTE( SUBSTITUTE( SUBSTITUTE( SUBSTITUTE( SUBSTITUTE( SUBSTITUTE( SUBSTITUTE( SUBSTITUTE( C1028, ""۰"", ""0""), ""۱"", ""1""), ""۲"", ""2""), ""۳"", ""3""), ""۴"", ""4""), ""۵"", ""5""), ""۶"", """&amp;"6""), ""۷"", ""7""), ""۸"", ""8""), ""۹"", ""9""), IF(LEFT(converted,3)=""+98"", ""0"" &amp; RIGHT(converted, LEN(converted)-3), IF(LEFT(converted,2)=""98"", ""0"" &amp; RIGHT(converted, LEN(converted)-2), IF(LEFT(converted,1)&lt;&gt;""0"", ""0"" &amp; converted, REGEXREPL"&amp;"ACE(converted , ""\s"", """")) ) ) ) )"),"09125753858")</f>
        <v>09125753858</v>
      </c>
      <c r="E1028" s="196" t="s">
        <v>17</v>
      </c>
      <c r="F1028" s="197">
        <v>8.0</v>
      </c>
      <c r="G1028" s="193"/>
      <c r="H1028" s="193" t="s">
        <v>5205</v>
      </c>
      <c r="I1028" s="194"/>
      <c r="J1028" s="194"/>
      <c r="K1028" s="193" t="s">
        <v>1167</v>
      </c>
      <c r="L1028" s="193" t="s">
        <v>5206</v>
      </c>
      <c r="M1028" s="193"/>
      <c r="N1028" s="193"/>
      <c r="O1028" s="193"/>
      <c r="P1028" s="193"/>
      <c r="Q1028" s="200"/>
      <c r="R1028" s="86"/>
      <c r="S1028" s="114">
        <f t="shared" ref="S1028:T1028" si="1029">A1028</f>
        <v>1028</v>
      </c>
      <c r="T1028" s="114" t="str">
        <f t="shared" si="1029"/>
        <v>میثم امینی بیات</v>
      </c>
      <c r="U1028" s="86" t="str">
        <f t="shared" si="3"/>
        <v>09125753858</v>
      </c>
      <c r="V1028" s="86" t="str">
        <f t="shared" si="4"/>
        <v>پیش‌وایی 8</v>
      </c>
      <c r="W1028" s="86"/>
      <c r="X1028" s="86"/>
    </row>
    <row r="1029">
      <c r="A1029" s="201">
        <v>1029.0</v>
      </c>
      <c r="B1029" s="202" t="s">
        <v>5207</v>
      </c>
      <c r="C1029" s="203" t="s">
        <v>5208</v>
      </c>
      <c r="D1029" s="204" t="str">
        <f>IFERROR(__xludf.DUMMYFUNCTION("ARRAYFORMULA(LET( converted, SUBSTITUTE( SUBSTITUTE( SUBSTITUTE( SUBSTITUTE( SUBSTITUTE( SUBSTITUTE( SUBSTITUTE( SUBSTITUTE( SUBSTITUTE( SUBSTITUTE( C1029, ""۰"", ""0""), ""۱"", ""1""), ""۲"", ""2""), ""۳"", ""3""), ""۴"", ""4""), ""۵"", ""5""), ""۶"", """&amp;"6""), ""۷"", ""7""), ""۸"", ""8""), ""۹"", ""9""), IF(LEFT(converted,3)=""+98"", ""0"" &amp; RIGHT(converted, LEN(converted)-3), IF(LEFT(converted,2)=""98"", ""0"" &amp; RIGHT(converted, LEN(converted)-2), IF(LEFT(converted,1)&lt;&gt;""0"", ""0"" &amp; converted, REGEXREPL"&amp;"ACE(converted , ""\s"", """")) ) ) ) )"),"09122046977")</f>
        <v>09122046977</v>
      </c>
      <c r="E1029" s="205" t="s">
        <v>17</v>
      </c>
      <c r="F1029" s="206">
        <v>8.0</v>
      </c>
      <c r="G1029" s="202"/>
      <c r="H1029" s="209" t="s">
        <v>5209</v>
      </c>
      <c r="I1029" s="203"/>
      <c r="J1029" s="203"/>
      <c r="K1029" s="202" t="s">
        <v>5210</v>
      </c>
      <c r="L1029" s="202" t="s">
        <v>5211</v>
      </c>
      <c r="M1029" s="202"/>
      <c r="N1029" s="202"/>
      <c r="O1029" s="202"/>
      <c r="P1029" s="202"/>
      <c r="Q1029" s="208"/>
      <c r="R1029" s="86"/>
      <c r="S1029" s="114">
        <f t="shared" ref="S1029:T1029" si="1030">A1029</f>
        <v>1029</v>
      </c>
      <c r="T1029" s="114" t="str">
        <f t="shared" si="1030"/>
        <v>میرعماد قریشی</v>
      </c>
      <c r="U1029" s="86" t="str">
        <f t="shared" si="3"/>
        <v>09122046977</v>
      </c>
      <c r="V1029" s="86" t="str">
        <f t="shared" si="4"/>
        <v>پیش‌وایی 8</v>
      </c>
      <c r="W1029" s="86"/>
      <c r="X1029" s="86"/>
    </row>
    <row r="1030">
      <c r="A1030" s="192">
        <v>1030.0</v>
      </c>
      <c r="B1030" s="193" t="s">
        <v>5212</v>
      </c>
      <c r="C1030" s="194" t="s">
        <v>5213</v>
      </c>
      <c r="D1030" s="195" t="str">
        <f>IFERROR(__xludf.DUMMYFUNCTION("ARRAYFORMULA(LET( converted, SUBSTITUTE( SUBSTITUTE( SUBSTITUTE( SUBSTITUTE( SUBSTITUTE( SUBSTITUTE( SUBSTITUTE( SUBSTITUTE( SUBSTITUTE( SUBSTITUTE( C1030, ""۰"", ""0""), ""۱"", ""1""), ""۲"", ""2""), ""۳"", ""3""), ""۴"", ""4""), ""۵"", ""5""), ""۶"", """&amp;"6""), ""۷"", ""7""), ""۸"", ""8""), ""۹"", ""9""), IF(LEFT(converted,3)=""+98"", ""0"" &amp; RIGHT(converted, LEN(converted)-3), IF(LEFT(converted,2)=""98"", ""0"" &amp; RIGHT(converted, LEN(converted)-2), IF(LEFT(converted,1)&lt;&gt;""0"", ""0"" &amp; converted, REGEXREPL"&amp;"ACE(converted , ""\s"", """")) ) ) ) )"),"09903487973")</f>
        <v>09903487973</v>
      </c>
      <c r="E1030" s="196" t="s">
        <v>17</v>
      </c>
      <c r="F1030" s="197">
        <v>8.0</v>
      </c>
      <c r="G1030" s="193"/>
      <c r="H1030" s="193" t="s">
        <v>5214</v>
      </c>
      <c r="I1030" s="194"/>
      <c r="J1030" s="194"/>
      <c r="K1030" s="193" t="s">
        <v>1445</v>
      </c>
      <c r="L1030" s="193" t="s">
        <v>904</v>
      </c>
      <c r="M1030" s="193"/>
      <c r="N1030" s="193"/>
      <c r="O1030" s="193"/>
      <c r="P1030" s="193"/>
      <c r="Q1030" s="200"/>
      <c r="R1030" s="86"/>
      <c r="S1030" s="114">
        <f t="shared" ref="S1030:T1030" si="1031">A1030</f>
        <v>1030</v>
      </c>
      <c r="T1030" s="114" t="str">
        <f t="shared" si="1031"/>
        <v>مینا ابراهیمی</v>
      </c>
      <c r="U1030" s="86" t="str">
        <f t="shared" si="3"/>
        <v>09903487973</v>
      </c>
      <c r="V1030" s="86" t="str">
        <f t="shared" si="4"/>
        <v>پیش‌وایی 8</v>
      </c>
      <c r="W1030" s="86"/>
      <c r="X1030" s="86"/>
    </row>
    <row r="1031">
      <c r="A1031" s="201">
        <v>1031.0</v>
      </c>
      <c r="B1031" s="202" t="s">
        <v>5215</v>
      </c>
      <c r="C1031" s="203" t="s">
        <v>5216</v>
      </c>
      <c r="D1031" s="204" t="str">
        <f>IFERROR(__xludf.DUMMYFUNCTION("ARRAYFORMULA(LET( converted, SUBSTITUTE( SUBSTITUTE( SUBSTITUTE( SUBSTITUTE( SUBSTITUTE( SUBSTITUTE( SUBSTITUTE( SUBSTITUTE( SUBSTITUTE( SUBSTITUTE( C1031, ""۰"", ""0""), ""۱"", ""1""), ""۲"", ""2""), ""۳"", ""3""), ""۴"", ""4""), ""۵"", ""5""), ""۶"", """&amp;"6""), ""۷"", ""7""), ""۸"", ""8""), ""۹"", ""9""), IF(LEFT(converted,3)=""+98"", ""0"" &amp; RIGHT(converted, LEN(converted)-3), IF(LEFT(converted,2)=""98"", ""0"" &amp; RIGHT(converted, LEN(converted)-2), IF(LEFT(converted,1)&lt;&gt;""0"", ""0"" &amp; converted, REGEXREPL"&amp;"ACE(converted , ""\s"", """")) ) ) ) )"),"09383013455")</f>
        <v>09383013455</v>
      </c>
      <c r="E1031" s="205" t="s">
        <v>17</v>
      </c>
      <c r="F1031" s="206">
        <v>8.0</v>
      </c>
      <c r="G1031" s="202"/>
      <c r="H1031" s="202" t="s">
        <v>5217</v>
      </c>
      <c r="I1031" s="203"/>
      <c r="J1031" s="203"/>
      <c r="K1031" s="202" t="s">
        <v>1445</v>
      </c>
      <c r="L1031" s="202" t="s">
        <v>1320</v>
      </c>
      <c r="M1031" s="202"/>
      <c r="N1031" s="202"/>
      <c r="O1031" s="202"/>
      <c r="P1031" s="202"/>
      <c r="Q1031" s="208"/>
      <c r="R1031" s="86"/>
      <c r="S1031" s="114">
        <f t="shared" ref="S1031:T1031" si="1032">A1031</f>
        <v>1031</v>
      </c>
      <c r="T1031" s="114" t="str">
        <f t="shared" si="1032"/>
        <v>مینا کامران</v>
      </c>
      <c r="U1031" s="86" t="str">
        <f t="shared" si="3"/>
        <v>09383013455</v>
      </c>
      <c r="V1031" s="86" t="str">
        <f t="shared" si="4"/>
        <v>پیش‌وایی 8</v>
      </c>
      <c r="W1031" s="86"/>
      <c r="X1031" s="86"/>
    </row>
    <row r="1032">
      <c r="A1032" s="192">
        <v>1032.0</v>
      </c>
      <c r="B1032" s="193" t="s">
        <v>5218</v>
      </c>
      <c r="C1032" s="194" t="s">
        <v>5219</v>
      </c>
      <c r="D1032" s="195" t="str">
        <f>IFERROR(__xludf.DUMMYFUNCTION("ARRAYFORMULA(LET( converted, SUBSTITUTE( SUBSTITUTE( SUBSTITUTE( SUBSTITUTE( SUBSTITUTE( SUBSTITUTE( SUBSTITUTE( SUBSTITUTE( SUBSTITUTE( SUBSTITUTE( C1032, ""۰"", ""0""), ""۱"", ""1""), ""۲"", ""2""), ""۳"", ""3""), ""۴"", ""4""), ""۵"", ""5""), ""۶"", """&amp;"6""), ""۷"", ""7""), ""۸"", ""8""), ""۹"", ""9""), IF(LEFT(converted,3)=""+98"", ""0"" &amp; RIGHT(converted, LEN(converted)-3), IF(LEFT(converted,2)=""98"", ""0"" &amp; RIGHT(converted, LEN(converted)-2), IF(LEFT(converted,1)&lt;&gt;""0"", ""0"" &amp; converted, REGEXREPL"&amp;"ACE(converted , ""\s"", """")) ) ) ) )"),"09125664358")</f>
        <v>09125664358</v>
      </c>
      <c r="E1032" s="196" t="s">
        <v>17</v>
      </c>
      <c r="F1032" s="197">
        <v>8.0</v>
      </c>
      <c r="G1032" s="193"/>
      <c r="H1032" s="193" t="s">
        <v>5220</v>
      </c>
      <c r="I1032" s="194"/>
      <c r="J1032" s="194"/>
      <c r="K1032" s="193" t="s">
        <v>766</v>
      </c>
      <c r="L1032" s="193" t="s">
        <v>5221</v>
      </c>
      <c r="M1032" s="193"/>
      <c r="N1032" s="193"/>
      <c r="O1032" s="193"/>
      <c r="P1032" s="193"/>
      <c r="Q1032" s="200"/>
      <c r="R1032" s="86"/>
      <c r="S1032" s="114">
        <f t="shared" ref="S1032:T1032" si="1033">A1032</f>
        <v>1032</v>
      </c>
      <c r="T1032" s="114" t="str">
        <f t="shared" si="1033"/>
        <v>ندا فتوحی</v>
      </c>
      <c r="U1032" s="86" t="str">
        <f t="shared" si="3"/>
        <v>09125664358</v>
      </c>
      <c r="V1032" s="86" t="str">
        <f t="shared" si="4"/>
        <v>پیش‌وایی 8</v>
      </c>
      <c r="W1032" s="86"/>
      <c r="X1032" s="86"/>
    </row>
    <row r="1033">
      <c r="A1033" s="201">
        <v>1033.0</v>
      </c>
      <c r="B1033" s="202" t="s">
        <v>5222</v>
      </c>
      <c r="C1033" s="203" t="s">
        <v>5223</v>
      </c>
      <c r="D1033" s="204" t="str">
        <f>IFERROR(__xludf.DUMMYFUNCTION("ARRAYFORMULA(LET( converted, SUBSTITUTE( SUBSTITUTE( SUBSTITUTE( SUBSTITUTE( SUBSTITUTE( SUBSTITUTE( SUBSTITUTE( SUBSTITUTE( SUBSTITUTE( SUBSTITUTE( C1033, ""۰"", ""0""), ""۱"", ""1""), ""۲"", ""2""), ""۳"", ""3""), ""۴"", ""4""), ""۵"", ""5""), ""۶"", """&amp;"6""), ""۷"", ""7""), ""۸"", ""8""), ""۹"", ""9""), IF(LEFT(converted,3)=""+98"", ""0"" &amp; RIGHT(converted, LEN(converted)-3), IF(LEFT(converted,2)=""98"", ""0"" &amp; RIGHT(converted, LEN(converted)-2), IF(LEFT(converted,1)&lt;&gt;""0"", ""0"" &amp; converted, REGEXREPL"&amp;"ACE(converted , ""\s"", """")) ) ) ) )"),"09128707565")</f>
        <v>09128707565</v>
      </c>
      <c r="E1033" s="205" t="s">
        <v>17</v>
      </c>
      <c r="F1033" s="206">
        <v>8.0</v>
      </c>
      <c r="G1033" s="202"/>
      <c r="H1033" s="202" t="s">
        <v>5224</v>
      </c>
      <c r="I1033" s="203"/>
      <c r="J1033" s="203"/>
      <c r="K1033" s="202" t="s">
        <v>5225</v>
      </c>
      <c r="L1033" s="202" t="s">
        <v>2485</v>
      </c>
      <c r="M1033" s="202"/>
      <c r="N1033" s="202"/>
      <c r="O1033" s="202"/>
      <c r="P1033" s="202"/>
      <c r="Q1033" s="208"/>
      <c r="R1033" s="86"/>
      <c r="S1033" s="114">
        <f t="shared" ref="S1033:T1033" si="1034">A1033</f>
        <v>1033</v>
      </c>
      <c r="T1033" s="114" t="str">
        <f t="shared" si="1034"/>
        <v>نغمه اسماعیلی</v>
      </c>
      <c r="U1033" s="86" t="str">
        <f t="shared" si="3"/>
        <v>09128707565</v>
      </c>
      <c r="V1033" s="86" t="str">
        <f t="shared" si="4"/>
        <v>پیش‌وایی 8</v>
      </c>
      <c r="W1033" s="86"/>
      <c r="X1033" s="86"/>
    </row>
    <row r="1034">
      <c r="A1034" s="192">
        <v>1034.0</v>
      </c>
      <c r="B1034" s="193" t="s">
        <v>5226</v>
      </c>
      <c r="C1034" s="194" t="s">
        <v>5227</v>
      </c>
      <c r="D1034" s="195" t="str">
        <f>IFERROR(__xludf.DUMMYFUNCTION("ARRAYFORMULA(LET( converted, SUBSTITUTE( SUBSTITUTE( SUBSTITUTE( SUBSTITUTE( SUBSTITUTE( SUBSTITUTE( SUBSTITUTE( SUBSTITUTE( SUBSTITUTE( SUBSTITUTE( C1034, ""۰"", ""0""), ""۱"", ""1""), ""۲"", ""2""), ""۳"", ""3""), ""۴"", ""4""), ""۵"", ""5""), ""۶"", """&amp;"6""), ""۷"", ""7""), ""۸"", ""8""), ""۹"", ""9""), IF(LEFT(converted,3)=""+98"", ""0"" &amp; RIGHT(converted, LEN(converted)-3), IF(LEFT(converted,2)=""98"", ""0"" &amp; RIGHT(converted, LEN(converted)-2), IF(LEFT(converted,1)&lt;&gt;""0"", ""0"" &amp; converted, REGEXREPL"&amp;"ACE(converted , ""\s"", """")) ) ) ) )"),"09123548444")</f>
        <v>09123548444</v>
      </c>
      <c r="E1034" s="196" t="s">
        <v>17</v>
      </c>
      <c r="F1034" s="197">
        <v>8.0</v>
      </c>
      <c r="G1034" s="193"/>
      <c r="H1034" s="193"/>
      <c r="I1034" s="194"/>
      <c r="J1034" s="194"/>
      <c r="K1034" s="193" t="s">
        <v>5225</v>
      </c>
      <c r="L1034" s="193" t="s">
        <v>2307</v>
      </c>
      <c r="M1034" s="193"/>
      <c r="N1034" s="193"/>
      <c r="O1034" s="193"/>
      <c r="P1034" s="193"/>
      <c r="Q1034" s="200"/>
      <c r="R1034" s="86"/>
      <c r="S1034" s="114">
        <f t="shared" ref="S1034:T1034" si="1035">A1034</f>
        <v>1034</v>
      </c>
      <c r="T1034" s="114" t="str">
        <f t="shared" si="1035"/>
        <v>نغمه رستگار</v>
      </c>
      <c r="U1034" s="86" t="str">
        <f t="shared" si="3"/>
        <v>09123548444</v>
      </c>
      <c r="V1034" s="86" t="str">
        <f t="shared" si="4"/>
        <v>پیش‌وایی 8</v>
      </c>
      <c r="W1034" s="86"/>
      <c r="X1034" s="86"/>
    </row>
    <row r="1035">
      <c r="A1035" s="201">
        <v>1035.0</v>
      </c>
      <c r="B1035" s="207" t="s">
        <v>5228</v>
      </c>
      <c r="C1035" s="203" t="s">
        <v>5229</v>
      </c>
      <c r="D1035" s="204" t="str">
        <f>IFERROR(__xludf.DUMMYFUNCTION("ARRAYFORMULA(LET( converted, SUBSTITUTE( SUBSTITUTE( SUBSTITUTE( SUBSTITUTE( SUBSTITUTE( SUBSTITUTE( SUBSTITUTE( SUBSTITUTE( SUBSTITUTE( SUBSTITUTE( C1035, ""۰"", ""0""), ""۱"", ""1""), ""۲"", ""2""), ""۳"", ""3""), ""۴"", ""4""), ""۵"", ""5""), ""۶"", """&amp;"6""), ""۷"", ""7""), ""۸"", ""8""), ""۹"", ""9""), IF(LEFT(converted,3)=""+98"", ""0"" &amp; RIGHT(converted, LEN(converted)-3), IF(LEFT(converted,2)=""98"", ""0"" &amp; RIGHT(converted, LEN(converted)-2), IF(LEFT(converted,1)&lt;&gt;""0"", ""0"" &amp; converted, REGEXREPL"&amp;"ACE(converted , ""\s"", """")) ) ) ) )"),"09121877708")</f>
        <v>09121877708</v>
      </c>
      <c r="E1035" s="205" t="s">
        <v>17</v>
      </c>
      <c r="F1035" s="206">
        <v>8.0</v>
      </c>
      <c r="G1035" s="202"/>
      <c r="H1035" s="202" t="s">
        <v>5230</v>
      </c>
      <c r="I1035" s="203"/>
      <c r="J1035" s="203"/>
      <c r="K1035" s="202" t="s">
        <v>3592</v>
      </c>
      <c r="L1035" s="202" t="s">
        <v>4476</v>
      </c>
      <c r="M1035" s="202"/>
      <c r="N1035" s="202"/>
      <c r="O1035" s="202"/>
      <c r="P1035" s="202"/>
      <c r="Q1035" s="208"/>
      <c r="R1035" s="86"/>
      <c r="S1035" s="114">
        <f t="shared" ref="S1035:T1035" si="1036">A1035</f>
        <v>1035</v>
      </c>
      <c r="T1035" s="114" t="str">
        <f t="shared" si="1036"/>
        <v>نوید حمیدی منش</v>
      </c>
      <c r="U1035" s="86" t="str">
        <f t="shared" si="3"/>
        <v>09121877708</v>
      </c>
      <c r="V1035" s="86" t="str">
        <f t="shared" si="4"/>
        <v>پیش‌وایی 8</v>
      </c>
      <c r="W1035" s="86"/>
      <c r="X1035" s="86"/>
    </row>
    <row r="1036">
      <c r="A1036" s="192">
        <v>1036.0</v>
      </c>
      <c r="B1036" s="193" t="s">
        <v>5231</v>
      </c>
      <c r="C1036" s="194" t="s">
        <v>5232</v>
      </c>
      <c r="D1036" s="195" t="str">
        <f>IFERROR(__xludf.DUMMYFUNCTION("ARRAYFORMULA(LET( converted, SUBSTITUTE( SUBSTITUTE( SUBSTITUTE( SUBSTITUTE( SUBSTITUTE( SUBSTITUTE( SUBSTITUTE( SUBSTITUTE( SUBSTITUTE( SUBSTITUTE( C1036, ""۰"", ""0""), ""۱"", ""1""), ""۲"", ""2""), ""۳"", ""3""), ""۴"", ""4""), ""۵"", ""5""), ""۶"", """&amp;"6""), ""۷"", ""7""), ""۸"", ""8""), ""۹"", ""9""), IF(LEFT(converted,3)=""+98"", ""0"" &amp; RIGHT(converted, LEN(converted)-3), IF(LEFT(converted,2)=""98"", ""0"" &amp; RIGHT(converted, LEN(converted)-2), IF(LEFT(converted,1)&lt;&gt;""0"", ""0"" &amp; converted, REGEXREPL"&amp;"ACE(converted , ""\s"", """")) ) ) ) )"),"09124905486")</f>
        <v>09124905486</v>
      </c>
      <c r="E1036" s="196" t="s">
        <v>17</v>
      </c>
      <c r="F1036" s="197">
        <v>8.0</v>
      </c>
      <c r="G1036" s="193"/>
      <c r="H1036" s="193" t="s">
        <v>5233</v>
      </c>
      <c r="I1036" s="194"/>
      <c r="J1036" s="194"/>
      <c r="K1036" s="193" t="s">
        <v>804</v>
      </c>
      <c r="L1036" s="193" t="s">
        <v>5234</v>
      </c>
      <c r="M1036" s="193"/>
      <c r="N1036" s="193"/>
      <c r="O1036" s="193"/>
      <c r="P1036" s="193"/>
      <c r="Q1036" s="200"/>
      <c r="R1036" s="86"/>
      <c r="S1036" s="114">
        <f t="shared" ref="S1036:T1036" si="1037">A1036</f>
        <v>1036</v>
      </c>
      <c r="T1036" s="114" t="str">
        <f t="shared" si="1037"/>
        <v>نیلوفر هندیجانی</v>
      </c>
      <c r="U1036" s="86" t="str">
        <f t="shared" si="3"/>
        <v>09124905486</v>
      </c>
      <c r="V1036" s="86" t="str">
        <f t="shared" si="4"/>
        <v>پیش‌وایی 8</v>
      </c>
      <c r="W1036" s="86"/>
      <c r="X1036" s="86"/>
    </row>
    <row r="1037">
      <c r="A1037" s="201">
        <v>1037.0</v>
      </c>
      <c r="B1037" s="202" t="s">
        <v>5235</v>
      </c>
      <c r="C1037" s="203"/>
      <c r="D1037" s="204" t="str">
        <f>IFERROR(__xludf.DUMMYFUNCTION("ARRAYFORMULA(LET( converted, SUBSTITUTE( SUBSTITUTE( SUBSTITUTE( SUBSTITUTE( SUBSTITUTE( SUBSTITUTE( SUBSTITUTE( SUBSTITUTE( SUBSTITUTE( SUBSTITUTE( C1037, ""۰"", ""0""), ""۱"", ""1""), ""۲"", ""2""), ""۳"", ""3""), ""۴"", ""4""), ""۵"", ""5""), ""۶"", """&amp;"6""), ""۷"", ""7""), ""۸"", ""8""), ""۹"", ""9""), IF(LEFT(converted,3)=""+98"", ""0"" &amp; RIGHT(converted, LEN(converted)-3), IF(LEFT(converted,2)=""98"", ""0"" &amp; RIGHT(converted, LEN(converted)-2), IF(LEFT(converted,1)&lt;&gt;""0"", ""0"" &amp; converted, REGEXREPL"&amp;"ACE(converted , ""\s"", """")) ) ) ) )"),"0")</f>
        <v>0</v>
      </c>
      <c r="E1037" s="205" t="s">
        <v>17</v>
      </c>
      <c r="F1037" s="206">
        <v>8.0</v>
      </c>
      <c r="G1037" s="202"/>
      <c r="H1037" s="202"/>
      <c r="I1037" s="203"/>
      <c r="J1037" s="203"/>
      <c r="K1037" s="202" t="s">
        <v>804</v>
      </c>
      <c r="L1037" s="202" t="s">
        <v>5236</v>
      </c>
      <c r="M1037" s="202"/>
      <c r="N1037" s="202"/>
      <c r="O1037" s="202"/>
      <c r="P1037" s="202"/>
      <c r="Q1037" s="208"/>
      <c r="R1037" s="86"/>
      <c r="S1037" s="114">
        <f t="shared" ref="S1037:T1037" si="1038">A1037</f>
        <v>1037</v>
      </c>
      <c r="T1037" s="114" t="str">
        <f t="shared" si="1038"/>
        <v>نیلوفر طاعی</v>
      </c>
      <c r="U1037" s="86" t="str">
        <f t="shared" si="3"/>
        <v>0</v>
      </c>
      <c r="V1037" s="86" t="str">
        <f t="shared" si="4"/>
        <v>پیش‌وایی 8</v>
      </c>
      <c r="W1037" s="86"/>
      <c r="X1037" s="86"/>
    </row>
    <row r="1038">
      <c r="A1038" s="192">
        <v>1038.0</v>
      </c>
      <c r="B1038" s="199" t="s">
        <v>5237</v>
      </c>
      <c r="C1038" s="194" t="s">
        <v>5238</v>
      </c>
      <c r="D1038" s="195" t="str">
        <f>IFERROR(__xludf.DUMMYFUNCTION("ARRAYFORMULA(LET( converted, SUBSTITUTE( SUBSTITUTE( SUBSTITUTE( SUBSTITUTE( SUBSTITUTE( SUBSTITUTE( SUBSTITUTE( SUBSTITUTE( SUBSTITUTE( SUBSTITUTE( C1038, ""۰"", ""0""), ""۱"", ""1""), ""۲"", ""2""), ""۳"", ""3""), ""۴"", ""4""), ""۵"", ""5""), ""۶"", """&amp;"6""), ""۷"", ""7""), ""۸"", ""8""), ""۹"", ""9""), IF(LEFT(converted,3)=""+98"", ""0"" &amp; RIGHT(converted, LEN(converted)-3), IF(LEFT(converted,2)=""98"", ""0"" &amp; RIGHT(converted, LEN(converted)-2), IF(LEFT(converted,1)&lt;&gt;""0"", ""0"" &amp; converted, REGEXREPL"&amp;"ACE(converted , ""\s"", """")) ) ) ) )"),"09120684031")</f>
        <v>09120684031</v>
      </c>
      <c r="E1038" s="196" t="s">
        <v>17</v>
      </c>
      <c r="F1038" s="197">
        <v>8.0</v>
      </c>
      <c r="G1038" s="193"/>
      <c r="H1038" s="193" t="s">
        <v>5239</v>
      </c>
      <c r="I1038" s="194"/>
      <c r="J1038" s="194"/>
      <c r="K1038" s="193" t="s">
        <v>2347</v>
      </c>
      <c r="L1038" s="193" t="s">
        <v>5240</v>
      </c>
      <c r="M1038" s="193"/>
      <c r="N1038" s="193"/>
      <c r="O1038" s="193"/>
      <c r="P1038" s="193"/>
      <c r="Q1038" s="200"/>
      <c r="R1038" s="86"/>
      <c r="S1038" s="114">
        <f t="shared" ref="S1038:T1038" si="1039">A1038</f>
        <v>1038</v>
      </c>
      <c r="T1038" s="114" t="str">
        <f t="shared" si="1039"/>
        <v>هادی آرزو</v>
      </c>
      <c r="U1038" s="86" t="str">
        <f t="shared" si="3"/>
        <v>09120684031</v>
      </c>
      <c r="V1038" s="86" t="str">
        <f t="shared" si="4"/>
        <v>پیش‌وایی 8</v>
      </c>
      <c r="W1038" s="86"/>
      <c r="X1038" s="86"/>
    </row>
    <row r="1039">
      <c r="A1039" s="201">
        <v>1039.0</v>
      </c>
      <c r="B1039" s="207" t="s">
        <v>5241</v>
      </c>
      <c r="C1039" s="203" t="s">
        <v>5242</v>
      </c>
      <c r="D1039" s="204" t="str">
        <f>IFERROR(__xludf.DUMMYFUNCTION("ARRAYFORMULA(LET( converted, SUBSTITUTE( SUBSTITUTE( SUBSTITUTE( SUBSTITUTE( SUBSTITUTE( SUBSTITUTE( SUBSTITUTE( SUBSTITUTE( SUBSTITUTE( SUBSTITUTE( C1039, ""۰"", ""0""), ""۱"", ""1""), ""۲"", ""2""), ""۳"", ""3""), ""۴"", ""4""), ""۵"", ""5""), ""۶"", """&amp;"6""), ""۷"", ""7""), ""۸"", ""8""), ""۹"", ""9""), IF(LEFT(converted,3)=""+98"", ""0"" &amp; RIGHT(converted, LEN(converted)-3), IF(LEFT(converted,2)=""98"", ""0"" &amp; RIGHT(converted, LEN(converted)-2), IF(LEFT(converted,1)&lt;&gt;""0"", ""0"" &amp; converted, REGEXREPL"&amp;"ACE(converted , ""\s"", """")) ) ) ) )"),"09127942102")</f>
        <v>09127942102</v>
      </c>
      <c r="E1039" s="205" t="s">
        <v>17</v>
      </c>
      <c r="F1039" s="206">
        <v>8.0</v>
      </c>
      <c r="G1039" s="202"/>
      <c r="H1039" s="202" t="s">
        <v>5243</v>
      </c>
      <c r="I1039" s="203"/>
      <c r="J1039" s="203"/>
      <c r="K1039" s="202" t="s">
        <v>3986</v>
      </c>
      <c r="L1039" s="202" t="s">
        <v>981</v>
      </c>
      <c r="M1039" s="202"/>
      <c r="N1039" s="202"/>
      <c r="O1039" s="202"/>
      <c r="P1039" s="202"/>
      <c r="Q1039" s="208"/>
      <c r="R1039" s="86"/>
      <c r="S1039" s="114">
        <f t="shared" ref="S1039:T1039" si="1040">A1039</f>
        <v>1039</v>
      </c>
      <c r="T1039" s="114" t="str">
        <f t="shared" si="1040"/>
        <v>هاله قربانی</v>
      </c>
      <c r="U1039" s="86" t="str">
        <f t="shared" si="3"/>
        <v>09127942102</v>
      </c>
      <c r="V1039" s="86" t="str">
        <f t="shared" si="4"/>
        <v>پیش‌وایی 8</v>
      </c>
      <c r="W1039" s="86"/>
      <c r="X1039" s="86"/>
    </row>
    <row r="1040">
      <c r="A1040" s="192">
        <v>1040.0</v>
      </c>
      <c r="B1040" s="193" t="s">
        <v>5244</v>
      </c>
      <c r="C1040" s="194" t="s">
        <v>5245</v>
      </c>
      <c r="D1040" s="195" t="str">
        <f>IFERROR(__xludf.DUMMYFUNCTION("ARRAYFORMULA(LET( converted, SUBSTITUTE( SUBSTITUTE( SUBSTITUTE( SUBSTITUTE( SUBSTITUTE( SUBSTITUTE( SUBSTITUTE( SUBSTITUTE( SUBSTITUTE( SUBSTITUTE( C1040, ""۰"", ""0""), ""۱"", ""1""), ""۲"", ""2""), ""۳"", ""3""), ""۴"", ""4""), ""۵"", ""5""), ""۶"", """&amp;"6""), ""۷"", ""7""), ""۸"", ""8""), ""۹"", ""9""), IF(LEFT(converted,3)=""+98"", ""0"" &amp; RIGHT(converted, LEN(converted)-3), IF(LEFT(converted,2)=""98"", ""0"" &amp; RIGHT(converted, LEN(converted)-2), IF(LEFT(converted,1)&lt;&gt;""0"", ""0"" &amp; converted, REGEXREPL"&amp;"ACE(converted , ""\s"", """")) ) ) ) )"),"09111378298")</f>
        <v>09111378298</v>
      </c>
      <c r="E1040" s="196" t="s">
        <v>17</v>
      </c>
      <c r="F1040" s="197">
        <v>8.0</v>
      </c>
      <c r="G1040" s="193"/>
      <c r="H1040" s="193"/>
      <c r="I1040" s="194"/>
      <c r="J1040" s="194"/>
      <c r="K1040" s="193" t="s">
        <v>1985</v>
      </c>
      <c r="L1040" s="193" t="s">
        <v>5246</v>
      </c>
      <c r="M1040" s="193"/>
      <c r="N1040" s="193"/>
      <c r="O1040" s="193"/>
      <c r="P1040" s="193"/>
      <c r="Q1040" s="200"/>
      <c r="R1040" s="86"/>
      <c r="S1040" s="114">
        <f t="shared" ref="S1040:T1040" si="1041">A1040</f>
        <v>1040</v>
      </c>
      <c r="T1040" s="114" t="str">
        <f t="shared" si="1041"/>
        <v>هامون گنجیان</v>
      </c>
      <c r="U1040" s="86" t="str">
        <f t="shared" si="3"/>
        <v>09111378298</v>
      </c>
      <c r="V1040" s="86" t="str">
        <f t="shared" si="4"/>
        <v>پیش‌وایی 8</v>
      </c>
      <c r="W1040" s="86"/>
      <c r="X1040" s="86"/>
    </row>
    <row r="1041">
      <c r="A1041" s="201">
        <v>1041.0</v>
      </c>
      <c r="B1041" s="202" t="s">
        <v>5247</v>
      </c>
      <c r="C1041" s="203" t="s">
        <v>5248</v>
      </c>
      <c r="D1041" s="204" t="str">
        <f>IFERROR(__xludf.DUMMYFUNCTION("ARRAYFORMULA(LET( converted, SUBSTITUTE( SUBSTITUTE( SUBSTITUTE( SUBSTITUTE( SUBSTITUTE( SUBSTITUTE( SUBSTITUTE( SUBSTITUTE( SUBSTITUTE( SUBSTITUTE( C1041, ""۰"", ""0""), ""۱"", ""1""), ""۲"", ""2""), ""۳"", ""3""), ""۴"", ""4""), ""۵"", ""5""), ""۶"", """&amp;"6""), ""۷"", ""7""), ""۸"", ""8""), ""۹"", ""9""), IF(LEFT(converted,3)=""+98"", ""0"" &amp; RIGHT(converted, LEN(converted)-3), IF(LEFT(converted,2)=""98"", ""0"" &amp; RIGHT(converted, LEN(converted)-2), IF(LEFT(converted,1)&lt;&gt;""0"", ""0"" &amp; converted, REGEXREPL"&amp;"ACE(converted , ""\s"", """")) ) ) ) )"),"09128093430")</f>
        <v>09128093430</v>
      </c>
      <c r="E1041" s="205" t="s">
        <v>17</v>
      </c>
      <c r="F1041" s="206">
        <v>8.0</v>
      </c>
      <c r="G1041" s="202"/>
      <c r="H1041" s="209" t="s">
        <v>5249</v>
      </c>
      <c r="I1041" s="203"/>
      <c r="J1041" s="203"/>
      <c r="K1041" s="202" t="s">
        <v>2459</v>
      </c>
      <c r="L1041" s="202" t="s">
        <v>5250</v>
      </c>
      <c r="M1041" s="202"/>
      <c r="N1041" s="202"/>
      <c r="O1041" s="202"/>
      <c r="P1041" s="202"/>
      <c r="Q1041" s="208"/>
      <c r="R1041" s="86"/>
      <c r="S1041" s="114">
        <f t="shared" ref="S1041:T1041" si="1042">A1041</f>
        <v>1041</v>
      </c>
      <c r="T1041" s="114" t="str">
        <f t="shared" si="1042"/>
        <v>یاسمین خنجری</v>
      </c>
      <c r="U1041" s="86" t="str">
        <f t="shared" si="3"/>
        <v>09128093430</v>
      </c>
      <c r="V1041" s="86" t="str">
        <f t="shared" si="4"/>
        <v>پیش‌وایی 8</v>
      </c>
      <c r="W1041" s="86"/>
      <c r="X1041" s="86"/>
    </row>
    <row r="1042">
      <c r="A1042" s="192">
        <v>1042.0</v>
      </c>
      <c r="B1042" s="193" t="s">
        <v>5251</v>
      </c>
      <c r="C1042" s="194" t="s">
        <v>5252</v>
      </c>
      <c r="D1042" s="195" t="str">
        <f>IFERROR(__xludf.DUMMYFUNCTION("ARRAYFORMULA(LET( converted, SUBSTITUTE( SUBSTITUTE( SUBSTITUTE( SUBSTITUTE( SUBSTITUTE( SUBSTITUTE( SUBSTITUTE( SUBSTITUTE( SUBSTITUTE( SUBSTITUTE( C1042, ""۰"", ""0""), ""۱"", ""1""), ""۲"", ""2""), ""۳"", ""3""), ""۴"", ""4""), ""۵"", ""5""), ""۶"", """&amp;"6""), ""۷"", ""7""), ""۸"", ""8""), ""۹"", ""9""), IF(LEFT(converted,3)=""+98"", ""0"" &amp; RIGHT(converted, LEN(converted)-3), IF(LEFT(converted,2)=""98"", ""0"" &amp; RIGHT(converted, LEN(converted)-2), IF(LEFT(converted,1)&lt;&gt;""0"", ""0"" &amp; converted, REGEXREPL"&amp;"ACE(converted , ""\s"", """")) ) ) ) )"),"09933464083")</f>
        <v>09933464083</v>
      </c>
      <c r="E1042" s="196" t="s">
        <v>17</v>
      </c>
      <c r="F1042" s="197">
        <v>8.0</v>
      </c>
      <c r="G1042" s="193"/>
      <c r="H1042" s="198" t="s">
        <v>5253</v>
      </c>
      <c r="I1042" s="194"/>
      <c r="J1042" s="194"/>
      <c r="K1042" s="193" t="s">
        <v>5254</v>
      </c>
      <c r="L1042" s="193" t="s">
        <v>5255</v>
      </c>
      <c r="M1042" s="193"/>
      <c r="N1042" s="193"/>
      <c r="O1042" s="193"/>
      <c r="P1042" s="193"/>
      <c r="Q1042" s="200"/>
      <c r="R1042" s="86"/>
      <c r="S1042" s="114">
        <f t="shared" ref="S1042:T1042" si="1043">A1042</f>
        <v>1042</v>
      </c>
      <c r="T1042" s="114" t="str">
        <f t="shared" si="1043"/>
        <v>یاسین مختاری ماربینی</v>
      </c>
      <c r="U1042" s="86" t="str">
        <f t="shared" si="3"/>
        <v>09933464083</v>
      </c>
      <c r="V1042" s="86" t="str">
        <f t="shared" si="4"/>
        <v>پیش‌وایی 8</v>
      </c>
      <c r="W1042" s="86"/>
      <c r="X1042" s="86"/>
    </row>
    <row r="1043">
      <c r="A1043" s="201">
        <v>1043.0</v>
      </c>
      <c r="B1043" s="207" t="s">
        <v>5256</v>
      </c>
      <c r="C1043" s="203" t="s">
        <v>5257</v>
      </c>
      <c r="D1043" s="204" t="str">
        <f>IFERROR(__xludf.DUMMYFUNCTION("ARRAYFORMULA(LET( converted, SUBSTITUTE( SUBSTITUTE( SUBSTITUTE( SUBSTITUTE( SUBSTITUTE( SUBSTITUTE( SUBSTITUTE( SUBSTITUTE( SUBSTITUTE( SUBSTITUTE( C1043, ""۰"", ""0""), ""۱"", ""1""), ""۲"", ""2""), ""۳"", ""3""), ""۴"", ""4""), ""۵"", ""5""), ""۶"", """&amp;"6""), ""۷"", ""7""), ""۸"", ""8""), ""۹"", ""9""), IF(LEFT(converted,3)=""+98"", ""0"" &amp; RIGHT(converted, LEN(converted)-3), IF(LEFT(converted,2)=""98"", ""0"" &amp; RIGHT(converted, LEN(converted)-2), IF(LEFT(converted,1)&lt;&gt;""0"", ""0"" &amp; converted, REGEXREPL"&amp;"ACE(converted , ""\s"", """")) ) ) ) )"),"09129610906")</f>
        <v>09129610906</v>
      </c>
      <c r="E1043" s="205" t="s">
        <v>17</v>
      </c>
      <c r="F1043" s="206">
        <v>8.0</v>
      </c>
      <c r="G1043" s="202"/>
      <c r="H1043" s="202" t="s">
        <v>5258</v>
      </c>
      <c r="I1043" s="203"/>
      <c r="J1043" s="203"/>
      <c r="K1043" s="202" t="s">
        <v>5259</v>
      </c>
      <c r="L1043" s="202" t="s">
        <v>5260</v>
      </c>
      <c r="M1043" s="202"/>
      <c r="N1043" s="202"/>
      <c r="O1043" s="202"/>
      <c r="P1043" s="202"/>
      <c r="Q1043" s="208"/>
      <c r="R1043" s="86"/>
      <c r="S1043" s="114">
        <f t="shared" ref="S1043:T1043" si="1044">A1043</f>
        <v>1043</v>
      </c>
      <c r="T1043" s="114" t="str">
        <f t="shared" si="1044"/>
        <v>یونس شیراوند</v>
      </c>
      <c r="U1043" s="86" t="str">
        <f t="shared" si="3"/>
        <v>09129610906</v>
      </c>
      <c r="V1043" s="86" t="str">
        <f t="shared" si="4"/>
        <v>پیش‌وایی 8</v>
      </c>
      <c r="W1043" s="86"/>
      <c r="X1043" s="86"/>
    </row>
    <row r="1044">
      <c r="A1044" s="192">
        <v>1044.0</v>
      </c>
      <c r="B1044" s="193" t="s">
        <v>5261</v>
      </c>
      <c r="C1044" s="194" t="s">
        <v>5262</v>
      </c>
      <c r="D1044" s="195" t="str">
        <f>IFERROR(__xludf.DUMMYFUNCTION("ARRAYFORMULA(LET( converted, SUBSTITUTE( SUBSTITUTE( SUBSTITUTE( SUBSTITUTE( SUBSTITUTE( SUBSTITUTE( SUBSTITUTE( SUBSTITUTE( SUBSTITUTE( SUBSTITUTE( C1044, ""۰"", ""0""), ""۱"", ""1""), ""۲"", ""2""), ""۳"", ""3""), ""۴"", ""4""), ""۵"", ""5""), ""۶"", """&amp;"6""), ""۷"", ""7""), ""۸"", ""8""), ""۹"", ""9""), IF(LEFT(converted,3)=""+98"", ""0"" &amp; RIGHT(converted, LEN(converted)-3), IF(LEFT(converted,2)=""98"", ""0"" &amp; RIGHT(converted, LEN(converted)-2), IF(LEFT(converted,1)&lt;&gt;""0"", ""0"" &amp; converted, REGEXREPL"&amp;"ACE(converted , ""\s"", """")) ) ) ) )"),"09351577696")</f>
        <v>09351577696</v>
      </c>
      <c r="E1044" s="196" t="s">
        <v>17</v>
      </c>
      <c r="F1044" s="197">
        <v>9.0</v>
      </c>
      <c r="G1044" s="212" t="s">
        <v>730</v>
      </c>
      <c r="H1044" s="193"/>
      <c r="I1044" s="194"/>
      <c r="J1044" s="194"/>
      <c r="K1044" s="193" t="s">
        <v>1459</v>
      </c>
      <c r="L1044" s="193" t="s">
        <v>2636</v>
      </c>
      <c r="M1044" s="193"/>
      <c r="N1044" s="193"/>
      <c r="O1044" s="193"/>
      <c r="P1044" s="193"/>
      <c r="Q1044" s="200"/>
      <c r="R1044" s="86"/>
      <c r="S1044" s="114">
        <f t="shared" ref="S1044:T1044" si="1045">A1044</f>
        <v>1044</v>
      </c>
      <c r="T1044" s="114" t="str">
        <f t="shared" si="1045"/>
        <v>رضا شعبانی</v>
      </c>
      <c r="U1044" s="86" t="str">
        <f t="shared" si="3"/>
        <v>09351577696</v>
      </c>
      <c r="V1044" s="86" t="str">
        <f t="shared" si="4"/>
        <v>پیش‌وایی 9</v>
      </c>
      <c r="W1044" s="86"/>
      <c r="X1044" s="86"/>
    </row>
    <row r="1045">
      <c r="A1045" s="201">
        <v>1045.0</v>
      </c>
      <c r="B1045" s="202" t="s">
        <v>4845</v>
      </c>
      <c r="C1045" s="203" t="s">
        <v>238</v>
      </c>
      <c r="D1045" s="204" t="str">
        <f>IFERROR(__xludf.DUMMYFUNCTION("ARRAYFORMULA(LET( converted, SUBSTITUTE( SUBSTITUTE( SUBSTITUTE( SUBSTITUTE( SUBSTITUTE( SUBSTITUTE( SUBSTITUTE( SUBSTITUTE( SUBSTITUTE( SUBSTITUTE( C1045, ""۰"", ""0""), ""۱"", ""1""), ""۲"", ""2""), ""۳"", ""3""), ""۴"", ""4""), ""۵"", ""5""), ""۶"", """&amp;"6""), ""۷"", ""7""), ""۸"", ""8""), ""۹"", ""9""), IF(LEFT(converted,3)=""+98"", ""0"" &amp; RIGHT(converted, LEN(converted)-3), IF(LEFT(converted,2)=""98"", ""0"" &amp; RIGHT(converted, LEN(converted)-2), IF(LEFT(converted,1)&lt;&gt;""0"", ""0"" &amp; converted, REGEXREPL"&amp;"ACE(converted , ""\s"", """")) ) ) ) )"),"09355344963")</f>
        <v>09355344963</v>
      </c>
      <c r="E1045" s="205" t="s">
        <v>17</v>
      </c>
      <c r="F1045" s="206">
        <v>9.0</v>
      </c>
      <c r="G1045" s="213" t="s">
        <v>746</v>
      </c>
      <c r="H1045" s="202"/>
      <c r="I1045" s="203"/>
      <c r="J1045" s="203"/>
      <c r="K1045" s="202" t="s">
        <v>236</v>
      </c>
      <c r="L1045" s="202" t="s">
        <v>237</v>
      </c>
      <c r="M1045" s="202"/>
      <c r="N1045" s="202"/>
      <c r="O1045" s="202"/>
      <c r="P1045" s="202"/>
      <c r="Q1045" s="208"/>
      <c r="R1045" s="86"/>
      <c r="S1045" s="114">
        <f t="shared" ref="S1045:T1045" si="1046">A1045</f>
        <v>1045</v>
      </c>
      <c r="T1045" s="114" t="str">
        <f t="shared" si="1046"/>
        <v>رها فرهادی</v>
      </c>
      <c r="U1045" s="86" t="str">
        <f t="shared" si="3"/>
        <v>09355344963</v>
      </c>
      <c r="V1045" s="86" t="str">
        <f t="shared" si="4"/>
        <v>پیش‌وایی 9</v>
      </c>
      <c r="W1045" s="86"/>
      <c r="X1045" s="86"/>
    </row>
    <row r="1046">
      <c r="A1046" s="192">
        <v>1046.0</v>
      </c>
      <c r="B1046" s="193" t="s">
        <v>5263</v>
      </c>
      <c r="C1046" s="194" t="s">
        <v>5264</v>
      </c>
      <c r="D1046" s="195" t="str">
        <f>IFERROR(__xludf.DUMMYFUNCTION("ARRAYFORMULA(LET( converted, SUBSTITUTE( SUBSTITUTE( SUBSTITUTE( SUBSTITUTE( SUBSTITUTE( SUBSTITUTE( SUBSTITUTE( SUBSTITUTE( SUBSTITUTE( SUBSTITUTE( C1046, ""۰"", ""0""), ""۱"", ""1""), ""۲"", ""2""), ""۳"", ""3""), ""۴"", ""4""), ""۵"", ""5""), ""۶"", """&amp;"6""), ""۷"", ""7""), ""۸"", ""8""), ""۹"", ""9""), IF(LEFT(converted,3)=""+98"", ""0"" &amp; RIGHT(converted, LEN(converted)-3), IF(LEFT(converted,2)=""98"", ""0"" &amp; RIGHT(converted, LEN(converted)-2), IF(LEFT(converted,1)&lt;&gt;""0"", ""0"" &amp; converted, REGEXREPL"&amp;"ACE(converted , ""\s"", """")) ) ) ) )"),"09199194904")</f>
        <v>09199194904</v>
      </c>
      <c r="E1046" s="196" t="s">
        <v>17</v>
      </c>
      <c r="F1046" s="197">
        <v>9.0</v>
      </c>
      <c r="G1046" s="212" t="s">
        <v>730</v>
      </c>
      <c r="H1046" s="193"/>
      <c r="I1046" s="194"/>
      <c r="J1046" s="194"/>
      <c r="K1046" s="193" t="s">
        <v>4872</v>
      </c>
      <c r="L1046" s="193" t="s">
        <v>5265</v>
      </c>
      <c r="M1046" s="193"/>
      <c r="N1046" s="193"/>
      <c r="O1046" s="193"/>
      <c r="P1046" s="193"/>
      <c r="Q1046" s="200"/>
      <c r="R1046" s="86"/>
      <c r="S1046" s="114">
        <f t="shared" ref="S1046:T1046" si="1047">A1046</f>
        <v>1046</v>
      </c>
      <c r="T1046" s="114" t="str">
        <f t="shared" si="1047"/>
        <v>سبحان دهقان پورفراشاه</v>
      </c>
      <c r="U1046" s="86" t="str">
        <f t="shared" si="3"/>
        <v>09199194904</v>
      </c>
      <c r="V1046" s="86" t="str">
        <f t="shared" si="4"/>
        <v>پیش‌وایی 9</v>
      </c>
      <c r="W1046" s="86"/>
      <c r="X1046" s="86"/>
    </row>
    <row r="1047">
      <c r="A1047" s="201">
        <v>1047.0</v>
      </c>
      <c r="B1047" s="202" t="s">
        <v>5266</v>
      </c>
      <c r="C1047" s="203" t="s">
        <v>5267</v>
      </c>
      <c r="D1047" s="204" t="str">
        <f>IFERROR(__xludf.DUMMYFUNCTION("ARRAYFORMULA(LET( converted, SUBSTITUTE( SUBSTITUTE( SUBSTITUTE( SUBSTITUTE( SUBSTITUTE( SUBSTITUTE( SUBSTITUTE( SUBSTITUTE( SUBSTITUTE( SUBSTITUTE( C1047, ""۰"", ""0""), ""۱"", ""1""), ""۲"", ""2""), ""۳"", ""3""), ""۴"", ""4""), ""۵"", ""5""), ""۶"", """&amp;"6""), ""۷"", ""7""), ""۸"", ""8""), ""۹"", ""9""), IF(LEFT(converted,3)=""+98"", ""0"" &amp; RIGHT(converted, LEN(converted)-3), IF(LEFT(converted,2)=""98"", ""0"" &amp; RIGHT(converted, LEN(converted)-2), IF(LEFT(converted,1)&lt;&gt;""0"", ""0"" &amp; converted, REGEXREPL"&amp;"ACE(converted , ""\s"", """")) ) ) ) )"),"09125167313")</f>
        <v>09125167313</v>
      </c>
      <c r="E1047" s="205" t="s">
        <v>17</v>
      </c>
      <c r="F1047" s="206">
        <v>9.0</v>
      </c>
      <c r="G1047" s="213" t="s">
        <v>746</v>
      </c>
      <c r="H1047" s="202"/>
      <c r="I1047" s="203"/>
      <c r="J1047" s="203"/>
      <c r="K1047" s="202" t="s">
        <v>274</v>
      </c>
      <c r="L1047" s="202" t="s">
        <v>5268</v>
      </c>
      <c r="M1047" s="202"/>
      <c r="N1047" s="202"/>
      <c r="O1047" s="202"/>
      <c r="P1047" s="202"/>
      <c r="Q1047" s="208"/>
      <c r="R1047" s="86"/>
      <c r="S1047" s="114">
        <f t="shared" ref="S1047:T1047" si="1048">A1047</f>
        <v>1047</v>
      </c>
      <c r="T1047" s="114" t="str">
        <f t="shared" si="1048"/>
        <v>فاطمه شیدایی</v>
      </c>
      <c r="U1047" s="86" t="str">
        <f t="shared" si="3"/>
        <v>09125167313</v>
      </c>
      <c r="V1047" s="86" t="str">
        <f t="shared" si="4"/>
        <v>پیش‌وایی 9</v>
      </c>
      <c r="W1047" s="86"/>
      <c r="X1047" s="86"/>
    </row>
    <row r="1048">
      <c r="A1048" s="192">
        <v>1048.0</v>
      </c>
      <c r="B1048" s="193" t="s">
        <v>5269</v>
      </c>
      <c r="C1048" s="194" t="s">
        <v>5270</v>
      </c>
      <c r="D1048" s="195" t="str">
        <f>IFERROR(__xludf.DUMMYFUNCTION("ARRAYFORMULA(LET( converted, SUBSTITUTE( SUBSTITUTE( SUBSTITUTE( SUBSTITUTE( SUBSTITUTE( SUBSTITUTE( SUBSTITUTE( SUBSTITUTE( SUBSTITUTE( SUBSTITUTE( C1048, ""۰"", ""0""), ""۱"", ""1""), ""۲"", ""2""), ""۳"", ""3""), ""۴"", ""4""), ""۵"", ""5""), ""۶"", """&amp;"6""), ""۷"", ""7""), ""۸"", ""8""), ""۹"", ""9""), IF(LEFT(converted,3)=""+98"", ""0"" &amp; RIGHT(converted, LEN(converted)-3), IF(LEFT(converted,2)=""98"", ""0"" &amp; RIGHT(converted, LEN(converted)-2), IF(LEFT(converted,1)&lt;&gt;""0"", ""0"" &amp; converted, REGEXREPL"&amp;"ACE(converted , ""\s"", """")) ) ) ) )"),"09127152803")</f>
        <v>09127152803</v>
      </c>
      <c r="E1048" s="196" t="s">
        <v>17</v>
      </c>
      <c r="F1048" s="197">
        <v>9.0</v>
      </c>
      <c r="G1048" s="212" t="s">
        <v>730</v>
      </c>
      <c r="H1048" s="193"/>
      <c r="I1048" s="194"/>
      <c r="J1048" s="194"/>
      <c r="K1048" s="193" t="s">
        <v>2543</v>
      </c>
      <c r="L1048" s="193" t="s">
        <v>5271</v>
      </c>
      <c r="M1048" s="193"/>
      <c r="N1048" s="193"/>
      <c r="O1048" s="193"/>
      <c r="P1048" s="193"/>
      <c r="Q1048" s="200"/>
      <c r="R1048" s="86"/>
      <c r="S1048" s="114">
        <f t="shared" ref="S1048:T1048" si="1049">A1048</f>
        <v>1048</v>
      </c>
      <c r="T1048" s="114" t="str">
        <f t="shared" si="1049"/>
        <v>مازیار جمشید خوانی</v>
      </c>
      <c r="U1048" s="86" t="str">
        <f t="shared" si="3"/>
        <v>09127152803</v>
      </c>
      <c r="V1048" s="86" t="str">
        <f t="shared" si="4"/>
        <v>پیش‌وایی 9</v>
      </c>
      <c r="W1048" s="86"/>
      <c r="X1048" s="86"/>
    </row>
    <row r="1049">
      <c r="A1049" s="201">
        <v>1049.0</v>
      </c>
      <c r="B1049" s="202" t="s">
        <v>713</v>
      </c>
      <c r="C1049" s="203" t="s">
        <v>5272</v>
      </c>
      <c r="D1049" s="204" t="str">
        <f>IFERROR(__xludf.DUMMYFUNCTION("ARRAYFORMULA(LET( converted, SUBSTITUTE( SUBSTITUTE( SUBSTITUTE( SUBSTITUTE( SUBSTITUTE( SUBSTITUTE( SUBSTITUTE( SUBSTITUTE( SUBSTITUTE( SUBSTITUTE( C1049, ""۰"", ""0""), ""۱"", ""1""), ""۲"", ""2""), ""۳"", ""3""), ""۴"", ""4""), ""۵"", ""5""), ""۶"", """&amp;"6""), ""۷"", ""7""), ""۸"", ""8""), ""۹"", ""9""), IF(LEFT(converted,3)=""+98"", ""0"" &amp; RIGHT(converted, LEN(converted)-3), IF(LEFT(converted,2)=""98"", ""0"" &amp; RIGHT(converted, LEN(converted)-2), IF(LEFT(converted,1)&lt;&gt;""0"", ""0"" &amp; converted, REGEXREPL"&amp;"ACE(converted , ""\s"", """")) ) ) ) )"),"09121472143")</f>
        <v>09121472143</v>
      </c>
      <c r="E1049" s="205" t="s">
        <v>17</v>
      </c>
      <c r="F1049" s="206">
        <v>9.0</v>
      </c>
      <c r="G1049" s="213" t="s">
        <v>730</v>
      </c>
      <c r="H1049" s="202"/>
      <c r="I1049" s="203"/>
      <c r="J1049" s="203"/>
      <c r="K1049" s="202" t="s">
        <v>197</v>
      </c>
      <c r="L1049" s="202" t="s">
        <v>2624</v>
      </c>
      <c r="M1049" s="202"/>
      <c r="N1049" s="202"/>
      <c r="O1049" s="202"/>
      <c r="P1049" s="202"/>
      <c r="Q1049" s="208"/>
      <c r="R1049" s="86"/>
      <c r="S1049" s="114">
        <f t="shared" ref="S1049:T1049" si="1050">A1049</f>
        <v>1049</v>
      </c>
      <c r="T1049" s="114" t="str">
        <f t="shared" si="1050"/>
        <v>اصغر قاسمی</v>
      </c>
      <c r="U1049" s="86" t="str">
        <f t="shared" si="3"/>
        <v>09121472143</v>
      </c>
      <c r="V1049" s="86" t="str">
        <f t="shared" si="4"/>
        <v>پیش‌وایی 9</v>
      </c>
      <c r="W1049" s="86"/>
      <c r="X1049" s="86"/>
    </row>
    <row r="1050">
      <c r="A1050" s="192">
        <v>1050.0</v>
      </c>
      <c r="B1050" s="193" t="s">
        <v>5273</v>
      </c>
      <c r="C1050" s="194" t="s">
        <v>5274</v>
      </c>
      <c r="D1050" s="195" t="str">
        <f>IFERROR(__xludf.DUMMYFUNCTION("ARRAYFORMULA(LET( converted, SUBSTITUTE( SUBSTITUTE( SUBSTITUTE( SUBSTITUTE( SUBSTITUTE( SUBSTITUTE( SUBSTITUTE( SUBSTITUTE( SUBSTITUTE( SUBSTITUTE( C1050, ""۰"", ""0""), ""۱"", ""1""), ""۲"", ""2""), ""۳"", ""3""), ""۴"", ""4""), ""۵"", ""5""), ""۶"", """&amp;"6""), ""۷"", ""7""), ""۸"", ""8""), ""۹"", ""9""), IF(LEFT(converted,3)=""+98"", ""0"" &amp; RIGHT(converted, LEN(converted)-3), IF(LEFT(converted,2)=""98"", ""0"" &amp; RIGHT(converted, LEN(converted)-2), IF(LEFT(converted,1)&lt;&gt;""0"", ""0"" &amp; converted, REGEXREPL"&amp;"ACE(converted , ""\s"", """")) ) ) ) )"),"09122164819")</f>
        <v>09122164819</v>
      </c>
      <c r="E1050" s="196" t="s">
        <v>17</v>
      </c>
      <c r="F1050" s="197">
        <v>9.0</v>
      </c>
      <c r="G1050" s="212" t="s">
        <v>746</v>
      </c>
      <c r="H1050" s="193"/>
      <c r="I1050" s="194"/>
      <c r="J1050" s="194"/>
      <c r="K1050" s="193" t="s">
        <v>1032</v>
      </c>
      <c r="L1050" s="193" t="s">
        <v>5275</v>
      </c>
      <c r="M1050" s="193"/>
      <c r="N1050" s="193"/>
      <c r="O1050" s="193"/>
      <c r="P1050" s="193"/>
      <c r="Q1050" s="200"/>
      <c r="R1050" s="86"/>
      <c r="S1050" s="114">
        <f t="shared" ref="S1050:T1050" si="1051">A1050</f>
        <v>1050</v>
      </c>
      <c r="T1050" s="114" t="str">
        <f t="shared" si="1051"/>
        <v>آذین پذیرا</v>
      </c>
      <c r="U1050" s="86" t="str">
        <f t="shared" si="3"/>
        <v>09122164819</v>
      </c>
      <c r="V1050" s="86" t="str">
        <f t="shared" si="4"/>
        <v>پیش‌وایی 9</v>
      </c>
      <c r="W1050" s="86"/>
      <c r="X1050" s="86"/>
    </row>
    <row r="1051">
      <c r="A1051" s="201">
        <v>1051.0</v>
      </c>
      <c r="B1051" s="202" t="s">
        <v>4697</v>
      </c>
      <c r="C1051" s="203" t="s">
        <v>5276</v>
      </c>
      <c r="D1051" s="204" t="str">
        <f>IFERROR(__xludf.DUMMYFUNCTION("ARRAYFORMULA(LET( converted, SUBSTITUTE( SUBSTITUTE( SUBSTITUTE( SUBSTITUTE( SUBSTITUTE( SUBSTITUTE( SUBSTITUTE( SUBSTITUTE( SUBSTITUTE( SUBSTITUTE( C1051, ""۰"", ""0""), ""۱"", ""1""), ""۲"", ""2""), ""۳"", ""3""), ""۴"", ""4""), ""۵"", ""5""), ""۶"", """&amp;"6""), ""۷"", ""7""), ""۸"", ""8""), ""۹"", ""9""), IF(LEFT(converted,3)=""+98"", ""0"" &amp; RIGHT(converted, LEN(converted)-3), IF(LEFT(converted,2)=""98"", ""0"" &amp; RIGHT(converted, LEN(converted)-2), IF(LEFT(converted,1)&lt;&gt;""0"", ""0"" &amp; converted, REGEXREPL"&amp;"ACE(converted , ""\s"", """")) ) ) ) )"),"09143159445")</f>
        <v>09143159445</v>
      </c>
      <c r="E1051" s="205" t="s">
        <v>17</v>
      </c>
      <c r="F1051" s="206">
        <v>9.0</v>
      </c>
      <c r="G1051" s="213" t="s">
        <v>730</v>
      </c>
      <c r="H1051" s="202"/>
      <c r="I1051" s="203"/>
      <c r="J1051" s="203"/>
      <c r="K1051" s="202" t="s">
        <v>342</v>
      </c>
      <c r="L1051" s="202" t="s">
        <v>343</v>
      </c>
      <c r="M1051" s="202"/>
      <c r="N1051" s="202"/>
      <c r="O1051" s="202"/>
      <c r="P1051" s="202"/>
      <c r="Q1051" s="208"/>
      <c r="R1051" s="86"/>
      <c r="S1051" s="114">
        <f t="shared" ref="S1051:T1051" si="1052">A1051</f>
        <v>1051</v>
      </c>
      <c r="T1051" s="114" t="str">
        <f t="shared" si="1052"/>
        <v>آرش سروی</v>
      </c>
      <c r="U1051" s="86" t="str">
        <f t="shared" si="3"/>
        <v>09143159445</v>
      </c>
      <c r="V1051" s="86" t="str">
        <f t="shared" si="4"/>
        <v>پیش‌وایی 9</v>
      </c>
      <c r="W1051" s="86"/>
      <c r="X1051" s="86"/>
    </row>
    <row r="1052">
      <c r="A1052" s="192">
        <v>1052.0</v>
      </c>
      <c r="B1052" s="193" t="s">
        <v>964</v>
      </c>
      <c r="C1052" s="194" t="s">
        <v>5277</v>
      </c>
      <c r="D1052" s="195" t="str">
        <f>IFERROR(__xludf.DUMMYFUNCTION("ARRAYFORMULA(LET( converted, SUBSTITUTE( SUBSTITUTE( SUBSTITUTE( SUBSTITUTE( SUBSTITUTE( SUBSTITUTE( SUBSTITUTE( SUBSTITUTE( SUBSTITUTE( SUBSTITUTE( C1052, ""۰"", ""0""), ""۱"", ""1""), ""۲"", ""2""), ""۳"", ""3""), ""۴"", ""4""), ""۵"", ""5""), ""۶"", """&amp;"6""), ""۷"", ""7""), ""۸"", ""8""), ""۹"", ""9""), IF(LEFT(converted,3)=""+98"", ""0"" &amp; RIGHT(converted, LEN(converted)-3), IF(LEFT(converted,2)=""98"", ""0"" &amp; RIGHT(converted, LEN(converted)-2), IF(LEFT(converted,1)&lt;&gt;""0"", ""0"" &amp; converted, REGEXREPL"&amp;"ACE(converted , ""\s"", """")) ) ) ) )"),"09131585507")</f>
        <v>09131585507</v>
      </c>
      <c r="E1052" s="196" t="s">
        <v>17</v>
      </c>
      <c r="F1052" s="197">
        <v>9.0</v>
      </c>
      <c r="G1052" s="212" t="s">
        <v>730</v>
      </c>
      <c r="H1052" s="193"/>
      <c r="I1052" s="194"/>
      <c r="J1052" s="194"/>
      <c r="K1052" s="193" t="s">
        <v>968</v>
      </c>
      <c r="L1052" s="193" t="s">
        <v>969</v>
      </c>
      <c r="M1052" s="193"/>
      <c r="N1052" s="193"/>
      <c r="O1052" s="193"/>
      <c r="P1052" s="193"/>
      <c r="Q1052" s="200"/>
      <c r="R1052" s="86"/>
      <c r="S1052" s="114">
        <f t="shared" ref="S1052:T1052" si="1053">A1052</f>
        <v>1052</v>
      </c>
      <c r="T1052" s="114" t="str">
        <f t="shared" si="1053"/>
        <v>رامین پهلوان حسینی</v>
      </c>
      <c r="U1052" s="86" t="str">
        <f t="shared" si="3"/>
        <v>09131585507</v>
      </c>
      <c r="V1052" s="86" t="str">
        <f t="shared" si="4"/>
        <v>پیش‌وایی 9</v>
      </c>
      <c r="W1052" s="86"/>
      <c r="X1052" s="86"/>
    </row>
    <row r="1053">
      <c r="A1053" s="201">
        <v>1053.0</v>
      </c>
      <c r="B1053" s="202" t="s">
        <v>5278</v>
      </c>
      <c r="C1053" s="203" t="s">
        <v>5279</v>
      </c>
      <c r="D1053" s="204" t="str">
        <f>IFERROR(__xludf.DUMMYFUNCTION("ARRAYFORMULA(LET( converted, SUBSTITUTE( SUBSTITUTE( SUBSTITUTE( SUBSTITUTE( SUBSTITUTE( SUBSTITUTE( SUBSTITUTE( SUBSTITUTE( SUBSTITUTE( SUBSTITUTE( C1053, ""۰"", ""0""), ""۱"", ""1""), ""۲"", ""2""), ""۳"", ""3""), ""۴"", ""4""), ""۵"", ""5""), ""۶"", """&amp;"6""), ""۷"", ""7""), ""۸"", ""8""), ""۹"", ""9""), IF(LEFT(converted,3)=""+98"", ""0"" &amp; RIGHT(converted, LEN(converted)-3), IF(LEFT(converted,2)=""98"", ""0"" &amp; RIGHT(converted, LEN(converted)-2), IF(LEFT(converted,1)&lt;&gt;""0"", ""0"" &amp; converted, REGEXREPL"&amp;"ACE(converted , ""\s"", """")) ) ) ) )"),"09901963408")</f>
        <v>09901963408</v>
      </c>
      <c r="E1053" s="205" t="s">
        <v>17</v>
      </c>
      <c r="F1053" s="206">
        <v>9.0</v>
      </c>
      <c r="G1053" s="213" t="s">
        <v>746</v>
      </c>
      <c r="H1053" s="202"/>
      <c r="I1053" s="203"/>
      <c r="J1053" s="203"/>
      <c r="K1053" s="202" t="s">
        <v>1504</v>
      </c>
      <c r="L1053" s="202" t="s">
        <v>358</v>
      </c>
      <c r="M1053" s="202"/>
      <c r="N1053" s="202"/>
      <c r="O1053" s="202"/>
      <c r="P1053" s="202"/>
      <c r="Q1053" s="208"/>
      <c r="R1053" s="86"/>
      <c r="S1053" s="114">
        <f t="shared" ref="S1053:T1053" si="1054">A1053</f>
        <v>1053</v>
      </c>
      <c r="T1053" s="114" t="str">
        <f t="shared" si="1054"/>
        <v>مهسا باقری</v>
      </c>
      <c r="U1053" s="86" t="str">
        <f t="shared" si="3"/>
        <v>09901963408</v>
      </c>
      <c r="V1053" s="86" t="str">
        <f t="shared" si="4"/>
        <v>پیش‌وایی 9</v>
      </c>
      <c r="W1053" s="86"/>
      <c r="X1053" s="86"/>
    </row>
    <row r="1054">
      <c r="A1054" s="192">
        <v>1054.0</v>
      </c>
      <c r="B1054" s="193" t="s">
        <v>4742</v>
      </c>
      <c r="C1054" s="194" t="s">
        <v>5280</v>
      </c>
      <c r="D1054" s="195" t="str">
        <f>IFERROR(__xludf.DUMMYFUNCTION("ARRAYFORMULA(LET( converted, SUBSTITUTE( SUBSTITUTE( SUBSTITUTE( SUBSTITUTE( SUBSTITUTE( SUBSTITUTE( SUBSTITUTE( SUBSTITUTE( SUBSTITUTE( SUBSTITUTE( C1054, ""۰"", ""0""), ""۱"", ""1""), ""۲"", ""2""), ""۳"", ""3""), ""۴"", ""4""), ""۵"", ""5""), ""۶"", """&amp;"6""), ""۷"", ""7""), ""۸"", ""8""), ""۹"", ""9""), IF(LEFT(converted,3)=""+98"", ""0"" &amp; RIGHT(converted, LEN(converted)-3), IF(LEFT(converted,2)=""98"", ""0"" &amp; RIGHT(converted, LEN(converted)-2), IF(LEFT(converted,1)&lt;&gt;""0"", ""0"" &amp; converted, REGEXREPL"&amp;"ACE(converted , ""\s"", """")) ) ) ) )"),"0###########")</f>
        <v>0###########</v>
      </c>
      <c r="E1054" s="196" t="s">
        <v>17</v>
      </c>
      <c r="F1054" s="197">
        <v>9.0</v>
      </c>
      <c r="G1054" s="212" t="s">
        <v>746</v>
      </c>
      <c r="H1054" s="193"/>
      <c r="I1054" s="194"/>
      <c r="J1054" s="194"/>
      <c r="K1054" s="193" t="s">
        <v>206</v>
      </c>
      <c r="L1054" s="193" t="s">
        <v>207</v>
      </c>
      <c r="M1054" s="193"/>
      <c r="N1054" s="193"/>
      <c r="O1054" s="193"/>
      <c r="P1054" s="193"/>
      <c r="Q1054" s="200"/>
      <c r="R1054" s="86"/>
      <c r="S1054" s="114">
        <f t="shared" ref="S1054:T1054" si="1055">A1054</f>
        <v>1054</v>
      </c>
      <c r="T1054" s="114" t="str">
        <f t="shared" si="1055"/>
        <v>افسانه کبیریان</v>
      </c>
      <c r="U1054" s="86" t="str">
        <f t="shared" si="3"/>
        <v>0###########</v>
      </c>
      <c r="V1054" s="86" t="str">
        <f t="shared" si="4"/>
        <v>پیش‌وایی 9</v>
      </c>
      <c r="W1054" s="86"/>
      <c r="X1054" s="86"/>
    </row>
    <row r="1055">
      <c r="A1055" s="201">
        <v>1055.0</v>
      </c>
      <c r="B1055" s="202" t="s">
        <v>884</v>
      </c>
      <c r="C1055" s="203" t="s">
        <v>5281</v>
      </c>
      <c r="D1055" s="204" t="str">
        <f>IFERROR(__xludf.DUMMYFUNCTION("ARRAYFORMULA(LET( converted, SUBSTITUTE( SUBSTITUTE( SUBSTITUTE( SUBSTITUTE( SUBSTITUTE( SUBSTITUTE( SUBSTITUTE( SUBSTITUTE( SUBSTITUTE( SUBSTITUTE( C1055, ""۰"", ""0""), ""۱"", ""1""), ""۲"", ""2""), ""۳"", ""3""), ""۴"", ""4""), ""۵"", ""5""), ""۶"", """&amp;"6""), ""۷"", ""7""), ""۸"", ""8""), ""۹"", ""9""), IF(LEFT(converted,3)=""+98"", ""0"" &amp; RIGHT(converted, LEN(converted)-3), IF(LEFT(converted,2)=""98"", ""0"" &amp; RIGHT(converted, LEN(converted)-2), IF(LEFT(converted,1)&lt;&gt;""0"", ""0"" &amp; converted, REGEXREPL"&amp;"ACE(converted , ""\s"", """")) ) ) ) )"),"09129151073")</f>
        <v>09129151073</v>
      </c>
      <c r="E1055" s="205" t="s">
        <v>17</v>
      </c>
      <c r="F1055" s="206">
        <v>9.0</v>
      </c>
      <c r="G1055" s="213" t="s">
        <v>730</v>
      </c>
      <c r="H1055" s="202"/>
      <c r="I1055" s="203"/>
      <c r="J1055" s="203"/>
      <c r="K1055" s="202" t="s">
        <v>888</v>
      </c>
      <c r="L1055" s="202" t="s">
        <v>889</v>
      </c>
      <c r="M1055" s="202"/>
      <c r="N1055" s="202"/>
      <c r="O1055" s="202"/>
      <c r="P1055" s="202"/>
      <c r="Q1055" s="208"/>
      <c r="R1055" s="86"/>
      <c r="S1055" s="114">
        <f t="shared" ref="S1055:T1055" si="1056">A1055</f>
        <v>1055</v>
      </c>
      <c r="T1055" s="114" t="str">
        <f t="shared" si="1056"/>
        <v>آیدین کاظمی</v>
      </c>
      <c r="U1055" s="86" t="str">
        <f t="shared" si="3"/>
        <v>09129151073</v>
      </c>
      <c r="V1055" s="86" t="str">
        <f t="shared" si="4"/>
        <v>پیش‌وایی 9</v>
      </c>
      <c r="W1055" s="86"/>
      <c r="X1055" s="86"/>
    </row>
    <row r="1056">
      <c r="A1056" s="192">
        <v>1056.0</v>
      </c>
      <c r="B1056" s="193" t="s">
        <v>5282</v>
      </c>
      <c r="C1056" s="194" t="s">
        <v>5283</v>
      </c>
      <c r="D1056" s="195" t="str">
        <f>IFERROR(__xludf.DUMMYFUNCTION("ARRAYFORMULA(LET( converted, SUBSTITUTE( SUBSTITUTE( SUBSTITUTE( SUBSTITUTE( SUBSTITUTE( SUBSTITUTE( SUBSTITUTE( SUBSTITUTE( SUBSTITUTE( SUBSTITUTE( C1056, ""۰"", ""0""), ""۱"", ""1""), ""۲"", ""2""), ""۳"", ""3""), ""۴"", ""4""), ""۵"", ""5""), ""۶"", """&amp;"6""), ""۷"", ""7""), ""۸"", ""8""), ""۹"", ""9""), IF(LEFT(converted,3)=""+98"", ""0"" &amp; RIGHT(converted, LEN(converted)-3), IF(LEFT(converted,2)=""98"", ""0"" &amp; RIGHT(converted, LEN(converted)-2), IF(LEFT(converted,1)&lt;&gt;""0"", ""0"" &amp; converted, REGEXREPL"&amp;"ACE(converted , ""\s"", """")) ) ) ) )"),"09121233837")</f>
        <v>09121233837</v>
      </c>
      <c r="E1056" s="196" t="s">
        <v>17</v>
      </c>
      <c r="F1056" s="197">
        <v>9.0</v>
      </c>
      <c r="G1056" s="212" t="s">
        <v>730</v>
      </c>
      <c r="H1056" s="193"/>
      <c r="I1056" s="194"/>
      <c r="J1056" s="194"/>
      <c r="K1056" s="193" t="s">
        <v>259</v>
      </c>
      <c r="L1056" s="193" t="s">
        <v>5284</v>
      </c>
      <c r="M1056" s="193"/>
      <c r="N1056" s="193"/>
      <c r="O1056" s="193"/>
      <c r="P1056" s="193"/>
      <c r="Q1056" s="200"/>
      <c r="R1056" s="86"/>
      <c r="S1056" s="114">
        <f t="shared" ref="S1056:T1056" si="1057">A1056</f>
        <v>1056</v>
      </c>
      <c r="T1056" s="114" t="str">
        <f t="shared" si="1057"/>
        <v>علیرضا اسدالله‌زاده</v>
      </c>
      <c r="U1056" s="86" t="str">
        <f t="shared" si="3"/>
        <v>09121233837</v>
      </c>
      <c r="V1056" s="86" t="str">
        <f t="shared" si="4"/>
        <v>پیش‌وایی 9</v>
      </c>
      <c r="W1056" s="86"/>
      <c r="X1056" s="86"/>
    </row>
    <row r="1057">
      <c r="A1057" s="201">
        <v>1057.0</v>
      </c>
      <c r="B1057" s="202" t="s">
        <v>2666</v>
      </c>
      <c r="C1057" s="203" t="s">
        <v>5285</v>
      </c>
      <c r="D1057" s="204" t="str">
        <f>IFERROR(__xludf.DUMMYFUNCTION("ARRAYFORMULA(LET( converted, SUBSTITUTE( SUBSTITUTE( SUBSTITUTE( SUBSTITUTE( SUBSTITUTE( SUBSTITUTE( SUBSTITUTE( SUBSTITUTE( SUBSTITUTE( SUBSTITUTE( C1057, ""۰"", ""0""), ""۱"", ""1""), ""۲"", ""2""), ""۳"", ""3""), ""۴"", ""4""), ""۵"", ""5""), ""۶"", """&amp;"6""), ""۷"", ""7""), ""۸"", ""8""), ""۹"", ""9""), IF(LEFT(converted,3)=""+98"", ""0"" &amp; RIGHT(converted, LEN(converted)-3), IF(LEFT(converted,2)=""98"", ""0"" &amp; RIGHT(converted, LEN(converted)-2), IF(LEFT(converted,1)&lt;&gt;""0"", ""0"" &amp; converted, REGEXREPL"&amp;"ACE(converted , ""\s"", """")) ) ) ) )"),"09122498488")</f>
        <v>09122498488</v>
      </c>
      <c r="E1057" s="205" t="s">
        <v>17</v>
      </c>
      <c r="F1057" s="206">
        <v>9.0</v>
      </c>
      <c r="G1057" s="213" t="s">
        <v>746</v>
      </c>
      <c r="H1057" s="202"/>
      <c r="I1057" s="203"/>
      <c r="J1057" s="203"/>
      <c r="K1057" s="202" t="s">
        <v>2670</v>
      </c>
      <c r="L1057" s="202" t="s">
        <v>2671</v>
      </c>
      <c r="M1057" s="202"/>
      <c r="N1057" s="202"/>
      <c r="O1057" s="202"/>
      <c r="P1057" s="202"/>
      <c r="Q1057" s="208"/>
      <c r="R1057" s="86"/>
      <c r="S1057" s="114">
        <f t="shared" ref="S1057:T1057" si="1058">A1057</f>
        <v>1057</v>
      </c>
      <c r="T1057" s="114" t="str">
        <f t="shared" si="1058"/>
        <v>فرزانه هراتی</v>
      </c>
      <c r="U1057" s="86" t="str">
        <f t="shared" si="3"/>
        <v>09122498488</v>
      </c>
      <c r="V1057" s="86" t="str">
        <f t="shared" si="4"/>
        <v>پیش‌وایی 9</v>
      </c>
      <c r="W1057" s="86"/>
      <c r="X1057" s="86"/>
    </row>
    <row r="1058">
      <c r="A1058" s="192">
        <v>1058.0</v>
      </c>
      <c r="B1058" s="193" t="s">
        <v>5105</v>
      </c>
      <c r="C1058" s="194" t="s">
        <v>5286</v>
      </c>
      <c r="D1058" s="195" t="str">
        <f>IFERROR(__xludf.DUMMYFUNCTION("ARRAYFORMULA(LET( converted, SUBSTITUTE( SUBSTITUTE( SUBSTITUTE( SUBSTITUTE( SUBSTITUTE( SUBSTITUTE( SUBSTITUTE( SUBSTITUTE( SUBSTITUTE( SUBSTITUTE( C1058, ""۰"", ""0""), ""۱"", ""1""), ""۲"", ""2""), ""۳"", ""3""), ""۴"", ""4""), ""۵"", ""5""), ""۶"", """&amp;"6""), ""۷"", ""7""), ""۸"", ""8""), ""۹"", ""9""), IF(LEFT(converted,3)=""+98"", ""0"" &amp; RIGHT(converted, LEN(converted)-3), IF(LEFT(converted,2)=""98"", ""0"" &amp; RIGHT(converted, LEN(converted)-2), IF(LEFT(converted,1)&lt;&gt;""0"", ""0"" &amp; converted, REGEXREPL"&amp;"ACE(converted , ""\s"", """")) ) ) ) )"),"09102107081")</f>
        <v>09102107081</v>
      </c>
      <c r="E1058" s="196" t="s">
        <v>17</v>
      </c>
      <c r="F1058" s="197">
        <v>9.0</v>
      </c>
      <c r="G1058" s="212" t="s">
        <v>730</v>
      </c>
      <c r="H1058" s="193"/>
      <c r="I1058" s="194"/>
      <c r="J1058" s="194"/>
      <c r="K1058" s="193" t="s">
        <v>307</v>
      </c>
      <c r="L1058" s="193" t="s">
        <v>2636</v>
      </c>
      <c r="M1058" s="193"/>
      <c r="N1058" s="193"/>
      <c r="O1058" s="193"/>
      <c r="P1058" s="193"/>
      <c r="Q1058" s="200"/>
      <c r="R1058" s="86"/>
      <c r="S1058" s="114">
        <f t="shared" ref="S1058:T1058" si="1059">A1058</f>
        <v>1058</v>
      </c>
      <c r="T1058" s="114" t="str">
        <f t="shared" si="1059"/>
        <v>محمدرضا شعبانی</v>
      </c>
      <c r="U1058" s="86" t="str">
        <f t="shared" si="3"/>
        <v>09102107081</v>
      </c>
      <c r="V1058" s="86" t="str">
        <f t="shared" si="4"/>
        <v>پیش‌وایی 9</v>
      </c>
      <c r="W1058" s="86"/>
      <c r="X1058" s="86"/>
    </row>
    <row r="1059">
      <c r="A1059" s="201">
        <v>1059.0</v>
      </c>
      <c r="B1059" s="202" t="s">
        <v>4909</v>
      </c>
      <c r="C1059" s="203" t="s">
        <v>5287</v>
      </c>
      <c r="D1059" s="204" t="str">
        <f>IFERROR(__xludf.DUMMYFUNCTION("ARRAYFORMULA(LET( converted, SUBSTITUTE( SUBSTITUTE( SUBSTITUTE( SUBSTITUTE( SUBSTITUTE( SUBSTITUTE( SUBSTITUTE( SUBSTITUTE( SUBSTITUTE( SUBSTITUTE( C1059, ""۰"", ""0""), ""۱"", ""1""), ""۲"", ""2""), ""۳"", ""3""), ""۴"", ""4""), ""۵"", ""5""), ""۶"", """&amp;"6""), ""۷"", ""7""), ""۸"", ""8""), ""۹"", ""9""), IF(LEFT(converted,3)=""+98"", ""0"" &amp; RIGHT(converted, LEN(converted)-3), IF(LEFT(converted,2)=""98"", ""0"" &amp; RIGHT(converted, LEN(converted)-2), IF(LEFT(converted,1)&lt;&gt;""0"", ""0"" &amp; converted, REGEXREPL"&amp;"ACE(converted , ""\s"", """")) ) ) ) )"),"09173729259")</f>
        <v>09173729259</v>
      </c>
      <c r="E1059" s="205" t="s">
        <v>17</v>
      </c>
      <c r="F1059" s="206">
        <v>9.0</v>
      </c>
      <c r="G1059" s="213" t="s">
        <v>746</v>
      </c>
      <c r="H1059" s="202"/>
      <c r="I1059" s="203"/>
      <c r="J1059" s="203"/>
      <c r="K1059" s="202" t="s">
        <v>4912</v>
      </c>
      <c r="L1059" s="202" t="s">
        <v>4893</v>
      </c>
      <c r="M1059" s="202"/>
      <c r="N1059" s="202"/>
      <c r="O1059" s="202"/>
      <c r="P1059" s="202"/>
      <c r="Q1059" s="208"/>
      <c r="R1059" s="86"/>
      <c r="S1059" s="114">
        <f t="shared" ref="S1059:T1059" si="1060">A1059</f>
        <v>1059</v>
      </c>
      <c r="T1059" s="114" t="str">
        <f t="shared" si="1060"/>
        <v>سیمین دخت کبگانی</v>
      </c>
      <c r="U1059" s="86" t="str">
        <f t="shared" si="3"/>
        <v>09173729259</v>
      </c>
      <c r="V1059" s="86" t="str">
        <f t="shared" si="4"/>
        <v>پیش‌وایی 9</v>
      </c>
      <c r="W1059" s="86"/>
      <c r="X1059" s="86"/>
    </row>
    <row r="1060">
      <c r="A1060" s="192">
        <v>1060.0</v>
      </c>
      <c r="B1060" s="193" t="s">
        <v>4996</v>
      </c>
      <c r="C1060" s="194" t="s">
        <v>5288</v>
      </c>
      <c r="D1060" s="195" t="str">
        <f>IFERROR(__xludf.DUMMYFUNCTION("ARRAYFORMULA(LET( converted, SUBSTITUTE( SUBSTITUTE( SUBSTITUTE( SUBSTITUTE( SUBSTITUTE( SUBSTITUTE( SUBSTITUTE( SUBSTITUTE( SUBSTITUTE( SUBSTITUTE( C1060, ""۰"", ""0""), ""۱"", ""1""), ""۲"", ""2""), ""۳"", ""3""), ""۴"", ""4""), ""۵"", ""5""), ""۶"", """&amp;"6""), ""۷"", ""7""), ""۸"", ""8""), ""۹"", ""9""), IF(LEFT(converted,3)=""+98"", ""0"" &amp; RIGHT(converted, LEN(converted)-3), IF(LEFT(converted,2)=""98"", ""0"" &amp; RIGHT(converted, LEN(converted)-2), IF(LEFT(converted,1)&lt;&gt;""0"", ""0"" &amp; converted, REGEXREPL"&amp;"ACE(converted , ""\s"", """")) ) ) ) )"),"09127622270")</f>
        <v>09127622270</v>
      </c>
      <c r="E1060" s="196" t="s">
        <v>17</v>
      </c>
      <c r="F1060" s="197">
        <v>9.0</v>
      </c>
      <c r="G1060" s="212" t="s">
        <v>746</v>
      </c>
      <c r="H1060" s="193"/>
      <c r="I1060" s="194"/>
      <c r="J1060" s="194"/>
      <c r="K1060" s="193" t="s">
        <v>274</v>
      </c>
      <c r="L1060" s="193" t="s">
        <v>4999</v>
      </c>
      <c r="M1060" s="193"/>
      <c r="N1060" s="193"/>
      <c r="O1060" s="193"/>
      <c r="P1060" s="193"/>
      <c r="Q1060" s="200"/>
      <c r="R1060" s="86"/>
      <c r="S1060" s="114">
        <f t="shared" ref="S1060:T1060" si="1061">A1060</f>
        <v>1060</v>
      </c>
      <c r="T1060" s="114" t="str">
        <f t="shared" si="1061"/>
        <v>فاطمه کرمیان</v>
      </c>
      <c r="U1060" s="86" t="str">
        <f t="shared" si="3"/>
        <v>09127622270</v>
      </c>
      <c r="V1060" s="86" t="str">
        <f t="shared" si="4"/>
        <v>پیش‌وایی 9</v>
      </c>
      <c r="W1060" s="86"/>
      <c r="X1060" s="86"/>
    </row>
    <row r="1061">
      <c r="A1061" s="201">
        <v>1061.0</v>
      </c>
      <c r="B1061" s="202" t="s">
        <v>2461</v>
      </c>
      <c r="C1061" s="203" t="s">
        <v>284</v>
      </c>
      <c r="D1061" s="204" t="str">
        <f>IFERROR(__xludf.DUMMYFUNCTION("ARRAYFORMULA(LET( converted, SUBSTITUTE( SUBSTITUTE( SUBSTITUTE( SUBSTITUTE( SUBSTITUTE( SUBSTITUTE( SUBSTITUTE( SUBSTITUTE( SUBSTITUTE( SUBSTITUTE( C1061, ""۰"", ""0""), ""۱"", ""1""), ""۲"", ""2""), ""۳"", ""3""), ""۴"", ""4""), ""۵"", ""5""), ""۶"", """&amp;"6""), ""۷"", ""7""), ""۸"", ""8""), ""۹"", ""9""), IF(LEFT(converted,3)=""+98"", ""0"" &amp; RIGHT(converted, LEN(converted)-3), IF(LEFT(converted,2)=""98"", ""0"" &amp; RIGHT(converted, LEN(converted)-2), IF(LEFT(converted,1)&lt;&gt;""0"", ""0"" &amp; converted, REGEXREPL"&amp;"ACE(converted , ""\s"", """")) ) ) ) )"),"09125936532")</f>
        <v>09125936532</v>
      </c>
      <c r="E1061" s="205" t="s">
        <v>17</v>
      </c>
      <c r="F1061" s="206">
        <v>9.0</v>
      </c>
      <c r="G1061" s="213" t="s">
        <v>730</v>
      </c>
      <c r="H1061" s="202"/>
      <c r="I1061" s="203"/>
      <c r="J1061" s="203"/>
      <c r="K1061" s="202" t="s">
        <v>186</v>
      </c>
      <c r="L1061" s="202" t="s">
        <v>283</v>
      </c>
      <c r="M1061" s="202"/>
      <c r="N1061" s="202"/>
      <c r="O1061" s="202"/>
      <c r="P1061" s="202"/>
      <c r="Q1061" s="208"/>
      <c r="R1061" s="86"/>
      <c r="S1061" s="114">
        <f t="shared" ref="S1061:T1061" si="1062">A1061</f>
        <v>1061</v>
      </c>
      <c r="T1061" s="114" t="str">
        <f t="shared" si="1062"/>
        <v>فرزاد سلطان آبادی</v>
      </c>
      <c r="U1061" s="86" t="str">
        <f t="shared" si="3"/>
        <v>09125936532</v>
      </c>
      <c r="V1061" s="86" t="str">
        <f t="shared" si="4"/>
        <v>پیش‌وایی 9</v>
      </c>
      <c r="W1061" s="86"/>
      <c r="X1061" s="86"/>
    </row>
    <row r="1062">
      <c r="A1062" s="192">
        <v>1062.0</v>
      </c>
      <c r="B1062" s="193" t="s">
        <v>5289</v>
      </c>
      <c r="C1062" s="194" t="s">
        <v>5290</v>
      </c>
      <c r="D1062" s="195" t="str">
        <f>IFERROR(__xludf.DUMMYFUNCTION("ARRAYFORMULA(LET( converted, SUBSTITUTE( SUBSTITUTE( SUBSTITUTE( SUBSTITUTE( SUBSTITUTE( SUBSTITUTE( SUBSTITUTE( SUBSTITUTE( SUBSTITUTE( SUBSTITUTE( C1062, ""۰"", ""0""), ""۱"", ""1""), ""۲"", ""2""), ""۳"", ""3""), ""۴"", ""4""), ""۵"", ""5""), ""۶"", """&amp;"6""), ""۷"", ""7""), ""۸"", ""8""), ""۹"", ""9""), IF(LEFT(converted,3)=""+98"", ""0"" &amp; RIGHT(converted, LEN(converted)-3), IF(LEFT(converted,2)=""98"", ""0"" &amp; RIGHT(converted, LEN(converted)-2), IF(LEFT(converted,1)&lt;&gt;""0"", ""0"" &amp; converted, REGEXREPL"&amp;"ACE(converted , ""\s"", """")) ) ) ) )"),"09127224421")</f>
        <v>09127224421</v>
      </c>
      <c r="E1062" s="196" t="s">
        <v>17</v>
      </c>
      <c r="F1062" s="197">
        <v>9.0</v>
      </c>
      <c r="G1062" s="212" t="s">
        <v>730</v>
      </c>
      <c r="H1062" s="193"/>
      <c r="I1062" s="194"/>
      <c r="J1062" s="194"/>
      <c r="K1062" s="193" t="s">
        <v>27</v>
      </c>
      <c r="L1062" s="193" t="s">
        <v>940</v>
      </c>
      <c r="M1062" s="193"/>
      <c r="N1062" s="193"/>
      <c r="O1062" s="193"/>
      <c r="P1062" s="193"/>
      <c r="Q1062" s="200"/>
      <c r="R1062" s="86"/>
      <c r="S1062" s="114">
        <f t="shared" ref="S1062:T1062" si="1063">A1062</f>
        <v>1062</v>
      </c>
      <c r="T1062" s="114" t="str">
        <f t="shared" si="1063"/>
        <v>مجید کریمی</v>
      </c>
      <c r="U1062" s="86" t="str">
        <f t="shared" si="3"/>
        <v>09127224421</v>
      </c>
      <c r="V1062" s="86" t="str">
        <f t="shared" si="4"/>
        <v>پیش‌وایی 9</v>
      </c>
      <c r="W1062" s="86"/>
      <c r="X1062" s="86"/>
    </row>
    <row r="1063">
      <c r="A1063" s="201">
        <v>1063.0</v>
      </c>
      <c r="B1063" s="202" t="s">
        <v>5291</v>
      </c>
      <c r="C1063" s="203" t="s">
        <v>5292</v>
      </c>
      <c r="D1063" s="204" t="str">
        <f>IFERROR(__xludf.DUMMYFUNCTION("ARRAYFORMULA(LET( converted, SUBSTITUTE( SUBSTITUTE( SUBSTITUTE( SUBSTITUTE( SUBSTITUTE( SUBSTITUTE( SUBSTITUTE( SUBSTITUTE( SUBSTITUTE( SUBSTITUTE( C1063, ""۰"", ""0""), ""۱"", ""1""), ""۲"", ""2""), ""۳"", ""3""), ""۴"", ""4""), ""۵"", ""5""), ""۶"", """&amp;"6""), ""۷"", ""7""), ""۸"", ""8""), ""۹"", ""9""), IF(LEFT(converted,3)=""+98"", ""0"" &amp; RIGHT(converted, LEN(converted)-3), IF(LEFT(converted,2)=""98"", ""0"" &amp; RIGHT(converted, LEN(converted)-2), IF(LEFT(converted,1)&lt;&gt;""0"", ""0"" &amp; converted, REGEXREPL"&amp;"ACE(converted , ""\s"", """")) ) ) ) )"),"09106714956")</f>
        <v>09106714956</v>
      </c>
      <c r="E1063" s="205" t="s">
        <v>17</v>
      </c>
      <c r="F1063" s="206">
        <v>9.0</v>
      </c>
      <c r="G1063" s="213" t="s">
        <v>746</v>
      </c>
      <c r="H1063" s="202"/>
      <c r="I1063" s="203"/>
      <c r="J1063" s="203"/>
      <c r="K1063" s="202" t="s">
        <v>5293</v>
      </c>
      <c r="L1063" s="202" t="s">
        <v>4908</v>
      </c>
      <c r="M1063" s="202"/>
      <c r="N1063" s="202"/>
      <c r="O1063" s="202"/>
      <c r="P1063" s="202"/>
      <c r="Q1063" s="208"/>
      <c r="R1063" s="86"/>
      <c r="S1063" s="114">
        <f t="shared" ref="S1063:T1063" si="1064">A1063</f>
        <v>1063</v>
      </c>
      <c r="T1063" s="114" t="str">
        <f t="shared" si="1064"/>
        <v>نیایش علوی</v>
      </c>
      <c r="U1063" s="86" t="str">
        <f t="shared" si="3"/>
        <v>09106714956</v>
      </c>
      <c r="V1063" s="86" t="str">
        <f t="shared" si="4"/>
        <v>پیش‌وایی 9</v>
      </c>
      <c r="W1063" s="86"/>
      <c r="X1063" s="86"/>
    </row>
    <row r="1064">
      <c r="A1064" s="192">
        <v>1064.0</v>
      </c>
      <c r="B1064" s="193" t="s">
        <v>73</v>
      </c>
      <c r="C1064" s="194"/>
      <c r="D1064" s="195" t="str">
        <f>IFERROR(__xludf.DUMMYFUNCTION("ARRAYFORMULA(LET( converted, SUBSTITUTE( SUBSTITUTE( SUBSTITUTE( SUBSTITUTE( SUBSTITUTE( SUBSTITUTE( SUBSTITUTE( SUBSTITUTE( SUBSTITUTE( SUBSTITUTE( C1064, ""۰"", ""0""), ""۱"", ""1""), ""۲"", ""2""), ""۳"", ""3""), ""۴"", ""4""), ""۵"", ""5""), ""۶"", """&amp;"6""), ""۷"", ""7""), ""۸"", ""8""), ""۹"", ""9""), IF(LEFT(converted,3)=""+98"", ""0"" &amp; RIGHT(converted, LEN(converted)-3), IF(LEFT(converted,2)=""98"", ""0"" &amp; RIGHT(converted, LEN(converted)-2), IF(LEFT(converted,1)&lt;&gt;""0"", ""0"" &amp; converted, REGEXREPL"&amp;"ACE(converted , ""\s"", """")) ) ) ) )"),"0")</f>
        <v>0</v>
      </c>
      <c r="E1064" s="196" t="s">
        <v>17</v>
      </c>
      <c r="F1064" s="197">
        <v>9.0</v>
      </c>
      <c r="G1064" s="212" t="s">
        <v>730</v>
      </c>
      <c r="H1064" s="193"/>
      <c r="I1064" s="194"/>
      <c r="J1064" s="194"/>
      <c r="K1064" s="193" t="s">
        <v>185</v>
      </c>
      <c r="L1064" s="193" t="s">
        <v>289</v>
      </c>
      <c r="M1064" s="193"/>
      <c r="N1064" s="193"/>
      <c r="O1064" s="193"/>
      <c r="P1064" s="193"/>
      <c r="Q1064" s="200"/>
      <c r="R1064" s="86"/>
      <c r="S1064" s="114">
        <f t="shared" ref="S1064:T1064" si="1065">A1064</f>
        <v>1064</v>
      </c>
      <c r="T1064" s="114" t="str">
        <f t="shared" si="1065"/>
        <v>مهران میکائیلی</v>
      </c>
      <c r="U1064" s="86" t="str">
        <f t="shared" si="3"/>
        <v>0</v>
      </c>
      <c r="V1064" s="86" t="str">
        <f t="shared" si="4"/>
        <v>پیش‌وایی 9</v>
      </c>
      <c r="W1064" s="86"/>
      <c r="X1064" s="86"/>
    </row>
    <row r="1065">
      <c r="A1065" s="201">
        <v>1065.0</v>
      </c>
      <c r="B1065" s="202" t="s">
        <v>4744</v>
      </c>
      <c r="C1065" s="203" t="s">
        <v>5294</v>
      </c>
      <c r="D1065" s="204" t="str">
        <f>IFERROR(__xludf.DUMMYFUNCTION("ARRAYFORMULA(LET( converted, SUBSTITUTE( SUBSTITUTE( SUBSTITUTE( SUBSTITUTE( SUBSTITUTE( SUBSTITUTE( SUBSTITUTE( SUBSTITUTE( SUBSTITUTE( SUBSTITUTE( C1065, ""۰"", ""0""), ""۱"", ""1""), ""۲"", ""2""), ""۳"", ""3""), ""۴"", ""4""), ""۵"", ""5""), ""۶"", """&amp;"6""), ""۷"", ""7""), ""۸"", ""8""), ""۹"", ""9""), IF(LEFT(converted,3)=""+98"", ""0"" &amp; RIGHT(converted, LEN(converted)-3), IF(LEFT(converted,2)=""98"", ""0"" &amp; RIGHT(converted, LEN(converted)-2), IF(LEFT(converted,1)&lt;&gt;""0"", ""0"" &amp; converted, REGEXREPL"&amp;"ACE(converted , ""\s"", """")) ) ) ) )"),"09144327232")</f>
        <v>09144327232</v>
      </c>
      <c r="E1065" s="205" t="s">
        <v>17</v>
      </c>
      <c r="F1065" s="206">
        <v>9.0</v>
      </c>
      <c r="G1065" s="213" t="s">
        <v>746</v>
      </c>
      <c r="H1065" s="202"/>
      <c r="I1065" s="203"/>
      <c r="J1065" s="203"/>
      <c r="K1065" s="202" t="s">
        <v>1692</v>
      </c>
      <c r="L1065" s="202" t="s">
        <v>4747</v>
      </c>
      <c r="M1065" s="202"/>
      <c r="N1065" s="202"/>
      <c r="O1065" s="202"/>
      <c r="P1065" s="202"/>
      <c r="Q1065" s="208"/>
      <c r="R1065" s="86"/>
      <c r="S1065" s="114">
        <f t="shared" ref="S1065:T1065" si="1066">A1065</f>
        <v>1065</v>
      </c>
      <c r="T1065" s="114" t="str">
        <f t="shared" si="1066"/>
        <v>الهام اجتهادی</v>
      </c>
      <c r="U1065" s="86" t="str">
        <f t="shared" si="3"/>
        <v>09144327232</v>
      </c>
      <c r="V1065" s="86" t="str">
        <f t="shared" si="4"/>
        <v>پیش‌وایی 9</v>
      </c>
      <c r="W1065" s="86"/>
      <c r="X1065" s="86"/>
    </row>
    <row r="1066">
      <c r="A1066" s="192">
        <v>1066.0</v>
      </c>
      <c r="B1066" s="193" t="s">
        <v>5295</v>
      </c>
      <c r="C1066" s="194" t="s">
        <v>5296</v>
      </c>
      <c r="D1066" s="195" t="str">
        <f>IFERROR(__xludf.DUMMYFUNCTION("ARRAYFORMULA(LET( converted, SUBSTITUTE( SUBSTITUTE( SUBSTITUTE( SUBSTITUTE( SUBSTITUTE( SUBSTITUTE( SUBSTITUTE( SUBSTITUTE( SUBSTITUTE( SUBSTITUTE( C1066, ""۰"", ""0""), ""۱"", ""1""), ""۲"", ""2""), ""۳"", ""3""), ""۴"", ""4""), ""۵"", ""5""), ""۶"", """&amp;"6""), ""۷"", ""7""), ""۸"", ""8""), ""۹"", ""9""), IF(LEFT(converted,3)=""+98"", ""0"" &amp; RIGHT(converted, LEN(converted)-3), IF(LEFT(converted,2)=""98"", ""0"" &amp; RIGHT(converted, LEN(converted)-2), IF(LEFT(converted,1)&lt;&gt;""0"", ""0"" &amp; converted, REGEXREPL"&amp;"ACE(converted , ""\s"", """")) ) ) ) )"),"09128695163")</f>
        <v>09128695163</v>
      </c>
      <c r="E1066" s="196" t="s">
        <v>17</v>
      </c>
      <c r="F1066" s="197">
        <v>9.0</v>
      </c>
      <c r="G1066" s="212" t="s">
        <v>746</v>
      </c>
      <c r="H1066" s="193"/>
      <c r="I1066" s="194"/>
      <c r="J1066" s="194"/>
      <c r="K1066" s="193" t="s">
        <v>1685</v>
      </c>
      <c r="L1066" s="193" t="s">
        <v>5297</v>
      </c>
      <c r="M1066" s="193"/>
      <c r="N1066" s="193"/>
      <c r="O1066" s="193"/>
      <c r="P1066" s="193"/>
      <c r="Q1066" s="200"/>
      <c r="R1066" s="86"/>
      <c r="S1066" s="114">
        <f t="shared" ref="S1066:T1066" si="1067">A1066</f>
        <v>1066</v>
      </c>
      <c r="T1066" s="114" t="str">
        <f t="shared" si="1067"/>
        <v>سارا پورشنواد</v>
      </c>
      <c r="U1066" s="86" t="str">
        <f t="shared" si="3"/>
        <v>09128695163</v>
      </c>
      <c r="V1066" s="86" t="str">
        <f t="shared" si="4"/>
        <v>پیش‌وایی 9</v>
      </c>
      <c r="W1066" s="86"/>
      <c r="X1066" s="86"/>
    </row>
    <row r="1067">
      <c r="A1067" s="201">
        <v>1067.0</v>
      </c>
      <c r="B1067" s="202" t="s">
        <v>4522</v>
      </c>
      <c r="C1067" s="203" t="s">
        <v>5298</v>
      </c>
      <c r="D1067" s="204" t="str">
        <f>IFERROR(__xludf.DUMMYFUNCTION("ARRAYFORMULA(LET( converted, SUBSTITUTE( SUBSTITUTE( SUBSTITUTE( SUBSTITUTE( SUBSTITUTE( SUBSTITUTE( SUBSTITUTE( SUBSTITUTE( SUBSTITUTE( SUBSTITUTE( C1067, ""۰"", ""0""), ""۱"", ""1""), ""۲"", ""2""), ""۳"", ""3""), ""۴"", ""4""), ""۵"", ""5""), ""۶"", """&amp;"6""), ""۷"", ""7""), ""۸"", ""8""), ""۹"", ""9""), IF(LEFT(converted,3)=""+98"", ""0"" &amp; RIGHT(converted, LEN(converted)-3), IF(LEFT(converted,2)=""98"", ""0"" &amp; RIGHT(converted, LEN(converted)-2), IF(LEFT(converted,1)&lt;&gt;""0"", ""0"" &amp; converted, REGEXREPL"&amp;"ACE(converted , ""\s"", """")) ) ) ) )"),"09122141260")</f>
        <v>09122141260</v>
      </c>
      <c r="E1067" s="205" t="s">
        <v>17</v>
      </c>
      <c r="F1067" s="206">
        <v>9.0</v>
      </c>
      <c r="G1067" s="213" t="s">
        <v>746</v>
      </c>
      <c r="H1067" s="202"/>
      <c r="I1067" s="203"/>
      <c r="J1067" s="203"/>
      <c r="K1067" s="202" t="s">
        <v>1685</v>
      </c>
      <c r="L1067" s="202" t="s">
        <v>4526</v>
      </c>
      <c r="M1067" s="202"/>
      <c r="N1067" s="202"/>
      <c r="O1067" s="202"/>
      <c r="P1067" s="202"/>
      <c r="Q1067" s="208"/>
      <c r="R1067" s="86"/>
      <c r="S1067" s="114">
        <f t="shared" ref="S1067:T1067" si="1068">A1067</f>
        <v>1067</v>
      </c>
      <c r="T1067" s="114" t="str">
        <f t="shared" si="1068"/>
        <v>سارا بردستانی</v>
      </c>
      <c r="U1067" s="86" t="str">
        <f t="shared" si="3"/>
        <v>09122141260</v>
      </c>
      <c r="V1067" s="86" t="str">
        <f t="shared" si="4"/>
        <v>پیش‌وایی 9</v>
      </c>
      <c r="W1067" s="86"/>
      <c r="X1067" s="86"/>
    </row>
    <row r="1068">
      <c r="A1068" s="192">
        <v>1068.0</v>
      </c>
      <c r="B1068" s="193" t="s">
        <v>5299</v>
      </c>
      <c r="C1068" s="194" t="s">
        <v>5300</v>
      </c>
      <c r="D1068" s="195" t="str">
        <f>IFERROR(__xludf.DUMMYFUNCTION("ARRAYFORMULA(LET( converted, SUBSTITUTE( SUBSTITUTE( SUBSTITUTE( SUBSTITUTE( SUBSTITUTE( SUBSTITUTE( SUBSTITUTE( SUBSTITUTE( SUBSTITUTE( SUBSTITUTE( C1068, ""۰"", ""0""), ""۱"", ""1""), ""۲"", ""2""), ""۳"", ""3""), ""۴"", ""4""), ""۵"", ""5""), ""۶"", """&amp;"6""), ""۷"", ""7""), ""۸"", ""8""), ""۹"", ""9""), IF(LEFT(converted,3)=""+98"", ""0"" &amp; RIGHT(converted, LEN(converted)-3), IF(LEFT(converted,2)=""98"", ""0"" &amp; RIGHT(converted, LEN(converted)-2), IF(LEFT(converted,1)&lt;&gt;""0"", ""0"" &amp; converted, REGEXREPL"&amp;"ACE(converted , ""\s"", """")) ) ) ) )"),"09123589600")</f>
        <v>09123589600</v>
      </c>
      <c r="E1068" s="196" t="s">
        <v>17</v>
      </c>
      <c r="F1068" s="197">
        <v>9.0</v>
      </c>
      <c r="G1068" s="212" t="s">
        <v>730</v>
      </c>
      <c r="H1068" s="193"/>
      <c r="I1068" s="194"/>
      <c r="J1068" s="194"/>
      <c r="K1068" s="193" t="s">
        <v>1018</v>
      </c>
      <c r="L1068" s="193" t="s">
        <v>358</v>
      </c>
      <c r="M1068" s="193"/>
      <c r="N1068" s="193"/>
      <c r="O1068" s="193"/>
      <c r="P1068" s="193"/>
      <c r="Q1068" s="200"/>
      <c r="R1068" s="86"/>
      <c r="S1068" s="114">
        <f t="shared" ref="S1068:T1068" si="1069">A1068</f>
        <v>1068</v>
      </c>
      <c r="T1068" s="114" t="str">
        <f t="shared" si="1069"/>
        <v>علی باقری</v>
      </c>
      <c r="U1068" s="86" t="str">
        <f t="shared" si="3"/>
        <v>09123589600</v>
      </c>
      <c r="V1068" s="86" t="str">
        <f t="shared" si="4"/>
        <v>پیش‌وایی 9</v>
      </c>
      <c r="W1068" s="86"/>
      <c r="X1068" s="86"/>
    </row>
    <row r="1069">
      <c r="A1069" s="201">
        <v>1069.0</v>
      </c>
      <c r="B1069" s="202" t="s">
        <v>5301</v>
      </c>
      <c r="C1069" s="203" t="s">
        <v>5302</v>
      </c>
      <c r="D1069" s="204" t="str">
        <f>IFERROR(__xludf.DUMMYFUNCTION("ARRAYFORMULA(LET( converted, SUBSTITUTE( SUBSTITUTE( SUBSTITUTE( SUBSTITUTE( SUBSTITUTE( SUBSTITUTE( SUBSTITUTE( SUBSTITUTE( SUBSTITUTE( SUBSTITUTE( C1069, ""۰"", ""0""), ""۱"", ""1""), ""۲"", ""2""), ""۳"", ""3""), ""۴"", ""4""), ""۵"", ""5""), ""۶"", """&amp;"6""), ""۷"", ""7""), ""۸"", ""8""), ""۹"", ""9""), IF(LEFT(converted,3)=""+98"", ""0"" &amp; RIGHT(converted, LEN(converted)-3), IF(LEFT(converted,2)=""98"", ""0"" &amp; RIGHT(converted, LEN(converted)-2), IF(LEFT(converted,1)&lt;&gt;""0"", ""0"" &amp; converted, REGEXREPL"&amp;"ACE(converted , ""\s"", """")) ) ) ) )"),"09124753102")</f>
        <v>09124753102</v>
      </c>
      <c r="E1069" s="205" t="s">
        <v>17</v>
      </c>
      <c r="F1069" s="206">
        <v>9.0</v>
      </c>
      <c r="G1069" s="213" t="s">
        <v>730</v>
      </c>
      <c r="H1069" s="202"/>
      <c r="I1069" s="203"/>
      <c r="J1069" s="203"/>
      <c r="K1069" s="202" t="s">
        <v>286</v>
      </c>
      <c r="L1069" s="202" t="s">
        <v>5303</v>
      </c>
      <c r="M1069" s="202"/>
      <c r="N1069" s="202"/>
      <c r="O1069" s="202"/>
      <c r="P1069" s="202"/>
      <c r="Q1069" s="208"/>
      <c r="R1069" s="86"/>
      <c r="S1069" s="114">
        <f t="shared" ref="S1069:T1069" si="1070">A1069</f>
        <v>1069</v>
      </c>
      <c r="T1069" s="114" t="str">
        <f t="shared" si="1070"/>
        <v>مهدی مهدی‌پور</v>
      </c>
      <c r="U1069" s="86" t="str">
        <f t="shared" si="3"/>
        <v>09124753102</v>
      </c>
      <c r="V1069" s="86" t="str">
        <f t="shared" si="4"/>
        <v>پیش‌وایی 9</v>
      </c>
      <c r="W1069" s="86"/>
      <c r="X1069" s="86"/>
    </row>
    <row r="1070">
      <c r="A1070" s="192">
        <v>1070.0</v>
      </c>
      <c r="B1070" s="193" t="s">
        <v>1799</v>
      </c>
      <c r="C1070" s="194" t="s">
        <v>5280</v>
      </c>
      <c r="D1070" s="195" t="str">
        <f>IFERROR(__xludf.DUMMYFUNCTION("ARRAYFORMULA(LET( converted, SUBSTITUTE( SUBSTITUTE( SUBSTITUTE( SUBSTITUTE( SUBSTITUTE( SUBSTITUTE( SUBSTITUTE( SUBSTITUTE( SUBSTITUTE( SUBSTITUTE( C1070, ""۰"", ""0""), ""۱"", ""1""), ""۲"", ""2""), ""۳"", ""3""), ""۴"", ""4""), ""۵"", ""5""), ""۶"", """&amp;"6""), ""۷"", ""7""), ""۸"", ""8""), ""۹"", ""9""), IF(LEFT(converted,3)=""+98"", ""0"" &amp; RIGHT(converted, LEN(converted)-3), IF(LEFT(converted,2)=""98"", ""0"" &amp; RIGHT(converted, LEN(converted)-2), IF(LEFT(converted,1)&lt;&gt;""0"", ""0"" &amp; converted, REGEXREPL"&amp;"ACE(converted , ""\s"", """")) ) ) ) )"),"0###########")</f>
        <v>0###########</v>
      </c>
      <c r="E1070" s="196" t="s">
        <v>17</v>
      </c>
      <c r="F1070" s="197">
        <v>9.0</v>
      </c>
      <c r="G1070" s="212" t="s">
        <v>730</v>
      </c>
      <c r="H1070" s="193"/>
      <c r="I1070" s="194"/>
      <c r="J1070" s="194"/>
      <c r="K1070" s="193" t="s">
        <v>259</v>
      </c>
      <c r="L1070" s="193" t="s">
        <v>260</v>
      </c>
      <c r="M1070" s="193"/>
      <c r="N1070" s="193"/>
      <c r="O1070" s="193"/>
      <c r="P1070" s="193"/>
      <c r="Q1070" s="200"/>
      <c r="R1070" s="86"/>
      <c r="S1070" s="114">
        <f t="shared" ref="S1070:T1070" si="1071">A1070</f>
        <v>1070</v>
      </c>
      <c r="T1070" s="114" t="str">
        <f t="shared" si="1071"/>
        <v>علیرضا طالعی</v>
      </c>
      <c r="U1070" s="86" t="str">
        <f t="shared" si="3"/>
        <v>0###########</v>
      </c>
      <c r="V1070" s="86" t="str">
        <f t="shared" si="4"/>
        <v>پیش‌وایی 9</v>
      </c>
      <c r="W1070" s="86"/>
      <c r="X1070" s="86"/>
    </row>
    <row r="1071">
      <c r="A1071" s="201">
        <v>1071.0</v>
      </c>
      <c r="B1071" s="202" t="s">
        <v>1556</v>
      </c>
      <c r="C1071" s="203" t="s">
        <v>5304</v>
      </c>
      <c r="D1071" s="204" t="str">
        <f>IFERROR(__xludf.DUMMYFUNCTION("ARRAYFORMULA(LET( converted, SUBSTITUTE( SUBSTITUTE( SUBSTITUTE( SUBSTITUTE( SUBSTITUTE( SUBSTITUTE( SUBSTITUTE( SUBSTITUTE( SUBSTITUTE( SUBSTITUTE( C1071, ""۰"", ""0""), ""۱"", ""1""), ""۲"", ""2""), ""۳"", ""3""), ""۴"", ""4""), ""۵"", ""5""), ""۶"", """&amp;"6""), ""۷"", ""7""), ""۸"", ""8""), ""۹"", ""9""), IF(LEFT(converted,3)=""+98"", ""0"" &amp; RIGHT(converted, LEN(converted)-3), IF(LEFT(converted,2)=""98"", ""0"" &amp; RIGHT(converted, LEN(converted)-2), IF(LEFT(converted,1)&lt;&gt;""0"", ""0"" &amp; converted, REGEXREPL"&amp;"ACE(converted , ""\s"", """")) ) ) ) )"),"08128093617")</f>
        <v>08128093617</v>
      </c>
      <c r="E1071" s="205" t="s">
        <v>17</v>
      </c>
      <c r="F1071" s="206">
        <v>9.0</v>
      </c>
      <c r="G1071" s="213" t="s">
        <v>746</v>
      </c>
      <c r="H1071" s="202"/>
      <c r="I1071" s="203"/>
      <c r="J1071" s="203"/>
      <c r="K1071" s="202" t="s">
        <v>274</v>
      </c>
      <c r="L1071" s="202" t="s">
        <v>1559</v>
      </c>
      <c r="M1071" s="202"/>
      <c r="N1071" s="202"/>
      <c r="O1071" s="202"/>
      <c r="P1071" s="202"/>
      <c r="Q1071" s="208"/>
      <c r="R1071" s="86"/>
      <c r="S1071" s="114">
        <f t="shared" ref="S1071:T1071" si="1072">A1071</f>
        <v>1071</v>
      </c>
      <c r="T1071" s="114" t="str">
        <f t="shared" si="1072"/>
        <v>فاطمه اشرفی</v>
      </c>
      <c r="U1071" s="86" t="str">
        <f t="shared" si="3"/>
        <v>08128093617</v>
      </c>
      <c r="V1071" s="86" t="str">
        <f t="shared" si="4"/>
        <v>پیش‌وایی 9</v>
      </c>
      <c r="W1071" s="86"/>
      <c r="X1071" s="86"/>
    </row>
    <row r="1072">
      <c r="A1072" s="192">
        <v>1072.0</v>
      </c>
      <c r="B1072" s="193" t="s">
        <v>5305</v>
      </c>
      <c r="C1072" s="194" t="s">
        <v>5306</v>
      </c>
      <c r="D1072" s="195" t="str">
        <f>IFERROR(__xludf.DUMMYFUNCTION("ARRAYFORMULA(LET( converted, SUBSTITUTE( SUBSTITUTE( SUBSTITUTE( SUBSTITUTE( SUBSTITUTE( SUBSTITUTE( SUBSTITUTE( SUBSTITUTE( SUBSTITUTE( SUBSTITUTE( C1072, ""۰"", ""0""), ""۱"", ""1""), ""۲"", ""2""), ""۳"", ""3""), ""۴"", ""4""), ""۵"", ""5""), ""۶"", """&amp;"6""), ""۷"", ""7""), ""۸"", ""8""), ""۹"", ""9""), IF(LEFT(converted,3)=""+98"", ""0"" &amp; RIGHT(converted, LEN(converted)-3), IF(LEFT(converted,2)=""98"", ""0"" &amp; RIGHT(converted, LEN(converted)-2), IF(LEFT(converted,1)&lt;&gt;""0"", ""0"" &amp; converted, REGEXREPL"&amp;"ACE(converted , ""\s"", """")) ) ) ) )"),"09391905728")</f>
        <v>09391905728</v>
      </c>
      <c r="E1072" s="196" t="s">
        <v>17</v>
      </c>
      <c r="F1072" s="197">
        <v>9.0</v>
      </c>
      <c r="G1072" s="212" t="s">
        <v>746</v>
      </c>
      <c r="H1072" s="193"/>
      <c r="I1072" s="194"/>
      <c r="J1072" s="194"/>
      <c r="K1072" s="193" t="s">
        <v>1032</v>
      </c>
      <c r="L1072" s="193" t="s">
        <v>5307</v>
      </c>
      <c r="M1072" s="193"/>
      <c r="N1072" s="193"/>
      <c r="O1072" s="193"/>
      <c r="P1072" s="193"/>
      <c r="Q1072" s="200"/>
      <c r="R1072" s="86"/>
      <c r="S1072" s="114">
        <f t="shared" ref="S1072:T1072" si="1073">A1072</f>
        <v>1072</v>
      </c>
      <c r="T1072" s="114" t="str">
        <f t="shared" si="1073"/>
        <v>آذین اصغری</v>
      </c>
      <c r="U1072" s="86" t="str">
        <f t="shared" si="3"/>
        <v>09391905728</v>
      </c>
      <c r="V1072" s="86" t="str">
        <f t="shared" si="4"/>
        <v>پیش‌وایی 9</v>
      </c>
      <c r="W1072" s="86"/>
      <c r="X1072" s="86"/>
    </row>
    <row r="1073">
      <c r="A1073" s="201">
        <v>1073.0</v>
      </c>
      <c r="B1073" s="202" t="s">
        <v>4757</v>
      </c>
      <c r="C1073" s="203" t="s">
        <v>5308</v>
      </c>
      <c r="D1073" s="204" t="str">
        <f>IFERROR(__xludf.DUMMYFUNCTION("ARRAYFORMULA(LET( converted, SUBSTITUTE( SUBSTITUTE( SUBSTITUTE( SUBSTITUTE( SUBSTITUTE( SUBSTITUTE( SUBSTITUTE( SUBSTITUTE( SUBSTITUTE( SUBSTITUTE( C1073, ""۰"", ""0""), ""۱"", ""1""), ""۲"", ""2""), ""۳"", ""3""), ""۴"", ""4""), ""۵"", ""5""), ""۶"", """&amp;"6""), ""۷"", ""7""), ""۸"", ""8""), ""۹"", ""9""), IF(LEFT(converted,3)=""+98"", ""0"" &amp; RIGHT(converted, LEN(converted)-3), IF(LEFT(converted,2)=""98"", ""0"" &amp; RIGHT(converted, LEN(converted)-2), IF(LEFT(converted,1)&lt;&gt;""0"", ""0"" &amp; converted, REGEXREPL"&amp;"ACE(converted , ""\s"", """")) ) ) ) )"),"09120882522")</f>
        <v>09120882522</v>
      </c>
      <c r="E1073" s="205" t="s">
        <v>17</v>
      </c>
      <c r="F1073" s="206">
        <v>9.0</v>
      </c>
      <c r="G1073" s="213" t="s">
        <v>730</v>
      </c>
      <c r="H1073" s="202"/>
      <c r="I1073" s="203"/>
      <c r="J1073" s="203"/>
      <c r="K1073" s="202" t="s">
        <v>192</v>
      </c>
      <c r="L1073" s="202" t="s">
        <v>4759</v>
      </c>
      <c r="M1073" s="202"/>
      <c r="N1073" s="202"/>
      <c r="O1073" s="202"/>
      <c r="P1073" s="202"/>
      <c r="Q1073" s="208"/>
      <c r="R1073" s="86"/>
      <c r="S1073" s="114">
        <f t="shared" ref="S1073:T1073" si="1074">A1073</f>
        <v>1073</v>
      </c>
      <c r="T1073" s="114" t="str">
        <f t="shared" si="1074"/>
        <v>امیرحسین قوام</v>
      </c>
      <c r="U1073" s="86" t="str">
        <f t="shared" si="3"/>
        <v>09120882522</v>
      </c>
      <c r="V1073" s="86" t="str">
        <f t="shared" si="4"/>
        <v>پیش‌وایی 9</v>
      </c>
      <c r="W1073" s="86"/>
      <c r="X1073" s="86"/>
    </row>
    <row r="1074">
      <c r="A1074" s="192">
        <v>1074.0</v>
      </c>
      <c r="B1074" s="193" t="s">
        <v>5309</v>
      </c>
      <c r="C1074" s="194" t="s">
        <v>5310</v>
      </c>
      <c r="D1074" s="195" t="str">
        <f>IFERROR(__xludf.DUMMYFUNCTION("ARRAYFORMULA(LET( converted, SUBSTITUTE( SUBSTITUTE( SUBSTITUTE( SUBSTITUTE( SUBSTITUTE( SUBSTITUTE( SUBSTITUTE( SUBSTITUTE( SUBSTITUTE( SUBSTITUTE( C1074, ""۰"", ""0""), ""۱"", ""1""), ""۲"", ""2""), ""۳"", ""3""), ""۴"", ""4""), ""۵"", ""5""), ""۶"", """&amp;"6""), ""۷"", ""7""), ""۸"", ""8""), ""۹"", ""9""), IF(LEFT(converted,3)=""+98"", ""0"" &amp; RIGHT(converted, LEN(converted)-3), IF(LEFT(converted,2)=""98"", ""0"" &amp; RIGHT(converted, LEN(converted)-2), IF(LEFT(converted,1)&lt;&gt;""0"", ""0"" &amp; converted, REGEXREPL"&amp;"ACE(converted , ""\s"", """")) ) ) ) )"),"09912092905")</f>
        <v>09912092905</v>
      </c>
      <c r="E1074" s="196" t="s">
        <v>17</v>
      </c>
      <c r="F1074" s="197">
        <v>9.0</v>
      </c>
      <c r="G1074" s="212" t="s">
        <v>746</v>
      </c>
      <c r="H1074" s="193"/>
      <c r="I1074" s="194"/>
      <c r="J1074" s="194"/>
      <c r="K1074" s="193" t="s">
        <v>329</v>
      </c>
      <c r="L1074" s="193" t="s">
        <v>330</v>
      </c>
      <c r="M1074" s="193"/>
      <c r="N1074" s="193"/>
      <c r="O1074" s="193"/>
      <c r="P1074" s="193"/>
      <c r="Q1074" s="200"/>
      <c r="R1074" s="86"/>
      <c r="S1074" s="114">
        <f t="shared" ref="S1074:T1074" si="1075">A1074</f>
        <v>1074</v>
      </c>
      <c r="T1074" s="114" t="str">
        <f t="shared" si="1075"/>
        <v>نگین محمودی</v>
      </c>
      <c r="U1074" s="86" t="str">
        <f t="shared" si="3"/>
        <v>09912092905</v>
      </c>
      <c r="V1074" s="86" t="str">
        <f t="shared" si="4"/>
        <v>پیش‌وایی 9</v>
      </c>
      <c r="W1074" s="86"/>
      <c r="X1074" s="86"/>
    </row>
    <row r="1075">
      <c r="A1075" s="201">
        <v>1075.0</v>
      </c>
      <c r="B1075" s="202" t="s">
        <v>5311</v>
      </c>
      <c r="C1075" s="203" t="s">
        <v>5312</v>
      </c>
      <c r="D1075" s="204" t="str">
        <f>IFERROR(__xludf.DUMMYFUNCTION("ARRAYFORMULA(LET( converted, SUBSTITUTE( SUBSTITUTE( SUBSTITUTE( SUBSTITUTE( SUBSTITUTE( SUBSTITUTE( SUBSTITUTE( SUBSTITUTE( SUBSTITUTE( SUBSTITUTE( C1075, ""۰"", ""0""), ""۱"", ""1""), ""۲"", ""2""), ""۳"", ""3""), ""۴"", ""4""), ""۵"", ""5""), ""۶"", """&amp;"6""), ""۷"", ""7""), ""۸"", ""8""), ""۹"", ""9""), IF(LEFT(converted,3)=""+98"", ""0"" &amp; RIGHT(converted, LEN(converted)-3), IF(LEFT(converted,2)=""98"", ""0"" &amp; RIGHT(converted, LEN(converted)-2), IF(LEFT(converted,1)&lt;&gt;""0"", ""0"" &amp; converted, REGEXREPL"&amp;"ACE(converted , ""\s"", """")) ) ) ) )"),"09136281326")</f>
        <v>09136281326</v>
      </c>
      <c r="E1075" s="205" t="s">
        <v>17</v>
      </c>
      <c r="F1075" s="206">
        <v>9.0</v>
      </c>
      <c r="G1075" s="213" t="s">
        <v>730</v>
      </c>
      <c r="H1075" s="202"/>
      <c r="I1075" s="203"/>
      <c r="J1075" s="203"/>
      <c r="K1075" s="202" t="s">
        <v>192</v>
      </c>
      <c r="L1075" s="202" t="s">
        <v>5313</v>
      </c>
      <c r="M1075" s="202"/>
      <c r="N1075" s="202"/>
      <c r="O1075" s="202"/>
      <c r="P1075" s="202"/>
      <c r="Q1075" s="208"/>
      <c r="R1075" s="86"/>
      <c r="S1075" s="114">
        <f t="shared" ref="S1075:T1075" si="1076">A1075</f>
        <v>1075</v>
      </c>
      <c r="T1075" s="114" t="str">
        <f t="shared" si="1076"/>
        <v>امیرحسین اکبری کچی</v>
      </c>
      <c r="U1075" s="86" t="str">
        <f t="shared" si="3"/>
        <v>09136281326</v>
      </c>
      <c r="V1075" s="86" t="str">
        <f t="shared" si="4"/>
        <v>پیش‌وایی 9</v>
      </c>
      <c r="W1075" s="86"/>
      <c r="X1075" s="86"/>
    </row>
    <row r="1076">
      <c r="A1076" s="192">
        <v>1076.0</v>
      </c>
      <c r="B1076" s="193" t="s">
        <v>5019</v>
      </c>
      <c r="C1076" s="194" t="s">
        <v>5280</v>
      </c>
      <c r="D1076" s="195" t="str">
        <f>IFERROR(__xludf.DUMMYFUNCTION("ARRAYFORMULA(LET( converted, SUBSTITUTE( SUBSTITUTE( SUBSTITUTE( SUBSTITUTE( SUBSTITUTE( SUBSTITUTE( SUBSTITUTE( SUBSTITUTE( SUBSTITUTE( SUBSTITUTE( C1076, ""۰"", ""0""), ""۱"", ""1""), ""۲"", ""2""), ""۳"", ""3""), ""۴"", ""4""), ""۵"", ""5""), ""۶"", """&amp;"6""), ""۷"", ""7""), ""۸"", ""8""), ""۹"", ""9""), IF(LEFT(converted,3)=""+98"", ""0"" &amp; RIGHT(converted, LEN(converted)-3), IF(LEFT(converted,2)=""98"", ""0"" &amp; RIGHT(converted, LEN(converted)-2), IF(LEFT(converted,1)&lt;&gt;""0"", ""0"" &amp; converted, REGEXREPL"&amp;"ACE(converted , ""\s"", """")) ) ) ) )"),"0###########")</f>
        <v>0###########</v>
      </c>
      <c r="E1076" s="196" t="s">
        <v>17</v>
      </c>
      <c r="F1076" s="197">
        <v>9.0</v>
      </c>
      <c r="G1076" s="212" t="s">
        <v>746</v>
      </c>
      <c r="H1076" s="193"/>
      <c r="I1076" s="194"/>
      <c r="J1076" s="194"/>
      <c r="K1076" s="193" t="s">
        <v>5022</v>
      </c>
      <c r="L1076" s="193" t="s">
        <v>5023</v>
      </c>
      <c r="M1076" s="193"/>
      <c r="N1076" s="193"/>
      <c r="O1076" s="193"/>
      <c r="P1076" s="193"/>
      <c r="Q1076" s="200"/>
      <c r="R1076" s="86"/>
      <c r="S1076" s="114">
        <f t="shared" ref="S1076:T1076" si="1077">A1076</f>
        <v>1076</v>
      </c>
      <c r="T1076" s="114" t="str">
        <f t="shared" si="1077"/>
        <v>مائده جوادی راد</v>
      </c>
      <c r="U1076" s="86" t="str">
        <f t="shared" si="3"/>
        <v>0###########</v>
      </c>
      <c r="V1076" s="86" t="str">
        <f t="shared" si="4"/>
        <v>پیش‌وایی 9</v>
      </c>
      <c r="W1076" s="86"/>
      <c r="X1076" s="86"/>
    </row>
    <row r="1077">
      <c r="A1077" s="201">
        <v>1077.0</v>
      </c>
      <c r="B1077" s="202" t="s">
        <v>4960</v>
      </c>
      <c r="C1077" s="203" t="s">
        <v>5314</v>
      </c>
      <c r="D1077" s="204" t="str">
        <f>IFERROR(__xludf.DUMMYFUNCTION("ARRAYFORMULA(LET( converted, SUBSTITUTE( SUBSTITUTE( SUBSTITUTE( SUBSTITUTE( SUBSTITUTE( SUBSTITUTE( SUBSTITUTE( SUBSTITUTE( SUBSTITUTE( SUBSTITUTE( C1077, ""۰"", ""0""), ""۱"", ""1""), ""۲"", ""2""), ""۳"", ""3""), ""۴"", ""4""), ""۵"", ""5""), ""۶"", """&amp;"6""), ""۷"", ""7""), ""۸"", ""8""), ""۹"", ""9""), IF(LEFT(converted,3)=""+98"", ""0"" &amp; RIGHT(converted, LEN(converted)-3), IF(LEFT(converted,2)=""98"", ""0"" &amp; RIGHT(converted, LEN(converted)-2), IF(LEFT(converted,1)&lt;&gt;""0"", ""0"" &amp; converted, REGEXREPL"&amp;"ACE(converted , ""\s"", """")) ) ) ) )"),"09122062426")</f>
        <v>09122062426</v>
      </c>
      <c r="E1077" s="205" t="s">
        <v>17</v>
      </c>
      <c r="F1077" s="206">
        <v>9.0</v>
      </c>
      <c r="G1077" s="213" t="s">
        <v>730</v>
      </c>
      <c r="H1077" s="202"/>
      <c r="I1077" s="203"/>
      <c r="J1077" s="203"/>
      <c r="K1077" s="202" t="s">
        <v>1018</v>
      </c>
      <c r="L1077" s="202" t="s">
        <v>4963</v>
      </c>
      <c r="M1077" s="202"/>
      <c r="N1077" s="202"/>
      <c r="O1077" s="202"/>
      <c r="P1077" s="202"/>
      <c r="Q1077" s="208"/>
      <c r="R1077" s="86"/>
      <c r="S1077" s="114">
        <f t="shared" ref="S1077:T1077" si="1078">A1077</f>
        <v>1077</v>
      </c>
      <c r="T1077" s="114" t="str">
        <f t="shared" si="1078"/>
        <v>علی نیکونیا</v>
      </c>
      <c r="U1077" s="86" t="str">
        <f t="shared" si="3"/>
        <v>09122062426</v>
      </c>
      <c r="V1077" s="86" t="str">
        <f t="shared" si="4"/>
        <v>پیش‌وایی 9</v>
      </c>
      <c r="W1077" s="86"/>
      <c r="X1077" s="86"/>
    </row>
    <row r="1078">
      <c r="A1078" s="192">
        <v>1078.0</v>
      </c>
      <c r="B1078" s="193" t="s">
        <v>5315</v>
      </c>
      <c r="C1078" s="194" t="s">
        <v>5316</v>
      </c>
      <c r="D1078" s="195" t="str">
        <f>IFERROR(__xludf.DUMMYFUNCTION("ARRAYFORMULA(LET( converted, SUBSTITUTE( SUBSTITUTE( SUBSTITUTE( SUBSTITUTE( SUBSTITUTE( SUBSTITUTE( SUBSTITUTE( SUBSTITUTE( SUBSTITUTE( SUBSTITUTE( C1078, ""۰"", ""0""), ""۱"", ""1""), ""۲"", ""2""), ""۳"", ""3""), ""۴"", ""4""), ""۵"", ""5""), ""۶"", """&amp;"6""), ""۷"", ""7""), ""۸"", ""8""), ""۹"", ""9""), IF(LEFT(converted,3)=""+98"", ""0"" &amp; RIGHT(converted, LEN(converted)-3), IF(LEFT(converted,2)=""98"", ""0"" &amp; RIGHT(converted, LEN(converted)-2), IF(LEFT(converted,1)&lt;&gt;""0"", ""0"" &amp; converted, REGEXREPL"&amp;"ACE(converted , ""\s"", """")) ) ) ) )"),"09129619261")</f>
        <v>09129619261</v>
      </c>
      <c r="E1078" s="196" t="s">
        <v>17</v>
      </c>
      <c r="F1078" s="197">
        <v>9.0</v>
      </c>
      <c r="G1078" s="212" t="s">
        <v>730</v>
      </c>
      <c r="H1078" s="193"/>
      <c r="I1078" s="194"/>
      <c r="J1078" s="194"/>
      <c r="K1078" s="193" t="s">
        <v>3789</v>
      </c>
      <c r="L1078" s="193" t="s">
        <v>5317</v>
      </c>
      <c r="M1078" s="193"/>
      <c r="N1078" s="193"/>
      <c r="O1078" s="193"/>
      <c r="P1078" s="193"/>
      <c r="Q1078" s="200"/>
      <c r="R1078" s="86"/>
      <c r="S1078" s="114">
        <f t="shared" ref="S1078:T1078" si="1079">A1078</f>
        <v>1078</v>
      </c>
      <c r="T1078" s="114" t="str">
        <f t="shared" si="1079"/>
        <v>محمدامین گیوری</v>
      </c>
      <c r="U1078" s="86" t="str">
        <f t="shared" si="3"/>
        <v>09129619261</v>
      </c>
      <c r="V1078" s="86" t="str">
        <f t="shared" si="4"/>
        <v>پیش‌وایی 9</v>
      </c>
      <c r="W1078" s="86"/>
      <c r="X1078" s="86"/>
    </row>
    <row r="1079">
      <c r="A1079" s="201">
        <v>1079.0</v>
      </c>
      <c r="B1079" s="202" t="s">
        <v>5318</v>
      </c>
      <c r="C1079" s="203" t="s">
        <v>5319</v>
      </c>
      <c r="D1079" s="204" t="str">
        <f>IFERROR(__xludf.DUMMYFUNCTION("ARRAYFORMULA(LET( converted, SUBSTITUTE( SUBSTITUTE( SUBSTITUTE( SUBSTITUTE( SUBSTITUTE( SUBSTITUTE( SUBSTITUTE( SUBSTITUTE( SUBSTITUTE( SUBSTITUTE( C1079, ""۰"", ""0""), ""۱"", ""1""), ""۲"", ""2""), ""۳"", ""3""), ""۴"", ""4""), ""۵"", ""5""), ""۶"", """&amp;"6""), ""۷"", ""7""), ""۸"", ""8""), ""۹"", ""9""), IF(LEFT(converted,3)=""+98"", ""0"" &amp; RIGHT(converted, LEN(converted)-3), IF(LEFT(converted,2)=""98"", ""0"" &amp; RIGHT(converted, LEN(converted)-2), IF(LEFT(converted,1)&lt;&gt;""0"", ""0"" &amp; converted, REGEXREPL"&amp;"ACE(converted , ""\s"", """")) ) ) ) )"),"09020118456")</f>
        <v>09020118456</v>
      </c>
      <c r="E1079" s="205" t="s">
        <v>17</v>
      </c>
      <c r="F1079" s="206">
        <v>9.0</v>
      </c>
      <c r="G1079" s="213" t="s">
        <v>730</v>
      </c>
      <c r="H1079" s="202"/>
      <c r="I1079" s="203"/>
      <c r="J1079" s="203"/>
      <c r="K1079" s="202" t="s">
        <v>1670</v>
      </c>
      <c r="L1079" s="202" t="s">
        <v>5320</v>
      </c>
      <c r="M1079" s="202"/>
      <c r="N1079" s="202"/>
      <c r="O1079" s="202"/>
      <c r="P1079" s="202"/>
      <c r="Q1079" s="208"/>
      <c r="R1079" s="86"/>
      <c r="S1079" s="114">
        <f t="shared" ref="S1079:T1079" si="1080">A1079</f>
        <v>1079</v>
      </c>
      <c r="T1079" s="114" t="str">
        <f t="shared" si="1080"/>
        <v>محمدحسین تاجیک</v>
      </c>
      <c r="U1079" s="86" t="str">
        <f t="shared" si="3"/>
        <v>09020118456</v>
      </c>
      <c r="V1079" s="86" t="str">
        <f t="shared" si="4"/>
        <v>پیش‌وایی 9</v>
      </c>
      <c r="W1079" s="86"/>
      <c r="X1079" s="86"/>
    </row>
    <row r="1080">
      <c r="A1080" s="192">
        <v>1080.0</v>
      </c>
      <c r="B1080" s="193" t="s">
        <v>5321</v>
      </c>
      <c r="C1080" s="194" t="s">
        <v>5322</v>
      </c>
      <c r="D1080" s="195" t="str">
        <f>IFERROR(__xludf.DUMMYFUNCTION("ARRAYFORMULA(LET( converted, SUBSTITUTE( SUBSTITUTE( SUBSTITUTE( SUBSTITUTE( SUBSTITUTE( SUBSTITUTE( SUBSTITUTE( SUBSTITUTE( SUBSTITUTE( SUBSTITUTE( C1080, ""۰"", ""0""), ""۱"", ""1""), ""۲"", ""2""), ""۳"", ""3""), ""۴"", ""4""), ""۵"", ""5""), ""۶"", """&amp;"6""), ""۷"", ""7""), ""۸"", ""8""), ""۹"", ""9""), IF(LEFT(converted,3)=""+98"", ""0"" &amp; RIGHT(converted, LEN(converted)-3), IF(LEFT(converted,2)=""98"", ""0"" &amp; RIGHT(converted, LEN(converted)-2), IF(LEFT(converted,1)&lt;&gt;""0"", ""0"" &amp; converted, REGEXREPL"&amp;"ACE(converted , ""\s"", """")) ) ) ) )"),"09197674709")</f>
        <v>09197674709</v>
      </c>
      <c r="E1080" s="196" t="s">
        <v>17</v>
      </c>
      <c r="F1080" s="197">
        <v>9.0</v>
      </c>
      <c r="G1080" s="212" t="s">
        <v>746</v>
      </c>
      <c r="H1080" s="193"/>
      <c r="I1080" s="194"/>
      <c r="J1080" s="194"/>
      <c r="K1080" s="193" t="s">
        <v>5126</v>
      </c>
      <c r="L1080" s="193" t="s">
        <v>5323</v>
      </c>
      <c r="M1080" s="193"/>
      <c r="N1080" s="193"/>
      <c r="O1080" s="193"/>
      <c r="P1080" s="193"/>
      <c r="Q1080" s="200"/>
      <c r="R1080" s="86"/>
      <c r="S1080" s="114">
        <f t="shared" ref="S1080:T1080" si="1081">A1080</f>
        <v>1080</v>
      </c>
      <c r="T1080" s="114" t="str">
        <f t="shared" si="1081"/>
        <v>مرضیه آشوری</v>
      </c>
      <c r="U1080" s="86" t="str">
        <f t="shared" si="3"/>
        <v>09197674709</v>
      </c>
      <c r="V1080" s="86" t="str">
        <f t="shared" si="4"/>
        <v>پیش‌وایی 9</v>
      </c>
      <c r="W1080" s="86"/>
      <c r="X1080" s="86"/>
    </row>
    <row r="1081">
      <c r="A1081" s="201">
        <v>1081.0</v>
      </c>
      <c r="B1081" s="202" t="s">
        <v>5085</v>
      </c>
      <c r="C1081" s="203" t="s">
        <v>5324</v>
      </c>
      <c r="D1081" s="204" t="str">
        <f>IFERROR(__xludf.DUMMYFUNCTION("ARRAYFORMULA(LET( converted, SUBSTITUTE( SUBSTITUTE( SUBSTITUTE( SUBSTITUTE( SUBSTITUTE( SUBSTITUTE( SUBSTITUTE( SUBSTITUTE( SUBSTITUTE( SUBSTITUTE( C1081, ""۰"", ""0""), ""۱"", ""1""), ""۲"", ""2""), ""۳"", ""3""), ""۴"", ""4""), ""۵"", ""5""), ""۶"", """&amp;"6""), ""۷"", ""7""), ""۸"", ""8""), ""۹"", ""9""), IF(LEFT(converted,3)=""+98"", ""0"" &amp; RIGHT(converted, LEN(converted)-3), IF(LEFT(converted,2)=""98"", ""0"" &amp; RIGHT(converted, LEN(converted)-2), IF(LEFT(converted,1)&lt;&gt;""0"", ""0"" &amp; converted, REGEXREPL"&amp;"ACE(converted , ""\s"", """")) ) ) ) )"),"09122001676")</f>
        <v>09122001676</v>
      </c>
      <c r="E1081" s="205" t="s">
        <v>17</v>
      </c>
      <c r="F1081" s="206">
        <v>9.0</v>
      </c>
      <c r="G1081" s="213" t="s">
        <v>730</v>
      </c>
      <c r="H1081" s="202"/>
      <c r="I1081" s="203"/>
      <c r="J1081" s="203"/>
      <c r="K1081" s="202" t="s">
        <v>303</v>
      </c>
      <c r="L1081" s="202" t="s">
        <v>3635</v>
      </c>
      <c r="M1081" s="202"/>
      <c r="N1081" s="202"/>
      <c r="O1081" s="202"/>
      <c r="P1081" s="202"/>
      <c r="Q1081" s="208"/>
      <c r="R1081" s="86"/>
      <c r="S1081" s="114">
        <f t="shared" ref="S1081:T1081" si="1082">A1081</f>
        <v>1081</v>
      </c>
      <c r="T1081" s="114" t="str">
        <f t="shared" si="1082"/>
        <v>محمد محبی</v>
      </c>
      <c r="U1081" s="86" t="str">
        <f t="shared" si="3"/>
        <v>09122001676</v>
      </c>
      <c r="V1081" s="86" t="str">
        <f t="shared" si="4"/>
        <v>پیش‌وایی 9</v>
      </c>
      <c r="W1081" s="86"/>
      <c r="X1081" s="86"/>
    </row>
    <row r="1082">
      <c r="A1082" s="192">
        <v>1082.0</v>
      </c>
      <c r="B1082" s="193" t="s">
        <v>5325</v>
      </c>
      <c r="C1082" s="194" t="s">
        <v>5276</v>
      </c>
      <c r="D1082" s="195" t="str">
        <f>IFERROR(__xludf.DUMMYFUNCTION("ARRAYFORMULA(LET( converted, SUBSTITUTE( SUBSTITUTE( SUBSTITUTE( SUBSTITUTE( SUBSTITUTE( SUBSTITUTE( SUBSTITUTE( SUBSTITUTE( SUBSTITUTE( SUBSTITUTE( C1082, ""۰"", ""0""), ""۱"", ""1""), ""۲"", ""2""), ""۳"", ""3""), ""۴"", ""4""), ""۵"", ""5""), ""۶"", """&amp;"6""), ""۷"", ""7""), ""۸"", ""8""), ""۹"", ""9""), IF(LEFT(converted,3)=""+98"", ""0"" &amp; RIGHT(converted, LEN(converted)-3), IF(LEFT(converted,2)=""98"", ""0"" &amp; RIGHT(converted, LEN(converted)-2), IF(LEFT(converted,1)&lt;&gt;""0"", ""0"" &amp; converted, REGEXREPL"&amp;"ACE(converted , ""\s"", """")) ) ) ) )"),"09143159445")</f>
        <v>09143159445</v>
      </c>
      <c r="E1082" s="196" t="s">
        <v>17</v>
      </c>
      <c r="F1082" s="197">
        <v>9.0</v>
      </c>
      <c r="G1082" s="212" t="s">
        <v>730</v>
      </c>
      <c r="H1082" s="193"/>
      <c r="I1082" s="194"/>
      <c r="J1082" s="194"/>
      <c r="K1082" s="193" t="s">
        <v>3970</v>
      </c>
      <c r="L1082" s="193" t="s">
        <v>343</v>
      </c>
      <c r="M1082" s="193"/>
      <c r="N1082" s="193"/>
      <c r="O1082" s="193"/>
      <c r="P1082" s="193"/>
      <c r="Q1082" s="200"/>
      <c r="R1082" s="86"/>
      <c r="S1082" s="114">
        <f t="shared" ref="S1082:T1082" si="1083">A1082</f>
        <v>1082</v>
      </c>
      <c r="T1082" s="114" t="str">
        <f t="shared" si="1083"/>
        <v>آرمین سروی</v>
      </c>
      <c r="U1082" s="86" t="str">
        <f t="shared" si="3"/>
        <v>09143159445</v>
      </c>
      <c r="V1082" s="86" t="str">
        <f t="shared" si="4"/>
        <v>پیش‌وایی 9</v>
      </c>
      <c r="W1082" s="86"/>
      <c r="X1082" s="86"/>
    </row>
    <row r="1083">
      <c r="A1083" s="201">
        <v>1083.0</v>
      </c>
      <c r="B1083" s="202" t="s">
        <v>5326</v>
      </c>
      <c r="C1083" s="203" t="s">
        <v>276</v>
      </c>
      <c r="D1083" s="204" t="str">
        <f>IFERROR(__xludf.DUMMYFUNCTION("ARRAYFORMULA(LET( converted, SUBSTITUTE( SUBSTITUTE( SUBSTITUTE( SUBSTITUTE( SUBSTITUTE( SUBSTITUTE( SUBSTITUTE( SUBSTITUTE( SUBSTITUTE( SUBSTITUTE( C1083, ""۰"", ""0""), ""۱"", ""1""), ""۲"", ""2""), ""۳"", ""3""), ""۴"", ""4""), ""۵"", ""5""), ""۶"", """&amp;"6""), ""۷"", ""7""), ""۸"", ""8""), ""۹"", ""9""), IF(LEFT(converted,3)=""+98"", ""0"" &amp; RIGHT(converted, LEN(converted)-3), IF(LEFT(converted,2)=""98"", ""0"" &amp; RIGHT(converted, LEN(converted)-2), IF(LEFT(converted,1)&lt;&gt;""0"", ""0"" &amp; converted, REGEXREPL"&amp;"ACE(converted , ""\s"", """")) ) ) ) )"),"09391383826")</f>
        <v>09391383826</v>
      </c>
      <c r="E1083" s="205" t="s">
        <v>17</v>
      </c>
      <c r="F1083" s="206">
        <v>9.0</v>
      </c>
      <c r="G1083" s="213" t="s">
        <v>746</v>
      </c>
      <c r="H1083" s="202"/>
      <c r="I1083" s="203"/>
      <c r="J1083" s="203"/>
      <c r="K1083" s="202" t="s">
        <v>274</v>
      </c>
      <c r="L1083" s="202" t="s">
        <v>5327</v>
      </c>
      <c r="M1083" s="202"/>
      <c r="N1083" s="202"/>
      <c r="O1083" s="202"/>
      <c r="P1083" s="202"/>
      <c r="Q1083" s="208"/>
      <c r="R1083" s="86"/>
      <c r="S1083" s="114">
        <f t="shared" ref="S1083:T1083" si="1084">A1083</f>
        <v>1083</v>
      </c>
      <c r="T1083" s="114" t="str">
        <f t="shared" si="1084"/>
        <v>فاطمه رجب لو</v>
      </c>
      <c r="U1083" s="86" t="str">
        <f t="shared" si="3"/>
        <v>09391383826</v>
      </c>
      <c r="V1083" s="86" t="str">
        <f t="shared" si="4"/>
        <v>پیش‌وایی 9</v>
      </c>
      <c r="W1083" s="86"/>
      <c r="X1083" s="86"/>
    </row>
    <row r="1084">
      <c r="A1084" s="192">
        <v>1084.0</v>
      </c>
      <c r="B1084" s="193" t="s">
        <v>5328</v>
      </c>
      <c r="C1084" s="194" t="s">
        <v>5329</v>
      </c>
      <c r="D1084" s="195" t="str">
        <f>IFERROR(__xludf.DUMMYFUNCTION("ARRAYFORMULA(LET( converted, SUBSTITUTE( SUBSTITUTE( SUBSTITUTE( SUBSTITUTE( SUBSTITUTE( SUBSTITUTE( SUBSTITUTE( SUBSTITUTE( SUBSTITUTE( SUBSTITUTE( C1084, ""۰"", ""0""), ""۱"", ""1""), ""۲"", ""2""), ""۳"", ""3""), ""۴"", ""4""), ""۵"", ""5""), ""۶"", """&amp;"6""), ""۷"", ""7""), ""۸"", ""8""), ""۹"", ""9""), IF(LEFT(converted,3)=""+98"", ""0"" &amp; RIGHT(converted, LEN(converted)-3), IF(LEFT(converted,2)=""98"", ""0"" &amp; RIGHT(converted, LEN(converted)-2), IF(LEFT(converted,1)&lt;&gt;""0"", ""0"" &amp; converted, REGEXREPL"&amp;"ACE(converted , ""\s"", """")) ) ) ) )"),"09366974489")</f>
        <v>09366974489</v>
      </c>
      <c r="E1084" s="196" t="s">
        <v>17</v>
      </c>
      <c r="F1084" s="197">
        <v>9.0</v>
      </c>
      <c r="G1084" s="212" t="s">
        <v>730</v>
      </c>
      <c r="H1084" s="193"/>
      <c r="I1084" s="194"/>
      <c r="J1084" s="194"/>
      <c r="K1084" s="193" t="s">
        <v>342</v>
      </c>
      <c r="L1084" s="193" t="s">
        <v>5330</v>
      </c>
      <c r="M1084" s="193"/>
      <c r="N1084" s="193"/>
      <c r="O1084" s="193"/>
      <c r="P1084" s="193"/>
      <c r="Q1084" s="200"/>
      <c r="R1084" s="86"/>
      <c r="S1084" s="114">
        <f t="shared" ref="S1084:T1084" si="1085">A1084</f>
        <v>1084</v>
      </c>
      <c r="T1084" s="114" t="str">
        <f t="shared" si="1085"/>
        <v>آرش حیدرپور خانقاه</v>
      </c>
      <c r="U1084" s="86" t="str">
        <f t="shared" si="3"/>
        <v>09366974489</v>
      </c>
      <c r="V1084" s="86" t="str">
        <f t="shared" si="4"/>
        <v>پیش‌وایی 9</v>
      </c>
      <c r="W1084" s="86"/>
      <c r="X1084" s="86"/>
    </row>
    <row r="1085">
      <c r="A1085" s="201">
        <v>1085.0</v>
      </c>
      <c r="B1085" s="202" t="s">
        <v>5331</v>
      </c>
      <c r="C1085" s="203" t="s">
        <v>5332</v>
      </c>
      <c r="D1085" s="204" t="str">
        <f>IFERROR(__xludf.DUMMYFUNCTION("ARRAYFORMULA(LET( converted, SUBSTITUTE( SUBSTITUTE( SUBSTITUTE( SUBSTITUTE( SUBSTITUTE( SUBSTITUTE( SUBSTITUTE( SUBSTITUTE( SUBSTITUTE( SUBSTITUTE( C1085, ""۰"", ""0""), ""۱"", ""1""), ""۲"", ""2""), ""۳"", ""3""), ""۴"", ""4""), ""۵"", ""5""), ""۶"", """&amp;"6""), ""۷"", ""7""), ""۸"", ""8""), ""۹"", ""9""), IF(LEFT(converted,3)=""+98"", ""0"" &amp; RIGHT(converted, LEN(converted)-3), IF(LEFT(converted,2)=""98"", ""0"" &amp; RIGHT(converted, LEN(converted)-2), IF(LEFT(converted,1)&lt;&gt;""0"", ""0"" &amp; converted, REGEXREPL"&amp;"ACE(converted , ""\s"", """")) ) ) ) )"),"09394996004")</f>
        <v>09394996004</v>
      </c>
      <c r="E1085" s="205" t="s">
        <v>17</v>
      </c>
      <c r="F1085" s="206">
        <v>9.0</v>
      </c>
      <c r="G1085" s="213" t="s">
        <v>730</v>
      </c>
      <c r="H1085" s="202"/>
      <c r="I1085" s="203"/>
      <c r="J1085" s="203"/>
      <c r="K1085" s="202" t="s">
        <v>1569</v>
      </c>
      <c r="L1085" s="202" t="s">
        <v>5333</v>
      </c>
      <c r="M1085" s="202"/>
      <c r="N1085" s="202"/>
      <c r="O1085" s="202"/>
      <c r="P1085" s="202"/>
      <c r="Q1085" s="208"/>
      <c r="R1085" s="86"/>
      <c r="S1085" s="114">
        <f t="shared" ref="S1085:T1085" si="1086">A1085</f>
        <v>1085</v>
      </c>
      <c r="T1085" s="114" t="str">
        <f t="shared" si="1086"/>
        <v>حسن وفائی</v>
      </c>
      <c r="U1085" s="86" t="str">
        <f t="shared" si="3"/>
        <v>09394996004</v>
      </c>
      <c r="V1085" s="86" t="str">
        <f t="shared" si="4"/>
        <v>پیش‌وایی 9</v>
      </c>
      <c r="W1085" s="86"/>
      <c r="X1085" s="86"/>
    </row>
    <row r="1086">
      <c r="A1086" s="192">
        <v>1086.0</v>
      </c>
      <c r="B1086" s="193" t="s">
        <v>5334</v>
      </c>
      <c r="C1086" s="194" t="s">
        <v>5335</v>
      </c>
      <c r="D1086" s="195" t="str">
        <f>IFERROR(__xludf.DUMMYFUNCTION("ARRAYFORMULA(LET( converted, SUBSTITUTE( SUBSTITUTE( SUBSTITUTE( SUBSTITUTE( SUBSTITUTE( SUBSTITUTE( SUBSTITUTE( SUBSTITUTE( SUBSTITUTE( SUBSTITUTE( C1086, ""۰"", ""0""), ""۱"", ""1""), ""۲"", ""2""), ""۳"", ""3""), ""۴"", ""4""), ""۵"", ""5""), ""۶"", """&amp;"6""), ""۷"", ""7""), ""۸"", ""8""), ""۹"", ""9""), IF(LEFT(converted,3)=""+98"", ""0"" &amp; RIGHT(converted, LEN(converted)-3), IF(LEFT(converted,2)=""98"", ""0"" &amp; RIGHT(converted, LEN(converted)-2), IF(LEFT(converted,1)&lt;&gt;""0"", ""0"" &amp; converted, REGEXREPL"&amp;"ACE(converted , ""\s"", """")) ) ) ) )"),"09124512292")</f>
        <v>09124512292</v>
      </c>
      <c r="E1086" s="196" t="s">
        <v>17</v>
      </c>
      <c r="F1086" s="197">
        <v>9.0</v>
      </c>
      <c r="G1086" s="212" t="s">
        <v>730</v>
      </c>
      <c r="H1086" s="193"/>
      <c r="I1086" s="194"/>
      <c r="J1086" s="194"/>
      <c r="K1086" s="193" t="s">
        <v>5336</v>
      </c>
      <c r="L1086" s="193" t="s">
        <v>5337</v>
      </c>
      <c r="M1086" s="193"/>
      <c r="N1086" s="193"/>
      <c r="O1086" s="193"/>
      <c r="P1086" s="193"/>
      <c r="Q1086" s="200"/>
      <c r="R1086" s="86"/>
      <c r="S1086" s="114">
        <f t="shared" ref="S1086:T1086" si="1087">A1086</f>
        <v>1086</v>
      </c>
      <c r="T1086" s="114" t="str">
        <f t="shared" si="1087"/>
        <v>روح الله رجایی</v>
      </c>
      <c r="U1086" s="86" t="str">
        <f t="shared" si="3"/>
        <v>09124512292</v>
      </c>
      <c r="V1086" s="86" t="str">
        <f t="shared" si="4"/>
        <v>پیش‌وایی 9</v>
      </c>
      <c r="W1086" s="86"/>
      <c r="X1086" s="86"/>
    </row>
    <row r="1087">
      <c r="A1087" s="201">
        <v>1087.0</v>
      </c>
      <c r="B1087" s="202" t="s">
        <v>5338</v>
      </c>
      <c r="C1087" s="203" t="s">
        <v>5339</v>
      </c>
      <c r="D1087" s="204" t="str">
        <f>IFERROR(__xludf.DUMMYFUNCTION("ARRAYFORMULA(LET( converted, SUBSTITUTE( SUBSTITUTE( SUBSTITUTE( SUBSTITUTE( SUBSTITUTE( SUBSTITUTE( SUBSTITUTE( SUBSTITUTE( SUBSTITUTE( SUBSTITUTE( C1087, ""۰"", ""0""), ""۱"", ""1""), ""۲"", ""2""), ""۳"", ""3""), ""۴"", ""4""), ""۵"", ""5""), ""۶"", """&amp;"6""), ""۷"", ""7""), ""۸"", ""8""), ""۹"", ""9""), IF(LEFT(converted,3)=""+98"", ""0"" &amp; RIGHT(converted, LEN(converted)-3), IF(LEFT(converted,2)=""98"", ""0"" &amp; RIGHT(converted, LEN(converted)-2), IF(LEFT(converted,1)&lt;&gt;""0"", ""0"" &amp; converted, REGEXREPL"&amp;"ACE(converted , ""\s"", """")) ) ) ) )"),"09195373573")</f>
        <v>09195373573</v>
      </c>
      <c r="E1087" s="205" t="s">
        <v>17</v>
      </c>
      <c r="F1087" s="206">
        <v>9.0</v>
      </c>
      <c r="G1087" s="213" t="s">
        <v>730</v>
      </c>
      <c r="H1087" s="202"/>
      <c r="I1087" s="203"/>
      <c r="J1087" s="203"/>
      <c r="K1087" s="202" t="s">
        <v>5340</v>
      </c>
      <c r="L1087" s="202" t="s">
        <v>1934</v>
      </c>
      <c r="M1087" s="202"/>
      <c r="N1087" s="202"/>
      <c r="O1087" s="202"/>
      <c r="P1087" s="202"/>
      <c r="Q1087" s="208"/>
      <c r="R1087" s="86"/>
      <c r="S1087" s="114">
        <f t="shared" ref="S1087:T1087" si="1088">A1087</f>
        <v>1087</v>
      </c>
      <c r="T1087" s="114" t="str">
        <f t="shared" si="1088"/>
        <v>محمد رضا نجفی</v>
      </c>
      <c r="U1087" s="86" t="str">
        <f t="shared" si="3"/>
        <v>09195373573</v>
      </c>
      <c r="V1087" s="86" t="str">
        <f t="shared" si="4"/>
        <v>پیش‌وایی 9</v>
      </c>
      <c r="W1087" s="86"/>
      <c r="X1087" s="86"/>
    </row>
    <row r="1088">
      <c r="A1088" s="192">
        <v>1088.0</v>
      </c>
      <c r="B1088" s="193" t="s">
        <v>5341</v>
      </c>
      <c r="C1088" s="194" t="s">
        <v>5342</v>
      </c>
      <c r="D1088" s="195" t="str">
        <f>IFERROR(__xludf.DUMMYFUNCTION("ARRAYFORMULA(LET( converted, SUBSTITUTE( SUBSTITUTE( SUBSTITUTE( SUBSTITUTE( SUBSTITUTE( SUBSTITUTE( SUBSTITUTE( SUBSTITUTE( SUBSTITUTE( SUBSTITUTE( C1088, ""۰"", ""0""), ""۱"", ""1""), ""۲"", ""2""), ""۳"", ""3""), ""۴"", ""4""), ""۵"", ""5""), ""۶"", """&amp;"6""), ""۷"", ""7""), ""۸"", ""8""), ""۹"", ""9""), IF(LEFT(converted,3)=""+98"", ""0"" &amp; RIGHT(converted, LEN(converted)-3), IF(LEFT(converted,2)=""98"", ""0"" &amp; RIGHT(converted, LEN(converted)-2), IF(LEFT(converted,1)&lt;&gt;""0"", ""0"" &amp; converted, REGEXREPL"&amp;"ACE(converted , ""\s"", """")) ) ) ) )"),"09206310620")</f>
        <v>09206310620</v>
      </c>
      <c r="E1088" s="196" t="s">
        <v>17</v>
      </c>
      <c r="F1088" s="197">
        <v>9.0</v>
      </c>
      <c r="G1088" s="212" t="s">
        <v>746</v>
      </c>
      <c r="H1088" s="193"/>
      <c r="I1088" s="194"/>
      <c r="J1088" s="194"/>
      <c r="K1088" s="193" t="s">
        <v>1504</v>
      </c>
      <c r="L1088" s="193" t="s">
        <v>5343</v>
      </c>
      <c r="M1088" s="193"/>
      <c r="N1088" s="193"/>
      <c r="O1088" s="193"/>
      <c r="P1088" s="193"/>
      <c r="Q1088" s="200"/>
      <c r="R1088" s="86"/>
      <c r="S1088" s="114">
        <f t="shared" ref="S1088:T1088" si="1089">A1088</f>
        <v>1088</v>
      </c>
      <c r="T1088" s="114" t="str">
        <f t="shared" si="1089"/>
        <v>مهسا سبزی</v>
      </c>
      <c r="U1088" s="86" t="str">
        <f t="shared" si="3"/>
        <v>09206310620</v>
      </c>
      <c r="V1088" s="86" t="str">
        <f t="shared" si="4"/>
        <v>پیش‌وایی 9</v>
      </c>
      <c r="W1088" s="86"/>
      <c r="X1088" s="86"/>
    </row>
    <row r="1089">
      <c r="A1089" s="201">
        <v>1089.0</v>
      </c>
      <c r="B1089" s="202" t="s">
        <v>5344</v>
      </c>
      <c r="C1089" s="203" t="s">
        <v>5345</v>
      </c>
      <c r="D1089" s="204" t="str">
        <f>IFERROR(__xludf.DUMMYFUNCTION("ARRAYFORMULA(LET( converted, SUBSTITUTE( SUBSTITUTE( SUBSTITUTE( SUBSTITUTE( SUBSTITUTE( SUBSTITUTE( SUBSTITUTE( SUBSTITUTE( SUBSTITUTE( SUBSTITUTE( C1089, ""۰"", ""0""), ""۱"", ""1""), ""۲"", ""2""), ""۳"", ""3""), ""۴"", ""4""), ""۵"", ""5""), ""۶"", """&amp;"6""), ""۷"", ""7""), ""۸"", ""8""), ""۹"", ""9""), IF(LEFT(converted,3)=""+98"", ""0"" &amp; RIGHT(converted, LEN(converted)-3), IF(LEFT(converted,2)=""98"", ""0"" &amp; RIGHT(converted, LEN(converted)-2), IF(LEFT(converted,1)&lt;&gt;""0"", ""0"" &amp; converted, REGEXREPL"&amp;"ACE(converted , ""\s"", """")) ) ) ) )"),"09126000338")</f>
        <v>09126000338</v>
      </c>
      <c r="E1089" s="205" t="s">
        <v>17</v>
      </c>
      <c r="F1089" s="206">
        <v>9.0</v>
      </c>
      <c r="G1089" s="213" t="s">
        <v>746</v>
      </c>
      <c r="H1089" s="202"/>
      <c r="I1089" s="203"/>
      <c r="J1089" s="203"/>
      <c r="K1089" s="202" t="s">
        <v>3927</v>
      </c>
      <c r="L1089" s="202" t="s">
        <v>5346</v>
      </c>
      <c r="M1089" s="202"/>
      <c r="N1089" s="202"/>
      <c r="O1089" s="202"/>
      <c r="P1089" s="202"/>
      <c r="Q1089" s="208"/>
      <c r="R1089" s="86"/>
      <c r="S1089" s="114">
        <f t="shared" ref="S1089:T1089" si="1090">A1089</f>
        <v>1089</v>
      </c>
      <c r="T1089" s="114" t="str">
        <f t="shared" si="1090"/>
        <v>مونیکا حضرت‌زاده</v>
      </c>
      <c r="U1089" s="86" t="str">
        <f t="shared" si="3"/>
        <v>09126000338</v>
      </c>
      <c r="V1089" s="86" t="str">
        <f t="shared" si="4"/>
        <v>پیش‌وایی 9</v>
      </c>
      <c r="W1089" s="86"/>
      <c r="X1089" s="86"/>
    </row>
    <row r="1090">
      <c r="A1090" s="192">
        <v>1090.0</v>
      </c>
      <c r="B1090" s="199" t="s">
        <v>5347</v>
      </c>
      <c r="C1090" s="194" t="s">
        <v>5348</v>
      </c>
      <c r="D1090" s="195" t="str">
        <f>IFERROR(__xludf.DUMMYFUNCTION("ARRAYFORMULA(LET( converted, SUBSTITUTE( SUBSTITUTE( SUBSTITUTE( SUBSTITUTE( SUBSTITUTE( SUBSTITUTE( SUBSTITUTE( SUBSTITUTE( SUBSTITUTE( SUBSTITUTE( C1090, ""۰"", ""0""), ""۱"", ""1""), ""۲"", ""2""), ""۳"", ""3""), ""۴"", ""4""), ""۵"", ""5""), ""۶"", """&amp;"6""), ""۷"", ""7""), ""۸"", ""8""), ""۹"", ""9""), IF(LEFT(converted,3)=""+98"", ""0"" &amp; RIGHT(converted, LEN(converted)-3), IF(LEFT(converted,2)=""98"", ""0"" &amp; RIGHT(converted, LEN(converted)-2), IF(LEFT(converted,1)&lt;&gt;""0"", ""0"" &amp; converted, REGEXREPL"&amp;"ACE(converted , ""\s"", """")) ) ) ) )"),"09122431900")</f>
        <v>09122431900</v>
      </c>
      <c r="E1090" s="196" t="s">
        <v>17</v>
      </c>
      <c r="F1090" s="197">
        <v>9.0</v>
      </c>
      <c r="G1090" s="212" t="s">
        <v>730</v>
      </c>
      <c r="H1090" s="193"/>
      <c r="I1090" s="194"/>
      <c r="J1090" s="194"/>
      <c r="K1090" s="193" t="s">
        <v>1374</v>
      </c>
      <c r="L1090" s="193" t="s">
        <v>5349</v>
      </c>
      <c r="M1090" s="193"/>
      <c r="N1090" s="193"/>
      <c r="O1090" s="193"/>
      <c r="P1090" s="193"/>
      <c r="Q1090" s="200"/>
      <c r="R1090" s="86"/>
      <c r="S1090" s="114">
        <f t="shared" ref="S1090:T1090" si="1091">A1090</f>
        <v>1090</v>
      </c>
      <c r="T1090" s="114" t="str">
        <f t="shared" si="1091"/>
        <v>امیر Fدی</v>
      </c>
      <c r="U1090" s="86" t="str">
        <f t="shared" si="3"/>
        <v>09122431900</v>
      </c>
      <c r="V1090" s="86" t="str">
        <f t="shared" si="4"/>
        <v>پیش‌وایی 9</v>
      </c>
      <c r="W1090" s="86"/>
      <c r="X1090" s="86"/>
    </row>
    <row r="1091">
      <c r="A1091" s="201">
        <v>1091.0</v>
      </c>
      <c r="B1091" s="202" t="s">
        <v>5350</v>
      </c>
      <c r="C1091" s="203" t="s">
        <v>5351</v>
      </c>
      <c r="D1091" s="204" t="str">
        <f>IFERROR(__xludf.DUMMYFUNCTION("ARRAYFORMULA(LET( converted, SUBSTITUTE( SUBSTITUTE( SUBSTITUTE( SUBSTITUTE( SUBSTITUTE( SUBSTITUTE( SUBSTITUTE( SUBSTITUTE( SUBSTITUTE( SUBSTITUTE( C1091, ""۰"", ""0""), ""۱"", ""1""), ""۲"", ""2""), ""۳"", ""3""), ""۴"", ""4""), ""۵"", ""5""), ""۶"", """&amp;"6""), ""۷"", ""7""), ""۸"", ""8""), ""۹"", ""9""), IF(LEFT(converted,3)=""+98"", ""0"" &amp; RIGHT(converted, LEN(converted)-3), IF(LEFT(converted,2)=""98"", ""0"" &amp; RIGHT(converted, LEN(converted)-2), IF(LEFT(converted,1)&lt;&gt;""0"", ""0"" &amp; converted, REGEXREPL"&amp;"ACE(converted , ""\s"", """")) ) ) ) )"),"09373384923")</f>
        <v>09373384923</v>
      </c>
      <c r="E1091" s="205" t="s">
        <v>17</v>
      </c>
      <c r="F1091" s="206">
        <v>9.0</v>
      </c>
      <c r="G1091" s="213" t="s">
        <v>730</v>
      </c>
      <c r="H1091" s="202"/>
      <c r="I1091" s="203"/>
      <c r="J1091" s="203"/>
      <c r="K1091" s="202" t="s">
        <v>259</v>
      </c>
      <c r="L1091" s="202" t="s">
        <v>904</v>
      </c>
      <c r="M1091" s="202"/>
      <c r="N1091" s="202"/>
      <c r="O1091" s="202"/>
      <c r="P1091" s="202"/>
      <c r="Q1091" s="208"/>
      <c r="R1091" s="86"/>
      <c r="S1091" s="114">
        <f t="shared" ref="S1091:T1091" si="1092">A1091</f>
        <v>1091</v>
      </c>
      <c r="T1091" s="114" t="str">
        <f t="shared" si="1092"/>
        <v>علیرضا ابراهیمی</v>
      </c>
      <c r="U1091" s="86" t="str">
        <f t="shared" si="3"/>
        <v>09373384923</v>
      </c>
      <c r="V1091" s="86" t="str">
        <f t="shared" si="4"/>
        <v>پیش‌وایی 9</v>
      </c>
      <c r="W1091" s="86"/>
      <c r="X1091" s="86"/>
    </row>
    <row r="1092">
      <c r="A1092" s="192">
        <v>1092.0</v>
      </c>
      <c r="B1092" s="193" t="s">
        <v>5352</v>
      </c>
      <c r="C1092" s="194" t="s">
        <v>5353</v>
      </c>
      <c r="D1092" s="195" t="str">
        <f>IFERROR(__xludf.DUMMYFUNCTION("ARRAYFORMULA(LET( converted, SUBSTITUTE( SUBSTITUTE( SUBSTITUTE( SUBSTITUTE( SUBSTITUTE( SUBSTITUTE( SUBSTITUTE( SUBSTITUTE( SUBSTITUTE( SUBSTITUTE( C1092, ""۰"", ""0""), ""۱"", ""1""), ""۲"", ""2""), ""۳"", ""3""), ""۴"", ""4""), ""۵"", ""5""), ""۶"", """&amp;"6""), ""۷"", ""7""), ""۸"", ""8""), ""۹"", ""9""), IF(LEFT(converted,3)=""+98"", ""0"" &amp; RIGHT(converted, LEN(converted)-3), IF(LEFT(converted,2)=""98"", ""0"" &amp; RIGHT(converted, LEN(converted)-2), IF(LEFT(converted,1)&lt;&gt;""0"", ""0"" &amp; converted, REGEXREPL"&amp;"ACE(converted , ""\s"", """")) ) ) ) )"),"09120843412")</f>
        <v>09120843412</v>
      </c>
      <c r="E1092" s="196" t="s">
        <v>17</v>
      </c>
      <c r="F1092" s="197">
        <v>9.0</v>
      </c>
      <c r="G1092" s="212" t="s">
        <v>730</v>
      </c>
      <c r="H1092" s="193"/>
      <c r="I1092" s="194"/>
      <c r="J1092" s="194"/>
      <c r="K1092" s="193" t="s">
        <v>259</v>
      </c>
      <c r="L1092" s="193" t="s">
        <v>5354</v>
      </c>
      <c r="M1092" s="193"/>
      <c r="N1092" s="193"/>
      <c r="O1092" s="193"/>
      <c r="P1092" s="193"/>
      <c r="Q1092" s="200"/>
      <c r="R1092" s="86"/>
      <c r="S1092" s="114">
        <f t="shared" ref="S1092:T1092" si="1093">A1092</f>
        <v>1092</v>
      </c>
      <c r="T1092" s="114" t="str">
        <f t="shared" si="1093"/>
        <v>علیرضا ابراهیمیان</v>
      </c>
      <c r="U1092" s="86" t="str">
        <f t="shared" si="3"/>
        <v>09120843412</v>
      </c>
      <c r="V1092" s="86" t="str">
        <f t="shared" si="4"/>
        <v>پیش‌وایی 9</v>
      </c>
      <c r="W1092" s="86"/>
      <c r="X1092" s="86"/>
    </row>
    <row r="1093">
      <c r="A1093" s="201">
        <v>1093.0</v>
      </c>
      <c r="B1093" s="202" t="s">
        <v>3529</v>
      </c>
      <c r="C1093" s="203" t="s">
        <v>5355</v>
      </c>
      <c r="D1093" s="204" t="str">
        <f>IFERROR(__xludf.DUMMYFUNCTION("ARRAYFORMULA(LET( converted, SUBSTITUTE( SUBSTITUTE( SUBSTITUTE( SUBSTITUTE( SUBSTITUTE( SUBSTITUTE( SUBSTITUTE( SUBSTITUTE( SUBSTITUTE( SUBSTITUTE( C1093, ""۰"", ""0""), ""۱"", ""1""), ""۲"", ""2""), ""۳"", ""3""), ""۴"", ""4""), ""۵"", ""5""), ""۶"", """&amp;"6""), ""۷"", ""7""), ""۸"", ""8""), ""۹"", ""9""), IF(LEFT(converted,3)=""+98"", ""0"" &amp; RIGHT(converted, LEN(converted)-3), IF(LEFT(converted,2)=""98"", ""0"" &amp; RIGHT(converted, LEN(converted)-2), IF(LEFT(converted,1)&lt;&gt;""0"", ""0"" &amp; converted, REGEXREPL"&amp;"ACE(converted , ""\s"", """")) ) ) ) )"),"09198197842")</f>
        <v>09198197842</v>
      </c>
      <c r="E1093" s="205" t="s">
        <v>17</v>
      </c>
      <c r="F1093" s="206">
        <v>9.0</v>
      </c>
      <c r="G1093" s="213" t="s">
        <v>746</v>
      </c>
      <c r="H1093" s="202"/>
      <c r="I1093" s="203"/>
      <c r="J1093" s="203"/>
      <c r="K1093" s="202" t="s">
        <v>292</v>
      </c>
      <c r="L1093" s="202" t="s">
        <v>223</v>
      </c>
      <c r="M1093" s="202"/>
      <c r="N1093" s="202"/>
      <c r="O1093" s="202"/>
      <c r="P1093" s="202"/>
      <c r="Q1093" s="208"/>
      <c r="R1093" s="86"/>
      <c r="S1093" s="114">
        <f t="shared" ref="S1093:T1093" si="1094">A1093</f>
        <v>1093</v>
      </c>
      <c r="T1093" s="114" t="str">
        <f t="shared" si="1094"/>
        <v>مریم کبیری</v>
      </c>
      <c r="U1093" s="86" t="str">
        <f t="shared" si="3"/>
        <v>09198197842</v>
      </c>
      <c r="V1093" s="86" t="str">
        <f t="shared" si="4"/>
        <v>پیش‌وایی 9</v>
      </c>
      <c r="W1093" s="86"/>
      <c r="X1093" s="86"/>
    </row>
    <row r="1094">
      <c r="A1094" s="192">
        <v>1094.0</v>
      </c>
      <c r="B1094" s="193" t="s">
        <v>5356</v>
      </c>
      <c r="C1094" s="194" t="s">
        <v>5357</v>
      </c>
      <c r="D1094" s="195" t="str">
        <f>IFERROR(__xludf.DUMMYFUNCTION("ARRAYFORMULA(LET( converted, SUBSTITUTE( SUBSTITUTE( SUBSTITUTE( SUBSTITUTE( SUBSTITUTE( SUBSTITUTE( SUBSTITUTE( SUBSTITUTE( SUBSTITUTE( SUBSTITUTE( C1094, ""۰"", ""0""), ""۱"", ""1""), ""۲"", ""2""), ""۳"", ""3""), ""۴"", ""4""), ""۵"", ""5""), ""۶"", """&amp;"6""), ""۷"", ""7""), ""۸"", ""8""), ""۹"", ""9""), IF(LEFT(converted,3)=""+98"", ""0"" &amp; RIGHT(converted, LEN(converted)-3), IF(LEFT(converted,2)=""98"", ""0"" &amp; RIGHT(converted, LEN(converted)-2), IF(LEFT(converted,1)&lt;&gt;""0"", ""0"" &amp; converted, REGEXREPL"&amp;"ACE(converted , ""\s"", """")) ) ) ) )"),"09190318414")</f>
        <v>09190318414</v>
      </c>
      <c r="E1094" s="196" t="s">
        <v>17</v>
      </c>
      <c r="F1094" s="197">
        <v>9.0</v>
      </c>
      <c r="G1094" s="212" t="s">
        <v>730</v>
      </c>
      <c r="H1094" s="193"/>
      <c r="I1094" s="194"/>
      <c r="J1094" s="194"/>
      <c r="K1094" s="193" t="s">
        <v>1473</v>
      </c>
      <c r="L1094" s="193" t="s">
        <v>2573</v>
      </c>
      <c r="M1094" s="193"/>
      <c r="N1094" s="193"/>
      <c r="O1094" s="193"/>
      <c r="P1094" s="193"/>
      <c r="Q1094" s="200"/>
      <c r="R1094" s="86"/>
      <c r="S1094" s="114">
        <f t="shared" ref="S1094:T1094" si="1095">A1094</f>
        <v>1094</v>
      </c>
      <c r="T1094" s="114" t="str">
        <f t="shared" si="1095"/>
        <v>مصطفی جعفری</v>
      </c>
      <c r="U1094" s="86" t="str">
        <f t="shared" si="3"/>
        <v>09190318414</v>
      </c>
      <c r="V1094" s="86" t="str">
        <f t="shared" si="4"/>
        <v>پیش‌وایی 9</v>
      </c>
      <c r="W1094" s="86"/>
      <c r="X1094" s="86"/>
    </row>
    <row r="1095">
      <c r="A1095" s="201">
        <v>1095.0</v>
      </c>
      <c r="B1095" s="202" t="s">
        <v>4602</v>
      </c>
      <c r="C1095" s="203" t="s">
        <v>5280</v>
      </c>
      <c r="D1095" s="204" t="str">
        <f>IFERROR(__xludf.DUMMYFUNCTION("ARRAYFORMULA(LET( converted, SUBSTITUTE( SUBSTITUTE( SUBSTITUTE( SUBSTITUTE( SUBSTITUTE( SUBSTITUTE( SUBSTITUTE( SUBSTITUTE( SUBSTITUTE( SUBSTITUTE( C1095, ""۰"", ""0""), ""۱"", ""1""), ""۲"", ""2""), ""۳"", ""3""), ""۴"", ""4""), ""۵"", ""5""), ""۶"", """&amp;"6""), ""۷"", ""7""), ""۸"", ""8""), ""۹"", ""9""), IF(LEFT(converted,3)=""+98"", ""0"" &amp; RIGHT(converted, LEN(converted)-3), IF(LEFT(converted,2)=""98"", ""0"" &amp; RIGHT(converted, LEN(converted)-2), IF(LEFT(converted,1)&lt;&gt;""0"", ""0"" &amp; converted, REGEXREPL"&amp;"ACE(converted , ""\s"", """")) ) ) ) )"),"0###########")</f>
        <v>0###########</v>
      </c>
      <c r="E1095" s="205" t="s">
        <v>17</v>
      </c>
      <c r="F1095" s="206">
        <v>9.0</v>
      </c>
      <c r="G1095" s="213" t="s">
        <v>746</v>
      </c>
      <c r="H1095" s="202"/>
      <c r="I1095" s="203"/>
      <c r="J1095" s="203"/>
      <c r="K1095" s="202" t="s">
        <v>292</v>
      </c>
      <c r="L1095" s="202" t="s">
        <v>231</v>
      </c>
      <c r="M1095" s="202"/>
      <c r="N1095" s="202"/>
      <c r="O1095" s="202"/>
      <c r="P1095" s="202"/>
      <c r="Q1095" s="208"/>
      <c r="R1095" s="86"/>
      <c r="S1095" s="114">
        <f t="shared" ref="S1095:T1095" si="1096">A1095</f>
        <v>1095</v>
      </c>
      <c r="T1095" s="114" t="str">
        <f t="shared" si="1096"/>
        <v>مریم موسوی</v>
      </c>
      <c r="U1095" s="86" t="str">
        <f t="shared" si="3"/>
        <v>0###########</v>
      </c>
      <c r="V1095" s="86" t="str">
        <f t="shared" si="4"/>
        <v>پیش‌وایی 9</v>
      </c>
      <c r="W1095" s="86"/>
      <c r="X1095" s="86"/>
    </row>
    <row r="1096">
      <c r="A1096" s="192">
        <v>1096.0</v>
      </c>
      <c r="B1096" s="193" t="s">
        <v>4768</v>
      </c>
      <c r="C1096" s="194" t="s">
        <v>5358</v>
      </c>
      <c r="D1096" s="195" t="str">
        <f>IFERROR(__xludf.DUMMYFUNCTION("ARRAYFORMULA(LET( converted, SUBSTITUTE( SUBSTITUTE( SUBSTITUTE( SUBSTITUTE( SUBSTITUTE( SUBSTITUTE( SUBSTITUTE( SUBSTITUTE( SUBSTITUTE( SUBSTITUTE( C1096, ""۰"", ""0""), ""۱"", ""1""), ""۲"", ""2""), ""۳"", ""3""), ""۴"", ""4""), ""۵"", ""5""), ""۶"", """&amp;"6""), ""۷"", ""7""), ""۸"", ""8""), ""۹"", ""9""), IF(LEFT(converted,3)=""+98"", ""0"" &amp; RIGHT(converted, LEN(converted)-3), IF(LEFT(converted,2)=""98"", ""0"" &amp; RIGHT(converted, LEN(converted)-2), IF(LEFT(converted,1)&lt;&gt;""0"", ""0"" &amp; converted, REGEXREPL"&amp;"ACE(converted , ""\s"", """")) ) ) ) )"),"09124446164")</f>
        <v>09124446164</v>
      </c>
      <c r="E1096" s="196" t="s">
        <v>17</v>
      </c>
      <c r="F1096" s="197">
        <v>9.0</v>
      </c>
      <c r="G1096" s="212" t="s">
        <v>730</v>
      </c>
      <c r="H1096" s="193"/>
      <c r="I1096" s="194"/>
      <c r="J1096" s="194"/>
      <c r="K1096" s="193" t="s">
        <v>3126</v>
      </c>
      <c r="L1096" s="193" t="s">
        <v>4771</v>
      </c>
      <c r="M1096" s="193"/>
      <c r="N1096" s="193"/>
      <c r="O1096" s="193"/>
      <c r="P1096" s="193"/>
      <c r="Q1096" s="200"/>
      <c r="R1096" s="86"/>
      <c r="S1096" s="114">
        <f t="shared" ref="S1096:T1096" si="1097">A1096</f>
        <v>1096</v>
      </c>
      <c r="T1096" s="114" t="str">
        <f t="shared" si="1097"/>
        <v>ایمان اجتهادیان</v>
      </c>
      <c r="U1096" s="86" t="str">
        <f t="shared" si="3"/>
        <v>09124446164</v>
      </c>
      <c r="V1096" s="86" t="str">
        <f t="shared" si="4"/>
        <v>پیش‌وایی 9</v>
      </c>
      <c r="W1096" s="86"/>
      <c r="X1096" s="86"/>
    </row>
    <row r="1097">
      <c r="A1097" s="201">
        <v>1097.0</v>
      </c>
      <c r="B1097" s="202" t="s">
        <v>5359</v>
      </c>
      <c r="C1097" s="203" t="s">
        <v>5360</v>
      </c>
      <c r="D1097" s="204" t="str">
        <f>IFERROR(__xludf.DUMMYFUNCTION("ARRAYFORMULA(LET( converted, SUBSTITUTE( SUBSTITUTE( SUBSTITUTE( SUBSTITUTE( SUBSTITUTE( SUBSTITUTE( SUBSTITUTE( SUBSTITUTE( SUBSTITUTE( SUBSTITUTE( C1097, ""۰"", ""0""), ""۱"", ""1""), ""۲"", ""2""), ""۳"", ""3""), ""۴"", ""4""), ""۵"", ""5""), ""۶"", """&amp;"6""), ""۷"", ""7""), ""۸"", ""8""), ""۹"", ""9""), IF(LEFT(converted,3)=""+98"", ""0"" &amp; RIGHT(converted, LEN(converted)-3), IF(LEFT(converted,2)=""98"", ""0"" &amp; RIGHT(converted, LEN(converted)-2), IF(LEFT(converted,1)&lt;&gt;""0"", ""0"" &amp; converted, REGEXREPL"&amp;"ACE(converted , ""\s"", """")) ) ) ) )"),"09125870950")</f>
        <v>09125870950</v>
      </c>
      <c r="E1097" s="205" t="s">
        <v>17</v>
      </c>
      <c r="F1097" s="206">
        <v>9.0</v>
      </c>
      <c r="G1097" s="213" t="s">
        <v>746</v>
      </c>
      <c r="H1097" s="202"/>
      <c r="I1097" s="203"/>
      <c r="J1097" s="203"/>
      <c r="K1097" s="202" t="s">
        <v>852</v>
      </c>
      <c r="L1097" s="202" t="s">
        <v>5066</v>
      </c>
      <c r="M1097" s="202"/>
      <c r="N1097" s="202"/>
      <c r="O1097" s="202"/>
      <c r="P1097" s="202"/>
      <c r="Q1097" s="208"/>
      <c r="R1097" s="86"/>
      <c r="S1097" s="114">
        <f t="shared" ref="S1097:T1097" si="1098">A1097</f>
        <v>1097</v>
      </c>
      <c r="T1097" s="114" t="str">
        <f t="shared" si="1098"/>
        <v>زهره عزیزی</v>
      </c>
      <c r="U1097" s="86" t="str">
        <f t="shared" si="3"/>
        <v>09125870950</v>
      </c>
      <c r="V1097" s="86" t="str">
        <f t="shared" si="4"/>
        <v>پیش‌وایی 9</v>
      </c>
      <c r="W1097" s="86"/>
      <c r="X1097" s="86"/>
    </row>
    <row r="1098">
      <c r="A1098" s="192">
        <v>1098.0</v>
      </c>
      <c r="B1098" s="193" t="s">
        <v>4869</v>
      </c>
      <c r="C1098" s="194" t="s">
        <v>5361</v>
      </c>
      <c r="D1098" s="195" t="str">
        <f>IFERROR(__xludf.DUMMYFUNCTION("ARRAYFORMULA(LET( converted, SUBSTITUTE( SUBSTITUTE( SUBSTITUTE( SUBSTITUTE( SUBSTITUTE( SUBSTITUTE( SUBSTITUTE( SUBSTITUTE( SUBSTITUTE( SUBSTITUTE( C1098, ""۰"", ""0""), ""۱"", ""1""), ""۲"", ""2""), ""۳"", ""3""), ""۴"", ""4""), ""۵"", ""5""), ""۶"", """&amp;"6""), ""۷"", ""7""), ""۸"", ""8""), ""۹"", ""9""), IF(LEFT(converted,3)=""+98"", ""0"" &amp; RIGHT(converted, LEN(converted)-3), IF(LEFT(converted,2)=""98"", ""0"" &amp; RIGHT(converted, LEN(converted)-2), IF(LEFT(converted,1)&lt;&gt;""0"", ""0"" &amp; converted, REGEXREPL"&amp;"ACE(converted , ""\s"", """")) ) ) ) )"),"09120353615")</f>
        <v>09120353615</v>
      </c>
      <c r="E1098" s="196" t="s">
        <v>17</v>
      </c>
      <c r="F1098" s="197">
        <v>9.0</v>
      </c>
      <c r="G1098" s="212" t="s">
        <v>730</v>
      </c>
      <c r="H1098" s="193"/>
      <c r="I1098" s="194"/>
      <c r="J1098" s="194"/>
      <c r="K1098" s="193" t="s">
        <v>4872</v>
      </c>
      <c r="L1098" s="193" t="s">
        <v>1913</v>
      </c>
      <c r="M1098" s="193"/>
      <c r="N1098" s="193"/>
      <c r="O1098" s="193"/>
      <c r="P1098" s="193"/>
      <c r="Q1098" s="200"/>
      <c r="R1098" s="86"/>
      <c r="S1098" s="114">
        <f t="shared" ref="S1098:T1098" si="1099">A1098</f>
        <v>1098</v>
      </c>
      <c r="T1098" s="114" t="str">
        <f t="shared" si="1099"/>
        <v>سبحان مرادی</v>
      </c>
      <c r="U1098" s="86" t="str">
        <f t="shared" si="3"/>
        <v>09120353615</v>
      </c>
      <c r="V1098" s="86" t="str">
        <f t="shared" si="4"/>
        <v>پیش‌وایی 9</v>
      </c>
      <c r="W1098" s="86"/>
      <c r="X1098" s="86"/>
    </row>
    <row r="1099">
      <c r="A1099" s="201">
        <v>1099.0</v>
      </c>
      <c r="B1099" s="202" t="s">
        <v>4949</v>
      </c>
      <c r="C1099" s="203" t="s">
        <v>5362</v>
      </c>
      <c r="D1099" s="204" t="str">
        <f>IFERROR(__xludf.DUMMYFUNCTION("ARRAYFORMULA(LET( converted, SUBSTITUTE( SUBSTITUTE( SUBSTITUTE( SUBSTITUTE( SUBSTITUTE( SUBSTITUTE( SUBSTITUTE( SUBSTITUTE( SUBSTITUTE( SUBSTITUTE( C1099, ""۰"", ""0""), ""۱"", ""1""), ""۲"", ""2""), ""۳"", ""3""), ""۴"", ""4""), ""۵"", ""5""), ""۶"", """&amp;"6""), ""۷"", ""7""), ""۸"", ""8""), ""۹"", ""9""), IF(LEFT(converted,3)=""+98"", ""0"" &amp; RIGHT(converted, LEN(converted)-3), IF(LEFT(converted,2)=""98"", ""0"" &amp; RIGHT(converted, LEN(converted)-2), IF(LEFT(converted,1)&lt;&gt;""0"", ""0"" &amp; converted, REGEXREPL"&amp;"ACE(converted , ""\s"", """")) ) ) ) )"),"09133140949")</f>
        <v>09133140949</v>
      </c>
      <c r="E1099" s="205" t="s">
        <v>17</v>
      </c>
      <c r="F1099" s="206">
        <v>9.0</v>
      </c>
      <c r="G1099" s="213" t="s">
        <v>730</v>
      </c>
      <c r="H1099" s="202" t="s">
        <v>4951</v>
      </c>
      <c r="I1099" s="203"/>
      <c r="J1099" s="203"/>
      <c r="K1099" s="202" t="s">
        <v>1018</v>
      </c>
      <c r="L1099" s="202" t="s">
        <v>248</v>
      </c>
      <c r="M1099" s="202"/>
      <c r="N1099" s="202"/>
      <c r="O1099" s="202"/>
      <c r="P1099" s="202"/>
      <c r="Q1099" s="208"/>
      <c r="R1099" s="86"/>
      <c r="S1099" s="114">
        <f t="shared" ref="S1099:T1099" si="1100">A1099</f>
        <v>1099</v>
      </c>
      <c r="T1099" s="114" t="str">
        <f t="shared" si="1100"/>
        <v>علی صفری</v>
      </c>
      <c r="U1099" s="86" t="str">
        <f t="shared" si="3"/>
        <v>09133140949</v>
      </c>
      <c r="V1099" s="86" t="str">
        <f t="shared" si="4"/>
        <v>پیش‌وایی 9</v>
      </c>
      <c r="W1099" s="86"/>
      <c r="X1099" s="86"/>
    </row>
    <row r="1100">
      <c r="A1100" s="192">
        <v>1100.0</v>
      </c>
      <c r="B1100" s="193" t="s">
        <v>5363</v>
      </c>
      <c r="C1100" s="194" t="s">
        <v>5280</v>
      </c>
      <c r="D1100" s="195" t="str">
        <f>IFERROR(__xludf.DUMMYFUNCTION("ARRAYFORMULA(LET( converted, SUBSTITUTE( SUBSTITUTE( SUBSTITUTE( SUBSTITUTE( SUBSTITUTE( SUBSTITUTE( SUBSTITUTE( SUBSTITUTE( SUBSTITUTE( SUBSTITUTE( C1100, ""۰"", ""0""), ""۱"", ""1""), ""۲"", ""2""), ""۳"", ""3""), ""۴"", ""4""), ""۵"", ""5""), ""۶"", """&amp;"6""), ""۷"", ""7""), ""۸"", ""8""), ""۹"", ""9""), IF(LEFT(converted,3)=""+98"", ""0"" &amp; RIGHT(converted, LEN(converted)-3), IF(LEFT(converted,2)=""98"", ""0"" &amp; RIGHT(converted, LEN(converted)-2), IF(LEFT(converted,1)&lt;&gt;""0"", ""0"" &amp; converted, REGEXREPL"&amp;"ACE(converted , ""\s"", """")) ) ) ) )"),"0###########")</f>
        <v>0###########</v>
      </c>
      <c r="E1100" s="196" t="s">
        <v>17</v>
      </c>
      <c r="F1100" s="197">
        <v>9.0</v>
      </c>
      <c r="G1100" s="212" t="s">
        <v>746</v>
      </c>
      <c r="H1100" s="193"/>
      <c r="I1100" s="194"/>
      <c r="J1100" s="194"/>
      <c r="K1100" s="193" t="s">
        <v>292</v>
      </c>
      <c r="L1100" s="193" t="s">
        <v>5364</v>
      </c>
      <c r="M1100" s="193"/>
      <c r="N1100" s="193"/>
      <c r="O1100" s="193"/>
      <c r="P1100" s="193"/>
      <c r="Q1100" s="200"/>
      <c r="R1100" s="86"/>
      <c r="S1100" s="114">
        <f t="shared" ref="S1100:T1100" si="1101">A1100</f>
        <v>1100</v>
      </c>
      <c r="T1100" s="114" t="str">
        <f t="shared" si="1101"/>
        <v>مریم سیدحسین</v>
      </c>
      <c r="U1100" s="86" t="str">
        <f t="shared" si="3"/>
        <v>0###########</v>
      </c>
      <c r="V1100" s="86" t="str">
        <f t="shared" si="4"/>
        <v>پیش‌وایی 9</v>
      </c>
      <c r="W1100" s="86"/>
      <c r="X1100" s="86"/>
    </row>
    <row r="1101">
      <c r="A1101" s="201">
        <v>1101.0</v>
      </c>
      <c r="B1101" s="202" t="s">
        <v>2773</v>
      </c>
      <c r="C1101" s="203" t="s">
        <v>305</v>
      </c>
      <c r="D1101" s="204" t="str">
        <f>IFERROR(__xludf.DUMMYFUNCTION("ARRAYFORMULA(LET( converted, SUBSTITUTE( SUBSTITUTE( SUBSTITUTE( SUBSTITUTE( SUBSTITUTE( SUBSTITUTE( SUBSTITUTE( SUBSTITUTE( SUBSTITUTE( SUBSTITUTE( C1101, ""۰"", ""0""), ""۱"", ""1""), ""۲"", ""2""), ""۳"", ""3""), ""۴"", ""4""), ""۵"", ""5""), ""۶"", """&amp;"6""), ""۷"", ""7""), ""۸"", ""8""), ""۹"", ""9""), IF(LEFT(converted,3)=""+98"", ""0"" &amp; RIGHT(converted, LEN(converted)-3), IF(LEFT(converted,2)=""98"", ""0"" &amp; RIGHT(converted, LEN(converted)-2), IF(LEFT(converted,1)&lt;&gt;""0"", ""0"" &amp; converted, REGEXREPL"&amp;"ACE(converted , ""\s"", """")) ) ) ) )"),"09196797540")</f>
        <v>09196797540</v>
      </c>
      <c r="E1101" s="205" t="s">
        <v>17</v>
      </c>
      <c r="F1101" s="206">
        <v>9.0</v>
      </c>
      <c r="G1101" s="213" t="s">
        <v>730</v>
      </c>
      <c r="H1101" s="202"/>
      <c r="I1101" s="203"/>
      <c r="J1101" s="203"/>
      <c r="K1101" s="202" t="s">
        <v>303</v>
      </c>
      <c r="L1101" s="202" t="s">
        <v>304</v>
      </c>
      <c r="M1101" s="202"/>
      <c r="N1101" s="202"/>
      <c r="O1101" s="202"/>
      <c r="P1101" s="202"/>
      <c r="Q1101" s="208"/>
      <c r="R1101" s="86"/>
      <c r="S1101" s="114">
        <f t="shared" ref="S1101:T1101" si="1102">A1101</f>
        <v>1101</v>
      </c>
      <c r="T1101" s="114" t="str">
        <f t="shared" si="1102"/>
        <v>محمد بیات</v>
      </c>
      <c r="U1101" s="86" t="str">
        <f t="shared" si="3"/>
        <v>09196797540</v>
      </c>
      <c r="V1101" s="86" t="str">
        <f t="shared" si="4"/>
        <v>پیش‌وایی 9</v>
      </c>
      <c r="W1101" s="86"/>
      <c r="X1101" s="86"/>
    </row>
    <row r="1102">
      <c r="A1102" s="192">
        <v>1102.0</v>
      </c>
      <c r="B1102" s="193" t="s">
        <v>5365</v>
      </c>
      <c r="C1102" s="194" t="s">
        <v>5366</v>
      </c>
      <c r="D1102" s="195" t="str">
        <f>IFERROR(__xludf.DUMMYFUNCTION("ARRAYFORMULA(LET( converted, SUBSTITUTE( SUBSTITUTE( SUBSTITUTE( SUBSTITUTE( SUBSTITUTE( SUBSTITUTE( SUBSTITUTE( SUBSTITUTE( SUBSTITUTE( SUBSTITUTE( C1102, ""۰"", ""0""), ""۱"", ""1""), ""۲"", ""2""), ""۳"", ""3""), ""۴"", ""4""), ""۵"", ""5""), ""۶"", """&amp;"6""), ""۷"", ""7""), ""۸"", ""8""), ""۹"", ""9""), IF(LEFT(converted,3)=""+98"", ""0"" &amp; RIGHT(converted, LEN(converted)-3), IF(LEFT(converted,2)=""98"", ""0"" &amp; RIGHT(converted, LEN(converted)-2), IF(LEFT(converted,1)&lt;&gt;""0"", ""0"" &amp; converted, REGEXREPL"&amp;"ACE(converted , ""\s"", """")) ) ) ) )"),"09128660344")</f>
        <v>09128660344</v>
      </c>
      <c r="E1102" s="196" t="s">
        <v>17</v>
      </c>
      <c r="F1102" s="197">
        <v>9.0</v>
      </c>
      <c r="G1102" s="212" t="s">
        <v>730</v>
      </c>
      <c r="H1102" s="193"/>
      <c r="I1102" s="194"/>
      <c r="J1102" s="194"/>
      <c r="K1102" s="193" t="s">
        <v>1466</v>
      </c>
      <c r="L1102" s="193" t="s">
        <v>5367</v>
      </c>
      <c r="M1102" s="193"/>
      <c r="N1102" s="193"/>
      <c r="O1102" s="193"/>
      <c r="P1102" s="193"/>
      <c r="Q1102" s="200"/>
      <c r="R1102" s="86"/>
      <c r="S1102" s="114">
        <f t="shared" ref="S1102:T1102" si="1103">A1102</f>
        <v>1102</v>
      </c>
      <c r="T1102" s="114" t="str">
        <f t="shared" si="1103"/>
        <v>امیرعلی یاقوتی</v>
      </c>
      <c r="U1102" s="86" t="str">
        <f t="shared" si="3"/>
        <v>09128660344</v>
      </c>
      <c r="V1102" s="86" t="str">
        <f t="shared" si="4"/>
        <v>پیش‌وایی 9</v>
      </c>
      <c r="W1102" s="86"/>
      <c r="X1102" s="86"/>
    </row>
    <row r="1103">
      <c r="A1103" s="201">
        <v>1103.0</v>
      </c>
      <c r="B1103" s="202" t="s">
        <v>2433</v>
      </c>
      <c r="C1103" s="203" t="s">
        <v>5368</v>
      </c>
      <c r="D1103" s="204" t="str">
        <f>IFERROR(__xludf.DUMMYFUNCTION("ARRAYFORMULA(LET( converted, SUBSTITUTE( SUBSTITUTE( SUBSTITUTE( SUBSTITUTE( SUBSTITUTE( SUBSTITUTE( SUBSTITUTE( SUBSTITUTE( SUBSTITUTE( SUBSTITUTE( C1103, ""۰"", ""0""), ""۱"", ""1""), ""۲"", ""2""), ""۳"", ""3""), ""۴"", ""4""), ""۵"", ""5""), ""۶"", """&amp;"6""), ""۷"", ""7""), ""۸"", ""8""), ""۹"", ""9""), IF(LEFT(converted,3)=""+98"", ""0"" &amp; RIGHT(converted, LEN(converted)-3), IF(LEFT(converted,2)=""98"", ""0"" &amp; RIGHT(converted, LEN(converted)-2), IF(LEFT(converted,1)&lt;&gt;""0"", ""0"" &amp; converted, REGEXREPL"&amp;"ACE(converted , ""\s"", """")) ) ) ) )"),"09122046602
 989199928832")</f>
        <v>09122046602
 989199928832</v>
      </c>
      <c r="E1103" s="205" t="s">
        <v>17</v>
      </c>
      <c r="F1103" s="206">
        <v>9.0</v>
      </c>
      <c r="G1103" s="213" t="s">
        <v>730</v>
      </c>
      <c r="H1103" s="202"/>
      <c r="I1103" s="203"/>
      <c r="J1103" s="203"/>
      <c r="K1103" s="202" t="s">
        <v>222</v>
      </c>
      <c r="L1103" s="202" t="s">
        <v>223</v>
      </c>
      <c r="M1103" s="202"/>
      <c r="N1103" s="202"/>
      <c r="O1103" s="202"/>
      <c r="P1103" s="202"/>
      <c r="Q1103" s="208"/>
      <c r="R1103" s="86"/>
      <c r="S1103" s="114">
        <f t="shared" ref="S1103:T1103" si="1104">A1103</f>
        <v>1103</v>
      </c>
      <c r="T1103" s="114" t="str">
        <f t="shared" si="1104"/>
        <v>بهنام کبیری</v>
      </c>
      <c r="U1103" s="86" t="str">
        <f t="shared" si="3"/>
        <v>09122046602
 989199928832</v>
      </c>
      <c r="V1103" s="86" t="str">
        <f t="shared" si="4"/>
        <v>پیش‌وایی 9</v>
      </c>
      <c r="W1103" s="86"/>
      <c r="X1103" s="86"/>
    </row>
    <row r="1104">
      <c r="A1104" s="192">
        <v>1104.0</v>
      </c>
      <c r="B1104" s="193" t="s">
        <v>5000</v>
      </c>
      <c r="C1104" s="194" t="s">
        <v>278</v>
      </c>
      <c r="D1104" s="195" t="str">
        <f>IFERROR(__xludf.DUMMYFUNCTION("ARRAYFORMULA(LET( converted, SUBSTITUTE( SUBSTITUTE( SUBSTITUTE( SUBSTITUTE( SUBSTITUTE( SUBSTITUTE( SUBSTITUTE( SUBSTITUTE( SUBSTITUTE( SUBSTITUTE( C1104, ""۰"", ""0""), ""۱"", ""1""), ""۲"", ""2""), ""۳"", ""3""), ""۴"", ""4""), ""۵"", ""5""), ""۶"", """&amp;"6""), ""۷"", ""7""), ""۸"", ""8""), ""۹"", ""9""), IF(LEFT(converted,3)=""+98"", ""0"" &amp; RIGHT(converted, LEN(converted)-3), IF(LEFT(converted,2)=""98"", ""0"" &amp; RIGHT(converted, LEN(converted)-2), IF(LEFT(converted,1)&lt;&gt;""0"", ""0"" &amp; converted, REGEXREPL"&amp;"ACE(converted , ""\s"", """")) ) ) ) )"),"09384154314")</f>
        <v>09384154314</v>
      </c>
      <c r="E1104" s="196" t="s">
        <v>17</v>
      </c>
      <c r="F1104" s="197">
        <v>9.0</v>
      </c>
      <c r="G1104" s="212" t="s">
        <v>746</v>
      </c>
      <c r="H1104" s="193"/>
      <c r="I1104" s="194"/>
      <c r="J1104" s="194"/>
      <c r="K1104" s="193" t="s">
        <v>274</v>
      </c>
      <c r="L1104" s="193" t="s">
        <v>277</v>
      </c>
      <c r="M1104" s="193"/>
      <c r="N1104" s="193"/>
      <c r="O1104" s="193"/>
      <c r="P1104" s="193"/>
      <c r="Q1104" s="200"/>
      <c r="R1104" s="86"/>
      <c r="S1104" s="114">
        <f t="shared" ref="S1104:T1104" si="1105">A1104</f>
        <v>1104</v>
      </c>
      <c r="T1104" s="114" t="str">
        <f t="shared" si="1105"/>
        <v>فاطمه مظاهری</v>
      </c>
      <c r="U1104" s="86" t="str">
        <f t="shared" si="3"/>
        <v>09384154314</v>
      </c>
      <c r="V1104" s="86" t="str">
        <f t="shared" si="4"/>
        <v>پیش‌وایی 9</v>
      </c>
      <c r="W1104" s="86"/>
      <c r="X1104" s="86"/>
    </row>
    <row r="1105">
      <c r="A1105" s="201">
        <v>1105.0</v>
      </c>
      <c r="B1105" s="202" t="s">
        <v>5048</v>
      </c>
      <c r="C1105" s="203" t="s">
        <v>5369</v>
      </c>
      <c r="D1105" s="204" t="str">
        <f>IFERROR(__xludf.DUMMYFUNCTION("ARRAYFORMULA(LET( converted, SUBSTITUTE( SUBSTITUTE( SUBSTITUTE( SUBSTITUTE( SUBSTITUTE( SUBSTITUTE( SUBSTITUTE( SUBSTITUTE( SUBSTITUTE( SUBSTITUTE( C1105, ""۰"", ""0""), ""۱"", ""1""), ""۲"", ""2""), ""۳"", ""3""), ""۴"", ""4""), ""۵"", ""5""), ""۶"", """&amp;"6""), ""۷"", ""7""), ""۸"", ""8""), ""۹"", ""9""), IF(LEFT(converted,3)=""+98"", ""0"" &amp; RIGHT(converted, LEN(converted)-3), IF(LEFT(converted,2)=""98"", ""0"" &amp; RIGHT(converted, LEN(converted)-2), IF(LEFT(converted,1)&lt;&gt;""0"", ""0"" &amp; converted, REGEXREPL"&amp;"ACE(converted , ""\s"", """")) ) ) ) )"),"09132148482
 989121192675")</f>
        <v>09132148482
 989121192675</v>
      </c>
      <c r="E1105" s="205" t="s">
        <v>17</v>
      </c>
      <c r="F1105" s="206">
        <v>9.0</v>
      </c>
      <c r="G1105" s="213" t="s">
        <v>730</v>
      </c>
      <c r="H1105" s="202"/>
      <c r="I1105" s="203"/>
      <c r="J1105" s="203"/>
      <c r="K1105" s="202" t="s">
        <v>311</v>
      </c>
      <c r="L1105" s="202" t="s">
        <v>312</v>
      </c>
      <c r="M1105" s="202"/>
      <c r="N1105" s="202"/>
      <c r="O1105" s="202"/>
      <c r="P1105" s="202"/>
      <c r="Q1105" s="208"/>
      <c r="R1105" s="86"/>
      <c r="S1105" s="114">
        <f t="shared" ref="S1105:T1105" si="1106">A1105</f>
        <v>1105</v>
      </c>
      <c r="T1105" s="114" t="str">
        <f t="shared" si="1106"/>
        <v>محسن ملک محمدی</v>
      </c>
      <c r="U1105" s="86" t="str">
        <f t="shared" si="3"/>
        <v>09132148482
 989121192675</v>
      </c>
      <c r="V1105" s="86" t="str">
        <f t="shared" si="4"/>
        <v>پیش‌وایی 9</v>
      </c>
      <c r="W1105" s="86"/>
      <c r="X1105" s="86"/>
    </row>
    <row r="1106">
      <c r="A1106" s="192">
        <v>1106.0</v>
      </c>
      <c r="B1106" s="193" t="s">
        <v>1741</v>
      </c>
      <c r="C1106" s="194" t="s">
        <v>5280</v>
      </c>
      <c r="D1106" s="195" t="str">
        <f>IFERROR(__xludf.DUMMYFUNCTION("ARRAYFORMULA(LET( converted, SUBSTITUTE( SUBSTITUTE( SUBSTITUTE( SUBSTITUTE( SUBSTITUTE( SUBSTITUTE( SUBSTITUTE( SUBSTITUTE( SUBSTITUTE( SUBSTITUTE( C1106, ""۰"", ""0""), ""۱"", ""1""), ""۲"", ""2""), ""۳"", ""3""), ""۴"", ""4""), ""۵"", ""5""), ""۶"", """&amp;"6""), ""۷"", ""7""), ""۸"", ""8""), ""۹"", ""9""), IF(LEFT(converted,3)=""+98"", ""0"" &amp; RIGHT(converted, LEN(converted)-3), IF(LEFT(converted,2)=""98"", ""0"" &amp; RIGHT(converted, LEN(converted)-2), IF(LEFT(converted,1)&lt;&gt;""0"", ""0"" &amp; converted, REGEXREPL"&amp;"ACE(converted , ""\s"", """")) ) ) ) )"),"0###########")</f>
        <v>0###########</v>
      </c>
      <c r="E1106" s="196" t="s">
        <v>17</v>
      </c>
      <c r="F1106" s="197">
        <v>9.0</v>
      </c>
      <c r="G1106" s="212" t="s">
        <v>746</v>
      </c>
      <c r="H1106" s="193"/>
      <c r="I1106" s="194"/>
      <c r="J1106" s="194"/>
      <c r="K1106" s="193" t="s">
        <v>214</v>
      </c>
      <c r="L1106" s="193" t="s">
        <v>1743</v>
      </c>
      <c r="M1106" s="193"/>
      <c r="N1106" s="193"/>
      <c r="O1106" s="193"/>
      <c r="P1106" s="193"/>
      <c r="Q1106" s="200"/>
      <c r="R1106" s="86"/>
      <c r="S1106" s="114">
        <f t="shared" ref="S1106:T1106" si="1107">A1106</f>
        <v>1106</v>
      </c>
      <c r="T1106" s="114" t="str">
        <f t="shared" si="1107"/>
        <v>بهاره نظری</v>
      </c>
      <c r="U1106" s="86" t="str">
        <f t="shared" si="3"/>
        <v>0###########</v>
      </c>
      <c r="V1106" s="86" t="str">
        <f t="shared" si="4"/>
        <v>پیش‌وایی 9</v>
      </c>
      <c r="W1106" s="86"/>
      <c r="X1106" s="86"/>
    </row>
    <row r="1107">
      <c r="A1107" s="201">
        <v>1107.0</v>
      </c>
      <c r="B1107" s="202" t="s">
        <v>1400</v>
      </c>
      <c r="C1107" s="203" t="s">
        <v>5280</v>
      </c>
      <c r="D1107" s="204" t="str">
        <f>IFERROR(__xludf.DUMMYFUNCTION("ARRAYFORMULA(LET( converted, SUBSTITUTE( SUBSTITUTE( SUBSTITUTE( SUBSTITUTE( SUBSTITUTE( SUBSTITUTE( SUBSTITUTE( SUBSTITUTE( SUBSTITUTE( SUBSTITUTE( C1107, ""۰"", ""0""), ""۱"", ""1""), ""۲"", ""2""), ""۳"", ""3""), ""۴"", ""4""), ""۵"", ""5""), ""۶"", """&amp;"6""), ""۷"", ""7""), ""۸"", ""8""), ""۹"", ""9""), IF(LEFT(converted,3)=""+98"", ""0"" &amp; RIGHT(converted, LEN(converted)-3), IF(LEFT(converted,2)=""98"", ""0"" &amp; RIGHT(converted, LEN(converted)-2), IF(LEFT(converted,1)&lt;&gt;""0"", ""0"" &amp; converted, REGEXREPL"&amp;"ACE(converted , ""\s"", """")) ) ) ) )"),"0###########")</f>
        <v>0###########</v>
      </c>
      <c r="E1107" s="205" t="s">
        <v>17</v>
      </c>
      <c r="F1107" s="206">
        <v>9.0</v>
      </c>
      <c r="G1107" s="213" t="s">
        <v>730</v>
      </c>
      <c r="H1107" s="202"/>
      <c r="I1107" s="203"/>
      <c r="J1107" s="203"/>
      <c r="K1107" s="202" t="s">
        <v>27</v>
      </c>
      <c r="L1107" s="202" t="s">
        <v>315</v>
      </c>
      <c r="M1107" s="202"/>
      <c r="N1107" s="202"/>
      <c r="O1107" s="202"/>
      <c r="P1107" s="202"/>
      <c r="Q1107" s="208"/>
      <c r="R1107" s="86"/>
      <c r="S1107" s="114">
        <f t="shared" ref="S1107:T1107" si="1108">A1107</f>
        <v>1107</v>
      </c>
      <c r="T1107" s="114" t="str">
        <f t="shared" si="1108"/>
        <v>مجید حسینی نژاد</v>
      </c>
      <c r="U1107" s="86" t="str">
        <f t="shared" si="3"/>
        <v>0###########</v>
      </c>
      <c r="V1107" s="86" t="str">
        <f t="shared" si="4"/>
        <v>پیش‌وایی 9</v>
      </c>
      <c r="W1107" s="86"/>
      <c r="X1107" s="86"/>
    </row>
    <row r="1108">
      <c r="A1108" s="192">
        <v>1108.0</v>
      </c>
      <c r="B1108" s="193" t="s">
        <v>62</v>
      </c>
      <c r="C1108" s="194" t="s">
        <v>272</v>
      </c>
      <c r="D1108" s="195" t="str">
        <f>IFERROR(__xludf.DUMMYFUNCTION("ARRAYFORMULA(LET( converted, SUBSTITUTE( SUBSTITUTE( SUBSTITUTE( SUBSTITUTE( SUBSTITUTE( SUBSTITUTE( SUBSTITUTE( SUBSTITUTE( SUBSTITUTE( SUBSTITUTE( C1108, ""۰"", ""0""), ""۱"", ""1""), ""۲"", ""2""), ""۳"", ""3""), ""۴"", ""4""), ""۵"", ""5""), ""۶"", """&amp;"6""), ""۷"", ""7""), ""۸"", ""8""), ""۹"", ""9""), IF(LEFT(converted,3)=""+98"", ""0"" &amp; RIGHT(converted, LEN(converted)-3), IF(LEFT(converted,2)=""98"", ""0"" &amp; RIGHT(converted, LEN(converted)-2), IF(LEFT(converted,1)&lt;&gt;""0"", ""0"" &amp; converted, REGEXREPL"&amp;"ACE(converted , ""\s"", """")) ) ) ) )"),"09125052440")</f>
        <v>09125052440</v>
      </c>
      <c r="E1108" s="196" t="s">
        <v>17</v>
      </c>
      <c r="F1108" s="197">
        <v>9.0</v>
      </c>
      <c r="G1108" s="212" t="s">
        <v>730</v>
      </c>
      <c r="H1108" s="193"/>
      <c r="I1108" s="194"/>
      <c r="J1108" s="194"/>
      <c r="K1108" s="193" t="s">
        <v>53</v>
      </c>
      <c r="L1108" s="193" t="s">
        <v>327</v>
      </c>
      <c r="M1108" s="193"/>
      <c r="N1108" s="193"/>
      <c r="O1108" s="193"/>
      <c r="P1108" s="193"/>
      <c r="Q1108" s="200"/>
      <c r="R1108" s="86"/>
      <c r="S1108" s="114">
        <f t="shared" ref="S1108:T1108" si="1109">A1108</f>
        <v>1108</v>
      </c>
      <c r="T1108" s="114" t="str">
        <f t="shared" si="1109"/>
        <v>هاشم کیانی</v>
      </c>
      <c r="U1108" s="86" t="str">
        <f t="shared" si="3"/>
        <v>09125052440</v>
      </c>
      <c r="V1108" s="86" t="str">
        <f t="shared" si="4"/>
        <v>پیش‌وایی 9</v>
      </c>
      <c r="W1108" s="86"/>
      <c r="X1108" s="86"/>
    </row>
    <row r="1109">
      <c r="A1109" s="201">
        <v>1109.0</v>
      </c>
      <c r="B1109" s="202" t="s">
        <v>1342</v>
      </c>
      <c r="C1109" s="203" t="s">
        <v>5280</v>
      </c>
      <c r="D1109" s="204" t="str">
        <f>IFERROR(__xludf.DUMMYFUNCTION("ARRAYFORMULA(LET( converted, SUBSTITUTE( SUBSTITUTE( SUBSTITUTE( SUBSTITUTE( SUBSTITUTE( SUBSTITUTE( SUBSTITUTE( SUBSTITUTE( SUBSTITUTE( SUBSTITUTE( C1109, ""۰"", ""0""), ""۱"", ""1""), ""۲"", ""2""), ""۳"", ""3""), ""۴"", ""4""), ""۵"", ""5""), ""۶"", """&amp;"6""), ""۷"", ""7""), ""۸"", ""8""), ""۹"", ""9""), IF(LEFT(converted,3)=""+98"", ""0"" &amp; RIGHT(converted, LEN(converted)-3), IF(LEFT(converted,2)=""98"", ""0"" &amp; RIGHT(converted, LEN(converted)-2), IF(LEFT(converted,1)&lt;&gt;""0"", ""0"" &amp; converted, REGEXREPL"&amp;"ACE(converted , ""\s"", """")) ) ) ) )"),"0###########")</f>
        <v>0###########</v>
      </c>
      <c r="E1109" s="205" t="s">
        <v>17</v>
      </c>
      <c r="F1109" s="206">
        <v>9.0</v>
      </c>
      <c r="G1109" s="213" t="s">
        <v>746</v>
      </c>
      <c r="H1109" s="202"/>
      <c r="I1109" s="203"/>
      <c r="J1109" s="203"/>
      <c r="K1109" s="202" t="s">
        <v>196</v>
      </c>
      <c r="L1109" s="202" t="s">
        <v>242</v>
      </c>
      <c r="M1109" s="202"/>
      <c r="N1109" s="202"/>
      <c r="O1109" s="202"/>
      <c r="P1109" s="202"/>
      <c r="Q1109" s="208"/>
      <c r="R1109" s="86"/>
      <c r="S1109" s="114">
        <f t="shared" ref="S1109:T1109" si="1110">A1109</f>
        <v>1109</v>
      </c>
      <c r="T1109" s="114" t="str">
        <f t="shared" si="1110"/>
        <v>سایه زارعی</v>
      </c>
      <c r="U1109" s="86" t="str">
        <f t="shared" si="3"/>
        <v>0###########</v>
      </c>
      <c r="V1109" s="86" t="str">
        <f t="shared" si="4"/>
        <v>پیش‌وایی 9</v>
      </c>
      <c r="W1109" s="86"/>
      <c r="X1109" s="86"/>
    </row>
    <row r="1110">
      <c r="A1110" s="192">
        <v>1110.0</v>
      </c>
      <c r="B1110" s="193" t="s">
        <v>5370</v>
      </c>
      <c r="C1110" s="194"/>
      <c r="D1110" s="195" t="str">
        <f>IFERROR(__xludf.DUMMYFUNCTION("ARRAYFORMULA(LET( converted, SUBSTITUTE( SUBSTITUTE( SUBSTITUTE( SUBSTITUTE( SUBSTITUTE( SUBSTITUTE( SUBSTITUTE( SUBSTITUTE( SUBSTITUTE( SUBSTITUTE( C1110, ""۰"", ""0""), ""۱"", ""1""), ""۲"", ""2""), ""۳"", ""3""), ""۴"", ""4""), ""۵"", ""5""), ""۶"", """&amp;"6""), ""۷"", ""7""), ""۸"", ""8""), ""۹"", ""9""), IF(LEFT(converted,3)=""+98"", ""0"" &amp; RIGHT(converted, LEN(converted)-3), IF(LEFT(converted,2)=""98"", ""0"" &amp; RIGHT(converted, LEN(converted)-2), IF(LEFT(converted,1)&lt;&gt;""0"", ""0"" &amp; converted, REGEXREPL"&amp;"ACE(converted , ""\s"", """")) ) ) ) )"),"0")</f>
        <v>0</v>
      </c>
      <c r="E1110" s="196" t="s">
        <v>17</v>
      </c>
      <c r="F1110" s="197">
        <v>9.0</v>
      </c>
      <c r="G1110" s="212" t="s">
        <v>730</v>
      </c>
      <c r="H1110" s="193"/>
      <c r="I1110" s="194"/>
      <c r="J1110" s="194"/>
      <c r="K1110" s="193" t="s">
        <v>200</v>
      </c>
      <c r="L1110" s="193" t="s">
        <v>201</v>
      </c>
      <c r="M1110" s="193"/>
      <c r="N1110" s="193"/>
      <c r="O1110" s="193"/>
      <c r="P1110" s="193"/>
      <c r="Q1110" s="200"/>
      <c r="R1110" s="86"/>
      <c r="S1110" s="114">
        <f t="shared" ref="S1110:T1110" si="1111">A1110</f>
        <v>1110</v>
      </c>
      <c r="T1110" s="114" t="str">
        <f t="shared" si="1111"/>
        <v>احسان محسنیان</v>
      </c>
      <c r="U1110" s="86" t="str">
        <f t="shared" si="3"/>
        <v>0</v>
      </c>
      <c r="V1110" s="86" t="str">
        <f t="shared" si="4"/>
        <v>پیش‌وایی 9</v>
      </c>
      <c r="W1110" s="86"/>
      <c r="X1110" s="86"/>
    </row>
    <row r="1111">
      <c r="A1111" s="201">
        <v>1111.0</v>
      </c>
      <c r="B1111" s="202" t="s">
        <v>5371</v>
      </c>
      <c r="C1111" s="203" t="s">
        <v>5372</v>
      </c>
      <c r="D1111" s="204" t="str">
        <f>IFERROR(__xludf.DUMMYFUNCTION("ARRAYFORMULA(LET( converted, SUBSTITUTE( SUBSTITUTE( SUBSTITUTE( SUBSTITUTE( SUBSTITUTE( SUBSTITUTE( SUBSTITUTE( SUBSTITUTE( SUBSTITUTE( SUBSTITUTE( C1111, ""۰"", ""0""), ""۱"", ""1""), ""۲"", ""2""), ""۳"", ""3""), ""۴"", ""4""), ""۵"", ""5""), ""۶"", """&amp;"6""), ""۷"", ""7""), ""۸"", ""8""), ""۹"", ""9""), IF(LEFT(converted,3)=""+98"", ""0"" &amp; RIGHT(converted, LEN(converted)-3), IF(LEFT(converted,2)=""98"", ""0"" &amp; RIGHT(converted, LEN(converted)-2), IF(LEFT(converted,1)&lt;&gt;""0"", ""0"" &amp; converted, REGEXREPL"&amp;"ACE(converted , ""\s"", """")) ) ) ) )"),"09128011643")</f>
        <v>09128011643</v>
      </c>
      <c r="E1111" s="205" t="s">
        <v>17</v>
      </c>
      <c r="F1111" s="206">
        <v>9.0</v>
      </c>
      <c r="G1111" s="213" t="s">
        <v>730</v>
      </c>
      <c r="H1111" s="202"/>
      <c r="I1111" s="203"/>
      <c r="J1111" s="203"/>
      <c r="K1111" s="202" t="s">
        <v>5373</v>
      </c>
      <c r="L1111" s="202" t="s">
        <v>5374</v>
      </c>
      <c r="M1111" s="202"/>
      <c r="N1111" s="202"/>
      <c r="O1111" s="202"/>
      <c r="P1111" s="202"/>
      <c r="Q1111" s="208"/>
      <c r="R1111" s="86"/>
      <c r="S1111" s="114">
        <f t="shared" ref="S1111:T1111" si="1112">A1111</f>
        <v>1111</v>
      </c>
      <c r="T1111" s="114" t="str">
        <f t="shared" si="1112"/>
        <v>عبدالله فیض الله زاده</v>
      </c>
      <c r="U1111" s="86" t="str">
        <f t="shared" si="3"/>
        <v>09128011643</v>
      </c>
      <c r="V1111" s="86" t="str">
        <f t="shared" si="4"/>
        <v>پیش‌وایی 9</v>
      </c>
      <c r="W1111" s="86"/>
      <c r="X1111" s="86"/>
    </row>
    <row r="1112">
      <c r="A1112" s="192">
        <v>1112.0</v>
      </c>
      <c r="B1112" s="193" t="s">
        <v>5375</v>
      </c>
      <c r="C1112" s="194" t="s">
        <v>5376</v>
      </c>
      <c r="D1112" s="195" t="str">
        <f>IFERROR(__xludf.DUMMYFUNCTION("ARRAYFORMULA(LET( converted, SUBSTITUTE( SUBSTITUTE( SUBSTITUTE( SUBSTITUTE( SUBSTITUTE( SUBSTITUTE( SUBSTITUTE( SUBSTITUTE( SUBSTITUTE( SUBSTITUTE( C1112, ""۰"", ""0""), ""۱"", ""1""), ""۲"", ""2""), ""۳"", ""3""), ""۴"", ""4""), ""۵"", ""5""), ""۶"", """&amp;"6""), ""۷"", ""7""), ""۸"", ""8""), ""۹"", ""9""), IF(LEFT(converted,3)=""+98"", ""0"" &amp; RIGHT(converted, LEN(converted)-3), IF(LEFT(converted,2)=""98"", ""0"" &amp; RIGHT(converted, LEN(converted)-2), IF(LEFT(converted,1)&lt;&gt;""0"", ""0"" &amp; converted, REGEXREPL"&amp;"ACE(converted , ""\s"", """")) ) ) ) )"),"09124945164")</f>
        <v>09124945164</v>
      </c>
      <c r="E1112" s="196" t="s">
        <v>17</v>
      </c>
      <c r="F1112" s="197">
        <v>9.0</v>
      </c>
      <c r="G1112" s="212" t="s">
        <v>730</v>
      </c>
      <c r="H1112" s="193"/>
      <c r="I1112" s="194"/>
      <c r="J1112" s="194"/>
      <c r="K1112" s="193" t="s">
        <v>1374</v>
      </c>
      <c r="L1112" s="193" t="s">
        <v>5377</v>
      </c>
      <c r="M1112" s="193"/>
      <c r="N1112" s="193"/>
      <c r="O1112" s="193"/>
      <c r="P1112" s="193"/>
      <c r="Q1112" s="200"/>
      <c r="R1112" s="86"/>
      <c r="S1112" s="114">
        <f t="shared" ref="S1112:T1112" si="1113">A1112</f>
        <v>1112</v>
      </c>
      <c r="T1112" s="114" t="str">
        <f t="shared" si="1113"/>
        <v>امیر میرطاهری</v>
      </c>
      <c r="U1112" s="86" t="str">
        <f t="shared" si="3"/>
        <v>09124945164</v>
      </c>
      <c r="V1112" s="86" t="str">
        <f t="shared" si="4"/>
        <v>پیش‌وایی 9</v>
      </c>
      <c r="W1112" s="86"/>
      <c r="X1112" s="86"/>
    </row>
    <row r="1113">
      <c r="A1113" s="201">
        <v>1113.0</v>
      </c>
      <c r="B1113" s="202" t="s">
        <v>4772</v>
      </c>
      <c r="C1113" s="203"/>
      <c r="D1113" s="204" t="str">
        <f>IFERROR(__xludf.DUMMYFUNCTION("ARRAYFORMULA(LET( converted, SUBSTITUTE( SUBSTITUTE( SUBSTITUTE( SUBSTITUTE( SUBSTITUTE( SUBSTITUTE( SUBSTITUTE( SUBSTITUTE( SUBSTITUTE( SUBSTITUTE( C1113, ""۰"", ""0""), ""۱"", ""1""), ""۲"", ""2""), ""۳"", ""3""), ""۴"", ""4""), ""۵"", ""5""), ""۶"", """&amp;"6""), ""۷"", ""7""), ""۸"", ""8""), ""۹"", ""9""), IF(LEFT(converted,3)=""+98"", ""0"" &amp; RIGHT(converted, LEN(converted)-3), IF(LEFT(converted,2)=""98"", ""0"" &amp; RIGHT(converted, LEN(converted)-2), IF(LEFT(converted,1)&lt;&gt;""0"", ""0"" &amp; converted, REGEXREPL"&amp;"ACE(converted , ""\s"", """")) ) ) ) )"),"0")</f>
        <v>0</v>
      </c>
      <c r="E1113" s="205" t="s">
        <v>17</v>
      </c>
      <c r="F1113" s="206">
        <v>9.0</v>
      </c>
      <c r="G1113" s="213" t="s">
        <v>730</v>
      </c>
      <c r="H1113" s="202"/>
      <c r="I1113" s="203"/>
      <c r="J1113" s="203"/>
      <c r="K1113" s="202" t="s">
        <v>209</v>
      </c>
      <c r="L1113" s="202" t="s">
        <v>4775</v>
      </c>
      <c r="M1113" s="202"/>
      <c r="N1113" s="202"/>
      <c r="O1113" s="202"/>
      <c r="P1113" s="202"/>
      <c r="Q1113" s="208"/>
      <c r="R1113" s="86"/>
      <c r="S1113" s="114">
        <f t="shared" ref="S1113:T1113" si="1114">A1113</f>
        <v>1113</v>
      </c>
      <c r="T1113" s="114" t="str">
        <f t="shared" si="1114"/>
        <v>بهروز حسن پور</v>
      </c>
      <c r="U1113" s="86" t="str">
        <f t="shared" si="3"/>
        <v>0</v>
      </c>
      <c r="V1113" s="86" t="str">
        <f t="shared" si="4"/>
        <v>پیش‌وایی 9</v>
      </c>
      <c r="W1113" s="86"/>
      <c r="X1113" s="86"/>
    </row>
    <row r="1114">
      <c r="A1114" s="192">
        <v>1114.0</v>
      </c>
      <c r="B1114" s="193" t="s">
        <v>5378</v>
      </c>
      <c r="C1114" s="194"/>
      <c r="D1114" s="195" t="str">
        <f>IFERROR(__xludf.DUMMYFUNCTION("ARRAYFORMULA(LET( converted, SUBSTITUTE( SUBSTITUTE( SUBSTITUTE( SUBSTITUTE( SUBSTITUTE( SUBSTITUTE( SUBSTITUTE( SUBSTITUTE( SUBSTITUTE( SUBSTITUTE( C1114, ""۰"", ""0""), ""۱"", ""1""), ""۲"", ""2""), ""۳"", ""3""), ""۴"", ""4""), ""۵"", ""5""), ""۶"", """&amp;"6""), ""۷"", ""7""), ""۸"", ""8""), ""۹"", ""9""), IF(LEFT(converted,3)=""+98"", ""0"" &amp; RIGHT(converted, LEN(converted)-3), IF(LEFT(converted,2)=""98"", ""0"" &amp; RIGHT(converted, LEN(converted)-2), IF(LEFT(converted,1)&lt;&gt;""0"", ""0"" &amp; converted, REGEXREPL"&amp;"ACE(converted , ""\s"", """")) ) ) ) )"),"0")</f>
        <v>0</v>
      </c>
      <c r="E1114" s="196" t="s">
        <v>17</v>
      </c>
      <c r="F1114" s="197">
        <v>9.0</v>
      </c>
      <c r="G1114" s="212" t="s">
        <v>730</v>
      </c>
      <c r="H1114" s="193"/>
      <c r="I1114" s="194"/>
      <c r="J1114" s="194"/>
      <c r="K1114" s="193" t="s">
        <v>1018</v>
      </c>
      <c r="L1114" s="193" t="s">
        <v>5379</v>
      </c>
      <c r="M1114" s="193"/>
      <c r="N1114" s="193"/>
      <c r="O1114" s="193"/>
      <c r="P1114" s="193"/>
      <c r="Q1114" s="200"/>
      <c r="R1114" s="86"/>
      <c r="S1114" s="114">
        <f t="shared" ref="S1114:T1114" si="1115">A1114</f>
        <v>1114</v>
      </c>
      <c r="T1114" s="114" t="str">
        <f t="shared" si="1115"/>
        <v>علی ربیعی</v>
      </c>
      <c r="U1114" s="86" t="str">
        <f t="shared" si="3"/>
        <v>0</v>
      </c>
      <c r="V1114" s="86" t="str">
        <f t="shared" si="4"/>
        <v>پیش‌وایی 9</v>
      </c>
      <c r="W1114" s="86"/>
      <c r="X1114" s="86"/>
    </row>
    <row r="1115">
      <c r="A1115" s="201">
        <v>1115.0</v>
      </c>
      <c r="B1115" s="202" t="s">
        <v>5380</v>
      </c>
      <c r="C1115" s="203"/>
      <c r="D1115" s="204" t="str">
        <f>IFERROR(__xludf.DUMMYFUNCTION("ARRAYFORMULA(LET( converted, SUBSTITUTE( SUBSTITUTE( SUBSTITUTE( SUBSTITUTE( SUBSTITUTE( SUBSTITUTE( SUBSTITUTE( SUBSTITUTE( SUBSTITUTE( SUBSTITUTE( C1115, ""۰"", ""0""), ""۱"", ""1""), ""۲"", ""2""), ""۳"", ""3""), ""۴"", ""4""), ""۵"", ""5""), ""۶"", """&amp;"6""), ""۷"", ""7""), ""۸"", ""8""), ""۹"", ""9""), IF(LEFT(converted,3)=""+98"", ""0"" &amp; RIGHT(converted, LEN(converted)-3), IF(LEFT(converted,2)=""98"", ""0"" &amp; RIGHT(converted, LEN(converted)-2), IF(LEFT(converted,1)&lt;&gt;""0"", ""0"" &amp; converted, REGEXREPL"&amp;"ACE(converted , ""\s"", """")) ) ) ) )"),"0")</f>
        <v>0</v>
      </c>
      <c r="E1115" s="205" t="s">
        <v>17</v>
      </c>
      <c r="F1115" s="206">
        <v>9.0</v>
      </c>
      <c r="G1115" s="213" t="s">
        <v>730</v>
      </c>
      <c r="H1115" s="202"/>
      <c r="I1115" s="203"/>
      <c r="J1115" s="203"/>
      <c r="K1115" s="202" t="s">
        <v>5381</v>
      </c>
      <c r="L1115" s="202" t="s">
        <v>4125</v>
      </c>
      <c r="M1115" s="202"/>
      <c r="N1115" s="202"/>
      <c r="O1115" s="202"/>
      <c r="P1115" s="202"/>
      <c r="Q1115" s="208"/>
      <c r="R1115" s="86"/>
      <c r="S1115" s="114">
        <f t="shared" ref="S1115:T1115" si="1116">A1115</f>
        <v>1115</v>
      </c>
      <c r="T1115" s="114" t="str">
        <f t="shared" si="1116"/>
        <v>عدنان خورشیدی</v>
      </c>
      <c r="U1115" s="86" t="str">
        <f t="shared" si="3"/>
        <v>0</v>
      </c>
      <c r="V1115" s="86" t="str">
        <f t="shared" si="4"/>
        <v>پیش‌وایی 9</v>
      </c>
      <c r="W1115" s="86"/>
      <c r="X1115" s="86"/>
    </row>
    <row r="1116">
      <c r="A1116" s="192">
        <v>1116.0</v>
      </c>
      <c r="B1116" s="193" t="s">
        <v>5382</v>
      </c>
      <c r="C1116" s="194"/>
      <c r="D1116" s="195" t="str">
        <f>IFERROR(__xludf.DUMMYFUNCTION("ARRAYFORMULA(LET( converted, SUBSTITUTE( SUBSTITUTE( SUBSTITUTE( SUBSTITUTE( SUBSTITUTE( SUBSTITUTE( SUBSTITUTE( SUBSTITUTE( SUBSTITUTE( SUBSTITUTE( C1116, ""۰"", ""0""), ""۱"", ""1""), ""۲"", ""2""), ""۳"", ""3""), ""۴"", ""4""), ""۵"", ""5""), ""۶"", """&amp;"6""), ""۷"", ""7""), ""۸"", ""8""), ""۹"", ""9""), IF(LEFT(converted,3)=""+98"", ""0"" &amp; RIGHT(converted, LEN(converted)-3), IF(LEFT(converted,2)=""98"", ""0"" &amp; RIGHT(converted, LEN(converted)-2), IF(LEFT(converted,1)&lt;&gt;""0"", ""0"" &amp; converted, REGEXREPL"&amp;"ACE(converted , ""\s"", """")) ) ) ) )"),"0")</f>
        <v>0</v>
      </c>
      <c r="E1116" s="196" t="s">
        <v>17</v>
      </c>
      <c r="F1116" s="197">
        <v>9.0</v>
      </c>
      <c r="G1116" s="212" t="s">
        <v>746</v>
      </c>
      <c r="H1116" s="193"/>
      <c r="I1116" s="194"/>
      <c r="J1116" s="194"/>
      <c r="K1116" s="193" t="s">
        <v>826</v>
      </c>
      <c r="L1116" s="193" t="s">
        <v>5383</v>
      </c>
      <c r="M1116" s="193"/>
      <c r="N1116" s="193"/>
      <c r="O1116" s="193"/>
      <c r="P1116" s="193"/>
      <c r="Q1116" s="200"/>
      <c r="R1116" s="86"/>
      <c r="S1116" s="114">
        <f t="shared" ref="S1116:T1116" si="1117">A1116</f>
        <v>1116</v>
      </c>
      <c r="T1116" s="114" t="str">
        <f t="shared" si="1117"/>
        <v>محبوبه مقبول</v>
      </c>
      <c r="U1116" s="86" t="str">
        <f t="shared" si="3"/>
        <v>0</v>
      </c>
      <c r="V1116" s="86" t="str">
        <f t="shared" si="4"/>
        <v>پیش‌وایی 9</v>
      </c>
      <c r="W1116" s="86"/>
      <c r="X1116" s="86"/>
    </row>
    <row r="1117">
      <c r="A1117" s="201">
        <v>1117.0</v>
      </c>
      <c r="B1117" s="202" t="s">
        <v>5384</v>
      </c>
      <c r="C1117" s="203"/>
      <c r="D1117" s="204" t="str">
        <f>IFERROR(__xludf.DUMMYFUNCTION("ARRAYFORMULA(LET( converted, SUBSTITUTE( SUBSTITUTE( SUBSTITUTE( SUBSTITUTE( SUBSTITUTE( SUBSTITUTE( SUBSTITUTE( SUBSTITUTE( SUBSTITUTE( SUBSTITUTE( C1117, ""۰"", ""0""), ""۱"", ""1""), ""۲"", ""2""), ""۳"", ""3""), ""۴"", ""4""), ""۵"", ""5""), ""۶"", """&amp;"6""), ""۷"", ""7""), ""۸"", ""8""), ""۹"", ""9""), IF(LEFT(converted,3)=""+98"", ""0"" &amp; RIGHT(converted, LEN(converted)-3), IF(LEFT(converted,2)=""98"", ""0"" &amp; RIGHT(converted, LEN(converted)-2), IF(LEFT(converted,1)&lt;&gt;""0"", ""0"" &amp; converted, REGEXREPL"&amp;"ACE(converted , ""\s"", """")) ) ) ) )"),"0")</f>
        <v>0</v>
      </c>
      <c r="E1117" s="205" t="s">
        <v>17</v>
      </c>
      <c r="F1117" s="206">
        <v>9.0</v>
      </c>
      <c r="G1117" s="213" t="s">
        <v>746</v>
      </c>
      <c r="H1117" s="202"/>
      <c r="I1117" s="203"/>
      <c r="J1117" s="203"/>
      <c r="K1117" s="202" t="s">
        <v>186</v>
      </c>
      <c r="L1117" s="202" t="s">
        <v>5337</v>
      </c>
      <c r="M1117" s="207"/>
      <c r="N1117" s="202"/>
      <c r="O1117" s="202"/>
      <c r="P1117" s="202"/>
      <c r="Q1117" s="208"/>
      <c r="R1117" s="86"/>
      <c r="S1117" s="114">
        <f t="shared" ref="S1117:T1117" si="1118">A1117</f>
        <v>1117</v>
      </c>
      <c r="T1117" s="114" t="str">
        <f t="shared" si="1118"/>
        <v>فرزاد رجایی</v>
      </c>
      <c r="U1117" s="86" t="str">
        <f t="shared" si="3"/>
        <v>0</v>
      </c>
      <c r="V1117" s="86" t="str">
        <f t="shared" si="4"/>
        <v>پیش‌وایی 9</v>
      </c>
      <c r="W1117" s="86"/>
      <c r="X1117" s="86"/>
    </row>
    <row r="1118">
      <c r="A1118" s="192">
        <v>1118.0</v>
      </c>
      <c r="B1118" s="193" t="s">
        <v>4653</v>
      </c>
      <c r="C1118" s="194" t="s">
        <v>5385</v>
      </c>
      <c r="D1118" s="195" t="str">
        <f>IFERROR(__xludf.DUMMYFUNCTION("ARRAYFORMULA(LET( converted, SUBSTITUTE( SUBSTITUTE( SUBSTITUTE( SUBSTITUTE( SUBSTITUTE( SUBSTITUTE( SUBSTITUTE( SUBSTITUTE( SUBSTITUTE( SUBSTITUTE( C1118, ""۰"", ""0""), ""۱"", ""1""), ""۲"", ""2""), ""۳"", ""3""), ""۴"", ""4""), ""۵"", ""5""), ""۶"", """&amp;"6""), ""۷"", ""7""), ""۸"", ""8""), ""۹"", ""9""), IF(LEFT(converted,3)=""+98"", ""0"" &amp; RIGHT(converted, LEN(converted)-3), IF(LEFT(converted,2)=""98"", ""0"" &amp; RIGHT(converted, LEN(converted)-2), IF(LEFT(converted,1)&lt;&gt;""0"", ""0"" &amp; converted, REGEXREPL"&amp;"ACE(converted , ""\s"", """")) ) ) ) )"),"09197519278")</f>
        <v>09197519278</v>
      </c>
      <c r="E1118" s="196" t="s">
        <v>17</v>
      </c>
      <c r="F1118" s="197">
        <v>10.0</v>
      </c>
      <c r="G1118" s="193"/>
      <c r="H1118" s="193"/>
      <c r="I1118" s="194"/>
      <c r="J1118" s="194"/>
      <c r="K1118" s="199" t="s">
        <v>766</v>
      </c>
      <c r="L1118" s="199" t="s">
        <v>327</v>
      </c>
      <c r="M1118" s="193"/>
      <c r="N1118" s="193"/>
      <c r="O1118" s="193"/>
      <c r="P1118" s="193"/>
      <c r="Q1118" s="200"/>
      <c r="R1118" s="86"/>
      <c r="S1118" s="114">
        <f t="shared" ref="S1118:T1118" si="1119">A1118</f>
        <v>1118</v>
      </c>
      <c r="T1118" s="114" t="str">
        <f t="shared" si="1119"/>
        <v>ندا کیانی</v>
      </c>
      <c r="U1118" s="86" t="str">
        <f t="shared" si="3"/>
        <v>09197519278</v>
      </c>
      <c r="V1118" s="86" t="str">
        <f t="shared" si="4"/>
        <v>پیش‌وایی 10</v>
      </c>
      <c r="W1118" s="86"/>
      <c r="X1118" s="86"/>
    </row>
    <row r="1119">
      <c r="A1119" s="201">
        <v>1119.0</v>
      </c>
      <c r="B1119" s="202" t="s">
        <v>5386</v>
      </c>
      <c r="C1119" s="203" t="s">
        <v>5387</v>
      </c>
      <c r="D1119" s="204" t="str">
        <f>IFERROR(__xludf.DUMMYFUNCTION("ARRAYFORMULA(LET( converted, SUBSTITUTE( SUBSTITUTE( SUBSTITUTE( SUBSTITUTE( SUBSTITUTE( SUBSTITUTE( SUBSTITUTE( SUBSTITUTE( SUBSTITUTE( SUBSTITUTE( C1119, ""۰"", ""0""), ""۱"", ""1""), ""۲"", ""2""), ""۳"", ""3""), ""۴"", ""4""), ""۵"", ""5""), ""۶"", """&amp;"6""), ""۷"", ""7""), ""۸"", ""8""), ""۹"", ""9""), IF(LEFT(converted,3)=""+98"", ""0"" &amp; RIGHT(converted, LEN(converted)-3), IF(LEFT(converted,2)=""98"", ""0"" &amp; RIGHT(converted, LEN(converted)-2), IF(LEFT(converted,1)&lt;&gt;""0"", ""0"" &amp; converted, REGEXREPL"&amp;"ACE(converted , ""\s"", """")) ) ) ) )"),"09120961128")</f>
        <v>09120961128</v>
      </c>
      <c r="E1119" s="205" t="s">
        <v>17</v>
      </c>
      <c r="F1119" s="206">
        <v>10.0</v>
      </c>
      <c r="G1119" s="202"/>
      <c r="H1119" s="202"/>
      <c r="I1119" s="203"/>
      <c r="J1119" s="203"/>
      <c r="K1119" s="207" t="s">
        <v>166</v>
      </c>
      <c r="L1119" s="207" t="s">
        <v>5388</v>
      </c>
      <c r="M1119" s="207"/>
      <c r="N1119" s="207"/>
      <c r="O1119" s="202"/>
      <c r="P1119" s="202"/>
      <c r="Q1119" s="208"/>
      <c r="R1119" s="86"/>
      <c r="S1119" s="114">
        <f t="shared" ref="S1119:T1119" si="1120">A1119</f>
        <v>1119</v>
      </c>
      <c r="T1119" s="114" t="str">
        <f t="shared" si="1120"/>
        <v>آرمینا خبازیان</v>
      </c>
      <c r="U1119" s="86" t="str">
        <f t="shared" si="3"/>
        <v>09120961128</v>
      </c>
      <c r="V1119" s="86" t="str">
        <f t="shared" si="4"/>
        <v>پیش‌وایی 10</v>
      </c>
      <c r="W1119" s="86"/>
      <c r="X1119" s="86"/>
    </row>
    <row r="1120">
      <c r="A1120" s="192">
        <v>1120.0</v>
      </c>
      <c r="B1120" s="193" t="s">
        <v>5389</v>
      </c>
      <c r="C1120" s="194" t="s">
        <v>5390</v>
      </c>
      <c r="D1120" s="195" t="str">
        <f>IFERROR(__xludf.DUMMYFUNCTION("ARRAYFORMULA(LET( converted, SUBSTITUTE( SUBSTITUTE( SUBSTITUTE( SUBSTITUTE( SUBSTITUTE( SUBSTITUTE( SUBSTITUTE( SUBSTITUTE( SUBSTITUTE( SUBSTITUTE( C1120, ""۰"", ""0""), ""۱"", ""1""), ""۲"", ""2""), ""۳"", ""3""), ""۴"", ""4""), ""۵"", ""5""), ""۶"", """&amp;"6""), ""۷"", ""7""), ""۸"", ""8""), ""۹"", ""9""), IF(LEFT(converted,3)=""+98"", ""0"" &amp; RIGHT(converted, LEN(converted)-3), IF(LEFT(converted,2)=""98"", ""0"" &amp; RIGHT(converted, LEN(converted)-2), IF(LEFT(converted,1)&lt;&gt;""0"", ""0"" &amp; converted, REGEXREPL"&amp;"ACE(converted , ""\s"", """")) ) ) ) )"),"09102020400")</f>
        <v>09102020400</v>
      </c>
      <c r="E1120" s="196" t="s">
        <v>17</v>
      </c>
      <c r="F1120" s="197">
        <v>10.0</v>
      </c>
      <c r="G1120" s="193"/>
      <c r="H1120" s="193"/>
      <c r="I1120" s="194"/>
      <c r="J1120" s="194"/>
      <c r="K1120" s="199" t="s">
        <v>200</v>
      </c>
      <c r="L1120" s="199" t="s">
        <v>5391</v>
      </c>
      <c r="M1120" s="199"/>
      <c r="N1120" s="199"/>
      <c r="O1120" s="193"/>
      <c r="P1120" s="193"/>
      <c r="Q1120" s="200"/>
      <c r="R1120" s="86"/>
      <c r="S1120" s="114">
        <f t="shared" ref="S1120:T1120" si="1121">A1120</f>
        <v>1120</v>
      </c>
      <c r="T1120" s="114" t="str">
        <f t="shared" si="1121"/>
        <v>احسان معماری</v>
      </c>
      <c r="U1120" s="86" t="str">
        <f t="shared" si="3"/>
        <v>09102020400</v>
      </c>
      <c r="V1120" s="86" t="str">
        <f t="shared" si="4"/>
        <v>پیش‌وایی 10</v>
      </c>
      <c r="W1120" s="86"/>
      <c r="X1120" s="86"/>
    </row>
    <row r="1121">
      <c r="A1121" s="201">
        <v>1121.0</v>
      </c>
      <c r="B1121" s="202" t="s">
        <v>5392</v>
      </c>
      <c r="C1121" s="203" t="s">
        <v>5393</v>
      </c>
      <c r="D1121" s="204" t="str">
        <f>IFERROR(__xludf.DUMMYFUNCTION("ARRAYFORMULA(LET( converted, SUBSTITUTE( SUBSTITUTE( SUBSTITUTE( SUBSTITUTE( SUBSTITUTE( SUBSTITUTE( SUBSTITUTE( SUBSTITUTE( SUBSTITUTE( SUBSTITUTE( C1121, ""۰"", ""0""), ""۱"", ""1""), ""۲"", ""2""), ""۳"", ""3""), ""۴"", ""4""), ""۵"", ""5""), ""۶"", """&amp;"6""), ""۷"", ""7""), ""۸"", ""8""), ""۹"", ""9""), IF(LEFT(converted,3)=""+98"", ""0"" &amp; RIGHT(converted, LEN(converted)-3), IF(LEFT(converted,2)=""98"", ""0"" &amp; RIGHT(converted, LEN(converted)-2), IF(LEFT(converted,1)&lt;&gt;""0"", ""0"" &amp; converted, REGEXREPL"&amp;"ACE(converted , ""\s"", """")) ) ) ) )"),"09127199654")</f>
        <v>09127199654</v>
      </c>
      <c r="E1121" s="205" t="s">
        <v>17</v>
      </c>
      <c r="F1121" s="206">
        <v>10.0</v>
      </c>
      <c r="G1121" s="202"/>
      <c r="H1121" s="202"/>
      <c r="I1121" s="203"/>
      <c r="J1121" s="203"/>
      <c r="K1121" s="207" t="s">
        <v>5394</v>
      </c>
      <c r="L1121" s="207" t="s">
        <v>5395</v>
      </c>
      <c r="M1121" s="207"/>
      <c r="N1121" s="207"/>
      <c r="O1121" s="202"/>
      <c r="P1121" s="202"/>
      <c r="Q1121" s="208"/>
      <c r="R1121" s="86"/>
      <c r="S1121" s="114">
        <f t="shared" ref="S1121:T1121" si="1122">A1121</f>
        <v>1121</v>
      </c>
      <c r="T1121" s="114" t="str">
        <f t="shared" si="1122"/>
        <v>انسیه بهبودنمین</v>
      </c>
      <c r="U1121" s="86" t="str">
        <f t="shared" si="3"/>
        <v>09127199654</v>
      </c>
      <c r="V1121" s="86" t="str">
        <f t="shared" si="4"/>
        <v>پیش‌وایی 10</v>
      </c>
      <c r="W1121" s="86"/>
      <c r="X1121" s="86"/>
    </row>
    <row r="1122">
      <c r="A1122" s="192">
        <v>1122.0</v>
      </c>
      <c r="B1122" s="193" t="s">
        <v>5396</v>
      </c>
      <c r="C1122" s="194" t="s">
        <v>5397</v>
      </c>
      <c r="D1122" s="195" t="str">
        <f>IFERROR(__xludf.DUMMYFUNCTION("ARRAYFORMULA(LET( converted, SUBSTITUTE( SUBSTITUTE( SUBSTITUTE( SUBSTITUTE( SUBSTITUTE( SUBSTITUTE( SUBSTITUTE( SUBSTITUTE( SUBSTITUTE( SUBSTITUTE( C1122, ""۰"", ""0""), ""۱"", ""1""), ""۲"", ""2""), ""۳"", ""3""), ""۴"", ""4""), ""۵"", ""5""), ""۶"", """&amp;"6""), ""۷"", ""7""), ""۸"", ""8""), ""۹"", ""9""), IF(LEFT(converted,3)=""+98"", ""0"" &amp; RIGHT(converted, LEN(converted)-3), IF(LEFT(converted,2)=""98"", ""0"" &amp; RIGHT(converted, LEN(converted)-2), IF(LEFT(converted,1)&lt;&gt;""0"", ""0"" &amp; converted, REGEXREPL"&amp;"ACE(converted , ""\s"", """")) ) ) ) )"),"09120649408")</f>
        <v>09120649408</v>
      </c>
      <c r="E1122" s="196" t="s">
        <v>17</v>
      </c>
      <c r="F1122" s="197">
        <v>10.0</v>
      </c>
      <c r="G1122" s="193"/>
      <c r="H1122" s="193"/>
      <c r="I1122" s="194"/>
      <c r="J1122" s="194"/>
      <c r="K1122" s="199" t="s">
        <v>3126</v>
      </c>
      <c r="L1122" s="199" t="s">
        <v>5398</v>
      </c>
      <c r="M1122" s="199"/>
      <c r="N1122" s="199"/>
      <c r="O1122" s="193"/>
      <c r="P1122" s="193"/>
      <c r="Q1122" s="200"/>
      <c r="R1122" s="86"/>
      <c r="S1122" s="114">
        <f t="shared" ref="S1122:T1122" si="1123">A1122</f>
        <v>1122</v>
      </c>
      <c r="T1122" s="114" t="str">
        <f t="shared" si="1123"/>
        <v>ایمان خوش نیام</v>
      </c>
      <c r="U1122" s="86" t="str">
        <f t="shared" si="3"/>
        <v>09120649408</v>
      </c>
      <c r="V1122" s="86" t="str">
        <f t="shared" si="4"/>
        <v>پیش‌وایی 10</v>
      </c>
      <c r="W1122" s="86"/>
      <c r="X1122" s="86"/>
    </row>
    <row r="1123">
      <c r="A1123" s="201">
        <v>1123.0</v>
      </c>
      <c r="B1123" s="202" t="s">
        <v>5399</v>
      </c>
      <c r="C1123" s="203" t="s">
        <v>5400</v>
      </c>
      <c r="D1123" s="204" t="str">
        <f>IFERROR(__xludf.DUMMYFUNCTION("ARRAYFORMULA(LET( converted, SUBSTITUTE( SUBSTITUTE( SUBSTITUTE( SUBSTITUTE( SUBSTITUTE( SUBSTITUTE( SUBSTITUTE( SUBSTITUTE( SUBSTITUTE( SUBSTITUTE( C1123, ""۰"", ""0""), ""۱"", ""1""), ""۲"", ""2""), ""۳"", ""3""), ""۴"", ""4""), ""۵"", ""5""), ""۶"", """&amp;"6""), ""۷"", ""7""), ""۸"", ""8""), ""۹"", ""9""), IF(LEFT(converted,3)=""+98"", ""0"" &amp; RIGHT(converted, LEN(converted)-3), IF(LEFT(converted,2)=""98"", ""0"" &amp; RIGHT(converted, LEN(converted)-2), IF(LEFT(converted,1)&lt;&gt;""0"", ""0"" &amp; converted, REGEXREPL"&amp;"ACE(converted , ""\s"", """")) ) ) ) )"),"09122501447")</f>
        <v>09122501447</v>
      </c>
      <c r="E1123" s="205" t="s">
        <v>17</v>
      </c>
      <c r="F1123" s="206">
        <v>10.0</v>
      </c>
      <c r="G1123" s="202"/>
      <c r="H1123" s="202"/>
      <c r="I1123" s="203"/>
      <c r="J1123" s="203"/>
      <c r="K1123" s="207" t="s">
        <v>209</v>
      </c>
      <c r="L1123" s="207" t="s">
        <v>5401</v>
      </c>
      <c r="M1123" s="207"/>
      <c r="N1123" s="207"/>
      <c r="O1123" s="202"/>
      <c r="P1123" s="202"/>
      <c r="Q1123" s="208"/>
      <c r="R1123" s="86"/>
      <c r="S1123" s="114">
        <f t="shared" ref="S1123:T1123" si="1124">A1123</f>
        <v>1123</v>
      </c>
      <c r="T1123" s="114" t="str">
        <f t="shared" si="1124"/>
        <v>بهروز پورخورشیدی</v>
      </c>
      <c r="U1123" s="86" t="str">
        <f t="shared" si="3"/>
        <v>09122501447</v>
      </c>
      <c r="V1123" s="86" t="str">
        <f t="shared" si="4"/>
        <v>پیش‌وایی 10</v>
      </c>
      <c r="W1123" s="86"/>
      <c r="X1123" s="86"/>
    </row>
    <row r="1124">
      <c r="A1124" s="192">
        <v>1124.0</v>
      </c>
      <c r="B1124" s="193" t="s">
        <v>5402</v>
      </c>
      <c r="C1124" s="194" t="s">
        <v>5403</v>
      </c>
      <c r="D1124" s="195" t="str">
        <f>IFERROR(__xludf.DUMMYFUNCTION("ARRAYFORMULA(LET( converted, SUBSTITUTE( SUBSTITUTE( SUBSTITUTE( SUBSTITUTE( SUBSTITUTE( SUBSTITUTE( SUBSTITUTE( SUBSTITUTE( SUBSTITUTE( SUBSTITUTE( C1124, ""۰"", ""0""), ""۱"", ""1""), ""۲"", ""2""), ""۳"", ""3""), ""۴"", ""4""), ""۵"", ""5""), ""۶"", """&amp;"6""), ""۷"", ""7""), ""۸"", ""8""), ""۹"", ""9""), IF(LEFT(converted,3)=""+98"", ""0"" &amp; RIGHT(converted, LEN(converted)-3), IF(LEFT(converted,2)=""98"", ""0"" &amp; RIGHT(converted, LEN(converted)-2), IF(LEFT(converted,1)&lt;&gt;""0"", ""0"" &amp; converted, REGEXREPL"&amp;"ACE(converted , ""\s"", """")) ) ) ) )"),"09131949650")</f>
        <v>09131949650</v>
      </c>
      <c r="E1124" s="196" t="s">
        <v>17</v>
      </c>
      <c r="F1124" s="197">
        <v>10.0</v>
      </c>
      <c r="G1124" s="193"/>
      <c r="H1124" s="193"/>
      <c r="I1124" s="194"/>
      <c r="J1124" s="194"/>
      <c r="K1124" s="199" t="s">
        <v>5404</v>
      </c>
      <c r="L1124" s="199" t="s">
        <v>4246</v>
      </c>
      <c r="M1124" s="199"/>
      <c r="N1124" s="199"/>
      <c r="O1124" s="193"/>
      <c r="P1124" s="193"/>
      <c r="Q1124" s="200"/>
      <c r="R1124" s="86"/>
      <c r="S1124" s="114">
        <f t="shared" ref="S1124:T1124" si="1125">A1124</f>
        <v>1124</v>
      </c>
      <c r="T1124" s="114" t="str">
        <f t="shared" si="1125"/>
        <v>ثریا حیدری</v>
      </c>
      <c r="U1124" s="86" t="str">
        <f t="shared" si="3"/>
        <v>09131949650</v>
      </c>
      <c r="V1124" s="86" t="str">
        <f t="shared" si="4"/>
        <v>پیش‌وایی 10</v>
      </c>
      <c r="W1124" s="86"/>
      <c r="X1124" s="86"/>
    </row>
    <row r="1125">
      <c r="A1125" s="201">
        <v>1125.0</v>
      </c>
      <c r="B1125" s="202" t="s">
        <v>5405</v>
      </c>
      <c r="C1125" s="203" t="s">
        <v>5406</v>
      </c>
      <c r="D1125" s="204" t="str">
        <f>IFERROR(__xludf.DUMMYFUNCTION("ARRAYFORMULA(LET( converted, SUBSTITUTE( SUBSTITUTE( SUBSTITUTE( SUBSTITUTE( SUBSTITUTE( SUBSTITUTE( SUBSTITUTE( SUBSTITUTE( SUBSTITUTE( SUBSTITUTE( C1125, ""۰"", ""0""), ""۱"", ""1""), ""۲"", ""2""), ""۳"", ""3""), ""۴"", ""4""), ""۵"", ""5""), ""۶"", """&amp;"6""), ""۷"", ""7""), ""۸"", ""8""), ""۹"", ""9""), IF(LEFT(converted,3)=""+98"", ""0"" &amp; RIGHT(converted, LEN(converted)-3), IF(LEFT(converted,2)=""98"", ""0"" &amp; RIGHT(converted, LEN(converted)-2), IF(LEFT(converted,1)&lt;&gt;""0"", ""0"" &amp; converted, REGEXREPL"&amp;"ACE(converted , ""\s"", """")) ) ) ) )"),"09194293625")</f>
        <v>09194293625</v>
      </c>
      <c r="E1125" s="205" t="s">
        <v>17</v>
      </c>
      <c r="F1125" s="206">
        <v>10.0</v>
      </c>
      <c r="G1125" s="202"/>
      <c r="H1125" s="202"/>
      <c r="I1125" s="203"/>
      <c r="J1125" s="203"/>
      <c r="K1125" s="207" t="s">
        <v>5407</v>
      </c>
      <c r="L1125" s="207" t="s">
        <v>5408</v>
      </c>
      <c r="M1125" s="207"/>
      <c r="N1125" s="207"/>
      <c r="O1125" s="202"/>
      <c r="P1125" s="202"/>
      <c r="Q1125" s="208"/>
      <c r="R1125" s="86"/>
      <c r="S1125" s="114">
        <f t="shared" ref="S1125:T1125" si="1126">A1125</f>
        <v>1125</v>
      </c>
      <c r="T1125" s="114" t="str">
        <f t="shared" si="1126"/>
        <v>دانیال کی قبادی</v>
      </c>
      <c r="U1125" s="86" t="str">
        <f t="shared" si="3"/>
        <v>09194293625</v>
      </c>
      <c r="V1125" s="86" t="str">
        <f t="shared" si="4"/>
        <v>پیش‌وایی 10</v>
      </c>
      <c r="W1125" s="86"/>
      <c r="X1125" s="86"/>
    </row>
    <row r="1126">
      <c r="A1126" s="192">
        <v>1126.0</v>
      </c>
      <c r="B1126" s="193" t="s">
        <v>5409</v>
      </c>
      <c r="C1126" s="194" t="s">
        <v>5410</v>
      </c>
      <c r="D1126" s="195" t="str">
        <f>IFERROR(__xludf.DUMMYFUNCTION("ARRAYFORMULA(LET( converted, SUBSTITUTE( SUBSTITUTE( SUBSTITUTE( SUBSTITUTE( SUBSTITUTE( SUBSTITUTE( SUBSTITUTE( SUBSTITUTE( SUBSTITUTE( SUBSTITUTE( C1126, ""۰"", ""0""), ""۱"", ""1""), ""۲"", ""2""), ""۳"", ""3""), ""۴"", ""4""), ""۵"", ""5""), ""۶"", """&amp;"6""), ""۷"", ""7""), ""۸"", ""8""), ""۹"", ""9""), IF(LEFT(converted,3)=""+98"", ""0"" &amp; RIGHT(converted, LEN(converted)-3), IF(LEFT(converted,2)=""98"", ""0"" &amp; RIGHT(converted, LEN(converted)-2), IF(LEFT(converted,1)&lt;&gt;""0"", ""0"" &amp; converted, REGEXREPL"&amp;"ACE(converted , ""\s"", """")) ) ) ) )"),"09303929747")</f>
        <v>09303929747</v>
      </c>
      <c r="E1126" s="196" t="s">
        <v>17</v>
      </c>
      <c r="F1126" s="197">
        <v>10.0</v>
      </c>
      <c r="G1126" s="193"/>
      <c r="H1126" s="193"/>
      <c r="I1126" s="194"/>
      <c r="J1126" s="194"/>
      <c r="K1126" s="199" t="s">
        <v>5411</v>
      </c>
      <c r="L1126" s="199" t="s">
        <v>5412</v>
      </c>
      <c r="M1126" s="199"/>
      <c r="N1126" s="199"/>
      <c r="O1126" s="193"/>
      <c r="P1126" s="193"/>
      <c r="Q1126" s="200"/>
      <c r="R1126" s="86"/>
      <c r="S1126" s="114">
        <f t="shared" ref="S1126:T1126" si="1127">A1126</f>
        <v>1126</v>
      </c>
      <c r="T1126" s="114" t="str">
        <f t="shared" si="1127"/>
        <v>سیدمعین سیدمهدی</v>
      </c>
      <c r="U1126" s="86" t="str">
        <f t="shared" si="3"/>
        <v>09303929747</v>
      </c>
      <c r="V1126" s="86" t="str">
        <f t="shared" si="4"/>
        <v>پیش‌وایی 10</v>
      </c>
      <c r="W1126" s="86"/>
      <c r="X1126" s="86"/>
    </row>
    <row r="1127">
      <c r="A1127" s="201">
        <v>1127.0</v>
      </c>
      <c r="B1127" s="202" t="s">
        <v>5413</v>
      </c>
      <c r="C1127" s="203" t="s">
        <v>5414</v>
      </c>
      <c r="D1127" s="204" t="str">
        <f>IFERROR(__xludf.DUMMYFUNCTION("ARRAYFORMULA(LET( converted, SUBSTITUTE( SUBSTITUTE( SUBSTITUTE( SUBSTITUTE( SUBSTITUTE( SUBSTITUTE( SUBSTITUTE( SUBSTITUTE( SUBSTITUTE( SUBSTITUTE( C1127, ""۰"", ""0""), ""۱"", ""1""), ""۲"", ""2""), ""۳"", ""3""), ""۴"", ""4""), ""۵"", ""5""), ""۶"", """&amp;"6""), ""۷"", ""7""), ""۸"", ""8""), ""۹"", ""9""), IF(LEFT(converted,3)=""+98"", ""0"" &amp; RIGHT(converted, LEN(converted)-3), IF(LEFT(converted,2)=""98"", ""0"" &amp; RIGHT(converted, LEN(converted)-2), IF(LEFT(converted,1)&lt;&gt;""0"", ""0"" &amp; converted, REGEXREPL"&amp;"ACE(converted , ""\s"", """")) ) ) ) )"),"09131118589")</f>
        <v>09131118589</v>
      </c>
      <c r="E1127" s="205" t="s">
        <v>17</v>
      </c>
      <c r="F1127" s="206">
        <v>10.0</v>
      </c>
      <c r="G1127" s="202"/>
      <c r="H1127" s="202"/>
      <c r="I1127" s="203"/>
      <c r="J1127" s="203"/>
      <c r="K1127" s="207" t="s">
        <v>5415</v>
      </c>
      <c r="L1127" s="207" t="s">
        <v>1717</v>
      </c>
      <c r="M1127" s="207"/>
      <c r="N1127" s="207"/>
      <c r="O1127" s="202"/>
      <c r="P1127" s="202"/>
      <c r="Q1127" s="208"/>
      <c r="R1127" s="86"/>
      <c r="S1127" s="114">
        <f t="shared" ref="S1127:T1127" si="1128">A1127</f>
        <v>1127</v>
      </c>
      <c r="T1127" s="114" t="str">
        <f t="shared" si="1128"/>
        <v>علی جواد محب</v>
      </c>
      <c r="U1127" s="86" t="str">
        <f t="shared" si="3"/>
        <v>09131118589</v>
      </c>
      <c r="V1127" s="86" t="str">
        <f t="shared" si="4"/>
        <v>پیش‌وایی 10</v>
      </c>
      <c r="W1127" s="86"/>
      <c r="X1127" s="86"/>
    </row>
    <row r="1128">
      <c r="A1128" s="192">
        <v>1128.0</v>
      </c>
      <c r="B1128" s="193" t="s">
        <v>5416</v>
      </c>
      <c r="C1128" s="194" t="s">
        <v>5417</v>
      </c>
      <c r="D1128" s="195" t="str">
        <f>IFERROR(__xludf.DUMMYFUNCTION("ARRAYFORMULA(LET( converted, SUBSTITUTE( SUBSTITUTE( SUBSTITUTE( SUBSTITUTE( SUBSTITUTE( SUBSTITUTE( SUBSTITUTE( SUBSTITUTE( SUBSTITUTE( SUBSTITUTE( C1128, ""۰"", ""0""), ""۱"", ""1""), ""۲"", ""2""), ""۳"", ""3""), ""۴"", ""4""), ""۵"", ""5""), ""۶"", """&amp;"6""), ""۷"", ""7""), ""۸"", ""8""), ""۹"", ""9""), IF(LEFT(converted,3)=""+98"", ""0"" &amp; RIGHT(converted, LEN(converted)-3), IF(LEFT(converted,2)=""98"", ""0"" &amp; RIGHT(converted, LEN(converted)-2), IF(LEFT(converted,1)&lt;&gt;""0"", ""0"" &amp; converted, REGEXREPL"&amp;"ACE(converted , ""\s"", """")) ) ) ) )"),"09353903434")</f>
        <v>09353903434</v>
      </c>
      <c r="E1128" s="196" t="s">
        <v>17</v>
      </c>
      <c r="F1128" s="197">
        <v>10.0</v>
      </c>
      <c r="G1128" s="193"/>
      <c r="H1128" s="193"/>
      <c r="I1128" s="194"/>
      <c r="J1128" s="194"/>
      <c r="K1128" s="199" t="s">
        <v>1018</v>
      </c>
      <c r="L1128" s="199" t="s">
        <v>335</v>
      </c>
      <c r="M1128" s="199"/>
      <c r="N1128" s="199"/>
      <c r="O1128" s="193"/>
      <c r="P1128" s="193"/>
      <c r="Q1128" s="200"/>
      <c r="R1128" s="86"/>
      <c r="S1128" s="114">
        <f t="shared" ref="S1128:T1128" si="1129">A1128</f>
        <v>1128</v>
      </c>
      <c r="T1128" s="114" t="str">
        <f t="shared" si="1129"/>
        <v>علی حدادی</v>
      </c>
      <c r="U1128" s="86" t="str">
        <f t="shared" si="3"/>
        <v>09353903434</v>
      </c>
      <c r="V1128" s="86" t="str">
        <f t="shared" si="4"/>
        <v>پیش‌وایی 10</v>
      </c>
      <c r="W1128" s="86"/>
      <c r="X1128" s="86"/>
    </row>
    <row r="1129">
      <c r="A1129" s="201">
        <v>1129.0</v>
      </c>
      <c r="B1129" s="202" t="s">
        <v>5418</v>
      </c>
      <c r="C1129" s="203" t="s">
        <v>5419</v>
      </c>
      <c r="D1129" s="204" t="str">
        <f>IFERROR(__xludf.DUMMYFUNCTION("ARRAYFORMULA(LET( converted, SUBSTITUTE( SUBSTITUTE( SUBSTITUTE( SUBSTITUTE( SUBSTITUTE( SUBSTITUTE( SUBSTITUTE( SUBSTITUTE( SUBSTITUTE( SUBSTITUTE( C1129, ""۰"", ""0""), ""۱"", ""1""), ""۲"", ""2""), ""۳"", ""3""), ""۴"", ""4""), ""۵"", ""5""), ""۶"", """&amp;"6""), ""۷"", ""7""), ""۸"", ""8""), ""۹"", ""9""), IF(LEFT(converted,3)=""+98"", ""0"" &amp; RIGHT(converted, LEN(converted)-3), IF(LEFT(converted,2)=""98"", ""0"" &amp; RIGHT(converted, LEN(converted)-2), IF(LEFT(converted,1)&lt;&gt;""0"", ""0"" &amp; converted, REGEXREPL"&amp;"ACE(converted , ""\s"", """")) ) ) ) )"),"09375642044")</f>
        <v>09375642044</v>
      </c>
      <c r="E1129" s="205" t="s">
        <v>17</v>
      </c>
      <c r="F1129" s="206">
        <v>10.0</v>
      </c>
      <c r="G1129" s="202"/>
      <c r="H1129" s="202"/>
      <c r="I1129" s="203"/>
      <c r="J1129" s="203"/>
      <c r="K1129" s="207" t="s">
        <v>1018</v>
      </c>
      <c r="L1129" s="207" t="s">
        <v>1811</v>
      </c>
      <c r="M1129" s="207"/>
      <c r="N1129" s="207"/>
      <c r="O1129" s="202"/>
      <c r="P1129" s="202"/>
      <c r="Q1129" s="208"/>
      <c r="R1129" s="86"/>
      <c r="S1129" s="114">
        <f t="shared" ref="S1129:T1129" si="1130">A1129</f>
        <v>1129</v>
      </c>
      <c r="T1129" s="114" t="str">
        <f t="shared" si="1130"/>
        <v>علی حسنی</v>
      </c>
      <c r="U1129" s="86" t="str">
        <f t="shared" si="3"/>
        <v>09375642044</v>
      </c>
      <c r="V1129" s="86" t="str">
        <f t="shared" si="4"/>
        <v>پیش‌وایی 10</v>
      </c>
      <c r="W1129" s="86"/>
      <c r="X1129" s="86"/>
    </row>
    <row r="1130">
      <c r="A1130" s="192">
        <v>1130.0</v>
      </c>
      <c r="B1130" s="193" t="s">
        <v>5420</v>
      </c>
      <c r="C1130" s="194" t="s">
        <v>5421</v>
      </c>
      <c r="D1130" s="195" t="str">
        <f>IFERROR(__xludf.DUMMYFUNCTION("ARRAYFORMULA(LET( converted, SUBSTITUTE( SUBSTITUTE( SUBSTITUTE( SUBSTITUTE( SUBSTITUTE( SUBSTITUTE( SUBSTITUTE( SUBSTITUTE( SUBSTITUTE( SUBSTITUTE( C1130, ""۰"", ""0""), ""۱"", ""1""), ""۲"", ""2""), ""۳"", ""3""), ""۴"", ""4""), ""۵"", ""5""), ""۶"", """&amp;"6""), ""۷"", ""7""), ""۸"", ""8""), ""۹"", ""9""), IF(LEFT(converted,3)=""+98"", ""0"" &amp; RIGHT(converted, LEN(converted)-3), IF(LEFT(converted,2)=""98"", ""0"" &amp; RIGHT(converted, LEN(converted)-2), IF(LEFT(converted,1)&lt;&gt;""0"", ""0"" &amp; converted, REGEXREPL"&amp;"ACE(converted , ""\s"", """")) ) ) ) )"),"09122040763")</f>
        <v>09122040763</v>
      </c>
      <c r="E1130" s="196" t="s">
        <v>17</v>
      </c>
      <c r="F1130" s="197">
        <v>10.0</v>
      </c>
      <c r="G1130" s="193"/>
      <c r="H1130" s="193"/>
      <c r="I1130" s="194"/>
      <c r="J1130" s="194"/>
      <c r="K1130" s="199" t="s">
        <v>1018</v>
      </c>
      <c r="L1130" s="199" t="s">
        <v>5422</v>
      </c>
      <c r="M1130" s="199"/>
      <c r="N1130" s="199"/>
      <c r="O1130" s="193"/>
      <c r="P1130" s="193"/>
      <c r="Q1130" s="200"/>
      <c r="R1130" s="86"/>
      <c r="S1130" s="114">
        <f t="shared" ref="S1130:T1130" si="1131">A1130</f>
        <v>1130</v>
      </c>
      <c r="T1130" s="114" t="str">
        <f t="shared" si="1131"/>
        <v>علی خدامرادی</v>
      </c>
      <c r="U1130" s="86" t="str">
        <f t="shared" si="3"/>
        <v>09122040763</v>
      </c>
      <c r="V1130" s="86" t="str">
        <f t="shared" si="4"/>
        <v>پیش‌وایی 10</v>
      </c>
      <c r="W1130" s="86"/>
      <c r="X1130" s="86"/>
    </row>
    <row r="1131">
      <c r="A1131" s="201">
        <v>1131.0</v>
      </c>
      <c r="B1131" s="202" t="s">
        <v>2078</v>
      </c>
      <c r="C1131" s="203" t="s">
        <v>5423</v>
      </c>
      <c r="D1131" s="204" t="str">
        <f>IFERROR(__xludf.DUMMYFUNCTION("ARRAYFORMULA(LET( converted, SUBSTITUTE( SUBSTITUTE( SUBSTITUTE( SUBSTITUTE( SUBSTITUTE( SUBSTITUTE( SUBSTITUTE( SUBSTITUTE( SUBSTITUTE( SUBSTITUTE( C1131, ""۰"", ""0""), ""۱"", ""1""), ""۲"", ""2""), ""۳"", ""3""), ""۴"", ""4""), ""۵"", ""5""), ""۶"", """&amp;"6""), ""۷"", ""7""), ""۸"", ""8""), ""۹"", ""9""), IF(LEFT(converted,3)=""+98"", ""0"" &amp; RIGHT(converted, LEN(converted)-3), IF(LEFT(converted,2)=""98"", ""0"" &amp; RIGHT(converted, LEN(converted)-2), IF(LEFT(converted,1)&lt;&gt;""0"", ""0"" &amp; converted, REGEXREPL"&amp;"ACE(converted , ""\s"", """")) ) ) ) )"),"09121328677")</f>
        <v>09121328677</v>
      </c>
      <c r="E1131" s="205" t="s">
        <v>17</v>
      </c>
      <c r="F1131" s="206">
        <v>10.0</v>
      </c>
      <c r="G1131" s="202"/>
      <c r="H1131" s="202"/>
      <c r="I1131" s="203"/>
      <c r="J1131" s="203"/>
      <c r="K1131" s="207" t="s">
        <v>1018</v>
      </c>
      <c r="L1131" s="207" t="s">
        <v>2082</v>
      </c>
      <c r="M1131" s="207"/>
      <c r="N1131" s="207"/>
      <c r="O1131" s="202"/>
      <c r="P1131" s="202"/>
      <c r="Q1131" s="208"/>
      <c r="R1131" s="86"/>
      <c r="S1131" s="114">
        <f t="shared" ref="S1131:T1131" si="1132">A1131</f>
        <v>1131</v>
      </c>
      <c r="T1131" s="114" t="str">
        <f t="shared" si="1132"/>
        <v>علی روشن</v>
      </c>
      <c r="U1131" s="86" t="str">
        <f t="shared" si="3"/>
        <v>09121328677</v>
      </c>
      <c r="V1131" s="86" t="str">
        <f t="shared" si="4"/>
        <v>پیش‌وایی 10</v>
      </c>
      <c r="W1131" s="86"/>
      <c r="X1131" s="86"/>
    </row>
    <row r="1132">
      <c r="A1132" s="192">
        <v>1132.0</v>
      </c>
      <c r="B1132" s="193" t="s">
        <v>5424</v>
      </c>
      <c r="C1132" s="194" t="s">
        <v>5425</v>
      </c>
      <c r="D1132" s="195" t="str">
        <f>IFERROR(__xludf.DUMMYFUNCTION("ARRAYFORMULA(LET( converted, SUBSTITUTE( SUBSTITUTE( SUBSTITUTE( SUBSTITUTE( SUBSTITUTE( SUBSTITUTE( SUBSTITUTE( SUBSTITUTE( SUBSTITUTE( SUBSTITUTE( C1132, ""۰"", ""0""), ""۱"", ""1""), ""۲"", ""2""), ""۳"", ""3""), ""۴"", ""4""), ""۵"", ""5""), ""۶"", """&amp;"6""), ""۷"", ""7""), ""۸"", ""8""), ""۹"", ""9""), IF(LEFT(converted,3)=""+98"", ""0"" &amp; RIGHT(converted, LEN(converted)-3), IF(LEFT(converted,2)=""98"", ""0"" &amp; RIGHT(converted, LEN(converted)-2), IF(LEFT(converted,1)&lt;&gt;""0"", ""0"" &amp; converted, REGEXREPL"&amp;"ACE(converted , ""\s"", """")) ) ) ) )"),"09122451435")</f>
        <v>09122451435</v>
      </c>
      <c r="E1132" s="196" t="s">
        <v>17</v>
      </c>
      <c r="F1132" s="197">
        <v>10.0</v>
      </c>
      <c r="G1132" s="193"/>
      <c r="H1132" s="193"/>
      <c r="I1132" s="194"/>
      <c r="J1132" s="194"/>
      <c r="K1132" s="199" t="s">
        <v>1018</v>
      </c>
      <c r="L1132" s="199" t="s">
        <v>5426</v>
      </c>
      <c r="M1132" s="199"/>
      <c r="N1132" s="199"/>
      <c r="O1132" s="193"/>
      <c r="P1132" s="193"/>
      <c r="Q1132" s="200"/>
      <c r="R1132" s="86"/>
      <c r="S1132" s="114">
        <f t="shared" ref="S1132:T1132" si="1133">A1132</f>
        <v>1132</v>
      </c>
      <c r="T1132" s="114" t="str">
        <f t="shared" si="1133"/>
        <v>علی سروری</v>
      </c>
      <c r="U1132" s="86" t="str">
        <f t="shared" si="3"/>
        <v>09122451435</v>
      </c>
      <c r="V1132" s="86" t="str">
        <f t="shared" si="4"/>
        <v>پیش‌وایی 10</v>
      </c>
      <c r="W1132" s="86"/>
      <c r="X1132" s="86"/>
    </row>
    <row r="1133">
      <c r="A1133" s="201">
        <v>1133.0</v>
      </c>
      <c r="B1133" s="202" t="s">
        <v>5427</v>
      </c>
      <c r="C1133" s="203" t="s">
        <v>5428</v>
      </c>
      <c r="D1133" s="204" t="str">
        <f>IFERROR(__xludf.DUMMYFUNCTION("ARRAYFORMULA(LET( converted, SUBSTITUTE( SUBSTITUTE( SUBSTITUTE( SUBSTITUTE( SUBSTITUTE( SUBSTITUTE( SUBSTITUTE( SUBSTITUTE( SUBSTITUTE( SUBSTITUTE( C1133, ""۰"", ""0""), ""۱"", ""1""), ""۲"", ""2""), ""۳"", ""3""), ""۴"", ""4""), ""۵"", ""5""), ""۶"", """&amp;"6""), ""۷"", ""7""), ""۸"", ""8""), ""۹"", ""9""), IF(LEFT(converted,3)=""+98"", ""0"" &amp; RIGHT(converted, LEN(converted)-3), IF(LEFT(converted,2)=""98"", ""0"" &amp; RIGHT(converted, LEN(converted)-2), IF(LEFT(converted,1)&lt;&gt;""0"", ""0"" &amp; converted, REGEXREPL"&amp;"ACE(converted , ""\s"", """")) ) ) ) )"),"09124472106")</f>
        <v>09124472106</v>
      </c>
      <c r="E1133" s="205" t="s">
        <v>17</v>
      </c>
      <c r="F1133" s="206">
        <v>10.0</v>
      </c>
      <c r="G1133" s="202"/>
      <c r="H1133" s="202"/>
      <c r="I1133" s="203"/>
      <c r="J1133" s="203"/>
      <c r="K1133" s="207" t="s">
        <v>1018</v>
      </c>
      <c r="L1133" s="207" t="s">
        <v>3205</v>
      </c>
      <c r="M1133" s="207"/>
      <c r="N1133" s="207"/>
      <c r="O1133" s="202"/>
      <c r="P1133" s="202"/>
      <c r="Q1133" s="208"/>
      <c r="R1133" s="86"/>
      <c r="S1133" s="114">
        <f t="shared" ref="S1133:T1133" si="1134">A1133</f>
        <v>1133</v>
      </c>
      <c r="T1133" s="114" t="str">
        <f t="shared" si="1134"/>
        <v>علی مهدی زاده</v>
      </c>
      <c r="U1133" s="86" t="str">
        <f t="shared" si="3"/>
        <v>09124472106</v>
      </c>
      <c r="V1133" s="86" t="str">
        <f t="shared" si="4"/>
        <v>پیش‌وایی 10</v>
      </c>
      <c r="W1133" s="86"/>
      <c r="X1133" s="86"/>
    </row>
    <row r="1134">
      <c r="A1134" s="192">
        <v>1134.0</v>
      </c>
      <c r="B1134" s="193" t="s">
        <v>5429</v>
      </c>
      <c r="C1134" s="194" t="s">
        <v>5430</v>
      </c>
      <c r="D1134" s="195" t="str">
        <f>IFERROR(__xludf.DUMMYFUNCTION("ARRAYFORMULA(LET( converted, SUBSTITUTE( SUBSTITUTE( SUBSTITUTE( SUBSTITUTE( SUBSTITUTE( SUBSTITUTE( SUBSTITUTE( SUBSTITUTE( SUBSTITUTE( SUBSTITUTE( C1134, ""۰"", ""0""), ""۱"", ""1""), ""۲"", ""2""), ""۳"", ""3""), ""۴"", ""4""), ""۵"", ""5""), ""۶"", """&amp;"6""), ""۷"", ""7""), ""۸"", ""8""), ""۹"", ""9""), IF(LEFT(converted,3)=""+98"", ""0"" &amp; RIGHT(converted, LEN(converted)-3), IF(LEFT(converted,2)=""98"", ""0"" &amp; RIGHT(converted, LEN(converted)-2), IF(LEFT(converted,1)&lt;&gt;""0"", ""0"" &amp; converted, REGEXREPL"&amp;"ACE(converted , ""\s"", """")) ) ) ) )"),"09194686072")</f>
        <v>09194686072</v>
      </c>
      <c r="E1134" s="196" t="s">
        <v>17</v>
      </c>
      <c r="F1134" s="197">
        <v>10.0</v>
      </c>
      <c r="G1134" s="193"/>
      <c r="H1134" s="193"/>
      <c r="I1134" s="194"/>
      <c r="J1134" s="194"/>
      <c r="K1134" s="199" t="s">
        <v>1018</v>
      </c>
      <c r="L1134" s="199" t="s">
        <v>5431</v>
      </c>
      <c r="M1134" s="199"/>
      <c r="N1134" s="199"/>
      <c r="O1134" s="193"/>
      <c r="P1134" s="193"/>
      <c r="Q1134" s="200"/>
      <c r="R1134" s="86"/>
      <c r="S1134" s="114">
        <f t="shared" ref="S1134:T1134" si="1135">A1134</f>
        <v>1134</v>
      </c>
      <c r="T1134" s="114" t="str">
        <f t="shared" si="1135"/>
        <v>علی میری</v>
      </c>
      <c r="U1134" s="86" t="str">
        <f t="shared" si="3"/>
        <v>09194686072</v>
      </c>
      <c r="V1134" s="86" t="str">
        <f t="shared" si="4"/>
        <v>پیش‌وایی 10</v>
      </c>
      <c r="W1134" s="86"/>
      <c r="X1134" s="86"/>
    </row>
    <row r="1135">
      <c r="A1135" s="201">
        <v>1135.0</v>
      </c>
      <c r="B1135" s="202" t="s">
        <v>5432</v>
      </c>
      <c r="C1135" s="203" t="s">
        <v>5433</v>
      </c>
      <c r="D1135" s="204" t="str">
        <f>IFERROR(__xludf.DUMMYFUNCTION("ARRAYFORMULA(LET( converted, SUBSTITUTE( SUBSTITUTE( SUBSTITUTE( SUBSTITUTE( SUBSTITUTE( SUBSTITUTE( SUBSTITUTE( SUBSTITUTE( SUBSTITUTE( SUBSTITUTE( C1135, ""۰"", ""0""), ""۱"", ""1""), ""۲"", ""2""), ""۳"", ""3""), ""۴"", ""4""), ""۵"", ""5""), ""۶"", """&amp;"6""), ""۷"", ""7""), ""۸"", ""8""), ""۹"", ""9""), IF(LEFT(converted,3)=""+98"", ""0"" &amp; RIGHT(converted, LEN(converted)-3), IF(LEFT(converted,2)=""98"", ""0"" &amp; RIGHT(converted, LEN(converted)-2), IF(LEFT(converted,1)&lt;&gt;""0"", ""0"" &amp; converted, REGEXREPL"&amp;"ACE(converted , ""\s"", """")) ) ) ) )"),"09127656516")</f>
        <v>09127656516</v>
      </c>
      <c r="E1135" s="205" t="s">
        <v>17</v>
      </c>
      <c r="F1135" s="206">
        <v>10.0</v>
      </c>
      <c r="G1135" s="202"/>
      <c r="H1135" s="202"/>
      <c r="I1135" s="203"/>
      <c r="J1135" s="203"/>
      <c r="K1135" s="207" t="s">
        <v>259</v>
      </c>
      <c r="L1135" s="207" t="s">
        <v>5434</v>
      </c>
      <c r="M1135" s="207"/>
      <c r="N1135" s="207"/>
      <c r="O1135" s="202"/>
      <c r="P1135" s="202"/>
      <c r="Q1135" s="208"/>
      <c r="R1135" s="86"/>
      <c r="S1135" s="114">
        <f t="shared" ref="S1135:T1135" si="1136">A1135</f>
        <v>1135</v>
      </c>
      <c r="T1135" s="114" t="str">
        <f t="shared" si="1136"/>
        <v>علیرضا تشکری</v>
      </c>
      <c r="U1135" s="86" t="str">
        <f t="shared" si="3"/>
        <v>09127656516</v>
      </c>
      <c r="V1135" s="86" t="str">
        <f t="shared" si="4"/>
        <v>پیش‌وایی 10</v>
      </c>
      <c r="W1135" s="86"/>
      <c r="X1135" s="86"/>
    </row>
    <row r="1136">
      <c r="A1136" s="192">
        <v>1136.0</v>
      </c>
      <c r="B1136" s="193" t="s">
        <v>5435</v>
      </c>
      <c r="C1136" s="194" t="s">
        <v>5436</v>
      </c>
      <c r="D1136" s="195" t="str">
        <f>IFERROR(__xludf.DUMMYFUNCTION("ARRAYFORMULA(LET( converted, SUBSTITUTE( SUBSTITUTE( SUBSTITUTE( SUBSTITUTE( SUBSTITUTE( SUBSTITUTE( SUBSTITUTE( SUBSTITUTE( SUBSTITUTE( SUBSTITUTE( C1136, ""۰"", ""0""), ""۱"", ""1""), ""۲"", ""2""), ""۳"", ""3""), ""۴"", ""4""), ""۵"", ""5""), ""۶"", """&amp;"6""), ""۷"", ""7""), ""۸"", ""8""), ""۹"", ""9""), IF(LEFT(converted,3)=""+98"", ""0"" &amp; RIGHT(converted, LEN(converted)-3), IF(LEFT(converted,2)=""98"", ""0"" &amp; RIGHT(converted, LEN(converted)-2), IF(LEFT(converted,1)&lt;&gt;""0"", ""0"" &amp; converted, REGEXREPL"&amp;"ACE(converted , ""\s"", """")) ) ) ) )"),"09112709217")</f>
        <v>09112709217</v>
      </c>
      <c r="E1136" s="196" t="s">
        <v>17</v>
      </c>
      <c r="F1136" s="197">
        <v>10.0</v>
      </c>
      <c r="G1136" s="193"/>
      <c r="H1136" s="193"/>
      <c r="I1136" s="194"/>
      <c r="J1136" s="194"/>
      <c r="K1136" s="199" t="s">
        <v>259</v>
      </c>
      <c r="L1136" s="199" t="s">
        <v>5437</v>
      </c>
      <c r="M1136" s="199"/>
      <c r="N1136" s="199"/>
      <c r="O1136" s="193"/>
      <c r="P1136" s="193"/>
      <c r="Q1136" s="200"/>
      <c r="R1136" s="86"/>
      <c r="S1136" s="114">
        <f t="shared" ref="S1136:T1136" si="1137">A1136</f>
        <v>1136</v>
      </c>
      <c r="T1136" s="114" t="str">
        <f t="shared" si="1137"/>
        <v>علیرضا ساوری</v>
      </c>
      <c r="U1136" s="86" t="str">
        <f t="shared" si="3"/>
        <v>09112709217</v>
      </c>
      <c r="V1136" s="86" t="str">
        <f t="shared" si="4"/>
        <v>پیش‌وایی 10</v>
      </c>
      <c r="W1136" s="86"/>
      <c r="X1136" s="86"/>
    </row>
    <row r="1137">
      <c r="A1137" s="201">
        <v>1137.0</v>
      </c>
      <c r="B1137" s="202" t="s">
        <v>5438</v>
      </c>
      <c r="C1137" s="203" t="s">
        <v>5439</v>
      </c>
      <c r="D1137" s="204" t="str">
        <f>IFERROR(__xludf.DUMMYFUNCTION("ARRAYFORMULA(LET( converted, SUBSTITUTE( SUBSTITUTE( SUBSTITUTE( SUBSTITUTE( SUBSTITUTE( SUBSTITUTE( SUBSTITUTE( SUBSTITUTE( SUBSTITUTE( SUBSTITUTE( C1137, ""۰"", ""0""), ""۱"", ""1""), ""۲"", ""2""), ""۳"", ""3""), ""۴"", ""4""), ""۵"", ""5""), ""۶"", """&amp;"6""), ""۷"", ""7""), ""۸"", ""8""), ""۹"", ""9""), IF(LEFT(converted,3)=""+98"", ""0"" &amp; RIGHT(converted, LEN(converted)-3), IF(LEFT(converted,2)=""98"", ""0"" &amp; RIGHT(converted, LEN(converted)-2), IF(LEFT(converted,1)&lt;&gt;""0"", ""0"" &amp; converted, REGEXREPL"&amp;"ACE(converted , ""\s"", """")) ) ) ) )"),"09124933917")</f>
        <v>09124933917</v>
      </c>
      <c r="E1137" s="205" t="s">
        <v>17</v>
      </c>
      <c r="F1137" s="206">
        <v>10.0</v>
      </c>
      <c r="G1137" s="202"/>
      <c r="H1137" s="202"/>
      <c r="I1137" s="203"/>
      <c r="J1137" s="203"/>
      <c r="K1137" s="207" t="s">
        <v>259</v>
      </c>
      <c r="L1137" s="207" t="s">
        <v>5440</v>
      </c>
      <c r="M1137" s="207"/>
      <c r="N1137" s="207"/>
      <c r="O1137" s="202"/>
      <c r="P1137" s="202"/>
      <c r="Q1137" s="208"/>
      <c r="R1137" s="86"/>
      <c r="S1137" s="114">
        <f t="shared" ref="S1137:T1137" si="1138">A1137</f>
        <v>1137</v>
      </c>
      <c r="T1137" s="114" t="str">
        <f t="shared" si="1138"/>
        <v>علیرضا علیاری</v>
      </c>
      <c r="U1137" s="86" t="str">
        <f t="shared" si="3"/>
        <v>09124933917</v>
      </c>
      <c r="V1137" s="86" t="str">
        <f t="shared" si="4"/>
        <v>پیش‌وایی 10</v>
      </c>
      <c r="W1137" s="86"/>
      <c r="X1137" s="86"/>
    </row>
    <row r="1138">
      <c r="A1138" s="192">
        <v>1138.0</v>
      </c>
      <c r="B1138" s="193" t="s">
        <v>379</v>
      </c>
      <c r="C1138" s="211" t="s">
        <v>5441</v>
      </c>
      <c r="D1138" s="195" t="str">
        <f>IFERROR(__xludf.DUMMYFUNCTION("ARRAYFORMULA(LET( converted, SUBSTITUTE( SUBSTITUTE( SUBSTITUTE( SUBSTITUTE( SUBSTITUTE( SUBSTITUTE( SUBSTITUTE( SUBSTITUTE( SUBSTITUTE( SUBSTITUTE( C1138, ""۰"", ""0""), ""۱"", ""1""), ""۲"", ""2""), ""۳"", ""3""), ""۴"", ""4""), ""۵"", ""5""), ""۶"", """&amp;"6""), ""۷"", ""7""), ""۸"", ""8""), ""۹"", ""9""), IF(LEFT(converted,3)=""+98"", ""0"" &amp; RIGHT(converted, LEN(converted)-3), IF(LEFT(converted,2)=""98"", ""0"" &amp; RIGHT(converted, LEN(converted)-2), IF(LEFT(converted,1)&lt;&gt;""0"", ""0"" &amp; converted, REGEXREPL"&amp;"ACE(converted , ""\s"", """")) ) ) ) )"),"09121233837 ")</f>
        <v>09121233837 </v>
      </c>
      <c r="E1138" s="196" t="s">
        <v>17</v>
      </c>
      <c r="F1138" s="197">
        <v>10.0</v>
      </c>
      <c r="G1138" s="193"/>
      <c r="H1138" s="193"/>
      <c r="I1138" s="194"/>
      <c r="J1138" s="194"/>
      <c r="K1138" s="199" t="s">
        <v>259</v>
      </c>
      <c r="L1138" s="199" t="s">
        <v>271</v>
      </c>
      <c r="M1138" s="199"/>
      <c r="N1138" s="199"/>
      <c r="O1138" s="193"/>
      <c r="P1138" s="193"/>
      <c r="Q1138" s="200"/>
      <c r="R1138" s="86"/>
      <c r="S1138" s="114">
        <f t="shared" ref="S1138:T1138" si="1139">A1138</f>
        <v>1138</v>
      </c>
      <c r="T1138" s="114" t="str">
        <f t="shared" si="1139"/>
        <v>علیرضا اسدالله زاده</v>
      </c>
      <c r="U1138" s="86" t="str">
        <f t="shared" si="3"/>
        <v>09121233837 </v>
      </c>
      <c r="V1138" s="86" t="str">
        <f t="shared" si="4"/>
        <v>پیش‌وایی 10</v>
      </c>
      <c r="W1138" s="86"/>
      <c r="X1138" s="86"/>
    </row>
    <row r="1139">
      <c r="A1139" s="201">
        <v>1139.0</v>
      </c>
      <c r="B1139" s="202" t="s">
        <v>1556</v>
      </c>
      <c r="C1139" s="203" t="s">
        <v>1557</v>
      </c>
      <c r="D1139" s="204" t="str">
        <f>IFERROR(__xludf.DUMMYFUNCTION("ARRAYFORMULA(LET( converted, SUBSTITUTE( SUBSTITUTE( SUBSTITUTE( SUBSTITUTE( SUBSTITUTE( SUBSTITUTE( SUBSTITUTE( SUBSTITUTE( SUBSTITUTE( SUBSTITUTE( C1139, ""۰"", ""0""), ""۱"", ""1""), ""۲"", ""2""), ""۳"", ""3""), ""۴"", ""4""), ""۵"", ""5""), ""۶"", """&amp;"6""), ""۷"", ""7""), ""۸"", ""8""), ""۹"", ""9""), IF(LEFT(converted,3)=""+98"", ""0"" &amp; RIGHT(converted, LEN(converted)-3), IF(LEFT(converted,2)=""98"", ""0"" &amp; RIGHT(converted, LEN(converted)-2), IF(LEFT(converted,1)&lt;&gt;""0"", ""0"" &amp; converted, REGEXREPL"&amp;"ACE(converted , ""\s"", """")) ) ) ) )"),"09128093617")</f>
        <v>09128093617</v>
      </c>
      <c r="E1139" s="205" t="s">
        <v>17</v>
      </c>
      <c r="F1139" s="206">
        <v>10.0</v>
      </c>
      <c r="G1139" s="202"/>
      <c r="H1139" s="202"/>
      <c r="I1139" s="203"/>
      <c r="J1139" s="203"/>
      <c r="K1139" s="207" t="s">
        <v>274</v>
      </c>
      <c r="L1139" s="207" t="s">
        <v>1559</v>
      </c>
      <c r="M1139" s="207"/>
      <c r="N1139" s="207"/>
      <c r="O1139" s="202"/>
      <c r="P1139" s="202"/>
      <c r="Q1139" s="208"/>
      <c r="R1139" s="86"/>
      <c r="S1139" s="114">
        <f t="shared" ref="S1139:T1139" si="1140">A1139</f>
        <v>1139</v>
      </c>
      <c r="T1139" s="114" t="str">
        <f t="shared" si="1140"/>
        <v>فاطمه اشرفی</v>
      </c>
      <c r="U1139" s="86" t="str">
        <f t="shared" si="3"/>
        <v>09128093617</v>
      </c>
      <c r="V1139" s="86" t="str">
        <f t="shared" si="4"/>
        <v>پیش‌وایی 10</v>
      </c>
      <c r="W1139" s="86"/>
      <c r="X1139" s="86"/>
    </row>
    <row r="1140">
      <c r="A1140" s="192">
        <v>1140.0</v>
      </c>
      <c r="B1140" s="193" t="s">
        <v>5442</v>
      </c>
      <c r="C1140" s="194" t="s">
        <v>5443</v>
      </c>
      <c r="D1140" s="195" t="str">
        <f>IFERROR(__xludf.DUMMYFUNCTION("ARRAYFORMULA(LET( converted, SUBSTITUTE( SUBSTITUTE( SUBSTITUTE( SUBSTITUTE( SUBSTITUTE( SUBSTITUTE( SUBSTITUTE( SUBSTITUTE( SUBSTITUTE( SUBSTITUTE( C1140, ""۰"", ""0""), ""۱"", ""1""), ""۲"", ""2""), ""۳"", ""3""), ""۴"", ""4""), ""۵"", ""5""), ""۶"", """&amp;"6""), ""۷"", ""7""), ""۸"", ""8""), ""۹"", ""9""), IF(LEFT(converted,3)=""+98"", ""0"" &amp; RIGHT(converted, LEN(converted)-3), IF(LEFT(converted,2)=""98"", ""0"" &amp; RIGHT(converted, LEN(converted)-2), IF(LEFT(converted,1)&lt;&gt;""0"", ""0"" &amp; converted, REGEXREPL"&amp;"ACE(converted , ""\s"", """")) ) ) ) )"),"09128406282")</f>
        <v>09128406282</v>
      </c>
      <c r="E1140" s="196" t="s">
        <v>17</v>
      </c>
      <c r="F1140" s="197">
        <v>10.0</v>
      </c>
      <c r="G1140" s="193"/>
      <c r="H1140" s="193"/>
      <c r="I1140" s="194"/>
      <c r="J1140" s="194"/>
      <c r="K1140" s="199" t="s">
        <v>1831</v>
      </c>
      <c r="L1140" s="199" t="s">
        <v>4246</v>
      </c>
      <c r="M1140" s="199"/>
      <c r="N1140" s="199"/>
      <c r="O1140" s="193"/>
      <c r="P1140" s="193"/>
      <c r="Q1140" s="200"/>
      <c r="R1140" s="86"/>
      <c r="S1140" s="114">
        <f t="shared" ref="S1140:T1140" si="1141">A1140</f>
        <v>1140</v>
      </c>
      <c r="T1140" s="114" t="str">
        <f t="shared" si="1141"/>
        <v>فرشته حیدری</v>
      </c>
      <c r="U1140" s="86" t="str">
        <f t="shared" si="3"/>
        <v>09128406282</v>
      </c>
      <c r="V1140" s="86" t="str">
        <f t="shared" si="4"/>
        <v>پیش‌وایی 10</v>
      </c>
      <c r="W1140" s="86"/>
      <c r="X1140" s="86"/>
    </row>
    <row r="1141">
      <c r="A1141" s="201">
        <v>1141.0</v>
      </c>
      <c r="B1141" s="202" t="s">
        <v>5444</v>
      </c>
      <c r="C1141" s="203" t="s">
        <v>5445</v>
      </c>
      <c r="D1141" s="204" t="str">
        <f>IFERROR(__xludf.DUMMYFUNCTION("ARRAYFORMULA(LET( converted, SUBSTITUTE( SUBSTITUTE( SUBSTITUTE( SUBSTITUTE( SUBSTITUTE( SUBSTITUTE( SUBSTITUTE( SUBSTITUTE( SUBSTITUTE( SUBSTITUTE( C1141, ""۰"", ""0""), ""۱"", ""1""), ""۲"", ""2""), ""۳"", ""3""), ""۴"", ""4""), ""۵"", ""5""), ""۶"", """&amp;"6""), ""۷"", ""7""), ""۸"", ""8""), ""۹"", ""9""), IF(LEFT(converted,3)=""+98"", ""0"" &amp; RIGHT(converted, LEN(converted)-3), IF(LEFT(converted,2)=""98"", ""0"" &amp; RIGHT(converted, LEN(converted)-2), IF(LEFT(converted,1)&lt;&gt;""0"", ""0"" &amp; converted, REGEXREPL"&amp;"ACE(converted , ""\s"", """")) ) ) ) )"),"09122505911")</f>
        <v>09122505911</v>
      </c>
      <c r="E1141" s="205" t="s">
        <v>17</v>
      </c>
      <c r="F1141" s="206">
        <v>10.0</v>
      </c>
      <c r="G1141" s="202"/>
      <c r="H1141" s="202"/>
      <c r="I1141" s="203"/>
      <c r="J1141" s="203"/>
      <c r="K1141" s="207" t="s">
        <v>5446</v>
      </c>
      <c r="L1141" s="207" t="s">
        <v>5447</v>
      </c>
      <c r="M1141" s="207"/>
      <c r="N1141" s="207"/>
      <c r="O1141" s="202"/>
      <c r="P1141" s="202"/>
      <c r="Q1141" s="208"/>
      <c r="R1141" s="86"/>
      <c r="S1141" s="114">
        <f t="shared" ref="S1141:T1141" si="1142">A1141</f>
        <v>1141</v>
      </c>
      <c r="T1141" s="114" t="str">
        <f t="shared" si="1142"/>
        <v>گل نساء پاشازاده</v>
      </c>
      <c r="U1141" s="86" t="str">
        <f t="shared" si="3"/>
        <v>09122505911</v>
      </c>
      <c r="V1141" s="86" t="str">
        <f t="shared" si="4"/>
        <v>پیش‌وایی 10</v>
      </c>
      <c r="W1141" s="86"/>
      <c r="X1141" s="86"/>
    </row>
    <row r="1142">
      <c r="A1142" s="192">
        <v>1142.0</v>
      </c>
      <c r="B1142" s="193" t="s">
        <v>5448</v>
      </c>
      <c r="C1142" s="194" t="s">
        <v>5449</v>
      </c>
      <c r="D1142" s="195" t="str">
        <f>IFERROR(__xludf.DUMMYFUNCTION("ARRAYFORMULA(LET( converted, SUBSTITUTE( SUBSTITUTE( SUBSTITUTE( SUBSTITUTE( SUBSTITUTE( SUBSTITUTE( SUBSTITUTE( SUBSTITUTE( SUBSTITUTE( SUBSTITUTE( C1142, ""۰"", ""0""), ""۱"", ""1""), ""۲"", ""2""), ""۳"", ""3""), ""۴"", ""4""), ""۵"", ""5""), ""۶"", """&amp;"6""), ""۷"", ""7""), ""۸"", ""8""), ""۹"", ""9""), IF(LEFT(converted,3)=""+98"", ""0"" &amp; RIGHT(converted, LEN(converted)-3), IF(LEFT(converted,2)=""98"", ""0"" &amp; RIGHT(converted, LEN(converted)-2), IF(LEFT(converted,1)&lt;&gt;""0"", ""0"" &amp; converted, REGEXREPL"&amp;"ACE(converted , ""\s"", """")) ) ) ) )"),"09123360208")</f>
        <v>09123360208</v>
      </c>
      <c r="E1142" s="196" t="s">
        <v>17</v>
      </c>
      <c r="F1142" s="197">
        <v>10.0</v>
      </c>
      <c r="G1142" s="193"/>
      <c r="H1142" s="193"/>
      <c r="I1142" s="194"/>
      <c r="J1142" s="194"/>
      <c r="K1142" s="199" t="s">
        <v>311</v>
      </c>
      <c r="L1142" s="199" t="s">
        <v>5450</v>
      </c>
      <c r="M1142" s="199"/>
      <c r="N1142" s="199"/>
      <c r="O1142" s="193"/>
      <c r="P1142" s="193"/>
      <c r="Q1142" s="200"/>
      <c r="R1142" s="86"/>
      <c r="S1142" s="114">
        <f t="shared" ref="S1142:T1142" si="1143">A1142</f>
        <v>1142</v>
      </c>
      <c r="T1142" s="114" t="str">
        <f t="shared" si="1143"/>
        <v>محسن مقدس</v>
      </c>
      <c r="U1142" s="86" t="str">
        <f t="shared" si="3"/>
        <v>09123360208</v>
      </c>
      <c r="V1142" s="86" t="str">
        <f t="shared" si="4"/>
        <v>پیش‌وایی 10</v>
      </c>
      <c r="W1142" s="86"/>
      <c r="X1142" s="86"/>
    </row>
    <row r="1143">
      <c r="A1143" s="201">
        <v>1143.0</v>
      </c>
      <c r="B1143" s="202" t="s">
        <v>5451</v>
      </c>
      <c r="C1143" s="203" t="s">
        <v>5452</v>
      </c>
      <c r="D1143" s="204" t="str">
        <f>IFERROR(__xludf.DUMMYFUNCTION("ARRAYFORMULA(LET( converted, SUBSTITUTE( SUBSTITUTE( SUBSTITUTE( SUBSTITUTE( SUBSTITUTE( SUBSTITUTE( SUBSTITUTE( SUBSTITUTE( SUBSTITUTE( SUBSTITUTE( C1143, ""۰"", ""0""), ""۱"", ""1""), ""۲"", ""2""), ""۳"", ""3""), ""۴"", ""4""), ""۵"", ""5""), ""۶"", """&amp;"6""), ""۷"", ""7""), ""۸"", ""8""), ""۹"", ""9""), IF(LEFT(converted,3)=""+98"", ""0"" &amp; RIGHT(converted, LEN(converted)-3), IF(LEFT(converted,2)=""98"", ""0"" &amp; RIGHT(converted, LEN(converted)-2), IF(LEFT(converted,1)&lt;&gt;""0"", ""0"" &amp; converted, REGEXREPL"&amp;"ACE(converted , ""\s"", """")) ) ) ) )"),"09124936372")</f>
        <v>09124936372</v>
      </c>
      <c r="E1143" s="205" t="s">
        <v>17</v>
      </c>
      <c r="F1143" s="206">
        <v>10.0</v>
      </c>
      <c r="G1143" s="202"/>
      <c r="H1143" s="202"/>
      <c r="I1143" s="203"/>
      <c r="J1143" s="203"/>
      <c r="K1143" s="207" t="s">
        <v>1302</v>
      </c>
      <c r="L1143" s="207" t="s">
        <v>5453</v>
      </c>
      <c r="M1143" s="207"/>
      <c r="N1143" s="207"/>
      <c r="O1143" s="202"/>
      <c r="P1143" s="202"/>
      <c r="Q1143" s="208"/>
      <c r="R1143" s="86"/>
      <c r="S1143" s="114">
        <f t="shared" ref="S1143:T1143" si="1144">A1143</f>
        <v>1143</v>
      </c>
      <c r="T1143" s="114" t="str">
        <f t="shared" si="1144"/>
        <v>مونا بابایی</v>
      </c>
      <c r="U1143" s="86" t="str">
        <f t="shared" si="3"/>
        <v>09124936372</v>
      </c>
      <c r="V1143" s="86" t="str">
        <f t="shared" si="4"/>
        <v>پیش‌وایی 10</v>
      </c>
      <c r="W1143" s="86"/>
      <c r="X1143" s="86"/>
    </row>
    <row r="1144">
      <c r="A1144" s="192">
        <v>1144.0</v>
      </c>
      <c r="B1144" s="193" t="s">
        <v>5454</v>
      </c>
      <c r="C1144" s="194" t="s">
        <v>5455</v>
      </c>
      <c r="D1144" s="195" t="str">
        <f>IFERROR(__xludf.DUMMYFUNCTION("ARRAYFORMULA(LET( converted, SUBSTITUTE( SUBSTITUTE( SUBSTITUTE( SUBSTITUTE( SUBSTITUTE( SUBSTITUTE( SUBSTITUTE( SUBSTITUTE( SUBSTITUTE( SUBSTITUTE( C1144, ""۰"", ""0""), ""۱"", ""1""), ""۲"", ""2""), ""۳"", ""3""), ""۴"", ""4""), ""۵"", ""5""), ""۶"", """&amp;"6""), ""۷"", ""7""), ""۸"", ""8""), ""۹"", ""9""), IF(LEFT(converted,3)=""+98"", ""0"" &amp; RIGHT(converted, LEN(converted)-3), IF(LEFT(converted,2)=""98"", ""0"" &amp; RIGHT(converted, LEN(converted)-2), IF(LEFT(converted,1)&lt;&gt;""0"", ""0"" &amp; converted, REGEXREPL"&amp;"ACE(converted , ""\s"", """")) ) ) ) )"),"09121866170")</f>
        <v>09121866170</v>
      </c>
      <c r="E1144" s="196" t="s">
        <v>17</v>
      </c>
      <c r="F1144" s="197">
        <v>10.0</v>
      </c>
      <c r="G1144" s="193"/>
      <c r="H1144" s="193"/>
      <c r="I1144" s="194"/>
      <c r="J1144" s="194"/>
      <c r="K1144" s="199" t="s">
        <v>3592</v>
      </c>
      <c r="L1144" s="199" t="s">
        <v>5456</v>
      </c>
      <c r="M1144" s="199"/>
      <c r="N1144" s="199"/>
      <c r="O1144" s="193"/>
      <c r="P1144" s="193"/>
      <c r="Q1144" s="200"/>
      <c r="R1144" s="86"/>
      <c r="S1144" s="114">
        <f t="shared" ref="S1144:T1144" si="1145">A1144</f>
        <v>1144</v>
      </c>
      <c r="T1144" s="114" t="str">
        <f t="shared" si="1145"/>
        <v>نوید ایازی</v>
      </c>
      <c r="U1144" s="86" t="str">
        <f t="shared" si="3"/>
        <v>09121866170</v>
      </c>
      <c r="V1144" s="86" t="str">
        <f t="shared" si="4"/>
        <v>پیش‌وایی 10</v>
      </c>
      <c r="W1144" s="86"/>
      <c r="X1144" s="86"/>
    </row>
    <row r="1145">
      <c r="A1145" s="201">
        <v>1145.0</v>
      </c>
      <c r="B1145" s="202" t="s">
        <v>5457</v>
      </c>
      <c r="C1145" s="203" t="s">
        <v>5458</v>
      </c>
      <c r="D1145" s="204" t="str">
        <f>IFERROR(__xludf.DUMMYFUNCTION("ARRAYFORMULA(LET( converted, SUBSTITUTE( SUBSTITUTE( SUBSTITUTE( SUBSTITUTE( SUBSTITUTE( SUBSTITUTE( SUBSTITUTE( SUBSTITUTE( SUBSTITUTE( SUBSTITUTE( C1145, ""۰"", ""0""), ""۱"", ""1""), ""۲"", ""2""), ""۳"", ""3""), ""۴"", ""4""), ""۵"", ""5""), ""۶"", """&amp;"6""), ""۷"", ""7""), ""۸"", ""8""), ""۹"", ""9""), IF(LEFT(converted,3)=""+98"", ""0"" &amp; RIGHT(converted, LEN(converted)-3), IF(LEFT(converted,2)=""98"", ""0"" &amp; RIGHT(converted, LEN(converted)-2), IF(LEFT(converted,1)&lt;&gt;""0"", ""0"" &amp; converted, REGEXREPL"&amp;"ACE(converted , ""\s"", """")) ) ) ) )"),"09221251785")</f>
        <v>09221251785</v>
      </c>
      <c r="E1145" s="205" t="s">
        <v>17</v>
      </c>
      <c r="F1145" s="206">
        <v>10.0</v>
      </c>
      <c r="G1145" s="202"/>
      <c r="H1145" s="202"/>
      <c r="I1145" s="203"/>
      <c r="J1145" s="203"/>
      <c r="K1145" s="207" t="s">
        <v>5459</v>
      </c>
      <c r="L1145" s="207" t="s">
        <v>2624</v>
      </c>
      <c r="M1145" s="207"/>
      <c r="N1145" s="207"/>
      <c r="O1145" s="202"/>
      <c r="P1145" s="202"/>
      <c r="Q1145" s="208"/>
      <c r="R1145" s="86"/>
      <c r="S1145" s="114">
        <f t="shared" ref="S1145:T1145" si="1146">A1145</f>
        <v>1145</v>
      </c>
      <c r="T1145" s="114" t="str">
        <f t="shared" si="1146"/>
        <v>صفورا قاسمی</v>
      </c>
      <c r="U1145" s="86" t="str">
        <f t="shared" si="3"/>
        <v>09221251785</v>
      </c>
      <c r="V1145" s="86" t="str">
        <f t="shared" si="4"/>
        <v>پیش‌وایی 10</v>
      </c>
      <c r="W1145" s="86"/>
      <c r="X1145" s="86"/>
    </row>
    <row r="1146">
      <c r="A1146" s="192">
        <v>1146.0</v>
      </c>
      <c r="B1146" s="193" t="s">
        <v>5315</v>
      </c>
      <c r="C1146" s="194" t="s">
        <v>5316</v>
      </c>
      <c r="D1146" s="195" t="str">
        <f>IFERROR(__xludf.DUMMYFUNCTION("ARRAYFORMULA(LET( converted, SUBSTITUTE( SUBSTITUTE( SUBSTITUTE( SUBSTITUTE( SUBSTITUTE( SUBSTITUTE( SUBSTITUTE( SUBSTITUTE( SUBSTITUTE( SUBSTITUTE( C1146, ""۰"", ""0""), ""۱"", ""1""), ""۲"", ""2""), ""۳"", ""3""), ""۴"", ""4""), ""۵"", ""5""), ""۶"", """&amp;"6""), ""۷"", ""7""), ""۸"", ""8""), ""۹"", ""9""), IF(LEFT(converted,3)=""+98"", ""0"" &amp; RIGHT(converted, LEN(converted)-3), IF(LEFT(converted,2)=""98"", ""0"" &amp; RIGHT(converted, LEN(converted)-2), IF(LEFT(converted,1)&lt;&gt;""0"", ""0"" &amp; converted, REGEXREPL"&amp;"ACE(converted , ""\s"", """")) ) ) ) )"),"09129619261")</f>
        <v>09129619261</v>
      </c>
      <c r="E1146" s="196" t="s">
        <v>17</v>
      </c>
      <c r="F1146" s="197">
        <v>10.0</v>
      </c>
      <c r="G1146" s="193"/>
      <c r="H1146" s="193"/>
      <c r="I1146" s="194"/>
      <c r="J1146" s="194"/>
      <c r="K1146" s="199" t="s">
        <v>3789</v>
      </c>
      <c r="L1146" s="199" t="s">
        <v>5317</v>
      </c>
      <c r="M1146" s="199"/>
      <c r="N1146" s="199"/>
      <c r="O1146" s="193"/>
      <c r="P1146" s="193"/>
      <c r="Q1146" s="200"/>
      <c r="R1146" s="86"/>
      <c r="S1146" s="114">
        <f t="shared" ref="S1146:T1146" si="1147">A1146</f>
        <v>1146</v>
      </c>
      <c r="T1146" s="114" t="str">
        <f t="shared" si="1147"/>
        <v>محمدامین گیوری</v>
      </c>
      <c r="U1146" s="86" t="str">
        <f t="shared" si="3"/>
        <v>09129619261</v>
      </c>
      <c r="V1146" s="86" t="str">
        <f t="shared" si="4"/>
        <v>پیش‌وایی 10</v>
      </c>
      <c r="W1146" s="86"/>
      <c r="X1146" s="86"/>
    </row>
    <row r="1147">
      <c r="A1147" s="201">
        <v>1147.0</v>
      </c>
      <c r="B1147" s="202" t="s">
        <v>5045</v>
      </c>
      <c r="C1147" s="203" t="s">
        <v>5279</v>
      </c>
      <c r="D1147" s="204" t="str">
        <f>IFERROR(__xludf.DUMMYFUNCTION("ARRAYFORMULA(LET( converted, SUBSTITUTE( SUBSTITUTE( SUBSTITUTE( SUBSTITUTE( SUBSTITUTE( SUBSTITUTE( SUBSTITUTE( SUBSTITUTE( SUBSTITUTE( SUBSTITUTE( C1147, ""۰"", ""0""), ""۱"", ""1""), ""۲"", ""2""), ""۳"", ""3""), ""۴"", ""4""), ""۵"", ""5""), ""۶"", """&amp;"6""), ""۷"", ""7""), ""۸"", ""8""), ""۹"", ""9""), IF(LEFT(converted,3)=""+98"", ""0"" &amp; RIGHT(converted, LEN(converted)-3), IF(LEFT(converted,2)=""98"", ""0"" &amp; RIGHT(converted, LEN(converted)-2), IF(LEFT(converted,1)&lt;&gt;""0"", ""0"" &amp; converted, REGEXREPL"&amp;"ACE(converted , ""\s"", """")) ) ) ) )"),"09901963408")</f>
        <v>09901963408</v>
      </c>
      <c r="E1147" s="205" t="s">
        <v>17</v>
      </c>
      <c r="F1147" s="206">
        <v>10.0</v>
      </c>
      <c r="G1147" s="202"/>
      <c r="H1147" s="202"/>
      <c r="I1147" s="203"/>
      <c r="J1147" s="203"/>
      <c r="K1147" s="207" t="s">
        <v>311</v>
      </c>
      <c r="L1147" s="207" t="s">
        <v>358</v>
      </c>
      <c r="M1147" s="207"/>
      <c r="N1147" s="207"/>
      <c r="O1147" s="202"/>
      <c r="P1147" s="202"/>
      <c r="Q1147" s="208"/>
      <c r="R1147" s="86"/>
      <c r="S1147" s="114">
        <f t="shared" ref="S1147:T1147" si="1148">A1147</f>
        <v>1147</v>
      </c>
      <c r="T1147" s="114" t="str">
        <f t="shared" si="1148"/>
        <v>محسن باقری</v>
      </c>
      <c r="U1147" s="86" t="str">
        <f t="shared" si="3"/>
        <v>09901963408</v>
      </c>
      <c r="V1147" s="86" t="str">
        <f t="shared" si="4"/>
        <v>پیش‌وایی 10</v>
      </c>
      <c r="W1147" s="86"/>
      <c r="X1147" s="86"/>
    </row>
    <row r="1148">
      <c r="A1148" s="192">
        <v>1148.0</v>
      </c>
      <c r="B1148" s="193" t="s">
        <v>5460</v>
      </c>
      <c r="C1148" s="194" t="s">
        <v>5461</v>
      </c>
      <c r="D1148" s="195" t="str">
        <f>IFERROR(__xludf.DUMMYFUNCTION("ARRAYFORMULA(LET( converted, SUBSTITUTE( SUBSTITUTE( SUBSTITUTE( SUBSTITUTE( SUBSTITUTE( SUBSTITUTE( SUBSTITUTE( SUBSTITUTE( SUBSTITUTE( SUBSTITUTE( C1148, ""۰"", ""0""), ""۱"", ""1""), ""۲"", ""2""), ""۳"", ""3""), ""۴"", ""4""), ""۵"", ""5""), ""۶"", """&amp;"6""), ""۷"", ""7""), ""۸"", ""8""), ""۹"", ""9""), IF(LEFT(converted,3)=""+98"", ""0"" &amp; RIGHT(converted, LEN(converted)-3), IF(LEFT(converted,2)=""98"", ""0"" &amp; RIGHT(converted, LEN(converted)-2), IF(LEFT(converted,1)&lt;&gt;""0"", ""0"" &amp; converted, REGEXREPL"&amp;"ACE(converted , ""\s"", """")) ) ) ) )"),"09170174000")</f>
        <v>09170174000</v>
      </c>
      <c r="E1148" s="196" t="s">
        <v>17</v>
      </c>
      <c r="F1148" s="197">
        <v>10.0</v>
      </c>
      <c r="G1148" s="193"/>
      <c r="H1148" s="193"/>
      <c r="I1148" s="194"/>
      <c r="J1148" s="194"/>
      <c r="K1148" s="199" t="s">
        <v>5407</v>
      </c>
      <c r="L1148" s="199" t="s">
        <v>5462</v>
      </c>
      <c r="M1148" s="199"/>
      <c r="N1148" s="199"/>
      <c r="O1148" s="193"/>
      <c r="P1148" s="193"/>
      <c r="Q1148" s="200"/>
      <c r="R1148" s="86"/>
      <c r="S1148" s="114">
        <f t="shared" ref="S1148:T1148" si="1149">A1148</f>
        <v>1148</v>
      </c>
      <c r="T1148" s="114" t="str">
        <f t="shared" si="1149"/>
        <v>دانیال بیداری</v>
      </c>
      <c r="U1148" s="86" t="str">
        <f t="shared" si="3"/>
        <v>09170174000</v>
      </c>
      <c r="V1148" s="86" t="str">
        <f t="shared" si="4"/>
        <v>پیش‌وایی 10</v>
      </c>
      <c r="W1148" s="86"/>
      <c r="X1148" s="86"/>
    </row>
    <row r="1149">
      <c r="A1149" s="201">
        <v>1149.0</v>
      </c>
      <c r="B1149" s="202" t="s">
        <v>5463</v>
      </c>
      <c r="C1149" s="203" t="s">
        <v>5464</v>
      </c>
      <c r="D1149" s="204" t="str">
        <f>IFERROR(__xludf.DUMMYFUNCTION("ARRAYFORMULA(LET( converted, SUBSTITUTE( SUBSTITUTE( SUBSTITUTE( SUBSTITUTE( SUBSTITUTE( SUBSTITUTE( SUBSTITUTE( SUBSTITUTE( SUBSTITUTE( SUBSTITUTE( C1149, ""۰"", ""0""), ""۱"", ""1""), ""۲"", ""2""), ""۳"", ""3""), ""۴"", ""4""), ""۵"", ""5""), ""۶"", """&amp;"6""), ""۷"", ""7""), ""۸"", ""8""), ""۹"", ""9""), IF(LEFT(converted,3)=""+98"", ""0"" &amp; RIGHT(converted, LEN(converted)-3), IF(LEFT(converted,2)=""98"", ""0"" &amp; RIGHT(converted, LEN(converted)-2), IF(LEFT(converted,1)&lt;&gt;""0"", ""0"" &amp; converted, REGEXREPL"&amp;"ACE(converted , ""\s"", """")) ) ) ) )"),"09155571982")</f>
        <v>09155571982</v>
      </c>
      <c r="E1149" s="205" t="s">
        <v>17</v>
      </c>
      <c r="F1149" s="206">
        <v>10.0</v>
      </c>
      <c r="G1149" s="202"/>
      <c r="H1149" s="202"/>
      <c r="I1149" s="203"/>
      <c r="J1149" s="203"/>
      <c r="K1149" s="207" t="s">
        <v>5465</v>
      </c>
      <c r="L1149" s="207" t="s">
        <v>5466</v>
      </c>
      <c r="M1149" s="207"/>
      <c r="N1149" s="207"/>
      <c r="O1149" s="202"/>
      <c r="P1149" s="202"/>
      <c r="Q1149" s="208"/>
      <c r="R1149" s="86"/>
      <c r="S1149" s="114">
        <f t="shared" ref="S1149:T1149" si="1150">A1149</f>
        <v>1149</v>
      </c>
      <c r="T1149" s="114" t="str">
        <f t="shared" si="1150"/>
        <v>حبیب رحیم پور</v>
      </c>
      <c r="U1149" s="86" t="str">
        <f t="shared" si="3"/>
        <v>09155571982</v>
      </c>
      <c r="V1149" s="86" t="str">
        <f t="shared" si="4"/>
        <v>پیش‌وایی 10</v>
      </c>
      <c r="W1149" s="86"/>
      <c r="X1149" s="86"/>
    </row>
    <row r="1150">
      <c r="A1150" s="192">
        <v>1150.0</v>
      </c>
      <c r="B1150" s="193" t="s">
        <v>5112</v>
      </c>
      <c r="C1150" s="194" t="s">
        <v>5113</v>
      </c>
      <c r="D1150" s="195" t="str">
        <f>IFERROR(__xludf.DUMMYFUNCTION("ARRAYFORMULA(LET( converted, SUBSTITUTE( SUBSTITUTE( SUBSTITUTE( SUBSTITUTE( SUBSTITUTE( SUBSTITUTE( SUBSTITUTE( SUBSTITUTE( SUBSTITUTE( SUBSTITUTE( C1150, ""۰"", ""0""), ""۱"", ""1""), ""۲"", ""2""), ""۳"", ""3""), ""۴"", ""4""), ""۵"", ""5""), ""۶"", """&amp;"6""), ""۷"", ""7""), ""۸"", ""8""), ""۹"", ""9""), IF(LEFT(converted,3)=""+98"", ""0"" &amp; RIGHT(converted, LEN(converted)-3), IF(LEFT(converted,2)=""98"", ""0"" &amp; RIGHT(converted, LEN(converted)-2), IF(LEFT(converted,1)&lt;&gt;""0"", ""0"" &amp; converted, REGEXREPL"&amp;"ACE(converted , ""\s"", """")) ) ) ) )"),"09129314031")</f>
        <v>09129314031</v>
      </c>
      <c r="E1150" s="196" t="s">
        <v>17</v>
      </c>
      <c r="F1150" s="197">
        <v>10.0</v>
      </c>
      <c r="G1150" s="193"/>
      <c r="H1150" s="193"/>
      <c r="I1150" s="194"/>
      <c r="J1150" s="194"/>
      <c r="K1150" s="199" t="s">
        <v>307</v>
      </c>
      <c r="L1150" s="199" t="s">
        <v>5115</v>
      </c>
      <c r="M1150" s="199"/>
      <c r="N1150" s="199"/>
      <c r="O1150" s="193"/>
      <c r="P1150" s="193"/>
      <c r="Q1150" s="200"/>
      <c r="R1150" s="86"/>
      <c r="S1150" s="114">
        <f t="shared" ref="S1150:T1150" si="1151">A1150</f>
        <v>1150</v>
      </c>
      <c r="T1150" s="114" t="str">
        <f t="shared" si="1151"/>
        <v>محمدرضا نریمانی</v>
      </c>
      <c r="U1150" s="86" t="str">
        <f t="shared" si="3"/>
        <v>09129314031</v>
      </c>
      <c r="V1150" s="86" t="str">
        <f t="shared" si="4"/>
        <v>پیش‌وایی 10</v>
      </c>
      <c r="W1150" s="86"/>
      <c r="X1150" s="86"/>
    </row>
    <row r="1151">
      <c r="A1151" s="201">
        <v>1151.0</v>
      </c>
      <c r="B1151" s="202" t="s">
        <v>5467</v>
      </c>
      <c r="C1151" s="203" t="s">
        <v>4705</v>
      </c>
      <c r="D1151" s="204" t="str">
        <f>IFERROR(__xludf.DUMMYFUNCTION("ARRAYFORMULA(LET( converted, SUBSTITUTE( SUBSTITUTE( SUBSTITUTE( SUBSTITUTE( SUBSTITUTE( SUBSTITUTE( SUBSTITUTE( SUBSTITUTE( SUBSTITUTE( SUBSTITUTE( C1151, ""۰"", ""0""), ""۱"", ""1""), ""۲"", ""2""), ""۳"", ""3""), ""۴"", ""4""), ""۵"", ""5""), ""۶"", """&amp;"6""), ""۷"", ""7""), ""۸"", ""8""), ""۹"", ""9""), IF(LEFT(converted,3)=""+98"", ""0"" &amp; RIGHT(converted, LEN(converted)-3), IF(LEFT(converted,2)=""98"", ""0"" &amp; RIGHT(converted, LEN(converted)-2), IF(LEFT(converted,1)&lt;&gt;""0"", ""0"" &amp; converted, REGEXREPL"&amp;"ACE(converted , ""\s"", """")) ) ) ) )"),"09124112249")</f>
        <v>09124112249</v>
      </c>
      <c r="E1151" s="205" t="s">
        <v>17</v>
      </c>
      <c r="F1151" s="206">
        <v>10.0</v>
      </c>
      <c r="G1151" s="202"/>
      <c r="H1151" s="202"/>
      <c r="I1151" s="203"/>
      <c r="J1151" s="203"/>
      <c r="K1151" s="207" t="s">
        <v>1820</v>
      </c>
      <c r="L1151" s="207" t="s">
        <v>5468</v>
      </c>
      <c r="M1151" s="207"/>
      <c r="N1151" s="207"/>
      <c r="O1151" s="202"/>
      <c r="P1151" s="202"/>
      <c r="Q1151" s="208"/>
      <c r="R1151" s="86"/>
      <c r="S1151" s="114">
        <f t="shared" ref="S1151:T1151" si="1152">A1151</f>
        <v>1151</v>
      </c>
      <c r="T1151" s="114" t="str">
        <f t="shared" si="1152"/>
        <v>آرزو قانع خشک بیجاری</v>
      </c>
      <c r="U1151" s="86" t="str">
        <f t="shared" si="3"/>
        <v>09124112249</v>
      </c>
      <c r="V1151" s="86" t="str">
        <f t="shared" si="4"/>
        <v>پیش‌وایی 10</v>
      </c>
      <c r="W1151" s="86"/>
      <c r="X1151" s="86"/>
    </row>
    <row r="1152">
      <c r="A1152" s="192">
        <v>1152.0</v>
      </c>
      <c r="B1152" s="193" t="s">
        <v>713</v>
      </c>
      <c r="C1152" s="194" t="s">
        <v>5272</v>
      </c>
      <c r="D1152" s="195" t="str">
        <f>IFERROR(__xludf.DUMMYFUNCTION("ARRAYFORMULA(LET( converted, SUBSTITUTE( SUBSTITUTE( SUBSTITUTE( SUBSTITUTE( SUBSTITUTE( SUBSTITUTE( SUBSTITUTE( SUBSTITUTE( SUBSTITUTE( SUBSTITUTE( C1152, ""۰"", ""0""), ""۱"", ""1""), ""۲"", ""2""), ""۳"", ""3""), ""۴"", ""4""), ""۵"", ""5""), ""۶"", """&amp;"6""), ""۷"", ""7""), ""۸"", ""8""), ""۹"", ""9""), IF(LEFT(converted,3)=""+98"", ""0"" &amp; RIGHT(converted, LEN(converted)-3), IF(LEFT(converted,2)=""98"", ""0"" &amp; RIGHT(converted, LEN(converted)-2), IF(LEFT(converted,1)&lt;&gt;""0"", ""0"" &amp; converted, REGEXREPL"&amp;"ACE(converted , ""\s"", """")) ) ) ) )"),"09121472143")</f>
        <v>09121472143</v>
      </c>
      <c r="E1152" s="196" t="s">
        <v>17</v>
      </c>
      <c r="F1152" s="197">
        <v>10.0</v>
      </c>
      <c r="G1152" s="193"/>
      <c r="H1152" s="193"/>
      <c r="I1152" s="194"/>
      <c r="J1152" s="194"/>
      <c r="K1152" s="199" t="s">
        <v>197</v>
      </c>
      <c r="L1152" s="199" t="s">
        <v>2624</v>
      </c>
      <c r="M1152" s="199"/>
      <c r="N1152" s="199"/>
      <c r="O1152" s="193"/>
      <c r="P1152" s="193"/>
      <c r="Q1152" s="200"/>
      <c r="R1152" s="86"/>
      <c r="S1152" s="114">
        <f t="shared" ref="S1152:T1152" si="1153">A1152</f>
        <v>1152</v>
      </c>
      <c r="T1152" s="114" t="str">
        <f t="shared" si="1153"/>
        <v>اصغر قاسمی</v>
      </c>
      <c r="U1152" s="86" t="str">
        <f t="shared" si="3"/>
        <v>09121472143</v>
      </c>
      <c r="V1152" s="86" t="str">
        <f t="shared" si="4"/>
        <v>پیش‌وایی 10</v>
      </c>
      <c r="W1152" s="86"/>
      <c r="X1152" s="86"/>
    </row>
    <row r="1153">
      <c r="A1153" s="201">
        <v>1153.0</v>
      </c>
      <c r="B1153" s="202" t="s">
        <v>5469</v>
      </c>
      <c r="C1153" s="203" t="s">
        <v>5470</v>
      </c>
      <c r="D1153" s="204" t="str">
        <f>IFERROR(__xludf.DUMMYFUNCTION("ARRAYFORMULA(LET( converted, SUBSTITUTE( SUBSTITUTE( SUBSTITUTE( SUBSTITUTE( SUBSTITUTE( SUBSTITUTE( SUBSTITUTE( SUBSTITUTE( SUBSTITUTE( SUBSTITUTE( C1153, ""۰"", ""0""), ""۱"", ""1""), ""۲"", ""2""), ""۳"", ""3""), ""۴"", ""4""), ""۵"", ""5""), ""۶"", """&amp;"6""), ""۷"", ""7""), ""۸"", ""8""), ""۹"", ""9""), IF(LEFT(converted,3)=""+98"", ""0"" &amp; RIGHT(converted, LEN(converted)-3), IF(LEFT(converted,2)=""98"", ""0"" &amp; RIGHT(converted, LEN(converted)-2), IF(LEFT(converted,1)&lt;&gt;""0"", ""0"" &amp; converted, REGEXREPL"&amp;"ACE(converted , ""\s"", """")) ) ) ) )"),"09128993213")</f>
        <v>09128993213</v>
      </c>
      <c r="E1153" s="205" t="s">
        <v>17</v>
      </c>
      <c r="F1153" s="206">
        <v>10.0</v>
      </c>
      <c r="G1153" s="202"/>
      <c r="H1153" s="202"/>
      <c r="I1153" s="203"/>
      <c r="J1153" s="203"/>
      <c r="K1153" s="207" t="s">
        <v>818</v>
      </c>
      <c r="L1153" s="207" t="s">
        <v>4347</v>
      </c>
      <c r="M1153" s="207"/>
      <c r="N1153" s="207"/>
      <c r="O1153" s="202"/>
      <c r="P1153" s="202"/>
      <c r="Q1153" s="208"/>
      <c r="R1153" s="86"/>
      <c r="S1153" s="114">
        <f t="shared" ref="S1153:T1153" si="1154">A1153</f>
        <v>1153</v>
      </c>
      <c r="T1153" s="114" t="str">
        <f t="shared" si="1154"/>
        <v>اعظم غلامی</v>
      </c>
      <c r="U1153" s="86" t="str">
        <f t="shared" si="3"/>
        <v>09128993213</v>
      </c>
      <c r="V1153" s="86" t="str">
        <f t="shared" si="4"/>
        <v>پیش‌وایی 10</v>
      </c>
      <c r="W1153" s="86"/>
      <c r="X1153" s="86"/>
    </row>
    <row r="1154">
      <c r="A1154" s="192">
        <v>1154.0</v>
      </c>
      <c r="B1154" s="193" t="s">
        <v>5471</v>
      </c>
      <c r="C1154" s="194" t="s">
        <v>5472</v>
      </c>
      <c r="D1154" s="195" t="str">
        <f>IFERROR(__xludf.DUMMYFUNCTION("ARRAYFORMULA(LET( converted, SUBSTITUTE( SUBSTITUTE( SUBSTITUTE( SUBSTITUTE( SUBSTITUTE( SUBSTITUTE( SUBSTITUTE( SUBSTITUTE( SUBSTITUTE( SUBSTITUTE( C1154, ""۰"", ""0""), ""۱"", ""1""), ""۲"", ""2""), ""۳"", ""3""), ""۴"", ""4""), ""۵"", ""5""), ""۶"", """&amp;"6""), ""۷"", ""7""), ""۸"", ""8""), ""۹"", ""9""), IF(LEFT(converted,3)=""+98"", ""0"" &amp; RIGHT(converted, LEN(converted)-3), IF(LEFT(converted,2)=""98"", ""0"" &amp; RIGHT(converted, LEN(converted)-2), IF(LEFT(converted,1)&lt;&gt;""0"", ""0"" &amp; converted, REGEXREPL"&amp;"ACE(converted , ""\s"", """")) ) ) ) )"),"09011246310")</f>
        <v>09011246310</v>
      </c>
      <c r="E1154" s="196" t="s">
        <v>17</v>
      </c>
      <c r="F1154" s="197">
        <v>10.0</v>
      </c>
      <c r="G1154" s="193"/>
      <c r="H1154" s="193"/>
      <c r="I1154" s="194"/>
      <c r="J1154" s="194"/>
      <c r="K1154" s="199" t="s">
        <v>192</v>
      </c>
      <c r="L1154" s="199" t="s">
        <v>3528</v>
      </c>
      <c r="M1154" s="199"/>
      <c r="N1154" s="199"/>
      <c r="O1154" s="193"/>
      <c r="P1154" s="193"/>
      <c r="Q1154" s="200"/>
      <c r="R1154" s="86"/>
      <c r="S1154" s="114">
        <f t="shared" ref="S1154:T1154" si="1155">A1154</f>
        <v>1154</v>
      </c>
      <c r="T1154" s="114" t="str">
        <f t="shared" si="1155"/>
        <v>امیرحسین عباسی</v>
      </c>
      <c r="U1154" s="86" t="str">
        <f t="shared" si="3"/>
        <v>09011246310</v>
      </c>
      <c r="V1154" s="86" t="str">
        <f t="shared" si="4"/>
        <v>پیش‌وایی 10</v>
      </c>
      <c r="W1154" s="86"/>
      <c r="X1154" s="86"/>
    </row>
    <row r="1155">
      <c r="A1155" s="201">
        <v>1155.0</v>
      </c>
      <c r="B1155" s="202" t="s">
        <v>5473</v>
      </c>
      <c r="C1155" s="203" t="s">
        <v>5474</v>
      </c>
      <c r="D1155" s="204" t="str">
        <f>IFERROR(__xludf.DUMMYFUNCTION("ARRAYFORMULA(LET( converted, SUBSTITUTE( SUBSTITUTE( SUBSTITUTE( SUBSTITUTE( SUBSTITUTE( SUBSTITUTE( SUBSTITUTE( SUBSTITUTE( SUBSTITUTE( SUBSTITUTE( C1155, ""۰"", ""0""), ""۱"", ""1""), ""۲"", ""2""), ""۳"", ""3""), ""۴"", ""4""), ""۵"", ""5""), ""۶"", """&amp;"6""), ""۷"", ""7""), ""۸"", ""8""), ""۹"", ""9""), IF(LEFT(converted,3)=""+98"", ""0"" &amp; RIGHT(converted, LEN(converted)-3), IF(LEFT(converted,2)=""98"", ""0"" &amp; RIGHT(converted, LEN(converted)-2), IF(LEFT(converted,1)&lt;&gt;""0"", ""0"" &amp; converted, REGEXREPL"&amp;"ACE(converted , ""\s"", """")) ) ) ) )"),"09125192240")</f>
        <v>09125192240</v>
      </c>
      <c r="E1155" s="205" t="s">
        <v>17</v>
      </c>
      <c r="F1155" s="206">
        <v>10.0</v>
      </c>
      <c r="G1155" s="202"/>
      <c r="H1155" s="202"/>
      <c r="I1155" s="203"/>
      <c r="J1155" s="203"/>
      <c r="K1155" s="207" t="s">
        <v>5475</v>
      </c>
      <c r="L1155" s="207" t="s">
        <v>1934</v>
      </c>
      <c r="M1155" s="207"/>
      <c r="N1155" s="207"/>
      <c r="O1155" s="202"/>
      <c r="P1155" s="202"/>
      <c r="Q1155" s="208"/>
      <c r="R1155" s="86"/>
      <c r="S1155" s="114">
        <f t="shared" ref="S1155:T1155" si="1156">A1155</f>
        <v>1155</v>
      </c>
      <c r="T1155" s="114" t="str">
        <f t="shared" si="1156"/>
        <v>سید بهنام نجفی</v>
      </c>
      <c r="U1155" s="86" t="str">
        <f t="shared" si="3"/>
        <v>09125192240</v>
      </c>
      <c r="V1155" s="86" t="str">
        <f t="shared" si="4"/>
        <v>پیش‌وایی 10</v>
      </c>
      <c r="W1155" s="86"/>
      <c r="X1155" s="86"/>
    </row>
    <row r="1156">
      <c r="A1156" s="192">
        <v>1156.0</v>
      </c>
      <c r="B1156" s="193" t="s">
        <v>5476</v>
      </c>
      <c r="C1156" s="194" t="s">
        <v>5477</v>
      </c>
      <c r="D1156" s="195" t="str">
        <f>IFERROR(__xludf.DUMMYFUNCTION("ARRAYFORMULA(LET( converted, SUBSTITUTE( SUBSTITUTE( SUBSTITUTE( SUBSTITUTE( SUBSTITUTE( SUBSTITUTE( SUBSTITUTE( SUBSTITUTE( SUBSTITUTE( SUBSTITUTE( C1156, ""۰"", ""0""), ""۱"", ""1""), ""۲"", ""2""), ""۳"", ""3""), ""۴"", ""4""), ""۵"", ""5""), ""۶"", """&amp;"6""), ""۷"", ""7""), ""۸"", ""8""), ""۹"", ""9""), IF(LEFT(converted,3)=""+98"", ""0"" &amp; RIGHT(converted, LEN(converted)-3), IF(LEFT(converted,2)=""98"", ""0"" &amp; RIGHT(converted, LEN(converted)-2), IF(LEFT(converted,1)&lt;&gt;""0"", ""0"" &amp; converted, REGEXREPL"&amp;"ACE(converted , ""\s"", """")) ) ) ) )"),"09122361023")</f>
        <v>09122361023</v>
      </c>
      <c r="E1156" s="196" t="s">
        <v>17</v>
      </c>
      <c r="F1156" s="197">
        <v>10.0</v>
      </c>
      <c r="G1156" s="193"/>
      <c r="H1156" s="193"/>
      <c r="I1156" s="194"/>
      <c r="J1156" s="194"/>
      <c r="K1156" s="199" t="s">
        <v>5478</v>
      </c>
      <c r="L1156" s="199" t="s">
        <v>1934</v>
      </c>
      <c r="M1156" s="199"/>
      <c r="N1156" s="199"/>
      <c r="O1156" s="193"/>
      <c r="P1156" s="193"/>
      <c r="Q1156" s="200"/>
      <c r="R1156" s="86"/>
      <c r="S1156" s="114">
        <f t="shared" ref="S1156:T1156" si="1157">A1156</f>
        <v>1156</v>
      </c>
      <c r="T1156" s="114" t="str">
        <f t="shared" si="1157"/>
        <v>سیدعلیرضا نجفی</v>
      </c>
      <c r="U1156" s="86" t="str">
        <f t="shared" si="3"/>
        <v>09122361023</v>
      </c>
      <c r="V1156" s="86" t="str">
        <f t="shared" si="4"/>
        <v>پیش‌وایی 10</v>
      </c>
      <c r="W1156" s="86"/>
      <c r="X1156" s="86"/>
    </row>
    <row r="1157">
      <c r="A1157" s="201">
        <v>1157.0</v>
      </c>
      <c r="B1157" s="202" t="s">
        <v>5479</v>
      </c>
      <c r="C1157" s="203" t="s">
        <v>5480</v>
      </c>
      <c r="D1157" s="204" t="str">
        <f>IFERROR(__xludf.DUMMYFUNCTION("ARRAYFORMULA(LET( converted, SUBSTITUTE( SUBSTITUTE( SUBSTITUTE( SUBSTITUTE( SUBSTITUTE( SUBSTITUTE( SUBSTITUTE( SUBSTITUTE( SUBSTITUTE( SUBSTITUTE( C1157, ""۰"", ""0""), ""۱"", ""1""), ""۲"", ""2""), ""۳"", ""3""), ""۴"", ""4""), ""۵"", ""5""), ""۶"", """&amp;"6""), ""۷"", ""7""), ""۸"", ""8""), ""۹"", ""9""), IF(LEFT(converted,3)=""+98"", ""0"" &amp; RIGHT(converted, LEN(converted)-3), IF(LEFT(converted,2)=""98"", ""0"" &amp; RIGHT(converted, LEN(converted)-2), IF(LEFT(converted,1)&lt;&gt;""0"", ""0"" &amp; converted, REGEXREPL"&amp;"ACE(converted , ""\s"", """")) ) ) ) )"),"09125940449")</f>
        <v>09125940449</v>
      </c>
      <c r="E1157" s="205" t="s">
        <v>17</v>
      </c>
      <c r="F1157" s="206">
        <v>10.0</v>
      </c>
      <c r="G1157" s="202"/>
      <c r="H1157" s="202"/>
      <c r="I1157" s="203"/>
      <c r="J1157" s="203"/>
      <c r="K1157" s="207" t="s">
        <v>5481</v>
      </c>
      <c r="L1157" s="207" t="s">
        <v>5482</v>
      </c>
      <c r="M1157" s="207"/>
      <c r="N1157" s="207"/>
      <c r="O1157" s="202"/>
      <c r="P1157" s="202"/>
      <c r="Q1157" s="208"/>
      <c r="R1157" s="86"/>
      <c r="S1157" s="114">
        <f t="shared" ref="S1157:T1157" si="1158">A1157</f>
        <v>1157</v>
      </c>
      <c r="T1157" s="114" t="str">
        <f t="shared" si="1158"/>
        <v>فیروزه رجبعلی</v>
      </c>
      <c r="U1157" s="86" t="str">
        <f t="shared" si="3"/>
        <v>09125940449</v>
      </c>
      <c r="V1157" s="86" t="str">
        <f t="shared" si="4"/>
        <v>پیش‌وایی 10</v>
      </c>
      <c r="W1157" s="86"/>
      <c r="X1157" s="86"/>
    </row>
    <row r="1158">
      <c r="A1158" s="192">
        <v>1158.0</v>
      </c>
      <c r="B1158" s="193" t="s">
        <v>5039</v>
      </c>
      <c r="C1158" s="194" t="s">
        <v>5483</v>
      </c>
      <c r="D1158" s="195" t="str">
        <f>IFERROR(__xludf.DUMMYFUNCTION("ARRAYFORMULA(LET( converted, SUBSTITUTE( SUBSTITUTE( SUBSTITUTE( SUBSTITUTE( SUBSTITUTE( SUBSTITUTE( SUBSTITUTE( SUBSTITUTE( SUBSTITUTE( SUBSTITUTE( C1158, ""۰"", ""0""), ""۱"", ""1""), ""۲"", ""2""), ""۳"", ""3""), ""۴"", ""4""), ""۵"", ""5""), ""۶"", """&amp;"6""), ""۷"", ""7""), ""۸"", ""8""), ""۹"", ""9""), IF(LEFT(converted,3)=""+98"", ""0"" &amp; RIGHT(converted, LEN(converted)-3), IF(LEFT(converted,2)=""98"", ""0"" &amp; RIGHT(converted, LEN(converted)-2), IF(LEFT(converted,1)&lt;&gt;""0"", ""0"" &amp; converted, REGEXREPL"&amp;"ACE(converted , ""\s"", """")) ) ) ) )"),"09127969374
989365472750")</f>
        <v>09127969374
989365472750</v>
      </c>
      <c r="E1158" s="196" t="s">
        <v>17</v>
      </c>
      <c r="F1158" s="197">
        <v>10.0</v>
      </c>
      <c r="G1158" s="193"/>
      <c r="H1158" s="193"/>
      <c r="I1158" s="194"/>
      <c r="J1158" s="194"/>
      <c r="K1158" s="199" t="s">
        <v>27</v>
      </c>
      <c r="L1158" s="199" t="s">
        <v>5042</v>
      </c>
      <c r="M1158" s="199"/>
      <c r="N1158" s="199"/>
      <c r="O1158" s="193"/>
      <c r="P1158" s="193"/>
      <c r="Q1158" s="200"/>
      <c r="R1158" s="86"/>
      <c r="S1158" s="114">
        <f t="shared" ref="S1158:T1158" si="1159">A1158</f>
        <v>1158</v>
      </c>
      <c r="T1158" s="114" t="str">
        <f t="shared" si="1159"/>
        <v>مجید علیخانی</v>
      </c>
      <c r="U1158" s="86" t="str">
        <f t="shared" si="3"/>
        <v>09127969374
989365472750</v>
      </c>
      <c r="V1158" s="86" t="str">
        <f t="shared" si="4"/>
        <v>پیش‌وایی 10</v>
      </c>
      <c r="W1158" s="86"/>
      <c r="X1158" s="86"/>
    </row>
    <row r="1159">
      <c r="A1159" s="201">
        <v>1159.0</v>
      </c>
      <c r="B1159" s="202" t="s">
        <v>5484</v>
      </c>
      <c r="C1159" s="203" t="s">
        <v>5485</v>
      </c>
      <c r="D1159" s="204" t="str">
        <f>IFERROR(__xludf.DUMMYFUNCTION("ARRAYFORMULA(LET( converted, SUBSTITUTE( SUBSTITUTE( SUBSTITUTE( SUBSTITUTE( SUBSTITUTE( SUBSTITUTE( SUBSTITUTE( SUBSTITUTE( SUBSTITUTE( SUBSTITUTE( C1159, ""۰"", ""0""), ""۱"", ""1""), ""۲"", ""2""), ""۳"", ""3""), ""۴"", ""4""), ""۵"", ""5""), ""۶"", """&amp;"6""), ""۷"", ""7""), ""۸"", ""8""), ""۹"", ""9""), IF(LEFT(converted,3)=""+98"", ""0"" &amp; RIGHT(converted, LEN(converted)-3), IF(LEFT(converted,2)=""98"", ""0"" &amp; RIGHT(converted, LEN(converted)-2), IF(LEFT(converted,1)&lt;&gt;""0"", ""0"" &amp; converted, REGEXREPL"&amp;"ACE(converted , ""\s"", """")) ) ) ) )"),"09126013572")</f>
        <v>09126013572</v>
      </c>
      <c r="E1159" s="205" t="s">
        <v>17</v>
      </c>
      <c r="F1159" s="206">
        <v>10.0</v>
      </c>
      <c r="G1159" s="202"/>
      <c r="H1159" s="202"/>
      <c r="I1159" s="203"/>
      <c r="J1159" s="203"/>
      <c r="K1159" s="207" t="s">
        <v>311</v>
      </c>
      <c r="L1159" s="207" t="s">
        <v>2636</v>
      </c>
      <c r="M1159" s="207"/>
      <c r="N1159" s="207"/>
      <c r="O1159" s="202"/>
      <c r="P1159" s="202"/>
      <c r="Q1159" s="208"/>
      <c r="R1159" s="86"/>
      <c r="S1159" s="114">
        <f t="shared" ref="S1159:T1159" si="1160">A1159</f>
        <v>1159</v>
      </c>
      <c r="T1159" s="114" t="str">
        <f t="shared" si="1160"/>
        <v>محسن شعبانی</v>
      </c>
      <c r="U1159" s="86" t="str">
        <f t="shared" si="3"/>
        <v>09126013572</v>
      </c>
      <c r="V1159" s="86" t="str">
        <f t="shared" si="4"/>
        <v>پیش‌وایی 10</v>
      </c>
      <c r="W1159" s="86"/>
      <c r="X1159" s="86"/>
    </row>
    <row r="1160">
      <c r="A1160" s="192">
        <v>1160.0</v>
      </c>
      <c r="B1160" s="193" t="s">
        <v>5486</v>
      </c>
      <c r="C1160" s="194" t="s">
        <v>5487</v>
      </c>
      <c r="D1160" s="195" t="str">
        <f>IFERROR(__xludf.DUMMYFUNCTION("ARRAYFORMULA(LET( converted, SUBSTITUTE( SUBSTITUTE( SUBSTITUTE( SUBSTITUTE( SUBSTITUTE( SUBSTITUTE( SUBSTITUTE( SUBSTITUTE( SUBSTITUTE( SUBSTITUTE( C1160, ""۰"", ""0""), ""۱"", ""1""), ""۲"", ""2""), ""۳"", ""3""), ""۴"", ""4""), ""۵"", ""5""), ""۶"", """&amp;"6""), ""۷"", ""7""), ""۸"", ""8""), ""۹"", ""9""), IF(LEFT(converted,3)=""+98"", ""0"" &amp; RIGHT(converted, LEN(converted)-3), IF(LEFT(converted,2)=""98"", ""0"" &amp; RIGHT(converted, LEN(converted)-2), IF(LEFT(converted,1)&lt;&gt;""0"", ""0"" &amp; converted, REGEXREPL"&amp;"ACE(converted , ""\s"", """")) ) ) ) )"),"09105813634")</f>
        <v>09105813634</v>
      </c>
      <c r="E1160" s="196" t="s">
        <v>17</v>
      </c>
      <c r="F1160" s="197">
        <v>10.0</v>
      </c>
      <c r="G1160" s="193"/>
      <c r="H1160" s="193"/>
      <c r="I1160" s="194"/>
      <c r="J1160" s="194"/>
      <c r="K1160" s="199" t="s">
        <v>311</v>
      </c>
      <c r="L1160" s="199" t="s">
        <v>5488</v>
      </c>
      <c r="M1160" s="199"/>
      <c r="N1160" s="199"/>
      <c r="O1160" s="193"/>
      <c r="P1160" s="193"/>
      <c r="Q1160" s="200"/>
      <c r="R1160" s="86"/>
      <c r="S1160" s="114">
        <f t="shared" ref="S1160:T1160" si="1161">A1160</f>
        <v>1160</v>
      </c>
      <c r="T1160" s="114" t="str">
        <f t="shared" si="1161"/>
        <v>محسن شیرمهدیه</v>
      </c>
      <c r="U1160" s="86" t="str">
        <f t="shared" si="3"/>
        <v>09105813634</v>
      </c>
      <c r="V1160" s="86" t="str">
        <f t="shared" si="4"/>
        <v>پیش‌وایی 10</v>
      </c>
      <c r="W1160" s="86"/>
      <c r="X1160" s="86"/>
    </row>
    <row r="1161">
      <c r="A1161" s="201">
        <v>1161.0</v>
      </c>
      <c r="B1161" s="202" t="s">
        <v>5489</v>
      </c>
      <c r="C1161" s="203" t="s">
        <v>5490</v>
      </c>
      <c r="D1161" s="204" t="str">
        <f>IFERROR(__xludf.DUMMYFUNCTION("ARRAYFORMULA(LET( converted, SUBSTITUTE( SUBSTITUTE( SUBSTITUTE( SUBSTITUTE( SUBSTITUTE( SUBSTITUTE( SUBSTITUTE( SUBSTITUTE( SUBSTITUTE( SUBSTITUTE( C1161, ""۰"", ""0""), ""۱"", ""1""), ""۲"", ""2""), ""۳"", ""3""), ""۴"", ""4""), ""۵"", ""5""), ""۶"", """&amp;"6""), ""۷"", ""7""), ""۸"", ""8""), ""۹"", ""9""), IF(LEFT(converted,3)=""+98"", ""0"" &amp; RIGHT(converted, LEN(converted)-3), IF(LEFT(converted,2)=""98"", ""0"" &amp; RIGHT(converted, LEN(converted)-2), IF(LEFT(converted,1)&lt;&gt;""0"", ""0"" &amp; converted, REGEXREPL"&amp;"ACE(converted , ""\s"", """")) ) ) ) )"),"09375075610")</f>
        <v>09375075610</v>
      </c>
      <c r="E1161" s="205" t="s">
        <v>17</v>
      </c>
      <c r="F1161" s="206">
        <v>10.0</v>
      </c>
      <c r="G1161" s="202"/>
      <c r="H1161" s="202"/>
      <c r="I1161" s="203"/>
      <c r="J1161" s="203"/>
      <c r="K1161" s="207" t="s">
        <v>311</v>
      </c>
      <c r="L1161" s="207" t="s">
        <v>5491</v>
      </c>
      <c r="M1161" s="207"/>
      <c r="N1161" s="207"/>
      <c r="O1161" s="202"/>
      <c r="P1161" s="202"/>
      <c r="Q1161" s="208"/>
      <c r="R1161" s="86"/>
      <c r="S1161" s="114">
        <f t="shared" ref="S1161:T1161" si="1162">A1161</f>
        <v>1161</v>
      </c>
      <c r="T1161" s="114" t="str">
        <f t="shared" si="1162"/>
        <v>محسن مهربان پور</v>
      </c>
      <c r="U1161" s="86" t="str">
        <f t="shared" si="3"/>
        <v>09375075610</v>
      </c>
      <c r="V1161" s="86" t="str">
        <f t="shared" si="4"/>
        <v>پیش‌وایی 10</v>
      </c>
      <c r="W1161" s="86"/>
      <c r="X1161" s="86"/>
    </row>
    <row r="1162">
      <c r="A1162" s="192">
        <v>1162.0</v>
      </c>
      <c r="B1162" s="193" t="s">
        <v>5050</v>
      </c>
      <c r="C1162" s="194" t="s">
        <v>5051</v>
      </c>
      <c r="D1162" s="195" t="str">
        <f>IFERROR(__xludf.DUMMYFUNCTION("ARRAYFORMULA(LET( converted, SUBSTITUTE( SUBSTITUTE( SUBSTITUTE( SUBSTITUTE( SUBSTITUTE( SUBSTITUTE( SUBSTITUTE( SUBSTITUTE( SUBSTITUTE( SUBSTITUTE( C1162, ""۰"", ""0""), ""۱"", ""1""), ""۲"", ""2""), ""۳"", ""3""), ""۴"", ""4""), ""۵"", ""5""), ""۶"", """&amp;"6""), ""۷"", ""7""), ""۸"", ""8""), ""۹"", ""9""), IF(LEFT(converted,3)=""+98"", ""0"" &amp; RIGHT(converted, LEN(converted)-3), IF(LEFT(converted,2)=""98"", ""0"" &amp; RIGHT(converted, LEN(converted)-2), IF(LEFT(converted,1)&lt;&gt;""0"", ""0"" &amp; converted, REGEXREPL"&amp;"ACE(converted , ""\s"", """")) ) ) ) )"),"09121549767")</f>
        <v>09121549767</v>
      </c>
      <c r="E1162" s="196" t="s">
        <v>17</v>
      </c>
      <c r="F1162" s="197">
        <v>10.0</v>
      </c>
      <c r="G1162" s="193"/>
      <c r="H1162" s="193"/>
      <c r="I1162" s="194"/>
      <c r="J1162" s="194"/>
      <c r="K1162" s="199" t="s">
        <v>311</v>
      </c>
      <c r="L1162" s="199" t="s">
        <v>5053</v>
      </c>
      <c r="M1162" s="199"/>
      <c r="N1162" s="199"/>
      <c r="O1162" s="193"/>
      <c r="P1162" s="193"/>
      <c r="Q1162" s="200"/>
      <c r="R1162" s="86"/>
      <c r="S1162" s="114">
        <f t="shared" ref="S1162:T1162" si="1163">A1162</f>
        <v>1162</v>
      </c>
      <c r="T1162" s="114" t="str">
        <f t="shared" si="1163"/>
        <v>محسن یاوری</v>
      </c>
      <c r="U1162" s="86" t="str">
        <f t="shared" si="3"/>
        <v>09121549767</v>
      </c>
      <c r="V1162" s="86" t="str">
        <f t="shared" si="4"/>
        <v>پیش‌وایی 10</v>
      </c>
      <c r="W1162" s="86"/>
      <c r="X1162" s="86"/>
    </row>
    <row r="1163">
      <c r="A1163" s="201">
        <v>1163.0</v>
      </c>
      <c r="B1163" s="202" t="s">
        <v>5492</v>
      </c>
      <c r="C1163" s="203" t="s">
        <v>5493</v>
      </c>
      <c r="D1163" s="204" t="str">
        <f>IFERROR(__xludf.DUMMYFUNCTION("ARRAYFORMULA(LET( converted, SUBSTITUTE( SUBSTITUTE( SUBSTITUTE( SUBSTITUTE( SUBSTITUTE( SUBSTITUTE( SUBSTITUTE( SUBSTITUTE( SUBSTITUTE( SUBSTITUTE( C1163, ""۰"", ""0""), ""۱"", ""1""), ""۲"", ""2""), ""۳"", ""3""), ""۴"", ""4""), ""۵"", ""5""), ""۶"", """&amp;"6""), ""۷"", ""7""), ""۸"", ""8""), ""۹"", ""9""), IF(LEFT(converted,3)=""+98"", ""0"" &amp; RIGHT(converted, LEN(converted)-3), IF(LEFT(converted,2)=""98"", ""0"" &amp; RIGHT(converted, LEN(converted)-2), IF(LEFT(converted,1)&lt;&gt;""0"", ""0"" &amp; converted, REGEXREPL"&amp;"ACE(converted , ""\s"", """")) ) ) ) )"),"09357617303")</f>
        <v>09357617303</v>
      </c>
      <c r="E1163" s="205" t="s">
        <v>17</v>
      </c>
      <c r="F1163" s="206">
        <v>10.0</v>
      </c>
      <c r="G1163" s="202"/>
      <c r="H1163" s="202"/>
      <c r="I1163" s="203"/>
      <c r="J1163" s="203"/>
      <c r="K1163" s="207" t="s">
        <v>286</v>
      </c>
      <c r="L1163" s="207" t="s">
        <v>5494</v>
      </c>
      <c r="M1163" s="207"/>
      <c r="N1163" s="207"/>
      <c r="O1163" s="202"/>
      <c r="P1163" s="202"/>
      <c r="Q1163" s="208"/>
      <c r="R1163" s="86"/>
      <c r="S1163" s="114">
        <f t="shared" ref="S1163:T1163" si="1164">A1163</f>
        <v>1163</v>
      </c>
      <c r="T1163" s="114" t="str">
        <f t="shared" si="1164"/>
        <v>مهدی عزیز محمدی</v>
      </c>
      <c r="U1163" s="86" t="str">
        <f t="shared" si="3"/>
        <v>09357617303</v>
      </c>
      <c r="V1163" s="86" t="str">
        <f t="shared" si="4"/>
        <v>پیش‌وایی 10</v>
      </c>
      <c r="W1163" s="86"/>
      <c r="X1163" s="86"/>
    </row>
    <row r="1164">
      <c r="A1164" s="192">
        <v>1164.0</v>
      </c>
      <c r="B1164" s="193" t="s">
        <v>5495</v>
      </c>
      <c r="C1164" s="194" t="s">
        <v>5496</v>
      </c>
      <c r="D1164" s="195" t="str">
        <f>IFERROR(__xludf.DUMMYFUNCTION("ARRAYFORMULA(LET( converted, SUBSTITUTE( SUBSTITUTE( SUBSTITUTE( SUBSTITUTE( SUBSTITUTE( SUBSTITUTE( SUBSTITUTE( SUBSTITUTE( SUBSTITUTE( SUBSTITUTE( C1164, ""۰"", ""0""), ""۱"", ""1""), ""۲"", ""2""), ""۳"", ""3""), ""۴"", ""4""), ""۵"", ""5""), ""۶"", """&amp;"6""), ""۷"", ""7""), ""۸"", ""8""), ""۹"", ""9""), IF(LEFT(converted,3)=""+98"", ""0"" &amp; RIGHT(converted, LEN(converted)-3), IF(LEFT(converted,2)=""98"", ""0"" &amp; RIGHT(converted, LEN(converted)-2), IF(LEFT(converted,1)&lt;&gt;""0"", ""0"" &amp; converted, REGEXREPL"&amp;"ACE(converted , ""\s"", """")) ) ) ) )"),"09960085776")</f>
        <v>09960085776</v>
      </c>
      <c r="E1164" s="196" t="s">
        <v>17</v>
      </c>
      <c r="F1164" s="197">
        <v>10.0</v>
      </c>
      <c r="G1164" s="193"/>
      <c r="H1164" s="193"/>
      <c r="I1164" s="194"/>
      <c r="J1164" s="194"/>
      <c r="K1164" s="199" t="s">
        <v>286</v>
      </c>
      <c r="L1164" s="199" t="s">
        <v>5497</v>
      </c>
      <c r="M1164" s="199"/>
      <c r="N1164" s="199"/>
      <c r="O1164" s="193"/>
      <c r="P1164" s="193"/>
      <c r="Q1164" s="200"/>
      <c r="R1164" s="86"/>
      <c r="S1164" s="114">
        <f t="shared" ref="S1164:T1164" si="1165">A1164</f>
        <v>1164</v>
      </c>
      <c r="T1164" s="114" t="str">
        <f t="shared" si="1165"/>
        <v>مهدی فروغی</v>
      </c>
      <c r="U1164" s="86" t="str">
        <f t="shared" si="3"/>
        <v>09960085776</v>
      </c>
      <c r="V1164" s="86" t="str">
        <f t="shared" si="4"/>
        <v>پیش‌وایی 10</v>
      </c>
      <c r="W1164" s="86"/>
      <c r="X1164" s="86"/>
    </row>
    <row r="1165">
      <c r="A1165" s="201">
        <v>1165.0</v>
      </c>
      <c r="B1165" s="202" t="s">
        <v>5498</v>
      </c>
      <c r="C1165" s="210" t="s">
        <v>5499</v>
      </c>
      <c r="D1165" s="204" t="str">
        <f>IFERROR(__xludf.DUMMYFUNCTION("ARRAYFORMULA(LET( converted, SUBSTITUTE( SUBSTITUTE( SUBSTITUTE( SUBSTITUTE( SUBSTITUTE( SUBSTITUTE( SUBSTITUTE( SUBSTITUTE( SUBSTITUTE( SUBSTITUTE( C1165, ""۰"", ""0""), ""۱"", ""1""), ""۲"", ""2""), ""۳"", ""3""), ""۴"", ""4""), ""۵"", ""5""), ""۶"", """&amp;"6""), ""۷"", ""7""), ""۸"", ""8""), ""۹"", ""9""), IF(LEFT(converted,3)=""+98"", ""0"" &amp; RIGHT(converted, LEN(converted)-3), IF(LEFT(converted,2)=""98"", ""0"" &amp; RIGHT(converted, LEN(converted)-2), IF(LEFT(converted,1)&lt;&gt;""0"", ""0"" &amp; converted, REGEXREPL"&amp;"ACE(converted , ""\s"", """")) ) ) ) )"),"09148672399")</f>
        <v>09148672399</v>
      </c>
      <c r="E1165" s="205" t="s">
        <v>17</v>
      </c>
      <c r="F1165" s="206">
        <v>10.0</v>
      </c>
      <c r="G1165" s="202"/>
      <c r="H1165" s="202"/>
      <c r="I1165" s="203"/>
      <c r="J1165" s="203"/>
      <c r="K1165" s="207" t="s">
        <v>185</v>
      </c>
      <c r="L1165" s="207" t="s">
        <v>5500</v>
      </c>
      <c r="M1165" s="207"/>
      <c r="N1165" s="207"/>
      <c r="O1165" s="202"/>
      <c r="P1165" s="202"/>
      <c r="Q1165" s="208"/>
      <c r="R1165" s="86"/>
      <c r="S1165" s="114">
        <f t="shared" ref="S1165:T1165" si="1166">A1165</f>
        <v>1165</v>
      </c>
      <c r="T1165" s="114" t="str">
        <f t="shared" si="1166"/>
        <v>مهران ملک پور</v>
      </c>
      <c r="U1165" s="86" t="str">
        <f t="shared" si="3"/>
        <v>09148672399</v>
      </c>
      <c r="V1165" s="86" t="str">
        <f t="shared" si="4"/>
        <v>پیش‌وایی 10</v>
      </c>
      <c r="W1165" s="86"/>
      <c r="X1165" s="86"/>
    </row>
    <row r="1166">
      <c r="A1166" s="192">
        <v>1166.0</v>
      </c>
      <c r="B1166" s="193" t="s">
        <v>5501</v>
      </c>
      <c r="C1166" s="194" t="s">
        <v>5502</v>
      </c>
      <c r="D1166" s="195" t="str">
        <f>IFERROR(__xludf.DUMMYFUNCTION("ARRAYFORMULA(LET( converted, SUBSTITUTE( SUBSTITUTE( SUBSTITUTE( SUBSTITUTE( SUBSTITUTE( SUBSTITUTE( SUBSTITUTE( SUBSTITUTE( SUBSTITUTE( SUBSTITUTE( C1166, ""۰"", ""0""), ""۱"", ""1""), ""۲"", ""2""), ""۳"", ""3""), ""۴"", ""4""), ""۵"", ""5""), ""۶"", """&amp;"6""), ""۷"", ""7""), ""۸"", ""8""), ""۹"", ""9""), IF(LEFT(converted,3)=""+98"", ""0"" &amp; RIGHT(converted, LEN(converted)-3), IF(LEFT(converted,2)=""98"", ""0"" &amp; RIGHT(converted, LEN(converted)-2), IF(LEFT(converted,1)&lt;&gt;""0"", ""0"" &amp; converted, REGEXREPL"&amp;"ACE(converted , ""\s"", """")) ) ) ) )"),"09129545399")</f>
        <v>09129545399</v>
      </c>
      <c r="E1166" s="196" t="s">
        <v>17</v>
      </c>
      <c r="F1166" s="197">
        <v>10.0</v>
      </c>
      <c r="G1166" s="193"/>
      <c r="H1166" s="193"/>
      <c r="I1166" s="194"/>
      <c r="J1166" s="194"/>
      <c r="K1166" s="199" t="s">
        <v>5503</v>
      </c>
      <c r="L1166" s="199" t="s">
        <v>5504</v>
      </c>
      <c r="M1166" s="199"/>
      <c r="N1166" s="199"/>
      <c r="O1166" s="193"/>
      <c r="P1166" s="193"/>
      <c r="Q1166" s="200"/>
      <c r="R1166" s="86"/>
      <c r="S1166" s="114">
        <f t="shared" ref="S1166:T1166" si="1167">A1166</f>
        <v>1166</v>
      </c>
      <c r="T1166" s="114" t="str">
        <f t="shared" si="1167"/>
        <v>مهلا عباس زاده</v>
      </c>
      <c r="U1166" s="86" t="str">
        <f t="shared" si="3"/>
        <v>09129545399</v>
      </c>
      <c r="V1166" s="86" t="str">
        <f t="shared" si="4"/>
        <v>پیش‌وایی 10</v>
      </c>
      <c r="W1166" s="86"/>
      <c r="X1166" s="86"/>
    </row>
    <row r="1167">
      <c r="A1167" s="201">
        <v>1167.0</v>
      </c>
      <c r="B1167" s="202" t="s">
        <v>5505</v>
      </c>
      <c r="C1167" s="203" t="s">
        <v>5506</v>
      </c>
      <c r="D1167" s="204" t="str">
        <f>IFERROR(__xludf.DUMMYFUNCTION("ARRAYFORMULA(LET( converted, SUBSTITUTE( SUBSTITUTE( SUBSTITUTE( SUBSTITUTE( SUBSTITUTE( SUBSTITUTE( SUBSTITUTE( SUBSTITUTE( SUBSTITUTE( SUBSTITUTE( C1167, ""۰"", ""0""), ""۱"", ""1""), ""۲"", ""2""), ""۳"", ""3""), ""۴"", ""4""), ""۵"", ""5""), ""۶"", """&amp;"6""), ""۷"", ""7""), ""۸"", ""8""), ""۹"", ""9""), IF(LEFT(converted,3)=""+98"", ""0"" &amp; RIGHT(converted, LEN(converted)-3), IF(LEFT(converted,2)=""98"", ""0"" &amp; RIGHT(converted, LEN(converted)-2), IF(LEFT(converted,1)&lt;&gt;""0"", ""0"" &amp; converted, REGEXREPL"&amp;"ACE(converted , ""\s"", """")) ) ) ) )"),"09933240568")</f>
        <v>09933240568</v>
      </c>
      <c r="E1167" s="205" t="s">
        <v>17</v>
      </c>
      <c r="F1167" s="206">
        <v>10.0</v>
      </c>
      <c r="G1167" s="202"/>
      <c r="H1167" s="202"/>
      <c r="I1167" s="203"/>
      <c r="J1167" s="203"/>
      <c r="K1167" s="207" t="s">
        <v>5507</v>
      </c>
      <c r="L1167" s="207" t="s">
        <v>1913</v>
      </c>
      <c r="M1167" s="207"/>
      <c r="N1167" s="207"/>
      <c r="O1167" s="202"/>
      <c r="P1167" s="202"/>
      <c r="Q1167" s="208"/>
      <c r="R1167" s="86"/>
      <c r="S1167" s="114">
        <f t="shared" ref="S1167:T1167" si="1168">A1167</f>
        <v>1167</v>
      </c>
      <c r="T1167" s="114" t="str">
        <f t="shared" si="1168"/>
        <v>نازنین زهرا مرادی</v>
      </c>
      <c r="U1167" s="86" t="str">
        <f t="shared" si="3"/>
        <v>09933240568</v>
      </c>
      <c r="V1167" s="86" t="str">
        <f t="shared" si="4"/>
        <v>پیش‌وایی 10</v>
      </c>
      <c r="W1167" s="86"/>
      <c r="X1167" s="86"/>
    </row>
    <row r="1168">
      <c r="A1168" s="192">
        <v>1168.0</v>
      </c>
      <c r="B1168" s="193" t="s">
        <v>5508</v>
      </c>
      <c r="C1168" s="194" t="s">
        <v>5509</v>
      </c>
      <c r="D1168" s="195" t="str">
        <f>IFERROR(__xludf.DUMMYFUNCTION("ARRAYFORMULA(LET( converted, SUBSTITUTE( SUBSTITUTE( SUBSTITUTE( SUBSTITUTE( SUBSTITUTE( SUBSTITUTE( SUBSTITUTE( SUBSTITUTE( SUBSTITUTE( SUBSTITUTE( C1168, ""۰"", ""0""), ""۱"", ""1""), ""۲"", ""2""), ""۳"", ""3""), ""۴"", ""4""), ""۵"", ""5""), ""۶"", """&amp;"6""), ""۷"", ""7""), ""۸"", ""8""), ""۹"", ""9""), IF(LEFT(converted,3)=""+98"", ""0"" &amp; RIGHT(converted, LEN(converted)-3), IF(LEFT(converted,2)=""98"", ""0"" &amp; RIGHT(converted, LEN(converted)-2), IF(LEFT(converted,1)&lt;&gt;""0"", ""0"" &amp; converted, REGEXREPL"&amp;"ACE(converted , ""\s"", """")) ) ) ) )"),"09900073128")</f>
        <v>09900073128</v>
      </c>
      <c r="E1168" s="196" t="s">
        <v>17</v>
      </c>
      <c r="F1168" s="197">
        <v>10.0</v>
      </c>
      <c r="G1168" s="193"/>
      <c r="H1168" s="193"/>
      <c r="I1168" s="194"/>
      <c r="J1168" s="194"/>
      <c r="K1168" s="199" t="s">
        <v>2897</v>
      </c>
      <c r="L1168" s="199" t="s">
        <v>5510</v>
      </c>
      <c r="M1168" s="199"/>
      <c r="N1168" s="199"/>
      <c r="O1168" s="193"/>
      <c r="P1168" s="193"/>
      <c r="Q1168" s="200"/>
      <c r="R1168" s="86"/>
      <c r="S1168" s="114">
        <f t="shared" ref="S1168:T1168" si="1169">A1168</f>
        <v>1168</v>
      </c>
      <c r="T1168" s="114" t="str">
        <f t="shared" si="1169"/>
        <v>ناهید عبداللهی</v>
      </c>
      <c r="U1168" s="86" t="str">
        <f t="shared" si="3"/>
        <v>09900073128</v>
      </c>
      <c r="V1168" s="86" t="str">
        <f t="shared" si="4"/>
        <v>پیش‌وایی 10</v>
      </c>
      <c r="W1168" s="86"/>
      <c r="X1168" s="86"/>
    </row>
    <row r="1169">
      <c r="A1169" s="201">
        <v>1169.0</v>
      </c>
      <c r="B1169" s="202" t="s">
        <v>5511</v>
      </c>
      <c r="C1169" s="203" t="s">
        <v>5512</v>
      </c>
      <c r="D1169" s="204" t="str">
        <f>IFERROR(__xludf.DUMMYFUNCTION("ARRAYFORMULA(LET( converted, SUBSTITUTE( SUBSTITUTE( SUBSTITUTE( SUBSTITUTE( SUBSTITUTE( SUBSTITUTE( SUBSTITUTE( SUBSTITUTE( SUBSTITUTE( SUBSTITUTE( C1169, ""۰"", ""0""), ""۱"", ""1""), ""۲"", ""2""), ""۳"", ""3""), ""۴"", ""4""), ""۵"", ""5""), ""۶"", """&amp;"6""), ""۷"", ""7""), ""۸"", ""8""), ""۹"", ""9""), IF(LEFT(converted,3)=""+98"", ""0"" &amp; RIGHT(converted, LEN(converted)-3), IF(LEFT(converted,2)=""98"", ""0"" &amp; RIGHT(converted, LEN(converted)-2), IF(LEFT(converted,1)&lt;&gt;""0"", ""0"" &amp; converted, REGEXREPL"&amp;"ACE(converted , ""\s"", """")) ) ) ) )"),"09125089650")</f>
        <v>09125089650</v>
      </c>
      <c r="E1169" s="205" t="s">
        <v>17</v>
      </c>
      <c r="F1169" s="206">
        <v>10.0</v>
      </c>
      <c r="G1169" s="202"/>
      <c r="H1169" s="202"/>
      <c r="I1169" s="203"/>
      <c r="J1169" s="203"/>
      <c r="K1169" s="207" t="s">
        <v>187</v>
      </c>
      <c r="L1169" s="207" t="s">
        <v>321</v>
      </c>
      <c r="M1169" s="207"/>
      <c r="N1169" s="207"/>
      <c r="O1169" s="202"/>
      <c r="P1169" s="202"/>
      <c r="Q1169" s="208"/>
      <c r="R1169" s="86"/>
      <c r="S1169" s="114">
        <f t="shared" ref="S1169:T1169" si="1170">A1169</f>
        <v>1169</v>
      </c>
      <c r="T1169" s="114" t="str">
        <f t="shared" si="1170"/>
        <v>نفیسه منوچهری</v>
      </c>
      <c r="U1169" s="86" t="str">
        <f t="shared" si="3"/>
        <v>09125089650</v>
      </c>
      <c r="V1169" s="86" t="str">
        <f t="shared" si="4"/>
        <v>پیش‌وایی 10</v>
      </c>
      <c r="W1169" s="86"/>
      <c r="X1169" s="86"/>
    </row>
    <row r="1170">
      <c r="A1170" s="192">
        <v>1170.0</v>
      </c>
      <c r="B1170" s="193" t="s">
        <v>5513</v>
      </c>
      <c r="C1170" s="194" t="s">
        <v>5514</v>
      </c>
      <c r="D1170" s="195" t="str">
        <f>IFERROR(__xludf.DUMMYFUNCTION("ARRAYFORMULA(LET( converted, SUBSTITUTE( SUBSTITUTE( SUBSTITUTE( SUBSTITUTE( SUBSTITUTE( SUBSTITUTE( SUBSTITUTE( SUBSTITUTE( SUBSTITUTE( SUBSTITUTE( C1170, ""۰"", ""0""), ""۱"", ""1""), ""۲"", ""2""), ""۳"", ""3""), ""۴"", ""4""), ""۵"", ""5""), ""۶"", """&amp;"6""), ""۷"", ""7""), ""۸"", ""8""), ""۹"", ""9""), IF(LEFT(converted,3)=""+98"", ""0"" &amp; RIGHT(converted, LEN(converted)-3), IF(LEFT(converted,2)=""98"", ""0"" &amp; RIGHT(converted, LEN(converted)-2), IF(LEFT(converted,1)&lt;&gt;""0"", ""0"" &amp; converted, REGEXREPL"&amp;"ACE(converted , ""\s"", """")) ) ) ) )"),"09109002711")</f>
        <v>09109002711</v>
      </c>
      <c r="E1170" s="196" t="s">
        <v>17</v>
      </c>
      <c r="F1170" s="197">
        <v>10.0</v>
      </c>
      <c r="G1170" s="193"/>
      <c r="H1170" s="193"/>
      <c r="I1170" s="194"/>
      <c r="J1170" s="194"/>
      <c r="K1170" s="199" t="s">
        <v>329</v>
      </c>
      <c r="L1170" s="199" t="s">
        <v>1743</v>
      </c>
      <c r="M1170" s="199"/>
      <c r="N1170" s="199"/>
      <c r="O1170" s="193"/>
      <c r="P1170" s="193"/>
      <c r="Q1170" s="200"/>
      <c r="R1170" s="86"/>
      <c r="S1170" s="114">
        <f t="shared" ref="S1170:T1170" si="1171">A1170</f>
        <v>1170</v>
      </c>
      <c r="T1170" s="114" t="str">
        <f t="shared" si="1171"/>
        <v>نگین نظری</v>
      </c>
      <c r="U1170" s="86" t="str">
        <f t="shared" si="3"/>
        <v>09109002711</v>
      </c>
      <c r="V1170" s="86" t="str">
        <f t="shared" si="4"/>
        <v>پیش‌وایی 10</v>
      </c>
      <c r="W1170" s="86"/>
      <c r="X1170" s="86"/>
    </row>
    <row r="1171">
      <c r="A1171" s="201">
        <v>1171.0</v>
      </c>
      <c r="B1171" s="202" t="s">
        <v>5515</v>
      </c>
      <c r="C1171" s="203" t="s">
        <v>5516</v>
      </c>
      <c r="D1171" s="204" t="str">
        <f>IFERROR(__xludf.DUMMYFUNCTION("ARRAYFORMULA(LET( converted, SUBSTITUTE( SUBSTITUTE( SUBSTITUTE( SUBSTITUTE( SUBSTITUTE( SUBSTITUTE( SUBSTITUTE( SUBSTITUTE( SUBSTITUTE( SUBSTITUTE( C1171, ""۰"", ""0""), ""۱"", ""1""), ""۲"", ""2""), ""۳"", ""3""), ""۴"", ""4""), ""۵"", ""5""), ""۶"", """&amp;"6""), ""۷"", ""7""), ""۸"", ""8""), ""۹"", ""9""), IF(LEFT(converted,3)=""+98"", ""0"" &amp; RIGHT(converted, LEN(converted)-3), IF(LEFT(converted,2)=""98"", ""0"" &amp; RIGHT(converted, LEN(converted)-2), IF(LEFT(converted,1)&lt;&gt;""0"", ""0"" &amp; converted, REGEXREPL"&amp;"ACE(converted , ""\s"", """")) ) ) ) )"),"09391127748")</f>
        <v>09391127748</v>
      </c>
      <c r="E1171" s="205" t="s">
        <v>17</v>
      </c>
      <c r="F1171" s="206">
        <v>10.0</v>
      </c>
      <c r="G1171" s="202"/>
      <c r="H1171" s="202"/>
      <c r="I1171" s="203"/>
      <c r="J1171" s="203"/>
      <c r="K1171" s="207" t="s">
        <v>5293</v>
      </c>
      <c r="L1171" s="207" t="s">
        <v>327</v>
      </c>
      <c r="M1171" s="207"/>
      <c r="N1171" s="207"/>
      <c r="O1171" s="202"/>
      <c r="P1171" s="202"/>
      <c r="Q1171" s="208"/>
      <c r="R1171" s="86"/>
      <c r="S1171" s="114">
        <f t="shared" ref="S1171:T1171" si="1172">A1171</f>
        <v>1171</v>
      </c>
      <c r="T1171" s="114" t="str">
        <f t="shared" si="1172"/>
        <v>نیایش کیانی</v>
      </c>
      <c r="U1171" s="86" t="str">
        <f t="shared" si="3"/>
        <v>09391127748</v>
      </c>
      <c r="V1171" s="86" t="str">
        <f t="shared" si="4"/>
        <v>پیش‌وایی 10</v>
      </c>
      <c r="W1171" s="86"/>
      <c r="X1171" s="86"/>
    </row>
    <row r="1172">
      <c r="A1172" s="192">
        <v>1172.0</v>
      </c>
      <c r="B1172" s="193" t="s">
        <v>5517</v>
      </c>
      <c r="C1172" s="194" t="s">
        <v>5518</v>
      </c>
      <c r="D1172" s="195" t="str">
        <f>IFERROR(__xludf.DUMMYFUNCTION("ARRAYFORMULA(LET( converted, SUBSTITUTE( SUBSTITUTE( SUBSTITUTE( SUBSTITUTE( SUBSTITUTE( SUBSTITUTE( SUBSTITUTE( SUBSTITUTE( SUBSTITUTE( SUBSTITUTE( C1172, ""۰"", ""0""), ""۱"", ""1""), ""۲"", ""2""), ""۳"", ""3""), ""۴"", ""4""), ""۵"", ""5""), ""۶"", """&amp;"6""), ""۷"", ""7""), ""۸"", ""8""), ""۹"", ""9""), IF(LEFT(converted,3)=""+98"", ""0"" &amp; RIGHT(converted, LEN(converted)-3), IF(LEFT(converted,2)=""98"", ""0"" &amp; RIGHT(converted, LEN(converted)-2), IF(LEFT(converted,1)&lt;&gt;""0"", ""0"" &amp; converted, REGEXREPL"&amp;"ACE(converted , ""\s"", """")) ) ) ) )"),"09121935257")</f>
        <v>09121935257</v>
      </c>
      <c r="E1172" s="196" t="s">
        <v>17</v>
      </c>
      <c r="F1172" s="197">
        <v>10.0</v>
      </c>
      <c r="G1172" s="193"/>
      <c r="H1172" s="193"/>
      <c r="I1172" s="194"/>
      <c r="J1172" s="194"/>
      <c r="K1172" s="199" t="s">
        <v>102</v>
      </c>
      <c r="L1172" s="199" t="s">
        <v>927</v>
      </c>
      <c r="M1172" s="199"/>
      <c r="N1172" s="199"/>
      <c r="O1172" s="193"/>
      <c r="P1172" s="193"/>
      <c r="Q1172" s="200"/>
      <c r="R1172" s="86"/>
      <c r="S1172" s="114">
        <f t="shared" ref="S1172:T1172" si="1173">A1172</f>
        <v>1172</v>
      </c>
      <c r="T1172" s="114" t="str">
        <f t="shared" si="1173"/>
        <v>نیما حسینیان</v>
      </c>
      <c r="U1172" s="86" t="str">
        <f t="shared" si="3"/>
        <v>09121935257</v>
      </c>
      <c r="V1172" s="86" t="str">
        <f t="shared" si="4"/>
        <v>پیش‌وایی 10</v>
      </c>
      <c r="W1172" s="86"/>
      <c r="X1172" s="86"/>
    </row>
    <row r="1173">
      <c r="A1173" s="201">
        <v>1173.0</v>
      </c>
      <c r="B1173" s="202" t="s">
        <v>5519</v>
      </c>
      <c r="C1173" s="203" t="s">
        <v>5520</v>
      </c>
      <c r="D1173" s="204" t="str">
        <f>IFERROR(__xludf.DUMMYFUNCTION("ARRAYFORMULA(LET( converted, SUBSTITUTE( SUBSTITUTE( SUBSTITUTE( SUBSTITUTE( SUBSTITUTE( SUBSTITUTE( SUBSTITUTE( SUBSTITUTE( SUBSTITUTE( SUBSTITUTE( C1173, ""۰"", ""0""), ""۱"", ""1""), ""۲"", ""2""), ""۳"", ""3""), ""۴"", ""4""), ""۵"", ""5""), ""۶"", """&amp;"6""), ""۷"", ""7""), ""۸"", ""8""), ""۹"", ""9""), IF(LEFT(converted,3)=""+98"", ""0"" &amp; RIGHT(converted, LEN(converted)-3), IF(LEFT(converted,2)=""98"", ""0"" &amp; RIGHT(converted, LEN(converted)-2), IF(LEFT(converted,1)&lt;&gt;""0"", ""0"" &amp; converted, REGEXREPL"&amp;"ACE(converted , ""\s"", """")) ) ) ) )"),"09122616302")</f>
        <v>09122616302</v>
      </c>
      <c r="E1173" s="205" t="s">
        <v>17</v>
      </c>
      <c r="F1173" s="206">
        <v>10.0</v>
      </c>
      <c r="G1173" s="202"/>
      <c r="H1173" s="202"/>
      <c r="I1173" s="203"/>
      <c r="J1173" s="203"/>
      <c r="K1173" s="207" t="s">
        <v>5521</v>
      </c>
      <c r="L1173" s="207" t="s">
        <v>5522</v>
      </c>
      <c r="M1173" s="207"/>
      <c r="N1173" s="207"/>
      <c r="O1173" s="202"/>
      <c r="P1173" s="202"/>
      <c r="Q1173" s="208"/>
      <c r="R1173" s="86"/>
      <c r="S1173" s="114">
        <f t="shared" ref="S1173:T1173" si="1174">A1173</f>
        <v>1173</v>
      </c>
      <c r="T1173" s="114" t="str">
        <f t="shared" si="1174"/>
        <v>هلما خوش خو</v>
      </c>
      <c r="U1173" s="86" t="str">
        <f t="shared" si="3"/>
        <v>09122616302</v>
      </c>
      <c r="V1173" s="86" t="str">
        <f t="shared" si="4"/>
        <v>پیش‌وایی 10</v>
      </c>
      <c r="W1173" s="86"/>
      <c r="X1173" s="86"/>
    </row>
    <row r="1174">
      <c r="A1174" s="192">
        <v>1174.0</v>
      </c>
      <c r="B1174" s="193" t="s">
        <v>710</v>
      </c>
      <c r="C1174" s="194" t="s">
        <v>5523</v>
      </c>
      <c r="D1174" s="195" t="str">
        <f>IFERROR(__xludf.DUMMYFUNCTION("ARRAYFORMULA(LET( converted, SUBSTITUTE( SUBSTITUTE( SUBSTITUTE( SUBSTITUTE( SUBSTITUTE( SUBSTITUTE( SUBSTITUTE( SUBSTITUTE( SUBSTITUTE( SUBSTITUTE( C1174, ""۰"", ""0""), ""۱"", ""1""), ""۲"", ""2""), ""۳"", ""3""), ""۴"", ""4""), ""۵"", ""5""), ""۶"", """&amp;"6""), ""۷"", ""7""), ""۸"", ""8""), ""۹"", ""9""), IF(LEFT(converted,3)=""+98"", ""0"" &amp; RIGHT(converted, LEN(converted)-3), IF(LEFT(converted,2)=""98"", ""0"" &amp; RIGHT(converted, LEN(converted)-2), IF(LEFT(converted,1)&lt;&gt;""0"", ""0"" &amp; converted, REGEXREPL"&amp;"ACE(converted , ""\s"", """")) ) ) ) )"),"09912389823")</f>
        <v>09912389823</v>
      </c>
      <c r="E1174" s="196" t="s">
        <v>17</v>
      </c>
      <c r="F1174" s="197">
        <v>10.0</v>
      </c>
      <c r="G1174" s="193"/>
      <c r="H1174" s="193"/>
      <c r="I1174" s="194"/>
      <c r="J1174" s="194"/>
      <c r="K1174" s="199" t="s">
        <v>332</v>
      </c>
      <c r="L1174" s="199" t="s">
        <v>333</v>
      </c>
      <c r="M1174" s="199"/>
      <c r="N1174" s="199"/>
      <c r="O1174" s="193"/>
      <c r="P1174" s="193"/>
      <c r="Q1174" s="200"/>
      <c r="R1174" s="86"/>
      <c r="S1174" s="114">
        <f t="shared" ref="S1174:T1174" si="1175">A1174</f>
        <v>1174</v>
      </c>
      <c r="T1174" s="114" t="str">
        <f t="shared" si="1175"/>
        <v>هلیا عطارد</v>
      </c>
      <c r="U1174" s="86" t="str">
        <f t="shared" si="3"/>
        <v>09912389823</v>
      </c>
      <c r="V1174" s="86" t="str">
        <f t="shared" si="4"/>
        <v>پیش‌وایی 10</v>
      </c>
      <c r="W1174" s="86"/>
      <c r="X1174" s="86"/>
    </row>
    <row r="1175">
      <c r="A1175" s="201">
        <v>1175.0</v>
      </c>
      <c r="B1175" s="202" t="s">
        <v>5524</v>
      </c>
      <c r="C1175" s="203" t="s">
        <v>5525</v>
      </c>
      <c r="D1175" s="204" t="str">
        <f>IFERROR(__xludf.DUMMYFUNCTION("ARRAYFORMULA(LET( converted, SUBSTITUTE( SUBSTITUTE( SUBSTITUTE( SUBSTITUTE( SUBSTITUTE( SUBSTITUTE( SUBSTITUTE( SUBSTITUTE( SUBSTITUTE( SUBSTITUTE( C1175, ""۰"", ""0""), ""۱"", ""1""), ""۲"", ""2""), ""۳"", ""3""), ""۴"", ""4""), ""۵"", ""5""), ""۶"", """&amp;"6""), ""۷"", ""7""), ""۸"", ""8""), ""۹"", ""9""), IF(LEFT(converted,3)=""+98"", ""0"" &amp; RIGHT(converted, LEN(converted)-3), IF(LEFT(converted,2)=""98"", ""0"" &amp; RIGHT(converted, LEN(converted)-2), IF(LEFT(converted,1)&lt;&gt;""0"", ""0"" &amp; converted, REGEXREPL"&amp;"ACE(converted , ""\s"", """")) ) ) ) )"),"09197540076")</f>
        <v>09197540076</v>
      </c>
      <c r="E1175" s="205" t="s">
        <v>17</v>
      </c>
      <c r="F1175" s="206">
        <v>10.0</v>
      </c>
      <c r="G1175" s="202"/>
      <c r="H1175" s="202"/>
      <c r="I1175" s="203"/>
      <c r="J1175" s="203"/>
      <c r="K1175" s="207" t="s">
        <v>2254</v>
      </c>
      <c r="L1175" s="207" t="s">
        <v>5526</v>
      </c>
      <c r="M1175" s="207"/>
      <c r="N1175" s="207"/>
      <c r="O1175" s="202"/>
      <c r="P1175" s="202"/>
      <c r="Q1175" s="208"/>
      <c r="R1175" s="86"/>
      <c r="S1175" s="114">
        <f t="shared" ref="S1175:T1175" si="1176">A1175</f>
        <v>1175</v>
      </c>
      <c r="T1175" s="114" t="str">
        <f t="shared" si="1176"/>
        <v>ویدا حقیقتی</v>
      </c>
      <c r="U1175" s="86" t="str">
        <f t="shared" si="3"/>
        <v>09197540076</v>
      </c>
      <c r="V1175" s="86" t="str">
        <f t="shared" si="4"/>
        <v>پیش‌وایی 10</v>
      </c>
      <c r="W1175" s="86"/>
      <c r="X1175" s="86"/>
    </row>
    <row r="1176">
      <c r="A1176" s="192">
        <v>1176.0</v>
      </c>
      <c r="B1176" s="193" t="s">
        <v>5527</v>
      </c>
      <c r="C1176" s="194" t="s">
        <v>5528</v>
      </c>
      <c r="D1176" s="195" t="str">
        <f>IFERROR(__xludf.DUMMYFUNCTION("ARRAYFORMULA(LET( converted, SUBSTITUTE( SUBSTITUTE( SUBSTITUTE( SUBSTITUTE( SUBSTITUTE( SUBSTITUTE( SUBSTITUTE( SUBSTITUTE( SUBSTITUTE( SUBSTITUTE( C1176, ""۰"", ""0""), ""۱"", ""1""), ""۲"", ""2""), ""۳"", ""3""), ""۴"", ""4""), ""۵"", ""5""), ""۶"", """&amp;"6""), ""۷"", ""7""), ""۸"", ""8""), ""۹"", ""9""), IF(LEFT(converted,3)=""+98"", ""0"" &amp; RIGHT(converted, LEN(converted)-3), IF(LEFT(converted,2)=""98"", ""0"" &amp; RIGHT(converted, LEN(converted)-2), IF(LEFT(converted,1)&lt;&gt;""0"", ""0"" &amp; converted, REGEXREPL"&amp;"ACE(converted , ""\s"", """")) ) ) ) )"),"09127615736")</f>
        <v>09127615736</v>
      </c>
      <c r="E1176" s="196" t="s">
        <v>17</v>
      </c>
      <c r="F1176" s="197">
        <v>10.0</v>
      </c>
      <c r="G1176" s="193"/>
      <c r="H1176" s="193"/>
      <c r="I1176" s="194"/>
      <c r="J1176" s="194"/>
      <c r="K1176" s="199" t="s">
        <v>5529</v>
      </c>
      <c r="L1176" s="199" t="s">
        <v>5530</v>
      </c>
      <c r="M1176" s="199"/>
      <c r="N1176" s="199"/>
      <c r="O1176" s="193"/>
      <c r="P1176" s="193"/>
      <c r="Q1176" s="200"/>
      <c r="R1176" s="86"/>
      <c r="S1176" s="114">
        <f t="shared" ref="S1176:T1176" si="1177">A1176</f>
        <v>1176</v>
      </c>
      <c r="T1176" s="114" t="str">
        <f t="shared" si="1177"/>
        <v>یامین نیکبخش آبکنار</v>
      </c>
      <c r="U1176" s="86" t="str">
        <f t="shared" si="3"/>
        <v>09127615736</v>
      </c>
      <c r="V1176" s="86" t="str">
        <f t="shared" si="4"/>
        <v>پیش‌وایی 10</v>
      </c>
      <c r="W1176" s="86"/>
      <c r="X1176" s="86"/>
    </row>
    <row r="1177">
      <c r="A1177" s="201">
        <v>1177.0</v>
      </c>
      <c r="B1177" s="202" t="s">
        <v>5531</v>
      </c>
      <c r="C1177" s="203" t="s">
        <v>5532</v>
      </c>
      <c r="D1177" s="204" t="str">
        <f>IFERROR(__xludf.DUMMYFUNCTION("ARRAYFORMULA(LET( converted, SUBSTITUTE( SUBSTITUTE( SUBSTITUTE( SUBSTITUTE( SUBSTITUTE( SUBSTITUTE( SUBSTITUTE( SUBSTITUTE( SUBSTITUTE( SUBSTITUTE( C1177, ""۰"", ""0""), ""۱"", ""1""), ""۲"", ""2""), ""۳"", ""3""), ""۴"", ""4""), ""۵"", ""5""), ""۶"", """&amp;"6""), ""۷"", ""7""), ""۸"", ""8""), ""۹"", ""9""), IF(LEFT(converted,3)=""+98"", ""0"" &amp; RIGHT(converted, LEN(converted)-3), IF(LEFT(converted,2)=""98"", ""0"" &amp; RIGHT(converted, LEN(converted)-2), IF(LEFT(converted,1)&lt;&gt;""0"", ""0"" &amp; converted, REGEXREPL"&amp;"ACE(converted , ""\s"", """")) ) ) ) )"),"09365813604")</f>
        <v>09365813604</v>
      </c>
      <c r="E1177" s="205" t="s">
        <v>17</v>
      </c>
      <c r="F1177" s="206">
        <v>10.0</v>
      </c>
      <c r="G1177" s="202"/>
      <c r="H1177" s="202"/>
      <c r="I1177" s="203"/>
      <c r="J1177" s="203"/>
      <c r="K1177" s="207" t="s">
        <v>5533</v>
      </c>
      <c r="L1177" s="207" t="s">
        <v>327</v>
      </c>
      <c r="M1177" s="207"/>
      <c r="N1177" s="207"/>
      <c r="O1177" s="202"/>
      <c r="P1177" s="202"/>
      <c r="Q1177" s="208"/>
      <c r="R1177" s="86"/>
      <c r="S1177" s="114">
        <f t="shared" ref="S1177:T1177" si="1178">A1177</f>
        <v>1177</v>
      </c>
      <c r="T1177" s="114" t="str">
        <f t="shared" si="1178"/>
        <v>یگانه کیانی</v>
      </c>
      <c r="U1177" s="86" t="str">
        <f t="shared" si="3"/>
        <v>09365813604</v>
      </c>
      <c r="V1177" s="86" t="str">
        <f t="shared" si="4"/>
        <v>پیش‌وایی 10</v>
      </c>
      <c r="W1177" s="86"/>
      <c r="X1177" s="86"/>
    </row>
    <row r="1178">
      <c r="A1178" s="192">
        <v>1178.0</v>
      </c>
      <c r="B1178" s="193" t="s">
        <v>5534</v>
      </c>
      <c r="C1178" s="194" t="s">
        <v>5535</v>
      </c>
      <c r="D1178" s="195" t="str">
        <f>IFERROR(__xludf.DUMMYFUNCTION("ARRAYFORMULA(LET( converted, SUBSTITUTE( SUBSTITUTE( SUBSTITUTE( SUBSTITUTE( SUBSTITUTE( SUBSTITUTE( SUBSTITUTE( SUBSTITUTE( SUBSTITUTE( SUBSTITUTE( C1178, ""۰"", ""0""), ""۱"", ""1""), ""۲"", ""2""), ""۳"", ""3""), ""۴"", ""4""), ""۵"", ""5""), ""۶"", """&amp;"6""), ""۷"", ""7""), ""۸"", ""8""), ""۹"", ""9""), IF(LEFT(converted,3)=""+98"", ""0"" &amp; RIGHT(converted, LEN(converted)-3), IF(LEFT(converted,2)=""98"", ""0"" &amp; RIGHT(converted, LEN(converted)-2), IF(LEFT(converted,1)&lt;&gt;""0"", ""0"" &amp; converted, REGEXREPL"&amp;"ACE(converted , ""\s"", """")) ) ) ) )"),"09303428075")</f>
        <v>09303428075</v>
      </c>
      <c r="E1178" s="196" t="s">
        <v>17</v>
      </c>
      <c r="F1178" s="197">
        <v>10.0</v>
      </c>
      <c r="G1178" s="193"/>
      <c r="H1178" s="193"/>
      <c r="I1178" s="194"/>
      <c r="J1178" s="194"/>
      <c r="K1178" s="199" t="s">
        <v>5259</v>
      </c>
      <c r="L1178" s="199" t="s">
        <v>5536</v>
      </c>
      <c r="M1178" s="199"/>
      <c r="N1178" s="199"/>
      <c r="O1178" s="193"/>
      <c r="P1178" s="193"/>
      <c r="Q1178" s="200"/>
      <c r="R1178" s="86"/>
      <c r="S1178" s="114">
        <f t="shared" ref="S1178:T1178" si="1179">A1178</f>
        <v>1178</v>
      </c>
      <c r="T1178" s="114" t="str">
        <f t="shared" si="1179"/>
        <v>یونس بافقی</v>
      </c>
      <c r="U1178" s="86" t="str">
        <f t="shared" si="3"/>
        <v>09303428075</v>
      </c>
      <c r="V1178" s="86" t="str">
        <f t="shared" si="4"/>
        <v>پیش‌وایی 10</v>
      </c>
      <c r="W1178" s="86"/>
      <c r="X1178" s="86"/>
    </row>
    <row r="1179">
      <c r="A1179" s="201">
        <v>1179.0</v>
      </c>
      <c r="B1179" s="202" t="s">
        <v>5537</v>
      </c>
      <c r="C1179" s="203" t="s">
        <v>5538</v>
      </c>
      <c r="D1179" s="204" t="str">
        <f>IFERROR(__xludf.DUMMYFUNCTION("ARRAYFORMULA(LET( converted, SUBSTITUTE( SUBSTITUTE( SUBSTITUTE( SUBSTITUTE( SUBSTITUTE( SUBSTITUTE( SUBSTITUTE( SUBSTITUTE( SUBSTITUTE( SUBSTITUTE( C1179, ""۰"", ""0""), ""۱"", ""1""), ""۲"", ""2""), ""۳"", ""3""), ""۴"", ""4""), ""۵"", ""5""), ""۶"", """&amp;"6""), ""۷"", ""7""), ""۸"", ""8""), ""۹"", ""9""), IF(LEFT(converted,3)=""+98"", ""0"" &amp; RIGHT(converted, LEN(converted)-3), IF(LEFT(converted,2)=""98"", ""0"" &amp; RIGHT(converted, LEN(converted)-2), IF(LEFT(converted,1)&lt;&gt;""0"", ""0"" &amp; converted, REGEXREPL"&amp;"ACE(converted , ""\s"", """")) ) ) ) )"),"09124215160")</f>
        <v>09124215160</v>
      </c>
      <c r="E1179" s="205" t="s">
        <v>17</v>
      </c>
      <c r="F1179" s="206">
        <v>10.0</v>
      </c>
      <c r="G1179" s="202"/>
      <c r="H1179" s="202"/>
      <c r="I1179" s="203"/>
      <c r="J1179" s="203"/>
      <c r="K1179" s="207" t="s">
        <v>27</v>
      </c>
      <c r="L1179" s="207" t="s">
        <v>5539</v>
      </c>
      <c r="M1179" s="207"/>
      <c r="N1179" s="207"/>
      <c r="O1179" s="202"/>
      <c r="P1179" s="202"/>
      <c r="Q1179" s="208"/>
      <c r="R1179" s="86"/>
      <c r="S1179" s="114">
        <f t="shared" ref="S1179:T1179" si="1180">A1179</f>
        <v>1179</v>
      </c>
      <c r="T1179" s="114" t="str">
        <f t="shared" si="1180"/>
        <v>مجید مردانه</v>
      </c>
      <c r="U1179" s="86" t="str">
        <f t="shared" si="3"/>
        <v>09124215160</v>
      </c>
      <c r="V1179" s="86" t="str">
        <f t="shared" si="4"/>
        <v>پیش‌وایی 10</v>
      </c>
      <c r="W1179" s="86"/>
      <c r="X1179" s="86"/>
    </row>
    <row r="1180">
      <c r="A1180" s="192">
        <v>1180.0</v>
      </c>
      <c r="B1180" s="193" t="s">
        <v>5540</v>
      </c>
      <c r="C1180" s="194" t="s">
        <v>5541</v>
      </c>
      <c r="D1180" s="195" t="str">
        <f>IFERROR(__xludf.DUMMYFUNCTION("ARRAYFORMULA(LET( converted, SUBSTITUTE( SUBSTITUTE( SUBSTITUTE( SUBSTITUTE( SUBSTITUTE( SUBSTITUTE( SUBSTITUTE( SUBSTITUTE( SUBSTITUTE( SUBSTITUTE( C1180, ""۰"", ""0""), ""۱"", ""1""), ""۲"", ""2""), ""۳"", ""3""), ""۴"", ""4""), ""۵"", ""5""), ""۶"", """&amp;"6""), ""۷"", ""7""), ""۸"", ""8""), ""۹"", ""9""), IF(LEFT(converted,3)=""+98"", ""0"" &amp; RIGHT(converted, LEN(converted)-3), IF(LEFT(converted,2)=""98"", ""0"" &amp; RIGHT(converted, LEN(converted)-2), IF(LEFT(converted,1)&lt;&gt;""0"", ""0"" &amp; converted, REGEXREPL"&amp;"ACE(converted , ""\s"", """")) ) ) ) )"),"09173376804")</f>
        <v>09173376804</v>
      </c>
      <c r="E1180" s="196" t="s">
        <v>17</v>
      </c>
      <c r="F1180" s="197">
        <v>10.0</v>
      </c>
      <c r="G1180" s="193"/>
      <c r="H1180" s="193"/>
      <c r="I1180" s="194"/>
      <c r="J1180" s="194"/>
      <c r="K1180" s="199" t="s">
        <v>5542</v>
      </c>
      <c r="L1180" s="199" t="s">
        <v>5543</v>
      </c>
      <c r="M1180" s="199"/>
      <c r="N1180" s="199"/>
      <c r="O1180" s="193"/>
      <c r="P1180" s="193"/>
      <c r="Q1180" s="200"/>
      <c r="R1180" s="86"/>
      <c r="S1180" s="114">
        <f t="shared" ref="S1180:T1180" si="1181">A1180</f>
        <v>1180</v>
      </c>
      <c r="T1180" s="114" t="str">
        <f t="shared" si="1181"/>
        <v>نجمه نجدی</v>
      </c>
      <c r="U1180" s="86" t="str">
        <f t="shared" si="3"/>
        <v>09173376804</v>
      </c>
      <c r="V1180" s="86" t="str">
        <f t="shared" si="4"/>
        <v>پیش‌وایی 10</v>
      </c>
      <c r="W1180" s="86"/>
      <c r="X1180" s="86"/>
    </row>
    <row r="1181">
      <c r="A1181" s="201">
        <v>1181.0</v>
      </c>
      <c r="B1181" s="202" t="s">
        <v>5256</v>
      </c>
      <c r="C1181" s="203" t="s">
        <v>5544</v>
      </c>
      <c r="D1181" s="204" t="str">
        <f>IFERROR(__xludf.DUMMYFUNCTION("ARRAYFORMULA(LET( converted, SUBSTITUTE( SUBSTITUTE( SUBSTITUTE( SUBSTITUTE( SUBSTITUTE( SUBSTITUTE( SUBSTITUTE( SUBSTITUTE( SUBSTITUTE( SUBSTITUTE( C1181, ""۰"", ""0""), ""۱"", ""1""), ""۲"", ""2""), ""۳"", ""3""), ""۴"", ""4""), ""۵"", ""5""), ""۶"", """&amp;"6""), ""۷"", ""7""), ""۸"", ""8""), ""۹"", ""9""), IF(LEFT(converted,3)=""+98"", ""0"" &amp; RIGHT(converted, LEN(converted)-3), IF(LEFT(converted,2)=""98"", ""0"" &amp; RIGHT(converted, LEN(converted)-2), IF(LEFT(converted,1)&lt;&gt;""0"", ""0"" &amp; converted, REGEXREPL"&amp;"ACE(converted , ""\s"", """")) ) ) ) )"),"09129610906")</f>
        <v>09129610906</v>
      </c>
      <c r="E1181" s="205" t="s">
        <v>17</v>
      </c>
      <c r="F1181" s="206">
        <v>10.0</v>
      </c>
      <c r="G1181" s="202"/>
      <c r="H1181" s="202"/>
      <c r="I1181" s="203"/>
      <c r="J1181" s="203"/>
      <c r="K1181" s="207" t="s">
        <v>5259</v>
      </c>
      <c r="L1181" s="207" t="s">
        <v>5260</v>
      </c>
      <c r="M1181" s="207"/>
      <c r="N1181" s="207"/>
      <c r="O1181" s="202"/>
      <c r="P1181" s="202"/>
      <c r="Q1181" s="208"/>
      <c r="R1181" s="86"/>
      <c r="S1181" s="114">
        <f t="shared" ref="S1181:T1181" si="1182">A1181</f>
        <v>1181</v>
      </c>
      <c r="T1181" s="114" t="str">
        <f t="shared" si="1182"/>
        <v>یونس شیراوند</v>
      </c>
      <c r="U1181" s="86" t="str">
        <f t="shared" si="3"/>
        <v>09129610906</v>
      </c>
      <c r="V1181" s="86" t="str">
        <f t="shared" si="4"/>
        <v>پیش‌وایی 10</v>
      </c>
      <c r="W1181" s="86"/>
      <c r="X1181" s="86"/>
    </row>
    <row r="1182">
      <c r="A1182" s="192">
        <v>1182.0</v>
      </c>
      <c r="B1182" s="193" t="s">
        <v>5545</v>
      </c>
      <c r="C1182" s="194" t="s">
        <v>5546</v>
      </c>
      <c r="D1182" s="195" t="str">
        <f>IFERROR(__xludf.DUMMYFUNCTION("ARRAYFORMULA(LET( converted, SUBSTITUTE( SUBSTITUTE( SUBSTITUTE( SUBSTITUTE( SUBSTITUTE( SUBSTITUTE( SUBSTITUTE( SUBSTITUTE( SUBSTITUTE( SUBSTITUTE( C1182, ""۰"", ""0""), ""۱"", ""1""), ""۲"", ""2""), ""۳"", ""3""), ""۴"", ""4""), ""۵"", ""5""), ""۶"", """&amp;"6""), ""۷"", ""7""), ""۸"", ""8""), ""۹"", ""9""), IF(LEFT(converted,3)=""+98"", ""0"" &amp; RIGHT(converted, LEN(converted)-3), IF(LEFT(converted,2)=""98"", ""0"" &amp; RIGHT(converted, LEN(converted)-2), IF(LEFT(converted,1)&lt;&gt;""0"", ""0"" &amp; converted, REGEXREPL"&amp;"ACE(converted , ""\s"", """")) ) ) ) )"),"09123728725")</f>
        <v>09123728725</v>
      </c>
      <c r="E1182" s="196" t="s">
        <v>17</v>
      </c>
      <c r="F1182" s="197">
        <v>10.0</v>
      </c>
      <c r="G1182" s="193"/>
      <c r="H1182" s="193"/>
      <c r="I1182" s="194"/>
      <c r="J1182" s="194"/>
      <c r="K1182" s="199" t="s">
        <v>1685</v>
      </c>
      <c r="L1182" s="199" t="s">
        <v>5547</v>
      </c>
      <c r="M1182" s="199"/>
      <c r="N1182" s="199"/>
      <c r="O1182" s="193"/>
      <c r="P1182" s="193"/>
      <c r="Q1182" s="200"/>
      <c r="R1182" s="86"/>
      <c r="S1182" s="114">
        <f t="shared" ref="S1182:T1182" si="1183">A1182</f>
        <v>1182</v>
      </c>
      <c r="T1182" s="114" t="str">
        <f t="shared" si="1183"/>
        <v>سارا ساری جالو</v>
      </c>
      <c r="U1182" s="86" t="str">
        <f t="shared" si="3"/>
        <v>09123728725</v>
      </c>
      <c r="V1182" s="86" t="str">
        <f t="shared" si="4"/>
        <v>پیش‌وایی 10</v>
      </c>
      <c r="W1182" s="86"/>
      <c r="X1182" s="86"/>
    </row>
    <row r="1183">
      <c r="A1183" s="201">
        <v>1183.0</v>
      </c>
      <c r="B1183" s="202" t="s">
        <v>5548</v>
      </c>
      <c r="C1183" s="203" t="s">
        <v>5549</v>
      </c>
      <c r="D1183" s="204" t="str">
        <f>IFERROR(__xludf.DUMMYFUNCTION("ARRAYFORMULA(LET( converted, SUBSTITUTE( SUBSTITUTE( SUBSTITUTE( SUBSTITUTE( SUBSTITUTE( SUBSTITUTE( SUBSTITUTE( SUBSTITUTE( SUBSTITUTE( SUBSTITUTE( C1183, ""۰"", ""0""), ""۱"", ""1""), ""۲"", ""2""), ""۳"", ""3""), ""۴"", ""4""), ""۵"", ""5""), ""۶"", """&amp;"6""), ""۷"", ""7""), ""۸"", ""8""), ""۹"", ""9""), IF(LEFT(converted,3)=""+98"", ""0"" &amp; RIGHT(converted, LEN(converted)-3), IF(LEFT(converted,2)=""98"", ""0"" &amp; RIGHT(converted, LEN(converted)-2), IF(LEFT(converted,1)&lt;&gt;""0"", ""0"" &amp; converted, REGEXREPL"&amp;"ACE(converted , ""\s"", """")) ) ) ) )"),"09126653006")</f>
        <v>09126653006</v>
      </c>
      <c r="E1183" s="205" t="s">
        <v>17</v>
      </c>
      <c r="F1183" s="206">
        <v>10.0</v>
      </c>
      <c r="G1183" s="202"/>
      <c r="H1183" s="202"/>
      <c r="I1183" s="203"/>
      <c r="J1183" s="203"/>
      <c r="K1183" s="207" t="s">
        <v>1018</v>
      </c>
      <c r="L1183" s="207" t="s">
        <v>5550</v>
      </c>
      <c r="M1183" s="207"/>
      <c r="N1183" s="207"/>
      <c r="O1183" s="202"/>
      <c r="P1183" s="202"/>
      <c r="Q1183" s="208"/>
      <c r="R1183" s="86"/>
      <c r="S1183" s="114">
        <f t="shared" ref="S1183:T1183" si="1184">A1183</f>
        <v>1183</v>
      </c>
      <c r="T1183" s="114" t="str">
        <f t="shared" si="1184"/>
        <v>علی شفقی</v>
      </c>
      <c r="U1183" s="86" t="str">
        <f t="shared" si="3"/>
        <v>09126653006</v>
      </c>
      <c r="V1183" s="86" t="str">
        <f t="shared" si="4"/>
        <v>پیش‌وایی 10</v>
      </c>
      <c r="W1183" s="86"/>
      <c r="X1183" s="86"/>
    </row>
    <row r="1184">
      <c r="A1184" s="192">
        <v>1184.0</v>
      </c>
      <c r="B1184" s="193" t="s">
        <v>5325</v>
      </c>
      <c r="C1184" s="194" t="s">
        <v>5276</v>
      </c>
      <c r="D1184" s="195" t="str">
        <f>IFERROR(__xludf.DUMMYFUNCTION("ARRAYFORMULA(LET( converted, SUBSTITUTE( SUBSTITUTE( SUBSTITUTE( SUBSTITUTE( SUBSTITUTE( SUBSTITUTE( SUBSTITUTE( SUBSTITUTE( SUBSTITUTE( SUBSTITUTE( C1184, ""۰"", ""0""), ""۱"", ""1""), ""۲"", ""2""), ""۳"", ""3""), ""۴"", ""4""), ""۵"", ""5""), ""۶"", """&amp;"6""), ""۷"", ""7""), ""۸"", ""8""), ""۹"", ""9""), IF(LEFT(converted,3)=""+98"", ""0"" &amp; RIGHT(converted, LEN(converted)-3), IF(LEFT(converted,2)=""98"", ""0"" &amp; RIGHT(converted, LEN(converted)-2), IF(LEFT(converted,1)&lt;&gt;""0"", ""0"" &amp; converted, REGEXREPL"&amp;"ACE(converted , ""\s"", """")) ) ) ) )"),"09143159445")</f>
        <v>09143159445</v>
      </c>
      <c r="E1184" s="196" t="s">
        <v>17</v>
      </c>
      <c r="F1184" s="197">
        <v>10.0</v>
      </c>
      <c r="G1184" s="193"/>
      <c r="H1184" s="193"/>
      <c r="I1184" s="194"/>
      <c r="J1184" s="194"/>
      <c r="K1184" s="199" t="s">
        <v>3970</v>
      </c>
      <c r="L1184" s="199" t="s">
        <v>343</v>
      </c>
      <c r="M1184" s="199"/>
      <c r="N1184" s="199"/>
      <c r="O1184" s="193"/>
      <c r="P1184" s="193"/>
      <c r="Q1184" s="200"/>
      <c r="R1184" s="86"/>
      <c r="S1184" s="114">
        <f t="shared" ref="S1184:T1184" si="1185">A1184</f>
        <v>1184</v>
      </c>
      <c r="T1184" s="114" t="str">
        <f t="shared" si="1185"/>
        <v>آرمین سروی</v>
      </c>
      <c r="U1184" s="86" t="str">
        <f t="shared" si="3"/>
        <v>09143159445</v>
      </c>
      <c r="V1184" s="86" t="str">
        <f t="shared" si="4"/>
        <v>پیش‌وایی 10</v>
      </c>
      <c r="W1184" s="86"/>
      <c r="X1184" s="86"/>
    </row>
    <row r="1185">
      <c r="A1185" s="201">
        <v>1185.0</v>
      </c>
      <c r="B1185" s="202" t="s">
        <v>5551</v>
      </c>
      <c r="C1185" s="203" t="s">
        <v>5552</v>
      </c>
      <c r="D1185" s="204" t="str">
        <f>IFERROR(__xludf.DUMMYFUNCTION("ARRAYFORMULA(LET( converted, SUBSTITUTE( SUBSTITUTE( SUBSTITUTE( SUBSTITUTE( SUBSTITUTE( SUBSTITUTE( SUBSTITUTE( SUBSTITUTE( SUBSTITUTE( SUBSTITUTE( C1185, ""۰"", ""0""), ""۱"", ""1""), ""۲"", ""2""), ""۳"", ""3""), ""۴"", ""4""), ""۵"", ""5""), ""۶"", """&amp;"6""), ""۷"", ""7""), ""۸"", ""8""), ""۹"", ""9""), IF(LEFT(converted,3)=""+98"", ""0"" &amp; RIGHT(converted, LEN(converted)-3), IF(LEFT(converted,2)=""98"", ""0"" &amp; RIGHT(converted, LEN(converted)-2), IF(LEFT(converted,1)&lt;&gt;""0"", ""0"" &amp; converted, REGEXREPL"&amp;"ACE(converted , ""\s"", """")) ) ) ) )"),"09191991754")</f>
        <v>09191991754</v>
      </c>
      <c r="E1185" s="205" t="s">
        <v>17</v>
      </c>
      <c r="F1185" s="206">
        <v>10.0</v>
      </c>
      <c r="G1185" s="202"/>
      <c r="H1185" s="202"/>
      <c r="I1185" s="203"/>
      <c r="J1185" s="203"/>
      <c r="K1185" s="207" t="s">
        <v>1504</v>
      </c>
      <c r="L1185" s="207" t="s">
        <v>5553</v>
      </c>
      <c r="M1185" s="207"/>
      <c r="N1185" s="207"/>
      <c r="O1185" s="202"/>
      <c r="P1185" s="202"/>
      <c r="Q1185" s="208"/>
      <c r="R1185" s="86"/>
      <c r="S1185" s="114">
        <f t="shared" ref="S1185:T1185" si="1186">A1185</f>
        <v>1185</v>
      </c>
      <c r="T1185" s="114" t="str">
        <f t="shared" si="1186"/>
        <v>مهسا زمانی</v>
      </c>
      <c r="U1185" s="86" t="str">
        <f t="shared" si="3"/>
        <v>09191991754</v>
      </c>
      <c r="V1185" s="86" t="str">
        <f t="shared" si="4"/>
        <v>پیش‌وایی 10</v>
      </c>
      <c r="W1185" s="86"/>
      <c r="X1185" s="86"/>
    </row>
    <row r="1186">
      <c r="A1186" s="192">
        <v>1186.0</v>
      </c>
      <c r="B1186" s="193" t="s">
        <v>5554</v>
      </c>
      <c r="C1186" s="194" t="s">
        <v>5555</v>
      </c>
      <c r="D1186" s="195" t="str">
        <f>IFERROR(__xludf.DUMMYFUNCTION("ARRAYFORMULA(LET( converted, SUBSTITUTE( SUBSTITUTE( SUBSTITUTE( SUBSTITUTE( SUBSTITUTE( SUBSTITUTE( SUBSTITUTE( SUBSTITUTE( SUBSTITUTE( SUBSTITUTE( C1186, ""۰"", ""0""), ""۱"", ""1""), ""۲"", ""2""), ""۳"", ""3""), ""۴"", ""4""), ""۵"", ""5""), ""۶"", """&amp;"6""), ""۷"", ""7""), ""۸"", ""8""), ""۹"", ""9""), IF(LEFT(converted,3)=""+98"", ""0"" &amp; RIGHT(converted, LEN(converted)-3), IF(LEFT(converted,2)=""98"", ""0"" &amp; RIGHT(converted, LEN(converted)-2), IF(LEFT(converted,1)&lt;&gt;""0"", ""0"" &amp; converted, REGEXREPL"&amp;"ACE(converted , ""\s"", """")) ) ) ) )"),"09126041669")</f>
        <v>09126041669</v>
      </c>
      <c r="E1186" s="196" t="s">
        <v>17</v>
      </c>
      <c r="F1186" s="197">
        <v>10.0</v>
      </c>
      <c r="G1186" s="193"/>
      <c r="H1186" s="193"/>
      <c r="I1186" s="194"/>
      <c r="J1186" s="194"/>
      <c r="K1186" s="199" t="s">
        <v>1820</v>
      </c>
      <c r="L1186" s="199" t="s">
        <v>5453</v>
      </c>
      <c r="M1186" s="199"/>
      <c r="N1186" s="199"/>
      <c r="O1186" s="193"/>
      <c r="P1186" s="193"/>
      <c r="Q1186" s="200"/>
      <c r="R1186" s="86"/>
      <c r="S1186" s="114">
        <f t="shared" ref="S1186:T1186" si="1187">A1186</f>
        <v>1186</v>
      </c>
      <c r="T1186" s="114" t="str">
        <f t="shared" si="1187"/>
        <v>آرزو بابایی</v>
      </c>
      <c r="U1186" s="86" t="str">
        <f t="shared" si="3"/>
        <v>09126041669</v>
      </c>
      <c r="V1186" s="86" t="str">
        <f t="shared" si="4"/>
        <v>پیش‌وایی 10</v>
      </c>
      <c r="W1186" s="86"/>
      <c r="X1186" s="86"/>
    </row>
    <row r="1187">
      <c r="A1187" s="201">
        <v>1187.0</v>
      </c>
      <c r="B1187" s="202" t="s">
        <v>5556</v>
      </c>
      <c r="C1187" s="203" t="s">
        <v>182</v>
      </c>
      <c r="D1187" s="204" t="str">
        <f>IFERROR(__xludf.DUMMYFUNCTION("ARRAYFORMULA(LET( converted, SUBSTITUTE( SUBSTITUTE( SUBSTITUTE( SUBSTITUTE( SUBSTITUTE( SUBSTITUTE( SUBSTITUTE( SUBSTITUTE( SUBSTITUTE( SUBSTITUTE( C1187, ""۰"", ""0""), ""۱"", ""1""), ""۲"", ""2""), ""۳"", ""3""), ""۴"", ""4""), ""۵"", ""5""), ""۶"", """&amp;"6""), ""۷"", ""7""), ""۸"", ""8""), ""۹"", ""9""), IF(LEFT(converted,3)=""+98"", ""0"" &amp; RIGHT(converted, LEN(converted)-3), IF(LEFT(converted,2)=""98"", ""0"" &amp; RIGHT(converted, LEN(converted)-2), IF(LEFT(converted,1)&lt;&gt;""0"", ""0"" &amp; converted, REGEXREPL"&amp;"ACE(converted , ""\s"", """")) ) ) ) )"),"09106845524")</f>
        <v>09106845524</v>
      </c>
      <c r="E1187" s="205" t="s">
        <v>17</v>
      </c>
      <c r="F1187" s="206">
        <v>10.0</v>
      </c>
      <c r="G1187" s="202"/>
      <c r="H1187" s="202"/>
      <c r="I1187" s="203"/>
      <c r="J1187" s="203"/>
      <c r="K1187" s="207" t="s">
        <v>180</v>
      </c>
      <c r="L1187" s="207" t="s">
        <v>181</v>
      </c>
      <c r="M1187" s="207"/>
      <c r="N1187" s="207"/>
      <c r="O1187" s="202"/>
      <c r="P1187" s="202"/>
      <c r="Q1187" s="208"/>
      <c r="R1187" s="86"/>
      <c r="S1187" s="114">
        <f t="shared" ref="S1187:T1187" si="1188">A1187</f>
        <v>1187</v>
      </c>
      <c r="T1187" s="114" t="str">
        <f t="shared" si="1188"/>
        <v>آزاده هرمزی</v>
      </c>
      <c r="U1187" s="86" t="str">
        <f t="shared" si="3"/>
        <v>09106845524</v>
      </c>
      <c r="V1187" s="86" t="str">
        <f t="shared" si="4"/>
        <v>پیش‌وایی 10</v>
      </c>
      <c r="W1187" s="86"/>
      <c r="X1187" s="86"/>
    </row>
    <row r="1188">
      <c r="A1188" s="192">
        <v>1188.0</v>
      </c>
      <c r="B1188" s="193" t="s">
        <v>5557</v>
      </c>
      <c r="C1188" s="194" t="s">
        <v>5558</v>
      </c>
      <c r="D1188" s="195" t="str">
        <f>IFERROR(__xludf.DUMMYFUNCTION("ARRAYFORMULA(LET( converted, SUBSTITUTE( SUBSTITUTE( SUBSTITUTE( SUBSTITUTE( SUBSTITUTE( SUBSTITUTE( SUBSTITUTE( SUBSTITUTE( SUBSTITUTE( SUBSTITUTE( C1188, ""۰"", ""0""), ""۱"", ""1""), ""۲"", ""2""), ""۳"", ""3""), ""۴"", ""4""), ""۵"", ""5""), ""۶"", """&amp;"6""), ""۷"", ""7""), ""۸"", ""8""), ""۹"", ""9""), IF(LEFT(converted,3)=""+98"", ""0"" &amp; RIGHT(converted, LEN(converted)-3), IF(LEFT(converted,2)=""98"", ""0"" &amp; RIGHT(converted, LEN(converted)-2), IF(LEFT(converted,1)&lt;&gt;""0"", ""0"" &amp; converted, REGEXREPL"&amp;"ACE(converted , ""\s"", """")) ) ) ) )"),"09354343054")</f>
        <v>09354343054</v>
      </c>
      <c r="E1188" s="196" t="s">
        <v>17</v>
      </c>
      <c r="F1188" s="197">
        <v>10.0</v>
      </c>
      <c r="G1188" s="193"/>
      <c r="H1188" s="193"/>
      <c r="I1188" s="194"/>
      <c r="J1188" s="194"/>
      <c r="K1188" s="199" t="s">
        <v>5559</v>
      </c>
      <c r="L1188" s="199" t="s">
        <v>5560</v>
      </c>
      <c r="M1188" s="199"/>
      <c r="N1188" s="199"/>
      <c r="O1188" s="193"/>
      <c r="P1188" s="193"/>
      <c r="Q1188" s="200"/>
      <c r="R1188" s="86"/>
      <c r="S1188" s="114">
        <f t="shared" ref="S1188:T1188" si="1189">A1188</f>
        <v>1188</v>
      </c>
      <c r="T1188" s="114" t="str">
        <f t="shared" si="1189"/>
        <v>آناهید عنایت</v>
      </c>
      <c r="U1188" s="86" t="str">
        <f t="shared" si="3"/>
        <v>09354343054</v>
      </c>
      <c r="V1188" s="86" t="str">
        <f t="shared" si="4"/>
        <v>پیش‌وایی 10</v>
      </c>
      <c r="W1188" s="86"/>
      <c r="X1188" s="86"/>
    </row>
    <row r="1189">
      <c r="A1189" s="201">
        <v>1189.0</v>
      </c>
      <c r="B1189" s="202" t="s">
        <v>5561</v>
      </c>
      <c r="C1189" s="203" t="s">
        <v>5562</v>
      </c>
      <c r="D1189" s="204" t="str">
        <f>IFERROR(__xludf.DUMMYFUNCTION("ARRAYFORMULA(LET( converted, SUBSTITUTE( SUBSTITUTE( SUBSTITUTE( SUBSTITUTE( SUBSTITUTE( SUBSTITUTE( SUBSTITUTE( SUBSTITUTE( SUBSTITUTE( SUBSTITUTE( C1189, ""۰"", ""0""), ""۱"", ""1""), ""۲"", ""2""), ""۳"", ""3""), ""۴"", ""4""), ""۵"", ""5""), ""۶"", """&amp;"6""), ""۷"", ""7""), ""۸"", ""8""), ""۹"", ""9""), IF(LEFT(converted,3)=""+98"", ""0"" &amp; RIGHT(converted, LEN(converted)-3), IF(LEFT(converted,2)=""98"", ""0"" &amp; RIGHT(converted, LEN(converted)-2), IF(LEFT(converted,1)&lt;&gt;""0"", ""0"" &amp; converted, REGEXREPL"&amp;"ACE(converted , ""\s"", """")) ) ) ) )"),"09120380740")</f>
        <v>09120380740</v>
      </c>
      <c r="E1189" s="205" t="s">
        <v>17</v>
      </c>
      <c r="F1189" s="206">
        <v>10.0</v>
      </c>
      <c r="G1189" s="202"/>
      <c r="H1189" s="202"/>
      <c r="I1189" s="203"/>
      <c r="J1189" s="203"/>
      <c r="K1189" s="207" t="s">
        <v>1876</v>
      </c>
      <c r="L1189" s="207" t="s">
        <v>4924</v>
      </c>
      <c r="M1189" s="207"/>
      <c r="N1189" s="207"/>
      <c r="O1189" s="202"/>
      <c r="P1189" s="202"/>
      <c r="Q1189" s="208"/>
      <c r="R1189" s="86"/>
      <c r="S1189" s="114">
        <f t="shared" ref="S1189:T1189" si="1190">A1189</f>
        <v>1189</v>
      </c>
      <c r="T1189" s="114" t="str">
        <f t="shared" si="1190"/>
        <v>آیدا فیروزی</v>
      </c>
      <c r="U1189" s="86" t="str">
        <f t="shared" si="3"/>
        <v>09120380740</v>
      </c>
      <c r="V1189" s="86" t="str">
        <f t="shared" si="4"/>
        <v>پیش‌وایی 10</v>
      </c>
      <c r="W1189" s="86"/>
      <c r="X1189" s="86"/>
    </row>
    <row r="1190">
      <c r="A1190" s="192">
        <v>1190.0</v>
      </c>
      <c r="B1190" s="193" t="s">
        <v>5563</v>
      </c>
      <c r="C1190" s="194" t="s">
        <v>5564</v>
      </c>
      <c r="D1190" s="195" t="str">
        <f>IFERROR(__xludf.DUMMYFUNCTION("ARRAYFORMULA(LET( converted, SUBSTITUTE( SUBSTITUTE( SUBSTITUTE( SUBSTITUTE( SUBSTITUTE( SUBSTITUTE( SUBSTITUTE( SUBSTITUTE( SUBSTITUTE( SUBSTITUTE( C1190, ""۰"", ""0""), ""۱"", ""1""), ""۲"", ""2""), ""۳"", ""3""), ""۴"", ""4""), ""۵"", ""5""), ""۶"", """&amp;"6""), ""۷"", ""7""), ""۸"", ""8""), ""۹"", ""9""), IF(LEFT(converted,3)=""+98"", ""0"" &amp; RIGHT(converted, LEN(converted)-3), IF(LEFT(converted,2)=""98"", ""0"" &amp; RIGHT(converted, LEN(converted)-2), IF(LEFT(converted,1)&lt;&gt;""0"", ""0"" &amp; converted, REGEXREPL"&amp;"ACE(converted , ""\s"", """")) ) ) ) )"),"09354853466")</f>
        <v>09354853466</v>
      </c>
      <c r="E1190" s="196" t="s">
        <v>17</v>
      </c>
      <c r="F1190" s="197">
        <v>10.0</v>
      </c>
      <c r="G1190" s="193"/>
      <c r="H1190" s="193"/>
      <c r="I1190" s="194"/>
      <c r="J1190" s="194"/>
      <c r="K1190" s="199" t="s">
        <v>960</v>
      </c>
      <c r="L1190" s="199" t="s">
        <v>1303</v>
      </c>
      <c r="M1190" s="199"/>
      <c r="N1190" s="199"/>
      <c r="O1190" s="193"/>
      <c r="P1190" s="193"/>
      <c r="Q1190" s="200"/>
      <c r="R1190" s="86"/>
      <c r="S1190" s="114">
        <f t="shared" ref="S1190:T1190" si="1191">A1190</f>
        <v>1190</v>
      </c>
      <c r="T1190" s="114" t="str">
        <f t="shared" si="1191"/>
        <v>احمد حسینی</v>
      </c>
      <c r="U1190" s="86" t="str">
        <f t="shared" si="3"/>
        <v>09354853466</v>
      </c>
      <c r="V1190" s="86" t="str">
        <f t="shared" si="4"/>
        <v>پیش‌وایی 10</v>
      </c>
      <c r="W1190" s="86"/>
      <c r="X1190" s="86"/>
    </row>
    <row r="1191">
      <c r="A1191" s="201">
        <v>1191.0</v>
      </c>
      <c r="B1191" s="202" t="s">
        <v>5565</v>
      </c>
      <c r="C1191" s="203" t="s">
        <v>5566</v>
      </c>
      <c r="D1191" s="204" t="str">
        <f>IFERROR(__xludf.DUMMYFUNCTION("ARRAYFORMULA(LET( converted, SUBSTITUTE( SUBSTITUTE( SUBSTITUTE( SUBSTITUTE( SUBSTITUTE( SUBSTITUTE( SUBSTITUTE( SUBSTITUTE( SUBSTITUTE( SUBSTITUTE( C1191, ""۰"", ""0""), ""۱"", ""1""), ""۲"", ""2""), ""۳"", ""3""), ""۴"", ""4""), ""۵"", ""5""), ""۶"", """&amp;"6""), ""۷"", ""7""), ""۸"", ""8""), ""۹"", ""9""), IF(LEFT(converted,3)=""+98"", ""0"" &amp; RIGHT(converted, LEN(converted)-3), IF(LEFT(converted,2)=""98"", ""0"" &amp; RIGHT(converted, LEN(converted)-2), IF(LEFT(converted,1)&lt;&gt;""0"", ""0"" &amp; converted, REGEXREPL"&amp;"ACE(converted , ""\s"", """")) ) ) ) )"),"09215503589")</f>
        <v>09215503589</v>
      </c>
      <c r="E1191" s="205" t="s">
        <v>17</v>
      </c>
      <c r="F1191" s="206">
        <v>10.0</v>
      </c>
      <c r="G1191" s="202"/>
      <c r="H1191" s="202"/>
      <c r="I1191" s="203"/>
      <c r="J1191" s="203"/>
      <c r="K1191" s="207" t="s">
        <v>960</v>
      </c>
      <c r="L1191" s="207" t="s">
        <v>4373</v>
      </c>
      <c r="M1191" s="207"/>
      <c r="N1191" s="207"/>
      <c r="O1191" s="202"/>
      <c r="P1191" s="202"/>
      <c r="Q1191" s="208"/>
      <c r="R1191" s="86"/>
      <c r="S1191" s="114">
        <f t="shared" ref="S1191:T1191" si="1192">A1191</f>
        <v>1191</v>
      </c>
      <c r="T1191" s="114" t="str">
        <f t="shared" si="1192"/>
        <v>احمد رحیمی</v>
      </c>
      <c r="U1191" s="86" t="str">
        <f t="shared" si="3"/>
        <v>09215503589</v>
      </c>
      <c r="V1191" s="86" t="str">
        <f t="shared" si="4"/>
        <v>پیش‌وایی 10</v>
      </c>
      <c r="W1191" s="86"/>
      <c r="X1191" s="86"/>
    </row>
    <row r="1192">
      <c r="A1192" s="192">
        <v>1192.0</v>
      </c>
      <c r="B1192" s="193" t="s">
        <v>5567</v>
      </c>
      <c r="C1192" s="211" t="s">
        <v>5568</v>
      </c>
      <c r="D1192" s="195" t="str">
        <f>IFERROR(__xludf.DUMMYFUNCTION("ARRAYFORMULA(LET( converted, SUBSTITUTE( SUBSTITUTE( SUBSTITUTE( SUBSTITUTE( SUBSTITUTE( SUBSTITUTE( SUBSTITUTE( SUBSTITUTE( SUBSTITUTE( SUBSTITUTE( C1192, ""۰"", ""0""), ""۱"", ""1""), ""۲"", ""2""), ""۳"", ""3""), ""۴"", ""4""), ""۵"", ""5""), ""۶"", """&amp;"6""), ""۷"", ""7""), ""۸"", ""8""), ""۹"", ""9""), IF(LEFT(converted,3)=""+98"", ""0"" &amp; RIGHT(converted, LEN(converted)-3), IF(LEFT(converted,2)=""98"", ""0"" &amp; RIGHT(converted, LEN(converted)-2), IF(LEFT(converted,1)&lt;&gt;""0"", ""0"" &amp; converted, REGEXREPL"&amp;"ACE(converted , ""\s"", """")) ) ) ) )"),"09301186536")</f>
        <v>09301186536</v>
      </c>
      <c r="E1192" s="196" t="s">
        <v>17</v>
      </c>
      <c r="F1192" s="197">
        <v>10.0</v>
      </c>
      <c r="G1192" s="193"/>
      <c r="H1192" s="193"/>
      <c r="I1192" s="194"/>
      <c r="J1192" s="194"/>
      <c r="K1192" s="199" t="s">
        <v>197</v>
      </c>
      <c r="L1192" s="199" t="s">
        <v>5569</v>
      </c>
      <c r="M1192" s="199"/>
      <c r="N1192" s="199"/>
      <c r="O1192" s="193"/>
      <c r="P1192" s="193"/>
      <c r="Q1192" s="200"/>
      <c r="R1192" s="86"/>
      <c r="S1192" s="114">
        <f t="shared" ref="S1192:T1192" si="1193">A1192</f>
        <v>1192</v>
      </c>
      <c r="T1192" s="114" t="str">
        <f t="shared" si="1193"/>
        <v>اصغر نیل چیان</v>
      </c>
      <c r="U1192" s="86" t="str">
        <f t="shared" si="3"/>
        <v>09301186536</v>
      </c>
      <c r="V1192" s="86" t="str">
        <f t="shared" si="4"/>
        <v>پیش‌وایی 10</v>
      </c>
      <c r="W1192" s="86"/>
      <c r="X1192" s="86"/>
    </row>
    <row r="1193">
      <c r="A1193" s="201">
        <v>1193.0</v>
      </c>
      <c r="B1193" s="207" t="s">
        <v>5570</v>
      </c>
      <c r="C1193" s="203" t="s">
        <v>5571</v>
      </c>
      <c r="D1193" s="204" t="str">
        <f>IFERROR(__xludf.DUMMYFUNCTION("ARRAYFORMULA(LET( converted, SUBSTITUTE( SUBSTITUTE( SUBSTITUTE( SUBSTITUTE( SUBSTITUTE( SUBSTITUTE( SUBSTITUTE( SUBSTITUTE( SUBSTITUTE( SUBSTITUTE( C1193, ""۰"", ""0""), ""۱"", ""1""), ""۲"", ""2""), ""۳"", ""3""), ""۴"", ""4""), ""۵"", ""5""), ""۶"", """&amp;"6""), ""۷"", ""7""), ""۸"", ""8""), ""۹"", ""9""), IF(LEFT(converted,3)=""+98"", ""0"" &amp; RIGHT(converted, LEN(converted)-3), IF(LEFT(converted,2)=""98"", ""0"" &amp; RIGHT(converted, LEN(converted)-2), IF(LEFT(converted,1)&lt;&gt;""0"", ""0"" &amp; converted, REGEXREPL"&amp;"ACE(converted , ""\s"", """")) ) ) ) )"),"09122998576")</f>
        <v>09122998576</v>
      </c>
      <c r="E1193" s="205" t="s">
        <v>17</v>
      </c>
      <c r="F1193" s="206">
        <v>10.0</v>
      </c>
      <c r="G1193" s="202"/>
      <c r="H1193" s="202"/>
      <c r="I1193" s="203"/>
      <c r="J1193" s="203"/>
      <c r="K1193" s="207" t="s">
        <v>2022</v>
      </c>
      <c r="L1193" s="213" t="s">
        <v>5572</v>
      </c>
      <c r="M1193" s="207"/>
      <c r="N1193" s="207"/>
      <c r="O1193" s="202"/>
      <c r="P1193" s="202"/>
      <c r="Q1193" s="208"/>
      <c r="R1193" s="86"/>
      <c r="S1193" s="114">
        <f t="shared" ref="S1193:T1193" si="1194">A1193</f>
        <v>1193</v>
      </c>
      <c r="T1193" s="114" t="str">
        <f t="shared" si="1194"/>
        <v>افشین Fدی</v>
      </c>
      <c r="U1193" s="86" t="str">
        <f t="shared" si="3"/>
        <v>09122998576</v>
      </c>
      <c r="V1193" s="86" t="str">
        <f t="shared" si="4"/>
        <v>پیش‌وایی 10</v>
      </c>
      <c r="W1193" s="86"/>
      <c r="X1193" s="86"/>
    </row>
    <row r="1194">
      <c r="A1194" s="192">
        <v>1194.0</v>
      </c>
      <c r="B1194" s="193" t="s">
        <v>5573</v>
      </c>
      <c r="C1194" s="194" t="s">
        <v>5574</v>
      </c>
      <c r="D1194" s="195" t="str">
        <f>IFERROR(__xludf.DUMMYFUNCTION("ARRAYFORMULA(LET( converted, SUBSTITUTE( SUBSTITUTE( SUBSTITUTE( SUBSTITUTE( SUBSTITUTE( SUBSTITUTE( SUBSTITUTE( SUBSTITUTE( SUBSTITUTE( SUBSTITUTE( C1194, ""۰"", ""0""), ""۱"", ""1""), ""۲"", ""2""), ""۳"", ""3""), ""۴"", ""4""), ""۵"", ""5""), ""۶"", """&amp;"6""), ""۷"", ""7""), ""۸"", ""8""), ""۹"", ""9""), IF(LEFT(converted,3)=""+98"", ""0"" &amp; RIGHT(converted, LEN(converted)-3), IF(LEFT(converted,2)=""98"", ""0"" &amp; RIGHT(converted, LEN(converted)-2), IF(LEFT(converted,1)&lt;&gt;""0"", ""0"" &amp; converted, REGEXREPL"&amp;"ACE(converted , ""\s"", """")) ) ) ) )"),"09353638868")</f>
        <v>09353638868</v>
      </c>
      <c r="E1194" s="196" t="s">
        <v>17</v>
      </c>
      <c r="F1194" s="197">
        <v>10.0</v>
      </c>
      <c r="G1194" s="193"/>
      <c r="H1194" s="193"/>
      <c r="I1194" s="194"/>
      <c r="J1194" s="194"/>
      <c r="K1194" s="199" t="s">
        <v>1704</v>
      </c>
      <c r="L1194" s="199" t="s">
        <v>1128</v>
      </c>
      <c r="M1194" s="199"/>
      <c r="N1194" s="199"/>
      <c r="O1194" s="193"/>
      <c r="P1194" s="193"/>
      <c r="Q1194" s="200"/>
      <c r="R1194" s="86"/>
      <c r="S1194" s="114">
        <f t="shared" ref="S1194:T1194" si="1195">A1194</f>
        <v>1194</v>
      </c>
      <c r="T1194" s="114" t="str">
        <f t="shared" si="1195"/>
        <v>امید اسدی</v>
      </c>
      <c r="U1194" s="86" t="str">
        <f t="shared" si="3"/>
        <v>09353638868</v>
      </c>
      <c r="V1194" s="86" t="str">
        <f t="shared" si="4"/>
        <v>پیش‌وایی 10</v>
      </c>
      <c r="W1194" s="86"/>
      <c r="X1194" s="86"/>
    </row>
    <row r="1195">
      <c r="A1195" s="201">
        <v>1195.0</v>
      </c>
      <c r="B1195" s="202" t="s">
        <v>5575</v>
      </c>
      <c r="C1195" s="203" t="s">
        <v>5576</v>
      </c>
      <c r="D1195" s="204" t="str">
        <f>IFERROR(__xludf.DUMMYFUNCTION("ARRAYFORMULA(LET( converted, SUBSTITUTE( SUBSTITUTE( SUBSTITUTE( SUBSTITUTE( SUBSTITUTE( SUBSTITUTE( SUBSTITUTE( SUBSTITUTE( SUBSTITUTE( SUBSTITUTE( C1195, ""۰"", ""0""), ""۱"", ""1""), ""۲"", ""2""), ""۳"", ""3""), ""۴"", ""4""), ""۵"", ""5""), ""۶"", """&amp;"6""), ""۷"", ""7""), ""۸"", ""8""), ""۹"", ""9""), IF(LEFT(converted,3)=""+98"", ""0"" &amp; RIGHT(converted, LEN(converted)-3), IF(LEFT(converted,2)=""98"", ""0"" &amp; RIGHT(converted, LEN(converted)-2), IF(LEFT(converted,1)&lt;&gt;""0"", ""0"" &amp; converted, REGEXREPL"&amp;"ACE(converted , ""\s"", """")) ) ) ) )"),"09124449002")</f>
        <v>09124449002</v>
      </c>
      <c r="E1195" s="205" t="s">
        <v>17</v>
      </c>
      <c r="F1195" s="206">
        <v>10.0</v>
      </c>
      <c r="G1195" s="202"/>
      <c r="H1195" s="202"/>
      <c r="I1195" s="203"/>
      <c r="J1195" s="203"/>
      <c r="K1195" s="207" t="s">
        <v>1704</v>
      </c>
      <c r="L1195" s="207" t="s">
        <v>5577</v>
      </c>
      <c r="M1195" s="207"/>
      <c r="N1195" s="213"/>
      <c r="O1195" s="202"/>
      <c r="P1195" s="202"/>
      <c r="Q1195" s="208"/>
      <c r="R1195" s="86"/>
      <c r="S1195" s="114">
        <f t="shared" ref="S1195:T1195" si="1196">A1195</f>
        <v>1195</v>
      </c>
      <c r="T1195" s="114" t="str">
        <f t="shared" si="1196"/>
        <v>امید غفاری نیا</v>
      </c>
      <c r="U1195" s="86" t="str">
        <f t="shared" si="3"/>
        <v>09124449002</v>
      </c>
      <c r="V1195" s="86" t="str">
        <f t="shared" si="4"/>
        <v>پیش‌وایی 10</v>
      </c>
      <c r="W1195" s="86"/>
      <c r="X1195" s="86"/>
    </row>
    <row r="1196">
      <c r="A1196" s="192">
        <v>1196.0</v>
      </c>
      <c r="B1196" s="193" t="s">
        <v>5578</v>
      </c>
      <c r="C1196" s="194" t="s">
        <v>5579</v>
      </c>
      <c r="D1196" s="195" t="str">
        <f>IFERROR(__xludf.DUMMYFUNCTION("ARRAYFORMULA(LET( converted, SUBSTITUTE( SUBSTITUTE( SUBSTITUTE( SUBSTITUTE( SUBSTITUTE( SUBSTITUTE( SUBSTITUTE( SUBSTITUTE( SUBSTITUTE( SUBSTITUTE( C1196, ""۰"", ""0""), ""۱"", ""1""), ""۲"", ""2""), ""۳"", ""3""), ""۴"", ""4""), ""۵"", ""5""), ""۶"", """&amp;"6""), ""۷"", ""7""), ""۸"", ""8""), ""۹"", ""9""), IF(LEFT(converted,3)=""+98"", ""0"" &amp; RIGHT(converted, LEN(converted)-3), IF(LEFT(converted,2)=""98"", ""0"" &amp; RIGHT(converted, LEN(converted)-2), IF(LEFT(converted,1)&lt;&gt;""0"", ""0"" &amp; converted, REGEXREPL"&amp;"ACE(converted , ""\s"", """")) ) ) ) )"),"09212792657")</f>
        <v>09212792657</v>
      </c>
      <c r="E1196" s="196" t="s">
        <v>17</v>
      </c>
      <c r="F1196" s="197">
        <v>10.0</v>
      </c>
      <c r="G1196" s="193"/>
      <c r="H1196" s="193"/>
      <c r="I1196" s="194"/>
      <c r="J1196" s="194"/>
      <c r="K1196" s="199" t="s">
        <v>192</v>
      </c>
      <c r="L1196" s="199" t="s">
        <v>193</v>
      </c>
      <c r="M1196" s="199"/>
      <c r="N1196" s="199"/>
      <c r="O1196" s="193"/>
      <c r="P1196" s="193"/>
      <c r="Q1196" s="200"/>
      <c r="R1196" s="86"/>
      <c r="S1196" s="114">
        <f t="shared" ref="S1196:T1196" si="1197">A1196</f>
        <v>1196</v>
      </c>
      <c r="T1196" s="114" t="str">
        <f t="shared" si="1197"/>
        <v>امیرحسین رضازاده</v>
      </c>
      <c r="U1196" s="86" t="str">
        <f t="shared" si="3"/>
        <v>09212792657</v>
      </c>
      <c r="V1196" s="86" t="str">
        <f t="shared" si="4"/>
        <v>پیش‌وایی 10</v>
      </c>
      <c r="W1196" s="86"/>
      <c r="X1196" s="86"/>
    </row>
    <row r="1197">
      <c r="A1197" s="201">
        <v>1197.0</v>
      </c>
      <c r="B1197" s="202" t="s">
        <v>4757</v>
      </c>
      <c r="C1197" s="203" t="s">
        <v>5308</v>
      </c>
      <c r="D1197" s="204" t="str">
        <f>IFERROR(__xludf.DUMMYFUNCTION("ARRAYFORMULA(LET( converted, SUBSTITUTE( SUBSTITUTE( SUBSTITUTE( SUBSTITUTE( SUBSTITUTE( SUBSTITUTE( SUBSTITUTE( SUBSTITUTE( SUBSTITUTE( SUBSTITUTE( C1197, ""۰"", ""0""), ""۱"", ""1""), ""۲"", ""2""), ""۳"", ""3""), ""۴"", ""4""), ""۵"", ""5""), ""۶"", """&amp;"6""), ""۷"", ""7""), ""۸"", ""8""), ""۹"", ""9""), IF(LEFT(converted,3)=""+98"", ""0"" &amp; RIGHT(converted, LEN(converted)-3), IF(LEFT(converted,2)=""98"", ""0"" &amp; RIGHT(converted, LEN(converted)-2), IF(LEFT(converted,1)&lt;&gt;""0"", ""0"" &amp; converted, REGEXREPL"&amp;"ACE(converted , ""\s"", """")) ) ) ) )"),"09120882522")</f>
        <v>09120882522</v>
      </c>
      <c r="E1197" s="205" t="s">
        <v>17</v>
      </c>
      <c r="F1197" s="206">
        <v>10.0</v>
      </c>
      <c r="G1197" s="202"/>
      <c r="H1197" s="202"/>
      <c r="I1197" s="203"/>
      <c r="J1197" s="203"/>
      <c r="K1197" s="207" t="s">
        <v>192</v>
      </c>
      <c r="L1197" s="207" t="s">
        <v>4759</v>
      </c>
      <c r="M1197" s="207"/>
      <c r="N1197" s="207"/>
      <c r="O1197" s="202"/>
      <c r="P1197" s="202"/>
      <c r="Q1197" s="208"/>
      <c r="R1197" s="86"/>
      <c r="S1197" s="114">
        <f t="shared" ref="S1197:T1197" si="1198">A1197</f>
        <v>1197</v>
      </c>
      <c r="T1197" s="114" t="str">
        <f t="shared" si="1198"/>
        <v>امیرحسین قوام</v>
      </c>
      <c r="U1197" s="86" t="str">
        <f t="shared" si="3"/>
        <v>09120882522</v>
      </c>
      <c r="V1197" s="86" t="str">
        <f t="shared" si="4"/>
        <v>پیش‌وایی 10</v>
      </c>
      <c r="W1197" s="86"/>
      <c r="X1197" s="86"/>
    </row>
    <row r="1198">
      <c r="A1198" s="192">
        <v>1198.0</v>
      </c>
      <c r="B1198" s="193" t="s">
        <v>5580</v>
      </c>
      <c r="C1198" s="194" t="s">
        <v>5581</v>
      </c>
      <c r="D1198" s="195" t="str">
        <f>IFERROR(__xludf.DUMMYFUNCTION("ARRAYFORMULA(LET( converted, SUBSTITUTE( SUBSTITUTE( SUBSTITUTE( SUBSTITUTE( SUBSTITUTE( SUBSTITUTE( SUBSTITUTE( SUBSTITUTE( SUBSTITUTE( SUBSTITUTE( C1198, ""۰"", ""0""), ""۱"", ""1""), ""۲"", ""2""), ""۳"", ""3""), ""۴"", ""4""), ""۵"", ""5""), ""۶"", """&amp;"6""), ""۷"", ""7""), ""۸"", ""8""), ""۹"", ""9""), IF(LEFT(converted,3)=""+98"", ""0"" &amp; RIGHT(converted, LEN(converted)-3), IF(LEFT(converted,2)=""98"", ""0"" &amp; RIGHT(converted, LEN(converted)-2), IF(LEFT(converted,1)&lt;&gt;""0"", ""0"" &amp; converted, REGEXREPL"&amp;"ACE(converted , ""\s"", """")) ) ) ) )"),"09125707560")</f>
        <v>09125707560</v>
      </c>
      <c r="E1198" s="196" t="s">
        <v>17</v>
      </c>
      <c r="F1198" s="197">
        <v>10.0</v>
      </c>
      <c r="G1198" s="193"/>
      <c r="H1198" s="193"/>
      <c r="I1198" s="194"/>
      <c r="J1198" s="194"/>
      <c r="K1198" s="199" t="s">
        <v>192</v>
      </c>
      <c r="L1198" s="199" t="s">
        <v>5582</v>
      </c>
      <c r="M1198" s="199"/>
      <c r="N1198" s="199"/>
      <c r="O1198" s="193"/>
      <c r="P1198" s="193"/>
      <c r="Q1198" s="200"/>
      <c r="R1198" s="86"/>
      <c r="S1198" s="114">
        <f t="shared" ref="S1198:T1198" si="1199">A1198</f>
        <v>1198</v>
      </c>
      <c r="T1198" s="114" t="str">
        <f t="shared" si="1199"/>
        <v>امیرحسین کیقبادی</v>
      </c>
      <c r="U1198" s="86" t="str">
        <f t="shared" si="3"/>
        <v>09125707560</v>
      </c>
      <c r="V1198" s="86" t="str">
        <f t="shared" si="4"/>
        <v>پیش‌وایی 10</v>
      </c>
      <c r="W1198" s="86"/>
      <c r="X1198" s="86"/>
    </row>
    <row r="1199">
      <c r="A1199" s="201">
        <v>1199.0</v>
      </c>
      <c r="B1199" s="202" t="s">
        <v>5583</v>
      </c>
      <c r="C1199" s="203" t="s">
        <v>5584</v>
      </c>
      <c r="D1199" s="204" t="str">
        <f>IFERROR(__xludf.DUMMYFUNCTION("ARRAYFORMULA(LET( converted, SUBSTITUTE( SUBSTITUTE( SUBSTITUTE( SUBSTITUTE( SUBSTITUTE( SUBSTITUTE( SUBSTITUTE( SUBSTITUTE( SUBSTITUTE( SUBSTITUTE( C1199, ""۰"", ""0""), ""۱"", ""1""), ""۲"", ""2""), ""۳"", ""3""), ""۴"", ""4""), ""۵"", ""5""), ""۶"", """&amp;"6""), ""۷"", ""7""), ""۸"", ""8""), ""۹"", ""9""), IF(LEFT(converted,3)=""+98"", ""0"" &amp; RIGHT(converted, LEN(converted)-3), IF(LEFT(converted,2)=""98"", ""0"" &amp; RIGHT(converted, LEN(converted)-2), IF(LEFT(converted,1)&lt;&gt;""0"", ""0"" &amp; converted, REGEXREPL"&amp;"ACE(converted , ""\s"", """")) ) ) ) )"),"09108437191")</f>
        <v>09108437191</v>
      </c>
      <c r="E1199" s="205" t="s">
        <v>17</v>
      </c>
      <c r="F1199" s="206">
        <v>10.0</v>
      </c>
      <c r="G1199" s="202"/>
      <c r="H1199" s="202"/>
      <c r="I1199" s="203"/>
      <c r="J1199" s="203"/>
      <c r="K1199" s="207" t="s">
        <v>5585</v>
      </c>
      <c r="L1199" s="207" t="s">
        <v>1679</v>
      </c>
      <c r="M1199" s="207"/>
      <c r="N1199" s="207"/>
      <c r="O1199" s="202"/>
      <c r="P1199" s="202"/>
      <c r="Q1199" s="208"/>
      <c r="R1199" s="86"/>
      <c r="S1199" s="114">
        <f t="shared" ref="S1199:T1199" si="1200">A1199</f>
        <v>1199</v>
      </c>
      <c r="T1199" s="114" t="str">
        <f t="shared" si="1200"/>
        <v>امیرمحمدمحتشم عارف</v>
      </c>
      <c r="U1199" s="86" t="str">
        <f t="shared" si="3"/>
        <v>09108437191</v>
      </c>
      <c r="V1199" s="86" t="str">
        <f t="shared" si="4"/>
        <v>پیش‌وایی 10</v>
      </c>
      <c r="W1199" s="86"/>
      <c r="X1199" s="86"/>
    </row>
    <row r="1200">
      <c r="A1200" s="192">
        <v>1200.0</v>
      </c>
      <c r="B1200" s="193" t="s">
        <v>3402</v>
      </c>
      <c r="C1200" s="194" t="s">
        <v>5586</v>
      </c>
      <c r="D1200" s="195" t="str">
        <f>IFERROR(__xludf.DUMMYFUNCTION("ARRAYFORMULA(LET( converted, SUBSTITUTE( SUBSTITUTE( SUBSTITUTE( SUBSTITUTE( SUBSTITUTE( SUBSTITUTE( SUBSTITUTE( SUBSTITUTE( SUBSTITUTE( SUBSTITUTE( C1200, ""۰"", ""0""), ""۱"", ""1""), ""۲"", ""2""), ""۳"", ""3""), ""۴"", ""4""), ""۵"", ""5""), ""۶"", """&amp;"6""), ""۷"", ""7""), ""۸"", ""8""), ""۹"", ""9""), IF(LEFT(converted,3)=""+98"", ""0"" &amp; RIGHT(converted, LEN(converted)-3), IF(LEFT(converted,2)=""98"", ""0"" &amp; RIGHT(converted, LEN(converted)-2), IF(LEFT(converted,1)&lt;&gt;""0"", ""0"" &amp; converted, REGEXREPL"&amp;"ACE(converted , ""\s"", """")) ) ) ) )"),"09120895989")</f>
        <v>09120895989</v>
      </c>
      <c r="E1200" s="196" t="s">
        <v>17</v>
      </c>
      <c r="F1200" s="197">
        <v>10.0</v>
      </c>
      <c r="G1200" s="193"/>
      <c r="H1200" s="193"/>
      <c r="I1200" s="194"/>
      <c r="J1200" s="194"/>
      <c r="K1200" s="199" t="s">
        <v>3406</v>
      </c>
      <c r="L1200" s="199" t="s">
        <v>3407</v>
      </c>
      <c r="M1200" s="199"/>
      <c r="N1200" s="199"/>
      <c r="O1200" s="193"/>
      <c r="P1200" s="193"/>
      <c r="Q1200" s="200"/>
      <c r="R1200" s="86"/>
      <c r="S1200" s="114">
        <f t="shared" ref="S1200:T1200" si="1201">A1200</f>
        <v>1200</v>
      </c>
      <c r="T1200" s="114" t="str">
        <f t="shared" si="1201"/>
        <v>بردیا سیداحمدنیا</v>
      </c>
      <c r="U1200" s="86" t="str">
        <f t="shared" si="3"/>
        <v>09120895989</v>
      </c>
      <c r="V1200" s="86" t="str">
        <f t="shared" si="4"/>
        <v>پیش‌وایی 10</v>
      </c>
      <c r="W1200" s="86"/>
      <c r="X1200" s="86"/>
    </row>
    <row r="1201">
      <c r="A1201" s="201">
        <v>1201.0</v>
      </c>
      <c r="B1201" s="202" t="s">
        <v>5587</v>
      </c>
      <c r="C1201" s="203" t="s">
        <v>5588</v>
      </c>
      <c r="D1201" s="204" t="str">
        <f>IFERROR(__xludf.DUMMYFUNCTION("ARRAYFORMULA(LET( converted, SUBSTITUTE( SUBSTITUTE( SUBSTITUTE( SUBSTITUTE( SUBSTITUTE( SUBSTITUTE( SUBSTITUTE( SUBSTITUTE( SUBSTITUTE( SUBSTITUTE( C1201, ""۰"", ""0""), ""۱"", ""1""), ""۲"", ""2""), ""۳"", ""3""), ""۴"", ""4""), ""۵"", ""5""), ""۶"", """&amp;"6""), ""۷"", ""7""), ""۸"", ""8""), ""۹"", ""9""), IF(LEFT(converted,3)=""+98"", ""0"" &amp; RIGHT(converted, LEN(converted)-3), IF(LEFT(converted,2)=""98"", ""0"" &amp; RIGHT(converted, LEN(converted)-2), IF(LEFT(converted,1)&lt;&gt;""0"", ""0"" &amp; converted, REGEXREPL"&amp;"ACE(converted , ""\s"", """")) ) ) ) )"),"09366667856")</f>
        <v>09366667856</v>
      </c>
      <c r="E1201" s="205" t="s">
        <v>17</v>
      </c>
      <c r="F1201" s="206">
        <v>10.0</v>
      </c>
      <c r="G1201" s="202"/>
      <c r="H1201" s="202"/>
      <c r="I1201" s="203"/>
      <c r="J1201" s="203"/>
      <c r="K1201" s="207" t="s">
        <v>222</v>
      </c>
      <c r="L1201" s="207" t="s">
        <v>5589</v>
      </c>
      <c r="M1201" s="207"/>
      <c r="N1201" s="207"/>
      <c r="O1201" s="202"/>
      <c r="P1201" s="202"/>
      <c r="Q1201" s="208"/>
      <c r="R1201" s="86"/>
      <c r="S1201" s="114">
        <f t="shared" ref="S1201:T1201" si="1202">A1201</f>
        <v>1201</v>
      </c>
      <c r="T1201" s="114" t="str">
        <f t="shared" si="1202"/>
        <v>بهنام کواکبی</v>
      </c>
      <c r="U1201" s="86" t="str">
        <f t="shared" si="3"/>
        <v>09366667856</v>
      </c>
      <c r="V1201" s="86" t="str">
        <f t="shared" si="4"/>
        <v>پیش‌وایی 10</v>
      </c>
      <c r="W1201" s="86"/>
      <c r="X1201" s="86"/>
    </row>
    <row r="1202">
      <c r="A1202" s="192">
        <v>1202.0</v>
      </c>
      <c r="B1202" s="193" t="s">
        <v>5590</v>
      </c>
      <c r="C1202" s="194" t="s">
        <v>5591</v>
      </c>
      <c r="D1202" s="195" t="str">
        <f>IFERROR(__xludf.DUMMYFUNCTION("ARRAYFORMULA(LET( converted, SUBSTITUTE( SUBSTITUTE( SUBSTITUTE( SUBSTITUTE( SUBSTITUTE( SUBSTITUTE( SUBSTITUTE( SUBSTITUTE( SUBSTITUTE( SUBSTITUTE( C1202, ""۰"", ""0""), ""۱"", ""1""), ""۲"", ""2""), ""۳"", ""3""), ""۴"", ""4""), ""۵"", ""5""), ""۶"", """&amp;"6""), ""۷"", ""7""), ""۸"", ""8""), ""۹"", ""9""), IF(LEFT(converted,3)=""+98"", ""0"" &amp; RIGHT(converted, LEN(converted)-3), IF(LEFT(converted,2)=""98"", ""0"" &amp; RIGHT(converted, LEN(converted)-2), IF(LEFT(converted,1)&lt;&gt;""0"", ""0"" &amp; converted, REGEXREPL"&amp;"ACE(converted , ""\s"", """")) ) ) ) )"),"09118911002")</f>
        <v>09118911002</v>
      </c>
      <c r="E1202" s="196" t="s">
        <v>17</v>
      </c>
      <c r="F1202" s="197">
        <v>10.0</v>
      </c>
      <c r="G1202" s="193"/>
      <c r="H1202" s="193"/>
      <c r="I1202" s="194"/>
      <c r="J1202" s="194"/>
      <c r="K1202" s="199" t="s">
        <v>2369</v>
      </c>
      <c r="L1202" s="199" t="s">
        <v>5592</v>
      </c>
      <c r="M1202" s="199"/>
      <c r="N1202" s="199"/>
      <c r="O1202" s="193"/>
      <c r="P1202" s="193"/>
      <c r="Q1202" s="200"/>
      <c r="R1202" s="86"/>
      <c r="S1202" s="114">
        <f t="shared" ref="S1202:T1202" si="1203">A1202</f>
        <v>1202</v>
      </c>
      <c r="T1202" s="114" t="str">
        <f t="shared" si="1203"/>
        <v>بیتا حسین نژاد</v>
      </c>
      <c r="U1202" s="86" t="str">
        <f t="shared" si="3"/>
        <v>09118911002</v>
      </c>
      <c r="V1202" s="86" t="str">
        <f t="shared" si="4"/>
        <v>پیش‌وایی 10</v>
      </c>
      <c r="W1202" s="86"/>
      <c r="X1202" s="86"/>
    </row>
    <row r="1203">
      <c r="A1203" s="201">
        <v>1203.0</v>
      </c>
      <c r="B1203" s="202" t="s">
        <v>5593</v>
      </c>
      <c r="C1203" s="203" t="s">
        <v>5594</v>
      </c>
      <c r="D1203" s="204" t="str">
        <f>IFERROR(__xludf.DUMMYFUNCTION("ARRAYFORMULA(LET( converted, SUBSTITUTE( SUBSTITUTE( SUBSTITUTE( SUBSTITUTE( SUBSTITUTE( SUBSTITUTE( SUBSTITUTE( SUBSTITUTE( SUBSTITUTE( SUBSTITUTE( C1203, ""۰"", ""0""), ""۱"", ""1""), ""۲"", ""2""), ""۳"", ""3""), ""۴"", ""4""), ""۵"", ""5""), ""۶"", """&amp;"6""), ""۷"", ""7""), ""۸"", ""8""), ""۹"", ""9""), IF(LEFT(converted,3)=""+98"", ""0"" &amp; RIGHT(converted, LEN(converted)-3), IF(LEFT(converted,2)=""98"", ""0"" &amp; RIGHT(converted, LEN(converted)-2), IF(LEFT(converted,1)&lt;&gt;""0"", ""0"" &amp; converted, REGEXREPL"&amp;"ACE(converted , ""\s"", """")) ) ) ) )"),"09394570707")</f>
        <v>09394570707</v>
      </c>
      <c r="E1203" s="205" t="s">
        <v>17</v>
      </c>
      <c r="F1203" s="206">
        <v>10.0</v>
      </c>
      <c r="G1203" s="202"/>
      <c r="H1203" s="202"/>
      <c r="I1203" s="203"/>
      <c r="J1203" s="203"/>
      <c r="K1203" s="207" t="s">
        <v>5595</v>
      </c>
      <c r="L1203" s="207" t="s">
        <v>5596</v>
      </c>
      <c r="M1203" s="207"/>
      <c r="N1203" s="207"/>
      <c r="O1203" s="202"/>
      <c r="P1203" s="202"/>
      <c r="Q1203" s="208"/>
      <c r="R1203" s="86"/>
      <c r="S1203" s="114">
        <f t="shared" ref="S1203:T1203" si="1204">A1203</f>
        <v>1203</v>
      </c>
      <c r="T1203" s="114" t="str">
        <f t="shared" si="1204"/>
        <v>پژمان امین پور</v>
      </c>
      <c r="U1203" s="86" t="str">
        <f t="shared" si="3"/>
        <v>09394570707</v>
      </c>
      <c r="V1203" s="86" t="str">
        <f t="shared" si="4"/>
        <v>پیش‌وایی 10</v>
      </c>
      <c r="W1203" s="86"/>
      <c r="X1203" s="86"/>
    </row>
    <row r="1204">
      <c r="A1204" s="192">
        <v>1204.0</v>
      </c>
      <c r="B1204" s="193" t="s">
        <v>5597</v>
      </c>
      <c r="C1204" s="194" t="s">
        <v>5598</v>
      </c>
      <c r="D1204" s="195" t="str">
        <f>IFERROR(__xludf.DUMMYFUNCTION("ARRAYFORMULA(LET( converted, SUBSTITUTE( SUBSTITUTE( SUBSTITUTE( SUBSTITUTE( SUBSTITUTE( SUBSTITUTE( SUBSTITUTE( SUBSTITUTE( SUBSTITUTE( SUBSTITUTE( C1204, ""۰"", ""0""), ""۱"", ""1""), ""۲"", ""2""), ""۳"", ""3""), ""۴"", ""4""), ""۵"", ""5""), ""۶"", """&amp;"6""), ""۷"", ""7""), ""۸"", ""8""), ""۹"", ""9""), IF(LEFT(converted,3)=""+98"", ""0"" &amp; RIGHT(converted, LEN(converted)-3), IF(LEFT(converted,2)=""98"", ""0"" &amp; RIGHT(converted, LEN(converted)-2), IF(LEFT(converted,1)&lt;&gt;""0"", ""0"" &amp; converted, REGEXREPL"&amp;"ACE(converted , ""\s"", """")) ) ) ) )"),"09122885077")</f>
        <v>09122885077</v>
      </c>
      <c r="E1204" s="196" t="s">
        <v>17</v>
      </c>
      <c r="F1204" s="197">
        <v>10.0</v>
      </c>
      <c r="G1204" s="193"/>
      <c r="H1204" s="193"/>
      <c r="I1204" s="194"/>
      <c r="J1204" s="194"/>
      <c r="K1204" s="199" t="s">
        <v>4798</v>
      </c>
      <c r="L1204" s="199" t="s">
        <v>5599</v>
      </c>
      <c r="M1204" s="199"/>
      <c r="N1204" s="199"/>
      <c r="O1204" s="193"/>
      <c r="P1204" s="193"/>
      <c r="Q1204" s="200"/>
      <c r="R1204" s="86"/>
      <c r="S1204" s="114">
        <f t="shared" ref="S1204:T1204" si="1205">A1204</f>
        <v>1204</v>
      </c>
      <c r="T1204" s="114" t="str">
        <f t="shared" si="1205"/>
        <v>توحید علی‌اشرفی</v>
      </c>
      <c r="U1204" s="86" t="str">
        <f t="shared" si="3"/>
        <v>09122885077</v>
      </c>
      <c r="V1204" s="86" t="str">
        <f t="shared" si="4"/>
        <v>پیش‌وایی 10</v>
      </c>
      <c r="W1204" s="86"/>
      <c r="X1204" s="86"/>
    </row>
    <row r="1205">
      <c r="A1205" s="201">
        <v>1205.0</v>
      </c>
      <c r="B1205" s="202" t="s">
        <v>5600</v>
      </c>
      <c r="C1205" s="203" t="s">
        <v>5601</v>
      </c>
      <c r="D1205" s="204" t="str">
        <f>IFERROR(__xludf.DUMMYFUNCTION("ARRAYFORMULA(LET( converted, SUBSTITUTE( SUBSTITUTE( SUBSTITUTE( SUBSTITUTE( SUBSTITUTE( SUBSTITUTE( SUBSTITUTE( SUBSTITUTE( SUBSTITUTE( SUBSTITUTE( C1205, ""۰"", ""0""), ""۱"", ""1""), ""۲"", ""2""), ""۳"", ""3""), ""۴"", ""4""), ""۵"", ""5""), ""۶"", """&amp;"6""), ""۷"", ""7""), ""۸"", ""8""), ""۹"", ""9""), IF(LEFT(converted,3)=""+98"", ""0"" &amp; RIGHT(converted, LEN(converted)-3), IF(LEFT(converted,2)=""98"", ""0"" &amp; RIGHT(converted, LEN(converted)-2), IF(LEFT(converted,1)&lt;&gt;""0"", ""0"" &amp; converted, REGEXREPL"&amp;"ACE(converted , ""\s"", """")) ) ) ) )"),"09359407205")</f>
        <v>09359407205</v>
      </c>
      <c r="E1205" s="205" t="s">
        <v>17</v>
      </c>
      <c r="F1205" s="206">
        <v>10.0</v>
      </c>
      <c r="G1205" s="202"/>
      <c r="H1205" s="202"/>
      <c r="I1205" s="203"/>
      <c r="J1205" s="203"/>
      <c r="K1205" s="207" t="s">
        <v>5602</v>
      </c>
      <c r="L1205" s="207" t="s">
        <v>2760</v>
      </c>
      <c r="M1205" s="207"/>
      <c r="N1205" s="207"/>
      <c r="O1205" s="202"/>
      <c r="P1205" s="202"/>
      <c r="Q1205" s="208"/>
      <c r="R1205" s="86"/>
      <c r="S1205" s="114">
        <f t="shared" ref="S1205:T1205" si="1206">A1205</f>
        <v>1205</v>
      </c>
      <c r="T1205" s="114" t="str">
        <f t="shared" si="1206"/>
        <v>آنالی غضنفری</v>
      </c>
      <c r="U1205" s="86" t="str">
        <f t="shared" si="3"/>
        <v>09359407205</v>
      </c>
      <c r="V1205" s="86" t="str">
        <f t="shared" si="4"/>
        <v>پیش‌وایی 10</v>
      </c>
      <c r="W1205" s="86"/>
      <c r="X1205" s="86"/>
    </row>
    <row r="1206">
      <c r="A1206" s="192">
        <v>1206.0</v>
      </c>
      <c r="B1206" s="193" t="s">
        <v>5603</v>
      </c>
      <c r="C1206" s="194" t="s">
        <v>5604</v>
      </c>
      <c r="D1206" s="195" t="str">
        <f>IFERROR(__xludf.DUMMYFUNCTION("ARRAYFORMULA(LET( converted, SUBSTITUTE( SUBSTITUTE( SUBSTITUTE( SUBSTITUTE( SUBSTITUTE( SUBSTITUTE( SUBSTITUTE( SUBSTITUTE( SUBSTITUTE( SUBSTITUTE( C1206, ""۰"", ""0""), ""۱"", ""1""), ""۲"", ""2""), ""۳"", ""3""), ""۴"", ""4""), ""۵"", ""5""), ""۶"", """&amp;"6""), ""۷"", ""7""), ""۸"", ""8""), ""۹"", ""9""), IF(LEFT(converted,3)=""+98"", ""0"" &amp; RIGHT(converted, LEN(converted)-3), IF(LEFT(converted,2)=""98"", ""0"" &amp; RIGHT(converted, LEN(converted)-2), IF(LEFT(converted,1)&lt;&gt;""0"", ""0"" &amp; converted, REGEXREPL"&amp;"ACE(converted , ""\s"", """")) ) ) ) )"),"09144044463")</f>
        <v>09144044463</v>
      </c>
      <c r="E1206" s="196" t="s">
        <v>17</v>
      </c>
      <c r="F1206" s="197">
        <v>10.0</v>
      </c>
      <c r="G1206" s="193"/>
      <c r="H1206" s="193"/>
      <c r="I1206" s="194"/>
      <c r="J1206" s="194"/>
      <c r="K1206" s="199" t="s">
        <v>3453</v>
      </c>
      <c r="L1206" s="199" t="s">
        <v>5605</v>
      </c>
      <c r="M1206" s="199"/>
      <c r="N1206" s="199"/>
      <c r="O1206" s="193"/>
      <c r="P1206" s="193"/>
      <c r="Q1206" s="200"/>
      <c r="R1206" s="86"/>
      <c r="S1206" s="114">
        <f t="shared" ref="S1206:T1206" si="1207">A1206</f>
        <v>1206</v>
      </c>
      <c r="T1206" s="114" t="str">
        <f t="shared" si="1207"/>
        <v>ثنا شمسافر</v>
      </c>
      <c r="U1206" s="86" t="str">
        <f t="shared" si="3"/>
        <v>09144044463</v>
      </c>
      <c r="V1206" s="86" t="str">
        <f t="shared" si="4"/>
        <v>پیش‌وایی 10</v>
      </c>
      <c r="W1206" s="86"/>
      <c r="X1206" s="86"/>
    </row>
    <row r="1207">
      <c r="A1207" s="201">
        <v>1207.0</v>
      </c>
      <c r="B1207" s="202" t="s">
        <v>5606</v>
      </c>
      <c r="C1207" s="203" t="s">
        <v>5607</v>
      </c>
      <c r="D1207" s="204" t="str">
        <f>IFERROR(__xludf.DUMMYFUNCTION("ARRAYFORMULA(LET( converted, SUBSTITUTE( SUBSTITUTE( SUBSTITUTE( SUBSTITUTE( SUBSTITUTE( SUBSTITUTE( SUBSTITUTE( SUBSTITUTE( SUBSTITUTE( SUBSTITUTE( C1207, ""۰"", ""0""), ""۱"", ""1""), ""۲"", ""2""), ""۳"", ""3""), ""۴"", ""4""), ""۵"", ""5""), ""۶"", """&amp;"6""), ""۷"", ""7""), ""۸"", ""8""), ""۹"", ""9""), IF(LEFT(converted,3)=""+98"", ""0"" &amp; RIGHT(converted, LEN(converted)-3), IF(LEFT(converted,2)=""98"", ""0"" &amp; RIGHT(converted, LEN(converted)-2), IF(LEFT(converted,1)&lt;&gt;""0"", ""0"" &amp; converted, REGEXREPL"&amp;"ACE(converted , ""\s"", """")) ) ) ) )"),"09195111285")</f>
        <v>09195111285</v>
      </c>
      <c r="E1207" s="205" t="s">
        <v>17</v>
      </c>
      <c r="F1207" s="206">
        <v>10.0</v>
      </c>
      <c r="G1207" s="202"/>
      <c r="H1207" s="202"/>
      <c r="I1207" s="203"/>
      <c r="J1207" s="203"/>
      <c r="K1207" s="207" t="s">
        <v>1248</v>
      </c>
      <c r="L1207" s="207" t="s">
        <v>5608</v>
      </c>
      <c r="M1207" s="207"/>
      <c r="N1207" s="207"/>
      <c r="O1207" s="202"/>
      <c r="P1207" s="202"/>
      <c r="Q1207" s="208"/>
      <c r="R1207" s="86"/>
      <c r="S1207" s="114">
        <f t="shared" ref="S1207:T1207" si="1208">A1207</f>
        <v>1207</v>
      </c>
      <c r="T1207" s="114" t="str">
        <f t="shared" si="1208"/>
        <v>جواد هادی زاده</v>
      </c>
      <c r="U1207" s="86" t="str">
        <f t="shared" si="3"/>
        <v>09195111285</v>
      </c>
      <c r="V1207" s="86" t="str">
        <f t="shared" si="4"/>
        <v>پیش‌وایی 10</v>
      </c>
      <c r="W1207" s="86"/>
      <c r="X1207" s="86"/>
    </row>
    <row r="1208">
      <c r="A1208" s="192">
        <v>1208.0</v>
      </c>
      <c r="B1208" s="193" t="s">
        <v>3504</v>
      </c>
      <c r="C1208" s="194" t="s">
        <v>5609</v>
      </c>
      <c r="D1208" s="195" t="str">
        <f>IFERROR(__xludf.DUMMYFUNCTION("ARRAYFORMULA(LET( converted, SUBSTITUTE( SUBSTITUTE( SUBSTITUTE( SUBSTITUTE( SUBSTITUTE( SUBSTITUTE( SUBSTITUTE( SUBSTITUTE( SUBSTITUTE( SUBSTITUTE( C1208, ""۰"", ""0""), ""۱"", ""1""), ""۲"", ""2""), ""۳"", ""3""), ""۴"", ""4""), ""۵"", ""5""), ""۶"", """&amp;"6""), ""۷"", ""7""), ""۸"", ""8""), ""۹"", ""9""), IF(LEFT(converted,3)=""+98"", ""0"" &amp; RIGHT(converted, LEN(converted)-3), IF(LEFT(converted,2)=""98"", ""0"" &amp; RIGHT(converted, LEN(converted)-2), IF(LEFT(converted,1)&lt;&gt;""0"", ""0"" &amp; converted, REGEXREPL"&amp;"ACE(converted , ""\s"", """")) ) ) ) )"),"09355073105")</f>
        <v>09355073105</v>
      </c>
      <c r="E1208" s="196" t="s">
        <v>17</v>
      </c>
      <c r="F1208" s="197">
        <v>10.0</v>
      </c>
      <c r="G1208" s="193"/>
      <c r="H1208" s="193"/>
      <c r="I1208" s="194"/>
      <c r="J1208" s="194"/>
      <c r="K1208" s="199" t="s">
        <v>1569</v>
      </c>
      <c r="L1208" s="199" t="s">
        <v>3508</v>
      </c>
      <c r="M1208" s="199"/>
      <c r="N1208" s="199"/>
      <c r="O1208" s="193"/>
      <c r="P1208" s="193"/>
      <c r="Q1208" s="200"/>
      <c r="R1208" s="86"/>
      <c r="S1208" s="114">
        <f t="shared" ref="S1208:T1208" si="1209">A1208</f>
        <v>1208</v>
      </c>
      <c r="T1208" s="114" t="str">
        <f t="shared" si="1209"/>
        <v>حسن حمیدی</v>
      </c>
      <c r="U1208" s="86" t="str">
        <f t="shared" si="3"/>
        <v>09355073105</v>
      </c>
      <c r="V1208" s="86" t="str">
        <f t="shared" si="4"/>
        <v>پیش‌وایی 10</v>
      </c>
      <c r="W1208" s="86"/>
      <c r="X1208" s="86"/>
    </row>
    <row r="1209">
      <c r="A1209" s="201">
        <v>1209.0</v>
      </c>
      <c r="B1209" s="202" t="s">
        <v>5610</v>
      </c>
      <c r="C1209" s="203" t="s">
        <v>5611</v>
      </c>
      <c r="D1209" s="204" t="str">
        <f>IFERROR(__xludf.DUMMYFUNCTION("ARRAYFORMULA(LET( converted, SUBSTITUTE( SUBSTITUTE( SUBSTITUTE( SUBSTITUTE( SUBSTITUTE( SUBSTITUTE( SUBSTITUTE( SUBSTITUTE( SUBSTITUTE( SUBSTITUTE( C1209, ""۰"", ""0""), ""۱"", ""1""), ""۲"", ""2""), ""۳"", ""3""), ""۴"", ""4""), ""۵"", ""5""), ""۶"", """&amp;"6""), ""۷"", ""7""), ""۸"", ""8""), ""۹"", ""9""), IF(LEFT(converted,3)=""+98"", ""0"" &amp; RIGHT(converted, LEN(converted)-3), IF(LEFT(converted,2)=""98"", ""0"" &amp; RIGHT(converted, LEN(converted)-2), IF(LEFT(converted,1)&lt;&gt;""0"", ""0"" &amp; converted, REGEXREPL"&amp;"ACE(converted , ""\s"", """")) ) ) ) )"),"09366085758")</f>
        <v>09366085758</v>
      </c>
      <c r="E1209" s="205" t="s">
        <v>17</v>
      </c>
      <c r="F1209" s="206">
        <v>10.0</v>
      </c>
      <c r="G1209" s="202"/>
      <c r="H1209" s="202"/>
      <c r="I1209" s="203"/>
      <c r="J1209" s="203"/>
      <c r="K1209" s="207" t="s">
        <v>1569</v>
      </c>
      <c r="L1209" s="207" t="s">
        <v>5612</v>
      </c>
      <c r="M1209" s="207"/>
      <c r="N1209" s="207"/>
      <c r="O1209" s="202"/>
      <c r="P1209" s="202"/>
      <c r="Q1209" s="208"/>
      <c r="R1209" s="86"/>
      <c r="S1209" s="114">
        <f t="shared" ref="S1209:T1209" si="1210">A1209</f>
        <v>1209</v>
      </c>
      <c r="T1209" s="114" t="str">
        <f t="shared" si="1210"/>
        <v>حسن میررضی</v>
      </c>
      <c r="U1209" s="86" t="str">
        <f t="shared" si="3"/>
        <v>09366085758</v>
      </c>
      <c r="V1209" s="86" t="str">
        <f t="shared" si="4"/>
        <v>پیش‌وایی 10</v>
      </c>
      <c r="W1209" s="86"/>
      <c r="X1209" s="86"/>
    </row>
    <row r="1210">
      <c r="A1210" s="192">
        <v>1210.0</v>
      </c>
      <c r="B1210" s="193" t="s">
        <v>5613</v>
      </c>
      <c r="C1210" s="194" t="s">
        <v>5614</v>
      </c>
      <c r="D1210" s="195" t="str">
        <f>IFERROR(__xludf.DUMMYFUNCTION("ARRAYFORMULA(LET( converted, SUBSTITUTE( SUBSTITUTE( SUBSTITUTE( SUBSTITUTE( SUBSTITUTE( SUBSTITUTE( SUBSTITUTE( SUBSTITUTE( SUBSTITUTE( SUBSTITUTE( C1210, ""۰"", ""0""), ""۱"", ""1""), ""۲"", ""2""), ""۳"", ""3""), ""۴"", ""4""), ""۵"", ""5""), ""۶"", """&amp;"6""), ""۷"", ""7""), ""۸"", ""8""), ""۹"", ""9""), IF(LEFT(converted,3)=""+98"", ""0"" &amp; RIGHT(converted, LEN(converted)-3), IF(LEFT(converted,2)=""98"", ""0"" &amp; RIGHT(converted, LEN(converted)-2), IF(LEFT(converted,1)&lt;&gt;""0"", ""0"" &amp; converted, REGEXREPL"&amp;"ACE(converted , ""\s"", """")) ) ) ) )"),"09122753458")</f>
        <v>09122753458</v>
      </c>
      <c r="E1210" s="196" t="s">
        <v>17</v>
      </c>
      <c r="F1210" s="197">
        <v>10.0</v>
      </c>
      <c r="G1210" s="193"/>
      <c r="H1210" s="193"/>
      <c r="I1210" s="194"/>
      <c r="J1210" s="194"/>
      <c r="K1210" s="199" t="s">
        <v>896</v>
      </c>
      <c r="L1210" s="199" t="s">
        <v>5615</v>
      </c>
      <c r="M1210" s="199"/>
      <c r="N1210" s="199"/>
      <c r="O1210" s="193"/>
      <c r="P1210" s="193"/>
      <c r="Q1210" s="200"/>
      <c r="R1210" s="86"/>
      <c r="S1210" s="114">
        <f t="shared" ref="S1210:T1210" si="1211">A1210</f>
        <v>1210</v>
      </c>
      <c r="T1210" s="114" t="str">
        <f t="shared" si="1211"/>
        <v>حسین طوسی</v>
      </c>
      <c r="U1210" s="86" t="str">
        <f t="shared" si="3"/>
        <v>09122753458</v>
      </c>
      <c r="V1210" s="86" t="str">
        <f t="shared" si="4"/>
        <v>پیش‌وایی 10</v>
      </c>
      <c r="W1210" s="86"/>
      <c r="X1210" s="86"/>
    </row>
    <row r="1211">
      <c r="A1211" s="201">
        <v>1211.0</v>
      </c>
      <c r="B1211" s="202" t="s">
        <v>3003</v>
      </c>
      <c r="C1211" s="203" t="s">
        <v>5616</v>
      </c>
      <c r="D1211" s="204" t="str">
        <f>IFERROR(__xludf.DUMMYFUNCTION("ARRAYFORMULA(LET( converted, SUBSTITUTE( SUBSTITUTE( SUBSTITUTE( SUBSTITUTE( SUBSTITUTE( SUBSTITUTE( SUBSTITUTE( SUBSTITUTE( SUBSTITUTE( SUBSTITUTE( C1211, ""۰"", ""0""), ""۱"", ""1""), ""۲"", ""2""), ""۳"", ""3""), ""۴"", ""4""), ""۵"", ""5""), ""۶"", """&amp;"6""), ""۷"", ""7""), ""۸"", ""8""), ""۹"", ""9""), IF(LEFT(converted,3)=""+98"", ""0"" &amp; RIGHT(converted, LEN(converted)-3), IF(LEFT(converted,2)=""98"", ""0"" &amp; RIGHT(converted, LEN(converted)-2), IF(LEFT(converted,1)&lt;&gt;""0"", ""0"" &amp; converted, REGEXREPL"&amp;"ACE(converted , ""\s"", """")) ) ) ) )"),"09013282298")</f>
        <v>09013282298</v>
      </c>
      <c r="E1211" s="205" t="s">
        <v>17</v>
      </c>
      <c r="F1211" s="206">
        <v>10.0</v>
      </c>
      <c r="G1211" s="202"/>
      <c r="H1211" s="202"/>
      <c r="I1211" s="203"/>
      <c r="J1211" s="203"/>
      <c r="K1211" s="207" t="s">
        <v>3007</v>
      </c>
      <c r="L1211" s="207" t="s">
        <v>3008</v>
      </c>
      <c r="M1211" s="207"/>
      <c r="N1211" s="207"/>
      <c r="O1211" s="202"/>
      <c r="P1211" s="202"/>
      <c r="Q1211" s="208"/>
      <c r="R1211" s="86"/>
      <c r="S1211" s="114">
        <f t="shared" ref="S1211:T1211" si="1212">A1211</f>
        <v>1211</v>
      </c>
      <c r="T1211" s="114" t="str">
        <f t="shared" si="1212"/>
        <v>حفیظ الله فتحی پور</v>
      </c>
      <c r="U1211" s="86" t="str">
        <f t="shared" si="3"/>
        <v>09013282298</v>
      </c>
      <c r="V1211" s="86" t="str">
        <f t="shared" si="4"/>
        <v>پیش‌وایی 10</v>
      </c>
      <c r="W1211" s="86"/>
      <c r="X1211" s="86"/>
    </row>
    <row r="1212">
      <c r="A1212" s="192">
        <v>1212.0</v>
      </c>
      <c r="B1212" s="193" t="s">
        <v>5617</v>
      </c>
      <c r="C1212" s="194" t="s">
        <v>5618</v>
      </c>
      <c r="D1212" s="195" t="str">
        <f>IFERROR(__xludf.DUMMYFUNCTION("ARRAYFORMULA(LET( converted, SUBSTITUTE( SUBSTITUTE( SUBSTITUTE( SUBSTITUTE( SUBSTITUTE( SUBSTITUTE( SUBSTITUTE( SUBSTITUTE( SUBSTITUTE( SUBSTITUTE( C1212, ""۰"", ""0""), ""۱"", ""1""), ""۲"", ""2""), ""۳"", ""3""), ""۴"", ""4""), ""۵"", ""5""), ""۶"", """&amp;"6""), ""۷"", ""7""), ""۸"", ""8""), ""۹"", ""9""), IF(LEFT(converted,3)=""+98"", ""0"" &amp; RIGHT(converted, LEN(converted)-3), IF(LEFT(converted,2)=""98"", ""0"" &amp; RIGHT(converted, LEN(converted)-2), IF(LEFT(converted,1)&lt;&gt;""0"", ""0"" &amp; converted, REGEXREPL"&amp;"ACE(converted , ""\s"", """")) ) ) ) )"),"09193102292")</f>
        <v>09193102292</v>
      </c>
      <c r="E1212" s="196" t="s">
        <v>17</v>
      </c>
      <c r="F1212" s="197">
        <v>10.0</v>
      </c>
      <c r="G1212" s="193"/>
      <c r="H1212" s="193"/>
      <c r="I1212" s="194"/>
      <c r="J1212" s="194"/>
      <c r="K1212" s="199" t="s">
        <v>2280</v>
      </c>
      <c r="L1212" s="199" t="s">
        <v>5619</v>
      </c>
      <c r="M1212" s="199"/>
      <c r="N1212" s="199"/>
      <c r="O1212" s="193"/>
      <c r="P1212" s="193"/>
      <c r="Q1212" s="200"/>
      <c r="R1212" s="86"/>
      <c r="S1212" s="114">
        <f t="shared" ref="S1212:T1212" si="1213">A1212</f>
        <v>1212</v>
      </c>
      <c r="T1212" s="114" t="str">
        <f t="shared" si="1213"/>
        <v>حمیدرضا قدمنان</v>
      </c>
      <c r="U1212" s="86" t="str">
        <f t="shared" si="3"/>
        <v>09193102292</v>
      </c>
      <c r="V1212" s="86" t="str">
        <f t="shared" si="4"/>
        <v>پیش‌وایی 10</v>
      </c>
      <c r="W1212" s="86"/>
      <c r="X1212" s="86"/>
    </row>
    <row r="1213">
      <c r="A1213" s="201">
        <v>1213.0</v>
      </c>
      <c r="B1213" s="202" t="s">
        <v>5620</v>
      </c>
      <c r="C1213" s="203" t="s">
        <v>5621</v>
      </c>
      <c r="D1213" s="204" t="str">
        <f>IFERROR(__xludf.DUMMYFUNCTION("ARRAYFORMULA(LET( converted, SUBSTITUTE( SUBSTITUTE( SUBSTITUTE( SUBSTITUTE( SUBSTITUTE( SUBSTITUTE( SUBSTITUTE( SUBSTITUTE( SUBSTITUTE( SUBSTITUTE( C1213, ""۰"", ""0""), ""۱"", ""1""), ""۲"", ""2""), ""۳"", ""3""), ""۴"", ""4""), ""۵"", ""5""), ""۶"", """&amp;"6""), ""۷"", ""7""), ""۸"", ""8""), ""۹"", ""9""), IF(LEFT(converted,3)=""+98"", ""0"" &amp; RIGHT(converted, LEN(converted)-3), IF(LEFT(converted,2)=""98"", ""0"" &amp; RIGHT(converted, LEN(converted)-2), IF(LEFT(converted,1)&lt;&gt;""0"", ""0"" &amp; converted, REGEXREPL"&amp;"ACE(converted , ""\s"", """")) ) ) ) )"),"09210829141")</f>
        <v>09210829141</v>
      </c>
      <c r="E1213" s="205" t="s">
        <v>17</v>
      </c>
      <c r="F1213" s="206">
        <v>10.0</v>
      </c>
      <c r="G1213" s="202"/>
      <c r="H1213" s="202"/>
      <c r="I1213" s="203"/>
      <c r="J1213" s="203"/>
      <c r="K1213" s="207" t="s">
        <v>4739</v>
      </c>
      <c r="L1213" s="207" t="s">
        <v>1606</v>
      </c>
      <c r="M1213" s="207"/>
      <c r="N1213" s="207"/>
      <c r="O1213" s="202"/>
      <c r="P1213" s="202"/>
      <c r="Q1213" s="208"/>
      <c r="R1213" s="86"/>
      <c r="S1213" s="114">
        <f t="shared" ref="S1213:T1213" si="1214">A1213</f>
        <v>1213</v>
      </c>
      <c r="T1213" s="114" t="str">
        <f t="shared" si="1214"/>
        <v>اشکان فراهانی</v>
      </c>
      <c r="U1213" s="86" t="str">
        <f t="shared" si="3"/>
        <v>09210829141</v>
      </c>
      <c r="V1213" s="86" t="str">
        <f t="shared" si="4"/>
        <v>پیش‌وایی 10</v>
      </c>
      <c r="W1213" s="86"/>
      <c r="X1213" s="86"/>
    </row>
    <row r="1214">
      <c r="A1214" s="192">
        <v>1214.0</v>
      </c>
      <c r="B1214" s="193" t="s">
        <v>5622</v>
      </c>
      <c r="C1214" s="194" t="s">
        <v>5623</v>
      </c>
      <c r="D1214" s="195" t="str">
        <f>IFERROR(__xludf.DUMMYFUNCTION("ARRAYFORMULA(LET( converted, SUBSTITUTE( SUBSTITUTE( SUBSTITUTE( SUBSTITUTE( SUBSTITUTE( SUBSTITUTE( SUBSTITUTE( SUBSTITUTE( SUBSTITUTE( SUBSTITUTE( C1214, ""۰"", ""0""), ""۱"", ""1""), ""۲"", ""2""), ""۳"", ""3""), ""۴"", ""4""), ""۵"", ""5""), ""۶"", """&amp;"6""), ""۷"", ""7""), ""۸"", ""8""), ""۹"", ""9""), IF(LEFT(converted,3)=""+98"", ""0"" &amp; RIGHT(converted, LEN(converted)-3), IF(LEFT(converted,2)=""98"", ""0"" &amp; RIGHT(converted, LEN(converted)-2), IF(LEFT(converted,1)&lt;&gt;""0"", ""0"" &amp; converted, REGEXREPL"&amp;"ACE(converted , ""\s"", """")) ) ) ) )"),"09113324540")</f>
        <v>09113324540</v>
      </c>
      <c r="E1214" s="196" t="s">
        <v>17</v>
      </c>
      <c r="F1214" s="197">
        <v>10.0</v>
      </c>
      <c r="G1214" s="193"/>
      <c r="H1214" s="193"/>
      <c r="I1214" s="194"/>
      <c r="J1214" s="194"/>
      <c r="K1214" s="199" t="s">
        <v>5624</v>
      </c>
      <c r="L1214" s="199" t="s">
        <v>5625</v>
      </c>
      <c r="M1214" s="199"/>
      <c r="N1214" s="199"/>
      <c r="O1214" s="193"/>
      <c r="P1214" s="193"/>
      <c r="Q1214" s="200"/>
      <c r="R1214" s="86"/>
      <c r="S1214" s="114">
        <f t="shared" ref="S1214:T1214" si="1215">A1214</f>
        <v>1214</v>
      </c>
      <c r="T1214" s="114" t="str">
        <f t="shared" si="1215"/>
        <v>حورا اسماعیل زاده</v>
      </c>
      <c r="U1214" s="86" t="str">
        <f t="shared" si="3"/>
        <v>09113324540</v>
      </c>
      <c r="V1214" s="86" t="str">
        <f t="shared" si="4"/>
        <v>پیش‌وایی 10</v>
      </c>
      <c r="W1214" s="86"/>
      <c r="X1214" s="86"/>
    </row>
    <row r="1215">
      <c r="A1215" s="201">
        <v>1215.0</v>
      </c>
      <c r="B1215" s="202" t="s">
        <v>5626</v>
      </c>
      <c r="C1215" s="203" t="s">
        <v>5627</v>
      </c>
      <c r="D1215" s="204" t="str">
        <f>IFERROR(__xludf.DUMMYFUNCTION("ARRAYFORMULA(LET( converted, SUBSTITUTE( SUBSTITUTE( SUBSTITUTE( SUBSTITUTE( SUBSTITUTE( SUBSTITUTE( SUBSTITUTE( SUBSTITUTE( SUBSTITUTE( SUBSTITUTE( C1215, ""۰"", ""0""), ""۱"", ""1""), ""۲"", ""2""), ""۳"", ""3""), ""۴"", ""4""), ""۵"", ""5""), ""۶"", """&amp;"6""), ""۷"", ""7""), ""۸"", ""8""), ""۹"", ""9""), IF(LEFT(converted,3)=""+98"", ""0"" &amp; RIGHT(converted, LEN(converted)-3), IF(LEFT(converted,2)=""98"", ""0"" &amp; RIGHT(converted, LEN(converted)-2), IF(LEFT(converted,1)&lt;&gt;""0"", ""0"" &amp; converted, REGEXREPL"&amp;"ACE(converted , ""\s"", """")) ) ) ) )"),"09124037335")</f>
        <v>09124037335</v>
      </c>
      <c r="E1215" s="205" t="s">
        <v>17</v>
      </c>
      <c r="F1215" s="206">
        <v>10.0</v>
      </c>
      <c r="G1215" s="202"/>
      <c r="H1215" s="202"/>
      <c r="I1215" s="203"/>
      <c r="J1215" s="203"/>
      <c r="K1215" s="207" t="s">
        <v>1018</v>
      </c>
      <c r="L1215" s="207" t="s">
        <v>5628</v>
      </c>
      <c r="M1215" s="207"/>
      <c r="N1215" s="207"/>
      <c r="O1215" s="202"/>
      <c r="P1215" s="202"/>
      <c r="Q1215" s="208"/>
      <c r="R1215" s="86"/>
      <c r="S1215" s="114">
        <f t="shared" ref="S1215:T1215" si="1216">A1215</f>
        <v>1215</v>
      </c>
      <c r="T1215" s="114" t="str">
        <f t="shared" si="1216"/>
        <v>علی حاج خالویی</v>
      </c>
      <c r="U1215" s="86" t="str">
        <f t="shared" si="3"/>
        <v>09124037335</v>
      </c>
      <c r="V1215" s="86" t="str">
        <f t="shared" si="4"/>
        <v>پیش‌وایی 10</v>
      </c>
      <c r="W1215" s="86"/>
      <c r="X1215" s="86"/>
    </row>
    <row r="1216">
      <c r="A1216" s="192">
        <v>1216.0</v>
      </c>
      <c r="B1216" s="193" t="s">
        <v>5629</v>
      </c>
      <c r="C1216" s="194" t="s">
        <v>5621</v>
      </c>
      <c r="D1216" s="195" t="str">
        <f>IFERROR(__xludf.DUMMYFUNCTION("ARRAYFORMULA(LET( converted, SUBSTITUTE( SUBSTITUTE( SUBSTITUTE( SUBSTITUTE( SUBSTITUTE( SUBSTITUTE( SUBSTITUTE( SUBSTITUTE( SUBSTITUTE( SUBSTITUTE( C1216, ""۰"", ""0""), ""۱"", ""1""), ""۲"", ""2""), ""۳"", ""3""), ""۴"", ""4""), ""۵"", ""5""), ""۶"", """&amp;"6""), ""۷"", ""7""), ""۸"", ""8""), ""۹"", ""9""), IF(LEFT(converted,3)=""+98"", ""0"" &amp; RIGHT(converted, LEN(converted)-3), IF(LEFT(converted,2)=""98"", ""0"" &amp; RIGHT(converted, LEN(converted)-2), IF(LEFT(converted,1)&lt;&gt;""0"", ""0"" &amp; converted, REGEXREPL"&amp;"ACE(converted , ""\s"", """")) ) ) ) )"),"09210829141")</f>
        <v>09210829141</v>
      </c>
      <c r="E1216" s="196" t="s">
        <v>17</v>
      </c>
      <c r="F1216" s="197">
        <v>10.0</v>
      </c>
      <c r="G1216" s="193"/>
      <c r="H1216" s="193"/>
      <c r="I1216" s="194"/>
      <c r="J1216" s="194"/>
      <c r="K1216" s="199" t="s">
        <v>4079</v>
      </c>
      <c r="L1216" s="199" t="s">
        <v>5630</v>
      </c>
      <c r="M1216" s="199"/>
      <c r="N1216" s="199"/>
      <c r="O1216" s="193"/>
      <c r="P1216" s="193"/>
      <c r="Q1216" s="200"/>
      <c r="R1216" s="86"/>
      <c r="S1216" s="114">
        <f t="shared" ref="S1216:T1216" si="1217">A1216</f>
        <v>1216</v>
      </c>
      <c r="T1216" s="114" t="str">
        <f t="shared" si="1217"/>
        <v>فائزه دادخواهی اصل</v>
      </c>
      <c r="U1216" s="86" t="str">
        <f t="shared" si="3"/>
        <v>09210829141</v>
      </c>
      <c r="V1216" s="86" t="str">
        <f t="shared" si="4"/>
        <v>پیش‌وایی 10</v>
      </c>
      <c r="W1216" s="86"/>
      <c r="X1216" s="86"/>
    </row>
    <row r="1217">
      <c r="A1217" s="201">
        <v>1217.0</v>
      </c>
      <c r="B1217" s="202" t="s">
        <v>5631</v>
      </c>
      <c r="C1217" s="203" t="s">
        <v>5632</v>
      </c>
      <c r="D1217" s="204" t="str">
        <f>IFERROR(__xludf.DUMMYFUNCTION("ARRAYFORMULA(LET( converted, SUBSTITUTE( SUBSTITUTE( SUBSTITUTE( SUBSTITUTE( SUBSTITUTE( SUBSTITUTE( SUBSTITUTE( SUBSTITUTE( SUBSTITUTE( SUBSTITUTE( C1217, ""۰"", ""0""), ""۱"", ""1""), ""۲"", ""2""), ""۳"", ""3""), ""۴"", ""4""), ""۵"", ""5""), ""۶"", """&amp;"6""), ""۷"", ""7""), ""۸"", ""8""), ""۹"", ""9""), IF(LEFT(converted,3)=""+98"", ""0"" &amp; RIGHT(converted, LEN(converted)-3), IF(LEFT(converted,2)=""98"", ""0"" &amp; RIGHT(converted, LEN(converted)-2), IF(LEFT(converted,1)&lt;&gt;""0"", ""0"" &amp; converted, REGEXREPL"&amp;"ACE(converted , ""\s"", """")) ) ) ) )"),"09114594761")</f>
        <v>09114594761</v>
      </c>
      <c r="E1217" s="205" t="s">
        <v>17</v>
      </c>
      <c r="F1217" s="206">
        <v>10.0</v>
      </c>
      <c r="G1217" s="202"/>
      <c r="H1217" s="202"/>
      <c r="I1217" s="203"/>
      <c r="J1217" s="203"/>
      <c r="K1217" s="207" t="s">
        <v>274</v>
      </c>
      <c r="L1217" s="207" t="s">
        <v>5633</v>
      </c>
      <c r="M1217" s="207"/>
      <c r="N1217" s="207"/>
      <c r="O1217" s="202"/>
      <c r="P1217" s="202"/>
      <c r="Q1217" s="208"/>
      <c r="R1217" s="86"/>
      <c r="S1217" s="114">
        <f t="shared" ref="S1217:T1217" si="1218">A1217</f>
        <v>1217</v>
      </c>
      <c r="T1217" s="114" t="str">
        <f t="shared" si="1218"/>
        <v>فاطمه اونق</v>
      </c>
      <c r="U1217" s="86" t="str">
        <f t="shared" si="3"/>
        <v>09114594761</v>
      </c>
      <c r="V1217" s="86" t="str">
        <f t="shared" si="4"/>
        <v>پیش‌وایی 10</v>
      </c>
      <c r="W1217" s="86"/>
      <c r="X1217" s="86"/>
    </row>
    <row r="1218">
      <c r="A1218" s="192">
        <v>1218.0</v>
      </c>
      <c r="B1218" s="193" t="s">
        <v>5634</v>
      </c>
      <c r="C1218" s="194" t="s">
        <v>5635</v>
      </c>
      <c r="D1218" s="195" t="str">
        <f>IFERROR(__xludf.DUMMYFUNCTION("ARRAYFORMULA(LET( converted, SUBSTITUTE( SUBSTITUTE( SUBSTITUTE( SUBSTITUTE( SUBSTITUTE( SUBSTITUTE( SUBSTITUTE( SUBSTITUTE( SUBSTITUTE( SUBSTITUTE( C1218, ""۰"", ""0""), ""۱"", ""1""), ""۲"", ""2""), ""۳"", ""3""), ""۴"", ""4""), ""۵"", ""5""), ""۶"", """&amp;"6""), ""۷"", ""7""), ""۸"", ""8""), ""۹"", ""9""), IF(LEFT(converted,3)=""+98"", ""0"" &amp; RIGHT(converted, LEN(converted)-3), IF(LEFT(converted,2)=""98"", ""0"" &amp; RIGHT(converted, LEN(converted)-2), IF(LEFT(converted,1)&lt;&gt;""0"", ""0"" &amp; converted, REGEXREPL"&amp;"ACE(converted , ""\s"", """")) ) ) ) )"),"09393900318")</f>
        <v>09393900318</v>
      </c>
      <c r="E1218" s="196" t="s">
        <v>17</v>
      </c>
      <c r="F1218" s="197">
        <v>10.0</v>
      </c>
      <c r="G1218" s="193"/>
      <c r="H1218" s="193"/>
      <c r="I1218" s="194"/>
      <c r="J1218" s="194"/>
      <c r="K1218" s="199" t="s">
        <v>274</v>
      </c>
      <c r="L1218" s="199" t="s">
        <v>5636</v>
      </c>
      <c r="M1218" s="199"/>
      <c r="N1218" s="199"/>
      <c r="O1218" s="193"/>
      <c r="P1218" s="193"/>
      <c r="Q1218" s="200"/>
      <c r="R1218" s="86"/>
      <c r="S1218" s="114">
        <f t="shared" ref="S1218:T1218" si="1219">A1218</f>
        <v>1218</v>
      </c>
      <c r="T1218" s="114" t="str">
        <f t="shared" si="1219"/>
        <v>فاطمه شفایی</v>
      </c>
      <c r="U1218" s="86" t="str">
        <f t="shared" si="3"/>
        <v>09393900318</v>
      </c>
      <c r="V1218" s="86" t="str">
        <f t="shared" si="4"/>
        <v>پیش‌وایی 10</v>
      </c>
      <c r="W1218" s="86"/>
      <c r="X1218" s="86"/>
    </row>
    <row r="1219">
      <c r="A1219" s="201">
        <v>1219.0</v>
      </c>
      <c r="B1219" s="202" t="s">
        <v>5036</v>
      </c>
      <c r="C1219" s="203" t="s">
        <v>5637</v>
      </c>
      <c r="D1219" s="204" t="str">
        <f>IFERROR(__xludf.DUMMYFUNCTION("ARRAYFORMULA(LET( converted, SUBSTITUTE( SUBSTITUTE( SUBSTITUTE( SUBSTITUTE( SUBSTITUTE( SUBSTITUTE( SUBSTITUTE( SUBSTITUTE( SUBSTITUTE( SUBSTITUTE( C1219, ""۰"", ""0""), ""۱"", ""1""), ""۲"", ""2""), ""۳"", ""3""), ""۴"", ""4""), ""۵"", ""5""), ""۶"", """&amp;"6""), ""۷"", ""7""), ""۸"", ""8""), ""۹"", ""9""), IF(LEFT(converted,3)=""+98"", ""0"" &amp; RIGHT(converted, LEN(converted)-3), IF(LEFT(converted,2)=""98"", ""0"" &amp; RIGHT(converted, LEN(converted)-2), IF(LEFT(converted,1)&lt;&gt;""0"", ""0"" &amp; converted, REGEXREPL"&amp;"ACE(converted , ""\s"", """")) ) ) ) )"),"09371762407")</f>
        <v>09371762407</v>
      </c>
      <c r="E1219" s="205" t="s">
        <v>17</v>
      </c>
      <c r="F1219" s="206">
        <v>10.0</v>
      </c>
      <c r="G1219" s="202"/>
      <c r="H1219" s="202"/>
      <c r="I1219" s="203"/>
      <c r="J1219" s="203"/>
      <c r="K1219" s="207" t="s">
        <v>1543</v>
      </c>
      <c r="L1219" s="207" t="s">
        <v>3032</v>
      </c>
      <c r="M1219" s="207"/>
      <c r="N1219" s="207"/>
      <c r="O1219" s="202"/>
      <c r="P1219" s="202"/>
      <c r="Q1219" s="208"/>
      <c r="R1219" s="86"/>
      <c r="S1219" s="114">
        <f t="shared" ref="S1219:T1219" si="1220">A1219</f>
        <v>1219</v>
      </c>
      <c r="T1219" s="114" t="str">
        <f t="shared" si="1220"/>
        <v>مجتبی نوروزی</v>
      </c>
      <c r="U1219" s="86" t="str">
        <f t="shared" si="3"/>
        <v>09371762407</v>
      </c>
      <c r="V1219" s="86" t="str">
        <f t="shared" si="4"/>
        <v>پیش‌وایی 10</v>
      </c>
      <c r="W1219" s="86"/>
      <c r="X1219" s="86"/>
    </row>
    <row r="1220">
      <c r="A1220" s="192">
        <v>1220.0</v>
      </c>
      <c r="B1220" s="193" t="s">
        <v>5638</v>
      </c>
      <c r="C1220" s="194" t="s">
        <v>5639</v>
      </c>
      <c r="D1220" s="195" t="str">
        <f>IFERROR(__xludf.DUMMYFUNCTION("ARRAYFORMULA(LET( converted, SUBSTITUTE( SUBSTITUTE( SUBSTITUTE( SUBSTITUTE( SUBSTITUTE( SUBSTITUTE( SUBSTITUTE( SUBSTITUTE( SUBSTITUTE( SUBSTITUTE( C1220, ""۰"", ""0""), ""۱"", ""1""), ""۲"", ""2""), ""۳"", ""3""), ""۴"", ""4""), ""۵"", ""5""), ""۶"", """&amp;"6""), ""۷"", ""7""), ""۸"", ""8""), ""۹"", ""9""), IF(LEFT(converted,3)=""+98"", ""0"" &amp; RIGHT(converted, LEN(converted)-3), IF(LEFT(converted,2)=""98"", ""0"" &amp; RIGHT(converted, LEN(converted)-2), IF(LEFT(converted,1)&lt;&gt;""0"", ""0"" &amp; converted, REGEXREPL"&amp;"ACE(converted , ""\s"", """")) ) ) ) )"),"09121252841")</f>
        <v>09121252841</v>
      </c>
      <c r="E1220" s="196" t="s">
        <v>17</v>
      </c>
      <c r="F1220" s="197">
        <v>10.0</v>
      </c>
      <c r="G1220" s="193"/>
      <c r="H1220" s="193"/>
      <c r="I1220" s="194"/>
      <c r="J1220" s="194"/>
      <c r="K1220" s="199" t="s">
        <v>5640</v>
      </c>
      <c r="L1220" s="199" t="s">
        <v>5641</v>
      </c>
      <c r="M1220" s="199"/>
      <c r="N1220" s="199"/>
      <c r="O1220" s="193"/>
      <c r="P1220" s="193"/>
      <c r="Q1220" s="200"/>
      <c r="R1220" s="86"/>
      <c r="S1220" s="114">
        <f t="shared" ref="S1220:T1220" si="1221">A1220</f>
        <v>1220</v>
      </c>
      <c r="T1220" s="114" t="str">
        <f t="shared" si="1221"/>
        <v>مهرنوش غفاریان</v>
      </c>
      <c r="U1220" s="86" t="str">
        <f t="shared" si="3"/>
        <v>09121252841</v>
      </c>
      <c r="V1220" s="86" t="str">
        <f t="shared" si="4"/>
        <v>پیش‌وایی 10</v>
      </c>
      <c r="W1220" s="86"/>
      <c r="X1220" s="86"/>
    </row>
    <row r="1221">
      <c r="A1221" s="201">
        <v>1221.0</v>
      </c>
      <c r="B1221" s="202" t="s">
        <v>5642</v>
      </c>
      <c r="C1221" s="203" t="s">
        <v>5643</v>
      </c>
      <c r="D1221" s="204" t="str">
        <f>IFERROR(__xludf.DUMMYFUNCTION("ARRAYFORMULA(LET( converted, SUBSTITUTE( SUBSTITUTE( SUBSTITUTE( SUBSTITUTE( SUBSTITUTE( SUBSTITUTE( SUBSTITUTE( SUBSTITUTE( SUBSTITUTE( SUBSTITUTE( C1221, ""۰"", ""0""), ""۱"", ""1""), ""۲"", ""2""), ""۳"", ""3""), ""۴"", ""4""), ""۵"", ""5""), ""۶"", """&amp;"6""), ""۷"", ""7""), ""۸"", ""8""), ""۹"", ""9""), IF(LEFT(converted,3)=""+98"", ""0"" &amp; RIGHT(converted, LEN(converted)-3), IF(LEFT(converted,2)=""98"", ""0"" &amp; RIGHT(converted, LEN(converted)-2), IF(LEFT(converted,1)&lt;&gt;""0"", ""0"" &amp; converted, REGEXREPL"&amp;"ACE(converted , ""\s"", """")) ) ) ) )"),"09124444149")</f>
        <v>09124444149</v>
      </c>
      <c r="E1221" s="205" t="s">
        <v>17</v>
      </c>
      <c r="F1221" s="206">
        <v>10.0</v>
      </c>
      <c r="G1221" s="202"/>
      <c r="H1221" s="202"/>
      <c r="I1221" s="203"/>
      <c r="J1221" s="203"/>
      <c r="K1221" s="207" t="s">
        <v>353</v>
      </c>
      <c r="L1221" s="207" t="s">
        <v>4566</v>
      </c>
      <c r="M1221" s="207"/>
      <c r="N1221" s="207"/>
      <c r="O1221" s="202"/>
      <c r="P1221" s="202"/>
      <c r="Q1221" s="208"/>
      <c r="R1221" s="86"/>
      <c r="S1221" s="114">
        <f t="shared" ref="S1221:T1221" si="1222">A1221</f>
        <v>1221</v>
      </c>
      <c r="T1221" s="114" t="str">
        <f t="shared" si="1222"/>
        <v>مهرداد شاهین</v>
      </c>
      <c r="U1221" s="86" t="str">
        <f t="shared" si="3"/>
        <v>09124444149</v>
      </c>
      <c r="V1221" s="86" t="str">
        <f t="shared" si="4"/>
        <v>پیش‌وایی 10</v>
      </c>
      <c r="W1221" s="86"/>
      <c r="X1221" s="86"/>
    </row>
    <row r="1222">
      <c r="A1222" s="192">
        <v>1222.0</v>
      </c>
      <c r="B1222" s="193" t="s">
        <v>5644</v>
      </c>
      <c r="C1222" s="194" t="s">
        <v>5645</v>
      </c>
      <c r="D1222" s="195" t="str">
        <f>IFERROR(__xludf.DUMMYFUNCTION("ARRAYFORMULA(LET( converted, SUBSTITUTE( SUBSTITUTE( SUBSTITUTE( SUBSTITUTE( SUBSTITUTE( SUBSTITUTE( SUBSTITUTE( SUBSTITUTE( SUBSTITUTE( SUBSTITUTE( C1222, ""۰"", ""0""), ""۱"", ""1""), ""۲"", ""2""), ""۳"", ""3""), ""۴"", ""4""), ""۵"", ""5""), ""۶"", """&amp;"6""), ""۷"", ""7""), ""۸"", ""8""), ""۹"", ""9""), IF(LEFT(converted,3)=""+98"", ""0"" &amp; RIGHT(converted, LEN(converted)-3), IF(LEFT(converted,2)=""98"", ""0"" &amp; RIGHT(converted, LEN(converted)-2), IF(LEFT(converted,1)&lt;&gt;""0"", ""0"" &amp; converted, REGEXREPL"&amp;"ACE(converted , ""\s"", """")) ) ) ) )"),"09125340121")</f>
        <v>09125340121</v>
      </c>
      <c r="E1222" s="196" t="s">
        <v>17</v>
      </c>
      <c r="F1222" s="197">
        <v>10.0</v>
      </c>
      <c r="G1222" s="193"/>
      <c r="H1222" s="193"/>
      <c r="I1222" s="194"/>
      <c r="J1222" s="194"/>
      <c r="K1222" s="199" t="s">
        <v>1692</v>
      </c>
      <c r="L1222" s="199" t="s">
        <v>5646</v>
      </c>
      <c r="M1222" s="199"/>
      <c r="N1222" s="199"/>
      <c r="O1222" s="193"/>
      <c r="P1222" s="193"/>
      <c r="Q1222" s="200"/>
      <c r="R1222" s="86"/>
      <c r="S1222" s="114">
        <f t="shared" ref="S1222:T1222" si="1223">A1222</f>
        <v>1222</v>
      </c>
      <c r="T1222" s="114" t="str">
        <f t="shared" si="1223"/>
        <v>الهام علی محمدی</v>
      </c>
      <c r="U1222" s="86" t="str">
        <f t="shared" si="3"/>
        <v>09125340121</v>
      </c>
      <c r="V1222" s="86" t="str">
        <f t="shared" si="4"/>
        <v>پیش‌وایی 10</v>
      </c>
      <c r="W1222" s="86"/>
      <c r="X1222" s="86"/>
    </row>
    <row r="1223">
      <c r="A1223" s="201">
        <v>1223.0</v>
      </c>
      <c r="B1223" s="202" t="s">
        <v>5647</v>
      </c>
      <c r="C1223" s="203" t="s">
        <v>5648</v>
      </c>
      <c r="D1223" s="204" t="str">
        <f>IFERROR(__xludf.DUMMYFUNCTION("ARRAYFORMULA(LET( converted, SUBSTITUTE( SUBSTITUTE( SUBSTITUTE( SUBSTITUTE( SUBSTITUTE( SUBSTITUTE( SUBSTITUTE( SUBSTITUTE( SUBSTITUTE( SUBSTITUTE( C1223, ""۰"", ""0""), ""۱"", ""1""), ""۲"", ""2""), ""۳"", ""3""), ""۴"", ""4""), ""۵"", ""5""), ""۶"", """&amp;"6""), ""۷"", ""7""), ""۸"", ""8""), ""۹"", ""9""), IF(LEFT(converted,3)=""+98"", ""0"" &amp; RIGHT(converted, LEN(converted)-3), IF(LEFT(converted,2)=""98"", ""0"" &amp; RIGHT(converted, LEN(converted)-2), IF(LEFT(converted,1)&lt;&gt;""0"", ""0"" &amp; converted, REGEXREPL"&amp;"ACE(converted , ""\s"", """")) ) ) ) )"),"09124762588")</f>
        <v>09124762588</v>
      </c>
      <c r="E1223" s="205" t="s">
        <v>17</v>
      </c>
      <c r="F1223" s="206">
        <v>10.0</v>
      </c>
      <c r="G1223" s="202"/>
      <c r="H1223" s="202"/>
      <c r="I1223" s="203"/>
      <c r="J1223" s="203"/>
      <c r="K1223" s="207" t="s">
        <v>311</v>
      </c>
      <c r="L1223" s="207" t="s">
        <v>5649</v>
      </c>
      <c r="M1223" s="207"/>
      <c r="N1223" s="207"/>
      <c r="O1223" s="202"/>
      <c r="P1223" s="202"/>
      <c r="Q1223" s="208"/>
      <c r="R1223" s="86"/>
      <c r="S1223" s="114">
        <f t="shared" ref="S1223:T1223" si="1224">A1223</f>
        <v>1223</v>
      </c>
      <c r="T1223" s="114" t="str">
        <f t="shared" si="1224"/>
        <v>محسن شریفی ثانی</v>
      </c>
      <c r="U1223" s="86" t="str">
        <f t="shared" si="3"/>
        <v>09124762588</v>
      </c>
      <c r="V1223" s="86" t="str">
        <f t="shared" si="4"/>
        <v>پیش‌وایی 10</v>
      </c>
      <c r="W1223" s="86"/>
      <c r="X1223" s="86"/>
    </row>
    <row r="1224">
      <c r="A1224" s="192">
        <v>1224.0</v>
      </c>
      <c r="B1224" s="193" t="s">
        <v>5650</v>
      </c>
      <c r="C1224" s="194" t="s">
        <v>5651</v>
      </c>
      <c r="D1224" s="195" t="str">
        <f>IFERROR(__xludf.DUMMYFUNCTION("ARRAYFORMULA(LET( converted, SUBSTITUTE( SUBSTITUTE( SUBSTITUTE( SUBSTITUTE( SUBSTITUTE( SUBSTITUTE( SUBSTITUTE( SUBSTITUTE( SUBSTITUTE( SUBSTITUTE( C1224, ""۰"", ""0""), ""۱"", ""1""), ""۲"", ""2""), ""۳"", ""3""), ""۴"", ""4""), ""۵"", ""5""), ""۶"", """&amp;"6""), ""۷"", ""7""), ""۸"", ""8""), ""۹"", ""9""), IF(LEFT(converted,3)=""+98"", ""0"" &amp; RIGHT(converted, LEN(converted)-3), IF(LEFT(converted,2)=""98"", ""0"" &amp; RIGHT(converted, LEN(converted)-2), IF(LEFT(converted,1)&lt;&gt;""0"", ""0"" &amp; converted, REGEXREPL"&amp;"ACE(converted , ""\s"", """")) ) ) ) )"),"09131042319")</f>
        <v>09131042319</v>
      </c>
      <c r="E1224" s="196" t="s">
        <v>17</v>
      </c>
      <c r="F1224" s="197">
        <v>10.0</v>
      </c>
      <c r="G1224" s="193"/>
      <c r="H1224" s="193"/>
      <c r="I1224" s="194"/>
      <c r="J1224" s="194"/>
      <c r="K1224" s="199" t="s">
        <v>1018</v>
      </c>
      <c r="L1224" s="199" t="s">
        <v>5652</v>
      </c>
      <c r="M1224" s="199"/>
      <c r="N1224" s="199"/>
      <c r="O1224" s="193"/>
      <c r="P1224" s="193"/>
      <c r="Q1224" s="200"/>
      <c r="R1224" s="86"/>
      <c r="S1224" s="114">
        <f t="shared" ref="S1224:T1224" si="1225">A1224</f>
        <v>1224</v>
      </c>
      <c r="T1224" s="114" t="str">
        <f t="shared" si="1225"/>
        <v>علی رفیع زاده اخویان</v>
      </c>
      <c r="U1224" s="86" t="str">
        <f t="shared" si="3"/>
        <v>09131042319</v>
      </c>
      <c r="V1224" s="86" t="str">
        <f t="shared" si="4"/>
        <v>پیش‌وایی 10</v>
      </c>
      <c r="W1224" s="86"/>
      <c r="X1224" s="86"/>
    </row>
    <row r="1225">
      <c r="A1225" s="201">
        <v>1225.0</v>
      </c>
      <c r="B1225" s="202" t="s">
        <v>5653</v>
      </c>
      <c r="C1225" s="203"/>
      <c r="D1225" s="204" t="str">
        <f>IFERROR(__xludf.DUMMYFUNCTION("ARRAYFORMULA(LET( converted, SUBSTITUTE( SUBSTITUTE( SUBSTITUTE( SUBSTITUTE( SUBSTITUTE( SUBSTITUTE( SUBSTITUTE( SUBSTITUTE( SUBSTITUTE( SUBSTITUTE( C1225, ""۰"", ""0""), ""۱"", ""1""), ""۲"", ""2""), ""۳"", ""3""), ""۴"", ""4""), ""۵"", ""5""), ""۶"", """&amp;"6""), ""۷"", ""7""), ""۸"", ""8""), ""۹"", ""9""), IF(LEFT(converted,3)=""+98"", ""0"" &amp; RIGHT(converted, LEN(converted)-3), IF(LEFT(converted,2)=""98"", ""0"" &amp; RIGHT(converted, LEN(converted)-2), IF(LEFT(converted,1)&lt;&gt;""0"", ""0"" &amp; converted, REGEXREPL"&amp;"ACE(converted , ""\s"", """")) ) ) ) )"),"0")</f>
        <v>0</v>
      </c>
      <c r="E1225" s="205" t="s">
        <v>17</v>
      </c>
      <c r="F1225" s="206">
        <v>10.0</v>
      </c>
      <c r="G1225" s="202"/>
      <c r="H1225" s="202"/>
      <c r="I1225" s="203"/>
      <c r="J1225" s="203"/>
      <c r="K1225" s="207" t="s">
        <v>5654</v>
      </c>
      <c r="L1225" s="207" t="s">
        <v>2573</v>
      </c>
      <c r="M1225" s="207"/>
      <c r="N1225" s="207"/>
      <c r="O1225" s="202"/>
      <c r="P1225" s="202"/>
      <c r="Q1225" s="208"/>
      <c r="R1225" s="86"/>
      <c r="S1225" s="114">
        <f t="shared" ref="S1225:T1225" si="1226">A1225</f>
        <v>1225</v>
      </c>
      <c r="T1225" s="114" t="str">
        <f t="shared" si="1226"/>
        <v>محمد مهدی جعفری</v>
      </c>
      <c r="U1225" s="86" t="str">
        <f t="shared" si="3"/>
        <v>0</v>
      </c>
      <c r="V1225" s="86" t="str">
        <f t="shared" si="4"/>
        <v>پیش‌وایی 10</v>
      </c>
      <c r="W1225" s="86"/>
      <c r="X1225" s="86"/>
    </row>
    <row r="1226">
      <c r="A1226" s="192">
        <v>1226.0</v>
      </c>
      <c r="B1226" s="193" t="s">
        <v>5655</v>
      </c>
      <c r="C1226" s="194" t="s">
        <v>5656</v>
      </c>
      <c r="D1226" s="195" t="str">
        <f>IFERROR(__xludf.DUMMYFUNCTION("ARRAYFORMULA(LET( converted, SUBSTITUTE( SUBSTITUTE( SUBSTITUTE( SUBSTITUTE( SUBSTITUTE( SUBSTITUTE( SUBSTITUTE( SUBSTITUTE( SUBSTITUTE( SUBSTITUTE( C1226, ""۰"", ""0""), ""۱"", ""1""), ""۲"", ""2""), ""۳"", ""3""), ""۴"", ""4""), ""۵"", ""5""), ""۶"", """&amp;"6""), ""۷"", ""7""), ""۸"", ""8""), ""۹"", ""9""), IF(LEFT(converted,3)=""+98"", ""0"" &amp; RIGHT(converted, LEN(converted)-3), IF(LEFT(converted,2)=""98"", ""0"" &amp; RIGHT(converted, LEN(converted)-2), IF(LEFT(converted,1)&lt;&gt;""0"", ""0"" &amp; converted, REGEXREPL"&amp;"ACE(converted , ""\s"", """")) ) ) ) )"),"09126457618")</f>
        <v>09126457618</v>
      </c>
      <c r="E1226" s="196" t="s">
        <v>17</v>
      </c>
      <c r="F1226" s="197">
        <v>10.0</v>
      </c>
      <c r="G1226" s="193"/>
      <c r="H1226" s="193"/>
      <c r="I1226" s="194"/>
      <c r="J1226" s="194"/>
      <c r="K1226" s="199" t="s">
        <v>2134</v>
      </c>
      <c r="L1226" s="199" t="s">
        <v>2451</v>
      </c>
      <c r="M1226" s="199"/>
      <c r="N1226" s="199"/>
      <c r="O1226" s="193"/>
      <c r="P1226" s="193"/>
      <c r="Q1226" s="200"/>
      <c r="R1226" s="86"/>
      <c r="S1226" s="114">
        <f t="shared" ref="S1226:T1226" si="1227">A1226</f>
        <v>1226</v>
      </c>
      <c r="T1226" s="114" t="str">
        <f t="shared" si="1227"/>
        <v>ابوالقاسم جلالی</v>
      </c>
      <c r="U1226" s="86" t="str">
        <f t="shared" si="3"/>
        <v>09126457618</v>
      </c>
      <c r="V1226" s="86" t="str">
        <f t="shared" si="4"/>
        <v>پیش‌وایی 10</v>
      </c>
      <c r="W1226" s="86"/>
      <c r="X1226" s="86"/>
    </row>
    <row r="1227">
      <c r="A1227" s="201">
        <v>1227.0</v>
      </c>
      <c r="B1227" s="202" t="s">
        <v>5657</v>
      </c>
      <c r="C1227" s="203" t="s">
        <v>5658</v>
      </c>
      <c r="D1227" s="204" t="str">
        <f>IFERROR(__xludf.DUMMYFUNCTION("ARRAYFORMULA(LET( converted, SUBSTITUTE( SUBSTITUTE( SUBSTITUTE( SUBSTITUTE( SUBSTITUTE( SUBSTITUTE( SUBSTITUTE( SUBSTITUTE( SUBSTITUTE( SUBSTITUTE( C1227, ""۰"", ""0""), ""۱"", ""1""), ""۲"", ""2""), ""۳"", ""3""), ""۴"", ""4""), ""۵"", ""5""), ""۶"", """&amp;"6""), ""۷"", ""7""), ""۸"", ""8""), ""۹"", ""9""), IF(LEFT(converted,3)=""+98"", ""0"" &amp; RIGHT(converted, LEN(converted)-3), IF(LEFT(converted,2)=""98"", ""0"" &amp; RIGHT(converted, LEN(converted)-2), IF(LEFT(converted,1)&lt;&gt;""0"", ""0"" &amp; converted, REGEXREPL"&amp;"ACE(converted , ""\s"", """")) ) ) ) )"),"09133183814")</f>
        <v>09133183814</v>
      </c>
      <c r="E1227" s="205" t="s">
        <v>17</v>
      </c>
      <c r="F1227" s="206">
        <v>10.0</v>
      </c>
      <c r="G1227" s="202"/>
      <c r="H1227" s="202"/>
      <c r="I1227" s="203"/>
      <c r="J1227" s="203"/>
      <c r="K1227" s="207" t="s">
        <v>200</v>
      </c>
      <c r="L1227" s="207" t="s">
        <v>5659</v>
      </c>
      <c r="M1227" s="207"/>
      <c r="N1227" s="207"/>
      <c r="O1227" s="202"/>
      <c r="P1227" s="202"/>
      <c r="Q1227" s="208"/>
      <c r="R1227" s="86"/>
      <c r="S1227" s="114">
        <f t="shared" ref="S1227:T1227" si="1228">A1227</f>
        <v>1227</v>
      </c>
      <c r="T1227" s="114" t="str">
        <f t="shared" si="1228"/>
        <v>احسان مختار</v>
      </c>
      <c r="U1227" s="86" t="str">
        <f t="shared" si="3"/>
        <v>09133183814</v>
      </c>
      <c r="V1227" s="86" t="str">
        <f t="shared" si="4"/>
        <v>پیش‌وایی 10</v>
      </c>
      <c r="W1227" s="86"/>
      <c r="X1227" s="86"/>
    </row>
    <row r="1228">
      <c r="A1228" s="192">
        <v>1228.0</v>
      </c>
      <c r="B1228" s="193" t="s">
        <v>5660</v>
      </c>
      <c r="C1228" s="194" t="s">
        <v>5661</v>
      </c>
      <c r="D1228" s="195" t="str">
        <f>IFERROR(__xludf.DUMMYFUNCTION("ARRAYFORMULA(LET( converted, SUBSTITUTE( SUBSTITUTE( SUBSTITUTE( SUBSTITUTE( SUBSTITUTE( SUBSTITUTE( SUBSTITUTE( SUBSTITUTE( SUBSTITUTE( SUBSTITUTE( C1228, ""۰"", ""0""), ""۱"", ""1""), ""۲"", ""2""), ""۳"", ""3""), ""۴"", ""4""), ""۵"", ""5""), ""۶"", """&amp;"6""), ""۷"", ""7""), ""۸"", ""8""), ""۹"", ""9""), IF(LEFT(converted,3)=""+98"", ""0"" &amp; RIGHT(converted, LEN(converted)-3), IF(LEFT(converted,2)=""98"", ""0"" &amp; RIGHT(converted, LEN(converted)-2), IF(LEFT(converted,1)&lt;&gt;""0"", ""0"" &amp; converted, REGEXREPL"&amp;"ACE(converted , ""\s"", """")) ) ) ) )"),"09354533383")</f>
        <v>09354533383</v>
      </c>
      <c r="E1228" s="196" t="s">
        <v>17</v>
      </c>
      <c r="F1228" s="197">
        <v>10.0</v>
      </c>
      <c r="G1228" s="193"/>
      <c r="H1228" s="193"/>
      <c r="I1228" s="194"/>
      <c r="J1228" s="194"/>
      <c r="K1228" s="199" t="s">
        <v>5662</v>
      </c>
      <c r="L1228" s="199" t="s">
        <v>2518</v>
      </c>
      <c r="M1228" s="199"/>
      <c r="N1228" s="199"/>
      <c r="O1228" s="193"/>
      <c r="P1228" s="193"/>
      <c r="Q1228" s="200"/>
      <c r="R1228" s="86"/>
      <c r="S1228" s="114">
        <f t="shared" ref="S1228:T1228" si="1229">A1228</f>
        <v>1228</v>
      </c>
      <c r="T1228" s="114" t="str">
        <f t="shared" si="1229"/>
        <v>امیربهادر مرتضوی</v>
      </c>
      <c r="U1228" s="86" t="str">
        <f t="shared" si="3"/>
        <v>09354533383</v>
      </c>
      <c r="V1228" s="86" t="str">
        <f t="shared" si="4"/>
        <v>پیش‌وایی 10</v>
      </c>
      <c r="W1228" s="86"/>
      <c r="X1228" s="86"/>
    </row>
    <row r="1229">
      <c r="A1229" s="201">
        <v>1229.0</v>
      </c>
      <c r="B1229" s="202" t="s">
        <v>5663</v>
      </c>
      <c r="C1229" s="203" t="s">
        <v>5664</v>
      </c>
      <c r="D1229" s="204" t="str">
        <f>IFERROR(__xludf.DUMMYFUNCTION("ARRAYFORMULA(LET( converted, SUBSTITUTE( SUBSTITUTE( SUBSTITUTE( SUBSTITUTE( SUBSTITUTE( SUBSTITUTE( SUBSTITUTE( SUBSTITUTE( SUBSTITUTE( SUBSTITUTE( C1229, ""۰"", ""0""), ""۱"", ""1""), ""۲"", ""2""), ""۳"", ""3""), ""۴"", ""4""), ""۵"", ""5""), ""۶"", """&amp;"6""), ""۷"", ""7""), ""۸"", ""8""), ""۹"", ""9""), IF(LEFT(converted,3)=""+98"", ""0"" &amp; RIGHT(converted, LEN(converted)-3), IF(LEFT(converted,2)=""98"", ""0"" &amp; RIGHT(converted, LEN(converted)-2), IF(LEFT(converted,1)&lt;&gt;""0"", ""0"" &amp; converted, REGEXREPL"&amp;"ACE(converted , ""\s"", """")) ) ) ) )"),"09124363075")</f>
        <v>09124363075</v>
      </c>
      <c r="E1229" s="205" t="s">
        <v>17</v>
      </c>
      <c r="F1229" s="206">
        <v>10.0</v>
      </c>
      <c r="G1229" s="202"/>
      <c r="H1229" s="202"/>
      <c r="I1229" s="203"/>
      <c r="J1229" s="203"/>
      <c r="K1229" s="207" t="s">
        <v>192</v>
      </c>
      <c r="L1229" s="207" t="s">
        <v>5665</v>
      </c>
      <c r="M1229" s="207"/>
      <c r="N1229" s="207"/>
      <c r="O1229" s="202"/>
      <c r="P1229" s="202"/>
      <c r="Q1229" s="208"/>
      <c r="R1229" s="86"/>
      <c r="S1229" s="114">
        <f t="shared" ref="S1229:T1229" si="1230">A1229</f>
        <v>1229</v>
      </c>
      <c r="T1229" s="114" t="str">
        <f t="shared" si="1230"/>
        <v>امیرحسین مرزبان</v>
      </c>
      <c r="U1229" s="86" t="str">
        <f t="shared" si="3"/>
        <v>09124363075</v>
      </c>
      <c r="V1229" s="86" t="str">
        <f t="shared" si="4"/>
        <v>پیش‌وایی 10</v>
      </c>
      <c r="W1229" s="86"/>
      <c r="X1229" s="86"/>
    </row>
    <row r="1230">
      <c r="A1230" s="192">
        <v>1230.0</v>
      </c>
      <c r="B1230" s="193" t="s">
        <v>5666</v>
      </c>
      <c r="C1230" s="194" t="s">
        <v>5667</v>
      </c>
      <c r="D1230" s="195" t="str">
        <f>IFERROR(__xludf.DUMMYFUNCTION("ARRAYFORMULA(LET( converted, SUBSTITUTE( SUBSTITUTE( SUBSTITUTE( SUBSTITUTE( SUBSTITUTE( SUBSTITUTE( SUBSTITUTE( SUBSTITUTE( SUBSTITUTE( SUBSTITUTE( C1230, ""۰"", ""0""), ""۱"", ""1""), ""۲"", ""2""), ""۳"", ""3""), ""۴"", ""4""), ""۵"", ""5""), ""۶"", """&amp;"6""), ""۷"", ""7""), ""۸"", ""8""), ""۹"", ""9""), IF(LEFT(converted,3)=""+98"", ""0"" &amp; RIGHT(converted, LEN(converted)-3), IF(LEFT(converted,2)=""98"", ""0"" &amp; RIGHT(converted, LEN(converted)-2), IF(LEFT(converted,1)&lt;&gt;""0"", ""0"" &amp; converted, REGEXREPL"&amp;"ACE(converted , ""\s"", """")) ) ) ) )"),"09127341327")</f>
        <v>09127341327</v>
      </c>
      <c r="E1230" s="196" t="s">
        <v>17</v>
      </c>
      <c r="F1230" s="197">
        <v>10.0</v>
      </c>
      <c r="G1230" s="193"/>
      <c r="H1230" s="193"/>
      <c r="I1230" s="194"/>
      <c r="J1230" s="194"/>
      <c r="K1230" s="199" t="s">
        <v>1004</v>
      </c>
      <c r="L1230" s="199" t="s">
        <v>231</v>
      </c>
      <c r="M1230" s="199"/>
      <c r="N1230" s="199"/>
      <c r="O1230" s="193"/>
      <c r="P1230" s="193"/>
      <c r="Q1230" s="200"/>
      <c r="R1230" s="86"/>
      <c r="S1230" s="114">
        <f t="shared" ref="S1230:T1230" si="1231">A1230</f>
        <v>1230</v>
      </c>
      <c r="T1230" s="114" t="str">
        <f t="shared" si="1231"/>
        <v>حامد موسوی</v>
      </c>
      <c r="U1230" s="86" t="str">
        <f t="shared" si="3"/>
        <v>09127341327</v>
      </c>
      <c r="V1230" s="86" t="str">
        <f t="shared" si="4"/>
        <v>پیش‌وایی 10</v>
      </c>
      <c r="W1230" s="86"/>
      <c r="X1230" s="86"/>
    </row>
    <row r="1231">
      <c r="A1231" s="201">
        <v>1231.0</v>
      </c>
      <c r="B1231" s="202" t="s">
        <v>5668</v>
      </c>
      <c r="C1231" s="203" t="s">
        <v>5669</v>
      </c>
      <c r="D1231" s="204" t="str">
        <f>IFERROR(__xludf.DUMMYFUNCTION("ARRAYFORMULA(LET( converted, SUBSTITUTE( SUBSTITUTE( SUBSTITUTE( SUBSTITUTE( SUBSTITUTE( SUBSTITUTE( SUBSTITUTE( SUBSTITUTE( SUBSTITUTE( SUBSTITUTE( C1231, ""۰"", ""0""), ""۱"", ""1""), ""۲"", ""2""), ""۳"", ""3""), ""۴"", ""4""), ""۵"", ""5""), ""۶"", """&amp;"6""), ""۷"", ""7""), ""۸"", ""8""), ""۹"", ""9""), IF(LEFT(converted,3)=""+98"", ""0"" &amp; RIGHT(converted, LEN(converted)-3), IF(LEFT(converted,2)=""98"", ""0"" &amp; RIGHT(converted, LEN(converted)-2), IF(LEFT(converted,1)&lt;&gt;""0"", ""0"" &amp; converted, REGEXREPL"&amp;"ACE(converted , ""\s"", """")) ) ) ) )"),"09192220910")</f>
        <v>09192220910</v>
      </c>
      <c r="E1231" s="205" t="s">
        <v>17</v>
      </c>
      <c r="F1231" s="206">
        <v>10.0</v>
      </c>
      <c r="G1231" s="202"/>
      <c r="H1231" s="202"/>
      <c r="I1231" s="203"/>
      <c r="J1231" s="203"/>
      <c r="K1231" s="207" t="s">
        <v>5670</v>
      </c>
      <c r="L1231" s="207" t="s">
        <v>5671</v>
      </c>
      <c r="M1231" s="207"/>
      <c r="N1231" s="207"/>
      <c r="O1231" s="202"/>
      <c r="P1231" s="202"/>
      <c r="Q1231" s="208"/>
      <c r="R1231" s="86"/>
      <c r="S1231" s="114">
        <f t="shared" ref="S1231:T1231" si="1232">A1231</f>
        <v>1231</v>
      </c>
      <c r="T1231" s="114" t="str">
        <f t="shared" si="1232"/>
        <v>امیرعباس رنجبر</v>
      </c>
      <c r="U1231" s="86" t="str">
        <f t="shared" si="3"/>
        <v>09192220910</v>
      </c>
      <c r="V1231" s="86" t="str">
        <f t="shared" si="4"/>
        <v>پیش‌وایی 10</v>
      </c>
      <c r="W1231" s="86"/>
      <c r="X1231" s="86"/>
    </row>
    <row r="1232">
      <c r="A1232" s="192">
        <v>1232.0</v>
      </c>
      <c r="B1232" s="193" t="s">
        <v>5672</v>
      </c>
      <c r="C1232" s="194" t="s">
        <v>5673</v>
      </c>
      <c r="D1232" s="195" t="str">
        <f>IFERROR(__xludf.DUMMYFUNCTION("ARRAYFORMULA(LET( converted, SUBSTITUTE( SUBSTITUTE( SUBSTITUTE( SUBSTITUTE( SUBSTITUTE( SUBSTITUTE( SUBSTITUTE( SUBSTITUTE( SUBSTITUTE( SUBSTITUTE( C1232, ""۰"", ""0""), ""۱"", ""1""), ""۲"", ""2""), ""۳"", ""3""), ""۴"", ""4""), ""۵"", ""5""), ""۶"", """&amp;"6""), ""۷"", ""7""), ""۸"", ""8""), ""۹"", ""9""), IF(LEFT(converted,3)=""+98"", ""0"" &amp; RIGHT(converted, LEN(converted)-3), IF(LEFT(converted,2)=""98"", ""0"" &amp; RIGHT(converted, LEN(converted)-2), IF(LEFT(converted,1)&lt;&gt;""0"", ""0"" &amp; converted, REGEXREPL"&amp;"ACE(converted , ""\s"", """")) ) ) ) )"),"09125206410")</f>
        <v>09125206410</v>
      </c>
      <c r="E1232" s="196" t="s">
        <v>17</v>
      </c>
      <c r="F1232" s="197">
        <v>10.0</v>
      </c>
      <c r="G1232" s="193"/>
      <c r="H1232" s="193"/>
      <c r="I1232" s="194"/>
      <c r="J1232" s="194"/>
      <c r="K1232" s="199" t="s">
        <v>1678</v>
      </c>
      <c r="L1232" s="199" t="s">
        <v>5431</v>
      </c>
      <c r="M1232" s="199"/>
      <c r="N1232" s="199"/>
      <c r="O1232" s="193"/>
      <c r="P1232" s="193"/>
      <c r="Q1232" s="200"/>
      <c r="R1232" s="86"/>
      <c r="S1232" s="114">
        <f t="shared" ref="S1232:T1232" si="1233">A1232</f>
        <v>1232</v>
      </c>
      <c r="T1232" s="114" t="str">
        <f t="shared" si="1233"/>
        <v>امین میری</v>
      </c>
      <c r="U1232" s="86" t="str">
        <f t="shared" si="3"/>
        <v>09125206410</v>
      </c>
      <c r="V1232" s="86" t="str">
        <f t="shared" si="4"/>
        <v>پیش‌وایی 10</v>
      </c>
      <c r="W1232" s="86"/>
      <c r="X1232" s="86"/>
    </row>
    <row r="1233">
      <c r="A1233" s="201">
        <v>1233.0</v>
      </c>
      <c r="B1233" s="202" t="s">
        <v>5674</v>
      </c>
      <c r="C1233" s="203" t="s">
        <v>5675</v>
      </c>
      <c r="D1233" s="204" t="str">
        <f>IFERROR(__xludf.DUMMYFUNCTION("ARRAYFORMULA(LET( converted, SUBSTITUTE( SUBSTITUTE( SUBSTITUTE( SUBSTITUTE( SUBSTITUTE( SUBSTITUTE( SUBSTITUTE( SUBSTITUTE( SUBSTITUTE( SUBSTITUTE( C1233, ""۰"", ""0""), ""۱"", ""1""), ""۲"", ""2""), ""۳"", ""3""), ""۴"", ""4""), ""۵"", ""5""), ""۶"", """&amp;"6""), ""۷"", ""7""), ""۸"", ""8""), ""۹"", ""9""), IF(LEFT(converted,3)=""+98"", ""0"" &amp; RIGHT(converted, LEN(converted)-3), IF(LEFT(converted,2)=""98"", ""0"" &amp; RIGHT(converted, LEN(converted)-2), IF(LEFT(converted,1)&lt;&gt;""0"", ""0"" &amp; converted, REGEXREPL"&amp;"ACE(converted , ""\s"", """")) ) ) ) )"),"09363755772")</f>
        <v>09363755772</v>
      </c>
      <c r="E1233" s="205" t="s">
        <v>17</v>
      </c>
      <c r="F1233" s="206">
        <v>10.0</v>
      </c>
      <c r="G1233" s="202"/>
      <c r="H1233" s="202"/>
      <c r="I1233" s="203"/>
      <c r="J1233" s="203"/>
      <c r="K1233" s="207" t="s">
        <v>1314</v>
      </c>
      <c r="L1233" s="207" t="s">
        <v>5676</v>
      </c>
      <c r="M1233" s="207"/>
      <c r="N1233" s="207"/>
      <c r="O1233" s="202"/>
      <c r="P1233" s="202"/>
      <c r="Q1233" s="208"/>
      <c r="R1233" s="86"/>
      <c r="S1233" s="114">
        <f t="shared" ref="S1233:T1233" si="1234">A1233</f>
        <v>1233</v>
      </c>
      <c r="T1233" s="114" t="str">
        <f t="shared" si="1234"/>
        <v>بهنوش کرباسیان</v>
      </c>
      <c r="U1233" s="86" t="str">
        <f t="shared" si="3"/>
        <v>09363755772</v>
      </c>
      <c r="V1233" s="86" t="str">
        <f t="shared" si="4"/>
        <v>پیش‌وایی 10</v>
      </c>
      <c r="W1233" s="86"/>
      <c r="X1233" s="86"/>
    </row>
    <row r="1234">
      <c r="A1234" s="192">
        <v>1234.0</v>
      </c>
      <c r="B1234" s="199" t="s">
        <v>5677</v>
      </c>
      <c r="C1234" s="194" t="s">
        <v>5678</v>
      </c>
      <c r="D1234" s="195" t="str">
        <f>IFERROR(__xludf.DUMMYFUNCTION("ARRAYFORMULA(LET( converted, SUBSTITUTE( SUBSTITUTE( SUBSTITUTE( SUBSTITUTE( SUBSTITUTE( SUBSTITUTE( SUBSTITUTE( SUBSTITUTE( SUBSTITUTE( SUBSTITUTE( C1234, ""۰"", ""0""), ""۱"", ""1""), ""۲"", ""2""), ""۳"", ""3""), ""۴"", ""4""), ""۵"", ""5""), ""۶"", """&amp;"6""), ""۷"", ""7""), ""۸"", ""8""), ""۹"", ""9""), IF(LEFT(converted,3)=""+98"", ""0"" &amp; RIGHT(converted, LEN(converted)-3), IF(LEFT(converted,2)=""98"", ""0"" &amp; RIGHT(converted, LEN(converted)-2), IF(LEFT(converted,1)&lt;&gt;""0"", ""0"" &amp; converted, REGEXREPL"&amp;"ACE(converted , ""\s"", """")) ) ) ) )"),"09120681759")</f>
        <v>09120681759</v>
      </c>
      <c r="E1234" s="196" t="s">
        <v>17</v>
      </c>
      <c r="F1234" s="197">
        <v>10.0</v>
      </c>
      <c r="G1234" s="193"/>
      <c r="H1234" s="193"/>
      <c r="I1234" s="194"/>
      <c r="J1234" s="194"/>
      <c r="K1234" s="199" t="s">
        <v>5679</v>
      </c>
      <c r="L1234" s="199" t="s">
        <v>1135</v>
      </c>
      <c r="M1234" s="199"/>
      <c r="N1234" s="199"/>
      <c r="O1234" s="193"/>
      <c r="P1234" s="193"/>
      <c r="Q1234" s="200"/>
      <c r="R1234" s="86"/>
      <c r="S1234" s="114">
        <f t="shared" ref="S1234:T1234" si="1235">A1234</f>
        <v>1234</v>
      </c>
      <c r="T1234" s="114" t="str">
        <f t="shared" si="1235"/>
        <v>پدرام سیفی</v>
      </c>
      <c r="U1234" s="86" t="str">
        <f t="shared" si="3"/>
        <v>09120681759</v>
      </c>
      <c r="V1234" s="86" t="str">
        <f t="shared" si="4"/>
        <v>پیش‌وایی 10</v>
      </c>
      <c r="W1234" s="86"/>
      <c r="X1234" s="86"/>
    </row>
    <row r="1235">
      <c r="A1235" s="201">
        <v>1235.0</v>
      </c>
      <c r="B1235" s="202" t="s">
        <v>5680</v>
      </c>
      <c r="C1235" s="203" t="s">
        <v>5681</v>
      </c>
      <c r="D1235" s="204" t="str">
        <f>IFERROR(__xludf.DUMMYFUNCTION("ARRAYFORMULA(LET( converted, SUBSTITUTE( SUBSTITUTE( SUBSTITUTE( SUBSTITUTE( SUBSTITUTE( SUBSTITUTE( SUBSTITUTE( SUBSTITUTE( SUBSTITUTE( SUBSTITUTE( C1235, ""۰"", ""0""), ""۱"", ""1""), ""۲"", ""2""), ""۳"", ""3""), ""۴"", ""4""), ""۵"", ""5""), ""۶"", """&amp;"6""), ""۷"", ""7""), ""۸"", ""8""), ""۹"", ""9""), IF(LEFT(converted,3)=""+98"", ""0"" &amp; RIGHT(converted, LEN(converted)-3), IF(LEFT(converted,2)=""98"", ""0"" &amp; RIGHT(converted, LEN(converted)-2), IF(LEFT(converted,1)&lt;&gt;""0"", ""0"" &amp; converted, REGEXREPL"&amp;"ACE(converted , ""\s"", """")) ) ) ) )"),"09381192373")</f>
        <v>09381192373</v>
      </c>
      <c r="E1235" s="205" t="s">
        <v>17</v>
      </c>
      <c r="F1235" s="206">
        <v>10.0</v>
      </c>
      <c r="G1235" s="202"/>
      <c r="H1235" s="202"/>
      <c r="I1235" s="203"/>
      <c r="J1235" s="203"/>
      <c r="K1235" s="207" t="s">
        <v>796</v>
      </c>
      <c r="L1235" s="207" t="s">
        <v>209</v>
      </c>
      <c r="M1235" s="207"/>
      <c r="N1235" s="207"/>
      <c r="O1235" s="202"/>
      <c r="P1235" s="202"/>
      <c r="Q1235" s="208"/>
      <c r="R1235" s="86"/>
      <c r="S1235" s="114">
        <f t="shared" ref="S1235:T1235" si="1236">A1235</f>
        <v>1235</v>
      </c>
      <c r="T1235" s="114" t="str">
        <f t="shared" si="1236"/>
        <v>پریسا بهروز</v>
      </c>
      <c r="U1235" s="86" t="str">
        <f t="shared" si="3"/>
        <v>09381192373</v>
      </c>
      <c r="V1235" s="86" t="str">
        <f t="shared" si="4"/>
        <v>پیش‌وایی 10</v>
      </c>
      <c r="W1235" s="86"/>
      <c r="X1235" s="86"/>
    </row>
    <row r="1236">
      <c r="A1236" s="192">
        <v>1236.0</v>
      </c>
      <c r="B1236" s="193" t="s">
        <v>5682</v>
      </c>
      <c r="C1236" s="194" t="s">
        <v>5683</v>
      </c>
      <c r="D1236" s="195" t="str">
        <f>IFERROR(__xludf.DUMMYFUNCTION("ARRAYFORMULA(LET( converted, SUBSTITUTE( SUBSTITUTE( SUBSTITUTE( SUBSTITUTE( SUBSTITUTE( SUBSTITUTE( SUBSTITUTE( SUBSTITUTE( SUBSTITUTE( SUBSTITUTE( C1236, ""۰"", ""0""), ""۱"", ""1""), ""۲"", ""2""), ""۳"", ""3""), ""۴"", ""4""), ""۵"", ""5""), ""۶"", """&amp;"6""), ""۷"", ""7""), ""۸"", ""8""), ""۹"", ""9""), IF(LEFT(converted,3)=""+98"", ""0"" &amp; RIGHT(converted, LEN(converted)-3), IF(LEFT(converted,2)=""98"", ""0"" &amp; RIGHT(converted, LEN(converted)-2), IF(LEFT(converted,1)&lt;&gt;""0"", ""0"" &amp; converted, REGEXREPL"&amp;"ACE(converted , ""\s"", """")) ) ) ) )"),"09128703674")</f>
        <v>09128703674</v>
      </c>
      <c r="E1236" s="196" t="s">
        <v>17</v>
      </c>
      <c r="F1236" s="197">
        <v>10.0</v>
      </c>
      <c r="G1236" s="193"/>
      <c r="H1236" s="193"/>
      <c r="I1236" s="194"/>
      <c r="J1236" s="194"/>
      <c r="K1236" s="199" t="s">
        <v>1992</v>
      </c>
      <c r="L1236" s="199" t="s">
        <v>5684</v>
      </c>
      <c r="M1236" s="199"/>
      <c r="N1236" s="199"/>
      <c r="O1236" s="193"/>
      <c r="P1236" s="193"/>
      <c r="Q1236" s="200"/>
      <c r="R1236" s="86"/>
      <c r="S1236" s="114">
        <f t="shared" ref="S1236:T1236" si="1237">A1236</f>
        <v>1236</v>
      </c>
      <c r="T1236" s="114" t="str">
        <f t="shared" si="1237"/>
        <v>تینا کهریزی</v>
      </c>
      <c r="U1236" s="86" t="str">
        <f t="shared" si="3"/>
        <v>09128703674</v>
      </c>
      <c r="V1236" s="86" t="str">
        <f t="shared" si="4"/>
        <v>پیش‌وایی 10</v>
      </c>
      <c r="W1236" s="86"/>
      <c r="X1236" s="86"/>
    </row>
    <row r="1237">
      <c r="A1237" s="201">
        <v>1237.0</v>
      </c>
      <c r="B1237" s="202" t="s">
        <v>5685</v>
      </c>
      <c r="C1237" s="203" t="s">
        <v>5686</v>
      </c>
      <c r="D1237" s="204" t="str">
        <f>IFERROR(__xludf.DUMMYFUNCTION("ARRAYFORMULA(LET( converted, SUBSTITUTE( SUBSTITUTE( SUBSTITUTE( SUBSTITUTE( SUBSTITUTE( SUBSTITUTE( SUBSTITUTE( SUBSTITUTE( SUBSTITUTE( SUBSTITUTE( C1237, ""۰"", ""0""), ""۱"", ""1""), ""۲"", ""2""), ""۳"", ""3""), ""۴"", ""4""), ""۵"", ""5""), ""۶"", """&amp;"6""), ""۷"", ""7""), ""۸"", ""8""), ""۹"", ""9""), IF(LEFT(converted,3)=""+98"", ""0"" &amp; RIGHT(converted, LEN(converted)-3), IF(LEFT(converted,2)=""98"", ""0"" &amp; RIGHT(converted, LEN(converted)-2), IF(LEFT(converted,1)&lt;&gt;""0"", ""0"" &amp; converted, REGEXREPL"&amp;"ACE(converted , ""\s"", """")) ) ) ) )"),"09192440043")</f>
        <v>09192440043</v>
      </c>
      <c r="E1237" s="205" t="s">
        <v>17</v>
      </c>
      <c r="F1237" s="206">
        <v>10.0</v>
      </c>
      <c r="G1237" s="202"/>
      <c r="H1237" s="202"/>
      <c r="I1237" s="203"/>
      <c r="J1237" s="203"/>
      <c r="K1237" s="207" t="s">
        <v>946</v>
      </c>
      <c r="L1237" s="207" t="s">
        <v>5687</v>
      </c>
      <c r="M1237" s="207"/>
      <c r="N1237" s="207"/>
      <c r="O1237" s="202"/>
      <c r="P1237" s="202"/>
      <c r="Q1237" s="208"/>
      <c r="R1237" s="86"/>
      <c r="S1237" s="114">
        <f t="shared" ref="S1237:T1237" si="1238">A1237</f>
        <v>1237</v>
      </c>
      <c r="T1237" s="114" t="str">
        <f t="shared" si="1238"/>
        <v>جلال فیض ابادی</v>
      </c>
      <c r="U1237" s="86" t="str">
        <f t="shared" si="3"/>
        <v>09192440043</v>
      </c>
      <c r="V1237" s="86" t="str">
        <f t="shared" si="4"/>
        <v>پیش‌وایی 10</v>
      </c>
      <c r="W1237" s="86"/>
      <c r="X1237" s="86"/>
    </row>
    <row r="1238">
      <c r="A1238" s="192">
        <v>1238.0</v>
      </c>
      <c r="B1238" s="193" t="s">
        <v>5688</v>
      </c>
      <c r="C1238" s="194" t="s">
        <v>5689</v>
      </c>
      <c r="D1238" s="195" t="str">
        <f>IFERROR(__xludf.DUMMYFUNCTION("ARRAYFORMULA(LET( converted, SUBSTITUTE( SUBSTITUTE( SUBSTITUTE( SUBSTITUTE( SUBSTITUTE( SUBSTITUTE( SUBSTITUTE( SUBSTITUTE( SUBSTITUTE( SUBSTITUTE( C1238, ""۰"", ""0""), ""۱"", ""1""), ""۲"", ""2""), ""۳"", ""3""), ""۴"", ""4""), ""۵"", ""5""), ""۶"", """&amp;"6""), ""۷"", ""7""), ""۸"", ""8""), ""۹"", ""9""), IF(LEFT(converted,3)=""+98"", ""0"" &amp; RIGHT(converted, LEN(converted)-3), IF(LEFT(converted,2)=""98"", ""0"" &amp; RIGHT(converted, LEN(converted)-2), IF(LEFT(converted,1)&lt;&gt;""0"", ""0"" &amp; converted, REGEXREPL"&amp;"ACE(converted , ""\s"", """")) ) ) ) )"),"09101829821")</f>
        <v>09101829821</v>
      </c>
      <c r="E1238" s="196" t="s">
        <v>17</v>
      </c>
      <c r="F1238" s="197">
        <v>10.0</v>
      </c>
      <c r="G1238" s="193"/>
      <c r="H1238" s="193"/>
      <c r="I1238" s="194"/>
      <c r="J1238" s="194"/>
      <c r="K1238" s="199" t="s">
        <v>1004</v>
      </c>
      <c r="L1238" s="199" t="s">
        <v>5690</v>
      </c>
      <c r="M1238" s="199"/>
      <c r="N1238" s="199"/>
      <c r="O1238" s="193"/>
      <c r="P1238" s="193"/>
      <c r="Q1238" s="200"/>
      <c r="R1238" s="86"/>
      <c r="S1238" s="114">
        <f t="shared" ref="S1238:T1238" si="1239">A1238</f>
        <v>1238</v>
      </c>
      <c r="T1238" s="114" t="str">
        <f t="shared" si="1239"/>
        <v>حامد جلیلیانی</v>
      </c>
      <c r="U1238" s="86" t="str">
        <f t="shared" si="3"/>
        <v>09101829821</v>
      </c>
      <c r="V1238" s="86" t="str">
        <f t="shared" si="4"/>
        <v>پیش‌وایی 10</v>
      </c>
      <c r="W1238" s="86"/>
      <c r="X1238" s="86"/>
    </row>
    <row r="1239">
      <c r="A1239" s="201">
        <v>1239.0</v>
      </c>
      <c r="B1239" s="202" t="s">
        <v>5691</v>
      </c>
      <c r="C1239" s="203" t="s">
        <v>5692</v>
      </c>
      <c r="D1239" s="204" t="str">
        <f>IFERROR(__xludf.DUMMYFUNCTION("ARRAYFORMULA(LET( converted, SUBSTITUTE( SUBSTITUTE( SUBSTITUTE( SUBSTITUTE( SUBSTITUTE( SUBSTITUTE( SUBSTITUTE( SUBSTITUTE( SUBSTITUTE( SUBSTITUTE( C1239, ""۰"", ""0""), ""۱"", ""1""), ""۲"", ""2""), ""۳"", ""3""), ""۴"", ""4""), ""۵"", ""5""), ""۶"", """&amp;"6""), ""۷"", ""7""), ""۸"", ""8""), ""۹"", ""9""), IF(LEFT(converted,3)=""+98"", ""0"" &amp; RIGHT(converted, LEN(converted)-3), IF(LEFT(converted,2)=""98"", ""0"" &amp; RIGHT(converted, LEN(converted)-2), IF(LEFT(converted,1)&lt;&gt;""0"", ""0"" &amp; converted, REGEXREPL"&amp;"ACE(converted , ""\s"", """")) ) ) ) )"),"09022679124")</f>
        <v>09022679124</v>
      </c>
      <c r="E1239" s="205" t="s">
        <v>17</v>
      </c>
      <c r="F1239" s="206">
        <v>10.0</v>
      </c>
      <c r="G1239" s="202"/>
      <c r="H1239" s="202"/>
      <c r="I1239" s="203"/>
      <c r="J1239" s="203"/>
      <c r="K1239" s="207" t="s">
        <v>996</v>
      </c>
      <c r="L1239" s="207" t="s">
        <v>5337</v>
      </c>
      <c r="M1239" s="207"/>
      <c r="N1239" s="207"/>
      <c r="O1239" s="202"/>
      <c r="P1239" s="202"/>
      <c r="Q1239" s="208"/>
      <c r="R1239" s="86"/>
      <c r="S1239" s="114">
        <f t="shared" ref="S1239:T1239" si="1240">A1239</f>
        <v>1239</v>
      </c>
      <c r="T1239" s="114" t="str">
        <f t="shared" si="1240"/>
        <v>حسام رجایی</v>
      </c>
      <c r="U1239" s="86" t="str">
        <f t="shared" si="3"/>
        <v>09022679124</v>
      </c>
      <c r="V1239" s="86" t="str">
        <f t="shared" si="4"/>
        <v>پیش‌وایی 10</v>
      </c>
      <c r="W1239" s="86"/>
      <c r="X1239" s="86"/>
    </row>
    <row r="1240">
      <c r="A1240" s="192">
        <v>1240.0</v>
      </c>
      <c r="B1240" s="193" t="s">
        <v>5693</v>
      </c>
      <c r="C1240" s="194" t="s">
        <v>5694</v>
      </c>
      <c r="D1240" s="195" t="str">
        <f>IFERROR(__xludf.DUMMYFUNCTION("ARRAYFORMULA(LET( converted, SUBSTITUTE( SUBSTITUTE( SUBSTITUTE( SUBSTITUTE( SUBSTITUTE( SUBSTITUTE( SUBSTITUTE( SUBSTITUTE( SUBSTITUTE( SUBSTITUTE( C1240, ""۰"", ""0""), ""۱"", ""1""), ""۲"", ""2""), ""۳"", ""3""), ""۴"", ""4""), ""۵"", ""5""), ""۶"", """&amp;"6""), ""۷"", ""7""), ""۸"", ""8""), ""۹"", ""9""), IF(LEFT(converted,3)=""+98"", ""0"" &amp; RIGHT(converted, LEN(converted)-3), IF(LEFT(converted,2)=""98"", ""0"" &amp; RIGHT(converted, LEN(converted)-2), IF(LEFT(converted,1)&lt;&gt;""0"", ""0"" &amp; converted, REGEXREPL"&amp;"ACE(converted , ""\s"", """")) ) ) ) )"),"09376846399")</f>
        <v>09376846399</v>
      </c>
      <c r="E1240" s="196" t="s">
        <v>17</v>
      </c>
      <c r="F1240" s="197">
        <v>10.0</v>
      </c>
      <c r="G1240" s="193"/>
      <c r="H1240" s="193"/>
      <c r="I1240" s="194"/>
      <c r="J1240" s="194"/>
      <c r="K1240" s="199" t="s">
        <v>5695</v>
      </c>
      <c r="L1240" s="199" t="s">
        <v>5696</v>
      </c>
      <c r="M1240" s="199"/>
      <c r="N1240" s="199"/>
      <c r="O1240" s="193"/>
      <c r="P1240" s="193"/>
      <c r="Q1240" s="200"/>
      <c r="R1240" s="86"/>
      <c r="S1240" s="114">
        <f t="shared" ref="S1240:T1240" si="1241">A1240</f>
        <v>1240</v>
      </c>
      <c r="T1240" s="114" t="str">
        <f t="shared" si="1241"/>
        <v>حسنا سادات آزرم سا</v>
      </c>
      <c r="U1240" s="86" t="str">
        <f t="shared" si="3"/>
        <v>09376846399</v>
      </c>
      <c r="V1240" s="86" t="str">
        <f t="shared" si="4"/>
        <v>پیش‌وایی 10</v>
      </c>
      <c r="W1240" s="86"/>
      <c r="X1240" s="86"/>
    </row>
    <row r="1241">
      <c r="A1241" s="201">
        <v>1241.0</v>
      </c>
      <c r="B1241" s="202" t="s">
        <v>5697</v>
      </c>
      <c r="C1241" s="203" t="s">
        <v>5698</v>
      </c>
      <c r="D1241" s="204" t="str">
        <f>IFERROR(__xludf.DUMMYFUNCTION("ARRAYFORMULA(LET( converted, SUBSTITUTE( SUBSTITUTE( SUBSTITUTE( SUBSTITUTE( SUBSTITUTE( SUBSTITUTE( SUBSTITUTE( SUBSTITUTE( SUBSTITUTE( SUBSTITUTE( C1241, ""۰"", ""0""), ""۱"", ""1""), ""۲"", ""2""), ""۳"", ""3""), ""۴"", ""4""), ""۵"", ""5""), ""۶"", """&amp;"6""), ""۷"", ""7""), ""۸"", ""8""), ""۹"", ""9""), IF(LEFT(converted,3)=""+98"", ""0"" &amp; RIGHT(converted, LEN(converted)-3), IF(LEFT(converted,2)=""98"", ""0"" &amp; RIGHT(converted, LEN(converted)-2), IF(LEFT(converted,1)&lt;&gt;""0"", ""0"" &amp; converted, REGEXREPL"&amp;"ACE(converted , ""\s"", """")) ) ) ) )"),"09125340799")</f>
        <v>09125340799</v>
      </c>
      <c r="E1241" s="205" t="s">
        <v>17</v>
      </c>
      <c r="F1241" s="206">
        <v>10.0</v>
      </c>
      <c r="G1241" s="202"/>
      <c r="H1241" s="202"/>
      <c r="I1241" s="203"/>
      <c r="J1241" s="203"/>
      <c r="K1241" s="207" t="s">
        <v>5624</v>
      </c>
      <c r="L1241" s="207" t="s">
        <v>5522</v>
      </c>
      <c r="M1241" s="207"/>
      <c r="N1241" s="207"/>
      <c r="O1241" s="202"/>
      <c r="P1241" s="202"/>
      <c r="Q1241" s="208"/>
      <c r="R1241" s="86"/>
      <c r="S1241" s="114">
        <f t="shared" ref="S1241:T1241" si="1242">A1241</f>
        <v>1241</v>
      </c>
      <c r="T1241" s="114" t="str">
        <f t="shared" si="1242"/>
        <v>حورا خوش خو</v>
      </c>
      <c r="U1241" s="86" t="str">
        <f t="shared" si="3"/>
        <v>09125340799</v>
      </c>
      <c r="V1241" s="86" t="str">
        <f t="shared" si="4"/>
        <v>پیش‌وایی 10</v>
      </c>
      <c r="W1241" s="86"/>
      <c r="X1241" s="86"/>
    </row>
    <row r="1242">
      <c r="A1242" s="192">
        <v>1242.0</v>
      </c>
      <c r="B1242" s="193" t="s">
        <v>5699</v>
      </c>
      <c r="C1242" s="194" t="s">
        <v>5700</v>
      </c>
      <c r="D1242" s="195" t="str">
        <f>IFERROR(__xludf.DUMMYFUNCTION("ARRAYFORMULA(LET( converted, SUBSTITUTE( SUBSTITUTE( SUBSTITUTE( SUBSTITUTE( SUBSTITUTE( SUBSTITUTE( SUBSTITUTE( SUBSTITUTE( SUBSTITUTE( SUBSTITUTE( C1242, ""۰"", ""0""), ""۱"", ""1""), ""۲"", ""2""), ""۳"", ""3""), ""۴"", ""4""), ""۵"", ""5""), ""۶"", """&amp;"6""), ""۷"", ""7""), ""۸"", ""8""), ""۹"", ""9""), IF(LEFT(converted,3)=""+98"", ""0"" &amp; RIGHT(converted, LEN(converted)-3), IF(LEFT(converted,2)=""98"", ""0"" &amp; RIGHT(converted, LEN(converted)-2), IF(LEFT(converted,1)&lt;&gt;""0"", ""0"" &amp; converted, REGEXREPL"&amp;"ACE(converted , ""\s"", """")) ) ) ) )"),"09122580273")</f>
        <v>09122580273</v>
      </c>
      <c r="E1242" s="196" t="s">
        <v>17</v>
      </c>
      <c r="F1242" s="197">
        <v>10.0</v>
      </c>
      <c r="G1242" s="193"/>
      <c r="H1242" s="193"/>
      <c r="I1242" s="194"/>
      <c r="J1242" s="194"/>
      <c r="K1242" s="199" t="s">
        <v>1459</v>
      </c>
      <c r="L1242" s="199" t="s">
        <v>5701</v>
      </c>
      <c r="M1242" s="199"/>
      <c r="N1242" s="199"/>
      <c r="O1242" s="193"/>
      <c r="P1242" s="193"/>
      <c r="Q1242" s="200"/>
      <c r="R1242" s="86"/>
      <c r="S1242" s="114">
        <f t="shared" ref="S1242:T1242" si="1243">A1242</f>
        <v>1242</v>
      </c>
      <c r="T1242" s="114" t="str">
        <f t="shared" si="1243"/>
        <v>رضا جوهرچی</v>
      </c>
      <c r="U1242" s="86" t="str">
        <f t="shared" si="3"/>
        <v>09122580273</v>
      </c>
      <c r="V1242" s="86" t="str">
        <f t="shared" si="4"/>
        <v>پیش‌وایی 10</v>
      </c>
      <c r="W1242" s="86"/>
      <c r="X1242" s="86"/>
    </row>
    <row r="1243">
      <c r="A1243" s="201">
        <v>1243.0</v>
      </c>
      <c r="B1243" s="202" t="s">
        <v>5702</v>
      </c>
      <c r="C1243" s="203" t="s">
        <v>5703</v>
      </c>
      <c r="D1243" s="204" t="str">
        <f>IFERROR(__xludf.DUMMYFUNCTION("ARRAYFORMULA(LET( converted, SUBSTITUTE( SUBSTITUTE( SUBSTITUTE( SUBSTITUTE( SUBSTITUTE( SUBSTITUTE( SUBSTITUTE( SUBSTITUTE( SUBSTITUTE( SUBSTITUTE( C1243, ""۰"", ""0""), ""۱"", ""1""), ""۲"", ""2""), ""۳"", ""3""), ""۴"", ""4""), ""۵"", ""5""), ""۶"", """&amp;"6""), ""۷"", ""7""), ""۸"", ""8""), ""۹"", ""9""), IF(LEFT(converted,3)=""+98"", ""0"" &amp; RIGHT(converted, LEN(converted)-3), IF(LEFT(converted,2)=""98"", ""0"" &amp; RIGHT(converted, LEN(converted)-2), IF(LEFT(converted,1)&lt;&gt;""0"", ""0"" &amp; converted, REGEXREPL"&amp;"ACE(converted , ""\s"", """")) ) ) ) )"),"09112512459")</f>
        <v>09112512459</v>
      </c>
      <c r="E1243" s="205" t="s">
        <v>17</v>
      </c>
      <c r="F1243" s="206">
        <v>10.0</v>
      </c>
      <c r="G1243" s="202"/>
      <c r="H1243" s="202"/>
      <c r="I1243" s="203"/>
      <c r="J1243" s="203"/>
      <c r="K1243" s="207" t="s">
        <v>1459</v>
      </c>
      <c r="L1243" s="207" t="s">
        <v>3528</v>
      </c>
      <c r="M1243" s="207"/>
      <c r="N1243" s="207"/>
      <c r="O1243" s="202"/>
      <c r="P1243" s="202"/>
      <c r="Q1243" s="208"/>
      <c r="R1243" s="86"/>
      <c r="S1243" s="114">
        <f t="shared" ref="S1243:T1243" si="1244">A1243</f>
        <v>1243</v>
      </c>
      <c r="T1243" s="114" t="str">
        <f t="shared" si="1244"/>
        <v>رضا عباسی</v>
      </c>
      <c r="U1243" s="86" t="str">
        <f t="shared" si="3"/>
        <v>09112512459</v>
      </c>
      <c r="V1243" s="86" t="str">
        <f t="shared" si="4"/>
        <v>پیش‌وایی 10</v>
      </c>
      <c r="W1243" s="86"/>
      <c r="X1243" s="86"/>
    </row>
    <row r="1244">
      <c r="A1244" s="192">
        <v>1244.0</v>
      </c>
      <c r="B1244" s="193" t="s">
        <v>5704</v>
      </c>
      <c r="C1244" s="194" t="s">
        <v>5705</v>
      </c>
      <c r="D1244" s="195" t="str">
        <f>IFERROR(__xludf.DUMMYFUNCTION("ARRAYFORMULA(LET( converted, SUBSTITUTE( SUBSTITUTE( SUBSTITUTE( SUBSTITUTE( SUBSTITUTE( SUBSTITUTE( SUBSTITUTE( SUBSTITUTE( SUBSTITUTE( SUBSTITUTE( C1244, ""۰"", ""0""), ""۱"", ""1""), ""۲"", ""2""), ""۳"", ""3""), ""۴"", ""4""), ""۵"", ""5""), ""۶"", """&amp;"6""), ""۷"", ""7""), ""۸"", ""8""), ""۹"", ""9""), IF(LEFT(converted,3)=""+98"", ""0"" &amp; RIGHT(converted, LEN(converted)-3), IF(LEFT(converted,2)=""98"", ""0"" &amp; RIGHT(converted, LEN(converted)-2), IF(LEFT(converted,1)&lt;&gt;""0"", ""0"" &amp; converted, REGEXREPL"&amp;"ACE(converted , ""\s"", """")) ) ) ) )"),"09198888906")</f>
        <v>09198888906</v>
      </c>
      <c r="E1244" s="196" t="s">
        <v>17</v>
      </c>
      <c r="F1244" s="197">
        <v>10.0</v>
      </c>
      <c r="G1244" s="193"/>
      <c r="H1244" s="193"/>
      <c r="I1244" s="194"/>
      <c r="J1244" s="194"/>
      <c r="K1244" s="199" t="s">
        <v>357</v>
      </c>
      <c r="L1244" s="199" t="s">
        <v>358</v>
      </c>
      <c r="M1244" s="199"/>
      <c r="N1244" s="199"/>
      <c r="O1244" s="193"/>
      <c r="P1244" s="193"/>
      <c r="Q1244" s="200"/>
      <c r="R1244" s="86"/>
      <c r="S1244" s="114">
        <f t="shared" ref="S1244:T1244" si="1245">A1244</f>
        <v>1244</v>
      </c>
      <c r="T1244" s="114" t="str">
        <f t="shared" si="1245"/>
        <v>زکیه باقری</v>
      </c>
      <c r="U1244" s="86" t="str">
        <f t="shared" si="3"/>
        <v>09198888906</v>
      </c>
      <c r="V1244" s="86" t="str">
        <f t="shared" si="4"/>
        <v>پیش‌وایی 10</v>
      </c>
      <c r="W1244" s="86"/>
      <c r="X1244" s="86"/>
    </row>
    <row r="1245">
      <c r="A1245" s="201">
        <v>1245.0</v>
      </c>
      <c r="B1245" s="202" t="s">
        <v>5706</v>
      </c>
      <c r="C1245" s="203" t="s">
        <v>5707</v>
      </c>
      <c r="D1245" s="204" t="str">
        <f>IFERROR(__xludf.DUMMYFUNCTION("ARRAYFORMULA(LET( converted, SUBSTITUTE( SUBSTITUTE( SUBSTITUTE( SUBSTITUTE( SUBSTITUTE( SUBSTITUTE( SUBSTITUTE( SUBSTITUTE( SUBSTITUTE( SUBSTITUTE( C1245, ""۰"", ""0""), ""۱"", ""1""), ""۲"", ""2""), ""۳"", ""3""), ""۴"", ""4""), ""۵"", ""5""), ""۶"", """&amp;"6""), ""۷"", ""7""), ""۸"", ""8""), ""۹"", ""9""), IF(LEFT(converted,3)=""+98"", ""0"" &amp; RIGHT(converted, LEN(converted)-3), IF(LEFT(converted,2)=""98"", ""0"" &amp; RIGHT(converted, LEN(converted)-2), IF(LEFT(converted,1)&lt;&gt;""0"", ""0"" &amp; converted, REGEXREPL"&amp;"ACE(converted , ""\s"", """")) ) ) ) )"),"09125439381")</f>
        <v>09125439381</v>
      </c>
      <c r="E1245" s="205" t="s">
        <v>17</v>
      </c>
      <c r="F1245" s="206">
        <v>10.0</v>
      </c>
      <c r="G1245" s="202"/>
      <c r="H1245" s="202"/>
      <c r="I1245" s="203"/>
      <c r="J1245" s="203"/>
      <c r="K1245" s="207" t="s">
        <v>1398</v>
      </c>
      <c r="L1245" s="207" t="s">
        <v>3326</v>
      </c>
      <c r="M1245" s="207"/>
      <c r="N1245" s="207"/>
      <c r="O1245" s="202"/>
      <c r="P1245" s="202"/>
      <c r="Q1245" s="208"/>
      <c r="R1245" s="86"/>
      <c r="S1245" s="114">
        <f t="shared" ref="S1245:T1245" si="1246">A1245</f>
        <v>1245</v>
      </c>
      <c r="T1245" s="114" t="str">
        <f t="shared" si="1246"/>
        <v>زهرا امینی</v>
      </c>
      <c r="U1245" s="86" t="str">
        <f t="shared" si="3"/>
        <v>09125439381</v>
      </c>
      <c r="V1245" s="86" t="str">
        <f t="shared" si="4"/>
        <v>پیش‌وایی 10</v>
      </c>
      <c r="W1245" s="86"/>
      <c r="X1245" s="86"/>
    </row>
    <row r="1246">
      <c r="A1246" s="192">
        <v>1246.0</v>
      </c>
      <c r="B1246" s="193" t="s">
        <v>5708</v>
      </c>
      <c r="C1246" s="194" t="s">
        <v>5709</v>
      </c>
      <c r="D1246" s="195" t="str">
        <f>IFERROR(__xludf.DUMMYFUNCTION("ARRAYFORMULA(LET( converted, SUBSTITUTE( SUBSTITUTE( SUBSTITUTE( SUBSTITUTE( SUBSTITUTE( SUBSTITUTE( SUBSTITUTE( SUBSTITUTE( SUBSTITUTE( SUBSTITUTE( C1246, ""۰"", ""0""), ""۱"", ""1""), ""۲"", ""2""), ""۳"", ""3""), ""۴"", ""4""), ""۵"", ""5""), ""۶"", """&amp;"6""), ""۷"", ""7""), ""۸"", ""8""), ""۹"", ""9""), IF(LEFT(converted,3)=""+98"", ""0"" &amp; RIGHT(converted, LEN(converted)-3), IF(LEFT(converted,2)=""98"", ""0"" &amp; RIGHT(converted, LEN(converted)-2), IF(LEFT(converted,1)&lt;&gt;""0"", ""0"" &amp; converted, REGEXREPL"&amp;"ACE(converted , ""\s"", """")) ) ) ) )"),"09190677968")</f>
        <v>09190677968</v>
      </c>
      <c r="E1246" s="196" t="s">
        <v>17</v>
      </c>
      <c r="F1246" s="197">
        <v>10.0</v>
      </c>
      <c r="G1246" s="193"/>
      <c r="H1246" s="193"/>
      <c r="I1246" s="194"/>
      <c r="J1246" s="194"/>
      <c r="K1246" s="199" t="s">
        <v>5710</v>
      </c>
      <c r="L1246" s="199" t="s">
        <v>920</v>
      </c>
      <c r="M1246" s="199"/>
      <c r="N1246" s="199"/>
      <c r="O1246" s="193"/>
      <c r="P1246" s="193"/>
      <c r="Q1246" s="200"/>
      <c r="R1246" s="86"/>
      <c r="S1246" s="114">
        <f t="shared" ref="S1246:T1246" si="1247">A1246</f>
        <v>1246</v>
      </c>
      <c r="T1246" s="114" t="str">
        <f t="shared" si="1247"/>
        <v>سامان سلیمانی</v>
      </c>
      <c r="U1246" s="86" t="str">
        <f t="shared" si="3"/>
        <v>09190677968</v>
      </c>
      <c r="V1246" s="86" t="str">
        <f t="shared" si="4"/>
        <v>پیش‌وایی 10</v>
      </c>
      <c r="W1246" s="86"/>
      <c r="X1246" s="86"/>
    </row>
    <row r="1247">
      <c r="A1247" s="201">
        <v>1247.0</v>
      </c>
      <c r="B1247" s="202" t="s">
        <v>5711</v>
      </c>
      <c r="C1247" s="203" t="s">
        <v>5712</v>
      </c>
      <c r="D1247" s="204" t="str">
        <f>IFERROR(__xludf.DUMMYFUNCTION("ARRAYFORMULA(LET( converted, SUBSTITUTE( SUBSTITUTE( SUBSTITUTE( SUBSTITUTE( SUBSTITUTE( SUBSTITUTE( SUBSTITUTE( SUBSTITUTE( SUBSTITUTE( SUBSTITUTE( C1247, ""۰"", ""0""), ""۱"", ""1""), ""۲"", ""2""), ""۳"", ""3""), ""۴"", ""4""), ""۵"", ""5""), ""۶"", """&amp;"6""), ""۷"", ""7""), ""۸"", ""8""), ""۹"", ""9""), IF(LEFT(converted,3)=""+98"", ""0"" &amp; RIGHT(converted, LEN(converted)-3), IF(LEFT(converted,2)=""98"", ""0"" &amp; RIGHT(converted, LEN(converted)-2), IF(LEFT(converted,1)&lt;&gt;""0"", ""0"" &amp; converted, REGEXREPL"&amp;"ACE(converted , ""\s"", """")) ) ) ) )"),"09123135307")</f>
        <v>09123135307</v>
      </c>
      <c r="E1247" s="205" t="s">
        <v>17</v>
      </c>
      <c r="F1247" s="206">
        <v>10.0</v>
      </c>
      <c r="G1247" s="202"/>
      <c r="H1247" s="202"/>
      <c r="I1247" s="203"/>
      <c r="J1247" s="203"/>
      <c r="K1247" s="207" t="s">
        <v>5710</v>
      </c>
      <c r="L1247" s="207" t="s">
        <v>5713</v>
      </c>
      <c r="M1247" s="207"/>
      <c r="N1247" s="207"/>
      <c r="O1247" s="202"/>
      <c r="P1247" s="202"/>
      <c r="Q1247" s="208"/>
      <c r="R1247" s="86"/>
      <c r="S1247" s="114">
        <f t="shared" ref="S1247:T1247" si="1248">A1247</f>
        <v>1247</v>
      </c>
      <c r="T1247" s="114" t="str">
        <f t="shared" si="1248"/>
        <v>سامان شادیان</v>
      </c>
      <c r="U1247" s="86" t="str">
        <f t="shared" si="3"/>
        <v>09123135307</v>
      </c>
      <c r="V1247" s="86" t="str">
        <f t="shared" si="4"/>
        <v>پیش‌وایی 10</v>
      </c>
      <c r="W1247" s="86"/>
      <c r="X1247" s="86"/>
    </row>
    <row r="1248">
      <c r="A1248" s="192">
        <v>1248.0</v>
      </c>
      <c r="B1248" s="193" t="s">
        <v>5714</v>
      </c>
      <c r="C1248" s="194" t="s">
        <v>5715</v>
      </c>
      <c r="D1248" s="195" t="str">
        <f>IFERROR(__xludf.DUMMYFUNCTION("ARRAYFORMULA(LET( converted, SUBSTITUTE( SUBSTITUTE( SUBSTITUTE( SUBSTITUTE( SUBSTITUTE( SUBSTITUTE( SUBSTITUTE( SUBSTITUTE( SUBSTITUTE( SUBSTITUTE( C1248, ""۰"", ""0""), ""۱"", ""1""), ""۲"", ""2""), ""۳"", ""3""), ""۴"", ""4""), ""۵"", ""5""), ""۶"", """&amp;"6""), ""۷"", ""7""), ""۸"", ""8""), ""۹"", ""9""), IF(LEFT(converted,3)=""+98"", ""0"" &amp; RIGHT(converted, LEN(converted)-3), IF(LEFT(converted,2)=""98"", ""0"" &amp; RIGHT(converted, LEN(converted)-2), IF(LEFT(converted,1)&lt;&gt;""0"", ""0"" &amp; converted, REGEXREPL"&amp;"ACE(converted , ""\s"", """")) ) ) ) )"),"09118660827")</f>
        <v>09118660827</v>
      </c>
      <c r="E1248" s="196" t="s">
        <v>17</v>
      </c>
      <c r="F1248" s="197">
        <v>10.0</v>
      </c>
      <c r="G1248" s="193"/>
      <c r="H1248" s="193"/>
      <c r="I1248" s="194"/>
      <c r="J1248" s="194"/>
      <c r="K1248" s="199" t="s">
        <v>5710</v>
      </c>
      <c r="L1248" s="199" t="s">
        <v>5716</v>
      </c>
      <c r="M1248" s="199"/>
      <c r="N1248" s="199"/>
      <c r="O1248" s="193"/>
      <c r="P1248" s="193"/>
      <c r="Q1248" s="200"/>
      <c r="R1248" s="86"/>
      <c r="S1248" s="114">
        <f t="shared" ref="S1248:T1248" si="1249">A1248</f>
        <v>1248</v>
      </c>
      <c r="T1248" s="114" t="str">
        <f t="shared" si="1249"/>
        <v>سامان مفیدی</v>
      </c>
      <c r="U1248" s="86" t="str">
        <f t="shared" si="3"/>
        <v>09118660827</v>
      </c>
      <c r="V1248" s="86" t="str">
        <f t="shared" si="4"/>
        <v>پیش‌وایی 10</v>
      </c>
      <c r="W1248" s="86"/>
      <c r="X1248" s="86"/>
    </row>
    <row r="1249">
      <c r="A1249" s="201">
        <v>1249.0</v>
      </c>
      <c r="B1249" s="202" t="s">
        <v>5717</v>
      </c>
      <c r="C1249" s="203" t="s">
        <v>5718</v>
      </c>
      <c r="D1249" s="204" t="str">
        <f>IFERROR(__xludf.DUMMYFUNCTION("ARRAYFORMULA(LET( converted, SUBSTITUTE( SUBSTITUTE( SUBSTITUTE( SUBSTITUTE( SUBSTITUTE( SUBSTITUTE( SUBSTITUTE( SUBSTITUTE( SUBSTITUTE( SUBSTITUTE( C1249, ""۰"", ""0""), ""۱"", ""1""), ""۲"", ""2""), ""۳"", ""3""), ""۴"", ""4""), ""۵"", ""5""), ""۶"", """&amp;"6""), ""۷"", ""7""), ""۸"", ""8""), ""۹"", ""9""), IF(LEFT(converted,3)=""+98"", ""0"" &amp; RIGHT(converted, LEN(converted)-3), IF(LEFT(converted,2)=""98"", ""0"" &amp; RIGHT(converted, LEN(converted)-2), IF(LEFT(converted,1)&lt;&gt;""0"", ""0"" &amp; converted, REGEXREPL"&amp;"ACE(converted , ""\s"", """")) ) ) ) )"),"09051572561")</f>
        <v>09051572561</v>
      </c>
      <c r="E1249" s="205" t="s">
        <v>17</v>
      </c>
      <c r="F1249" s="206">
        <v>10.0</v>
      </c>
      <c r="G1249" s="202"/>
      <c r="H1249" s="202"/>
      <c r="I1249" s="203"/>
      <c r="J1249" s="203"/>
      <c r="K1249" s="207" t="s">
        <v>1504</v>
      </c>
      <c r="L1249" s="207" t="s">
        <v>5115</v>
      </c>
      <c r="M1249" s="207"/>
      <c r="N1249" s="207"/>
      <c r="O1249" s="202"/>
      <c r="P1249" s="202"/>
      <c r="Q1249" s="208"/>
      <c r="R1249" s="86"/>
      <c r="S1249" s="114">
        <f t="shared" ref="S1249:T1249" si="1250">A1249</f>
        <v>1249</v>
      </c>
      <c r="T1249" s="114" t="str">
        <f t="shared" si="1250"/>
        <v>مهسا نریمانی</v>
      </c>
      <c r="U1249" s="86" t="str">
        <f t="shared" si="3"/>
        <v>09051572561</v>
      </c>
      <c r="V1249" s="86" t="str">
        <f t="shared" si="4"/>
        <v>پیش‌وایی 10</v>
      </c>
      <c r="W1249" s="86"/>
      <c r="X1249" s="86"/>
    </row>
    <row r="1250">
      <c r="A1250" s="192">
        <v>1250.0</v>
      </c>
      <c r="B1250" s="193" t="s">
        <v>5719</v>
      </c>
      <c r="C1250" s="194" t="s">
        <v>5720</v>
      </c>
      <c r="D1250" s="195" t="str">
        <f>IFERROR(__xludf.DUMMYFUNCTION("ARRAYFORMULA(LET( converted, SUBSTITUTE( SUBSTITUTE( SUBSTITUTE( SUBSTITUTE( SUBSTITUTE( SUBSTITUTE( SUBSTITUTE( SUBSTITUTE( SUBSTITUTE( SUBSTITUTE( C1250, ""۰"", ""0""), ""۱"", ""1""), ""۲"", ""2""), ""۳"", ""3""), ""۴"", ""4""), ""۵"", ""5""), ""۶"", """&amp;"6""), ""۷"", ""7""), ""۸"", ""8""), ""۹"", ""9""), IF(LEFT(converted,3)=""+98"", ""0"" &amp; RIGHT(converted, LEN(converted)-3), IF(LEFT(converted,2)=""98"", ""0"" &amp; RIGHT(converted, LEN(converted)-2), IF(LEFT(converted,1)&lt;&gt;""0"", ""0"" &amp; converted, REGEXREPL"&amp;"ACE(converted , ""\s"", """")) ) ) ) )"),"09190791802")</f>
        <v>09190791802</v>
      </c>
      <c r="E1250" s="196" t="s">
        <v>17</v>
      </c>
      <c r="F1250" s="197">
        <v>10.0</v>
      </c>
      <c r="G1250" s="193"/>
      <c r="H1250" s="193"/>
      <c r="I1250" s="194"/>
      <c r="J1250" s="194"/>
      <c r="K1250" s="199" t="s">
        <v>1685</v>
      </c>
      <c r="L1250" s="199" t="s">
        <v>2538</v>
      </c>
      <c r="M1250" s="199"/>
      <c r="N1250" s="199"/>
      <c r="O1250" s="193"/>
      <c r="P1250" s="193"/>
      <c r="Q1250" s="200"/>
      <c r="R1250" s="86"/>
      <c r="S1250" s="114">
        <f t="shared" ref="S1250:T1250" si="1251">A1250</f>
        <v>1250</v>
      </c>
      <c r="T1250" s="114" t="str">
        <f t="shared" si="1251"/>
        <v>سارا کاوه</v>
      </c>
      <c r="U1250" s="86" t="str">
        <f t="shared" si="3"/>
        <v>09190791802</v>
      </c>
      <c r="V1250" s="86" t="str">
        <f t="shared" si="4"/>
        <v>پیش‌وایی 10</v>
      </c>
      <c r="W1250" s="86"/>
      <c r="X1250" s="86"/>
    </row>
    <row r="1251">
      <c r="A1251" s="201">
        <v>1251.0</v>
      </c>
      <c r="B1251" s="202" t="s">
        <v>5289</v>
      </c>
      <c r="C1251" s="203" t="s">
        <v>5290</v>
      </c>
      <c r="D1251" s="204" t="str">
        <f>IFERROR(__xludf.DUMMYFUNCTION("ARRAYFORMULA(LET( converted, SUBSTITUTE( SUBSTITUTE( SUBSTITUTE( SUBSTITUTE( SUBSTITUTE( SUBSTITUTE( SUBSTITUTE( SUBSTITUTE( SUBSTITUTE( SUBSTITUTE( C1251, ""۰"", ""0""), ""۱"", ""1""), ""۲"", ""2""), ""۳"", ""3""), ""۴"", ""4""), ""۵"", ""5""), ""۶"", """&amp;"6""), ""۷"", ""7""), ""۸"", ""8""), ""۹"", ""9""), IF(LEFT(converted,3)=""+98"", ""0"" &amp; RIGHT(converted, LEN(converted)-3), IF(LEFT(converted,2)=""98"", ""0"" &amp; RIGHT(converted, LEN(converted)-2), IF(LEFT(converted,1)&lt;&gt;""0"", ""0"" &amp; converted, REGEXREPL"&amp;"ACE(converted , ""\s"", """")) ) ) ) )"),"09127224421")</f>
        <v>09127224421</v>
      </c>
      <c r="E1251" s="205" t="s">
        <v>17</v>
      </c>
      <c r="F1251" s="206">
        <v>10.0</v>
      </c>
      <c r="G1251" s="202"/>
      <c r="H1251" s="202"/>
      <c r="I1251" s="203"/>
      <c r="J1251" s="203"/>
      <c r="K1251" s="207" t="s">
        <v>27</v>
      </c>
      <c r="L1251" s="207" t="s">
        <v>940</v>
      </c>
      <c r="M1251" s="207"/>
      <c r="N1251" s="207"/>
      <c r="O1251" s="202"/>
      <c r="P1251" s="202"/>
      <c r="Q1251" s="208"/>
      <c r="R1251" s="86"/>
      <c r="S1251" s="114">
        <f t="shared" ref="S1251:T1251" si="1252">A1251</f>
        <v>1251</v>
      </c>
      <c r="T1251" s="114" t="str">
        <f t="shared" si="1252"/>
        <v>مجید کریمی</v>
      </c>
      <c r="U1251" s="86" t="str">
        <f t="shared" si="3"/>
        <v>09127224421</v>
      </c>
      <c r="V1251" s="86" t="str">
        <f t="shared" si="4"/>
        <v>پیش‌وایی 10</v>
      </c>
      <c r="W1251" s="86"/>
      <c r="X1251" s="86"/>
    </row>
    <row r="1252">
      <c r="A1252" s="192">
        <v>1252.0</v>
      </c>
      <c r="B1252" s="193" t="s">
        <v>5721</v>
      </c>
      <c r="C1252" s="194" t="s">
        <v>5722</v>
      </c>
      <c r="D1252" s="195" t="str">
        <f>IFERROR(__xludf.DUMMYFUNCTION("ARRAYFORMULA(LET( converted, SUBSTITUTE( SUBSTITUTE( SUBSTITUTE( SUBSTITUTE( SUBSTITUTE( SUBSTITUTE( SUBSTITUTE( SUBSTITUTE( SUBSTITUTE( SUBSTITUTE( C1252, ""۰"", ""0""), ""۱"", ""1""), ""۲"", ""2""), ""۳"", ""3""), ""۴"", ""4""), ""۵"", ""5""), ""۶"", """&amp;"6""), ""۷"", ""7""), ""۸"", ""8""), ""۹"", ""9""), IF(LEFT(converted,3)=""+98"", ""0"" &amp; RIGHT(converted, LEN(converted)-3), IF(LEFT(converted,2)=""98"", ""0"" &amp; RIGHT(converted, LEN(converted)-2), IF(LEFT(converted,1)&lt;&gt;""0"", ""0"" &amp; converted, REGEXREPL"&amp;"ACE(converted , ""\s"", """")) ) ) ) )"),"09391927811")</f>
        <v>09391927811</v>
      </c>
      <c r="E1252" s="196" t="s">
        <v>17</v>
      </c>
      <c r="F1252" s="197">
        <v>10.0</v>
      </c>
      <c r="G1252" s="193"/>
      <c r="H1252" s="193"/>
      <c r="I1252" s="194"/>
      <c r="J1252" s="194"/>
      <c r="K1252" s="199" t="s">
        <v>1504</v>
      </c>
      <c r="L1252" s="199" t="s">
        <v>1698</v>
      </c>
      <c r="M1252" s="199"/>
      <c r="N1252" s="199"/>
      <c r="O1252" s="193"/>
      <c r="P1252" s="193"/>
      <c r="Q1252" s="200"/>
      <c r="R1252" s="86"/>
      <c r="S1252" s="114">
        <f t="shared" ref="S1252:T1252" si="1253">A1252</f>
        <v>1252</v>
      </c>
      <c r="T1252" s="114" t="str">
        <f t="shared" si="1253"/>
        <v>مهسا طالبی</v>
      </c>
      <c r="U1252" s="86" t="str">
        <f t="shared" si="3"/>
        <v>09391927811</v>
      </c>
      <c r="V1252" s="86" t="str">
        <f t="shared" si="4"/>
        <v>پیش‌وایی 10</v>
      </c>
      <c r="W1252" s="86"/>
      <c r="X1252" s="86"/>
    </row>
    <row r="1253">
      <c r="A1253" s="201">
        <v>1253.0</v>
      </c>
      <c r="B1253" s="202" t="s">
        <v>5723</v>
      </c>
      <c r="C1253" s="203" t="s">
        <v>5724</v>
      </c>
      <c r="D1253" s="204" t="str">
        <f>IFERROR(__xludf.DUMMYFUNCTION("ARRAYFORMULA(LET( converted, SUBSTITUTE( SUBSTITUTE( SUBSTITUTE( SUBSTITUTE( SUBSTITUTE( SUBSTITUTE( SUBSTITUTE( SUBSTITUTE( SUBSTITUTE( SUBSTITUTE( C1253, ""۰"", ""0""), ""۱"", ""1""), ""۲"", ""2""), ""۳"", ""3""), ""۴"", ""4""), ""۵"", ""5""), ""۶"", """&amp;"6""), ""۷"", ""7""), ""۸"", ""8""), ""۹"", ""9""), IF(LEFT(converted,3)=""+98"", ""0"" &amp; RIGHT(converted, LEN(converted)-3), IF(LEFT(converted,2)=""98"", ""0"" &amp; RIGHT(converted, LEN(converted)-2), IF(LEFT(converted,1)&lt;&gt;""0"", ""0"" &amp; converted, REGEXREPL"&amp;"ACE(converted , ""\s"", """")) ) ) ) )"),"09127063548")</f>
        <v>09127063548</v>
      </c>
      <c r="E1253" s="205" t="s">
        <v>17</v>
      </c>
      <c r="F1253" s="206">
        <v>10.0</v>
      </c>
      <c r="G1253" s="202"/>
      <c r="H1253" s="202"/>
      <c r="I1253" s="203"/>
      <c r="J1253" s="203"/>
      <c r="K1253" s="207" t="s">
        <v>2222</v>
      </c>
      <c r="L1253" s="207" t="s">
        <v>5725</v>
      </c>
      <c r="M1253" s="207"/>
      <c r="N1253" s="207"/>
      <c r="O1253" s="202"/>
      <c r="P1253" s="202"/>
      <c r="Q1253" s="208"/>
      <c r="R1253" s="86"/>
      <c r="S1253" s="114">
        <f t="shared" ref="S1253:T1253" si="1254">A1253</f>
        <v>1253</v>
      </c>
      <c r="T1253" s="114" t="str">
        <f t="shared" si="1254"/>
        <v>نازنین حسین‌کنی</v>
      </c>
      <c r="U1253" s="86" t="str">
        <f t="shared" si="3"/>
        <v>09127063548</v>
      </c>
      <c r="V1253" s="86" t="str">
        <f t="shared" si="4"/>
        <v>پیش‌وایی 10</v>
      </c>
      <c r="W1253" s="86"/>
      <c r="X1253" s="86"/>
    </row>
    <row r="1254">
      <c r="A1254" s="192">
        <v>1254.0</v>
      </c>
      <c r="B1254" s="193" t="s">
        <v>5726</v>
      </c>
      <c r="C1254" s="194" t="s">
        <v>5727</v>
      </c>
      <c r="D1254" s="195" t="str">
        <f>IFERROR(__xludf.DUMMYFUNCTION("ARRAYFORMULA(LET( converted, SUBSTITUTE( SUBSTITUTE( SUBSTITUTE( SUBSTITUTE( SUBSTITUTE( SUBSTITUTE( SUBSTITUTE( SUBSTITUTE( SUBSTITUTE( SUBSTITUTE( C1254, ""۰"", ""0""), ""۱"", ""1""), ""۲"", ""2""), ""۳"", ""3""), ""۴"", ""4""), ""۵"", ""5""), ""۶"", """&amp;"6""), ""۷"", ""7""), ""۸"", ""8""), ""۹"", ""9""), IF(LEFT(converted,3)=""+98"", ""0"" &amp; RIGHT(converted, LEN(converted)-3), IF(LEFT(converted,2)=""98"", ""0"" &amp; RIGHT(converted, LEN(converted)-2), IF(LEFT(converted,1)&lt;&gt;""0"", ""0"" &amp; converted, REGEXREPL"&amp;"ACE(converted , ""\s"", """")) ) ) ) )"),"09156135181")</f>
        <v>09156135181</v>
      </c>
      <c r="E1254" s="196" t="s">
        <v>17</v>
      </c>
      <c r="F1254" s="197">
        <v>10.0</v>
      </c>
      <c r="G1254" s="193"/>
      <c r="H1254" s="193"/>
      <c r="I1254" s="194"/>
      <c r="J1254" s="194"/>
      <c r="K1254" s="199" t="s">
        <v>307</v>
      </c>
      <c r="L1254" s="199" t="s">
        <v>1612</v>
      </c>
      <c r="M1254" s="199"/>
      <c r="N1254" s="199"/>
      <c r="O1254" s="193"/>
      <c r="P1254" s="193"/>
      <c r="Q1254" s="200"/>
      <c r="R1254" s="86"/>
      <c r="S1254" s="114">
        <f t="shared" ref="S1254:T1254" si="1255">A1254</f>
        <v>1254</v>
      </c>
      <c r="T1254" s="114" t="str">
        <f t="shared" si="1255"/>
        <v>محمدرضا ایوبی</v>
      </c>
      <c r="U1254" s="86" t="str">
        <f t="shared" si="3"/>
        <v>09156135181</v>
      </c>
      <c r="V1254" s="86" t="str">
        <f t="shared" si="4"/>
        <v>پیش‌وایی 10</v>
      </c>
      <c r="W1254" s="86"/>
      <c r="X1254" s="86"/>
    </row>
    <row r="1255">
      <c r="A1255" s="201">
        <v>1255.0</v>
      </c>
      <c r="B1255" s="202" t="s">
        <v>5728</v>
      </c>
      <c r="C1255" s="203" t="s">
        <v>5729</v>
      </c>
      <c r="D1255" s="204" t="str">
        <f>IFERROR(__xludf.DUMMYFUNCTION("ARRAYFORMULA(LET( converted, SUBSTITUTE( SUBSTITUTE( SUBSTITUTE( SUBSTITUTE( SUBSTITUTE( SUBSTITUTE( SUBSTITUTE( SUBSTITUTE( SUBSTITUTE( SUBSTITUTE( C1255, ""۰"", ""0""), ""۱"", ""1""), ""۲"", ""2""), ""۳"", ""3""), ""۴"", ""4""), ""۵"", ""5""), ""۶"", """&amp;"6""), ""۷"", ""7""), ""۸"", ""8""), ""۹"", ""9""), IF(LEFT(converted,3)=""+98"", ""0"" &amp; RIGHT(converted, LEN(converted)-3), IF(LEFT(converted,2)=""98"", ""0"" &amp; RIGHT(converted, LEN(converted)-2), IF(LEFT(converted,1)&lt;&gt;""0"", ""0"" &amp; converted, REGEXREPL"&amp;"ACE(converted , ""\s"", """")) ) ) ) )"),"09123337169")</f>
        <v>09123337169</v>
      </c>
      <c r="E1255" s="205" t="s">
        <v>17</v>
      </c>
      <c r="F1255" s="206">
        <v>10.0</v>
      </c>
      <c r="G1255" s="202"/>
      <c r="H1255" s="202"/>
      <c r="I1255" s="203"/>
      <c r="J1255" s="203"/>
      <c r="K1255" s="207" t="s">
        <v>200</v>
      </c>
      <c r="L1255" s="207" t="s">
        <v>5730</v>
      </c>
      <c r="M1255" s="207"/>
      <c r="N1255" s="207"/>
      <c r="O1255" s="202"/>
      <c r="P1255" s="202"/>
      <c r="Q1255" s="208"/>
      <c r="R1255" s="86"/>
      <c r="S1255" s="114">
        <f t="shared" ref="S1255:T1255" si="1256">A1255</f>
        <v>1255</v>
      </c>
      <c r="T1255" s="114" t="str">
        <f t="shared" si="1256"/>
        <v>احسان سوری</v>
      </c>
      <c r="U1255" s="86" t="str">
        <f t="shared" si="3"/>
        <v>09123337169</v>
      </c>
      <c r="V1255" s="86" t="str">
        <f t="shared" si="4"/>
        <v>پیش‌وایی 10</v>
      </c>
      <c r="W1255" s="86"/>
      <c r="X1255" s="86"/>
    </row>
    <row r="1256">
      <c r="A1256" s="192">
        <v>1256.0</v>
      </c>
      <c r="B1256" s="193" t="s">
        <v>5731</v>
      </c>
      <c r="C1256" s="194" t="s">
        <v>5732</v>
      </c>
      <c r="D1256" s="195" t="str">
        <f>IFERROR(__xludf.DUMMYFUNCTION("ARRAYFORMULA(LET( converted, SUBSTITUTE( SUBSTITUTE( SUBSTITUTE( SUBSTITUTE( SUBSTITUTE( SUBSTITUTE( SUBSTITUTE( SUBSTITUTE( SUBSTITUTE( SUBSTITUTE( C1256, ""۰"", ""0""), ""۱"", ""1""), ""۲"", ""2""), ""۳"", ""3""), ""۴"", ""4""), ""۵"", ""5""), ""۶"", """&amp;"6""), ""۷"", ""7""), ""۸"", ""8""), ""۹"", ""9""), IF(LEFT(converted,3)=""+98"", ""0"" &amp; RIGHT(converted, LEN(converted)-3), IF(LEFT(converted,2)=""98"", ""0"" &amp; RIGHT(converted, LEN(converted)-2), IF(LEFT(converted,1)&lt;&gt;""0"", ""0"" &amp; converted, REGEXREPL"&amp;"ACE(converted , ""\s"", """")) ) ) ) )"),"09125670829")</f>
        <v>09125670829</v>
      </c>
      <c r="E1256" s="196" t="s">
        <v>17</v>
      </c>
      <c r="F1256" s="197">
        <v>10.0</v>
      </c>
      <c r="G1256" s="193"/>
      <c r="H1256" s="193"/>
      <c r="I1256" s="194"/>
      <c r="J1256" s="194"/>
      <c r="K1256" s="199" t="s">
        <v>353</v>
      </c>
      <c r="L1256" s="199" t="s">
        <v>3965</v>
      </c>
      <c r="M1256" s="199"/>
      <c r="N1256" s="199"/>
      <c r="O1256" s="193"/>
      <c r="P1256" s="193"/>
      <c r="Q1256" s="200"/>
      <c r="R1256" s="86"/>
      <c r="S1256" s="114">
        <f t="shared" ref="S1256:T1256" si="1257">A1256</f>
        <v>1256</v>
      </c>
      <c r="T1256" s="114" t="str">
        <f t="shared" si="1257"/>
        <v>مهرداد هدی</v>
      </c>
      <c r="U1256" s="86" t="str">
        <f t="shared" si="3"/>
        <v>09125670829</v>
      </c>
      <c r="V1256" s="86" t="str">
        <f t="shared" si="4"/>
        <v>پیش‌وایی 10</v>
      </c>
      <c r="W1256" s="86"/>
      <c r="X1256" s="86"/>
    </row>
    <row r="1257">
      <c r="A1257" s="201">
        <v>1257.0</v>
      </c>
      <c r="B1257" s="202" t="s">
        <v>5733</v>
      </c>
      <c r="C1257" s="203" t="s">
        <v>5734</v>
      </c>
      <c r="D1257" s="204" t="str">
        <f>IFERROR(__xludf.DUMMYFUNCTION("ARRAYFORMULA(LET( converted, SUBSTITUTE( SUBSTITUTE( SUBSTITUTE( SUBSTITUTE( SUBSTITUTE( SUBSTITUTE( SUBSTITUTE( SUBSTITUTE( SUBSTITUTE( SUBSTITUTE( C1257, ""۰"", ""0""), ""۱"", ""1""), ""۲"", ""2""), ""۳"", ""3""), ""۴"", ""4""), ""۵"", ""5""), ""۶"", """&amp;"6""), ""۷"", ""7""), ""۸"", ""8""), ""۹"", ""9""), IF(LEFT(converted,3)=""+98"", ""0"" &amp; RIGHT(converted, LEN(converted)-3), IF(LEFT(converted,2)=""98"", ""0"" &amp; RIGHT(converted, LEN(converted)-2), IF(LEFT(converted,1)&lt;&gt;""0"", ""0"" &amp; converted, REGEXREPL"&amp;"ACE(converted , ""\s"", """")) ) ) ) )"),"09360012278")</f>
        <v>09360012278</v>
      </c>
      <c r="E1257" s="205" t="s">
        <v>17</v>
      </c>
      <c r="F1257" s="206">
        <v>10.0</v>
      </c>
      <c r="G1257" s="202"/>
      <c r="H1257" s="202"/>
      <c r="I1257" s="203"/>
      <c r="J1257" s="203"/>
      <c r="K1257" s="207" t="s">
        <v>307</v>
      </c>
      <c r="L1257" s="207" t="s">
        <v>1913</v>
      </c>
      <c r="M1257" s="207"/>
      <c r="N1257" s="207"/>
      <c r="O1257" s="202"/>
      <c r="P1257" s="202"/>
      <c r="Q1257" s="208"/>
      <c r="R1257" s="86"/>
      <c r="S1257" s="114">
        <f t="shared" ref="S1257:T1257" si="1258">A1257</f>
        <v>1257</v>
      </c>
      <c r="T1257" s="114" t="str">
        <f t="shared" si="1258"/>
        <v>محمدرضا مرادی</v>
      </c>
      <c r="U1257" s="86" t="str">
        <f t="shared" si="3"/>
        <v>09360012278</v>
      </c>
      <c r="V1257" s="86" t="str">
        <f t="shared" si="4"/>
        <v>پیش‌وایی 10</v>
      </c>
      <c r="W1257" s="86"/>
      <c r="X1257" s="86"/>
    </row>
    <row r="1258">
      <c r="A1258" s="192">
        <v>1258.0</v>
      </c>
      <c r="B1258" s="193" t="s">
        <v>2192</v>
      </c>
      <c r="C1258" s="194" t="s">
        <v>5735</v>
      </c>
      <c r="D1258" s="195" t="str">
        <f>IFERROR(__xludf.DUMMYFUNCTION("ARRAYFORMULA(LET( converted, SUBSTITUTE( SUBSTITUTE( SUBSTITUTE( SUBSTITUTE( SUBSTITUTE( SUBSTITUTE( SUBSTITUTE( SUBSTITUTE( SUBSTITUTE( SUBSTITUTE( C1258, ""۰"", ""0""), ""۱"", ""1""), ""۲"", ""2""), ""۳"", ""3""), ""۴"", ""4""), ""۵"", ""5""), ""۶"", """&amp;"6""), ""۷"", ""7""), ""۸"", ""8""), ""۹"", ""9""), IF(LEFT(converted,3)=""+98"", ""0"" &amp; RIGHT(converted, LEN(converted)-3), IF(LEFT(converted,2)=""98"", ""0"" &amp; RIGHT(converted, LEN(converted)-2), IF(LEFT(converted,1)&lt;&gt;""0"", ""0"" &amp; converted, REGEXREPL"&amp;"ACE(converted , ""\s"", """")) ) ) ) )"),"09124909400")</f>
        <v>09124909400</v>
      </c>
      <c r="E1258" s="196" t="s">
        <v>17</v>
      </c>
      <c r="F1258" s="197">
        <v>10.0</v>
      </c>
      <c r="G1258" s="193"/>
      <c r="H1258" s="193"/>
      <c r="I1258" s="194"/>
      <c r="J1258" s="194"/>
      <c r="K1258" s="199" t="s">
        <v>1218</v>
      </c>
      <c r="L1258" s="199" t="s">
        <v>315</v>
      </c>
      <c r="M1258" s="199"/>
      <c r="N1258" s="199"/>
      <c r="O1258" s="193"/>
      <c r="P1258" s="193"/>
      <c r="Q1258" s="200"/>
      <c r="R1258" s="86"/>
      <c r="S1258" s="114">
        <f t="shared" ref="S1258:T1258" si="1259">A1258</f>
        <v>1258</v>
      </c>
      <c r="T1258" s="114" t="str">
        <f t="shared" si="1259"/>
        <v>تارا حسینی نژاد</v>
      </c>
      <c r="U1258" s="86" t="str">
        <f t="shared" si="3"/>
        <v>09124909400</v>
      </c>
      <c r="V1258" s="86" t="str">
        <f t="shared" si="4"/>
        <v>پیش‌وایی 10</v>
      </c>
      <c r="W1258" s="86"/>
      <c r="X1258" s="86"/>
    </row>
    <row r="1259">
      <c r="A1259" s="201">
        <v>1259.0</v>
      </c>
      <c r="B1259" s="202" t="s">
        <v>5736</v>
      </c>
      <c r="C1259" s="203" t="s">
        <v>5737</v>
      </c>
      <c r="D1259" s="204" t="str">
        <f>IFERROR(__xludf.DUMMYFUNCTION("ARRAYFORMULA(LET( converted, SUBSTITUTE( SUBSTITUTE( SUBSTITUTE( SUBSTITUTE( SUBSTITUTE( SUBSTITUTE( SUBSTITUTE( SUBSTITUTE( SUBSTITUTE( SUBSTITUTE( C1259, ""۰"", ""0""), ""۱"", ""1""), ""۲"", ""2""), ""۳"", ""3""), ""۴"", ""4""), ""۵"", ""5""), ""۶"", """&amp;"6""), ""۷"", ""7""), ""۸"", ""8""), ""۹"", ""9""), IF(LEFT(converted,3)=""+98"", ""0"" &amp; RIGHT(converted, LEN(converted)-3), IF(LEFT(converted,2)=""98"", ""0"" &amp; RIGHT(converted, LEN(converted)-2), IF(LEFT(converted,1)&lt;&gt;""0"", ""0"" &amp; converted, REGEXREPL"&amp;"ACE(converted , ""\s"", """")) ) ) ) )"),"09130200939")</f>
        <v>09130200939</v>
      </c>
      <c r="E1259" s="205" t="s">
        <v>17</v>
      </c>
      <c r="F1259" s="206">
        <v>10.0</v>
      </c>
      <c r="G1259" s="202"/>
      <c r="H1259" s="202"/>
      <c r="I1259" s="203"/>
      <c r="J1259" s="203"/>
      <c r="K1259" s="207" t="s">
        <v>758</v>
      </c>
      <c r="L1259" s="207" t="s">
        <v>5738</v>
      </c>
      <c r="M1259" s="207"/>
      <c r="N1259" s="207"/>
      <c r="O1259" s="202"/>
      <c r="P1259" s="202"/>
      <c r="Q1259" s="208"/>
      <c r="R1259" s="86"/>
      <c r="S1259" s="114">
        <f t="shared" ref="S1259:T1259" si="1260">A1259</f>
        <v>1259</v>
      </c>
      <c r="T1259" s="114" t="str">
        <f t="shared" si="1260"/>
        <v>سعید مسیبی</v>
      </c>
      <c r="U1259" s="86" t="str">
        <f t="shared" si="3"/>
        <v>09130200939</v>
      </c>
      <c r="V1259" s="86" t="str">
        <f t="shared" si="4"/>
        <v>پیش‌وایی 10</v>
      </c>
      <c r="W1259" s="86"/>
      <c r="X1259" s="86"/>
    </row>
    <row r="1260">
      <c r="A1260" s="192">
        <v>1260.0</v>
      </c>
      <c r="B1260" s="193" t="s">
        <v>5739</v>
      </c>
      <c r="C1260" s="194" t="s">
        <v>5740</v>
      </c>
      <c r="D1260" s="195" t="str">
        <f>IFERROR(__xludf.DUMMYFUNCTION("ARRAYFORMULA(LET( converted, SUBSTITUTE( SUBSTITUTE( SUBSTITUTE( SUBSTITUTE( SUBSTITUTE( SUBSTITUTE( SUBSTITUTE( SUBSTITUTE( SUBSTITUTE( SUBSTITUTE( C1260, ""۰"", ""0""), ""۱"", ""1""), ""۲"", ""2""), ""۳"", ""3""), ""۴"", ""4""), ""۵"", ""5""), ""۶"", """&amp;"6""), ""۷"", ""7""), ""۸"", ""8""), ""۹"", ""9""), IF(LEFT(converted,3)=""+98"", ""0"" &amp; RIGHT(converted, LEN(converted)-3), IF(LEFT(converted,2)=""98"", ""0"" &amp; RIGHT(converted, LEN(converted)-2), IF(LEFT(converted,1)&lt;&gt;""0"", ""0"" &amp; converted, REGEXREPL"&amp;"ACE(converted , ""\s"", """")) ) ) ) )"),"09389073346
989193255089")</f>
        <v>09389073346
989193255089</v>
      </c>
      <c r="E1260" s="196" t="s">
        <v>17</v>
      </c>
      <c r="F1260" s="197">
        <v>10.0</v>
      </c>
      <c r="G1260" s="193"/>
      <c r="H1260" s="193"/>
      <c r="I1260" s="194"/>
      <c r="J1260" s="194"/>
      <c r="K1260" s="199" t="s">
        <v>5741</v>
      </c>
      <c r="L1260" s="199" t="s">
        <v>340</v>
      </c>
      <c r="M1260" s="199"/>
      <c r="N1260" s="199"/>
      <c r="O1260" s="193"/>
      <c r="P1260" s="193"/>
      <c r="Q1260" s="200"/>
      <c r="R1260" s="86"/>
      <c r="S1260" s="114">
        <f t="shared" ref="S1260:T1260" si="1261">A1260</f>
        <v>1260</v>
      </c>
      <c r="T1260" s="114" t="str">
        <f t="shared" si="1261"/>
        <v>عبدالطیف باش قره</v>
      </c>
      <c r="U1260" s="86" t="str">
        <f t="shared" si="3"/>
        <v>09389073346
989193255089</v>
      </c>
      <c r="V1260" s="86" t="str">
        <f t="shared" si="4"/>
        <v>پیش‌وایی 10</v>
      </c>
      <c r="W1260" s="86"/>
      <c r="X1260" s="86"/>
    </row>
    <row r="1261">
      <c r="A1261" s="201">
        <v>1261.0</v>
      </c>
      <c r="B1261" s="202" t="s">
        <v>5742</v>
      </c>
      <c r="C1261" s="203" t="s">
        <v>5743</v>
      </c>
      <c r="D1261" s="204" t="str">
        <f>IFERROR(__xludf.DUMMYFUNCTION("ARRAYFORMULA(LET( converted, SUBSTITUTE( SUBSTITUTE( SUBSTITUTE( SUBSTITUTE( SUBSTITUTE( SUBSTITUTE( SUBSTITUTE( SUBSTITUTE( SUBSTITUTE( SUBSTITUTE( C1261, ""۰"", ""0""), ""۱"", ""1""), ""۲"", ""2""), ""۳"", ""3""), ""۴"", ""4""), ""۵"", ""5""), ""۶"", """&amp;"6""), ""۷"", ""7""), ""۸"", ""8""), ""۹"", ""9""), IF(LEFT(converted,3)=""+98"", ""0"" &amp; RIGHT(converted, LEN(converted)-3), IF(LEFT(converted,2)=""98"", ""0"" &amp; RIGHT(converted, LEN(converted)-2), IF(LEFT(converted,1)&lt;&gt;""0"", ""0"" &amp; converted, REGEXREPL"&amp;"ACE(converted , ""\s"", """")) ) ) ) )"),"09122584218")</f>
        <v>09122584218</v>
      </c>
      <c r="E1261" s="205" t="s">
        <v>17</v>
      </c>
      <c r="F1261" s="206">
        <v>10.0</v>
      </c>
      <c r="G1261" s="202"/>
      <c r="H1261" s="202"/>
      <c r="I1261" s="203"/>
      <c r="J1261" s="203"/>
      <c r="K1261" s="207" t="s">
        <v>5744</v>
      </c>
      <c r="L1261" s="207" t="s">
        <v>5745</v>
      </c>
      <c r="M1261" s="207"/>
      <c r="N1261" s="207"/>
      <c r="O1261" s="202"/>
      <c r="P1261" s="202"/>
      <c r="Q1261" s="208"/>
      <c r="R1261" s="86"/>
      <c r="S1261" s="114">
        <f t="shared" ref="S1261:T1261" si="1262">A1261</f>
        <v>1261</v>
      </c>
      <c r="T1261" s="114" t="str">
        <f t="shared" si="1262"/>
        <v>فرزان بالکانی</v>
      </c>
      <c r="U1261" s="86" t="str">
        <f t="shared" si="3"/>
        <v>09122584218</v>
      </c>
      <c r="V1261" s="86" t="str">
        <f t="shared" si="4"/>
        <v>پیش‌وایی 10</v>
      </c>
      <c r="W1261" s="86"/>
      <c r="X1261" s="86"/>
    </row>
    <row r="1262">
      <c r="A1262" s="192">
        <v>1262.0</v>
      </c>
      <c r="B1262" s="193" t="s">
        <v>5746</v>
      </c>
      <c r="C1262" s="194" t="s">
        <v>5747</v>
      </c>
      <c r="D1262" s="195" t="str">
        <f>IFERROR(__xludf.DUMMYFUNCTION("ARRAYFORMULA(LET( converted, SUBSTITUTE( SUBSTITUTE( SUBSTITUTE( SUBSTITUTE( SUBSTITUTE( SUBSTITUTE( SUBSTITUTE( SUBSTITUTE( SUBSTITUTE( SUBSTITUTE( C1262, ""۰"", ""0""), ""۱"", ""1""), ""۲"", ""2""), ""۳"", ""3""), ""۴"", ""4""), ""۵"", ""5""), ""۶"", """&amp;"6""), ""۷"", ""7""), ""۸"", ""8""), ""۹"", ""9""), IF(LEFT(converted,3)=""+98"", ""0"" &amp; RIGHT(converted, LEN(converted)-3), IF(LEFT(converted,2)=""98"", ""0"" &amp; RIGHT(converted, LEN(converted)-2), IF(LEFT(converted,1)&lt;&gt;""0"", ""0"" &amp; converted, REGEXREPL"&amp;"ACE(converted , ""\s"", """")) ) ) ) )"),"09038307089")</f>
        <v>09038307089</v>
      </c>
      <c r="E1262" s="196" t="s">
        <v>17</v>
      </c>
      <c r="F1262" s="197">
        <v>10.0</v>
      </c>
      <c r="G1262" s="193"/>
      <c r="H1262" s="193"/>
      <c r="I1262" s="194"/>
      <c r="J1262" s="194"/>
      <c r="K1262" s="199" t="s">
        <v>3182</v>
      </c>
      <c r="L1262" s="199" t="s">
        <v>5748</v>
      </c>
      <c r="M1262" s="199"/>
      <c r="N1262" s="199"/>
      <c r="O1262" s="193"/>
      <c r="P1262" s="193"/>
      <c r="Q1262" s="200"/>
      <c r="R1262" s="86"/>
      <c r="S1262" s="114">
        <f t="shared" ref="S1262:T1262" si="1263">A1262</f>
        <v>1262</v>
      </c>
      <c r="T1262" s="114" t="str">
        <f t="shared" si="1263"/>
        <v>فرناز افشاری نسب</v>
      </c>
      <c r="U1262" s="86" t="str">
        <f t="shared" si="3"/>
        <v>09038307089</v>
      </c>
      <c r="V1262" s="86" t="str">
        <f t="shared" si="4"/>
        <v>پیش‌وایی 10</v>
      </c>
      <c r="W1262" s="86"/>
      <c r="X1262" s="86"/>
    </row>
    <row r="1263">
      <c r="A1263" s="201">
        <v>1263.0</v>
      </c>
      <c r="B1263" s="202" t="s">
        <v>5749</v>
      </c>
      <c r="C1263" s="203" t="s">
        <v>5750</v>
      </c>
      <c r="D1263" s="204" t="str">
        <f>IFERROR(__xludf.DUMMYFUNCTION("ARRAYFORMULA(LET( converted, SUBSTITUTE( SUBSTITUTE( SUBSTITUTE( SUBSTITUTE( SUBSTITUTE( SUBSTITUTE( SUBSTITUTE( SUBSTITUTE( SUBSTITUTE( SUBSTITUTE( C1263, ""۰"", ""0""), ""۱"", ""1""), ""۲"", ""2""), ""۳"", ""3""), ""۴"", ""4""), ""۵"", ""5""), ""۶"", """&amp;"6""), ""۷"", ""7""), ""۸"", ""8""), ""۹"", ""9""), IF(LEFT(converted,3)=""+98"", ""0"" &amp; RIGHT(converted, LEN(converted)-3), IF(LEFT(converted,2)=""98"", ""0"" &amp; RIGHT(converted, LEN(converted)-2), IF(LEFT(converted,1)&lt;&gt;""0"", ""0"" &amp; converted, REGEXREPL"&amp;"ACE(converted , ""\s"", """")) ) ) ) )"),"09100200852")</f>
        <v>09100200852</v>
      </c>
      <c r="E1263" s="205" t="s">
        <v>17</v>
      </c>
      <c r="F1263" s="206">
        <v>10.0</v>
      </c>
      <c r="G1263" s="202"/>
      <c r="H1263" s="202"/>
      <c r="I1263" s="203"/>
      <c r="J1263" s="203"/>
      <c r="K1263" s="207" t="s">
        <v>5751</v>
      </c>
      <c r="L1263" s="207" t="s">
        <v>327</v>
      </c>
      <c r="M1263" s="207"/>
      <c r="N1263" s="207"/>
      <c r="O1263" s="202"/>
      <c r="P1263" s="202"/>
      <c r="Q1263" s="208"/>
      <c r="R1263" s="86"/>
      <c r="S1263" s="114">
        <f t="shared" ref="S1263:T1263" si="1264">A1263</f>
        <v>1263</v>
      </c>
      <c r="T1263" s="114" t="str">
        <f t="shared" si="1264"/>
        <v>کاظم کیانی</v>
      </c>
      <c r="U1263" s="86" t="str">
        <f t="shared" si="3"/>
        <v>09100200852</v>
      </c>
      <c r="V1263" s="86" t="str">
        <f t="shared" si="4"/>
        <v>پیش‌وایی 10</v>
      </c>
      <c r="W1263" s="86"/>
      <c r="X1263" s="86"/>
    </row>
    <row r="1264">
      <c r="A1264" s="192">
        <v>1264.0</v>
      </c>
      <c r="B1264" s="193" t="s">
        <v>5752</v>
      </c>
      <c r="C1264" s="194" t="s">
        <v>5753</v>
      </c>
      <c r="D1264" s="195" t="str">
        <f>IFERROR(__xludf.DUMMYFUNCTION("ARRAYFORMULA(LET( converted, SUBSTITUTE( SUBSTITUTE( SUBSTITUTE( SUBSTITUTE( SUBSTITUTE( SUBSTITUTE( SUBSTITUTE( SUBSTITUTE( SUBSTITUTE( SUBSTITUTE( C1264, ""۰"", ""0""), ""۱"", ""1""), ""۲"", ""2""), ""۳"", ""3""), ""۴"", ""4""), ""۵"", ""5""), ""۶"", """&amp;"6""), ""۷"", ""7""), ""۸"", ""8""), ""۹"", ""9""), IF(LEFT(converted,3)=""+98"", ""0"" &amp; RIGHT(converted, LEN(converted)-3), IF(LEFT(converted,2)=""98"", ""0"" &amp; RIGHT(converted, LEN(converted)-2), IF(LEFT(converted,1)&lt;&gt;""0"", ""0"" &amp; converted, REGEXREPL"&amp;"ACE(converted , ""\s"", """")) ) ) ) )"),"09108074959
989124307404")</f>
        <v>09108074959
989124307404</v>
      </c>
      <c r="E1264" s="196" t="s">
        <v>17</v>
      </c>
      <c r="F1264" s="197">
        <v>10.0</v>
      </c>
      <c r="G1264" s="193"/>
      <c r="H1264" s="193"/>
      <c r="I1264" s="194"/>
      <c r="J1264" s="194"/>
      <c r="K1264" s="199" t="s">
        <v>303</v>
      </c>
      <c r="L1264" s="199" t="s">
        <v>5754</v>
      </c>
      <c r="M1264" s="199"/>
      <c r="N1264" s="199"/>
      <c r="O1264" s="193"/>
      <c r="P1264" s="193"/>
      <c r="Q1264" s="200"/>
      <c r="R1264" s="86"/>
      <c r="S1264" s="114">
        <f t="shared" ref="S1264:T1264" si="1265">A1264</f>
        <v>1264</v>
      </c>
      <c r="T1264" s="114" t="str">
        <f t="shared" si="1265"/>
        <v>محمد فقیه عبداللهی</v>
      </c>
      <c r="U1264" s="86" t="str">
        <f t="shared" si="3"/>
        <v>09108074959
989124307404</v>
      </c>
      <c r="V1264" s="86" t="str">
        <f t="shared" si="4"/>
        <v>پیش‌وایی 10</v>
      </c>
      <c r="W1264" s="86"/>
      <c r="X1264" s="86"/>
    </row>
    <row r="1265">
      <c r="A1265" s="201">
        <v>1265.0</v>
      </c>
      <c r="B1265" s="202" t="s">
        <v>5755</v>
      </c>
      <c r="C1265" s="203" t="s">
        <v>5756</v>
      </c>
      <c r="D1265" s="204" t="str">
        <f>IFERROR(__xludf.DUMMYFUNCTION("ARRAYFORMULA(LET( converted, SUBSTITUTE( SUBSTITUTE( SUBSTITUTE( SUBSTITUTE( SUBSTITUTE( SUBSTITUTE( SUBSTITUTE( SUBSTITUTE( SUBSTITUTE( SUBSTITUTE( C1265, ""۰"", ""0""), ""۱"", ""1""), ""۲"", ""2""), ""۳"", ""3""), ""۴"", ""4""), ""۵"", ""5""), ""۶"", """&amp;"6""), ""۷"", ""7""), ""۸"", ""8""), ""۹"", ""9""), IF(LEFT(converted,3)=""+98"", ""0"" &amp; RIGHT(converted, LEN(converted)-3), IF(LEFT(converted,2)=""98"", ""0"" &amp; RIGHT(converted, LEN(converted)-2), IF(LEFT(converted,1)&lt;&gt;""0"", ""0"" &amp; converted, REGEXREPL"&amp;"ACE(converted , ""\s"", """")) ) ) ) )"),"09912808970")</f>
        <v>09912808970</v>
      </c>
      <c r="E1265" s="205" t="s">
        <v>17</v>
      </c>
      <c r="F1265" s="206">
        <v>10.0</v>
      </c>
      <c r="G1265" s="202"/>
      <c r="H1265" s="202"/>
      <c r="I1265" s="203"/>
      <c r="J1265" s="203"/>
      <c r="K1265" s="207" t="s">
        <v>303</v>
      </c>
      <c r="L1265" s="207" t="s">
        <v>5757</v>
      </c>
      <c r="M1265" s="207"/>
      <c r="N1265" s="207"/>
      <c r="O1265" s="202"/>
      <c r="P1265" s="202"/>
      <c r="Q1265" s="208"/>
      <c r="R1265" s="86"/>
      <c r="S1265" s="114">
        <f t="shared" ref="S1265:T1265" si="1266">A1265</f>
        <v>1265</v>
      </c>
      <c r="T1265" s="114" t="str">
        <f t="shared" si="1266"/>
        <v>محمد کچویی</v>
      </c>
      <c r="U1265" s="86" t="str">
        <f t="shared" si="3"/>
        <v>09912808970</v>
      </c>
      <c r="V1265" s="86" t="str">
        <f t="shared" si="4"/>
        <v>پیش‌وایی 10</v>
      </c>
      <c r="W1265" s="86"/>
      <c r="X1265" s="86"/>
    </row>
    <row r="1266">
      <c r="A1266" s="192">
        <v>1266.0</v>
      </c>
      <c r="B1266" s="193" t="s">
        <v>5758</v>
      </c>
      <c r="C1266" s="194" t="s">
        <v>5759</v>
      </c>
      <c r="D1266" s="195" t="str">
        <f>IFERROR(__xludf.DUMMYFUNCTION("ARRAYFORMULA(LET( converted, SUBSTITUTE( SUBSTITUTE( SUBSTITUTE( SUBSTITUTE( SUBSTITUTE( SUBSTITUTE( SUBSTITUTE( SUBSTITUTE( SUBSTITUTE( SUBSTITUTE( C1266, ""۰"", ""0""), ""۱"", ""1""), ""۲"", ""2""), ""۳"", ""3""), ""۴"", ""4""), ""۵"", ""5""), ""۶"", """&amp;"6""), ""۷"", ""7""), ""۸"", ""8""), ""۹"", ""9""), IF(LEFT(converted,3)=""+98"", ""0"" &amp; RIGHT(converted, LEN(converted)-3), IF(LEFT(converted,2)=""98"", ""0"" &amp; RIGHT(converted, LEN(converted)-2), IF(LEFT(converted,1)&lt;&gt;""0"", ""0"" &amp; converted, REGEXREPL"&amp;"ACE(converted , ""\s"", """")) ) ) ) )"),"09194151219")</f>
        <v>09194151219</v>
      </c>
      <c r="E1266" s="196" t="s">
        <v>17</v>
      </c>
      <c r="F1266" s="197">
        <v>10.0</v>
      </c>
      <c r="G1266" s="193"/>
      <c r="H1266" s="193"/>
      <c r="I1266" s="194"/>
      <c r="J1266" s="194"/>
      <c r="K1266" s="199" t="s">
        <v>303</v>
      </c>
      <c r="L1266" s="199" t="s">
        <v>5760</v>
      </c>
      <c r="M1266" s="199"/>
      <c r="N1266" s="199"/>
      <c r="O1266" s="193"/>
      <c r="P1266" s="193"/>
      <c r="Q1266" s="200"/>
      <c r="R1266" s="86"/>
      <c r="S1266" s="114">
        <f t="shared" ref="S1266:T1266" si="1267">A1266</f>
        <v>1266</v>
      </c>
      <c r="T1266" s="114" t="str">
        <f t="shared" si="1267"/>
        <v>محمد نجفی خواه</v>
      </c>
      <c r="U1266" s="86" t="str">
        <f t="shared" si="3"/>
        <v>09194151219</v>
      </c>
      <c r="V1266" s="86" t="str">
        <f t="shared" si="4"/>
        <v>پیش‌وایی 10</v>
      </c>
      <c r="W1266" s="86"/>
      <c r="X1266" s="86"/>
    </row>
    <row r="1267">
      <c r="A1267" s="201">
        <v>1267.0</v>
      </c>
      <c r="B1267" s="202" t="s">
        <v>5761</v>
      </c>
      <c r="C1267" s="203" t="s">
        <v>5762</v>
      </c>
      <c r="D1267" s="204" t="str">
        <f>IFERROR(__xludf.DUMMYFUNCTION("ARRAYFORMULA(LET( converted, SUBSTITUTE( SUBSTITUTE( SUBSTITUTE( SUBSTITUTE( SUBSTITUTE( SUBSTITUTE( SUBSTITUTE( SUBSTITUTE( SUBSTITUTE( SUBSTITUTE( C1267, ""۰"", ""0""), ""۱"", ""1""), ""۲"", ""2""), ""۳"", ""3""), ""۴"", ""4""), ""۵"", ""5""), ""۶"", """&amp;"6""), ""۷"", ""7""), ""۸"", ""8""), ""۹"", ""9""), IF(LEFT(converted,3)=""+98"", ""0"" &amp; RIGHT(converted, LEN(converted)-3), IF(LEFT(converted,2)=""98"", ""0"" &amp; RIGHT(converted, LEN(converted)-2), IF(LEFT(converted,1)&lt;&gt;""0"", ""0"" &amp; converted, REGEXREPL"&amp;"ACE(converted , ""\s"", """")) ) ) ) )"),"09371090242")</f>
        <v>09371090242</v>
      </c>
      <c r="E1267" s="205" t="s">
        <v>17</v>
      </c>
      <c r="F1267" s="206">
        <v>10.0</v>
      </c>
      <c r="G1267" s="202"/>
      <c r="H1267" s="202"/>
      <c r="I1267" s="203"/>
      <c r="J1267" s="203"/>
      <c r="K1267" s="207" t="s">
        <v>303</v>
      </c>
      <c r="L1267" s="207" t="s">
        <v>5763</v>
      </c>
      <c r="M1267" s="207"/>
      <c r="N1267" s="207"/>
      <c r="O1267" s="202"/>
      <c r="P1267" s="202"/>
      <c r="Q1267" s="208"/>
      <c r="R1267" s="86"/>
      <c r="S1267" s="114">
        <f t="shared" ref="S1267:T1267" si="1268">A1267</f>
        <v>1267</v>
      </c>
      <c r="T1267" s="114" t="str">
        <f t="shared" si="1268"/>
        <v>محمد نصرالهی</v>
      </c>
      <c r="U1267" s="86" t="str">
        <f t="shared" si="3"/>
        <v>09371090242</v>
      </c>
      <c r="V1267" s="86" t="str">
        <f t="shared" si="4"/>
        <v>پیش‌وایی 10</v>
      </c>
      <c r="W1267" s="86"/>
      <c r="X1267" s="86"/>
    </row>
    <row r="1268">
      <c r="A1268" s="192">
        <v>1268.0</v>
      </c>
      <c r="B1268" s="193" t="s">
        <v>5764</v>
      </c>
      <c r="C1268" s="194" t="s">
        <v>5765</v>
      </c>
      <c r="D1268" s="195" t="str">
        <f>IFERROR(__xludf.DUMMYFUNCTION("ARRAYFORMULA(LET( converted, SUBSTITUTE( SUBSTITUTE( SUBSTITUTE( SUBSTITUTE( SUBSTITUTE( SUBSTITUTE( SUBSTITUTE( SUBSTITUTE( SUBSTITUTE( SUBSTITUTE( C1268, ""۰"", ""0""), ""۱"", ""1""), ""۲"", ""2""), ""۳"", ""3""), ""۴"", ""4""), ""۵"", ""5""), ""۶"", """&amp;"6""), ""۷"", ""7""), ""۸"", ""8""), ""۹"", ""9""), IF(LEFT(converted,3)=""+98"", ""0"" &amp; RIGHT(converted, LEN(converted)-3), IF(LEFT(converted,2)=""98"", ""0"" &amp; RIGHT(converted, LEN(converted)-2), IF(LEFT(converted,1)&lt;&gt;""0"", ""0"" &amp; converted, REGEXREPL"&amp;"ACE(converted , ""\s"", """")) ) ) ) )"),"09126197039")</f>
        <v>09126197039</v>
      </c>
      <c r="E1268" s="196" t="s">
        <v>17</v>
      </c>
      <c r="F1268" s="197">
        <v>10.0</v>
      </c>
      <c r="G1268" s="193"/>
      <c r="H1268" s="193"/>
      <c r="I1268" s="194"/>
      <c r="J1268" s="194"/>
      <c r="K1268" s="199" t="s">
        <v>5766</v>
      </c>
      <c r="L1268" s="199" t="s">
        <v>5767</v>
      </c>
      <c r="M1268" s="199"/>
      <c r="N1268" s="199"/>
      <c r="O1268" s="193"/>
      <c r="P1268" s="193"/>
      <c r="Q1268" s="200"/>
      <c r="R1268" s="86"/>
      <c r="S1268" s="114">
        <f t="shared" ref="S1268:T1268" si="1269">A1268</f>
        <v>1268</v>
      </c>
      <c r="T1268" s="114" t="str">
        <f t="shared" si="1269"/>
        <v>محمدباقر قیم</v>
      </c>
      <c r="U1268" s="86" t="str">
        <f t="shared" si="3"/>
        <v>09126197039</v>
      </c>
      <c r="V1268" s="86" t="str">
        <f t="shared" si="4"/>
        <v>پیش‌وایی 10</v>
      </c>
      <c r="W1268" s="86"/>
      <c r="X1268" s="86"/>
    </row>
    <row r="1269">
      <c r="A1269" s="201">
        <v>1269.0</v>
      </c>
      <c r="B1269" s="202" t="s">
        <v>5768</v>
      </c>
      <c r="C1269" s="203" t="s">
        <v>5769</v>
      </c>
      <c r="D1269" s="204" t="str">
        <f>IFERROR(__xludf.DUMMYFUNCTION("ARRAYFORMULA(LET( converted, SUBSTITUTE( SUBSTITUTE( SUBSTITUTE( SUBSTITUTE( SUBSTITUTE( SUBSTITUTE( SUBSTITUTE( SUBSTITUTE( SUBSTITUTE( SUBSTITUTE( C1269, ""۰"", ""0""), ""۱"", ""1""), ""۲"", ""2""), ""۳"", ""3""), ""۴"", ""4""), ""۵"", ""5""), ""۶"", """&amp;"6""), ""۷"", ""7""), ""۸"", ""8""), ""۹"", ""9""), IF(LEFT(converted,3)=""+98"", ""0"" &amp; RIGHT(converted, LEN(converted)-3), IF(LEFT(converted,2)=""98"", ""0"" &amp; RIGHT(converted, LEN(converted)-2), IF(LEFT(converted,1)&lt;&gt;""0"", ""0"" &amp; converted, REGEXREPL"&amp;"ACE(converted , ""\s"", """")) ) ) ) )"),"09371414462")</f>
        <v>09371414462</v>
      </c>
      <c r="E1269" s="205" t="s">
        <v>17</v>
      </c>
      <c r="F1269" s="206">
        <v>10.0</v>
      </c>
      <c r="G1269" s="202"/>
      <c r="H1269" s="202"/>
      <c r="I1269" s="203"/>
      <c r="J1269" s="203"/>
      <c r="K1269" s="207" t="s">
        <v>307</v>
      </c>
      <c r="L1269" s="207" t="s">
        <v>5770</v>
      </c>
      <c r="M1269" s="207"/>
      <c r="N1269" s="207"/>
      <c r="O1269" s="202"/>
      <c r="P1269" s="202"/>
      <c r="Q1269" s="208"/>
      <c r="R1269" s="86"/>
      <c r="S1269" s="114">
        <f t="shared" ref="S1269:T1269" si="1270">A1269</f>
        <v>1269</v>
      </c>
      <c r="T1269" s="114" t="str">
        <f t="shared" si="1270"/>
        <v>محمدرضا پناهی</v>
      </c>
      <c r="U1269" s="86" t="str">
        <f t="shared" si="3"/>
        <v>09371414462</v>
      </c>
      <c r="V1269" s="86" t="str">
        <f t="shared" si="4"/>
        <v>پیش‌وایی 10</v>
      </c>
      <c r="W1269" s="86"/>
      <c r="X1269" s="86"/>
    </row>
    <row r="1270">
      <c r="A1270" s="192">
        <v>1270.0</v>
      </c>
      <c r="B1270" s="193" t="s">
        <v>5771</v>
      </c>
      <c r="C1270" s="194" t="s">
        <v>5772</v>
      </c>
      <c r="D1270" s="195" t="str">
        <f>IFERROR(__xludf.DUMMYFUNCTION("ARRAYFORMULA(LET( converted, SUBSTITUTE( SUBSTITUTE( SUBSTITUTE( SUBSTITUTE( SUBSTITUTE( SUBSTITUTE( SUBSTITUTE( SUBSTITUTE( SUBSTITUTE( SUBSTITUTE( C1270, ""۰"", ""0""), ""۱"", ""1""), ""۲"", ""2""), ""۳"", ""3""), ""۴"", ""4""), ""۵"", ""5""), ""۶"", """&amp;"6""), ""۷"", ""7""), ""۸"", ""8""), ""۹"", ""9""), IF(LEFT(converted,3)=""+98"", ""0"" &amp; RIGHT(converted, LEN(converted)-3), IF(LEFT(converted,2)=""98"", ""0"" &amp; RIGHT(converted, LEN(converted)-2), IF(LEFT(converted,1)&lt;&gt;""0"", ""0"" &amp; converted, REGEXREPL"&amp;"ACE(converted , ""\s"", """")) ) ) ) )"),"09135488201")</f>
        <v>09135488201</v>
      </c>
      <c r="E1270" s="196" t="s">
        <v>17</v>
      </c>
      <c r="F1270" s="197">
        <v>10.0</v>
      </c>
      <c r="G1270" s="193"/>
      <c r="H1270" s="193"/>
      <c r="I1270" s="194"/>
      <c r="J1270" s="194"/>
      <c r="K1270" s="199" t="s">
        <v>307</v>
      </c>
      <c r="L1270" s="199" t="s">
        <v>5773</v>
      </c>
      <c r="M1270" s="199"/>
      <c r="N1270" s="199"/>
      <c r="O1270" s="193"/>
      <c r="P1270" s="193"/>
      <c r="Q1270" s="200"/>
      <c r="R1270" s="86"/>
      <c r="S1270" s="114">
        <f t="shared" ref="S1270:T1270" si="1271">A1270</f>
        <v>1270</v>
      </c>
      <c r="T1270" s="114" t="str">
        <f t="shared" si="1271"/>
        <v>محمدرضا زمین پرداز</v>
      </c>
      <c r="U1270" s="86" t="str">
        <f t="shared" si="3"/>
        <v>09135488201</v>
      </c>
      <c r="V1270" s="86" t="str">
        <f t="shared" si="4"/>
        <v>پیش‌وایی 10</v>
      </c>
      <c r="W1270" s="86"/>
      <c r="X1270" s="86"/>
    </row>
    <row r="1271">
      <c r="A1271" s="201">
        <v>1271.0</v>
      </c>
      <c r="B1271" s="202" t="s">
        <v>5105</v>
      </c>
      <c r="C1271" s="203" t="s">
        <v>5286</v>
      </c>
      <c r="D1271" s="204" t="str">
        <f>IFERROR(__xludf.DUMMYFUNCTION("ARRAYFORMULA(LET( converted, SUBSTITUTE( SUBSTITUTE( SUBSTITUTE( SUBSTITUTE( SUBSTITUTE( SUBSTITUTE( SUBSTITUTE( SUBSTITUTE( SUBSTITUTE( SUBSTITUTE( C1271, ""۰"", ""0""), ""۱"", ""1""), ""۲"", ""2""), ""۳"", ""3""), ""۴"", ""4""), ""۵"", ""5""), ""۶"", """&amp;"6""), ""۷"", ""7""), ""۸"", ""8""), ""۹"", ""9""), IF(LEFT(converted,3)=""+98"", ""0"" &amp; RIGHT(converted, LEN(converted)-3), IF(LEFT(converted,2)=""98"", ""0"" &amp; RIGHT(converted, LEN(converted)-2), IF(LEFT(converted,1)&lt;&gt;""0"", ""0"" &amp; converted, REGEXREPL"&amp;"ACE(converted , ""\s"", """")) ) ) ) )"),"09102107081")</f>
        <v>09102107081</v>
      </c>
      <c r="E1271" s="205" t="s">
        <v>17</v>
      </c>
      <c r="F1271" s="206">
        <v>10.0</v>
      </c>
      <c r="G1271" s="202"/>
      <c r="H1271" s="202"/>
      <c r="I1271" s="203"/>
      <c r="J1271" s="203"/>
      <c r="K1271" s="207" t="s">
        <v>307</v>
      </c>
      <c r="L1271" s="207" t="s">
        <v>2636</v>
      </c>
      <c r="M1271" s="207"/>
      <c r="N1271" s="207"/>
      <c r="O1271" s="202"/>
      <c r="P1271" s="202"/>
      <c r="Q1271" s="208"/>
      <c r="R1271" s="86"/>
      <c r="S1271" s="114">
        <f t="shared" ref="S1271:T1271" si="1272">A1271</f>
        <v>1271</v>
      </c>
      <c r="T1271" s="114" t="str">
        <f t="shared" si="1272"/>
        <v>محمدرضا شعبانی</v>
      </c>
      <c r="U1271" s="86" t="str">
        <f t="shared" si="3"/>
        <v>09102107081</v>
      </c>
      <c r="V1271" s="86" t="str">
        <f t="shared" si="4"/>
        <v>پیش‌وایی 10</v>
      </c>
      <c r="W1271" s="86"/>
      <c r="X1271" s="86"/>
    </row>
    <row r="1272">
      <c r="A1272" s="192">
        <v>1272.0</v>
      </c>
      <c r="B1272" s="193" t="s">
        <v>5774</v>
      </c>
      <c r="C1272" s="194" t="s">
        <v>5775</v>
      </c>
      <c r="D1272" s="195" t="str">
        <f>IFERROR(__xludf.DUMMYFUNCTION("ARRAYFORMULA(LET( converted, SUBSTITUTE( SUBSTITUTE( SUBSTITUTE( SUBSTITUTE( SUBSTITUTE( SUBSTITUTE( SUBSTITUTE( SUBSTITUTE( SUBSTITUTE( SUBSTITUTE( C1272, ""۰"", ""0""), ""۱"", ""1""), ""۲"", ""2""), ""۳"", ""3""), ""۴"", ""4""), ""۵"", ""5""), ""۶"", """&amp;"6""), ""۷"", ""7""), ""۸"", ""8""), ""۹"", ""9""), IF(LEFT(converted,3)=""+98"", ""0"" &amp; RIGHT(converted, LEN(converted)-3), IF(LEFT(converted,2)=""98"", ""0"" &amp; RIGHT(converted, LEN(converted)-2), IF(LEFT(converted,1)&lt;&gt;""0"", ""0"" &amp; converted, REGEXREPL"&amp;"ACE(converted , ""\s"", """")) ) ) ) )"),"09122484729")</f>
        <v>09122484729</v>
      </c>
      <c r="E1272" s="196" t="s">
        <v>17</v>
      </c>
      <c r="F1272" s="197">
        <v>10.0</v>
      </c>
      <c r="G1272" s="193"/>
      <c r="H1272" s="193"/>
      <c r="I1272" s="194"/>
      <c r="J1272" s="194"/>
      <c r="K1272" s="199" t="s">
        <v>4666</v>
      </c>
      <c r="L1272" s="199" t="s">
        <v>5776</v>
      </c>
      <c r="M1272" s="199"/>
      <c r="N1272" s="199"/>
      <c r="O1272" s="193"/>
      <c r="P1272" s="193"/>
      <c r="Q1272" s="200"/>
      <c r="R1272" s="86"/>
      <c r="S1272" s="114">
        <f t="shared" ref="S1272:T1272" si="1273">A1272</f>
        <v>1272</v>
      </c>
      <c r="T1272" s="114" t="str">
        <f t="shared" si="1273"/>
        <v>محمدمهدی بخارایی</v>
      </c>
      <c r="U1272" s="86" t="str">
        <f t="shared" si="3"/>
        <v>09122484729</v>
      </c>
      <c r="V1272" s="86" t="str">
        <f t="shared" si="4"/>
        <v>پیش‌وایی 10</v>
      </c>
      <c r="W1272" s="86"/>
      <c r="X1272" s="86"/>
    </row>
    <row r="1273">
      <c r="A1273" s="201">
        <v>1273.0</v>
      </c>
      <c r="B1273" s="202" t="s">
        <v>5777</v>
      </c>
      <c r="C1273" s="203" t="s">
        <v>5093</v>
      </c>
      <c r="D1273" s="204" t="str">
        <f>IFERROR(__xludf.DUMMYFUNCTION("ARRAYFORMULA(LET( converted, SUBSTITUTE( SUBSTITUTE( SUBSTITUTE( SUBSTITUTE( SUBSTITUTE( SUBSTITUTE( SUBSTITUTE( SUBSTITUTE( SUBSTITUTE( SUBSTITUTE( C1273, ""۰"", ""0""), ""۱"", ""1""), ""۲"", ""2""), ""۳"", ""3""), ""۴"", ""4""), ""۵"", ""5""), ""۶"", """&amp;"6""), ""۷"", ""7""), ""۸"", ""8""), ""۹"", ""9""), IF(LEFT(converted,3)=""+98"", ""0"" &amp; RIGHT(converted, LEN(converted)-3), IF(LEFT(converted,2)=""98"", ""0"" &amp; RIGHT(converted, LEN(converted)-2), IF(LEFT(converted,1)&lt;&gt;""0"", ""0"" &amp; converted, REGEXREPL"&amp;"ACE(converted , ""\s"", """")) ) ) ) )"),"09130256846")</f>
        <v>09130256846</v>
      </c>
      <c r="E1273" s="205" t="s">
        <v>17</v>
      </c>
      <c r="F1273" s="206">
        <v>10.0</v>
      </c>
      <c r="G1273" s="202"/>
      <c r="H1273" s="202"/>
      <c r="I1273" s="203"/>
      <c r="J1273" s="203"/>
      <c r="K1273" s="207" t="s">
        <v>5778</v>
      </c>
      <c r="L1273" s="207" t="s">
        <v>5096</v>
      </c>
      <c r="M1273" s="207"/>
      <c r="N1273" s="207"/>
      <c r="O1273" s="202"/>
      <c r="P1273" s="202"/>
      <c r="Q1273" s="208"/>
      <c r="R1273" s="86"/>
      <c r="S1273" s="114">
        <f t="shared" ref="S1273:T1273" si="1274">A1273</f>
        <v>1273</v>
      </c>
      <c r="T1273" s="114" t="str">
        <f t="shared" si="1274"/>
        <v>محمدیاسین پارسی</v>
      </c>
      <c r="U1273" s="86" t="str">
        <f t="shared" si="3"/>
        <v>09130256846</v>
      </c>
      <c r="V1273" s="86" t="str">
        <f t="shared" si="4"/>
        <v>پیش‌وایی 10</v>
      </c>
      <c r="W1273" s="86"/>
      <c r="X1273" s="86"/>
    </row>
    <row r="1274">
      <c r="A1274" s="192">
        <v>1274.0</v>
      </c>
      <c r="B1274" s="193" t="s">
        <v>90</v>
      </c>
      <c r="C1274" s="194" t="s">
        <v>5779</v>
      </c>
      <c r="D1274" s="195" t="str">
        <f>IFERROR(__xludf.DUMMYFUNCTION("ARRAYFORMULA(LET( converted, SUBSTITUTE( SUBSTITUTE( SUBSTITUTE( SUBSTITUTE( SUBSTITUTE( SUBSTITUTE( SUBSTITUTE( SUBSTITUTE( SUBSTITUTE( SUBSTITUTE( C1274, ""۰"", ""0""), ""۱"", ""1""), ""۲"", ""2""), ""۳"", ""3""), ""۴"", ""4""), ""۵"", ""5""), ""۶"", """&amp;"6""), ""۷"", ""7""), ""۸"", ""8""), ""۹"", ""9""), IF(LEFT(converted,3)=""+98"", ""0"" &amp; RIGHT(converted, LEN(converted)-3), IF(LEFT(converted,2)=""98"", ""0"" &amp; RIGHT(converted, LEN(converted)-2), IF(LEFT(converted,1)&lt;&gt;""0"", ""0"" &amp; converted, REGEXREPL"&amp;"ACE(converted , ""\s"", """")) ) ) ) )"),"09103000558")</f>
        <v>09103000558</v>
      </c>
      <c r="E1274" s="196" t="s">
        <v>17</v>
      </c>
      <c r="F1274" s="197">
        <v>10.0</v>
      </c>
      <c r="G1274" s="193"/>
      <c r="H1274" s="193"/>
      <c r="I1274" s="194"/>
      <c r="J1274" s="194"/>
      <c r="K1274" s="199" t="s">
        <v>299</v>
      </c>
      <c r="L1274" s="199" t="s">
        <v>300</v>
      </c>
      <c r="M1274" s="199"/>
      <c r="N1274" s="199"/>
      <c r="O1274" s="193"/>
      <c r="P1274" s="193"/>
      <c r="Q1274" s="200"/>
      <c r="R1274" s="86"/>
      <c r="S1274" s="114">
        <f t="shared" ref="S1274:T1274" si="1275">A1274</f>
        <v>1274</v>
      </c>
      <c r="T1274" s="114" t="str">
        <f t="shared" si="1275"/>
        <v>محمود کاشف</v>
      </c>
      <c r="U1274" s="86" t="str">
        <f t="shared" si="3"/>
        <v>09103000558</v>
      </c>
      <c r="V1274" s="86" t="str">
        <f t="shared" si="4"/>
        <v>پیش‌وایی 10</v>
      </c>
      <c r="W1274" s="86"/>
      <c r="X1274" s="86"/>
    </row>
    <row r="1275">
      <c r="A1275" s="201">
        <v>1275.0</v>
      </c>
      <c r="B1275" s="202" t="s">
        <v>5780</v>
      </c>
      <c r="C1275" s="203" t="s">
        <v>5781</v>
      </c>
      <c r="D1275" s="204" t="str">
        <f>IFERROR(__xludf.DUMMYFUNCTION("ARRAYFORMULA(LET( converted, SUBSTITUTE( SUBSTITUTE( SUBSTITUTE( SUBSTITUTE( SUBSTITUTE( SUBSTITUTE( SUBSTITUTE( SUBSTITUTE( SUBSTITUTE( SUBSTITUTE( C1275, ""۰"", ""0""), ""۱"", ""1""), ""۲"", ""2""), ""۳"", ""3""), ""۴"", ""4""), ""۵"", ""5""), ""۶"", """&amp;"6""), ""۷"", ""7""), ""۸"", ""8""), ""۹"", ""9""), IF(LEFT(converted,3)=""+98"", ""0"" &amp; RIGHT(converted, LEN(converted)-3), IF(LEFT(converted,2)=""98"", ""0"" &amp; RIGHT(converted, LEN(converted)-2), IF(LEFT(converted,1)&lt;&gt;""0"", ""0"" &amp; converted, REGEXREPL"&amp;"ACE(converted , ""\s"", """")) ) ) ) )"),"09126948520")</f>
        <v>09126948520</v>
      </c>
      <c r="E1275" s="205" t="s">
        <v>17</v>
      </c>
      <c r="F1275" s="206">
        <v>10.0</v>
      </c>
      <c r="G1275" s="202"/>
      <c r="H1275" s="202"/>
      <c r="I1275" s="203"/>
      <c r="J1275" s="203"/>
      <c r="K1275" s="207" t="s">
        <v>5126</v>
      </c>
      <c r="L1275" s="207" t="s">
        <v>5782</v>
      </c>
      <c r="M1275" s="207"/>
      <c r="N1275" s="207"/>
      <c r="O1275" s="202"/>
      <c r="P1275" s="202"/>
      <c r="Q1275" s="208"/>
      <c r="R1275" s="86"/>
      <c r="S1275" s="114">
        <f t="shared" ref="S1275:T1275" si="1276">A1275</f>
        <v>1275</v>
      </c>
      <c r="T1275" s="114" t="str">
        <f t="shared" si="1276"/>
        <v>مرضیه امانی</v>
      </c>
      <c r="U1275" s="86" t="str">
        <f t="shared" si="3"/>
        <v>09126948520</v>
      </c>
      <c r="V1275" s="86" t="str">
        <f t="shared" si="4"/>
        <v>پیش‌وایی 10</v>
      </c>
      <c r="W1275" s="86"/>
      <c r="X1275" s="86"/>
    </row>
    <row r="1276">
      <c r="A1276" s="192">
        <v>1276.0</v>
      </c>
      <c r="B1276" s="193" t="s">
        <v>5783</v>
      </c>
      <c r="C1276" s="194" t="s">
        <v>5784</v>
      </c>
      <c r="D1276" s="195" t="str">
        <f>IFERROR(__xludf.DUMMYFUNCTION("ARRAYFORMULA(LET( converted, SUBSTITUTE( SUBSTITUTE( SUBSTITUTE( SUBSTITUTE( SUBSTITUTE( SUBSTITUTE( SUBSTITUTE( SUBSTITUTE( SUBSTITUTE( SUBSTITUTE( C1276, ""۰"", ""0""), ""۱"", ""1""), ""۲"", ""2""), ""۳"", ""3""), ""۴"", ""4""), ""۵"", ""5""), ""۶"", """&amp;"6""), ""۷"", ""7""), ""۸"", ""8""), ""۹"", ""9""), IF(LEFT(converted,3)=""+98"", ""0"" &amp; RIGHT(converted, LEN(converted)-3), IF(LEFT(converted,2)=""98"", ""0"" &amp; RIGHT(converted, LEN(converted)-2), IF(LEFT(converted,1)&lt;&gt;""0"", ""0"" &amp; converted, REGEXREPL"&amp;"ACE(converted , ""\s"", """")) ) ) ) )"),"09132865814")</f>
        <v>09132865814</v>
      </c>
      <c r="E1276" s="196" t="s">
        <v>17</v>
      </c>
      <c r="F1276" s="197">
        <v>10.0</v>
      </c>
      <c r="G1276" s="193"/>
      <c r="H1276" s="193"/>
      <c r="I1276" s="194"/>
      <c r="J1276" s="194"/>
      <c r="K1276" s="199" t="s">
        <v>5126</v>
      </c>
      <c r="L1276" s="199" t="s">
        <v>5066</v>
      </c>
      <c r="M1276" s="199"/>
      <c r="N1276" s="199"/>
      <c r="O1276" s="193"/>
      <c r="P1276" s="193"/>
      <c r="Q1276" s="200"/>
      <c r="R1276" s="86"/>
      <c r="S1276" s="114">
        <f t="shared" ref="S1276:T1276" si="1277">A1276</f>
        <v>1276</v>
      </c>
      <c r="T1276" s="114" t="str">
        <f t="shared" si="1277"/>
        <v>مرضیه عزیزی</v>
      </c>
      <c r="U1276" s="86" t="str">
        <f t="shared" si="3"/>
        <v>09132865814</v>
      </c>
      <c r="V1276" s="86" t="str">
        <f t="shared" si="4"/>
        <v>پیش‌وایی 10</v>
      </c>
      <c r="W1276" s="86"/>
      <c r="X1276" s="86"/>
    </row>
    <row r="1277">
      <c r="A1277" s="201">
        <v>1277.0</v>
      </c>
      <c r="B1277" s="202" t="s">
        <v>5785</v>
      </c>
      <c r="C1277" s="203" t="s">
        <v>5786</v>
      </c>
      <c r="D1277" s="204" t="str">
        <f>IFERROR(__xludf.DUMMYFUNCTION("ARRAYFORMULA(LET( converted, SUBSTITUTE( SUBSTITUTE( SUBSTITUTE( SUBSTITUTE( SUBSTITUTE( SUBSTITUTE( SUBSTITUTE( SUBSTITUTE( SUBSTITUTE( SUBSTITUTE( C1277, ""۰"", ""0""), ""۱"", ""1""), ""۲"", ""2""), ""۳"", ""3""), ""۴"", ""4""), ""۵"", ""5""), ""۶"", """&amp;"6""), ""۷"", ""7""), ""۸"", ""8""), ""۹"", ""9""), IF(LEFT(converted,3)=""+98"", ""0"" &amp; RIGHT(converted, LEN(converted)-3), IF(LEFT(converted,2)=""98"", ""0"" &amp; RIGHT(converted, LEN(converted)-2), IF(LEFT(converted,1)&lt;&gt;""0"", ""0"" &amp; converted, REGEXREPL"&amp;"ACE(converted , ""\s"", """")) ) ) ) )"),"09196726228")</f>
        <v>09196726228</v>
      </c>
      <c r="E1277" s="205" t="s">
        <v>17</v>
      </c>
      <c r="F1277" s="206">
        <v>10.0</v>
      </c>
      <c r="G1277" s="202"/>
      <c r="H1277" s="202"/>
      <c r="I1277" s="203"/>
      <c r="J1277" s="203"/>
      <c r="K1277" s="207" t="s">
        <v>292</v>
      </c>
      <c r="L1277" s="207" t="s">
        <v>1939</v>
      </c>
      <c r="M1277" s="207"/>
      <c r="N1277" s="207"/>
      <c r="O1277" s="202"/>
      <c r="P1277" s="202"/>
      <c r="Q1277" s="208"/>
      <c r="R1277" s="86"/>
      <c r="S1277" s="114">
        <f t="shared" ref="S1277:T1277" si="1278">A1277</f>
        <v>1277</v>
      </c>
      <c r="T1277" s="114" t="str">
        <f t="shared" si="1278"/>
        <v>مریم آقایی</v>
      </c>
      <c r="U1277" s="86" t="str">
        <f t="shared" si="3"/>
        <v>09196726228</v>
      </c>
      <c r="V1277" s="86" t="str">
        <f t="shared" si="4"/>
        <v>پیش‌وایی 10</v>
      </c>
      <c r="W1277" s="86"/>
      <c r="X1277" s="86"/>
    </row>
    <row r="1278">
      <c r="A1278" s="192">
        <v>1278.0</v>
      </c>
      <c r="B1278" s="193" t="s">
        <v>5787</v>
      </c>
      <c r="C1278" s="194" t="s">
        <v>5788</v>
      </c>
      <c r="D1278" s="195" t="str">
        <f>IFERROR(__xludf.DUMMYFUNCTION("ARRAYFORMULA(LET( converted, SUBSTITUTE( SUBSTITUTE( SUBSTITUTE( SUBSTITUTE( SUBSTITUTE( SUBSTITUTE( SUBSTITUTE( SUBSTITUTE( SUBSTITUTE( SUBSTITUTE( C1278, ""۰"", ""0""), ""۱"", ""1""), ""۲"", ""2""), ""۳"", ""3""), ""۴"", ""4""), ""۵"", ""5""), ""۶"", """&amp;"6""), ""۷"", ""7""), ""۸"", ""8""), ""۹"", ""9""), IF(LEFT(converted,3)=""+98"", ""0"" &amp; RIGHT(converted, LEN(converted)-3), IF(LEFT(converted,2)=""98"", ""0"" &amp; RIGHT(converted, LEN(converted)-2), IF(LEFT(converted,1)&lt;&gt;""0"", ""0"" &amp; converted, REGEXREPL"&amp;"ACE(converted , ""\s"", """")) ) ) ) )"),"09123908940")</f>
        <v>09123908940</v>
      </c>
      <c r="E1278" s="196" t="s">
        <v>17</v>
      </c>
      <c r="F1278" s="197">
        <v>10.0</v>
      </c>
      <c r="G1278" s="193"/>
      <c r="H1278" s="193"/>
      <c r="I1278" s="194"/>
      <c r="J1278" s="194"/>
      <c r="K1278" s="199" t="s">
        <v>292</v>
      </c>
      <c r="L1278" s="199" t="s">
        <v>5789</v>
      </c>
      <c r="M1278" s="199"/>
      <c r="N1278" s="199"/>
      <c r="O1278" s="193"/>
      <c r="P1278" s="193"/>
      <c r="Q1278" s="200"/>
      <c r="R1278" s="86"/>
      <c r="S1278" s="114">
        <f t="shared" ref="S1278:T1278" si="1279">A1278</f>
        <v>1278</v>
      </c>
      <c r="T1278" s="114" t="str">
        <f t="shared" si="1279"/>
        <v>مریم خرمی پور</v>
      </c>
      <c r="U1278" s="86" t="str">
        <f t="shared" si="3"/>
        <v>09123908940</v>
      </c>
      <c r="V1278" s="86" t="str">
        <f t="shared" si="4"/>
        <v>پیش‌وایی 10</v>
      </c>
      <c r="W1278" s="86"/>
      <c r="X1278" s="86"/>
    </row>
    <row r="1279">
      <c r="A1279" s="201">
        <v>1279.0</v>
      </c>
      <c r="B1279" s="202" t="s">
        <v>5790</v>
      </c>
      <c r="C1279" s="203" t="s">
        <v>5791</v>
      </c>
      <c r="D1279" s="204" t="str">
        <f>IFERROR(__xludf.DUMMYFUNCTION("ARRAYFORMULA(LET( converted, SUBSTITUTE( SUBSTITUTE( SUBSTITUTE( SUBSTITUTE( SUBSTITUTE( SUBSTITUTE( SUBSTITUTE( SUBSTITUTE( SUBSTITUTE( SUBSTITUTE( C1279, ""۰"", ""0""), ""۱"", ""1""), ""۲"", ""2""), ""۳"", ""3""), ""۴"", ""4""), ""۵"", ""5""), ""۶"", """&amp;"6""), ""۷"", ""7""), ""۸"", ""8""), ""۹"", ""9""), IF(LEFT(converted,3)=""+98"", ""0"" &amp; RIGHT(converted, LEN(converted)-3), IF(LEFT(converted,2)=""98"", ""0"" &amp; RIGHT(converted, LEN(converted)-2), IF(LEFT(converted,1)&lt;&gt;""0"", ""0"" &amp; converted, REGEXREPL"&amp;"ACE(converted , ""\s"", """")) ) ) ) )"),"09102330291")</f>
        <v>09102330291</v>
      </c>
      <c r="E1279" s="205" t="s">
        <v>17</v>
      </c>
      <c r="F1279" s="206">
        <v>10.0</v>
      </c>
      <c r="G1279" s="202"/>
      <c r="H1279" s="202"/>
      <c r="I1279" s="203"/>
      <c r="J1279" s="203"/>
      <c r="K1279" s="207" t="s">
        <v>292</v>
      </c>
      <c r="L1279" s="207" t="s">
        <v>1012</v>
      </c>
      <c r="M1279" s="207"/>
      <c r="N1279" s="207"/>
      <c r="O1279" s="202"/>
      <c r="P1279" s="202"/>
      <c r="Q1279" s="208"/>
      <c r="R1279" s="86"/>
      <c r="S1279" s="114">
        <f t="shared" ref="S1279:T1279" si="1280">A1279</f>
        <v>1279</v>
      </c>
      <c r="T1279" s="114" t="str">
        <f t="shared" si="1280"/>
        <v>مریم محمدی</v>
      </c>
      <c r="U1279" s="86" t="str">
        <f t="shared" si="3"/>
        <v>09102330291</v>
      </c>
      <c r="V1279" s="86" t="str">
        <f t="shared" si="4"/>
        <v>پیش‌وایی 10</v>
      </c>
      <c r="W1279" s="86"/>
      <c r="X1279" s="86"/>
    </row>
    <row r="1280">
      <c r="A1280" s="192">
        <v>1280.0</v>
      </c>
      <c r="B1280" s="193" t="s">
        <v>1772</v>
      </c>
      <c r="C1280" s="194" t="s">
        <v>5792</v>
      </c>
      <c r="D1280" s="195" t="str">
        <f>IFERROR(__xludf.DUMMYFUNCTION("ARRAYFORMULA(LET( converted, SUBSTITUTE( SUBSTITUTE( SUBSTITUTE( SUBSTITUTE( SUBSTITUTE( SUBSTITUTE( SUBSTITUTE( SUBSTITUTE( SUBSTITUTE( SUBSTITUTE( C1280, ""۰"", ""0""), ""۱"", ""1""), ""۲"", ""2""), ""۳"", ""3""), ""۴"", ""4""), ""۵"", ""5""), ""۶"", """&amp;"6""), ""۷"", ""7""), ""۸"", ""8""), ""۹"", ""9""), IF(LEFT(converted,3)=""+98"", ""0"" &amp; RIGHT(converted, LEN(converted)-3), IF(LEFT(converted,2)=""98"", ""0"" &amp; RIGHT(converted, LEN(converted)-2), IF(LEFT(converted,1)&lt;&gt;""0"", ""0"" &amp; converted, REGEXREPL"&amp;"ACE(converted , ""\s"", """")) ) ) ) )"),"09122985163")</f>
        <v>09122985163</v>
      </c>
      <c r="E1280" s="196" t="s">
        <v>17</v>
      </c>
      <c r="F1280" s="197">
        <v>10.0</v>
      </c>
      <c r="G1280" s="193"/>
      <c r="H1280" s="193"/>
      <c r="I1280" s="194"/>
      <c r="J1280" s="194"/>
      <c r="K1280" s="199" t="s">
        <v>1774</v>
      </c>
      <c r="L1280" s="199" t="s">
        <v>1775</v>
      </c>
      <c r="M1280" s="199"/>
      <c r="N1280" s="199"/>
      <c r="O1280" s="193"/>
      <c r="P1280" s="193"/>
      <c r="Q1280" s="200"/>
      <c r="R1280" s="86"/>
      <c r="S1280" s="114">
        <f t="shared" ref="S1280:T1280" si="1281">A1280</f>
        <v>1280</v>
      </c>
      <c r="T1280" s="114" t="str">
        <f t="shared" si="1281"/>
        <v>ملیکا لسانی</v>
      </c>
      <c r="U1280" s="86" t="str">
        <f t="shared" si="3"/>
        <v>09122985163</v>
      </c>
      <c r="V1280" s="86" t="str">
        <f t="shared" si="4"/>
        <v>پیش‌وایی 10</v>
      </c>
      <c r="W1280" s="86"/>
      <c r="X1280" s="86"/>
    </row>
    <row r="1281">
      <c r="A1281" s="201">
        <v>1281.0</v>
      </c>
      <c r="B1281" s="202" t="s">
        <v>5793</v>
      </c>
      <c r="C1281" s="203" t="s">
        <v>5794</v>
      </c>
      <c r="D1281" s="204" t="str">
        <f>IFERROR(__xludf.DUMMYFUNCTION("ARRAYFORMULA(LET( converted, SUBSTITUTE( SUBSTITUTE( SUBSTITUTE( SUBSTITUTE( SUBSTITUTE( SUBSTITUTE( SUBSTITUTE( SUBSTITUTE( SUBSTITUTE( SUBSTITUTE( C1281, ""۰"", ""0""), ""۱"", ""1""), ""۲"", ""2""), ""۳"", ""3""), ""۴"", ""4""), ""۵"", ""5""), ""۶"", """&amp;"6""), ""۷"", ""7""), ""۸"", ""8""), ""۹"", ""9""), IF(LEFT(converted,3)=""+98"", ""0"" &amp; RIGHT(converted, LEN(converted)-3), IF(LEFT(converted,2)=""98"", ""0"" &amp; RIGHT(converted, LEN(converted)-2), IF(LEFT(converted,1)&lt;&gt;""0"", ""0"" &amp; converted, REGEXREPL"&amp;"ACE(converted , ""\s"", """")) ) ) ) )"),"09126066435")</f>
        <v>09126066435</v>
      </c>
      <c r="E1281" s="205" t="s">
        <v>17</v>
      </c>
      <c r="F1281" s="206">
        <v>10.0</v>
      </c>
      <c r="G1281" s="202"/>
      <c r="H1281" s="202"/>
      <c r="I1281" s="203"/>
      <c r="J1281" s="203"/>
      <c r="K1281" s="207" t="s">
        <v>381</v>
      </c>
      <c r="L1281" s="207" t="s">
        <v>4452</v>
      </c>
      <c r="M1281" s="207"/>
      <c r="N1281" s="207"/>
      <c r="O1281" s="202"/>
      <c r="P1281" s="202"/>
      <c r="Q1281" s="208"/>
      <c r="R1281" s="86"/>
      <c r="S1281" s="114">
        <f t="shared" ref="S1281:T1281" si="1282">A1281</f>
        <v>1281</v>
      </c>
      <c r="T1281" s="114" t="str">
        <f t="shared" si="1282"/>
        <v>منصور رمضانی</v>
      </c>
      <c r="U1281" s="86" t="str">
        <f t="shared" si="3"/>
        <v>09126066435</v>
      </c>
      <c r="V1281" s="86" t="str">
        <f t="shared" si="4"/>
        <v>پیش‌وایی 10</v>
      </c>
      <c r="W1281" s="86"/>
      <c r="X1281" s="86"/>
    </row>
    <row r="1282">
      <c r="A1282" s="192">
        <v>1282.0</v>
      </c>
      <c r="B1282" s="193" t="s">
        <v>5795</v>
      </c>
      <c r="C1282" s="194" t="s">
        <v>5796</v>
      </c>
      <c r="D1282" s="195" t="str">
        <f>IFERROR(__xludf.DUMMYFUNCTION("ARRAYFORMULA(LET( converted, SUBSTITUTE( SUBSTITUTE( SUBSTITUTE( SUBSTITUTE( SUBSTITUTE( SUBSTITUTE( SUBSTITUTE( SUBSTITUTE( SUBSTITUTE( SUBSTITUTE( C1282, ""۰"", ""0""), ""۱"", ""1""), ""۲"", ""2""), ""۳"", ""3""), ""۴"", ""4""), ""۵"", ""5""), ""۶"", """&amp;"6""), ""۷"", ""7""), ""۸"", ""8""), ""۹"", ""9""), IF(LEFT(converted,3)=""+98"", ""0"" &amp; RIGHT(converted, LEN(converted)-3), IF(LEFT(converted,2)=""98"", ""0"" &amp; RIGHT(converted, LEN(converted)-2), IF(LEFT(converted,1)&lt;&gt;""0"", ""0"" &amp; converted, REGEXREPL"&amp;"ACE(converted , ""\s"", """")) ) ) ) )"),"09352489824")</f>
        <v>09352489824</v>
      </c>
      <c r="E1282" s="196" t="s">
        <v>17</v>
      </c>
      <c r="F1282" s="197">
        <v>10.0</v>
      </c>
      <c r="G1282" s="193"/>
      <c r="H1282" s="193"/>
      <c r="I1282" s="194"/>
      <c r="J1282" s="194"/>
      <c r="K1282" s="199" t="s">
        <v>286</v>
      </c>
      <c r="L1282" s="199" t="s">
        <v>5797</v>
      </c>
      <c r="M1282" s="199"/>
      <c r="N1282" s="199"/>
      <c r="O1282" s="193"/>
      <c r="P1282" s="193"/>
      <c r="Q1282" s="200"/>
      <c r="R1282" s="86"/>
      <c r="S1282" s="114">
        <f t="shared" ref="S1282:T1282" si="1283">A1282</f>
        <v>1282</v>
      </c>
      <c r="T1282" s="114" t="str">
        <f t="shared" si="1283"/>
        <v>مهدی توحیدلو</v>
      </c>
      <c r="U1282" s="86" t="str">
        <f t="shared" si="3"/>
        <v>09352489824</v>
      </c>
      <c r="V1282" s="86" t="str">
        <f t="shared" si="4"/>
        <v>پیش‌وایی 10</v>
      </c>
      <c r="W1282" s="86"/>
      <c r="X1282" s="86"/>
    </row>
    <row r="1283">
      <c r="A1283" s="201">
        <v>1283.0</v>
      </c>
      <c r="B1283" s="202" t="s">
        <v>5798</v>
      </c>
      <c r="C1283" s="203" t="s">
        <v>5799</v>
      </c>
      <c r="D1283" s="204" t="str">
        <f>IFERROR(__xludf.DUMMYFUNCTION("ARRAYFORMULA(LET( converted, SUBSTITUTE( SUBSTITUTE( SUBSTITUTE( SUBSTITUTE( SUBSTITUTE( SUBSTITUTE( SUBSTITUTE( SUBSTITUTE( SUBSTITUTE( SUBSTITUTE( C1283, ""۰"", ""0""), ""۱"", ""1""), ""۲"", ""2""), ""۳"", ""3""), ""۴"", ""4""), ""۵"", ""5""), ""۶"", """&amp;"6""), ""۷"", ""7""), ""۸"", ""8""), ""۹"", ""9""), IF(LEFT(converted,3)=""+98"", ""0"" &amp; RIGHT(converted, LEN(converted)-3), IF(LEFT(converted,2)=""98"", ""0"" &amp; RIGHT(converted, LEN(converted)-2), IF(LEFT(converted,1)&lt;&gt;""0"", ""0"" &amp; converted, REGEXREPL"&amp;"ACE(converted , ""\s"", """")) ) ) ) )"),"09919191746")</f>
        <v>09919191746</v>
      </c>
      <c r="E1283" s="205" t="s">
        <v>17</v>
      </c>
      <c r="F1283" s="206">
        <v>10.0</v>
      </c>
      <c r="G1283" s="202"/>
      <c r="H1283" s="202"/>
      <c r="I1283" s="203"/>
      <c r="J1283" s="203"/>
      <c r="K1283" s="207" t="s">
        <v>5670</v>
      </c>
      <c r="L1283" s="207" t="s">
        <v>2624</v>
      </c>
      <c r="M1283" s="207"/>
      <c r="N1283" s="207"/>
      <c r="O1283" s="202"/>
      <c r="P1283" s="202"/>
      <c r="Q1283" s="208"/>
      <c r="R1283" s="86"/>
      <c r="S1283" s="114">
        <f t="shared" ref="S1283:T1283" si="1284">A1283</f>
        <v>1283</v>
      </c>
      <c r="T1283" s="114" t="str">
        <f t="shared" si="1284"/>
        <v>امیرعباس قاسمی</v>
      </c>
      <c r="U1283" s="86" t="str">
        <f t="shared" si="3"/>
        <v>09919191746</v>
      </c>
      <c r="V1283" s="86" t="str">
        <f t="shared" si="4"/>
        <v>پیش‌وایی 10</v>
      </c>
      <c r="W1283" s="86"/>
      <c r="X1283" s="86"/>
    </row>
    <row r="1284">
      <c r="A1284" s="192">
        <v>1284.0</v>
      </c>
      <c r="B1284" s="193" t="s">
        <v>5356</v>
      </c>
      <c r="C1284" s="194" t="s">
        <v>5357</v>
      </c>
      <c r="D1284" s="195" t="str">
        <f>IFERROR(__xludf.DUMMYFUNCTION("ARRAYFORMULA(LET( converted, SUBSTITUTE( SUBSTITUTE( SUBSTITUTE( SUBSTITUTE( SUBSTITUTE( SUBSTITUTE( SUBSTITUTE( SUBSTITUTE( SUBSTITUTE( SUBSTITUTE( C1284, ""۰"", ""0""), ""۱"", ""1""), ""۲"", ""2""), ""۳"", ""3""), ""۴"", ""4""), ""۵"", ""5""), ""۶"", """&amp;"6""), ""۷"", ""7""), ""۸"", ""8""), ""۹"", ""9""), IF(LEFT(converted,3)=""+98"", ""0"" &amp; RIGHT(converted, LEN(converted)-3), IF(LEFT(converted,2)=""98"", ""0"" &amp; RIGHT(converted, LEN(converted)-2), IF(LEFT(converted,1)&lt;&gt;""0"", ""0"" &amp; converted, REGEXREPL"&amp;"ACE(converted , ""\s"", """")) ) ) ) )"),"09190318414")</f>
        <v>09190318414</v>
      </c>
      <c r="E1284" s="196" t="s">
        <v>17</v>
      </c>
      <c r="F1284" s="197">
        <v>10.0</v>
      </c>
      <c r="G1284" s="193"/>
      <c r="H1284" s="193"/>
      <c r="I1284" s="194"/>
      <c r="J1284" s="194"/>
      <c r="K1284" s="199" t="s">
        <v>1473</v>
      </c>
      <c r="L1284" s="199" t="s">
        <v>2573</v>
      </c>
      <c r="M1284" s="199"/>
      <c r="N1284" s="199"/>
      <c r="O1284" s="193"/>
      <c r="P1284" s="193"/>
      <c r="Q1284" s="200"/>
      <c r="R1284" s="86"/>
      <c r="S1284" s="114">
        <f t="shared" ref="S1284:T1284" si="1285">A1284</f>
        <v>1284</v>
      </c>
      <c r="T1284" s="114" t="str">
        <f t="shared" si="1285"/>
        <v>مصطفی جعفری</v>
      </c>
      <c r="U1284" s="86" t="str">
        <f t="shared" si="3"/>
        <v>09190318414</v>
      </c>
      <c r="V1284" s="86" t="str">
        <f t="shared" si="4"/>
        <v>پیش‌وایی 10</v>
      </c>
      <c r="W1284" s="86"/>
      <c r="X1284" s="86"/>
    </row>
    <row r="1285">
      <c r="A1285" s="201">
        <v>1285.0</v>
      </c>
      <c r="B1285" s="202" t="s">
        <v>5800</v>
      </c>
      <c r="C1285" s="203" t="s">
        <v>5801</v>
      </c>
      <c r="D1285" s="204" t="str">
        <f>IFERROR(__xludf.DUMMYFUNCTION("ARRAYFORMULA(LET( converted, SUBSTITUTE( SUBSTITUTE( SUBSTITUTE( SUBSTITUTE( SUBSTITUTE( SUBSTITUTE( SUBSTITUTE( SUBSTITUTE( SUBSTITUTE( SUBSTITUTE( C1285, ""۰"", ""0""), ""۱"", ""1""), ""۲"", ""2""), ""۳"", ""3""), ""۴"", ""4""), ""۵"", ""5""), ""۶"", """&amp;"6""), ""۷"", ""7""), ""۸"", ""8""), ""۹"", ""9""), IF(LEFT(converted,3)=""+98"", ""0"" &amp; RIGHT(converted, LEN(converted)-3), IF(LEFT(converted,2)=""98"", ""0"" &amp; RIGHT(converted, LEN(converted)-2), IF(LEFT(converted,1)&lt;&gt;""0"", ""0"" &amp; converted, REGEXREPL"&amp;"ACE(converted , ""\s"", """")) ) ) ) )"),"09128474714")</f>
        <v>09128474714</v>
      </c>
      <c r="E1285" s="205" t="s">
        <v>17</v>
      </c>
      <c r="F1285" s="206">
        <v>10.0</v>
      </c>
      <c r="G1285" s="202"/>
      <c r="H1285" s="202"/>
      <c r="I1285" s="203"/>
      <c r="J1285" s="203"/>
      <c r="K1285" s="207" t="s">
        <v>307</v>
      </c>
      <c r="L1285" s="207" t="s">
        <v>5434</v>
      </c>
      <c r="M1285" s="207"/>
      <c r="N1285" s="207"/>
      <c r="O1285" s="202"/>
      <c r="P1285" s="202"/>
      <c r="Q1285" s="208"/>
      <c r="R1285" s="86"/>
      <c r="S1285" s="114">
        <f t="shared" ref="S1285:T1285" si="1286">A1285</f>
        <v>1285</v>
      </c>
      <c r="T1285" s="114" t="str">
        <f t="shared" si="1286"/>
        <v>محمدرضا تشکری</v>
      </c>
      <c r="U1285" s="86" t="str">
        <f t="shared" si="3"/>
        <v>09128474714</v>
      </c>
      <c r="V1285" s="86" t="str">
        <f t="shared" si="4"/>
        <v>پیش‌وایی 10</v>
      </c>
      <c r="W1285" s="86"/>
      <c r="X1285" s="86"/>
    </row>
    <row r="1286">
      <c r="A1286" s="192">
        <v>1286.0</v>
      </c>
      <c r="B1286" s="193" t="s">
        <v>5802</v>
      </c>
      <c r="C1286" s="194" t="s">
        <v>5803</v>
      </c>
      <c r="D1286" s="195" t="str">
        <f>IFERROR(__xludf.DUMMYFUNCTION("ARRAYFORMULA(LET( converted, SUBSTITUTE( SUBSTITUTE( SUBSTITUTE( SUBSTITUTE( SUBSTITUTE( SUBSTITUTE( SUBSTITUTE( SUBSTITUTE( SUBSTITUTE( SUBSTITUTE( C1286, ""۰"", ""0""), ""۱"", ""1""), ""۲"", ""2""), ""۳"", ""3""), ""۴"", ""4""), ""۵"", ""5""), ""۶"", """&amp;"6""), ""۷"", ""7""), ""۸"", ""8""), ""۹"", ""9""), IF(LEFT(converted,3)=""+98"", ""0"" &amp; RIGHT(converted, LEN(converted)-3), IF(LEFT(converted,2)=""98"", ""0"" &amp; RIGHT(converted, LEN(converted)-2), IF(LEFT(converted,1)&lt;&gt;""0"", ""0"" &amp; converted, REGEXREPL"&amp;"ACE(converted , ""\s"", """")) ) ) ) )"),"09121386329")</f>
        <v>09121386329</v>
      </c>
      <c r="E1286" s="196" t="s">
        <v>17</v>
      </c>
      <c r="F1286" s="197">
        <v>10.0</v>
      </c>
      <c r="G1286" s="193"/>
      <c r="H1286" s="193"/>
      <c r="I1286" s="194"/>
      <c r="J1286" s="194"/>
      <c r="K1286" s="199" t="s">
        <v>4572</v>
      </c>
      <c r="L1286" s="199" t="s">
        <v>1934</v>
      </c>
      <c r="M1286" s="199"/>
      <c r="N1286" s="199"/>
      <c r="O1286" s="193"/>
      <c r="P1286" s="193"/>
      <c r="Q1286" s="200"/>
      <c r="R1286" s="86"/>
      <c r="S1286" s="114">
        <f t="shared" ref="S1286:T1286" si="1287">A1286</f>
        <v>1286</v>
      </c>
      <c r="T1286" s="114" t="str">
        <f t="shared" si="1287"/>
        <v>سیدمحمدرضا نجفی</v>
      </c>
      <c r="U1286" s="86" t="str">
        <f t="shared" si="3"/>
        <v>09121386329</v>
      </c>
      <c r="V1286" s="86" t="str">
        <f t="shared" si="4"/>
        <v>پیش‌وایی 10</v>
      </c>
      <c r="W1286" s="86"/>
      <c r="X1286" s="86"/>
    </row>
    <row r="1287">
      <c r="A1287" s="201">
        <v>1287.0</v>
      </c>
      <c r="B1287" s="202" t="s">
        <v>5804</v>
      </c>
      <c r="C1287" s="203" t="s">
        <v>5805</v>
      </c>
      <c r="D1287" s="204" t="str">
        <f>IFERROR(__xludf.DUMMYFUNCTION("ARRAYFORMULA(LET( converted, SUBSTITUTE( SUBSTITUTE( SUBSTITUTE( SUBSTITUTE( SUBSTITUTE( SUBSTITUTE( SUBSTITUTE( SUBSTITUTE( SUBSTITUTE( SUBSTITUTE( C1287, ""۰"", ""0""), ""۱"", ""1""), ""۲"", ""2""), ""۳"", ""3""), ""۴"", ""4""), ""۵"", ""5""), ""۶"", """&amp;"6""), ""۷"", ""7""), ""۸"", ""8""), ""۹"", ""9""), IF(LEFT(converted,3)=""+98"", ""0"" &amp; RIGHT(converted, LEN(converted)-3), IF(LEFT(converted,2)=""98"", ""0"" &amp; RIGHT(converted, LEN(converted)-2), IF(LEFT(converted,1)&lt;&gt;""0"", ""0"" &amp; converted, REGEXREPL"&amp;"ACE(converted , ""\s"", """")) ) ) ) )"),"09133333558")</f>
        <v>09133333558</v>
      </c>
      <c r="E1287" s="205" t="s">
        <v>17</v>
      </c>
      <c r="F1287" s="206">
        <v>10.0</v>
      </c>
      <c r="G1287" s="202"/>
      <c r="H1287" s="202"/>
      <c r="I1287" s="203"/>
      <c r="J1287" s="203"/>
      <c r="K1287" s="207" t="s">
        <v>733</v>
      </c>
      <c r="L1287" s="207" t="s">
        <v>5806</v>
      </c>
      <c r="M1287" s="207"/>
      <c r="N1287" s="207"/>
      <c r="O1287" s="202"/>
      <c r="P1287" s="202"/>
      <c r="Q1287" s="208"/>
      <c r="R1287" s="86"/>
      <c r="S1287" s="114">
        <f t="shared" ref="S1287:T1287" si="1288">A1287</f>
        <v>1287</v>
      </c>
      <c r="T1287" s="114" t="str">
        <f t="shared" si="1288"/>
        <v>کیوان قائنیان</v>
      </c>
      <c r="U1287" s="86" t="str">
        <f t="shared" si="3"/>
        <v>09133333558</v>
      </c>
      <c r="V1287" s="86" t="str">
        <f t="shared" si="4"/>
        <v>پیش‌وایی 10</v>
      </c>
      <c r="W1287" s="86"/>
      <c r="X1287" s="86"/>
    </row>
    <row r="1288">
      <c r="A1288" s="192">
        <v>1288.0</v>
      </c>
      <c r="B1288" s="193" t="s">
        <v>5807</v>
      </c>
      <c r="C1288" s="194" t="s">
        <v>5808</v>
      </c>
      <c r="D1288" s="195" t="str">
        <f>IFERROR(__xludf.DUMMYFUNCTION("ARRAYFORMULA(LET( converted, SUBSTITUTE( SUBSTITUTE( SUBSTITUTE( SUBSTITUTE( SUBSTITUTE( SUBSTITUTE( SUBSTITUTE( SUBSTITUTE( SUBSTITUTE( SUBSTITUTE( C1288, ""۰"", ""0""), ""۱"", ""1""), ""۲"", ""2""), ""۳"", ""3""), ""۴"", ""4""), ""۵"", ""5""), ""۶"", """&amp;"6""), ""۷"", ""7""), ""۸"", ""8""), ""۹"", ""9""), IF(LEFT(converted,3)=""+98"", ""0"" &amp; RIGHT(converted, LEN(converted)-3), IF(LEFT(converted,2)=""98"", ""0"" &amp; RIGHT(converted, LEN(converted)-2), IF(LEFT(converted,1)&lt;&gt;""0"", ""0"" &amp; converted, REGEXREPL"&amp;"ACE(converted , ""\s"", """")) ) ) ) )"),"09122303296")</f>
        <v>09122303296</v>
      </c>
      <c r="E1288" s="196" t="s">
        <v>17</v>
      </c>
      <c r="F1288" s="197">
        <v>10.0</v>
      </c>
      <c r="G1288" s="193"/>
      <c r="H1288" s="193"/>
      <c r="I1288" s="194"/>
      <c r="J1288" s="194"/>
      <c r="K1288" s="199" t="s">
        <v>1617</v>
      </c>
      <c r="L1288" s="199" t="s">
        <v>5809</v>
      </c>
      <c r="M1288" s="199"/>
      <c r="N1288" s="199"/>
      <c r="O1288" s="193"/>
      <c r="P1288" s="193"/>
      <c r="Q1288" s="200"/>
      <c r="R1288" s="86"/>
      <c r="S1288" s="114">
        <f t="shared" ref="S1288:T1288" si="1289">A1288</f>
        <v>1288</v>
      </c>
      <c r="T1288" s="114" t="str">
        <f t="shared" si="1289"/>
        <v>سپهر حساس یگانه</v>
      </c>
      <c r="U1288" s="86" t="str">
        <f t="shared" si="3"/>
        <v>09122303296</v>
      </c>
      <c r="V1288" s="86" t="str">
        <f t="shared" si="4"/>
        <v>پیش‌وایی 10</v>
      </c>
      <c r="W1288" s="86"/>
      <c r="X1288" s="86"/>
    </row>
    <row r="1289">
      <c r="A1289" s="201">
        <v>1289.0</v>
      </c>
      <c r="B1289" s="202" t="s">
        <v>5810</v>
      </c>
      <c r="C1289" s="203" t="s">
        <v>5811</v>
      </c>
      <c r="D1289" s="204" t="str">
        <f>IFERROR(__xludf.DUMMYFUNCTION("ARRAYFORMULA(LET( converted, SUBSTITUTE( SUBSTITUTE( SUBSTITUTE( SUBSTITUTE( SUBSTITUTE( SUBSTITUTE( SUBSTITUTE( SUBSTITUTE( SUBSTITUTE( SUBSTITUTE( C1289, ""۰"", ""0""), ""۱"", ""1""), ""۲"", ""2""), ""۳"", ""3""), ""۴"", ""4""), ""۵"", ""5""), ""۶"", """&amp;"6""), ""۷"", ""7""), ""۸"", ""8""), ""۹"", ""9""), IF(LEFT(converted,3)=""+98"", ""0"" &amp; RIGHT(converted, LEN(converted)-3), IF(LEFT(converted,2)=""98"", ""0"" &amp; RIGHT(converted, LEN(converted)-2), IF(LEFT(converted,1)&lt;&gt;""0"", ""0"" &amp; converted, REGEXREPL"&amp;"ACE(converted , ""\s"", """")) ) ) ) )"),"09129330513")</f>
        <v>09129330513</v>
      </c>
      <c r="E1289" s="205" t="s">
        <v>17</v>
      </c>
      <c r="F1289" s="206">
        <v>10.0</v>
      </c>
      <c r="G1289" s="202"/>
      <c r="H1289" s="202"/>
      <c r="I1289" s="203"/>
      <c r="J1289" s="203"/>
      <c r="K1289" s="207" t="s">
        <v>911</v>
      </c>
      <c r="L1289" s="207" t="s">
        <v>3326</v>
      </c>
      <c r="M1289" s="207"/>
      <c r="N1289" s="207"/>
      <c r="O1289" s="202"/>
      <c r="P1289" s="202"/>
      <c r="Q1289" s="208"/>
      <c r="R1289" s="86"/>
      <c r="S1289" s="114">
        <f t="shared" ref="S1289:T1289" si="1290">A1289</f>
        <v>1289</v>
      </c>
      <c r="T1289" s="114" t="str">
        <f t="shared" si="1290"/>
        <v>سپیده امینی</v>
      </c>
      <c r="U1289" s="86" t="str">
        <f t="shared" si="3"/>
        <v>09129330513</v>
      </c>
      <c r="V1289" s="86" t="str">
        <f t="shared" si="4"/>
        <v>پیش‌وایی 10</v>
      </c>
      <c r="W1289" s="86"/>
      <c r="X1289" s="86"/>
    </row>
    <row r="1290">
      <c r="A1290" s="192">
        <v>1290.0</v>
      </c>
      <c r="B1290" s="193" t="s">
        <v>5812</v>
      </c>
      <c r="C1290" s="194" t="s">
        <v>5813</v>
      </c>
      <c r="D1290" s="195" t="str">
        <f>IFERROR(__xludf.DUMMYFUNCTION("ARRAYFORMULA(LET( converted, SUBSTITUTE( SUBSTITUTE( SUBSTITUTE( SUBSTITUTE( SUBSTITUTE( SUBSTITUTE( SUBSTITUTE( SUBSTITUTE( SUBSTITUTE( SUBSTITUTE( C1290, ""۰"", ""0""), ""۱"", ""1""), ""۲"", ""2""), ""۳"", ""3""), ""۴"", ""4""), ""۵"", ""5""), ""۶"", """&amp;"6""), ""۷"", ""7""), ""۸"", ""8""), ""۹"", ""9""), IF(LEFT(converted,3)=""+98"", ""0"" &amp; RIGHT(converted, LEN(converted)-3), IF(LEFT(converted,2)=""98"", ""0"" &amp; RIGHT(converted, LEN(converted)-2), IF(LEFT(converted,1)&lt;&gt;""0"", ""0"" &amp; converted, REGEXREPL"&amp;"ACE(converted , ""\s"", """")) ) ) ) )"),"09122452433")</f>
        <v>09122452433</v>
      </c>
      <c r="E1290" s="196" t="s">
        <v>17</v>
      </c>
      <c r="F1290" s="197">
        <v>10.0</v>
      </c>
      <c r="G1290" s="193"/>
      <c r="H1290" s="193"/>
      <c r="I1290" s="194"/>
      <c r="J1290" s="194"/>
      <c r="K1290" s="199" t="s">
        <v>911</v>
      </c>
      <c r="L1290" s="199" t="s">
        <v>5814</v>
      </c>
      <c r="M1290" s="199"/>
      <c r="N1290" s="199"/>
      <c r="O1290" s="193"/>
      <c r="P1290" s="193"/>
      <c r="Q1290" s="200"/>
      <c r="R1290" s="86"/>
      <c r="S1290" s="114">
        <f t="shared" ref="S1290:T1290" si="1291">A1290</f>
        <v>1290</v>
      </c>
      <c r="T1290" s="114" t="str">
        <f t="shared" si="1291"/>
        <v>سپیده کیکاوسی</v>
      </c>
      <c r="U1290" s="86" t="str">
        <f t="shared" si="3"/>
        <v>09122452433</v>
      </c>
      <c r="V1290" s="86" t="str">
        <f t="shared" si="4"/>
        <v>پیش‌وایی 10</v>
      </c>
      <c r="W1290" s="86"/>
      <c r="X1290" s="86"/>
    </row>
    <row r="1291">
      <c r="A1291" s="201">
        <v>1291.0</v>
      </c>
      <c r="B1291" s="202" t="s">
        <v>5815</v>
      </c>
      <c r="C1291" s="203" t="s">
        <v>5816</v>
      </c>
      <c r="D1291" s="204" t="str">
        <f>IFERROR(__xludf.DUMMYFUNCTION("ARRAYFORMULA(LET( converted, SUBSTITUTE( SUBSTITUTE( SUBSTITUTE( SUBSTITUTE( SUBSTITUTE( SUBSTITUTE( SUBSTITUTE( SUBSTITUTE( SUBSTITUTE( SUBSTITUTE( C1291, ""۰"", ""0""), ""۱"", ""1""), ""۲"", ""2""), ""۳"", ""3""), ""۴"", ""4""), ""۵"", ""5""), ""۶"", """&amp;"6""), ""۷"", ""7""), ""۸"", ""8""), ""۹"", ""9""), IF(LEFT(converted,3)=""+98"", ""0"" &amp; RIGHT(converted, LEN(converted)-3), IF(LEFT(converted,2)=""98"", ""0"" &amp; RIGHT(converted, LEN(converted)-2), IF(LEFT(converted,1)&lt;&gt;""0"", ""0"" &amp; converted, REGEXREPL"&amp;"ACE(converted , ""\s"", """")) ) ) ) )"),"09102123515")</f>
        <v>09102123515</v>
      </c>
      <c r="E1291" s="205" t="s">
        <v>17</v>
      </c>
      <c r="F1291" s="206">
        <v>10.0</v>
      </c>
      <c r="G1291" s="202"/>
      <c r="H1291" s="202"/>
      <c r="I1291" s="203"/>
      <c r="J1291" s="203"/>
      <c r="K1291" s="207" t="s">
        <v>247</v>
      </c>
      <c r="L1291" s="207" t="s">
        <v>248</v>
      </c>
      <c r="M1291" s="207"/>
      <c r="N1291" s="207"/>
      <c r="O1291" s="202"/>
      <c r="P1291" s="202"/>
      <c r="Q1291" s="208"/>
      <c r="R1291" s="86"/>
      <c r="S1291" s="114">
        <f t="shared" ref="S1291:T1291" si="1292">A1291</f>
        <v>1291</v>
      </c>
      <c r="T1291" s="114" t="str">
        <f t="shared" si="1292"/>
        <v>سجاد صفری</v>
      </c>
      <c r="U1291" s="86" t="str">
        <f t="shared" si="3"/>
        <v>09102123515</v>
      </c>
      <c r="V1291" s="86" t="str">
        <f t="shared" si="4"/>
        <v>پیش‌وایی 10</v>
      </c>
      <c r="W1291" s="86"/>
      <c r="X1291" s="86"/>
    </row>
    <row r="1292">
      <c r="A1292" s="192">
        <v>1292.0</v>
      </c>
      <c r="B1292" s="193" t="s">
        <v>5817</v>
      </c>
      <c r="C1292" s="194" t="s">
        <v>5818</v>
      </c>
      <c r="D1292" s="195" t="str">
        <f>IFERROR(__xludf.DUMMYFUNCTION("ARRAYFORMULA(LET( converted, SUBSTITUTE( SUBSTITUTE( SUBSTITUTE( SUBSTITUTE( SUBSTITUTE( SUBSTITUTE( SUBSTITUTE( SUBSTITUTE( SUBSTITUTE( SUBSTITUTE( C1292, ""۰"", ""0""), ""۱"", ""1""), ""۲"", ""2""), ""۳"", ""3""), ""۴"", ""4""), ""۵"", ""5""), ""۶"", """&amp;"6""), ""۷"", ""7""), ""۸"", ""8""), ""۹"", ""9""), IF(LEFT(converted,3)=""+98"", ""0"" &amp; RIGHT(converted, LEN(converted)-3), IF(LEFT(converted,2)=""98"", ""0"" &amp; RIGHT(converted, LEN(converted)-2), IF(LEFT(converted,1)&lt;&gt;""0"", ""0"" &amp; converted, REGEXREPL"&amp;"ACE(converted , ""\s"", """")) ) ) ) )"),"09129404655")</f>
        <v>09129404655</v>
      </c>
      <c r="E1292" s="196" t="s">
        <v>17</v>
      </c>
      <c r="F1292" s="197">
        <v>10.0</v>
      </c>
      <c r="G1292" s="193"/>
      <c r="H1292" s="193"/>
      <c r="I1292" s="194"/>
      <c r="J1292" s="194"/>
      <c r="K1292" s="199" t="s">
        <v>1071</v>
      </c>
      <c r="L1292" s="199" t="s">
        <v>5819</v>
      </c>
      <c r="M1292" s="199"/>
      <c r="N1292" s="199"/>
      <c r="O1292" s="193"/>
      <c r="P1292" s="193"/>
      <c r="Q1292" s="200"/>
      <c r="R1292" s="86"/>
      <c r="S1292" s="114">
        <f t="shared" ref="S1292:T1292" si="1293">A1292</f>
        <v>1292</v>
      </c>
      <c r="T1292" s="114" t="str">
        <f t="shared" si="1293"/>
        <v>سحر میر موسی</v>
      </c>
      <c r="U1292" s="86" t="str">
        <f t="shared" si="3"/>
        <v>09129404655</v>
      </c>
      <c r="V1292" s="86" t="str">
        <f t="shared" si="4"/>
        <v>پیش‌وایی 10</v>
      </c>
      <c r="W1292" s="86"/>
      <c r="X1292" s="86"/>
    </row>
    <row r="1293">
      <c r="A1293" s="201">
        <v>1293.0</v>
      </c>
      <c r="B1293" s="202" t="s">
        <v>5820</v>
      </c>
      <c r="C1293" s="203" t="s">
        <v>5821</v>
      </c>
      <c r="D1293" s="204" t="str">
        <f>IFERROR(__xludf.DUMMYFUNCTION("ARRAYFORMULA(LET( converted, SUBSTITUTE( SUBSTITUTE( SUBSTITUTE( SUBSTITUTE( SUBSTITUTE( SUBSTITUTE( SUBSTITUTE( SUBSTITUTE( SUBSTITUTE( SUBSTITUTE( C1293, ""۰"", ""0""), ""۱"", ""1""), ""۲"", ""2""), ""۳"", ""3""), ""۴"", ""4""), ""۵"", ""5""), ""۶"", """&amp;"6""), ""۷"", ""7""), ""۸"", ""8""), ""۹"", ""9""), IF(LEFT(converted,3)=""+98"", ""0"" &amp; RIGHT(converted, LEN(converted)-3), IF(LEFT(converted,2)=""98"", ""0"" &amp; RIGHT(converted, LEN(converted)-2), IF(LEFT(converted,1)&lt;&gt;""0"", ""0"" &amp; converted, REGEXREPL"&amp;"ACE(converted , ""\s"", """")) ) ) ) )"),"09131081961")</f>
        <v>09131081961</v>
      </c>
      <c r="E1293" s="205" t="s">
        <v>17</v>
      </c>
      <c r="F1293" s="206">
        <v>10.0</v>
      </c>
      <c r="G1293" s="202"/>
      <c r="H1293" s="202"/>
      <c r="I1293" s="203"/>
      <c r="J1293" s="203"/>
      <c r="K1293" s="207" t="s">
        <v>758</v>
      </c>
      <c r="L1293" s="207" t="s">
        <v>223</v>
      </c>
      <c r="M1293" s="207"/>
      <c r="N1293" s="207"/>
      <c r="O1293" s="202"/>
      <c r="P1293" s="202"/>
      <c r="Q1293" s="208"/>
      <c r="R1293" s="86"/>
      <c r="S1293" s="114">
        <f t="shared" ref="S1293:T1293" si="1294">A1293</f>
        <v>1293</v>
      </c>
      <c r="T1293" s="114" t="str">
        <f t="shared" si="1294"/>
        <v>سعید کبیری</v>
      </c>
      <c r="U1293" s="86" t="str">
        <f t="shared" si="3"/>
        <v>09131081961</v>
      </c>
      <c r="V1293" s="86" t="str">
        <f t="shared" si="4"/>
        <v>پیش‌وایی 10</v>
      </c>
      <c r="W1293" s="86"/>
      <c r="X1293" s="86"/>
    </row>
    <row r="1294">
      <c r="A1294" s="192">
        <v>1294.0</v>
      </c>
      <c r="B1294" s="193" t="s">
        <v>5822</v>
      </c>
      <c r="C1294" s="194" t="s">
        <v>5823</v>
      </c>
      <c r="D1294" s="195" t="str">
        <f>IFERROR(__xludf.DUMMYFUNCTION("ARRAYFORMULA(LET( converted, SUBSTITUTE( SUBSTITUTE( SUBSTITUTE( SUBSTITUTE( SUBSTITUTE( SUBSTITUTE( SUBSTITUTE( SUBSTITUTE( SUBSTITUTE( SUBSTITUTE( C1294, ""۰"", ""0""), ""۱"", ""1""), ""۲"", ""2""), ""۳"", ""3""), ""۴"", ""4""), ""۵"", ""5""), ""۶"", """&amp;"6""), ""۷"", ""7""), ""۸"", ""8""), ""۹"", ""9""), IF(LEFT(converted,3)=""+98"", ""0"" &amp; RIGHT(converted, LEN(converted)-3), IF(LEFT(converted,2)=""98"", ""0"" &amp; RIGHT(converted, LEN(converted)-2), IF(LEFT(converted,1)&lt;&gt;""0"", ""0"" &amp; converted, REGEXREPL"&amp;"ACE(converted , ""\s"", """")) ) ) ) )"),"09123857801")</f>
        <v>09123857801</v>
      </c>
      <c r="E1294" s="196" t="s">
        <v>17</v>
      </c>
      <c r="F1294" s="197">
        <v>10.0</v>
      </c>
      <c r="G1294" s="193"/>
      <c r="H1294" s="193"/>
      <c r="I1294" s="194"/>
      <c r="J1294" s="194"/>
      <c r="K1294" s="199" t="s">
        <v>758</v>
      </c>
      <c r="L1294" s="199" t="s">
        <v>2201</v>
      </c>
      <c r="M1294" s="199"/>
      <c r="N1294" s="199"/>
      <c r="O1294" s="193"/>
      <c r="P1294" s="193"/>
      <c r="Q1294" s="200"/>
      <c r="R1294" s="86"/>
      <c r="S1294" s="114">
        <f t="shared" ref="S1294:T1294" si="1295">A1294</f>
        <v>1294</v>
      </c>
      <c r="T1294" s="114" t="str">
        <f t="shared" si="1295"/>
        <v>سعید هاشمی</v>
      </c>
      <c r="U1294" s="86" t="str">
        <f t="shared" si="3"/>
        <v>09123857801</v>
      </c>
      <c r="V1294" s="86" t="str">
        <f t="shared" si="4"/>
        <v>پیش‌وایی 10</v>
      </c>
      <c r="W1294" s="86"/>
      <c r="X1294" s="86"/>
    </row>
    <row r="1295">
      <c r="A1295" s="201">
        <v>1295.0</v>
      </c>
      <c r="B1295" s="202" t="s">
        <v>5824</v>
      </c>
      <c r="C1295" s="203" t="s">
        <v>5825</v>
      </c>
      <c r="D1295" s="204" t="str">
        <f>IFERROR(__xludf.DUMMYFUNCTION("ARRAYFORMULA(LET( converted, SUBSTITUTE( SUBSTITUTE( SUBSTITUTE( SUBSTITUTE( SUBSTITUTE( SUBSTITUTE( SUBSTITUTE( SUBSTITUTE( SUBSTITUTE( SUBSTITUTE( C1295, ""۰"", ""0""), ""۱"", ""1""), ""۲"", ""2""), ""۳"", ""3""), ""۴"", ""4""), ""۵"", ""5""), ""۶"", """&amp;"6""), ""۷"", ""7""), ""۸"", ""8""), ""۹"", ""9""), IF(LEFT(converted,3)=""+98"", ""0"" &amp; RIGHT(converted, LEN(converted)-3), IF(LEFT(converted,2)=""98"", ""0"" &amp; RIGHT(converted, LEN(converted)-2), IF(LEFT(converted,1)&lt;&gt;""0"", ""0"" &amp; converted, REGEXREPL"&amp;"ACE(converted , ""\s"", """")) ) ) ) )"),"09128549022")</f>
        <v>09128549022</v>
      </c>
      <c r="E1295" s="205" t="s">
        <v>17</v>
      </c>
      <c r="F1295" s="206">
        <v>10.0</v>
      </c>
      <c r="G1295" s="202"/>
      <c r="H1295" s="202"/>
      <c r="I1295" s="203"/>
      <c r="J1295" s="203"/>
      <c r="K1295" s="207" t="s">
        <v>3523</v>
      </c>
      <c r="L1295" s="207" t="s">
        <v>2573</v>
      </c>
      <c r="M1295" s="207"/>
      <c r="N1295" s="207"/>
      <c r="O1295" s="202"/>
      <c r="P1295" s="202"/>
      <c r="Q1295" s="208"/>
      <c r="R1295" s="86"/>
      <c r="S1295" s="114">
        <f t="shared" ref="S1295:T1295" si="1296">A1295</f>
        <v>1295</v>
      </c>
      <c r="T1295" s="114" t="str">
        <f t="shared" si="1296"/>
        <v>سعیده جعفری</v>
      </c>
      <c r="U1295" s="86" t="str">
        <f t="shared" si="3"/>
        <v>09128549022</v>
      </c>
      <c r="V1295" s="86" t="str">
        <f t="shared" si="4"/>
        <v>پیش‌وایی 10</v>
      </c>
      <c r="W1295" s="86"/>
      <c r="X1295" s="86"/>
    </row>
    <row r="1296">
      <c r="A1296" s="192">
        <v>1296.0</v>
      </c>
      <c r="B1296" s="193" t="s">
        <v>1608</v>
      </c>
      <c r="C1296" s="194" t="s">
        <v>1609</v>
      </c>
      <c r="D1296" s="195" t="str">
        <f>IFERROR(__xludf.DUMMYFUNCTION("ARRAYFORMULA(LET( converted, SUBSTITUTE( SUBSTITUTE( SUBSTITUTE( SUBSTITUTE( SUBSTITUTE( SUBSTITUTE( SUBSTITUTE( SUBSTITUTE( SUBSTITUTE( SUBSTITUTE( C1296, ""۰"", ""0""), ""۱"", ""1""), ""۲"", ""2""), ""۳"", ""3""), ""۴"", ""4""), ""۵"", ""5""), ""۶"", """&amp;"6""), ""۷"", ""7""), ""۸"", ""8""), ""۹"", ""9""), IF(LEFT(converted,3)=""+98"", ""0"" &amp; RIGHT(converted, LEN(converted)-3), IF(LEFT(converted,2)=""98"", ""0"" &amp; RIGHT(converted, LEN(converted)-2), IF(LEFT(converted,1)&lt;&gt;""0"", ""0"" &amp; converted, REGEXREPL"&amp;"ACE(converted , ""\s"", """")) ) ) ) )"),"09123049318")</f>
        <v>09123049318</v>
      </c>
      <c r="E1296" s="196" t="s">
        <v>17</v>
      </c>
      <c r="F1296" s="197">
        <v>10.0</v>
      </c>
      <c r="G1296" s="193"/>
      <c r="H1296" s="193"/>
      <c r="I1296" s="194"/>
      <c r="J1296" s="194"/>
      <c r="K1296" s="199" t="s">
        <v>1576</v>
      </c>
      <c r="L1296" s="199" t="s">
        <v>1612</v>
      </c>
      <c r="M1296" s="199"/>
      <c r="N1296" s="199"/>
      <c r="O1296" s="193"/>
      <c r="P1296" s="193"/>
      <c r="Q1296" s="200"/>
      <c r="R1296" s="86"/>
      <c r="S1296" s="114">
        <f t="shared" ref="S1296:T1296" si="1297">A1296</f>
        <v>1296</v>
      </c>
      <c r="T1296" s="114" t="str">
        <f t="shared" si="1297"/>
        <v>سمانه ایوبی</v>
      </c>
      <c r="U1296" s="86" t="str">
        <f t="shared" si="3"/>
        <v>09123049318</v>
      </c>
      <c r="V1296" s="86" t="str">
        <f t="shared" si="4"/>
        <v>پیش‌وایی 10</v>
      </c>
      <c r="W1296" s="86"/>
      <c r="X1296" s="86"/>
    </row>
    <row r="1297">
      <c r="A1297" s="201">
        <v>1297.0</v>
      </c>
      <c r="B1297" s="202" t="s">
        <v>5826</v>
      </c>
      <c r="C1297" s="203" t="s">
        <v>5827</v>
      </c>
      <c r="D1297" s="204" t="str">
        <f>IFERROR(__xludf.DUMMYFUNCTION("ARRAYFORMULA(LET( converted, SUBSTITUTE( SUBSTITUTE( SUBSTITUTE( SUBSTITUTE( SUBSTITUTE( SUBSTITUTE( SUBSTITUTE( SUBSTITUTE( SUBSTITUTE( SUBSTITUTE( C1297, ""۰"", ""0""), ""۱"", ""1""), ""۲"", ""2""), ""۳"", ""3""), ""۴"", ""4""), ""۵"", ""5""), ""۶"", """&amp;"6""), ""۷"", ""7""), ""۸"", ""8""), ""۹"", ""9""), IF(LEFT(converted,3)=""+98"", ""0"" &amp; RIGHT(converted, LEN(converted)-3), IF(LEFT(converted,2)=""98"", ""0"" &amp; RIGHT(converted, LEN(converted)-2), IF(LEFT(converted,1)&lt;&gt;""0"", ""0"" &amp; converted, REGEXREPL"&amp;"ACE(converted , ""\s"", """")) ) ) ) )"),"09123370623")</f>
        <v>09123370623</v>
      </c>
      <c r="E1297" s="205" t="s">
        <v>17</v>
      </c>
      <c r="F1297" s="206">
        <v>10.0</v>
      </c>
      <c r="G1297" s="202"/>
      <c r="H1297" s="202"/>
      <c r="I1297" s="203"/>
      <c r="J1297" s="203"/>
      <c r="K1297" s="207" t="s">
        <v>1810</v>
      </c>
      <c r="L1297" s="207" t="s">
        <v>5828</v>
      </c>
      <c r="M1297" s="207"/>
      <c r="N1297" s="207"/>
      <c r="O1297" s="202"/>
      <c r="P1297" s="202"/>
      <c r="Q1297" s="208"/>
      <c r="R1297" s="86"/>
      <c r="S1297" s="114">
        <f t="shared" ref="S1297:T1297" si="1298">A1297</f>
        <v>1297</v>
      </c>
      <c r="T1297" s="114" t="str">
        <f t="shared" si="1298"/>
        <v>سمیه مرادلو</v>
      </c>
      <c r="U1297" s="86" t="str">
        <f t="shared" si="3"/>
        <v>09123370623</v>
      </c>
      <c r="V1297" s="86" t="str">
        <f t="shared" si="4"/>
        <v>پیش‌وایی 10</v>
      </c>
      <c r="W1297" s="86"/>
      <c r="X1297" s="86"/>
    </row>
    <row r="1298">
      <c r="A1298" s="192">
        <v>1298.0</v>
      </c>
      <c r="B1298" s="193" t="s">
        <v>5829</v>
      </c>
      <c r="C1298" s="194" t="s">
        <v>5830</v>
      </c>
      <c r="D1298" s="195" t="str">
        <f>IFERROR(__xludf.DUMMYFUNCTION("ARRAYFORMULA(LET( converted, SUBSTITUTE( SUBSTITUTE( SUBSTITUTE( SUBSTITUTE( SUBSTITUTE( SUBSTITUTE( SUBSTITUTE( SUBSTITUTE( SUBSTITUTE( SUBSTITUTE( C1298, ""۰"", ""0""), ""۱"", ""1""), ""۲"", ""2""), ""۳"", ""3""), ""۴"", ""4""), ""۵"", ""5""), ""۶"", """&amp;"6""), ""۷"", ""7""), ""۸"", ""8""), ""۹"", ""9""), IF(LEFT(converted,3)=""+98"", ""0"" &amp; RIGHT(converted, LEN(converted)-3), IF(LEFT(converted,2)=""98"", ""0"" &amp; RIGHT(converted, LEN(converted)-2), IF(LEFT(converted,1)&lt;&gt;""0"", ""0"" &amp; converted, REGEXREPL"&amp;"ACE(converted , ""\s"", """")) ) ) ) )"),"09158783325")</f>
        <v>09158783325</v>
      </c>
      <c r="E1298" s="196" t="s">
        <v>17</v>
      </c>
      <c r="F1298" s="197">
        <v>10.0</v>
      </c>
      <c r="G1298" s="193"/>
      <c r="H1298" s="193"/>
      <c r="I1298" s="194"/>
      <c r="J1298" s="194"/>
      <c r="K1298" s="199" t="s">
        <v>5831</v>
      </c>
      <c r="L1298" s="199" t="s">
        <v>5832</v>
      </c>
      <c r="M1298" s="199"/>
      <c r="N1298" s="199"/>
      <c r="O1298" s="193"/>
      <c r="P1298" s="193"/>
      <c r="Q1298" s="200"/>
      <c r="R1298" s="86"/>
      <c r="S1298" s="114">
        <f t="shared" ref="S1298:T1298" si="1299">A1298</f>
        <v>1298</v>
      </c>
      <c r="T1298" s="114" t="str">
        <f t="shared" si="1299"/>
        <v>سید ستار الرضا نوعی</v>
      </c>
      <c r="U1298" s="86" t="str">
        <f t="shared" si="3"/>
        <v>09158783325</v>
      </c>
      <c r="V1298" s="86" t="str">
        <f t="shared" si="4"/>
        <v>پیش‌وایی 10</v>
      </c>
      <c r="W1298" s="86"/>
      <c r="X1298" s="86"/>
    </row>
    <row r="1299">
      <c r="A1299" s="201">
        <v>1299.0</v>
      </c>
      <c r="B1299" s="202" t="s">
        <v>5833</v>
      </c>
      <c r="C1299" s="203" t="s">
        <v>5834</v>
      </c>
      <c r="D1299" s="204" t="str">
        <f>IFERROR(__xludf.DUMMYFUNCTION("ARRAYFORMULA(LET( converted, SUBSTITUTE( SUBSTITUTE( SUBSTITUTE( SUBSTITUTE( SUBSTITUTE( SUBSTITUTE( SUBSTITUTE( SUBSTITUTE( SUBSTITUTE( SUBSTITUTE( C1299, ""۰"", ""0""), ""۱"", ""1""), ""۲"", ""2""), ""۳"", ""3""), ""۴"", ""4""), ""۵"", ""5""), ""۶"", """&amp;"6""), ""۷"", ""7""), ""۸"", ""8""), ""۹"", ""9""), IF(LEFT(converted,3)=""+98"", ""0"" &amp; RIGHT(converted, LEN(converted)-3), IF(LEFT(converted,2)=""98"", ""0"" &amp; RIGHT(converted, LEN(converted)-2), IF(LEFT(converted,1)&lt;&gt;""0"", ""0"" &amp; converted, REGEXREPL"&amp;"ACE(converted , ""\s"", """")) ) ) ) )"),"09358646096")</f>
        <v>09358646096</v>
      </c>
      <c r="E1299" s="205" t="s">
        <v>17</v>
      </c>
      <c r="F1299" s="206">
        <v>10.0</v>
      </c>
      <c r="G1299" s="202"/>
      <c r="H1299" s="202"/>
      <c r="I1299" s="203"/>
      <c r="J1299" s="203"/>
      <c r="K1299" s="207" t="s">
        <v>5364</v>
      </c>
      <c r="L1299" s="207" t="s">
        <v>5835</v>
      </c>
      <c r="M1299" s="207"/>
      <c r="N1299" s="207"/>
      <c r="O1299" s="202"/>
      <c r="P1299" s="202"/>
      <c r="Q1299" s="208"/>
      <c r="R1299" s="86"/>
      <c r="S1299" s="114">
        <f t="shared" ref="S1299:T1299" si="1300">A1299</f>
        <v>1299</v>
      </c>
      <c r="T1299" s="114" t="str">
        <f t="shared" si="1300"/>
        <v>سیدحسین میرسعیدی</v>
      </c>
      <c r="U1299" s="86" t="str">
        <f t="shared" si="3"/>
        <v>09358646096</v>
      </c>
      <c r="V1299" s="86" t="str">
        <f t="shared" si="4"/>
        <v>پیش‌وایی 10</v>
      </c>
      <c r="W1299" s="86"/>
      <c r="X1299" s="86"/>
    </row>
    <row r="1300">
      <c r="A1300" s="192">
        <v>1300.0</v>
      </c>
      <c r="B1300" s="193" t="s">
        <v>5836</v>
      </c>
      <c r="C1300" s="194" t="s">
        <v>309</v>
      </c>
      <c r="D1300" s="195" t="str">
        <f>IFERROR(__xludf.DUMMYFUNCTION("ARRAYFORMULA(LET( converted, SUBSTITUTE( SUBSTITUTE( SUBSTITUTE( SUBSTITUTE( SUBSTITUTE( SUBSTITUTE( SUBSTITUTE( SUBSTITUTE( SUBSTITUTE( SUBSTITUTE( C1300, ""۰"", ""0""), ""۱"", ""1""), ""۲"", ""2""), ""۳"", ""3""), ""۴"", ""4""), ""۵"", ""5""), ""۶"", """&amp;"6""), ""۷"", ""7""), ""۸"", ""8""), ""۹"", ""9""), IF(LEFT(converted,3)=""+98"", ""0"" &amp; RIGHT(converted, LEN(converted)-3), IF(LEFT(converted,2)=""98"", ""0"" &amp; RIGHT(converted, LEN(converted)-2), IF(LEFT(converted,1)&lt;&gt;""0"", ""0"" &amp; converted, REGEXREPL"&amp;"ACE(converted , ""\s"", """")) ) ) ) )"),"09155583008")</f>
        <v>09155583008</v>
      </c>
      <c r="E1300" s="196" t="s">
        <v>17</v>
      </c>
      <c r="F1300" s="197">
        <v>10.0</v>
      </c>
      <c r="G1300" s="193"/>
      <c r="H1300" s="193"/>
      <c r="I1300" s="194"/>
      <c r="J1300" s="194"/>
      <c r="K1300" s="199" t="s">
        <v>4572</v>
      </c>
      <c r="L1300" s="199" t="s">
        <v>5837</v>
      </c>
      <c r="M1300" s="199"/>
      <c r="N1300" s="199"/>
      <c r="O1300" s="193"/>
      <c r="P1300" s="193"/>
      <c r="Q1300" s="200"/>
      <c r="R1300" s="86"/>
      <c r="S1300" s="114">
        <f t="shared" ref="S1300:T1300" si="1301">A1300</f>
        <v>1300</v>
      </c>
      <c r="T1300" s="114" t="str">
        <f t="shared" si="1301"/>
        <v>سیدمحمدرضا موسوی نسب</v>
      </c>
      <c r="U1300" s="86" t="str">
        <f t="shared" si="3"/>
        <v>09155583008</v>
      </c>
      <c r="V1300" s="86" t="str">
        <f t="shared" si="4"/>
        <v>پیش‌وایی 10</v>
      </c>
      <c r="W1300" s="86"/>
      <c r="X1300" s="86"/>
    </row>
    <row r="1301">
      <c r="A1301" s="201">
        <v>1301.0</v>
      </c>
      <c r="B1301" s="202" t="s">
        <v>5838</v>
      </c>
      <c r="C1301" s="203" t="s">
        <v>5839</v>
      </c>
      <c r="D1301" s="204" t="str">
        <f>IFERROR(__xludf.DUMMYFUNCTION("ARRAYFORMULA(LET( converted, SUBSTITUTE( SUBSTITUTE( SUBSTITUTE( SUBSTITUTE( SUBSTITUTE( SUBSTITUTE( SUBSTITUTE( SUBSTITUTE( SUBSTITUTE( SUBSTITUTE( C1301, ""۰"", ""0""), ""۱"", ""1""), ""۲"", ""2""), ""۳"", ""3""), ""۴"", ""4""), ""۵"", ""5""), ""۶"", """&amp;"6""), ""۷"", ""7""), ""۸"", ""8""), ""۹"", ""9""), IF(LEFT(converted,3)=""+98"", ""0"" &amp; RIGHT(converted, LEN(converted)-3), IF(LEFT(converted,2)=""98"", ""0"" &amp; RIGHT(converted, LEN(converted)-2), IF(LEFT(converted,1)&lt;&gt;""0"", ""0"" &amp; converted, REGEXREPL"&amp;"ACE(converted , ""\s"", """")) ) ) ) )"),"09127186540")</f>
        <v>09127186540</v>
      </c>
      <c r="E1301" s="205" t="s">
        <v>17</v>
      </c>
      <c r="F1301" s="206">
        <v>10.0</v>
      </c>
      <c r="G1301" s="202"/>
      <c r="H1301" s="202"/>
      <c r="I1301" s="203"/>
      <c r="J1301" s="203"/>
      <c r="K1301" s="207" t="s">
        <v>5412</v>
      </c>
      <c r="L1301" s="207" t="s">
        <v>5840</v>
      </c>
      <c r="M1301" s="207"/>
      <c r="N1301" s="207"/>
      <c r="O1301" s="202"/>
      <c r="P1301" s="202"/>
      <c r="Q1301" s="208"/>
      <c r="R1301" s="86"/>
      <c r="S1301" s="114">
        <f t="shared" ref="S1301:T1301" si="1302">A1301</f>
        <v>1301</v>
      </c>
      <c r="T1301" s="114" t="str">
        <f t="shared" si="1302"/>
        <v>سیدمهدی اعتمادی</v>
      </c>
      <c r="U1301" s="86" t="str">
        <f t="shared" si="3"/>
        <v>09127186540</v>
      </c>
      <c r="V1301" s="86" t="str">
        <f t="shared" si="4"/>
        <v>پیش‌وایی 10</v>
      </c>
      <c r="W1301" s="86"/>
      <c r="X1301" s="86"/>
    </row>
    <row r="1302">
      <c r="A1302" s="192">
        <v>1302.0</v>
      </c>
      <c r="B1302" s="193" t="s">
        <v>5841</v>
      </c>
      <c r="C1302" s="194" t="s">
        <v>5842</v>
      </c>
      <c r="D1302" s="195" t="str">
        <f>IFERROR(__xludf.DUMMYFUNCTION("ARRAYFORMULA(LET( converted, SUBSTITUTE( SUBSTITUTE( SUBSTITUTE( SUBSTITUTE( SUBSTITUTE( SUBSTITUTE( SUBSTITUTE( SUBSTITUTE( SUBSTITUTE( SUBSTITUTE( C1302, ""۰"", ""0""), ""۱"", ""1""), ""۲"", ""2""), ""۳"", ""3""), ""۴"", ""4""), ""۵"", ""5""), ""۶"", """&amp;"6""), ""۷"", ""7""), ""۸"", ""8""), ""۹"", ""9""), IF(LEFT(converted,3)=""+98"", ""0"" &amp; RIGHT(converted, LEN(converted)-3), IF(LEFT(converted,2)=""98"", ""0"" &amp; RIGHT(converted, LEN(converted)-2), IF(LEFT(converted,1)&lt;&gt;""0"", ""0"" &amp; converted, REGEXREPL"&amp;"ACE(converted , ""\s"", """")) ) ) ) )"),"09122356326")</f>
        <v>09122356326</v>
      </c>
      <c r="E1302" s="196" t="s">
        <v>17</v>
      </c>
      <c r="F1302" s="197">
        <v>10.0</v>
      </c>
      <c r="G1302" s="193"/>
      <c r="H1302" s="193"/>
      <c r="I1302" s="194"/>
      <c r="J1302" s="194"/>
      <c r="K1302" s="199" t="s">
        <v>1120</v>
      </c>
      <c r="L1302" s="199" t="s">
        <v>5843</v>
      </c>
      <c r="M1302" s="199"/>
      <c r="N1302" s="199"/>
      <c r="O1302" s="193"/>
      <c r="P1302" s="193"/>
      <c r="Q1302" s="200"/>
      <c r="R1302" s="86"/>
      <c r="S1302" s="114">
        <f t="shared" ref="S1302:T1302" si="1303">A1302</f>
        <v>1302</v>
      </c>
      <c r="T1302" s="114" t="str">
        <f t="shared" si="1303"/>
        <v>شراره عزیزوند</v>
      </c>
      <c r="U1302" s="86" t="str">
        <f t="shared" si="3"/>
        <v>09122356326</v>
      </c>
      <c r="V1302" s="86" t="str">
        <f t="shared" si="4"/>
        <v>پیش‌وایی 10</v>
      </c>
      <c r="W1302" s="86"/>
      <c r="X1302" s="86"/>
    </row>
    <row r="1303">
      <c r="A1303" s="201">
        <v>1303.0</v>
      </c>
      <c r="B1303" s="202" t="s">
        <v>1823</v>
      </c>
      <c r="C1303" s="203" t="s">
        <v>5844</v>
      </c>
      <c r="D1303" s="204" t="str">
        <f>IFERROR(__xludf.DUMMYFUNCTION("ARRAYFORMULA(LET( converted, SUBSTITUTE( SUBSTITUTE( SUBSTITUTE( SUBSTITUTE( SUBSTITUTE( SUBSTITUTE( SUBSTITUTE( SUBSTITUTE( SUBSTITUTE( SUBSTITUTE( C1303, ""۰"", ""0""), ""۱"", ""1""), ""۲"", ""2""), ""۳"", ""3""), ""۴"", ""4""), ""۵"", ""5""), ""۶"", """&amp;"6""), ""۷"", ""7""), ""۸"", ""8""), ""۹"", ""9""), IF(LEFT(converted,3)=""+98"", ""0"" &amp; RIGHT(converted, LEN(converted)-3), IF(LEFT(converted,2)=""98"", ""0"" &amp; RIGHT(converted, LEN(converted)-2), IF(LEFT(converted,1)&lt;&gt;""0"", ""0"" &amp; converted, REGEXREPL"&amp;"ACE(converted , ""\s"", """")) ) ) ) )"),"09127812885")</f>
        <v>09127812885</v>
      </c>
      <c r="E1303" s="205" t="s">
        <v>17</v>
      </c>
      <c r="F1303" s="206">
        <v>10.0</v>
      </c>
      <c r="G1303" s="202"/>
      <c r="H1303" s="202"/>
      <c r="I1303" s="203"/>
      <c r="J1303" s="203"/>
      <c r="K1303" s="207" t="s">
        <v>1018</v>
      </c>
      <c r="L1303" s="207" t="s">
        <v>1826</v>
      </c>
      <c r="M1303" s="207"/>
      <c r="N1303" s="207"/>
      <c r="O1303" s="202"/>
      <c r="P1303" s="202"/>
      <c r="Q1303" s="208"/>
      <c r="R1303" s="86"/>
      <c r="S1303" s="114">
        <f t="shared" ref="S1303:T1303" si="1304">A1303</f>
        <v>1303</v>
      </c>
      <c r="T1303" s="114" t="str">
        <f t="shared" si="1304"/>
        <v>علی حاجی محمدی</v>
      </c>
      <c r="U1303" s="86" t="str">
        <f t="shared" si="3"/>
        <v>09127812885</v>
      </c>
      <c r="V1303" s="86" t="str">
        <f t="shared" si="4"/>
        <v>پیش‌وایی 10</v>
      </c>
      <c r="W1303" s="86"/>
      <c r="X1303" s="86"/>
    </row>
    <row r="1304">
      <c r="A1304" s="192">
        <v>1304.0</v>
      </c>
      <c r="B1304" s="193" t="s">
        <v>5845</v>
      </c>
      <c r="C1304" s="194" t="s">
        <v>5846</v>
      </c>
      <c r="D1304" s="195" t="str">
        <f>IFERROR(__xludf.DUMMYFUNCTION("ARRAYFORMULA(LET( converted, SUBSTITUTE( SUBSTITUTE( SUBSTITUTE( SUBSTITUTE( SUBSTITUTE( SUBSTITUTE( SUBSTITUTE( SUBSTITUTE( SUBSTITUTE( SUBSTITUTE( C1304, ""۰"", ""0""), ""۱"", ""1""), ""۲"", ""2""), ""۳"", ""3""), ""۴"", ""4""), ""۵"", ""5""), ""۶"", """&amp;"6""), ""۷"", ""7""), ""۸"", ""8""), ""۹"", ""9""), IF(LEFT(converted,3)=""+98"", ""0"" &amp; RIGHT(converted, LEN(converted)-3), IF(LEFT(converted,2)=""98"", ""0"" &amp; RIGHT(converted, LEN(converted)-2), IF(LEFT(converted,1)&lt;&gt;""0"", ""0"" &amp; converted, REGEXREPL"&amp;"ACE(converted , ""\s"", """")) ) ) ) )"),"09131138622")</f>
        <v>09131138622</v>
      </c>
      <c r="E1304" s="196" t="s">
        <v>17</v>
      </c>
      <c r="F1304" s="197">
        <v>10.0</v>
      </c>
      <c r="G1304" s="193"/>
      <c r="H1304" s="193"/>
      <c r="I1304" s="194"/>
      <c r="J1304" s="194"/>
      <c r="K1304" s="199" t="s">
        <v>5847</v>
      </c>
      <c r="L1304" s="199" t="s">
        <v>5848</v>
      </c>
      <c r="M1304" s="199"/>
      <c r="N1304" s="199"/>
      <c r="O1304" s="193"/>
      <c r="P1304" s="193"/>
      <c r="Q1304" s="200"/>
      <c r="R1304" s="86"/>
      <c r="S1304" s="114">
        <f t="shared" ref="S1304:T1304" si="1305">A1304</f>
        <v>1304</v>
      </c>
      <c r="T1304" s="114" t="str">
        <f t="shared" si="1305"/>
        <v>شهریار عندلیب</v>
      </c>
      <c r="U1304" s="86" t="str">
        <f t="shared" si="3"/>
        <v>09131138622</v>
      </c>
      <c r="V1304" s="86" t="str">
        <f t="shared" si="4"/>
        <v>پیش‌وایی 10</v>
      </c>
      <c r="W1304" s="86"/>
      <c r="X1304" s="86"/>
    </row>
    <row r="1305">
      <c r="A1305" s="201">
        <v>1305.0</v>
      </c>
      <c r="B1305" s="202" t="s">
        <v>5849</v>
      </c>
      <c r="C1305" s="203" t="s">
        <v>5850</v>
      </c>
      <c r="D1305" s="204" t="str">
        <f>IFERROR(__xludf.DUMMYFUNCTION("ARRAYFORMULA(LET( converted, SUBSTITUTE( SUBSTITUTE( SUBSTITUTE( SUBSTITUTE( SUBSTITUTE( SUBSTITUTE( SUBSTITUTE( SUBSTITUTE( SUBSTITUTE( SUBSTITUTE( C1305, ""۰"", ""0""), ""۱"", ""1""), ""۲"", ""2""), ""۳"", ""3""), ""۴"", ""4""), ""۵"", ""5""), ""۶"", """&amp;"6""), ""۷"", ""7""), ""۸"", ""8""), ""۹"", ""9""), IF(LEFT(converted,3)=""+98"", ""0"" &amp; RIGHT(converted, LEN(converted)-3), IF(LEFT(converted,2)=""98"", ""0"" &amp; RIGHT(converted, LEN(converted)-2), IF(LEFT(converted,1)&lt;&gt;""0"", ""0"" &amp; converted, REGEXREPL"&amp;"ACE(converted , ""\s"", """")) ) ) ) )"),"09120665671")</f>
        <v>09120665671</v>
      </c>
      <c r="E1305" s="205" t="s">
        <v>17</v>
      </c>
      <c r="F1305" s="206">
        <v>10.0</v>
      </c>
      <c r="G1305" s="202"/>
      <c r="H1305" s="202"/>
      <c r="I1305" s="203"/>
      <c r="J1305" s="203"/>
      <c r="K1305" s="207" t="s">
        <v>5851</v>
      </c>
      <c r="L1305" s="207" t="s">
        <v>5852</v>
      </c>
      <c r="M1305" s="207"/>
      <c r="N1305" s="207"/>
      <c r="O1305" s="202"/>
      <c r="P1305" s="202"/>
      <c r="Q1305" s="208"/>
      <c r="R1305" s="86"/>
      <c r="S1305" s="114">
        <f t="shared" ref="S1305:T1305" si="1306">A1305</f>
        <v>1305</v>
      </c>
      <c r="T1305" s="114" t="str">
        <f t="shared" si="1306"/>
        <v>صدرالدین عسگراولادی</v>
      </c>
      <c r="U1305" s="86" t="str">
        <f t="shared" si="3"/>
        <v>09120665671</v>
      </c>
      <c r="V1305" s="86" t="str">
        <f t="shared" si="4"/>
        <v>پیش‌وایی 10</v>
      </c>
      <c r="W1305" s="86"/>
      <c r="X1305" s="86"/>
    </row>
    <row r="1306">
      <c r="A1306" s="192">
        <v>1306.0</v>
      </c>
      <c r="B1306" s="193" t="s">
        <v>5853</v>
      </c>
      <c r="C1306" s="194" t="s">
        <v>5854</v>
      </c>
      <c r="D1306" s="195" t="str">
        <f>IFERROR(__xludf.DUMMYFUNCTION("ARRAYFORMULA(LET( converted, SUBSTITUTE( SUBSTITUTE( SUBSTITUTE( SUBSTITUTE( SUBSTITUTE( SUBSTITUTE( SUBSTITUTE( SUBSTITUTE( SUBSTITUTE( SUBSTITUTE( C1306, ""۰"", ""0""), ""۱"", ""1""), ""۲"", ""2""), ""۳"", ""3""), ""۴"", ""4""), ""۵"", ""5""), ""۶"", """&amp;"6""), ""۷"", ""7""), ""۸"", ""8""), ""۹"", ""9""), IF(LEFT(converted,3)=""+98"", ""0"" &amp; RIGHT(converted, LEN(converted)-3), IF(LEFT(converted,2)=""98"", ""0"" &amp; RIGHT(converted, LEN(converted)-2), IF(LEFT(converted,1)&lt;&gt;""0"", ""0"" &amp; converted, REGEXREPL"&amp;"ACE(converted , ""\s"", """")) ) ) ) )"),"09046288828")</f>
        <v>09046288828</v>
      </c>
      <c r="E1306" s="196" t="s">
        <v>17</v>
      </c>
      <c r="F1306" s="197">
        <v>10.0</v>
      </c>
      <c r="G1306" s="193"/>
      <c r="H1306" s="193"/>
      <c r="I1306" s="194"/>
      <c r="J1306" s="194"/>
      <c r="K1306" s="199" t="s">
        <v>5855</v>
      </c>
      <c r="L1306" s="199" t="s">
        <v>4727</v>
      </c>
      <c r="M1306" s="199"/>
      <c r="N1306" s="199"/>
      <c r="O1306" s="193"/>
      <c r="P1306" s="193"/>
      <c r="Q1306" s="200"/>
      <c r="R1306" s="86"/>
      <c r="S1306" s="114">
        <f t="shared" ref="S1306:T1306" si="1307">A1306</f>
        <v>1306</v>
      </c>
      <c r="T1306" s="114" t="str">
        <f t="shared" si="1307"/>
        <v>طاها کشاورز</v>
      </c>
      <c r="U1306" s="86" t="str">
        <f t="shared" si="3"/>
        <v>09046288828</v>
      </c>
      <c r="V1306" s="86" t="str">
        <f t="shared" si="4"/>
        <v>پیش‌وایی 10</v>
      </c>
      <c r="W1306" s="86"/>
      <c r="X1306" s="86"/>
    </row>
    <row r="1307">
      <c r="A1307" s="201">
        <v>1307.0</v>
      </c>
      <c r="B1307" s="202" t="s">
        <v>5371</v>
      </c>
      <c r="C1307" s="203" t="s">
        <v>5372</v>
      </c>
      <c r="D1307" s="204" t="str">
        <f>IFERROR(__xludf.DUMMYFUNCTION("ARRAYFORMULA(LET( converted, SUBSTITUTE( SUBSTITUTE( SUBSTITUTE( SUBSTITUTE( SUBSTITUTE( SUBSTITUTE( SUBSTITUTE( SUBSTITUTE( SUBSTITUTE( SUBSTITUTE( C1307, ""۰"", ""0""), ""۱"", ""1""), ""۲"", ""2""), ""۳"", ""3""), ""۴"", ""4""), ""۵"", ""5""), ""۶"", """&amp;"6""), ""۷"", ""7""), ""۸"", ""8""), ""۹"", ""9""), IF(LEFT(converted,3)=""+98"", ""0"" &amp; RIGHT(converted, LEN(converted)-3), IF(LEFT(converted,2)=""98"", ""0"" &amp; RIGHT(converted, LEN(converted)-2), IF(LEFT(converted,1)&lt;&gt;""0"", ""0"" &amp; converted, REGEXREPL"&amp;"ACE(converted , ""\s"", """")) ) ) ) )"),"09128011643")</f>
        <v>09128011643</v>
      </c>
      <c r="E1307" s="205" t="s">
        <v>17</v>
      </c>
      <c r="F1307" s="206">
        <v>10.0</v>
      </c>
      <c r="G1307" s="202"/>
      <c r="H1307" s="202"/>
      <c r="I1307" s="203"/>
      <c r="J1307" s="203"/>
      <c r="K1307" s="207" t="s">
        <v>5373</v>
      </c>
      <c r="L1307" s="207" t="s">
        <v>5374</v>
      </c>
      <c r="M1307" s="207"/>
      <c r="N1307" s="207"/>
      <c r="O1307" s="202"/>
      <c r="P1307" s="202"/>
      <c r="Q1307" s="208"/>
      <c r="R1307" s="86"/>
      <c r="S1307" s="114">
        <f t="shared" ref="S1307:T1307" si="1308">A1307</f>
        <v>1307</v>
      </c>
      <c r="T1307" s="114" t="str">
        <f t="shared" si="1308"/>
        <v>عبدالله فیض الله زاده</v>
      </c>
      <c r="U1307" s="86" t="str">
        <f t="shared" si="3"/>
        <v>09128011643</v>
      </c>
      <c r="V1307" s="86" t="str">
        <f t="shared" si="4"/>
        <v>پیش‌وایی 10</v>
      </c>
      <c r="W1307" s="86"/>
      <c r="X1307" s="86"/>
    </row>
    <row r="1308">
      <c r="A1308" s="192">
        <v>1308.0</v>
      </c>
      <c r="B1308" s="193" t="s">
        <v>5856</v>
      </c>
      <c r="C1308" s="194" t="s">
        <v>5857</v>
      </c>
      <c r="D1308" s="195" t="str">
        <f>IFERROR(__xludf.DUMMYFUNCTION("ARRAYFORMULA(LET( converted, SUBSTITUTE( SUBSTITUTE( SUBSTITUTE( SUBSTITUTE( SUBSTITUTE( SUBSTITUTE( SUBSTITUTE( SUBSTITUTE( SUBSTITUTE( SUBSTITUTE( C1308, ""۰"", ""0""), ""۱"", ""1""), ""۲"", ""2""), ""۳"", ""3""), ""۴"", ""4""), ""۵"", ""5""), ""۶"", """&amp;"6""), ""۷"", ""7""), ""۸"", ""8""), ""۹"", ""9""), IF(LEFT(converted,3)=""+98"", ""0"" &amp; RIGHT(converted, LEN(converted)-3), IF(LEFT(converted,2)=""98"", ""0"" &amp; RIGHT(converted, LEN(converted)-2), IF(LEFT(converted,1)&lt;&gt;""0"", ""0"" &amp; converted, REGEXREPL"&amp;"ACE(converted , ""\s"", """")) ) ) ) )"),"09191445429")</f>
        <v>09191445429</v>
      </c>
      <c r="E1308" s="196" t="s">
        <v>17</v>
      </c>
      <c r="F1308" s="197">
        <v>10.0</v>
      </c>
      <c r="G1308" s="193"/>
      <c r="H1308" s="193"/>
      <c r="I1308" s="194"/>
      <c r="J1308" s="194"/>
      <c r="K1308" s="199" t="s">
        <v>5373</v>
      </c>
      <c r="L1308" s="199" t="s">
        <v>330</v>
      </c>
      <c r="M1308" s="199"/>
      <c r="N1308" s="199"/>
      <c r="O1308" s="193"/>
      <c r="P1308" s="193"/>
      <c r="Q1308" s="200"/>
      <c r="R1308" s="86"/>
      <c r="S1308" s="114">
        <f t="shared" ref="S1308:T1308" si="1309">A1308</f>
        <v>1308</v>
      </c>
      <c r="T1308" s="114" t="str">
        <f t="shared" si="1309"/>
        <v>عبدالله محمودی</v>
      </c>
      <c r="U1308" s="86" t="str">
        <f t="shared" si="3"/>
        <v>09191445429</v>
      </c>
      <c r="V1308" s="86" t="str">
        <f t="shared" si="4"/>
        <v>پیش‌وایی 10</v>
      </c>
      <c r="W1308" s="86"/>
      <c r="X1308" s="86"/>
    </row>
    <row r="1309">
      <c r="A1309" s="201">
        <v>1309.0</v>
      </c>
      <c r="B1309" s="202" t="s">
        <v>5858</v>
      </c>
      <c r="C1309" s="203" t="s">
        <v>5859</v>
      </c>
      <c r="D1309" s="204" t="str">
        <f>IFERROR(__xludf.DUMMYFUNCTION("ARRAYFORMULA(LET( converted, SUBSTITUTE( SUBSTITUTE( SUBSTITUTE( SUBSTITUTE( SUBSTITUTE( SUBSTITUTE( SUBSTITUTE( SUBSTITUTE( SUBSTITUTE( SUBSTITUTE( C1309, ""۰"", ""0""), ""۱"", ""1""), ""۲"", ""2""), ""۳"", ""3""), ""۴"", ""4""), ""۵"", ""5""), ""۶"", """&amp;"6""), ""۷"", ""7""), ""۸"", ""8""), ""۹"", ""9""), IF(LEFT(converted,3)=""+98"", ""0"" &amp; RIGHT(converted, LEN(converted)-3), IF(LEFT(converted,2)=""98"", ""0"" &amp; RIGHT(converted, LEN(converted)-2), IF(LEFT(converted,1)&lt;&gt;""0"", ""0"" &amp; converted, REGEXREPL"&amp;"ACE(converted , ""\s"", """")) ) ) ) )"),"09121435900")</f>
        <v>09121435900</v>
      </c>
      <c r="E1309" s="205" t="s">
        <v>17</v>
      </c>
      <c r="F1309" s="206">
        <v>10.0</v>
      </c>
      <c r="G1309" s="202"/>
      <c r="H1309" s="202"/>
      <c r="I1309" s="203"/>
      <c r="J1309" s="203"/>
      <c r="K1309" s="207" t="s">
        <v>199</v>
      </c>
      <c r="L1309" s="207" t="s">
        <v>265</v>
      </c>
      <c r="M1309" s="207"/>
      <c r="N1309" s="207"/>
      <c r="O1309" s="202"/>
      <c r="P1309" s="202"/>
      <c r="Q1309" s="208"/>
      <c r="R1309" s="86"/>
      <c r="S1309" s="114">
        <f t="shared" ref="S1309:T1309" si="1310">A1309</f>
        <v>1309</v>
      </c>
      <c r="T1309" s="114" t="str">
        <f t="shared" si="1310"/>
        <v>عطا جداری</v>
      </c>
      <c r="U1309" s="86" t="str">
        <f t="shared" si="3"/>
        <v>09121435900</v>
      </c>
      <c r="V1309" s="86" t="str">
        <f t="shared" si="4"/>
        <v>پیش‌وایی 10</v>
      </c>
      <c r="W1309" s="86"/>
      <c r="X1309" s="86"/>
    </row>
    <row r="1310">
      <c r="A1310" s="192">
        <v>1310.0</v>
      </c>
      <c r="B1310" s="193" t="s">
        <v>5860</v>
      </c>
      <c r="C1310" s="194" t="s">
        <v>5861</v>
      </c>
      <c r="D1310" s="195" t="str">
        <f>IFERROR(__xludf.DUMMYFUNCTION("ARRAYFORMULA(LET( converted, SUBSTITUTE( SUBSTITUTE( SUBSTITUTE( SUBSTITUTE( SUBSTITUTE( SUBSTITUTE( SUBSTITUTE( SUBSTITUTE( SUBSTITUTE( SUBSTITUTE( C1310, ""۰"", ""0""), ""۱"", ""1""), ""۲"", ""2""), ""۳"", ""3""), ""۴"", ""4""), ""۵"", ""5""), ""۶"", """&amp;"6""), ""۷"", ""7""), ""۸"", ""8""), ""۹"", ""9""), IF(LEFT(converted,3)=""+98"", ""0"" &amp; RIGHT(converted, LEN(converted)-3), IF(LEFT(converted,2)=""98"", ""0"" &amp; RIGHT(converted, LEN(converted)-2), IF(LEFT(converted,1)&lt;&gt;""0"", ""0"" &amp; converted, REGEXREPL"&amp;"ACE(converted , ""\s"", """")) ) ) ) )"),"09120561757")</f>
        <v>09120561757</v>
      </c>
      <c r="E1310" s="196" t="s">
        <v>17</v>
      </c>
      <c r="F1310" s="197">
        <v>10.0</v>
      </c>
      <c r="G1310" s="193"/>
      <c r="H1310" s="193"/>
      <c r="I1310" s="194"/>
      <c r="J1310" s="194"/>
      <c r="K1310" s="199" t="s">
        <v>1018</v>
      </c>
      <c r="L1310" s="199" t="s">
        <v>5862</v>
      </c>
      <c r="M1310" s="199"/>
      <c r="N1310" s="199"/>
      <c r="O1310" s="193"/>
      <c r="P1310" s="193"/>
      <c r="Q1310" s="200"/>
      <c r="R1310" s="86"/>
      <c r="S1310" s="114">
        <f t="shared" ref="S1310:T1310" si="1311">A1310</f>
        <v>1310</v>
      </c>
      <c r="T1310" s="114" t="str">
        <f t="shared" si="1311"/>
        <v>علی آب روشن</v>
      </c>
      <c r="U1310" s="86" t="str">
        <f t="shared" si="3"/>
        <v>09120561757</v>
      </c>
      <c r="V1310" s="86" t="str">
        <f t="shared" si="4"/>
        <v>پیش‌وایی 10</v>
      </c>
      <c r="W1310" s="86"/>
      <c r="X1310" s="86"/>
    </row>
    <row r="1311">
      <c r="A1311" s="201">
        <v>1311.0</v>
      </c>
      <c r="B1311" s="202" t="s">
        <v>1878</v>
      </c>
      <c r="C1311" s="203" t="s">
        <v>1221</v>
      </c>
      <c r="D1311" s="204" t="str">
        <f>IFERROR(__xludf.DUMMYFUNCTION("ARRAYFORMULA(LET( converted, SUBSTITUTE( SUBSTITUTE( SUBSTITUTE( SUBSTITUTE( SUBSTITUTE( SUBSTITUTE( SUBSTITUTE( SUBSTITUTE( SUBSTITUTE( SUBSTITUTE( C1311, ""۰"", ""0""), ""۱"", ""1""), ""۲"", ""2""), ""۳"", ""3""), ""۴"", ""4""), ""۵"", ""5""), ""۶"", """&amp;"6""), ""۷"", ""7""), ""۸"", ""8""), ""۹"", ""9""), IF(LEFT(converted,3)=""+98"", ""0"" &amp; RIGHT(converted, LEN(converted)-3), IF(LEFT(converted,2)=""98"", ""0"" &amp; RIGHT(converted, LEN(converted)-2), IF(LEFT(converted,1)&lt;&gt;""0"", ""0"" &amp; converted, REGEXREPL"&amp;"ACE(converted , ""\s"", """")) ) ) ) )"),"09122822695")</f>
        <v>09122822695</v>
      </c>
      <c r="E1311" s="205" t="s">
        <v>17</v>
      </c>
      <c r="F1311" s="206">
        <v>10.0</v>
      </c>
      <c r="G1311" s="202"/>
      <c r="H1311" s="202"/>
      <c r="I1311" s="203"/>
      <c r="J1311" s="203"/>
      <c r="K1311" s="207" t="s">
        <v>1224</v>
      </c>
      <c r="L1311" s="207" t="s">
        <v>1225</v>
      </c>
      <c r="M1311" s="207"/>
      <c r="N1311" s="207"/>
      <c r="O1311" s="202"/>
      <c r="P1311" s="202"/>
      <c r="Q1311" s="208"/>
      <c r="R1311" s="86"/>
      <c r="S1311" s="114">
        <f t="shared" ref="S1311:T1311" si="1312">A1311</f>
        <v>1311</v>
      </c>
      <c r="T1311" s="114" t="str">
        <f t="shared" si="1312"/>
        <v>علی اکبر سلطان لو</v>
      </c>
      <c r="U1311" s="86" t="str">
        <f t="shared" si="3"/>
        <v>09122822695</v>
      </c>
      <c r="V1311" s="86" t="str">
        <f t="shared" si="4"/>
        <v>پیش‌وایی 10</v>
      </c>
      <c r="W1311" s="86"/>
      <c r="X1311" s="86"/>
    </row>
    <row r="1312">
      <c r="A1312" s="192">
        <v>1312.0</v>
      </c>
      <c r="B1312" s="193" t="s">
        <v>5863</v>
      </c>
      <c r="C1312" s="194" t="s">
        <v>5864</v>
      </c>
      <c r="D1312" s="195" t="str">
        <f>IFERROR(__xludf.DUMMYFUNCTION("ARRAYFORMULA(LET( converted, SUBSTITUTE( SUBSTITUTE( SUBSTITUTE( SUBSTITUTE( SUBSTITUTE( SUBSTITUTE( SUBSTITUTE( SUBSTITUTE( SUBSTITUTE( SUBSTITUTE( C1312, ""۰"", ""0""), ""۱"", ""1""), ""۲"", ""2""), ""۳"", ""3""), ""۴"", ""4""), ""۵"", ""5""), ""۶"", """&amp;"6""), ""۷"", ""7""), ""۸"", ""8""), ""۹"", ""9""), IF(LEFT(converted,3)=""+98"", ""0"" &amp; RIGHT(converted, LEN(converted)-3), IF(LEFT(converted,2)=""98"", ""0"" &amp; RIGHT(converted, LEN(converted)-2), IF(LEFT(converted,1)&lt;&gt;""0"", ""0"" &amp; converted, REGEXREPL"&amp;"ACE(converted , ""\s"", """")) ) ) ) )"),"09122835106")</f>
        <v>09122835106</v>
      </c>
      <c r="E1312" s="196" t="s">
        <v>17</v>
      </c>
      <c r="F1312" s="197">
        <v>10.0</v>
      </c>
      <c r="G1312" s="193"/>
      <c r="H1312" s="193"/>
      <c r="I1312" s="194"/>
      <c r="J1312" s="194"/>
      <c r="K1312" s="199" t="s">
        <v>2538</v>
      </c>
      <c r="L1312" s="199" t="s">
        <v>2205</v>
      </c>
      <c r="M1312" s="199"/>
      <c r="N1312" s="199"/>
      <c r="O1312" s="193"/>
      <c r="P1312" s="193"/>
      <c r="Q1312" s="200"/>
      <c r="R1312" s="86"/>
      <c r="S1312" s="114">
        <f t="shared" ref="S1312:T1312" si="1313">A1312</f>
        <v>1312</v>
      </c>
      <c r="T1312" s="114" t="str">
        <f t="shared" si="1313"/>
        <v>کاوه داودی</v>
      </c>
      <c r="U1312" s="86" t="str">
        <f t="shared" si="3"/>
        <v>09122835106</v>
      </c>
      <c r="V1312" s="86" t="str">
        <f t="shared" si="4"/>
        <v>پیش‌وایی 10</v>
      </c>
      <c r="W1312" s="86"/>
      <c r="X1312" s="86"/>
    </row>
    <row r="1313">
      <c r="A1313" s="201">
        <v>1313.0</v>
      </c>
      <c r="B1313" s="202" t="s">
        <v>5865</v>
      </c>
      <c r="C1313" s="203" t="s">
        <v>5866</v>
      </c>
      <c r="D1313" s="204" t="str">
        <f>IFERROR(__xludf.DUMMYFUNCTION("ARRAYFORMULA(LET( converted, SUBSTITUTE( SUBSTITUTE( SUBSTITUTE( SUBSTITUTE( SUBSTITUTE( SUBSTITUTE( SUBSTITUTE( SUBSTITUTE( SUBSTITUTE( SUBSTITUTE( C1313, ""۰"", ""0""), ""۱"", ""1""), ""۲"", ""2""), ""۳"", ""3""), ""۴"", ""4""), ""۵"", ""5""), ""۶"", """&amp;"6""), ""۷"", ""7""), ""۸"", ""8""), ""۹"", ""9""), IF(LEFT(converted,3)=""+98"", ""0"" &amp; RIGHT(converted, LEN(converted)-3), IF(LEFT(converted,2)=""98"", ""0"" &amp; RIGHT(converted, LEN(converted)-2), IF(LEFT(converted,1)&lt;&gt;""0"", ""0"" &amp; converted, REGEXREPL"&amp;"ACE(converted , ""\s"", """")) ) ) ) )"),"09134556550")</f>
        <v>09134556550</v>
      </c>
      <c r="E1313" s="205" t="s">
        <v>17</v>
      </c>
      <c r="F1313" s="206">
        <v>10.0</v>
      </c>
      <c r="G1313" s="202"/>
      <c r="H1313" s="202"/>
      <c r="I1313" s="203"/>
      <c r="J1313" s="203"/>
      <c r="K1313" s="207" t="s">
        <v>336</v>
      </c>
      <c r="L1313" s="207" t="s">
        <v>337</v>
      </c>
      <c r="M1313" s="207"/>
      <c r="N1313" s="207"/>
      <c r="O1313" s="202"/>
      <c r="P1313" s="202"/>
      <c r="Q1313" s="208"/>
      <c r="R1313" s="86"/>
      <c r="S1313" s="114">
        <f t="shared" ref="S1313:T1313" si="1314">A1313</f>
        <v>1313</v>
      </c>
      <c r="T1313" s="114" t="str">
        <f t="shared" si="1314"/>
        <v>گیتا زهرایی</v>
      </c>
      <c r="U1313" s="86" t="str">
        <f t="shared" si="3"/>
        <v>09134556550</v>
      </c>
      <c r="V1313" s="86" t="str">
        <f t="shared" si="4"/>
        <v>پیش‌وایی 10</v>
      </c>
      <c r="W1313" s="86"/>
      <c r="X1313" s="86"/>
    </row>
    <row r="1314">
      <c r="A1314" s="192">
        <v>1314.0</v>
      </c>
      <c r="B1314" s="193" t="s">
        <v>5867</v>
      </c>
      <c r="C1314" s="194" t="s">
        <v>5868</v>
      </c>
      <c r="D1314" s="195" t="str">
        <f>IFERROR(__xludf.DUMMYFUNCTION("ARRAYFORMULA(LET( converted, SUBSTITUTE( SUBSTITUTE( SUBSTITUTE( SUBSTITUTE( SUBSTITUTE( SUBSTITUTE( SUBSTITUTE( SUBSTITUTE( SUBSTITUTE( SUBSTITUTE( C1314, ""۰"", ""0""), ""۱"", ""1""), ""۲"", ""2""), ""۳"", ""3""), ""۴"", ""4""), ""۵"", ""5""), ""۶"", """&amp;"6""), ""۷"", ""7""), ""۸"", ""8""), ""۹"", ""9""), IF(LEFT(converted,3)=""+98"", ""0"" &amp; RIGHT(converted, LEN(converted)-3), IF(LEFT(converted,2)=""98"", ""0"" &amp; RIGHT(converted, LEN(converted)-2), IF(LEFT(converted,1)&lt;&gt;""0"", ""0"" &amp; converted, REGEXREPL"&amp;"ACE(converted , ""\s"", """")) ) ) ) )"),"02632222504")</f>
        <v>02632222504</v>
      </c>
      <c r="E1314" s="196" t="s">
        <v>17</v>
      </c>
      <c r="F1314" s="197">
        <v>10.0</v>
      </c>
      <c r="G1314" s="193"/>
      <c r="H1314" s="193"/>
      <c r="I1314" s="194"/>
      <c r="J1314" s="194"/>
      <c r="K1314" s="199" t="s">
        <v>1518</v>
      </c>
      <c r="L1314" s="199" t="s">
        <v>5869</v>
      </c>
      <c r="M1314" s="199"/>
      <c r="N1314" s="199"/>
      <c r="O1314" s="193"/>
      <c r="P1314" s="193"/>
      <c r="Q1314" s="200"/>
      <c r="R1314" s="86"/>
      <c r="S1314" s="114">
        <f t="shared" ref="S1314:T1314" si="1315">A1314</f>
        <v>1314</v>
      </c>
      <c r="T1314" s="114" t="str">
        <f t="shared" si="1315"/>
        <v>ماهان خوباقری</v>
      </c>
      <c r="U1314" s="86" t="str">
        <f t="shared" si="3"/>
        <v>02632222504</v>
      </c>
      <c r="V1314" s="86" t="str">
        <f t="shared" si="4"/>
        <v>پیش‌وایی 10</v>
      </c>
      <c r="W1314" s="86"/>
      <c r="X1314" s="86"/>
    </row>
    <row r="1315">
      <c r="A1315" s="201">
        <v>1315.0</v>
      </c>
      <c r="B1315" s="202" t="s">
        <v>5870</v>
      </c>
      <c r="C1315" s="203" t="s">
        <v>5871</v>
      </c>
      <c r="D1315" s="204" t="str">
        <f>IFERROR(__xludf.DUMMYFUNCTION("ARRAYFORMULA(LET( converted, SUBSTITUTE( SUBSTITUTE( SUBSTITUTE( SUBSTITUTE( SUBSTITUTE( SUBSTITUTE( SUBSTITUTE( SUBSTITUTE( SUBSTITUTE( SUBSTITUTE( C1315, ""۰"", ""0""), ""۱"", ""1""), ""۲"", ""2""), ""۳"", ""3""), ""۴"", ""4""), ""۵"", ""5""), ""۶"", """&amp;"6""), ""۷"", ""7""), ""۸"", ""8""), ""۹"", ""9""), IF(LEFT(converted,3)=""+98"", ""0"" &amp; RIGHT(converted, LEN(converted)-3), IF(LEFT(converted,2)=""98"", ""0"" &amp; RIGHT(converted, LEN(converted)-2), IF(LEFT(converted,1)&lt;&gt;""0"", ""0"" &amp; converted, REGEXREPL"&amp;"ACE(converted , ""\s"", """")) ) ) ) )"),"09148994632")</f>
        <v>09148994632</v>
      </c>
      <c r="E1315" s="205" t="s">
        <v>17</v>
      </c>
      <c r="F1315" s="206">
        <v>10.0</v>
      </c>
      <c r="G1315" s="202"/>
      <c r="H1315" s="202"/>
      <c r="I1315" s="203"/>
      <c r="J1315" s="203"/>
      <c r="K1315" s="207" t="s">
        <v>303</v>
      </c>
      <c r="L1315" s="207" t="s">
        <v>5872</v>
      </c>
      <c r="M1315" s="207"/>
      <c r="N1315" s="207"/>
      <c r="O1315" s="202"/>
      <c r="P1315" s="202"/>
      <c r="Q1315" s="208"/>
      <c r="R1315" s="86"/>
      <c r="S1315" s="114">
        <f t="shared" ref="S1315:T1315" si="1316">A1315</f>
        <v>1315</v>
      </c>
      <c r="T1315" s="114" t="str">
        <f t="shared" si="1316"/>
        <v>محمد خاهانی</v>
      </c>
      <c r="U1315" s="86" t="str">
        <f t="shared" si="3"/>
        <v>09148994632</v>
      </c>
      <c r="V1315" s="86" t="str">
        <f t="shared" si="4"/>
        <v>پیش‌وایی 10</v>
      </c>
      <c r="W1315" s="86"/>
      <c r="X1315" s="86"/>
    </row>
    <row r="1316">
      <c r="A1316" s="192">
        <v>1316.0</v>
      </c>
      <c r="B1316" s="193" t="s">
        <v>5873</v>
      </c>
      <c r="C1316" s="194" t="s">
        <v>5874</v>
      </c>
      <c r="D1316" s="195" t="str">
        <f>IFERROR(__xludf.DUMMYFUNCTION("ARRAYFORMULA(LET( converted, SUBSTITUTE( SUBSTITUTE( SUBSTITUTE( SUBSTITUTE( SUBSTITUTE( SUBSTITUTE( SUBSTITUTE( SUBSTITUTE( SUBSTITUTE( SUBSTITUTE( C1316, ""۰"", ""0""), ""۱"", ""1""), ""۲"", ""2""), ""۳"", ""3""), ""۴"", ""4""), ""۵"", ""5""), ""۶"", """&amp;"6""), ""۷"", ""7""), ""۸"", ""8""), ""۹"", ""9""), IF(LEFT(converted,3)=""+98"", ""0"" &amp; RIGHT(converted, LEN(converted)-3), IF(LEFT(converted,2)=""98"", ""0"" &amp; RIGHT(converted, LEN(converted)-2), IF(LEFT(converted,1)&lt;&gt;""0"", ""0"" &amp; converted, REGEXREPL"&amp;"ACE(converted , ""\s"", """")) ) ) ) )"),"09128505062")</f>
        <v>09128505062</v>
      </c>
      <c r="E1316" s="196" t="s">
        <v>17</v>
      </c>
      <c r="F1316" s="197">
        <v>10.0</v>
      </c>
      <c r="G1316" s="193"/>
      <c r="H1316" s="193"/>
      <c r="I1316" s="194"/>
      <c r="J1316" s="194"/>
      <c r="K1316" s="199" t="s">
        <v>2306</v>
      </c>
      <c r="L1316" s="199" t="s">
        <v>5875</v>
      </c>
      <c r="M1316" s="199"/>
      <c r="N1316" s="199"/>
      <c r="O1316" s="193"/>
      <c r="P1316" s="193"/>
      <c r="Q1316" s="200"/>
      <c r="R1316" s="86"/>
      <c r="S1316" s="114">
        <f t="shared" ref="S1316:T1316" si="1317">A1316</f>
        <v>1316</v>
      </c>
      <c r="T1316" s="114" t="str">
        <f t="shared" si="1317"/>
        <v>مرتضی رواجی</v>
      </c>
      <c r="U1316" s="86" t="str">
        <f t="shared" si="3"/>
        <v>09128505062</v>
      </c>
      <c r="V1316" s="86" t="str">
        <f t="shared" si="4"/>
        <v>پیش‌وایی 10</v>
      </c>
      <c r="W1316" s="86"/>
      <c r="X1316" s="86"/>
    </row>
    <row r="1317">
      <c r="A1317" s="201">
        <v>1317.0</v>
      </c>
      <c r="B1317" s="202" t="s">
        <v>5876</v>
      </c>
      <c r="C1317" s="203" t="s">
        <v>5877</v>
      </c>
      <c r="D1317" s="204" t="str">
        <f>IFERROR(__xludf.DUMMYFUNCTION("ARRAYFORMULA(LET( converted, SUBSTITUTE( SUBSTITUTE( SUBSTITUTE( SUBSTITUTE( SUBSTITUTE( SUBSTITUTE( SUBSTITUTE( SUBSTITUTE( SUBSTITUTE( SUBSTITUTE( C1317, ""۰"", ""0""), ""۱"", ""1""), ""۲"", ""2""), ""۳"", ""3""), ""۴"", ""4""), ""۵"", ""5""), ""۶"", """&amp;"6""), ""۷"", ""7""), ""۸"", ""8""), ""۹"", ""9""), IF(LEFT(converted,3)=""+98"", ""0"" &amp; RIGHT(converted, LEN(converted)-3), IF(LEFT(converted,2)=""98"", ""0"" &amp; RIGHT(converted, LEN(converted)-2), IF(LEFT(converted,1)&lt;&gt;""0"", ""0"" &amp; converted, REGEXREPL"&amp;"ACE(converted , ""\s"", """")) ) ) ) )"),"09126261105")</f>
        <v>09126261105</v>
      </c>
      <c r="E1317" s="205" t="s">
        <v>17</v>
      </c>
      <c r="F1317" s="206">
        <v>10.0</v>
      </c>
      <c r="G1317" s="202"/>
      <c r="H1317" s="202"/>
      <c r="I1317" s="203"/>
      <c r="J1317" s="203"/>
      <c r="K1317" s="207" t="s">
        <v>292</v>
      </c>
      <c r="L1317" s="207" t="s">
        <v>5878</v>
      </c>
      <c r="M1317" s="207"/>
      <c r="N1317" s="207"/>
      <c r="O1317" s="202"/>
      <c r="P1317" s="202"/>
      <c r="Q1317" s="208"/>
      <c r="R1317" s="86"/>
      <c r="S1317" s="114">
        <f t="shared" ref="S1317:T1317" si="1318">A1317</f>
        <v>1317</v>
      </c>
      <c r="T1317" s="114" t="str">
        <f t="shared" si="1318"/>
        <v>مریم جاویده</v>
      </c>
      <c r="U1317" s="86" t="str">
        <f t="shared" si="3"/>
        <v>09126261105</v>
      </c>
      <c r="V1317" s="86" t="str">
        <f t="shared" si="4"/>
        <v>پیش‌وایی 10</v>
      </c>
      <c r="W1317" s="86"/>
      <c r="X1317" s="86"/>
    </row>
    <row r="1318">
      <c r="A1318" s="192">
        <v>1318.0</v>
      </c>
      <c r="B1318" s="193" t="s">
        <v>5879</v>
      </c>
      <c r="C1318" s="194" t="s">
        <v>5880</v>
      </c>
      <c r="D1318" s="195" t="str">
        <f>IFERROR(__xludf.DUMMYFUNCTION("ARRAYFORMULA(LET( converted, SUBSTITUTE( SUBSTITUTE( SUBSTITUTE( SUBSTITUTE( SUBSTITUTE( SUBSTITUTE( SUBSTITUTE( SUBSTITUTE( SUBSTITUTE( SUBSTITUTE( C1318, ""۰"", ""0""), ""۱"", ""1""), ""۲"", ""2""), ""۳"", ""3""), ""۴"", ""4""), ""۵"", ""5""), ""۶"", """&amp;"6""), ""۷"", ""7""), ""۸"", ""8""), ""۹"", ""9""), IF(LEFT(converted,3)=""+98"", ""0"" &amp; RIGHT(converted, LEN(converted)-3), IF(LEFT(converted,2)=""98"", ""0"" &amp; RIGHT(converted, LEN(converted)-2), IF(LEFT(converted,1)&lt;&gt;""0"", ""0"" &amp; converted, REGEXREPL"&amp;"ACE(converted , ""\s"", """")) ) ) ) )"),"09107788767")</f>
        <v>09107788767</v>
      </c>
      <c r="E1318" s="196" t="s">
        <v>17</v>
      </c>
      <c r="F1318" s="197">
        <v>10.0</v>
      </c>
      <c r="G1318" s="193"/>
      <c r="H1318" s="193"/>
      <c r="I1318" s="194"/>
      <c r="J1318" s="194"/>
      <c r="K1318" s="199" t="s">
        <v>1473</v>
      </c>
      <c r="L1318" s="199" t="s">
        <v>1019</v>
      </c>
      <c r="M1318" s="199"/>
      <c r="N1318" s="199"/>
      <c r="O1318" s="193"/>
      <c r="P1318" s="193"/>
      <c r="Q1318" s="200"/>
      <c r="R1318" s="86"/>
      <c r="S1318" s="114">
        <f t="shared" ref="S1318:T1318" si="1319">A1318</f>
        <v>1318</v>
      </c>
      <c r="T1318" s="114" t="str">
        <f t="shared" si="1319"/>
        <v>مصطفی احمدی</v>
      </c>
      <c r="U1318" s="86" t="str">
        <f t="shared" si="3"/>
        <v>09107788767</v>
      </c>
      <c r="V1318" s="86" t="str">
        <f t="shared" si="4"/>
        <v>پیش‌وایی 10</v>
      </c>
      <c r="W1318" s="86"/>
      <c r="X1318" s="86"/>
    </row>
    <row r="1319">
      <c r="A1319" s="201">
        <v>1319.0</v>
      </c>
      <c r="B1319" s="202" t="s">
        <v>5881</v>
      </c>
      <c r="C1319" s="203" t="s">
        <v>5882</v>
      </c>
      <c r="D1319" s="204" t="str">
        <f>IFERROR(__xludf.DUMMYFUNCTION("ARRAYFORMULA(LET( converted, SUBSTITUTE( SUBSTITUTE( SUBSTITUTE( SUBSTITUTE( SUBSTITUTE( SUBSTITUTE( SUBSTITUTE( SUBSTITUTE( SUBSTITUTE( SUBSTITUTE( C1319, ""۰"", ""0""), ""۱"", ""1""), ""۲"", ""2""), ""۳"", ""3""), ""۴"", ""4""), ""۵"", ""5""), ""۶"", """&amp;"6""), ""۷"", ""7""), ""۸"", ""8""), ""۹"", ""9""), IF(LEFT(converted,3)=""+98"", ""0"" &amp; RIGHT(converted, LEN(converted)-3), IF(LEFT(converted,2)=""98"", ""0"" &amp; RIGHT(converted, LEN(converted)-2), IF(LEFT(converted,1)&lt;&gt;""0"", ""0"" &amp; converted, REGEXREPL"&amp;"ACE(converted , ""\s"", """")) ) ) ) )"),"09361134762")</f>
        <v>09361134762</v>
      </c>
      <c r="E1319" s="205" t="s">
        <v>17</v>
      </c>
      <c r="F1319" s="206">
        <v>10.0</v>
      </c>
      <c r="G1319" s="202"/>
      <c r="H1319" s="202"/>
      <c r="I1319" s="203"/>
      <c r="J1319" s="203"/>
      <c r="K1319" s="207" t="s">
        <v>1459</v>
      </c>
      <c r="L1319" s="207" t="s">
        <v>5260</v>
      </c>
      <c r="M1319" s="207"/>
      <c r="N1319" s="207"/>
      <c r="O1319" s="202"/>
      <c r="P1319" s="202"/>
      <c r="Q1319" s="208"/>
      <c r="R1319" s="86"/>
      <c r="S1319" s="114">
        <f t="shared" ref="S1319:T1319" si="1320">A1319</f>
        <v>1319</v>
      </c>
      <c r="T1319" s="114" t="str">
        <f t="shared" si="1320"/>
        <v>رضا شیراوند</v>
      </c>
      <c r="U1319" s="86" t="str">
        <f t="shared" si="3"/>
        <v>09361134762</v>
      </c>
      <c r="V1319" s="86" t="str">
        <f t="shared" si="4"/>
        <v>پیش‌وایی 10</v>
      </c>
      <c r="W1319" s="86"/>
      <c r="X1319" s="86"/>
    </row>
    <row r="1320">
      <c r="A1320" s="192">
        <v>1320.0</v>
      </c>
      <c r="B1320" s="193" t="s">
        <v>5883</v>
      </c>
      <c r="C1320" s="194" t="s">
        <v>5884</v>
      </c>
      <c r="D1320" s="195" t="str">
        <f>IFERROR(__xludf.DUMMYFUNCTION("ARRAYFORMULA(LET( converted, SUBSTITUTE( SUBSTITUTE( SUBSTITUTE( SUBSTITUTE( SUBSTITUTE( SUBSTITUTE( SUBSTITUTE( SUBSTITUTE( SUBSTITUTE( SUBSTITUTE( C1320, ""۰"", ""0""), ""۱"", ""1""), ""۲"", ""2""), ""۳"", ""3""), ""۴"", ""4""), ""۵"", ""5""), ""۶"", """&amp;"6""), ""۷"", ""7""), ""۸"", ""8""), ""۹"", ""9""), IF(LEFT(converted,3)=""+98"", ""0"" &amp; RIGHT(converted, LEN(converted)-3), IF(LEFT(converted,2)=""98"", ""0"" &amp; RIGHT(converted, LEN(converted)-2), IF(LEFT(converted,1)&lt;&gt;""0"", ""0"" &amp; converted, REGEXREPL"&amp;"ACE(converted , ""\s"", """")) ) ) ) )"),"09122842909")</f>
        <v>09122842909</v>
      </c>
      <c r="E1320" s="196" t="s">
        <v>17</v>
      </c>
      <c r="F1320" s="197">
        <v>10.0</v>
      </c>
      <c r="G1320" s="193"/>
      <c r="H1320" s="193"/>
      <c r="I1320" s="194"/>
      <c r="J1320" s="194"/>
      <c r="K1320" s="199" t="s">
        <v>1269</v>
      </c>
      <c r="L1320" s="199" t="s">
        <v>5625</v>
      </c>
      <c r="M1320" s="199"/>
      <c r="N1320" s="199"/>
      <c r="O1320" s="193"/>
      <c r="P1320" s="193"/>
      <c r="Q1320" s="200"/>
      <c r="R1320" s="86"/>
      <c r="S1320" s="114">
        <f t="shared" ref="S1320:T1320" si="1321">A1320</f>
        <v>1320</v>
      </c>
      <c r="T1320" s="114" t="str">
        <f t="shared" si="1321"/>
        <v>محمدعلی اسماعیل زاده</v>
      </c>
      <c r="U1320" s="86" t="str">
        <f t="shared" si="3"/>
        <v>09122842909</v>
      </c>
      <c r="V1320" s="86" t="str">
        <f t="shared" si="4"/>
        <v>پیش‌وایی 10</v>
      </c>
      <c r="W1320" s="86"/>
      <c r="X1320" s="86"/>
    </row>
    <row r="1321">
      <c r="A1321" s="201">
        <v>1321.0</v>
      </c>
      <c r="B1321" s="202" t="s">
        <v>5885</v>
      </c>
      <c r="C1321" s="203" t="s">
        <v>5886</v>
      </c>
      <c r="D1321" s="204" t="str">
        <f>IFERROR(__xludf.DUMMYFUNCTION("ARRAYFORMULA(LET( converted, SUBSTITUTE( SUBSTITUTE( SUBSTITUTE( SUBSTITUTE( SUBSTITUTE( SUBSTITUTE( SUBSTITUTE( SUBSTITUTE( SUBSTITUTE( SUBSTITUTE( C1321, ""۰"", ""0""), ""۱"", ""1""), ""۲"", ""2""), ""۳"", ""3""), ""۴"", ""4""), ""۵"", ""5""), ""۶"", """&amp;"6""), ""۷"", ""7""), ""۸"", ""8""), ""۹"", ""9""), IF(LEFT(converted,3)=""+98"", ""0"" &amp; RIGHT(converted, LEN(converted)-3), IF(LEFT(converted,2)=""98"", ""0"" &amp; RIGHT(converted, LEN(converted)-2), IF(LEFT(converted,1)&lt;&gt;""0"", ""0"" &amp; converted, REGEXREPL"&amp;"ACE(converted , ""\s"", """")) ) ) ) )"),"09121225362")</f>
        <v>09121225362</v>
      </c>
      <c r="E1321" s="205" t="s">
        <v>17</v>
      </c>
      <c r="F1321" s="206">
        <v>10.0</v>
      </c>
      <c r="G1321" s="202"/>
      <c r="H1321" s="202"/>
      <c r="I1321" s="203"/>
      <c r="J1321" s="203"/>
      <c r="K1321" s="207" t="s">
        <v>3459</v>
      </c>
      <c r="L1321" s="207" t="s">
        <v>5887</v>
      </c>
      <c r="M1321" s="207"/>
      <c r="N1321" s="207"/>
      <c r="O1321" s="202"/>
      <c r="P1321" s="202"/>
      <c r="Q1321" s="208"/>
      <c r="R1321" s="86"/>
      <c r="S1321" s="114">
        <f t="shared" ref="S1321:T1321" si="1322">A1321</f>
        <v>1321</v>
      </c>
      <c r="T1321" s="114" t="str">
        <f t="shared" si="1322"/>
        <v>محمدحسن مختاری</v>
      </c>
      <c r="U1321" s="86" t="str">
        <f t="shared" si="3"/>
        <v>09121225362</v>
      </c>
      <c r="V1321" s="86" t="str">
        <f t="shared" si="4"/>
        <v>پیش‌وایی 10</v>
      </c>
      <c r="W1321" s="86"/>
      <c r="X1321" s="86"/>
    </row>
    <row r="1322">
      <c r="A1322" s="192">
        <v>1322.0</v>
      </c>
      <c r="B1322" s="193" t="s">
        <v>5888</v>
      </c>
      <c r="C1322" s="194" t="s">
        <v>5889</v>
      </c>
      <c r="D1322" s="195" t="str">
        <f>IFERROR(__xludf.DUMMYFUNCTION("ARRAYFORMULA(LET( converted, SUBSTITUTE( SUBSTITUTE( SUBSTITUTE( SUBSTITUTE( SUBSTITUTE( SUBSTITUTE( SUBSTITUTE( SUBSTITUTE( SUBSTITUTE( SUBSTITUTE( C1322, ""۰"", ""0""), ""۱"", ""1""), ""۲"", ""2""), ""۳"", ""3""), ""۴"", ""4""), ""۵"", ""5""), ""۶"", """&amp;"6""), ""۷"", ""7""), ""۸"", ""8""), ""۹"", ""9""), IF(LEFT(converted,3)=""+98"", ""0"" &amp; RIGHT(converted, LEN(converted)-3), IF(LEFT(converted,2)=""98"", ""0"" &amp; RIGHT(converted, LEN(converted)-2), IF(LEFT(converted,1)&lt;&gt;""0"", ""0"" &amp; converted, REGEXREPL"&amp;"ACE(converted , ""\s"", """")) ) ) ) )"),"09038651446")</f>
        <v>09038651446</v>
      </c>
      <c r="E1322" s="196" t="s">
        <v>17</v>
      </c>
      <c r="F1322" s="197">
        <v>10.0</v>
      </c>
      <c r="G1322" s="193"/>
      <c r="H1322" s="193"/>
      <c r="I1322" s="194"/>
      <c r="J1322" s="194"/>
      <c r="K1322" s="199" t="s">
        <v>1085</v>
      </c>
      <c r="L1322" s="199" t="s">
        <v>5890</v>
      </c>
      <c r="M1322" s="199"/>
      <c r="N1322" s="199"/>
      <c r="O1322" s="193"/>
      <c r="P1322" s="193"/>
      <c r="Q1322" s="200"/>
      <c r="R1322" s="86"/>
      <c r="S1322" s="114">
        <f t="shared" ref="S1322:T1322" si="1323">A1322</f>
        <v>1322</v>
      </c>
      <c r="T1322" s="114" t="str">
        <f t="shared" si="1323"/>
        <v>امیررضا چهری</v>
      </c>
      <c r="U1322" s="86" t="str">
        <f t="shared" si="3"/>
        <v>09038651446</v>
      </c>
      <c r="V1322" s="86" t="str">
        <f t="shared" si="4"/>
        <v>پیش‌وایی 10</v>
      </c>
      <c r="W1322" s="86"/>
      <c r="X1322" s="86"/>
    </row>
    <row r="1323">
      <c r="A1323" s="201">
        <v>1323.0</v>
      </c>
      <c r="B1323" s="202" t="s">
        <v>5891</v>
      </c>
      <c r="C1323" s="203" t="s">
        <v>5892</v>
      </c>
      <c r="D1323" s="204" t="str">
        <f>IFERROR(__xludf.DUMMYFUNCTION("ARRAYFORMULA(LET( converted, SUBSTITUTE( SUBSTITUTE( SUBSTITUTE( SUBSTITUTE( SUBSTITUTE( SUBSTITUTE( SUBSTITUTE( SUBSTITUTE( SUBSTITUTE( SUBSTITUTE( C1323, ""۰"", ""0""), ""۱"", ""1""), ""۲"", ""2""), ""۳"", ""3""), ""۴"", ""4""), ""۵"", ""5""), ""۶"", """&amp;"6""), ""۷"", ""7""), ""۸"", ""8""), ""۹"", ""9""), IF(LEFT(converted,3)=""+98"", ""0"" &amp; RIGHT(converted, LEN(converted)-3), IF(LEFT(converted,2)=""98"", ""0"" &amp; RIGHT(converted, LEN(converted)-2), IF(LEFT(converted,1)&lt;&gt;""0"", ""0"" &amp; converted, REGEXREPL"&amp;"ACE(converted , ""\s"", """")) ) ) ) )"),"09121131743")</f>
        <v>09121131743</v>
      </c>
      <c r="E1323" s="205" t="s">
        <v>17</v>
      </c>
      <c r="F1323" s="206">
        <v>10.0</v>
      </c>
      <c r="G1323" s="202"/>
      <c r="H1323" s="202"/>
      <c r="I1323" s="203"/>
      <c r="J1323" s="203"/>
      <c r="K1323" s="207" t="s">
        <v>4739</v>
      </c>
      <c r="L1323" s="207" t="s">
        <v>5893</v>
      </c>
      <c r="M1323" s="207"/>
      <c r="N1323" s="207"/>
      <c r="O1323" s="202"/>
      <c r="P1323" s="202"/>
      <c r="Q1323" s="208"/>
      <c r="R1323" s="86"/>
      <c r="S1323" s="114">
        <f t="shared" ref="S1323:T1323" si="1324">A1323</f>
        <v>1323</v>
      </c>
      <c r="T1323" s="114" t="str">
        <f t="shared" si="1324"/>
        <v>اشکان خواجه نوری</v>
      </c>
      <c r="U1323" s="86" t="str">
        <f t="shared" si="3"/>
        <v>09121131743</v>
      </c>
      <c r="V1323" s="86" t="str">
        <f t="shared" si="4"/>
        <v>پیش‌وایی 10</v>
      </c>
      <c r="W1323" s="86"/>
      <c r="X1323" s="86"/>
    </row>
    <row r="1324">
      <c r="A1324" s="192">
        <v>1324.0</v>
      </c>
      <c r="B1324" s="193" t="s">
        <v>5894</v>
      </c>
      <c r="C1324" s="194" t="s">
        <v>5895</v>
      </c>
      <c r="D1324" s="195" t="str">
        <f>IFERROR(__xludf.DUMMYFUNCTION("ARRAYFORMULA(LET( converted, SUBSTITUTE( SUBSTITUTE( SUBSTITUTE( SUBSTITUTE( SUBSTITUTE( SUBSTITUTE( SUBSTITUTE( SUBSTITUTE( SUBSTITUTE( SUBSTITUTE( C1324, ""۰"", ""0""), ""۱"", ""1""), ""۲"", ""2""), ""۳"", ""3""), ""۴"", ""4""), ""۵"", ""5""), ""۶"", """&amp;"6""), ""۷"", ""7""), ""۸"", ""8""), ""۹"", ""9""), IF(LEFT(converted,3)=""+98"", ""0"" &amp; RIGHT(converted, LEN(converted)-3), IF(LEFT(converted,2)=""98"", ""0"" &amp; RIGHT(converted, LEN(converted)-2), IF(LEFT(converted,1)&lt;&gt;""0"", ""0"" &amp; converted, REGEXREPL"&amp;"ACE(converted , ""\s"", """")) ) ) ) )"),"09123370623")</f>
        <v>09123370623</v>
      </c>
      <c r="E1324" s="196" t="s">
        <v>17</v>
      </c>
      <c r="F1324" s="197">
        <v>10.0</v>
      </c>
      <c r="G1324" s="193"/>
      <c r="H1324" s="193"/>
      <c r="I1324" s="194"/>
      <c r="J1324" s="194"/>
      <c r="K1324" s="199" t="s">
        <v>342</v>
      </c>
      <c r="L1324" s="199" t="s">
        <v>5896</v>
      </c>
      <c r="M1324" s="199"/>
      <c r="N1324" s="199"/>
      <c r="O1324" s="193"/>
      <c r="P1324" s="193"/>
      <c r="Q1324" s="200"/>
      <c r="R1324" s="86"/>
      <c r="S1324" s="114">
        <f t="shared" ref="S1324:T1324" si="1325">A1324</f>
        <v>1324</v>
      </c>
      <c r="T1324" s="114" t="str">
        <f t="shared" si="1325"/>
        <v>آرش شیخی</v>
      </c>
      <c r="U1324" s="86" t="str">
        <f t="shared" si="3"/>
        <v>09123370623</v>
      </c>
      <c r="V1324" s="86" t="str">
        <f t="shared" si="4"/>
        <v>پیش‌وایی 10</v>
      </c>
      <c r="W1324" s="86"/>
      <c r="X1324" s="86"/>
    </row>
    <row r="1325">
      <c r="A1325" s="201">
        <v>1325.0</v>
      </c>
      <c r="B1325" s="202" t="s">
        <v>5897</v>
      </c>
      <c r="C1325" s="203" t="s">
        <v>5898</v>
      </c>
      <c r="D1325" s="204" t="str">
        <f>IFERROR(__xludf.DUMMYFUNCTION("ARRAYFORMULA(LET( converted, SUBSTITUTE( SUBSTITUTE( SUBSTITUTE( SUBSTITUTE( SUBSTITUTE( SUBSTITUTE( SUBSTITUTE( SUBSTITUTE( SUBSTITUTE( SUBSTITUTE( C1325, ""۰"", ""0""), ""۱"", ""1""), ""۲"", ""2""), ""۳"", ""3""), ""۴"", ""4""), ""۵"", ""5""), ""۶"", """&amp;"6""), ""۷"", ""7""), ""۸"", ""8""), ""۹"", ""9""), IF(LEFT(converted,3)=""+98"", ""0"" &amp; RIGHT(converted, LEN(converted)-3), IF(LEFT(converted,2)=""98"", ""0"" &amp; RIGHT(converted, LEN(converted)-2), IF(LEFT(converted,1)&lt;&gt;""0"", ""0"" &amp; converted, REGEXREPL"&amp;"ACE(converted , ""\s"", """")) ) ) ) )"),"09125132000")</f>
        <v>09125132000</v>
      </c>
      <c r="E1325" s="205" t="s">
        <v>17</v>
      </c>
      <c r="F1325" s="206">
        <v>10.0</v>
      </c>
      <c r="G1325" s="202"/>
      <c r="H1325" s="202"/>
      <c r="I1325" s="203"/>
      <c r="J1325" s="203"/>
      <c r="K1325" s="207" t="s">
        <v>5899</v>
      </c>
      <c r="L1325" s="207" t="s">
        <v>5900</v>
      </c>
      <c r="M1325" s="207"/>
      <c r="N1325" s="207"/>
      <c r="O1325" s="202"/>
      <c r="P1325" s="202"/>
      <c r="Q1325" s="208"/>
      <c r="R1325" s="86"/>
      <c r="S1325" s="114">
        <f t="shared" ref="S1325:T1325" si="1326">A1325</f>
        <v>1325</v>
      </c>
      <c r="T1325" s="114" t="str">
        <f t="shared" si="1326"/>
        <v>محمد ابراهیم نبیئی</v>
      </c>
      <c r="U1325" s="86" t="str">
        <f t="shared" si="3"/>
        <v>09125132000</v>
      </c>
      <c r="V1325" s="86" t="str">
        <f t="shared" si="4"/>
        <v>پیش‌وایی 10</v>
      </c>
      <c r="W1325" s="86"/>
      <c r="X1325" s="86"/>
    </row>
    <row r="1326">
      <c r="A1326" s="192">
        <v>1326.0</v>
      </c>
      <c r="B1326" s="193" t="s">
        <v>5901</v>
      </c>
      <c r="C1326" s="194" t="s">
        <v>5902</v>
      </c>
      <c r="D1326" s="195" t="str">
        <f>IFERROR(__xludf.DUMMYFUNCTION("ARRAYFORMULA(LET( converted, SUBSTITUTE( SUBSTITUTE( SUBSTITUTE( SUBSTITUTE( SUBSTITUTE( SUBSTITUTE( SUBSTITUTE( SUBSTITUTE( SUBSTITUTE( SUBSTITUTE( C1326, ""۰"", ""0""), ""۱"", ""1""), ""۲"", ""2""), ""۳"", ""3""), ""۴"", ""4""), ""۵"", ""5""), ""۶"", """&amp;"6""), ""۷"", ""7""), ""۸"", ""8""), ""۹"", ""9""), IF(LEFT(converted,3)=""+98"", ""0"" &amp; RIGHT(converted, LEN(converted)-3), IF(LEFT(converted,2)=""98"", ""0"" &amp; RIGHT(converted, LEN(converted)-2), IF(LEFT(converted,1)&lt;&gt;""0"", ""0"" &amp; converted, REGEXREPL"&amp;"ACE(converted , ""\s"", """")) ) ) ) )"),"09126201654")</f>
        <v>09126201654</v>
      </c>
      <c r="E1326" s="196" t="s">
        <v>17</v>
      </c>
      <c r="F1326" s="197">
        <v>10.0</v>
      </c>
      <c r="G1326" s="193"/>
      <c r="H1326" s="193"/>
      <c r="I1326" s="194"/>
      <c r="J1326" s="194"/>
      <c r="K1326" s="199" t="s">
        <v>5903</v>
      </c>
      <c r="L1326" s="199" t="s">
        <v>5904</v>
      </c>
      <c r="M1326" s="199"/>
      <c r="N1326" s="199"/>
      <c r="O1326" s="193"/>
      <c r="P1326" s="193"/>
      <c r="Q1326" s="200"/>
      <c r="R1326" s="86"/>
      <c r="S1326" s="114">
        <f t="shared" ref="S1326:T1326" si="1327">A1326</f>
        <v>1326</v>
      </c>
      <c r="T1326" s="114" t="str">
        <f t="shared" si="1327"/>
        <v>شادی سبزعلی</v>
      </c>
      <c r="U1326" s="86" t="str">
        <f t="shared" si="3"/>
        <v>09126201654</v>
      </c>
      <c r="V1326" s="86" t="str">
        <f t="shared" si="4"/>
        <v>پیش‌وایی 10</v>
      </c>
      <c r="W1326" s="86"/>
      <c r="X1326" s="86"/>
    </row>
    <row r="1327">
      <c r="A1327" s="201">
        <v>1327.0</v>
      </c>
      <c r="B1327" s="202" t="s">
        <v>5905</v>
      </c>
      <c r="C1327" s="203"/>
      <c r="D1327" s="204" t="str">
        <f>IFERROR(__xludf.DUMMYFUNCTION("ARRAYFORMULA(LET( converted, SUBSTITUTE( SUBSTITUTE( SUBSTITUTE( SUBSTITUTE( SUBSTITUTE( SUBSTITUTE( SUBSTITUTE( SUBSTITUTE( SUBSTITUTE( SUBSTITUTE( C1327, ""۰"", ""0""), ""۱"", ""1""), ""۲"", ""2""), ""۳"", ""3""), ""۴"", ""4""), ""۵"", ""5""), ""۶"", """&amp;"6""), ""۷"", ""7""), ""۸"", ""8""), ""۹"", ""9""), IF(LEFT(converted,3)=""+98"", ""0"" &amp; RIGHT(converted, LEN(converted)-3), IF(LEFT(converted,2)=""98"", ""0"" &amp; RIGHT(converted, LEN(converted)-2), IF(LEFT(converted,1)&lt;&gt;""0"", ""0"" &amp; converted, REGEXREPL"&amp;"ACE(converted , ""\s"", """")) ) ) ) )"),"0")</f>
        <v>0</v>
      </c>
      <c r="E1327" s="205" t="s">
        <v>17</v>
      </c>
      <c r="F1327" s="206">
        <v>10.0</v>
      </c>
      <c r="G1327" s="202"/>
      <c r="H1327" s="202"/>
      <c r="I1327" s="203"/>
      <c r="J1327" s="203"/>
      <c r="K1327" s="207" t="s">
        <v>286</v>
      </c>
      <c r="L1327" s="207" t="s">
        <v>242</v>
      </c>
      <c r="M1327" s="207"/>
      <c r="N1327" s="207"/>
      <c r="O1327" s="202"/>
      <c r="P1327" s="202"/>
      <c r="Q1327" s="208"/>
      <c r="R1327" s="86"/>
      <c r="S1327" s="114">
        <f t="shared" ref="S1327:T1327" si="1328">A1327</f>
        <v>1327</v>
      </c>
      <c r="T1327" s="114" t="str">
        <f t="shared" si="1328"/>
        <v>مهدی زارعی</v>
      </c>
      <c r="U1327" s="86" t="str">
        <f t="shared" si="3"/>
        <v>0</v>
      </c>
      <c r="V1327" s="86" t="str">
        <f t="shared" si="4"/>
        <v>پیش‌وایی 10</v>
      </c>
      <c r="W1327" s="86"/>
      <c r="X1327" s="86"/>
    </row>
    <row r="1328">
      <c r="A1328" s="192">
        <v>1328.0</v>
      </c>
      <c r="B1328" s="193" t="s">
        <v>5906</v>
      </c>
      <c r="C1328" s="194" t="s">
        <v>216</v>
      </c>
      <c r="D1328" s="195" t="str">
        <f>IFERROR(__xludf.DUMMYFUNCTION("ARRAYFORMULA(LET( converted, SUBSTITUTE( SUBSTITUTE( SUBSTITUTE( SUBSTITUTE( SUBSTITUTE( SUBSTITUTE( SUBSTITUTE( SUBSTITUTE( SUBSTITUTE( SUBSTITUTE( C1328, ""۰"", ""0""), ""۱"", ""1""), ""۲"", ""2""), ""۳"", ""3""), ""۴"", ""4""), ""۵"", ""5""), ""۶"", """&amp;"6""), ""۷"", ""7""), ""۸"", ""8""), ""۹"", ""9""), IF(LEFT(converted,3)=""+98"", ""0"" &amp; RIGHT(converted, LEN(converted)-3), IF(LEFT(converted,2)=""98"", ""0"" &amp; RIGHT(converted, LEN(converted)-2), IF(LEFT(converted,1)&lt;&gt;""0"", ""0"" &amp; converted, REGEXREPL"&amp;"ACE(converted , ""\s"", """")) ) ) ) )"),"09127761219")</f>
        <v>09127761219</v>
      </c>
      <c r="E1328" s="196" t="s">
        <v>17</v>
      </c>
      <c r="F1328" s="197">
        <v>10.0</v>
      </c>
      <c r="G1328" s="193"/>
      <c r="H1328" s="193"/>
      <c r="I1328" s="194"/>
      <c r="J1328" s="194"/>
      <c r="K1328" s="199" t="s">
        <v>214</v>
      </c>
      <c r="L1328" s="199" t="s">
        <v>215</v>
      </c>
      <c r="M1328" s="199"/>
      <c r="N1328" s="199"/>
      <c r="O1328" s="193"/>
      <c r="P1328" s="193"/>
      <c r="Q1328" s="200"/>
      <c r="R1328" s="86"/>
      <c r="S1328" s="114">
        <f t="shared" ref="S1328:T1328" si="1329">A1328</f>
        <v>1328</v>
      </c>
      <c r="T1328" s="114" t="str">
        <f t="shared" si="1329"/>
        <v>بهاره نظری پور</v>
      </c>
      <c r="U1328" s="86" t="str">
        <f t="shared" si="3"/>
        <v>09127761219</v>
      </c>
      <c r="V1328" s="86" t="str">
        <f t="shared" si="4"/>
        <v>پیش‌وایی 10</v>
      </c>
      <c r="W1328" s="86"/>
      <c r="X1328" s="86"/>
    </row>
    <row r="1329">
      <c r="A1329" s="201">
        <v>1329.0</v>
      </c>
      <c r="B1329" s="202" t="s">
        <v>2433</v>
      </c>
      <c r="C1329" s="203" t="s">
        <v>224</v>
      </c>
      <c r="D1329" s="204" t="str">
        <f>IFERROR(__xludf.DUMMYFUNCTION("ARRAYFORMULA(LET( converted, SUBSTITUTE( SUBSTITUTE( SUBSTITUTE( SUBSTITUTE( SUBSTITUTE( SUBSTITUTE( SUBSTITUTE( SUBSTITUTE( SUBSTITUTE( SUBSTITUTE( C1329, ""۰"", ""0""), ""۱"", ""1""), ""۲"", ""2""), ""۳"", ""3""), ""۴"", ""4""), ""۵"", ""5""), ""۶"", """&amp;"6""), ""۷"", ""7""), ""۸"", ""8""), ""۹"", ""9""), IF(LEFT(converted,3)=""+98"", ""0"" &amp; RIGHT(converted, LEN(converted)-3), IF(LEFT(converted,2)=""98"", ""0"" &amp; RIGHT(converted, LEN(converted)-2), IF(LEFT(converted,1)&lt;&gt;""0"", ""0"" &amp; converted, REGEXREPL"&amp;"ACE(converted , ""\s"", """")) ) ) ) )"),"09199928832")</f>
        <v>09199928832</v>
      </c>
      <c r="E1329" s="205" t="s">
        <v>17</v>
      </c>
      <c r="F1329" s="206">
        <v>10.0</v>
      </c>
      <c r="G1329" s="202"/>
      <c r="H1329" s="202"/>
      <c r="I1329" s="203"/>
      <c r="J1329" s="203"/>
      <c r="K1329" s="207" t="s">
        <v>222</v>
      </c>
      <c r="L1329" s="207" t="s">
        <v>223</v>
      </c>
      <c r="M1329" s="207"/>
      <c r="N1329" s="207"/>
      <c r="O1329" s="202"/>
      <c r="P1329" s="202"/>
      <c r="Q1329" s="208"/>
      <c r="R1329" s="86"/>
      <c r="S1329" s="114">
        <f t="shared" ref="S1329:T1329" si="1330">A1329</f>
        <v>1329</v>
      </c>
      <c r="T1329" s="114" t="str">
        <f t="shared" si="1330"/>
        <v>بهنام کبیری</v>
      </c>
      <c r="U1329" s="86" t="str">
        <f t="shared" si="3"/>
        <v>09199928832</v>
      </c>
      <c r="V1329" s="86" t="str">
        <f t="shared" si="4"/>
        <v>پیش‌وایی 10</v>
      </c>
      <c r="W1329" s="86"/>
      <c r="X1329" s="86"/>
    </row>
    <row r="1330">
      <c r="A1330" s="192">
        <v>1330.0</v>
      </c>
      <c r="B1330" s="193" t="s">
        <v>4845</v>
      </c>
      <c r="C1330" s="194" t="s">
        <v>238</v>
      </c>
      <c r="D1330" s="195" t="str">
        <f>IFERROR(__xludf.DUMMYFUNCTION("ARRAYFORMULA(LET( converted, SUBSTITUTE( SUBSTITUTE( SUBSTITUTE( SUBSTITUTE( SUBSTITUTE( SUBSTITUTE( SUBSTITUTE( SUBSTITUTE( SUBSTITUTE( SUBSTITUTE( C1330, ""۰"", ""0""), ""۱"", ""1""), ""۲"", ""2""), ""۳"", ""3""), ""۴"", ""4""), ""۵"", ""5""), ""۶"", """&amp;"6""), ""۷"", ""7""), ""۸"", ""8""), ""۹"", ""9""), IF(LEFT(converted,3)=""+98"", ""0"" &amp; RIGHT(converted, LEN(converted)-3), IF(LEFT(converted,2)=""98"", ""0"" &amp; RIGHT(converted, LEN(converted)-2), IF(LEFT(converted,1)&lt;&gt;""0"", ""0"" &amp; converted, REGEXREPL"&amp;"ACE(converted , ""\s"", """")) ) ) ) )"),"09355344963")</f>
        <v>09355344963</v>
      </c>
      <c r="E1330" s="196" t="s">
        <v>17</v>
      </c>
      <c r="F1330" s="197">
        <v>10.0</v>
      </c>
      <c r="G1330" s="193"/>
      <c r="H1330" s="193"/>
      <c r="I1330" s="194"/>
      <c r="J1330" s="194"/>
      <c r="K1330" s="199" t="s">
        <v>236</v>
      </c>
      <c r="L1330" s="199" t="s">
        <v>237</v>
      </c>
      <c r="M1330" s="199"/>
      <c r="N1330" s="199"/>
      <c r="O1330" s="193"/>
      <c r="P1330" s="193"/>
      <c r="Q1330" s="200"/>
      <c r="R1330" s="86"/>
      <c r="S1330" s="114">
        <f t="shared" ref="S1330:T1330" si="1331">A1330</f>
        <v>1330</v>
      </c>
      <c r="T1330" s="114" t="str">
        <f t="shared" si="1331"/>
        <v>رها فرهادی</v>
      </c>
      <c r="U1330" s="86" t="str">
        <f t="shared" si="3"/>
        <v>09355344963</v>
      </c>
      <c r="V1330" s="86" t="str">
        <f t="shared" si="4"/>
        <v>پیش‌وایی 10</v>
      </c>
      <c r="W1330" s="86"/>
      <c r="X1330" s="86"/>
    </row>
    <row r="1331">
      <c r="A1331" s="201">
        <v>1331.0</v>
      </c>
      <c r="B1331" s="202" t="s">
        <v>1342</v>
      </c>
      <c r="C1331" s="203" t="s">
        <v>243</v>
      </c>
      <c r="D1331" s="204" t="str">
        <f>IFERROR(__xludf.DUMMYFUNCTION("ARRAYFORMULA(LET( converted, SUBSTITUTE( SUBSTITUTE( SUBSTITUTE( SUBSTITUTE( SUBSTITUTE( SUBSTITUTE( SUBSTITUTE( SUBSTITUTE( SUBSTITUTE( SUBSTITUTE( C1331, ""۰"", ""0""), ""۱"", ""1""), ""۲"", ""2""), ""۳"", ""3""), ""۴"", ""4""), ""۵"", ""5""), ""۶"", """&amp;"6""), ""۷"", ""7""), ""۸"", ""8""), ""۹"", ""9""), IF(LEFT(converted,3)=""+98"", ""0"" &amp; RIGHT(converted, LEN(converted)-3), IF(LEFT(converted,2)=""98"", ""0"" &amp; RIGHT(converted, LEN(converted)-2), IF(LEFT(converted,1)&lt;&gt;""0"", ""0"" &amp; converted, REGEXREPL"&amp;"ACE(converted , ""\s"", """")) ) ) ) )"),"09224830197")</f>
        <v>09224830197</v>
      </c>
      <c r="E1331" s="205" t="s">
        <v>17</v>
      </c>
      <c r="F1331" s="206">
        <v>10.0</v>
      </c>
      <c r="G1331" s="202"/>
      <c r="H1331" s="202"/>
      <c r="I1331" s="203"/>
      <c r="J1331" s="203"/>
      <c r="K1331" s="207" t="s">
        <v>196</v>
      </c>
      <c r="L1331" s="207" t="s">
        <v>242</v>
      </c>
      <c r="M1331" s="207"/>
      <c r="N1331" s="207"/>
      <c r="O1331" s="202"/>
      <c r="P1331" s="202"/>
      <c r="Q1331" s="208"/>
      <c r="R1331" s="86"/>
      <c r="S1331" s="114">
        <f t="shared" ref="S1331:T1331" si="1332">A1331</f>
        <v>1331</v>
      </c>
      <c r="T1331" s="114" t="str">
        <f t="shared" si="1332"/>
        <v>سایه زارعی</v>
      </c>
      <c r="U1331" s="86" t="str">
        <f t="shared" si="3"/>
        <v>09224830197</v>
      </c>
      <c r="V1331" s="86" t="str">
        <f t="shared" si="4"/>
        <v>پیش‌وایی 10</v>
      </c>
      <c r="W1331" s="86"/>
      <c r="X1331" s="86"/>
    </row>
    <row r="1332">
      <c r="A1332" s="192">
        <v>1332.0</v>
      </c>
      <c r="B1332" s="193" t="s">
        <v>1799</v>
      </c>
      <c r="C1332" s="194" t="s">
        <v>261</v>
      </c>
      <c r="D1332" s="195" t="str">
        <f>IFERROR(__xludf.DUMMYFUNCTION("ARRAYFORMULA(LET( converted, SUBSTITUTE( SUBSTITUTE( SUBSTITUTE( SUBSTITUTE( SUBSTITUTE( SUBSTITUTE( SUBSTITUTE( SUBSTITUTE( SUBSTITUTE( SUBSTITUTE( C1332, ""۰"", ""0""), ""۱"", ""1""), ""۲"", ""2""), ""۳"", ""3""), ""۴"", ""4""), ""۵"", ""5""), ""۶"", """&amp;"6""), ""۷"", ""7""), ""۸"", ""8""), ""۹"", ""9""), IF(LEFT(converted,3)=""+98"", ""0"" &amp; RIGHT(converted, LEN(converted)-3), IF(LEFT(converted,2)=""98"", ""0"" &amp; RIGHT(converted, LEN(converted)-2), IF(LEFT(converted,1)&lt;&gt;""0"", ""0"" &amp; converted, REGEXREPL"&amp;"ACE(converted , ""\s"", """")) ) ) ) )"),"09132763021")</f>
        <v>09132763021</v>
      </c>
      <c r="E1332" s="196" t="s">
        <v>17</v>
      </c>
      <c r="F1332" s="197">
        <v>10.0</v>
      </c>
      <c r="G1332" s="193"/>
      <c r="H1332" s="193"/>
      <c r="I1332" s="194"/>
      <c r="J1332" s="194"/>
      <c r="K1332" s="199" t="s">
        <v>259</v>
      </c>
      <c r="L1332" s="199" t="s">
        <v>260</v>
      </c>
      <c r="M1332" s="199"/>
      <c r="N1332" s="199"/>
      <c r="O1332" s="193"/>
      <c r="P1332" s="193"/>
      <c r="Q1332" s="200"/>
      <c r="R1332" s="86"/>
      <c r="S1332" s="114">
        <f t="shared" ref="S1332:T1332" si="1333">A1332</f>
        <v>1332</v>
      </c>
      <c r="T1332" s="114" t="str">
        <f t="shared" si="1333"/>
        <v>علیرضا طالعی</v>
      </c>
      <c r="U1332" s="86" t="str">
        <f t="shared" si="3"/>
        <v>09132763021</v>
      </c>
      <c r="V1332" s="86" t="str">
        <f t="shared" si="4"/>
        <v>پیش‌وایی 10</v>
      </c>
      <c r="W1332" s="86"/>
      <c r="X1332" s="86"/>
    </row>
    <row r="1333">
      <c r="A1333" s="201">
        <v>1333.0</v>
      </c>
      <c r="B1333" s="202" t="s">
        <v>5000</v>
      </c>
      <c r="C1333" s="203" t="s">
        <v>278</v>
      </c>
      <c r="D1333" s="204" t="str">
        <f>IFERROR(__xludf.DUMMYFUNCTION("ARRAYFORMULA(LET( converted, SUBSTITUTE( SUBSTITUTE( SUBSTITUTE( SUBSTITUTE( SUBSTITUTE( SUBSTITUTE( SUBSTITUTE( SUBSTITUTE( SUBSTITUTE( SUBSTITUTE( C1333, ""۰"", ""0""), ""۱"", ""1""), ""۲"", ""2""), ""۳"", ""3""), ""۴"", ""4""), ""۵"", ""5""), ""۶"", """&amp;"6""), ""۷"", ""7""), ""۸"", ""8""), ""۹"", ""9""), IF(LEFT(converted,3)=""+98"", ""0"" &amp; RIGHT(converted, LEN(converted)-3), IF(LEFT(converted,2)=""98"", ""0"" &amp; RIGHT(converted, LEN(converted)-2), IF(LEFT(converted,1)&lt;&gt;""0"", ""0"" &amp; converted, REGEXREPL"&amp;"ACE(converted , ""\s"", """")) ) ) ) )"),"09384154314")</f>
        <v>09384154314</v>
      </c>
      <c r="E1333" s="205" t="s">
        <v>17</v>
      </c>
      <c r="F1333" s="206">
        <v>10.0</v>
      </c>
      <c r="G1333" s="202"/>
      <c r="H1333" s="202"/>
      <c r="I1333" s="203"/>
      <c r="J1333" s="203"/>
      <c r="K1333" s="207" t="s">
        <v>274</v>
      </c>
      <c r="L1333" s="207" t="s">
        <v>277</v>
      </c>
      <c r="M1333" s="207"/>
      <c r="N1333" s="207"/>
      <c r="O1333" s="202"/>
      <c r="P1333" s="202"/>
      <c r="Q1333" s="208"/>
      <c r="R1333" s="86"/>
      <c r="S1333" s="114">
        <f t="shared" ref="S1333:T1333" si="1334">A1333</f>
        <v>1333</v>
      </c>
      <c r="T1333" s="114" t="str">
        <f t="shared" si="1334"/>
        <v>فاطمه مظاهری</v>
      </c>
      <c r="U1333" s="86" t="str">
        <f t="shared" si="3"/>
        <v>09384154314</v>
      </c>
      <c r="V1333" s="86" t="str">
        <f t="shared" si="4"/>
        <v>پیش‌وایی 10</v>
      </c>
      <c r="W1333" s="86"/>
      <c r="X1333" s="86"/>
    </row>
    <row r="1334">
      <c r="A1334" s="192">
        <v>1334.0</v>
      </c>
      <c r="B1334" s="193" t="s">
        <v>2461</v>
      </c>
      <c r="C1334" s="194" t="s">
        <v>284</v>
      </c>
      <c r="D1334" s="195" t="str">
        <f>IFERROR(__xludf.DUMMYFUNCTION("ARRAYFORMULA(LET( converted, SUBSTITUTE( SUBSTITUTE( SUBSTITUTE( SUBSTITUTE( SUBSTITUTE( SUBSTITUTE( SUBSTITUTE( SUBSTITUTE( SUBSTITUTE( SUBSTITUTE( C1334, ""۰"", ""0""), ""۱"", ""1""), ""۲"", ""2""), ""۳"", ""3""), ""۴"", ""4""), ""۵"", ""5""), ""۶"", """&amp;"6""), ""۷"", ""7""), ""۸"", ""8""), ""۹"", ""9""), IF(LEFT(converted,3)=""+98"", ""0"" &amp; RIGHT(converted, LEN(converted)-3), IF(LEFT(converted,2)=""98"", ""0"" &amp; RIGHT(converted, LEN(converted)-2), IF(LEFT(converted,1)&lt;&gt;""0"", ""0"" &amp; converted, REGEXREPL"&amp;"ACE(converted , ""\s"", """")) ) ) ) )"),"09125936532")</f>
        <v>09125936532</v>
      </c>
      <c r="E1334" s="196" t="s">
        <v>17</v>
      </c>
      <c r="F1334" s="197">
        <v>10.0</v>
      </c>
      <c r="G1334" s="193"/>
      <c r="H1334" s="193"/>
      <c r="I1334" s="194"/>
      <c r="J1334" s="194"/>
      <c r="K1334" s="199" t="s">
        <v>186</v>
      </c>
      <c r="L1334" s="199" t="s">
        <v>283</v>
      </c>
      <c r="M1334" s="199"/>
      <c r="N1334" s="199"/>
      <c r="O1334" s="193"/>
      <c r="P1334" s="193"/>
      <c r="Q1334" s="200"/>
      <c r="R1334" s="86"/>
      <c r="S1334" s="114">
        <f t="shared" ref="S1334:T1334" si="1335">A1334</f>
        <v>1334</v>
      </c>
      <c r="T1334" s="114" t="str">
        <f t="shared" si="1335"/>
        <v>فرزاد سلطان آبادی</v>
      </c>
      <c r="U1334" s="86" t="str">
        <f t="shared" si="3"/>
        <v>09125936532</v>
      </c>
      <c r="V1334" s="86" t="str">
        <f t="shared" si="4"/>
        <v>پیش‌وایی 10</v>
      </c>
      <c r="W1334" s="86"/>
      <c r="X1334" s="86"/>
    </row>
    <row r="1335">
      <c r="A1335" s="201">
        <v>1335.0</v>
      </c>
      <c r="B1335" s="202" t="s">
        <v>1400</v>
      </c>
      <c r="C1335" s="203" t="s">
        <v>316</v>
      </c>
      <c r="D1335" s="204" t="str">
        <f>IFERROR(__xludf.DUMMYFUNCTION("ARRAYFORMULA(LET( converted, SUBSTITUTE( SUBSTITUTE( SUBSTITUTE( SUBSTITUTE( SUBSTITUTE( SUBSTITUTE( SUBSTITUTE( SUBSTITUTE( SUBSTITUTE( SUBSTITUTE( C1335, ""۰"", ""0""), ""۱"", ""1""), ""۲"", ""2""), ""۳"", ""3""), ""۴"", ""4""), ""۵"", ""5""), ""۶"", """&amp;"6""), ""۷"", ""7""), ""۸"", ""8""), ""۹"", ""9""), IF(LEFT(converted,3)=""+98"", ""0"" &amp; RIGHT(converted, LEN(converted)-3), IF(LEFT(converted,2)=""98"", ""0"" &amp; RIGHT(converted, LEN(converted)-2), IF(LEFT(converted,1)&lt;&gt;""0"", ""0"" &amp; converted, REGEXREPL"&amp;"ACE(converted , ""\s"", """")) ) ) ) )"),"09121005556")</f>
        <v>09121005556</v>
      </c>
      <c r="E1335" s="205" t="s">
        <v>17</v>
      </c>
      <c r="F1335" s="206">
        <v>10.0</v>
      </c>
      <c r="G1335" s="202"/>
      <c r="H1335" s="202"/>
      <c r="I1335" s="203"/>
      <c r="J1335" s="203"/>
      <c r="K1335" s="207" t="s">
        <v>27</v>
      </c>
      <c r="L1335" s="207" t="s">
        <v>315</v>
      </c>
      <c r="M1335" s="207"/>
      <c r="N1335" s="207"/>
      <c r="O1335" s="202"/>
      <c r="P1335" s="202"/>
      <c r="Q1335" s="208"/>
      <c r="R1335" s="86"/>
      <c r="S1335" s="114">
        <f t="shared" ref="S1335:T1335" si="1336">A1335</f>
        <v>1335</v>
      </c>
      <c r="T1335" s="114" t="str">
        <f t="shared" si="1336"/>
        <v>مجید حسینی نژاد</v>
      </c>
      <c r="U1335" s="86" t="str">
        <f t="shared" si="3"/>
        <v>09121005556</v>
      </c>
      <c r="V1335" s="86" t="str">
        <f t="shared" si="4"/>
        <v>پیش‌وایی 10</v>
      </c>
      <c r="W1335" s="86"/>
      <c r="X1335" s="86"/>
    </row>
    <row r="1336">
      <c r="A1336" s="192">
        <v>1336.0</v>
      </c>
      <c r="B1336" s="193" t="s">
        <v>5048</v>
      </c>
      <c r="C1336" s="194" t="s">
        <v>313</v>
      </c>
      <c r="D1336" s="195" t="str">
        <f>IFERROR(__xludf.DUMMYFUNCTION("ARRAYFORMULA(LET( converted, SUBSTITUTE( SUBSTITUTE( SUBSTITUTE( SUBSTITUTE( SUBSTITUTE( SUBSTITUTE( SUBSTITUTE( SUBSTITUTE( SUBSTITUTE( SUBSTITUTE( C1336, ""۰"", ""0""), ""۱"", ""1""), ""۲"", ""2""), ""۳"", ""3""), ""۴"", ""4""), ""۵"", ""5""), ""۶"", """&amp;"6""), ""۷"", ""7""), ""۸"", ""8""), ""۹"", ""9""), IF(LEFT(converted,3)=""+98"", ""0"" &amp; RIGHT(converted, LEN(converted)-3), IF(LEFT(converted,2)=""98"", ""0"" &amp; RIGHT(converted, LEN(converted)-2), IF(LEFT(converted,1)&lt;&gt;""0"", ""0"" &amp; converted, REGEXREPL"&amp;"ACE(converted , ""\s"", """")) ) ) ) )"),"09132148482")</f>
        <v>09132148482</v>
      </c>
      <c r="E1336" s="196" t="s">
        <v>17</v>
      </c>
      <c r="F1336" s="197">
        <v>10.0</v>
      </c>
      <c r="G1336" s="193"/>
      <c r="H1336" s="193"/>
      <c r="I1336" s="194"/>
      <c r="J1336" s="194"/>
      <c r="K1336" s="199" t="s">
        <v>311</v>
      </c>
      <c r="L1336" s="199" t="s">
        <v>312</v>
      </c>
      <c r="M1336" s="199"/>
      <c r="N1336" s="199"/>
      <c r="O1336" s="193"/>
      <c r="P1336" s="193"/>
      <c r="Q1336" s="200"/>
      <c r="R1336" s="86"/>
      <c r="S1336" s="114">
        <f t="shared" ref="S1336:T1336" si="1337">A1336</f>
        <v>1336</v>
      </c>
      <c r="T1336" s="114" t="str">
        <f t="shared" si="1337"/>
        <v>محسن ملک محمدی</v>
      </c>
      <c r="U1336" s="86" t="str">
        <f t="shared" si="3"/>
        <v>09132148482</v>
      </c>
      <c r="V1336" s="86" t="str">
        <f t="shared" si="4"/>
        <v>پیش‌وایی 10</v>
      </c>
      <c r="W1336" s="86"/>
      <c r="X1336" s="86"/>
    </row>
    <row r="1337">
      <c r="A1337" s="201">
        <v>1337.0</v>
      </c>
      <c r="B1337" s="202" t="s">
        <v>2773</v>
      </c>
      <c r="C1337" s="203" t="s">
        <v>305</v>
      </c>
      <c r="D1337" s="204" t="str">
        <f>IFERROR(__xludf.DUMMYFUNCTION("ARRAYFORMULA(LET( converted, SUBSTITUTE( SUBSTITUTE( SUBSTITUTE( SUBSTITUTE( SUBSTITUTE( SUBSTITUTE( SUBSTITUTE( SUBSTITUTE( SUBSTITUTE( SUBSTITUTE( C1337, ""۰"", ""0""), ""۱"", ""1""), ""۲"", ""2""), ""۳"", ""3""), ""۴"", ""4""), ""۵"", ""5""), ""۶"", """&amp;"6""), ""۷"", ""7""), ""۸"", ""8""), ""۹"", ""9""), IF(LEFT(converted,3)=""+98"", ""0"" &amp; RIGHT(converted, LEN(converted)-3), IF(LEFT(converted,2)=""98"", ""0"" &amp; RIGHT(converted, LEN(converted)-2), IF(LEFT(converted,1)&lt;&gt;""0"", ""0"" &amp; converted, REGEXREPL"&amp;"ACE(converted , ""\s"", """")) ) ) ) )"),"09196797540")</f>
        <v>09196797540</v>
      </c>
      <c r="E1337" s="205" t="s">
        <v>17</v>
      </c>
      <c r="F1337" s="206">
        <v>10.0</v>
      </c>
      <c r="G1337" s="202"/>
      <c r="H1337" s="202"/>
      <c r="I1337" s="203"/>
      <c r="J1337" s="203"/>
      <c r="K1337" s="207" t="s">
        <v>303</v>
      </c>
      <c r="L1337" s="207" t="s">
        <v>304</v>
      </c>
      <c r="M1337" s="207"/>
      <c r="N1337" s="207"/>
      <c r="O1337" s="202"/>
      <c r="P1337" s="202"/>
      <c r="Q1337" s="208"/>
      <c r="R1337" s="86"/>
      <c r="S1337" s="114">
        <f t="shared" ref="S1337:T1337" si="1338">A1337</f>
        <v>1337</v>
      </c>
      <c r="T1337" s="114" t="str">
        <f t="shared" si="1338"/>
        <v>محمد بیات</v>
      </c>
      <c r="U1337" s="86" t="str">
        <f t="shared" si="3"/>
        <v>09196797540</v>
      </c>
      <c r="V1337" s="86" t="str">
        <f t="shared" si="4"/>
        <v>پیش‌وایی 10</v>
      </c>
      <c r="W1337" s="86"/>
      <c r="X1337" s="86"/>
    </row>
    <row r="1338">
      <c r="A1338" s="192">
        <v>1338.0</v>
      </c>
      <c r="B1338" s="193" t="s">
        <v>198</v>
      </c>
      <c r="C1338" s="194" t="s">
        <v>5907</v>
      </c>
      <c r="D1338" s="195" t="str">
        <f>IFERROR(__xludf.DUMMYFUNCTION("ARRAYFORMULA(LET( converted, SUBSTITUTE( SUBSTITUTE( SUBSTITUTE( SUBSTITUTE( SUBSTITUTE( SUBSTITUTE( SUBSTITUTE( SUBSTITUTE( SUBSTITUTE( SUBSTITUTE( C1338, ""۰"", ""0""), ""۱"", ""1""), ""۲"", ""2""), ""۳"", ""3""), ""۴"", ""4""), ""۵"", ""5""), ""۶"", """&amp;"6""), ""۷"", ""7""), ""۸"", ""8""), ""۹"", ""9""), IF(LEFT(converted,3)=""+98"", ""0"" &amp; RIGHT(converted, LEN(converted)-3), IF(LEFT(converted,2)=""98"", ""0"" &amp; RIGHT(converted, LEN(converted)-2), IF(LEFT(converted,1)&lt;&gt;""0"", ""0"" &amp; converted, REGEXREPL"&amp;"ACE(converted , ""\s"", """")) ) ) ) )"),"09369818060")</f>
        <v>09369818060</v>
      </c>
      <c r="E1338" s="196" t="s">
        <v>17</v>
      </c>
      <c r="F1338" s="197">
        <v>10.0</v>
      </c>
      <c r="G1338" s="193"/>
      <c r="H1338" s="193"/>
      <c r="I1338" s="194"/>
      <c r="J1338" s="194"/>
      <c r="K1338" s="199" t="s">
        <v>292</v>
      </c>
      <c r="L1338" s="199" t="s">
        <v>293</v>
      </c>
      <c r="M1338" s="199"/>
      <c r="N1338" s="199"/>
      <c r="O1338" s="193"/>
      <c r="P1338" s="193"/>
      <c r="Q1338" s="200"/>
      <c r="R1338" s="86"/>
      <c r="S1338" s="114">
        <f t="shared" ref="S1338:T1338" si="1339">A1338</f>
        <v>1338</v>
      </c>
      <c r="T1338" s="114" t="str">
        <f t="shared" si="1339"/>
        <v>مریم سید حسین</v>
      </c>
      <c r="U1338" s="86" t="str">
        <f t="shared" si="3"/>
        <v>09369818060</v>
      </c>
      <c r="V1338" s="86" t="str">
        <f t="shared" si="4"/>
        <v>پیش‌وایی 10</v>
      </c>
      <c r="W1338" s="86"/>
      <c r="X1338" s="86"/>
    </row>
    <row r="1339">
      <c r="A1339" s="201">
        <v>1339.0</v>
      </c>
      <c r="B1339" s="202" t="s">
        <v>5908</v>
      </c>
      <c r="C1339" s="203" t="s">
        <v>5909</v>
      </c>
      <c r="D1339" s="204" t="str">
        <f>IFERROR(__xludf.DUMMYFUNCTION("ARRAYFORMULA(LET( converted, SUBSTITUTE( SUBSTITUTE( SUBSTITUTE( SUBSTITUTE( SUBSTITUTE( SUBSTITUTE( SUBSTITUTE( SUBSTITUTE( SUBSTITUTE( SUBSTITUTE( C1339, ""۰"", ""0""), ""۱"", ""1""), ""۲"", ""2""), ""۳"", ""3""), ""۴"", ""4""), ""۵"", ""5""), ""۶"", """&amp;"6""), ""۷"", ""7""), ""۸"", ""8""), ""۹"", ""9""), IF(LEFT(converted,3)=""+98"", ""0"" &amp; RIGHT(converted, LEN(converted)-3), IF(LEFT(converted,2)=""98"", ""0"" &amp; RIGHT(converted, LEN(converted)-2), IF(LEFT(converted,1)&lt;&gt;""0"", ""0"" &amp; converted, REGEXREPL"&amp;"ACE(converted , ""\s"", """")) ) ) ) )"),"09124753107")</f>
        <v>09124753107</v>
      </c>
      <c r="E1339" s="205" t="s">
        <v>17</v>
      </c>
      <c r="F1339" s="206">
        <v>10.0</v>
      </c>
      <c r="G1339" s="202"/>
      <c r="H1339" s="202"/>
      <c r="I1339" s="203"/>
      <c r="J1339" s="203"/>
      <c r="K1339" s="207" t="s">
        <v>286</v>
      </c>
      <c r="L1339" s="207" t="s">
        <v>287</v>
      </c>
      <c r="M1339" s="207"/>
      <c r="N1339" s="207"/>
      <c r="O1339" s="202"/>
      <c r="P1339" s="202"/>
      <c r="Q1339" s="208"/>
      <c r="R1339" s="86"/>
      <c r="S1339" s="114">
        <f t="shared" ref="S1339:T1339" si="1340">A1339</f>
        <v>1339</v>
      </c>
      <c r="T1339" s="114" t="str">
        <f t="shared" si="1340"/>
        <v>مهدی مهدی پور</v>
      </c>
      <c r="U1339" s="86" t="str">
        <f t="shared" si="3"/>
        <v>09124753107</v>
      </c>
      <c r="V1339" s="86" t="str">
        <f t="shared" si="4"/>
        <v>پیش‌وایی 10</v>
      </c>
      <c r="W1339" s="86"/>
      <c r="X1339" s="86"/>
    </row>
    <row r="1340">
      <c r="A1340" s="192">
        <v>1340.0</v>
      </c>
      <c r="B1340" s="193" t="s">
        <v>73</v>
      </c>
      <c r="C1340" s="194" t="s">
        <v>290</v>
      </c>
      <c r="D1340" s="195" t="str">
        <f>IFERROR(__xludf.DUMMYFUNCTION("ARRAYFORMULA(LET( converted, SUBSTITUTE( SUBSTITUTE( SUBSTITUTE( SUBSTITUTE( SUBSTITUTE( SUBSTITUTE( SUBSTITUTE( SUBSTITUTE( SUBSTITUTE( SUBSTITUTE( C1340, ""۰"", ""0""), ""۱"", ""1""), ""۲"", ""2""), ""۳"", ""3""), ""۴"", ""4""), ""۵"", ""5""), ""۶"", """&amp;"6""), ""۷"", ""7""), ""۸"", ""8""), ""۹"", ""9""), IF(LEFT(converted,3)=""+98"", ""0"" &amp; RIGHT(converted, LEN(converted)-3), IF(LEFT(converted,2)=""98"", ""0"" &amp; RIGHT(converted, LEN(converted)-2), IF(LEFT(converted,1)&lt;&gt;""0"", ""0"" &amp; converted, REGEXREPL"&amp;"ACE(converted , ""\s"", """")) ) ) ) )"),"09125085090")</f>
        <v>09125085090</v>
      </c>
      <c r="E1340" s="196" t="s">
        <v>17</v>
      </c>
      <c r="F1340" s="197">
        <v>10.0</v>
      </c>
      <c r="G1340" s="193"/>
      <c r="H1340" s="193"/>
      <c r="I1340" s="194"/>
      <c r="J1340" s="194"/>
      <c r="K1340" s="199" t="s">
        <v>185</v>
      </c>
      <c r="L1340" s="199" t="s">
        <v>289</v>
      </c>
      <c r="M1340" s="199"/>
      <c r="N1340" s="199"/>
      <c r="O1340" s="193"/>
      <c r="P1340" s="193"/>
      <c r="Q1340" s="200"/>
      <c r="R1340" s="86"/>
      <c r="S1340" s="114">
        <f t="shared" ref="S1340:T1340" si="1341">A1340</f>
        <v>1340</v>
      </c>
      <c r="T1340" s="114" t="str">
        <f t="shared" si="1341"/>
        <v>مهران میکائیلی</v>
      </c>
      <c r="U1340" s="86" t="str">
        <f t="shared" si="3"/>
        <v>09125085090</v>
      </c>
      <c r="V1340" s="86" t="str">
        <f t="shared" si="4"/>
        <v>پیش‌وایی 10</v>
      </c>
      <c r="W1340" s="86"/>
      <c r="X1340" s="86"/>
    </row>
    <row r="1341">
      <c r="A1341" s="201">
        <v>1341.0</v>
      </c>
      <c r="B1341" s="202" t="s">
        <v>5309</v>
      </c>
      <c r="C1341" s="203"/>
      <c r="D1341" s="204" t="str">
        <f>IFERROR(__xludf.DUMMYFUNCTION("ARRAYFORMULA(LET( converted, SUBSTITUTE( SUBSTITUTE( SUBSTITUTE( SUBSTITUTE( SUBSTITUTE( SUBSTITUTE( SUBSTITUTE( SUBSTITUTE( SUBSTITUTE( SUBSTITUTE( C1341, ""۰"", ""0""), ""۱"", ""1""), ""۲"", ""2""), ""۳"", ""3""), ""۴"", ""4""), ""۵"", ""5""), ""۶"", """&amp;"6""), ""۷"", ""7""), ""۸"", ""8""), ""۹"", ""9""), IF(LEFT(converted,3)=""+98"", ""0"" &amp; RIGHT(converted, LEN(converted)-3), IF(LEFT(converted,2)=""98"", ""0"" &amp; RIGHT(converted, LEN(converted)-2), IF(LEFT(converted,1)&lt;&gt;""0"", ""0"" &amp; converted, REGEXREPL"&amp;"ACE(converted , ""\s"", """")) ) ) ) )"),"0")</f>
        <v>0</v>
      </c>
      <c r="E1341" s="205" t="s">
        <v>17</v>
      </c>
      <c r="F1341" s="206">
        <v>10.0</v>
      </c>
      <c r="G1341" s="202"/>
      <c r="H1341" s="202"/>
      <c r="I1341" s="203"/>
      <c r="J1341" s="203"/>
      <c r="K1341" s="207" t="s">
        <v>329</v>
      </c>
      <c r="L1341" s="207" t="s">
        <v>330</v>
      </c>
      <c r="M1341" s="207"/>
      <c r="N1341" s="207"/>
      <c r="O1341" s="202"/>
      <c r="P1341" s="202"/>
      <c r="Q1341" s="208"/>
      <c r="R1341" s="86"/>
      <c r="S1341" s="114">
        <f t="shared" ref="S1341:T1341" si="1342">A1341</f>
        <v>1341</v>
      </c>
      <c r="T1341" s="114" t="str">
        <f t="shared" si="1342"/>
        <v>نگین محمودی</v>
      </c>
      <c r="U1341" s="86" t="str">
        <f t="shared" si="3"/>
        <v>0</v>
      </c>
      <c r="V1341" s="86" t="str">
        <f t="shared" si="4"/>
        <v>پیش‌وایی 10</v>
      </c>
      <c r="W1341" s="86"/>
      <c r="X1341" s="86"/>
    </row>
    <row r="1342">
      <c r="A1342" s="192">
        <v>1342.0</v>
      </c>
      <c r="B1342" s="193" t="s">
        <v>62</v>
      </c>
      <c r="C1342" s="194" t="s">
        <v>272</v>
      </c>
      <c r="D1342" s="195" t="str">
        <f>IFERROR(__xludf.DUMMYFUNCTION("ARRAYFORMULA(LET( converted, SUBSTITUTE( SUBSTITUTE( SUBSTITUTE( SUBSTITUTE( SUBSTITUTE( SUBSTITUTE( SUBSTITUTE( SUBSTITUTE( SUBSTITUTE( SUBSTITUTE( C1342, ""۰"", ""0""), ""۱"", ""1""), ""۲"", ""2""), ""۳"", ""3""), ""۴"", ""4""), ""۵"", ""5""), ""۶"", """&amp;"6""), ""۷"", ""7""), ""۸"", ""8""), ""۹"", ""9""), IF(LEFT(converted,3)=""+98"", ""0"" &amp; RIGHT(converted, LEN(converted)-3), IF(LEFT(converted,2)=""98"", ""0"" &amp; RIGHT(converted, LEN(converted)-2), IF(LEFT(converted,1)&lt;&gt;""0"", ""0"" &amp; converted, REGEXREPL"&amp;"ACE(converted , ""\s"", """")) ) ) ) )"),"09125052440")</f>
        <v>09125052440</v>
      </c>
      <c r="E1342" s="196" t="s">
        <v>17</v>
      </c>
      <c r="F1342" s="197">
        <v>10.0</v>
      </c>
      <c r="G1342" s="193"/>
      <c r="H1342" s="193"/>
      <c r="I1342" s="194"/>
      <c r="J1342" s="194"/>
      <c r="K1342" s="199" t="s">
        <v>53</v>
      </c>
      <c r="L1342" s="199" t="s">
        <v>327</v>
      </c>
      <c r="M1342" s="199"/>
      <c r="N1342" s="199"/>
      <c r="O1342" s="193"/>
      <c r="P1342" s="193"/>
      <c r="Q1342" s="200"/>
      <c r="R1342" s="86"/>
      <c r="S1342" s="114">
        <f t="shared" ref="S1342:T1342" si="1343">A1342</f>
        <v>1342</v>
      </c>
      <c r="T1342" s="114" t="str">
        <f t="shared" si="1343"/>
        <v>هاشم کیانی</v>
      </c>
      <c r="U1342" s="86" t="str">
        <f t="shared" si="3"/>
        <v>09125052440</v>
      </c>
      <c r="V1342" s="86" t="str">
        <f t="shared" si="4"/>
        <v>پیش‌وایی 10</v>
      </c>
      <c r="W1342" s="86"/>
      <c r="X1342" s="86"/>
    </row>
    <row r="1343">
      <c r="A1343" s="201">
        <v>1343.0</v>
      </c>
      <c r="B1343" s="202" t="s">
        <v>5910</v>
      </c>
      <c r="C1343" s="203" t="s">
        <v>5911</v>
      </c>
      <c r="D1343" s="204" t="str">
        <f>IFERROR(__xludf.DUMMYFUNCTION("ARRAYFORMULA(LET( converted, SUBSTITUTE( SUBSTITUTE( SUBSTITUTE( SUBSTITUTE( SUBSTITUTE( SUBSTITUTE( SUBSTITUTE( SUBSTITUTE( SUBSTITUTE( SUBSTITUTE( C1343, ""۰"", ""0""), ""۱"", ""1""), ""۲"", ""2""), ""۳"", ""3""), ""۴"", ""4""), ""۵"", ""5""), ""۶"", """&amp;"6""), ""۷"", ""7""), ""۸"", ""8""), ""۹"", ""9""), IF(LEFT(converted,3)=""+98"", ""0"" &amp; RIGHT(converted, LEN(converted)-3), IF(LEFT(converted,2)=""98"", ""0"" &amp; RIGHT(converted, LEN(converted)-2), IF(LEFT(converted,1)&lt;&gt;""0"", ""0"" &amp; converted, REGEXREPL"&amp;"ACE(converted , ""\s"", """")) ) ) ) )"),"09122593771")</f>
        <v>09122593771</v>
      </c>
      <c r="E1343" s="205" t="s">
        <v>17</v>
      </c>
      <c r="F1343" s="206">
        <v>10.0</v>
      </c>
      <c r="G1343" s="202"/>
      <c r="H1343" s="202"/>
      <c r="I1343" s="203"/>
      <c r="J1343" s="203"/>
      <c r="K1343" s="207" t="s">
        <v>818</v>
      </c>
      <c r="L1343" s="207" t="s">
        <v>248</v>
      </c>
      <c r="M1343" s="207"/>
      <c r="N1343" s="207"/>
      <c r="O1343" s="202"/>
      <c r="P1343" s="202"/>
      <c r="Q1343" s="208"/>
      <c r="R1343" s="86"/>
      <c r="S1343" s="114">
        <f t="shared" ref="S1343:T1343" si="1344">A1343</f>
        <v>1343</v>
      </c>
      <c r="T1343" s="114" t="str">
        <f t="shared" si="1344"/>
        <v>اعظم صفری (کارکنان هتل)</v>
      </c>
      <c r="U1343" s="86" t="str">
        <f t="shared" si="3"/>
        <v>09122593771</v>
      </c>
      <c r="V1343" s="86" t="str">
        <f t="shared" si="4"/>
        <v>پیش‌وایی 10</v>
      </c>
      <c r="W1343" s="86"/>
      <c r="X1343" s="86"/>
    </row>
    <row r="1344">
      <c r="A1344" s="192">
        <v>1344.0</v>
      </c>
      <c r="B1344" s="193" t="s">
        <v>5912</v>
      </c>
      <c r="C1344" s="194" t="s">
        <v>5913</v>
      </c>
      <c r="D1344" s="195" t="str">
        <f>IFERROR(__xludf.DUMMYFUNCTION("ARRAYFORMULA(LET( converted, SUBSTITUTE( SUBSTITUTE( SUBSTITUTE( SUBSTITUTE( SUBSTITUTE( SUBSTITUTE( SUBSTITUTE( SUBSTITUTE( SUBSTITUTE( SUBSTITUTE( C1344, ""۰"", ""0""), ""۱"", ""1""), ""۲"", ""2""), ""۳"", ""3""), ""۴"", ""4""), ""۵"", ""5""), ""۶"", """&amp;"6""), ""۷"", ""7""), ""۸"", ""8""), ""۹"", ""9""), IF(LEFT(converted,3)=""+98"", ""0"" &amp; RIGHT(converted, LEN(converted)-3), IF(LEFT(converted,2)=""98"", ""0"" &amp; RIGHT(converted, LEN(converted)-2), IF(LEFT(converted,1)&lt;&gt;""0"", ""0"" &amp; converted, REGEXREPL"&amp;"ACE(converted , ""\s"", """")) ) ) ) )"),"09102116535")</f>
        <v>09102116535</v>
      </c>
      <c r="E1344" s="196" t="s">
        <v>17</v>
      </c>
      <c r="F1344" s="197">
        <v>10.0</v>
      </c>
      <c r="G1344" s="193"/>
      <c r="H1344" s="193"/>
      <c r="I1344" s="194"/>
      <c r="J1344" s="194"/>
      <c r="K1344" s="199" t="s">
        <v>1398</v>
      </c>
      <c r="L1344" s="199" t="s">
        <v>5914</v>
      </c>
      <c r="M1344" s="199"/>
      <c r="N1344" s="199"/>
      <c r="O1344" s="193"/>
      <c r="P1344" s="193"/>
      <c r="Q1344" s="200"/>
      <c r="R1344" s="86"/>
      <c r="S1344" s="114">
        <f t="shared" ref="S1344:T1344" si="1345">A1344</f>
        <v>1344</v>
      </c>
      <c r="T1344" s="114" t="str">
        <f t="shared" si="1345"/>
        <v>زهرا داوودی</v>
      </c>
      <c r="U1344" s="86" t="str">
        <f t="shared" si="3"/>
        <v>09102116535</v>
      </c>
      <c r="V1344" s="86" t="str">
        <f t="shared" si="4"/>
        <v>پیش‌وایی 10</v>
      </c>
      <c r="W1344" s="86"/>
      <c r="X1344" s="86"/>
    </row>
    <row r="1345">
      <c r="A1345" s="201">
        <v>1345.0</v>
      </c>
      <c r="B1345" s="202" t="s">
        <v>5915</v>
      </c>
      <c r="C1345" s="203" t="s">
        <v>5916</v>
      </c>
      <c r="D1345" s="204" t="str">
        <f>IFERROR(__xludf.DUMMYFUNCTION("ARRAYFORMULA(LET( converted, SUBSTITUTE( SUBSTITUTE( SUBSTITUTE( SUBSTITUTE( SUBSTITUTE( SUBSTITUTE( SUBSTITUTE( SUBSTITUTE( SUBSTITUTE( SUBSTITUTE( C1345, ""۰"", ""0""), ""۱"", ""1""), ""۲"", ""2""), ""۳"", ""3""), ""۴"", ""4""), ""۵"", ""5""), ""۶"", """&amp;"6""), ""۷"", ""7""), ""۸"", ""8""), ""۹"", ""9""), IF(LEFT(converted,3)=""+98"", ""0"" &amp; RIGHT(converted, LEN(converted)-3), IF(LEFT(converted,2)=""98"", ""0"" &amp; RIGHT(converted, LEN(converted)-2), IF(LEFT(converted,1)&lt;&gt;""0"", ""0"" &amp; converted, REGEXREPL"&amp;"ACE(converted , ""\s"", """")) ) ) ) )"),"09179701121")</f>
        <v>09179701121</v>
      </c>
      <c r="E1345" s="205" t="s">
        <v>17</v>
      </c>
      <c r="F1345" s="206">
        <v>10.0</v>
      </c>
      <c r="G1345" s="202"/>
      <c r="H1345" s="202"/>
      <c r="I1345" s="203"/>
      <c r="J1345" s="203"/>
      <c r="K1345" s="207" t="s">
        <v>3789</v>
      </c>
      <c r="L1345" s="207" t="s">
        <v>3177</v>
      </c>
      <c r="M1345" s="207"/>
      <c r="N1345" s="207"/>
      <c r="O1345" s="202"/>
      <c r="P1345" s="202"/>
      <c r="Q1345" s="208"/>
      <c r="R1345" s="86"/>
      <c r="S1345" s="114">
        <f t="shared" ref="S1345:T1345" si="1346">A1345</f>
        <v>1345</v>
      </c>
      <c r="T1345" s="114" t="str">
        <f t="shared" si="1346"/>
        <v>محمدامین دهقانی</v>
      </c>
      <c r="U1345" s="86" t="str">
        <f t="shared" si="3"/>
        <v>09179701121</v>
      </c>
      <c r="V1345" s="86" t="str">
        <f t="shared" si="4"/>
        <v>پیش‌وایی 10</v>
      </c>
      <c r="W1345" s="86"/>
      <c r="X1345" s="86"/>
    </row>
    <row r="1346">
      <c r="A1346" s="192">
        <v>1346.0</v>
      </c>
      <c r="B1346" s="193" t="s">
        <v>5917</v>
      </c>
      <c r="C1346" s="194" t="s">
        <v>5918</v>
      </c>
      <c r="D1346" s="195" t="str">
        <f>IFERROR(__xludf.DUMMYFUNCTION("ARRAYFORMULA(LET( converted, SUBSTITUTE( SUBSTITUTE( SUBSTITUTE( SUBSTITUTE( SUBSTITUTE( SUBSTITUTE( SUBSTITUTE( SUBSTITUTE( SUBSTITUTE( SUBSTITUTE( C1346, ""۰"", ""0""), ""۱"", ""1""), ""۲"", ""2""), ""۳"", ""3""), ""۴"", ""4""), ""۵"", ""5""), ""۶"", """&amp;"6""), ""۷"", ""7""), ""۸"", ""8""), ""۹"", ""9""), IF(LEFT(converted,3)=""+98"", ""0"" &amp; RIGHT(converted, LEN(converted)-3), IF(LEFT(converted,2)=""98"", ""0"" &amp; RIGHT(converted, LEN(converted)-2), IF(LEFT(converted,1)&lt;&gt;""0"", ""0"" &amp; converted, REGEXREPL"&amp;"ACE(converted , ""\s"", """")) ) ) ) )"),"09122973985")</f>
        <v>09122973985</v>
      </c>
      <c r="E1346" s="196" t="s">
        <v>17</v>
      </c>
      <c r="F1346" s="197">
        <v>10.0</v>
      </c>
      <c r="G1346" s="193"/>
      <c r="H1346" s="193"/>
      <c r="I1346" s="194"/>
      <c r="J1346" s="194"/>
      <c r="K1346" s="199" t="s">
        <v>1670</v>
      </c>
      <c r="L1346" s="199" t="s">
        <v>5919</v>
      </c>
      <c r="M1346" s="199"/>
      <c r="N1346" s="199"/>
      <c r="O1346" s="193"/>
      <c r="P1346" s="193"/>
      <c r="Q1346" s="200"/>
      <c r="R1346" s="86"/>
      <c r="S1346" s="114">
        <f t="shared" ref="S1346:T1346" si="1347">A1346</f>
        <v>1346</v>
      </c>
      <c r="T1346" s="114" t="str">
        <f t="shared" si="1347"/>
        <v>محمدحسین مسجدی آرانی</v>
      </c>
      <c r="U1346" s="86" t="str">
        <f t="shared" si="3"/>
        <v>09122973985</v>
      </c>
      <c r="V1346" s="86" t="str">
        <f t="shared" si="4"/>
        <v>پیش‌وایی 10</v>
      </c>
      <c r="W1346" s="86"/>
      <c r="X1346" s="86"/>
    </row>
    <row r="1347">
      <c r="A1347" s="201">
        <v>1347.0</v>
      </c>
      <c r="B1347" s="202" t="s">
        <v>5920</v>
      </c>
      <c r="C1347" s="203" t="s">
        <v>5921</v>
      </c>
      <c r="D1347" s="204" t="str">
        <f>IFERROR(__xludf.DUMMYFUNCTION("ARRAYFORMULA(LET( converted, SUBSTITUTE( SUBSTITUTE( SUBSTITUTE( SUBSTITUTE( SUBSTITUTE( SUBSTITUTE( SUBSTITUTE( SUBSTITUTE( SUBSTITUTE( SUBSTITUTE( C1347, ""۰"", ""0""), ""۱"", ""1""), ""۲"", ""2""), ""۳"", ""3""), ""۴"", ""4""), ""۵"", ""5""), ""۶"", """&amp;"6""), ""۷"", ""7""), ""۸"", ""8""), ""۹"", ""9""), IF(LEFT(converted,3)=""+98"", ""0"" &amp; RIGHT(converted, LEN(converted)-3), IF(LEFT(converted,2)=""98"", ""0"" &amp; RIGHT(converted, LEN(converted)-2), IF(LEFT(converted,1)&lt;&gt;""0"", ""0"" &amp; converted, REGEXREPL"&amp;"ACE(converted , ""\s"", """")) ) ) ) )"),"09135737073")</f>
        <v>09135737073</v>
      </c>
      <c r="E1347" s="205" t="s">
        <v>17</v>
      </c>
      <c r="F1347" s="206">
        <v>10.0</v>
      </c>
      <c r="G1347" s="202"/>
      <c r="H1347" s="202"/>
      <c r="I1347" s="203"/>
      <c r="J1347" s="203"/>
      <c r="K1347" s="207" t="s">
        <v>1018</v>
      </c>
      <c r="L1347" s="207" t="s">
        <v>4246</v>
      </c>
      <c r="M1347" s="207"/>
      <c r="N1347" s="207"/>
      <c r="O1347" s="202"/>
      <c r="P1347" s="202"/>
      <c r="Q1347" s="208"/>
      <c r="R1347" s="86"/>
      <c r="S1347" s="114">
        <f t="shared" ref="S1347:T1347" si="1348">A1347</f>
        <v>1347</v>
      </c>
      <c r="T1347" s="114" t="str">
        <f t="shared" si="1348"/>
        <v>علی حیدری</v>
      </c>
      <c r="U1347" s="86" t="str">
        <f t="shared" si="3"/>
        <v>09135737073</v>
      </c>
      <c r="V1347" s="86" t="str">
        <f t="shared" si="4"/>
        <v>پیش‌وایی 10</v>
      </c>
      <c r="W1347" s="86"/>
      <c r="X1347" s="86"/>
    </row>
    <row r="1348">
      <c r="A1348" s="192">
        <v>1348.0</v>
      </c>
      <c r="B1348" s="193" t="s">
        <v>5922</v>
      </c>
      <c r="C1348" s="194" t="s">
        <v>5923</v>
      </c>
      <c r="D1348" s="195" t="str">
        <f>IFERROR(__xludf.DUMMYFUNCTION("ARRAYFORMULA(LET( converted, SUBSTITUTE( SUBSTITUTE( SUBSTITUTE( SUBSTITUTE( SUBSTITUTE( SUBSTITUTE( SUBSTITUTE( SUBSTITUTE( SUBSTITUTE( SUBSTITUTE( C1348, ""۰"", ""0""), ""۱"", ""1""), ""۲"", ""2""), ""۳"", ""3""), ""۴"", ""4""), ""۵"", ""5""), ""۶"", """&amp;"6""), ""۷"", ""7""), ""۸"", ""8""), ""۹"", ""9""), IF(LEFT(converted,3)=""+98"", ""0"" &amp; RIGHT(converted, LEN(converted)-3), IF(LEFT(converted,2)=""98"", ""0"" &amp; RIGHT(converted, LEN(converted)-2), IF(LEFT(converted,1)&lt;&gt;""0"", ""0"" &amp; converted, REGEXREPL"&amp;"ACE(converted , ""\s"", """")) ) ) ) )"),"09120630920")</f>
        <v>09120630920</v>
      </c>
      <c r="E1348" s="196" t="s">
        <v>17</v>
      </c>
      <c r="F1348" s="197">
        <v>10.0</v>
      </c>
      <c r="G1348" s="193"/>
      <c r="H1348" s="193"/>
      <c r="I1348" s="194"/>
      <c r="J1348" s="194"/>
      <c r="K1348" s="199" t="s">
        <v>5924</v>
      </c>
      <c r="L1348" s="199" t="s">
        <v>1019</v>
      </c>
      <c r="M1348" s="199"/>
      <c r="N1348" s="199"/>
      <c r="O1348" s="193"/>
      <c r="P1348" s="193"/>
      <c r="Q1348" s="200"/>
      <c r="R1348" s="86"/>
      <c r="S1348" s="114">
        <f t="shared" ref="S1348:T1348" si="1349">A1348</f>
        <v>1348</v>
      </c>
      <c r="T1348" s="114" t="str">
        <f t="shared" si="1349"/>
        <v>امیرمحمد احمدی</v>
      </c>
      <c r="U1348" s="86" t="str">
        <f t="shared" si="3"/>
        <v>09120630920</v>
      </c>
      <c r="V1348" s="86" t="str">
        <f t="shared" si="4"/>
        <v>پیش‌وایی 10</v>
      </c>
      <c r="W1348" s="86"/>
      <c r="X1348" s="86"/>
    </row>
    <row r="1349">
      <c r="A1349" s="201">
        <v>1349.0</v>
      </c>
      <c r="B1349" s="202" t="s">
        <v>5925</v>
      </c>
      <c r="C1349" s="203" t="s">
        <v>5926</v>
      </c>
      <c r="D1349" s="204" t="str">
        <f>IFERROR(__xludf.DUMMYFUNCTION("ARRAYFORMULA(LET( converted, SUBSTITUTE( SUBSTITUTE( SUBSTITUTE( SUBSTITUTE( SUBSTITUTE( SUBSTITUTE( SUBSTITUTE( SUBSTITUTE( SUBSTITUTE( SUBSTITUTE( C1349, ""۰"", ""0""), ""۱"", ""1""), ""۲"", ""2""), ""۳"", ""3""), ""۴"", ""4""), ""۵"", ""5""), ""۶"", """&amp;"6""), ""۷"", ""7""), ""۸"", ""8""), ""۹"", ""9""), IF(LEFT(converted,3)=""+98"", ""0"" &amp; RIGHT(converted, LEN(converted)-3), IF(LEFT(converted,2)=""98"", ""0"" &amp; RIGHT(converted, LEN(converted)-2), IF(LEFT(converted,1)&lt;&gt;""0"", ""0"" &amp; converted, REGEXREPL"&amp;"ACE(converted , ""\s"", """")) ) ) ) )"),"09389397272")</f>
        <v>09389397272</v>
      </c>
      <c r="E1349" s="205" t="s">
        <v>17</v>
      </c>
      <c r="F1349" s="206">
        <v>10.0</v>
      </c>
      <c r="G1349" s="202"/>
      <c r="H1349" s="202"/>
      <c r="I1349" s="203"/>
      <c r="J1349" s="203"/>
      <c r="K1349" s="207" t="s">
        <v>2306</v>
      </c>
      <c r="L1349" s="207" t="s">
        <v>1811</v>
      </c>
      <c r="M1349" s="207"/>
      <c r="N1349" s="207"/>
      <c r="O1349" s="202"/>
      <c r="P1349" s="202"/>
      <c r="Q1349" s="208"/>
      <c r="R1349" s="86"/>
      <c r="S1349" s="114">
        <f t="shared" ref="S1349:T1349" si="1350">A1349</f>
        <v>1349</v>
      </c>
      <c r="T1349" s="114" t="str">
        <f t="shared" si="1350"/>
        <v>مرتضی حسنی</v>
      </c>
      <c r="U1349" s="86" t="str">
        <f t="shared" si="3"/>
        <v>09389397272</v>
      </c>
      <c r="V1349" s="86" t="str">
        <f t="shared" si="4"/>
        <v>پیش‌وایی 10</v>
      </c>
      <c r="W1349" s="86"/>
      <c r="X1349" s="86"/>
    </row>
    <row r="1350">
      <c r="A1350" s="192">
        <v>1350.0</v>
      </c>
      <c r="B1350" s="193" t="s">
        <v>5927</v>
      </c>
      <c r="C1350" s="194" t="s">
        <v>5928</v>
      </c>
      <c r="D1350" s="195" t="str">
        <f>IFERROR(__xludf.DUMMYFUNCTION("ARRAYFORMULA(LET( converted, SUBSTITUTE( SUBSTITUTE( SUBSTITUTE( SUBSTITUTE( SUBSTITUTE( SUBSTITUTE( SUBSTITUTE( SUBSTITUTE( SUBSTITUTE( SUBSTITUTE( C1350, ""۰"", ""0""), ""۱"", ""1""), ""۲"", ""2""), ""۳"", ""3""), ""۴"", ""4""), ""۵"", ""5""), ""۶"", """&amp;"6""), ""۷"", ""7""), ""۸"", ""8""), ""۹"", ""9""), IF(LEFT(converted,3)=""+98"", ""0"" &amp; RIGHT(converted, LEN(converted)-3), IF(LEFT(converted,2)=""98"", ""0"" &amp; RIGHT(converted, LEN(converted)-2), IF(LEFT(converted,1)&lt;&gt;""0"", ""0"" &amp; converted, REGEXREPL"&amp;"ACE(converted , ""\s"", """")) ) ) ) )"),"09196071835")</f>
        <v>09196071835</v>
      </c>
      <c r="E1350" s="196" t="s">
        <v>17</v>
      </c>
      <c r="F1350" s="197">
        <v>10.0</v>
      </c>
      <c r="G1350" s="193"/>
      <c r="H1350" s="193"/>
      <c r="I1350" s="194"/>
      <c r="J1350" s="194"/>
      <c r="K1350" s="199" t="s">
        <v>192</v>
      </c>
      <c r="L1350" s="199" t="s">
        <v>3762</v>
      </c>
      <c r="M1350" s="199"/>
      <c r="N1350" s="199"/>
      <c r="O1350" s="193"/>
      <c r="P1350" s="193"/>
      <c r="Q1350" s="200"/>
      <c r="R1350" s="86"/>
      <c r="S1350" s="114">
        <f t="shared" ref="S1350:T1350" si="1351">A1350</f>
        <v>1350</v>
      </c>
      <c r="T1350" s="114" t="str">
        <f t="shared" si="1351"/>
        <v>امیرحسین ایرانی</v>
      </c>
      <c r="U1350" s="86" t="str">
        <f t="shared" si="3"/>
        <v>09196071835</v>
      </c>
      <c r="V1350" s="86" t="str">
        <f t="shared" si="4"/>
        <v>پیش‌وایی 10</v>
      </c>
      <c r="W1350" s="86"/>
      <c r="X1350" s="86"/>
    </row>
    <row r="1351">
      <c r="A1351" s="201">
        <v>1351.0</v>
      </c>
      <c r="B1351" s="202" t="s">
        <v>5929</v>
      </c>
      <c r="C1351" s="203" t="s">
        <v>5930</v>
      </c>
      <c r="D1351" s="204" t="str">
        <f>IFERROR(__xludf.DUMMYFUNCTION("ARRAYFORMULA(LET( converted, SUBSTITUTE( SUBSTITUTE( SUBSTITUTE( SUBSTITUTE( SUBSTITUTE( SUBSTITUTE( SUBSTITUTE( SUBSTITUTE( SUBSTITUTE( SUBSTITUTE( C1351, ""۰"", ""0""), ""۱"", ""1""), ""۲"", ""2""), ""۳"", ""3""), ""۴"", ""4""), ""۵"", ""5""), ""۶"", """&amp;"6""), ""۷"", ""7""), ""۸"", ""8""), ""۹"", ""9""), IF(LEFT(converted,3)=""+98"", ""0"" &amp; RIGHT(converted, LEN(converted)-3), IF(LEFT(converted,2)=""98"", ""0"" &amp; RIGHT(converted, LEN(converted)-2), IF(LEFT(converted,1)&lt;&gt;""0"", ""0"" &amp; converted, REGEXREPL"&amp;"ACE(converted , ""\s"", """")) ) ) ) )"),"09151415445")</f>
        <v>09151415445</v>
      </c>
      <c r="E1351" s="205" t="s">
        <v>17</v>
      </c>
      <c r="F1351" s="206">
        <v>11.0</v>
      </c>
      <c r="G1351" s="202"/>
      <c r="H1351" s="202"/>
      <c r="I1351" s="203"/>
      <c r="J1351" s="203"/>
      <c r="K1351" s="207" t="s">
        <v>5931</v>
      </c>
      <c r="L1351" s="207" t="s">
        <v>5932</v>
      </c>
      <c r="M1351" s="207"/>
      <c r="N1351" s="207"/>
      <c r="O1351" s="202"/>
      <c r="P1351" s="202"/>
      <c r="Q1351" s="208"/>
      <c r="R1351" s="86"/>
      <c r="S1351" s="114">
        <f t="shared" ref="S1351:T1351" si="1352">A1351</f>
        <v>1351</v>
      </c>
      <c r="T1351" s="114" t="str">
        <f t="shared" si="1352"/>
        <v>میرکازهی ریگی</v>
      </c>
      <c r="U1351" s="86" t="str">
        <f t="shared" si="3"/>
        <v>09151415445</v>
      </c>
      <c r="V1351" s="86" t="str">
        <f t="shared" si="4"/>
        <v>پیش‌وایی 11</v>
      </c>
      <c r="W1351" s="86"/>
      <c r="X1351" s="86"/>
    </row>
    <row r="1352">
      <c r="A1352" s="192">
        <v>1352.0</v>
      </c>
      <c r="B1352" s="193" t="s">
        <v>5933</v>
      </c>
      <c r="C1352" s="194" t="s">
        <v>5934</v>
      </c>
      <c r="D1352" s="195" t="str">
        <f>IFERROR(__xludf.DUMMYFUNCTION("ARRAYFORMULA(LET( converted, SUBSTITUTE( SUBSTITUTE( SUBSTITUTE( SUBSTITUTE( SUBSTITUTE( SUBSTITUTE( SUBSTITUTE( SUBSTITUTE( SUBSTITUTE( SUBSTITUTE( C1352, ""۰"", ""0""), ""۱"", ""1""), ""۲"", ""2""), ""۳"", ""3""), ""۴"", ""4""), ""۵"", ""5""), ""۶"", """&amp;"6""), ""۷"", ""7""), ""۸"", ""8""), ""۹"", ""9""), IF(LEFT(converted,3)=""+98"", ""0"" &amp; RIGHT(converted, LEN(converted)-3), IF(LEFT(converted,2)=""98"", ""0"" &amp; RIGHT(converted, LEN(converted)-2), IF(LEFT(converted,1)&lt;&gt;""0"", ""0"" &amp; converted, REGEXREPL"&amp;"ACE(converted , ""\s"", """")) ) ) ) )"),"09120269016")</f>
        <v>09120269016</v>
      </c>
      <c r="E1352" s="196" t="s">
        <v>17</v>
      </c>
      <c r="F1352" s="197">
        <v>11.0</v>
      </c>
      <c r="G1352" s="193"/>
      <c r="H1352" s="193"/>
      <c r="I1352" s="194"/>
      <c r="J1352" s="194"/>
      <c r="K1352" s="199" t="s">
        <v>5935</v>
      </c>
      <c r="L1352" s="199" t="s">
        <v>5936</v>
      </c>
      <c r="M1352" s="199"/>
      <c r="N1352" s="199"/>
      <c r="O1352" s="193"/>
      <c r="P1352" s="193"/>
      <c r="Q1352" s="200"/>
      <c r="R1352" s="86"/>
      <c r="S1352" s="114">
        <f t="shared" ref="S1352:T1352" si="1353">A1352</f>
        <v>1352</v>
      </c>
      <c r="T1352" s="114" t="str">
        <f t="shared" si="1353"/>
        <v>کمیل (هادی) مهران فر</v>
      </c>
      <c r="U1352" s="86" t="str">
        <f t="shared" si="3"/>
        <v>09120269016</v>
      </c>
      <c r="V1352" s="86" t="str">
        <f t="shared" si="4"/>
        <v>پیش‌وایی 11</v>
      </c>
      <c r="W1352" s="86"/>
      <c r="X1352" s="86"/>
    </row>
    <row r="1353">
      <c r="A1353" s="201">
        <v>1353.0</v>
      </c>
      <c r="B1353" s="202" t="s">
        <v>5937</v>
      </c>
      <c r="C1353" s="203" t="s">
        <v>5938</v>
      </c>
      <c r="D1353" s="204" t="str">
        <f>IFERROR(__xludf.DUMMYFUNCTION("ARRAYFORMULA(LET( converted, SUBSTITUTE( SUBSTITUTE( SUBSTITUTE( SUBSTITUTE( SUBSTITUTE( SUBSTITUTE( SUBSTITUTE( SUBSTITUTE( SUBSTITUTE( SUBSTITUTE( C1353, ""۰"", ""0""), ""۱"", ""1""), ""۲"", ""2""), ""۳"", ""3""), ""۴"", ""4""), ""۵"", ""5""), ""۶"", """&amp;"6""), ""۷"", ""7""), ""۸"", ""8""), ""۹"", ""9""), IF(LEFT(converted,3)=""+98"", ""0"" &amp; RIGHT(converted, LEN(converted)-3), IF(LEFT(converted,2)=""98"", ""0"" &amp; RIGHT(converted, LEN(converted)-2), IF(LEFT(converted,1)&lt;&gt;""0"", ""0"" &amp; converted, REGEXREPL"&amp;"ACE(converted , ""\s"", """")) ) ) ) )"),"09126337937")</f>
        <v>09126337937</v>
      </c>
      <c r="E1353" s="205" t="s">
        <v>17</v>
      </c>
      <c r="F1353" s="206">
        <v>11.0</v>
      </c>
      <c r="G1353" s="202"/>
      <c r="H1353" s="202"/>
      <c r="I1353" s="203"/>
      <c r="J1353" s="203"/>
      <c r="K1353" s="207" t="s">
        <v>292</v>
      </c>
      <c r="L1353" s="207" t="s">
        <v>5939</v>
      </c>
      <c r="M1353" s="207"/>
      <c r="N1353" s="207"/>
      <c r="O1353" s="202"/>
      <c r="P1353" s="202"/>
      <c r="Q1353" s="208"/>
      <c r="R1353" s="86"/>
      <c r="S1353" s="114">
        <f t="shared" ref="S1353:T1353" si="1354">A1353</f>
        <v>1353</v>
      </c>
      <c r="T1353" s="114" t="str">
        <f t="shared" si="1354"/>
        <v>مریم علیشاهی</v>
      </c>
      <c r="U1353" s="86" t="str">
        <f t="shared" si="3"/>
        <v>09126337937</v>
      </c>
      <c r="V1353" s="86" t="str">
        <f t="shared" si="4"/>
        <v>پیش‌وایی 11</v>
      </c>
      <c r="W1353" s="86"/>
      <c r="X1353" s="86"/>
    </row>
    <row r="1354">
      <c r="A1354" s="192">
        <v>1354.0</v>
      </c>
      <c r="B1354" s="193" t="s">
        <v>5940</v>
      </c>
      <c r="C1354" s="194" t="s">
        <v>5941</v>
      </c>
      <c r="D1354" s="195" t="str">
        <f>IFERROR(__xludf.DUMMYFUNCTION("ARRAYFORMULA(LET( converted, SUBSTITUTE( SUBSTITUTE( SUBSTITUTE( SUBSTITUTE( SUBSTITUTE( SUBSTITUTE( SUBSTITUTE( SUBSTITUTE( SUBSTITUTE( SUBSTITUTE( C1354, ""۰"", ""0""), ""۱"", ""1""), ""۲"", ""2""), ""۳"", ""3""), ""۴"", ""4""), ""۵"", ""5""), ""۶"", """&amp;"6""), ""۷"", ""7""), ""۸"", ""8""), ""۹"", ""9""), IF(LEFT(converted,3)=""+98"", ""0"" &amp; RIGHT(converted, LEN(converted)-3), IF(LEFT(converted,2)=""98"", ""0"" &amp; RIGHT(converted, LEN(converted)-2), IF(LEFT(converted,1)&lt;&gt;""0"", ""0"" &amp; converted, REGEXREPL"&amp;"ACE(converted , ""\s"", """")) ) ) ) )"),"09356336678")</f>
        <v>09356336678</v>
      </c>
      <c r="E1354" s="196" t="s">
        <v>17</v>
      </c>
      <c r="F1354" s="197">
        <v>11.0</v>
      </c>
      <c r="G1354" s="193"/>
      <c r="H1354" s="193"/>
      <c r="I1354" s="194"/>
      <c r="J1354" s="194"/>
      <c r="K1354" s="199" t="s">
        <v>5017</v>
      </c>
      <c r="L1354" s="199" t="s">
        <v>1086</v>
      </c>
      <c r="M1354" s="199"/>
      <c r="N1354" s="199"/>
      <c r="O1354" s="193"/>
      <c r="P1354" s="193"/>
      <c r="Q1354" s="200"/>
      <c r="R1354" s="86"/>
      <c r="S1354" s="114">
        <f t="shared" ref="S1354:T1354" si="1355">A1354</f>
        <v>1354</v>
      </c>
      <c r="T1354" s="114" t="str">
        <f t="shared" si="1355"/>
        <v>کیانا رجبی</v>
      </c>
      <c r="U1354" s="86" t="str">
        <f t="shared" si="3"/>
        <v>09356336678</v>
      </c>
      <c r="V1354" s="86" t="str">
        <f t="shared" si="4"/>
        <v>پیش‌وایی 11</v>
      </c>
      <c r="W1354" s="86"/>
      <c r="X1354" s="86"/>
    </row>
    <row r="1355">
      <c r="A1355" s="201">
        <v>1355.0</v>
      </c>
      <c r="B1355" s="202" t="s">
        <v>2858</v>
      </c>
      <c r="C1355" s="203" t="s">
        <v>5942</v>
      </c>
      <c r="D1355" s="204" t="str">
        <f>IFERROR(__xludf.DUMMYFUNCTION("ARRAYFORMULA(LET( converted, SUBSTITUTE( SUBSTITUTE( SUBSTITUTE( SUBSTITUTE( SUBSTITUTE( SUBSTITUTE( SUBSTITUTE( SUBSTITUTE( SUBSTITUTE( SUBSTITUTE( C1355, ""۰"", ""0""), ""۱"", ""1""), ""۲"", ""2""), ""۳"", ""3""), ""۴"", ""4""), ""۵"", ""5""), ""۶"", """&amp;"6""), ""۷"", ""7""), ""۸"", ""8""), ""۹"", ""9""), IF(LEFT(converted,3)=""+98"", ""0"" &amp; RIGHT(converted, LEN(converted)-3), IF(LEFT(converted,2)=""98"", ""0"" &amp; RIGHT(converted, LEN(converted)-2), IF(LEFT(converted,1)&lt;&gt;""0"", ""0"" &amp; converted, REGEXREPL"&amp;"ACE(converted , ""\s"", """")) ) ) ) )"),"09122250704")</f>
        <v>09122250704</v>
      </c>
      <c r="E1355" s="205" t="s">
        <v>17</v>
      </c>
      <c r="F1355" s="206">
        <v>11.0</v>
      </c>
      <c r="G1355" s="202"/>
      <c r="H1355" s="202"/>
      <c r="I1355" s="203"/>
      <c r="J1355" s="203"/>
      <c r="K1355" s="207" t="s">
        <v>2862</v>
      </c>
      <c r="L1355" s="207" t="s">
        <v>2863</v>
      </c>
      <c r="M1355" s="207"/>
      <c r="N1355" s="207"/>
      <c r="O1355" s="202"/>
      <c r="P1355" s="202"/>
      <c r="Q1355" s="208"/>
      <c r="R1355" s="86"/>
      <c r="S1355" s="114">
        <f t="shared" ref="S1355:T1355" si="1356">A1355</f>
        <v>1355</v>
      </c>
      <c r="T1355" s="114" t="str">
        <f t="shared" si="1356"/>
        <v>پرهام قبادی</v>
      </c>
      <c r="U1355" s="86" t="str">
        <f t="shared" si="3"/>
        <v>09122250704</v>
      </c>
      <c r="V1355" s="86" t="str">
        <f t="shared" si="4"/>
        <v>پیش‌وایی 11</v>
      </c>
      <c r="W1355" s="86"/>
      <c r="X1355" s="86"/>
    </row>
    <row r="1356">
      <c r="A1356" s="192">
        <v>1356.0</v>
      </c>
      <c r="B1356" s="193" t="s">
        <v>5943</v>
      </c>
      <c r="C1356" s="194" t="s">
        <v>5944</v>
      </c>
      <c r="D1356" s="195" t="str">
        <f>IFERROR(__xludf.DUMMYFUNCTION("ARRAYFORMULA(LET( converted, SUBSTITUTE( SUBSTITUTE( SUBSTITUTE( SUBSTITUTE( SUBSTITUTE( SUBSTITUTE( SUBSTITUTE( SUBSTITUTE( SUBSTITUTE( SUBSTITUTE( C1356, ""۰"", ""0""), ""۱"", ""1""), ""۲"", ""2""), ""۳"", ""3""), ""۴"", ""4""), ""۵"", ""5""), ""۶"", """&amp;"6""), ""۷"", ""7""), ""۸"", ""8""), ""۹"", ""9""), IF(LEFT(converted,3)=""+98"", ""0"" &amp; RIGHT(converted, LEN(converted)-3), IF(LEFT(converted,2)=""98"", ""0"" &amp; RIGHT(converted, LEN(converted)-2), IF(LEFT(converted,1)&lt;&gt;""0"", ""0"" &amp; converted, REGEXREPL"&amp;"ACE(converted , ""\s"", """")) ) ) ) )"),"09365727065")</f>
        <v>09365727065</v>
      </c>
      <c r="E1356" s="196" t="s">
        <v>17</v>
      </c>
      <c r="F1356" s="197">
        <v>11.0</v>
      </c>
      <c r="G1356" s="193"/>
      <c r="H1356" s="193"/>
      <c r="I1356" s="194"/>
      <c r="J1356" s="194"/>
      <c r="K1356" s="199" t="s">
        <v>844</v>
      </c>
      <c r="L1356" s="199" t="s">
        <v>5945</v>
      </c>
      <c r="M1356" s="199"/>
      <c r="N1356" s="199"/>
      <c r="O1356" s="193"/>
      <c r="P1356" s="193"/>
      <c r="Q1356" s="200"/>
      <c r="R1356" s="86"/>
      <c r="S1356" s="114">
        <f t="shared" ref="S1356:T1356" si="1357">A1356</f>
        <v>1356</v>
      </c>
      <c r="T1356" s="114" t="str">
        <f t="shared" si="1357"/>
        <v>مسعود نوح پیشه</v>
      </c>
      <c r="U1356" s="86" t="str">
        <f t="shared" si="3"/>
        <v>09365727065</v>
      </c>
      <c r="V1356" s="86" t="str">
        <f t="shared" si="4"/>
        <v>پیش‌وایی 11</v>
      </c>
      <c r="W1356" s="86"/>
      <c r="X1356" s="86"/>
    </row>
    <row r="1357">
      <c r="A1357" s="201">
        <v>1357.0</v>
      </c>
      <c r="B1357" s="202" t="s">
        <v>5946</v>
      </c>
      <c r="C1357" s="203" t="s">
        <v>5947</v>
      </c>
      <c r="D1357" s="204" t="str">
        <f>IFERROR(__xludf.DUMMYFUNCTION("ARRAYFORMULA(LET( converted, SUBSTITUTE( SUBSTITUTE( SUBSTITUTE( SUBSTITUTE( SUBSTITUTE( SUBSTITUTE( SUBSTITUTE( SUBSTITUTE( SUBSTITUTE( SUBSTITUTE( C1357, ""۰"", ""0""), ""۱"", ""1""), ""۲"", ""2""), ""۳"", ""3""), ""۴"", ""4""), ""۵"", ""5""), ""۶"", """&amp;"6""), ""۷"", ""7""), ""۸"", ""8""), ""۹"", ""9""), IF(LEFT(converted,3)=""+98"", ""0"" &amp; RIGHT(converted, LEN(converted)-3), IF(LEFT(converted,2)=""98"", ""0"" &amp; RIGHT(converted, LEN(converted)-2), IF(LEFT(converted,1)&lt;&gt;""0"", ""0"" &amp; converted, REGEXREPL"&amp;"ACE(converted , ""\s"", """")) ) ) ) )"),"09232502874")</f>
        <v>09232502874</v>
      </c>
      <c r="E1357" s="205" t="s">
        <v>17</v>
      </c>
      <c r="F1357" s="206">
        <v>11.0</v>
      </c>
      <c r="G1357" s="202"/>
      <c r="H1357" s="202"/>
      <c r="I1357" s="203"/>
      <c r="J1357" s="203"/>
      <c r="K1357" s="207" t="s">
        <v>1374</v>
      </c>
      <c r="L1357" s="207" t="s">
        <v>5948</v>
      </c>
      <c r="M1357" s="207"/>
      <c r="N1357" s="207"/>
      <c r="O1357" s="202"/>
      <c r="P1357" s="202"/>
      <c r="Q1357" s="208"/>
      <c r="R1357" s="86"/>
      <c r="S1357" s="114">
        <f t="shared" ref="S1357:T1357" si="1358">A1357</f>
        <v>1357</v>
      </c>
      <c r="T1357" s="114" t="str">
        <f t="shared" si="1358"/>
        <v>امیر همتی</v>
      </c>
      <c r="U1357" s="86" t="str">
        <f t="shared" si="3"/>
        <v>09232502874</v>
      </c>
      <c r="V1357" s="86" t="str">
        <f t="shared" si="4"/>
        <v>پیش‌وایی 11</v>
      </c>
      <c r="W1357" s="86"/>
      <c r="X1357" s="86"/>
    </row>
    <row r="1358">
      <c r="A1358" s="192">
        <v>1358.0</v>
      </c>
      <c r="B1358" s="193" t="s">
        <v>5949</v>
      </c>
      <c r="C1358" s="194" t="s">
        <v>5950</v>
      </c>
      <c r="D1358" s="195" t="str">
        <f>IFERROR(__xludf.DUMMYFUNCTION("ARRAYFORMULA(LET( converted, SUBSTITUTE( SUBSTITUTE( SUBSTITUTE( SUBSTITUTE( SUBSTITUTE( SUBSTITUTE( SUBSTITUTE( SUBSTITUTE( SUBSTITUTE( SUBSTITUTE( C1358, ""۰"", ""0""), ""۱"", ""1""), ""۲"", ""2""), ""۳"", ""3""), ""۴"", ""4""), ""۵"", ""5""), ""۶"", """&amp;"6""), ""۷"", ""7""), ""۸"", ""8""), ""۹"", ""9""), IF(LEFT(converted,3)=""+98"", ""0"" &amp; RIGHT(converted, LEN(converted)-3), IF(LEFT(converted,2)=""98"", ""0"" &amp; RIGHT(converted, LEN(converted)-2), IF(LEFT(converted,1)&lt;&gt;""0"", ""0"" &amp; converted, REGEXREPL"&amp;"ACE(converted , ""\s"", """")) ) ) ) )"),"09124485682")</f>
        <v>09124485682</v>
      </c>
      <c r="E1358" s="196" t="s">
        <v>17</v>
      </c>
      <c r="F1358" s="197">
        <v>11.0</v>
      </c>
      <c r="G1358" s="193"/>
      <c r="H1358" s="193"/>
      <c r="I1358" s="194"/>
      <c r="J1358" s="194"/>
      <c r="K1358" s="199" t="s">
        <v>5951</v>
      </c>
      <c r="L1358" s="199" t="s">
        <v>5952</v>
      </c>
      <c r="M1358" s="199"/>
      <c r="N1358" s="199"/>
      <c r="O1358" s="193"/>
      <c r="P1358" s="193"/>
      <c r="Q1358" s="200"/>
      <c r="R1358" s="86"/>
      <c r="S1358" s="114">
        <f t="shared" ref="S1358:T1358" si="1359">A1358</f>
        <v>1358</v>
      </c>
      <c r="T1358" s="114" t="str">
        <f t="shared" si="1359"/>
        <v>پائیز(هاجر) شیری</v>
      </c>
      <c r="U1358" s="86" t="str">
        <f t="shared" si="3"/>
        <v>09124485682</v>
      </c>
      <c r="V1358" s="86" t="str">
        <f t="shared" si="4"/>
        <v>پیش‌وایی 11</v>
      </c>
      <c r="W1358" s="86"/>
      <c r="X1358" s="86"/>
    </row>
    <row r="1359">
      <c r="A1359" s="201">
        <v>1359.0</v>
      </c>
      <c r="B1359" s="202" t="s">
        <v>5953</v>
      </c>
      <c r="C1359" s="203" t="s">
        <v>5954</v>
      </c>
      <c r="D1359" s="204" t="str">
        <f>IFERROR(__xludf.DUMMYFUNCTION("ARRAYFORMULA(LET( converted, SUBSTITUTE( SUBSTITUTE( SUBSTITUTE( SUBSTITUTE( SUBSTITUTE( SUBSTITUTE( SUBSTITUTE( SUBSTITUTE( SUBSTITUTE( SUBSTITUTE( C1359, ""۰"", ""0""), ""۱"", ""1""), ""۲"", ""2""), ""۳"", ""3""), ""۴"", ""4""), ""۵"", ""5""), ""۶"", """&amp;"6""), ""۷"", ""7""), ""۸"", ""8""), ""۹"", ""9""), IF(LEFT(converted,3)=""+98"", ""0"" &amp; RIGHT(converted, LEN(converted)-3), IF(LEFT(converted,2)=""98"", ""0"" &amp; RIGHT(converted, LEN(converted)-2), IF(LEFT(converted,1)&lt;&gt;""0"", ""0"" &amp; converted, REGEXREPL"&amp;"ACE(converted , ""\s"", """")) ) ) ) )"),"09926904002")</f>
        <v>09926904002</v>
      </c>
      <c r="E1359" s="205" t="s">
        <v>17</v>
      </c>
      <c r="F1359" s="206">
        <v>11.0</v>
      </c>
      <c r="G1359" s="202"/>
      <c r="H1359" s="202"/>
      <c r="I1359" s="203"/>
      <c r="J1359" s="203"/>
      <c r="K1359" s="207" t="s">
        <v>274</v>
      </c>
      <c r="L1359" s="207" t="s">
        <v>5955</v>
      </c>
      <c r="M1359" s="207"/>
      <c r="N1359" s="207"/>
      <c r="O1359" s="202"/>
      <c r="P1359" s="202"/>
      <c r="Q1359" s="208"/>
      <c r="R1359" s="86"/>
      <c r="S1359" s="114">
        <f t="shared" ref="S1359:T1359" si="1360">A1359</f>
        <v>1359</v>
      </c>
      <c r="T1359" s="114" t="str">
        <f t="shared" si="1360"/>
        <v>فاطمه زوار</v>
      </c>
      <c r="U1359" s="86" t="str">
        <f t="shared" si="3"/>
        <v>09926904002</v>
      </c>
      <c r="V1359" s="86" t="str">
        <f t="shared" si="4"/>
        <v>پیش‌وایی 11</v>
      </c>
      <c r="W1359" s="86"/>
      <c r="X1359" s="86"/>
    </row>
    <row r="1360">
      <c r="A1360" s="192">
        <v>1360.0</v>
      </c>
      <c r="B1360" s="193" t="s">
        <v>5956</v>
      </c>
      <c r="C1360" s="194" t="s">
        <v>5957</v>
      </c>
      <c r="D1360" s="195" t="str">
        <f>IFERROR(__xludf.DUMMYFUNCTION("ARRAYFORMULA(LET( converted, SUBSTITUTE( SUBSTITUTE( SUBSTITUTE( SUBSTITUTE( SUBSTITUTE( SUBSTITUTE( SUBSTITUTE( SUBSTITUTE( SUBSTITUTE( SUBSTITUTE( C1360, ""۰"", ""0""), ""۱"", ""1""), ""۲"", ""2""), ""۳"", ""3""), ""۴"", ""4""), ""۵"", ""5""), ""۶"", """&amp;"6""), ""۷"", ""7""), ""۸"", ""8""), ""۹"", ""9""), IF(LEFT(converted,3)=""+98"", ""0"" &amp; RIGHT(converted, LEN(converted)-3), IF(LEFT(converted,2)=""98"", ""0"" &amp; RIGHT(converted, LEN(converted)-2), IF(LEFT(converted,1)&lt;&gt;""0"", ""0"" &amp; converted, REGEXREPL"&amp;"ACE(converted , ""\s"", """")) ) ) ) )"),"09195858345")</f>
        <v>09195858345</v>
      </c>
      <c r="E1360" s="196" t="s">
        <v>17</v>
      </c>
      <c r="F1360" s="197">
        <v>11.0</v>
      </c>
      <c r="G1360" s="193"/>
      <c r="H1360" s="193"/>
      <c r="I1360" s="194"/>
      <c r="J1360" s="194"/>
      <c r="K1360" s="199" t="s">
        <v>2504</v>
      </c>
      <c r="L1360" s="199" t="s">
        <v>242</v>
      </c>
      <c r="M1360" s="199"/>
      <c r="N1360" s="199"/>
      <c r="O1360" s="193"/>
      <c r="P1360" s="193"/>
      <c r="Q1360" s="200"/>
      <c r="R1360" s="86"/>
      <c r="S1360" s="114">
        <f t="shared" ref="S1360:T1360" si="1361">A1360</f>
        <v>1360</v>
      </c>
      <c r="T1360" s="114" t="str">
        <f t="shared" si="1361"/>
        <v>منصوره زارعی</v>
      </c>
      <c r="U1360" s="86" t="str">
        <f t="shared" si="3"/>
        <v>09195858345</v>
      </c>
      <c r="V1360" s="86" t="str">
        <f t="shared" si="4"/>
        <v>پیش‌وایی 11</v>
      </c>
      <c r="W1360" s="86"/>
      <c r="X1360" s="86"/>
    </row>
    <row r="1361">
      <c r="A1361" s="201">
        <v>1361.0</v>
      </c>
      <c r="B1361" s="202" t="s">
        <v>5958</v>
      </c>
      <c r="C1361" s="203" t="s">
        <v>5959</v>
      </c>
      <c r="D1361" s="204" t="str">
        <f>IFERROR(__xludf.DUMMYFUNCTION("ARRAYFORMULA(LET( converted, SUBSTITUTE( SUBSTITUTE( SUBSTITUTE( SUBSTITUTE( SUBSTITUTE( SUBSTITUTE( SUBSTITUTE( SUBSTITUTE( SUBSTITUTE( SUBSTITUTE( C1361, ""۰"", ""0""), ""۱"", ""1""), ""۲"", ""2""), ""۳"", ""3""), ""۴"", ""4""), ""۵"", ""5""), ""۶"", """&amp;"6""), ""۷"", ""7""), ""۸"", ""8""), ""۹"", ""9""), IF(LEFT(converted,3)=""+98"", ""0"" &amp; RIGHT(converted, LEN(converted)-3), IF(LEFT(converted,2)=""98"", ""0"" &amp; RIGHT(converted, LEN(converted)-2), IF(LEFT(converted,1)&lt;&gt;""0"", ""0"" &amp; converted, REGEXREPL"&amp;"ACE(converted , ""\s"", """")) ) ) ) )"),"09364668090")</f>
        <v>09364668090</v>
      </c>
      <c r="E1361" s="205" t="s">
        <v>17</v>
      </c>
      <c r="F1361" s="206">
        <v>11.0</v>
      </c>
      <c r="G1361" s="202"/>
      <c r="H1361" s="202"/>
      <c r="I1361" s="203"/>
      <c r="J1361" s="203"/>
      <c r="K1361" s="207" t="s">
        <v>2396</v>
      </c>
      <c r="L1361" s="207" t="s">
        <v>4503</v>
      </c>
      <c r="M1361" s="207"/>
      <c r="N1361" s="207"/>
      <c r="O1361" s="202"/>
      <c r="P1361" s="202"/>
      <c r="Q1361" s="208"/>
      <c r="R1361" s="86"/>
      <c r="S1361" s="114">
        <f t="shared" ref="S1361:T1361" si="1362">A1361</f>
        <v>1361</v>
      </c>
      <c r="T1361" s="114" t="str">
        <f t="shared" si="1362"/>
        <v>صدرا علیزاده</v>
      </c>
      <c r="U1361" s="86" t="str">
        <f t="shared" si="3"/>
        <v>09364668090</v>
      </c>
      <c r="V1361" s="86" t="str">
        <f t="shared" si="4"/>
        <v>پیش‌وایی 11</v>
      </c>
      <c r="W1361" s="86"/>
      <c r="X1361" s="86"/>
    </row>
    <row r="1362">
      <c r="A1362" s="192">
        <v>1362.0</v>
      </c>
      <c r="B1362" s="193" t="s">
        <v>5960</v>
      </c>
      <c r="C1362" s="194" t="s">
        <v>5961</v>
      </c>
      <c r="D1362" s="195" t="str">
        <f>IFERROR(__xludf.DUMMYFUNCTION("ARRAYFORMULA(LET( converted, SUBSTITUTE( SUBSTITUTE( SUBSTITUTE( SUBSTITUTE( SUBSTITUTE( SUBSTITUTE( SUBSTITUTE( SUBSTITUTE( SUBSTITUTE( SUBSTITUTE( C1362, ""۰"", ""0""), ""۱"", ""1""), ""۲"", ""2""), ""۳"", ""3""), ""۴"", ""4""), ""۵"", ""5""), ""۶"", """&amp;"6""), ""۷"", ""7""), ""۸"", ""8""), ""۹"", ""9""), IF(LEFT(converted,3)=""+98"", ""0"" &amp; RIGHT(converted, LEN(converted)-3), IF(LEFT(converted,2)=""98"", ""0"" &amp; RIGHT(converted, LEN(converted)-2), IF(LEFT(converted,1)&lt;&gt;""0"", ""0"" &amp; converted, REGEXREPL"&amp;"ACE(converted , ""\s"", """")) ) ) ) )"),"09365811313")</f>
        <v>09365811313</v>
      </c>
      <c r="E1362" s="196" t="s">
        <v>17</v>
      </c>
      <c r="F1362" s="197">
        <v>11.0</v>
      </c>
      <c r="G1362" s="193"/>
      <c r="H1362" s="193"/>
      <c r="I1362" s="194"/>
      <c r="J1362" s="194"/>
      <c r="K1362" s="199" t="s">
        <v>1071</v>
      </c>
      <c r="L1362" s="199" t="s">
        <v>5962</v>
      </c>
      <c r="M1362" s="199"/>
      <c r="N1362" s="199"/>
      <c r="O1362" s="193"/>
      <c r="P1362" s="193"/>
      <c r="Q1362" s="200"/>
      <c r="R1362" s="86"/>
      <c r="S1362" s="114">
        <f t="shared" ref="S1362:T1362" si="1363">A1362</f>
        <v>1362</v>
      </c>
      <c r="T1362" s="114" t="str">
        <f t="shared" si="1363"/>
        <v>سحر دانشور</v>
      </c>
      <c r="U1362" s="86" t="str">
        <f t="shared" si="3"/>
        <v>09365811313</v>
      </c>
      <c r="V1362" s="86" t="str">
        <f t="shared" si="4"/>
        <v>پیش‌وایی 11</v>
      </c>
      <c r="W1362" s="86"/>
      <c r="X1362" s="86"/>
    </row>
    <row r="1363">
      <c r="A1363" s="201">
        <v>1363.0</v>
      </c>
      <c r="B1363" s="202" t="s">
        <v>5963</v>
      </c>
      <c r="C1363" s="203" t="s">
        <v>5964</v>
      </c>
      <c r="D1363" s="204" t="str">
        <f>IFERROR(__xludf.DUMMYFUNCTION("ARRAYFORMULA(LET( converted, SUBSTITUTE( SUBSTITUTE( SUBSTITUTE( SUBSTITUTE( SUBSTITUTE( SUBSTITUTE( SUBSTITUTE( SUBSTITUTE( SUBSTITUTE( SUBSTITUTE( C1363, ""۰"", ""0""), ""۱"", ""1""), ""۲"", ""2""), ""۳"", ""3""), ""۴"", ""4""), ""۵"", ""5""), ""۶"", """&amp;"6""), ""۷"", ""7""), ""۸"", ""8""), ""۹"", ""9""), IF(LEFT(converted,3)=""+98"", ""0"" &amp; RIGHT(converted, LEN(converted)-3), IF(LEFT(converted,2)=""98"", ""0"" &amp; RIGHT(converted, LEN(converted)-2), IF(LEFT(converted,1)&lt;&gt;""0"", ""0"" &amp; converted, REGEXREPL"&amp;"ACE(converted , ""\s"", """")) ) ) ) )"),"09058938339")</f>
        <v>09058938339</v>
      </c>
      <c r="E1363" s="205" t="s">
        <v>17</v>
      </c>
      <c r="F1363" s="206">
        <v>11.0</v>
      </c>
      <c r="G1363" s="202"/>
      <c r="H1363" s="202"/>
      <c r="I1363" s="203"/>
      <c r="J1363" s="203"/>
      <c r="K1363" s="207" t="s">
        <v>5965</v>
      </c>
      <c r="L1363" s="207" t="s">
        <v>5553</v>
      </c>
      <c r="M1363" s="207"/>
      <c r="N1363" s="207"/>
      <c r="O1363" s="202"/>
      <c r="P1363" s="202"/>
      <c r="Q1363" s="208"/>
      <c r="R1363" s="86"/>
      <c r="S1363" s="114">
        <f t="shared" ref="S1363:T1363" si="1364">A1363</f>
        <v>1363</v>
      </c>
      <c r="T1363" s="114" t="str">
        <f t="shared" si="1364"/>
        <v>شنتیا زمانی</v>
      </c>
      <c r="U1363" s="86" t="str">
        <f t="shared" si="3"/>
        <v>09058938339</v>
      </c>
      <c r="V1363" s="86" t="str">
        <f t="shared" si="4"/>
        <v>پیش‌وایی 11</v>
      </c>
      <c r="W1363" s="86"/>
      <c r="X1363" s="86"/>
    </row>
    <row r="1364">
      <c r="A1364" s="192">
        <v>1364.0</v>
      </c>
      <c r="B1364" s="193" t="s">
        <v>5966</v>
      </c>
      <c r="C1364" s="194" t="s">
        <v>5967</v>
      </c>
      <c r="D1364" s="195" t="str">
        <f>IFERROR(__xludf.DUMMYFUNCTION("ARRAYFORMULA(LET( converted, SUBSTITUTE( SUBSTITUTE( SUBSTITUTE( SUBSTITUTE( SUBSTITUTE( SUBSTITUTE( SUBSTITUTE( SUBSTITUTE( SUBSTITUTE( SUBSTITUTE( C1364, ""۰"", ""0""), ""۱"", ""1""), ""۲"", ""2""), ""۳"", ""3""), ""۴"", ""4""), ""۵"", ""5""), ""۶"", """&amp;"6""), ""۷"", ""7""), ""۸"", ""8""), ""۹"", ""9""), IF(LEFT(converted,3)=""+98"", ""0"" &amp; RIGHT(converted, LEN(converted)-3), IF(LEFT(converted,2)=""98"", ""0"" &amp; RIGHT(converted, LEN(converted)-2), IF(LEFT(converted,1)&lt;&gt;""0"", ""0"" &amp; converted, REGEXREPL"&amp;"ACE(converted , ""\s"", """")) ) ) ) )"),"09127031008")</f>
        <v>09127031008</v>
      </c>
      <c r="E1364" s="196" t="s">
        <v>17</v>
      </c>
      <c r="F1364" s="197">
        <v>11.0</v>
      </c>
      <c r="G1364" s="193"/>
      <c r="H1364" s="193"/>
      <c r="I1364" s="194"/>
      <c r="J1364" s="194"/>
      <c r="K1364" s="199" t="s">
        <v>286</v>
      </c>
      <c r="L1364" s="199" t="s">
        <v>5968</v>
      </c>
      <c r="M1364" s="199"/>
      <c r="N1364" s="199"/>
      <c r="O1364" s="193"/>
      <c r="P1364" s="193"/>
      <c r="Q1364" s="200"/>
      <c r="R1364" s="86"/>
      <c r="S1364" s="114">
        <f t="shared" ref="S1364:T1364" si="1365">A1364</f>
        <v>1364</v>
      </c>
      <c r="T1364" s="114" t="str">
        <f t="shared" si="1365"/>
        <v>مهدی قطبی</v>
      </c>
      <c r="U1364" s="86" t="str">
        <f t="shared" si="3"/>
        <v>09127031008</v>
      </c>
      <c r="V1364" s="86" t="str">
        <f t="shared" si="4"/>
        <v>پیش‌وایی 11</v>
      </c>
      <c r="W1364" s="86"/>
      <c r="X1364" s="86"/>
    </row>
    <row r="1365">
      <c r="A1365" s="201">
        <v>1365.0</v>
      </c>
      <c r="B1365" s="202" t="s">
        <v>5969</v>
      </c>
      <c r="C1365" s="203" t="s">
        <v>5970</v>
      </c>
      <c r="D1365" s="204" t="str">
        <f>IFERROR(__xludf.DUMMYFUNCTION("ARRAYFORMULA(LET( converted, SUBSTITUTE( SUBSTITUTE( SUBSTITUTE( SUBSTITUTE( SUBSTITUTE( SUBSTITUTE( SUBSTITUTE( SUBSTITUTE( SUBSTITUTE( SUBSTITUTE( C1365, ""۰"", ""0""), ""۱"", ""1""), ""۲"", ""2""), ""۳"", ""3""), ""۴"", ""4""), ""۵"", ""5""), ""۶"", """&amp;"6""), ""۷"", ""7""), ""۸"", ""8""), ""۹"", ""9""), IF(LEFT(converted,3)=""+98"", ""0"" &amp; RIGHT(converted, LEN(converted)-3), IF(LEFT(converted,2)=""98"", ""0"" &amp; RIGHT(converted, LEN(converted)-2), IF(LEFT(converted,1)&lt;&gt;""0"", ""0"" &amp; converted, REGEXREPL"&amp;"ACE(converted , ""\s"", """")) ) ) ) )"),"09123048748")</f>
        <v>09123048748</v>
      </c>
      <c r="E1365" s="205" t="s">
        <v>17</v>
      </c>
      <c r="F1365" s="206">
        <v>11.0</v>
      </c>
      <c r="G1365" s="202"/>
      <c r="H1365" s="202"/>
      <c r="I1365" s="203"/>
      <c r="J1365" s="203"/>
      <c r="K1365" s="207" t="s">
        <v>214</v>
      </c>
      <c r="L1365" s="207" t="s">
        <v>5971</v>
      </c>
      <c r="M1365" s="207"/>
      <c r="N1365" s="207"/>
      <c r="O1365" s="202"/>
      <c r="P1365" s="202"/>
      <c r="Q1365" s="208"/>
      <c r="R1365" s="86"/>
      <c r="S1365" s="114">
        <f t="shared" ref="S1365:T1365" si="1366">A1365</f>
        <v>1365</v>
      </c>
      <c r="T1365" s="114" t="str">
        <f t="shared" si="1366"/>
        <v>بهاره سیاح</v>
      </c>
      <c r="U1365" s="86" t="str">
        <f t="shared" si="3"/>
        <v>09123048748</v>
      </c>
      <c r="V1365" s="86" t="str">
        <f t="shared" si="4"/>
        <v>پیش‌وایی 11</v>
      </c>
      <c r="W1365" s="86"/>
      <c r="X1365" s="86"/>
    </row>
    <row r="1366">
      <c r="A1366" s="192">
        <v>1366.0</v>
      </c>
      <c r="B1366" s="193" t="s">
        <v>5972</v>
      </c>
      <c r="C1366" s="194"/>
      <c r="D1366" s="195" t="str">
        <f>IFERROR(__xludf.DUMMYFUNCTION("ARRAYFORMULA(LET( converted, SUBSTITUTE( SUBSTITUTE( SUBSTITUTE( SUBSTITUTE( SUBSTITUTE( SUBSTITUTE( SUBSTITUTE( SUBSTITUTE( SUBSTITUTE( SUBSTITUTE( C1366, ""۰"", ""0""), ""۱"", ""1""), ""۲"", ""2""), ""۳"", ""3""), ""۴"", ""4""), ""۵"", ""5""), ""۶"", """&amp;"6""), ""۷"", ""7""), ""۸"", ""8""), ""۹"", ""9""), IF(LEFT(converted,3)=""+98"", ""0"" &amp; RIGHT(converted, LEN(converted)-3), IF(LEFT(converted,2)=""98"", ""0"" &amp; RIGHT(converted, LEN(converted)-2), IF(LEFT(converted,1)&lt;&gt;""0"", ""0"" &amp; converted, REGEXREPL"&amp;"ACE(converted , ""\s"", """")) ) ) ) )"),"0")</f>
        <v>0</v>
      </c>
      <c r="E1366" s="196" t="s">
        <v>17</v>
      </c>
      <c r="F1366" s="197">
        <v>11.0</v>
      </c>
      <c r="G1366" s="193"/>
      <c r="H1366" s="193"/>
      <c r="I1366" s="211" t="s">
        <v>5973</v>
      </c>
      <c r="J1366" s="194"/>
      <c r="K1366" s="199" t="s">
        <v>5640</v>
      </c>
      <c r="L1366" s="199" t="s">
        <v>5974</v>
      </c>
      <c r="M1366" s="199"/>
      <c r="N1366" s="199"/>
      <c r="O1366" s="193"/>
      <c r="P1366" s="193"/>
      <c r="Q1366" s="200"/>
      <c r="R1366" s="86"/>
      <c r="S1366" s="114">
        <f t="shared" ref="S1366:T1366" si="1367">A1366</f>
        <v>1366</v>
      </c>
      <c r="T1366" s="114" t="str">
        <f t="shared" si="1367"/>
        <v>مهرنوش بهرامی مهر</v>
      </c>
      <c r="U1366" s="86" t="str">
        <f t="shared" si="3"/>
        <v>0</v>
      </c>
      <c r="V1366" s="86" t="str">
        <f t="shared" si="4"/>
        <v>پیش‌وایی 11</v>
      </c>
      <c r="W1366" s="86"/>
      <c r="X1366" s="86"/>
    </row>
    <row r="1367">
      <c r="A1367" s="201">
        <v>1367.0</v>
      </c>
      <c r="B1367" s="202" t="s">
        <v>713</v>
      </c>
      <c r="C1367" s="203" t="s">
        <v>4741</v>
      </c>
      <c r="D1367" s="204" t="str">
        <f>IFERROR(__xludf.DUMMYFUNCTION("ARRAYFORMULA(LET( converted, SUBSTITUTE( SUBSTITUTE( SUBSTITUTE( SUBSTITUTE( SUBSTITUTE( SUBSTITUTE( SUBSTITUTE( SUBSTITUTE( SUBSTITUTE( SUBSTITUTE( C1367, ""۰"", ""0""), ""۱"", ""1""), ""۲"", ""2""), ""۳"", ""3""), ""۴"", ""4""), ""۵"", ""5""), ""۶"", """&amp;"6""), ""۷"", ""7""), ""۸"", ""8""), ""۹"", ""9""), IF(LEFT(converted,3)=""+98"", ""0"" &amp; RIGHT(converted, LEN(converted)-3), IF(LEFT(converted,2)=""98"", ""0"" &amp; RIGHT(converted, LEN(converted)-2), IF(LEFT(converted,1)&lt;&gt;""0"", ""0"" &amp; converted, REGEXREPL"&amp;"ACE(converted , ""\s"", """")) ) ) ) )"),"09121472143")</f>
        <v>09121472143</v>
      </c>
      <c r="E1367" s="205" t="s">
        <v>17</v>
      </c>
      <c r="F1367" s="206">
        <v>11.0</v>
      </c>
      <c r="G1367" s="202"/>
      <c r="H1367" s="202"/>
      <c r="I1367" s="203"/>
      <c r="J1367" s="203"/>
      <c r="K1367" s="207" t="s">
        <v>197</v>
      </c>
      <c r="L1367" s="207" t="s">
        <v>2624</v>
      </c>
      <c r="M1367" s="207"/>
      <c r="N1367" s="207"/>
      <c r="O1367" s="202"/>
      <c r="P1367" s="202"/>
      <c r="Q1367" s="208"/>
      <c r="R1367" s="86"/>
      <c r="S1367" s="114">
        <f t="shared" ref="S1367:T1367" si="1368">A1367</f>
        <v>1367</v>
      </c>
      <c r="T1367" s="114" t="str">
        <f t="shared" si="1368"/>
        <v>اصغر قاسمی</v>
      </c>
      <c r="U1367" s="86" t="str">
        <f t="shared" si="3"/>
        <v>09121472143</v>
      </c>
      <c r="V1367" s="86" t="str">
        <f t="shared" si="4"/>
        <v>پیش‌وایی 11</v>
      </c>
      <c r="W1367" s="86"/>
      <c r="X1367" s="86"/>
    </row>
    <row r="1368">
      <c r="A1368" s="192">
        <v>1368.0</v>
      </c>
      <c r="B1368" s="193" t="s">
        <v>5975</v>
      </c>
      <c r="C1368" s="194" t="s">
        <v>5976</v>
      </c>
      <c r="D1368" s="195" t="str">
        <f>IFERROR(__xludf.DUMMYFUNCTION("ARRAYFORMULA(LET( converted, SUBSTITUTE( SUBSTITUTE( SUBSTITUTE( SUBSTITUTE( SUBSTITUTE( SUBSTITUTE( SUBSTITUTE( SUBSTITUTE( SUBSTITUTE( SUBSTITUTE( C1368, ""۰"", ""0""), ""۱"", ""1""), ""۲"", ""2""), ""۳"", ""3""), ""۴"", ""4""), ""۵"", ""5""), ""۶"", """&amp;"6""), ""۷"", ""7""), ""۸"", ""8""), ""۹"", ""9""), IF(LEFT(converted,3)=""+98"", ""0"" &amp; RIGHT(converted, LEN(converted)-3), IF(LEFT(converted,2)=""98"", ""0"" &amp; RIGHT(converted, LEN(converted)-2), IF(LEFT(converted,1)&lt;&gt;""0"", ""0"" &amp; converted, REGEXREPL"&amp;"ACE(converted , ""\s"", """")) ) ) ) )"),"09103000566")</f>
        <v>09103000566</v>
      </c>
      <c r="E1368" s="196" t="s">
        <v>17</v>
      </c>
      <c r="F1368" s="197">
        <v>11.0</v>
      </c>
      <c r="G1368" s="193"/>
      <c r="H1368" s="193"/>
      <c r="I1368" s="194"/>
      <c r="J1368" s="194"/>
      <c r="K1368" s="199" t="s">
        <v>1518</v>
      </c>
      <c r="L1368" s="199" t="s">
        <v>347</v>
      </c>
      <c r="M1368" s="199"/>
      <c r="N1368" s="199"/>
      <c r="O1368" s="193"/>
      <c r="P1368" s="193"/>
      <c r="Q1368" s="200"/>
      <c r="R1368" s="86"/>
      <c r="S1368" s="114">
        <f t="shared" ref="S1368:T1368" si="1369">A1368</f>
        <v>1368</v>
      </c>
      <c r="T1368" s="114" t="str">
        <f t="shared" si="1369"/>
        <v>ماهان توکلی</v>
      </c>
      <c r="U1368" s="86" t="str">
        <f t="shared" si="3"/>
        <v>09103000566</v>
      </c>
      <c r="V1368" s="86" t="str">
        <f t="shared" si="4"/>
        <v>پیش‌وایی 11</v>
      </c>
      <c r="W1368" s="86"/>
      <c r="X1368" s="86"/>
    </row>
    <row r="1369">
      <c r="A1369" s="201">
        <v>1369.0</v>
      </c>
      <c r="B1369" s="202" t="s">
        <v>5977</v>
      </c>
      <c r="C1369" s="203" t="s">
        <v>5978</v>
      </c>
      <c r="D1369" s="204" t="str">
        <f>IFERROR(__xludf.DUMMYFUNCTION("ARRAYFORMULA(LET( converted, SUBSTITUTE( SUBSTITUTE( SUBSTITUTE( SUBSTITUTE( SUBSTITUTE( SUBSTITUTE( SUBSTITUTE( SUBSTITUTE( SUBSTITUTE( SUBSTITUTE( C1369, ""۰"", ""0""), ""۱"", ""1""), ""۲"", ""2""), ""۳"", ""3""), ""۴"", ""4""), ""۵"", ""5""), ""۶"", """&amp;"6""), ""۷"", ""7""), ""۸"", ""8""), ""۹"", ""9""), IF(LEFT(converted,3)=""+98"", ""0"" &amp; RIGHT(converted, LEN(converted)-3), IF(LEFT(converted,2)=""98"", ""0"" &amp; RIGHT(converted, LEN(converted)-2), IF(LEFT(converted,1)&lt;&gt;""0"", ""0"" &amp; converted, REGEXREPL"&amp;"ACE(converted , ""\s"", """")) ) ) ) )"),"09155437274")</f>
        <v>09155437274</v>
      </c>
      <c r="E1369" s="205" t="s">
        <v>17</v>
      </c>
      <c r="F1369" s="206">
        <v>11.0</v>
      </c>
      <c r="G1369" s="202"/>
      <c r="H1369" s="202"/>
      <c r="I1369" s="203"/>
      <c r="J1369" s="203"/>
      <c r="K1369" s="207" t="s">
        <v>2603</v>
      </c>
      <c r="L1369" s="207" t="s">
        <v>5979</v>
      </c>
      <c r="M1369" s="207"/>
      <c r="N1369" s="207"/>
      <c r="O1369" s="202"/>
      <c r="P1369" s="202"/>
      <c r="Q1369" s="208"/>
      <c r="R1369" s="86"/>
      <c r="S1369" s="114">
        <f t="shared" ref="S1369:T1369" si="1370">A1369</f>
        <v>1369</v>
      </c>
      <c r="T1369" s="114" t="str">
        <f t="shared" si="1370"/>
        <v>ناصر عادلی</v>
      </c>
      <c r="U1369" s="86" t="str">
        <f t="shared" si="3"/>
        <v>09155437274</v>
      </c>
      <c r="V1369" s="86" t="str">
        <f t="shared" si="4"/>
        <v>پیش‌وایی 11</v>
      </c>
      <c r="W1369" s="86"/>
      <c r="X1369" s="86"/>
    </row>
    <row r="1370">
      <c r="A1370" s="192">
        <v>1370.0</v>
      </c>
      <c r="B1370" s="193" t="s">
        <v>5980</v>
      </c>
      <c r="C1370" s="194" t="s">
        <v>5981</v>
      </c>
      <c r="D1370" s="195" t="str">
        <f>IFERROR(__xludf.DUMMYFUNCTION("ARRAYFORMULA(LET( converted, SUBSTITUTE( SUBSTITUTE( SUBSTITUTE( SUBSTITUTE( SUBSTITUTE( SUBSTITUTE( SUBSTITUTE( SUBSTITUTE( SUBSTITUTE( SUBSTITUTE( C1370, ""۰"", ""0""), ""۱"", ""1""), ""۲"", ""2""), ""۳"", ""3""), ""۴"", ""4""), ""۵"", ""5""), ""۶"", """&amp;"6""), ""۷"", ""7""), ""۸"", ""8""), ""۹"", ""9""), IF(LEFT(converted,3)=""+98"", ""0"" &amp; RIGHT(converted, LEN(converted)-3), IF(LEFT(converted,2)=""98"", ""0"" &amp; RIGHT(converted, LEN(converted)-2), IF(LEFT(converted,1)&lt;&gt;""0"", ""0"" &amp; converted, REGEXREPL"&amp;"ACE(converted , ""\s"", """")) ) ) ) )"),"09395020476")</f>
        <v>09395020476</v>
      </c>
      <c r="E1370" s="196" t="s">
        <v>17</v>
      </c>
      <c r="F1370" s="197">
        <v>11.0</v>
      </c>
      <c r="G1370" s="193"/>
      <c r="H1370" s="193"/>
      <c r="I1370" s="194"/>
      <c r="J1370" s="194"/>
      <c r="K1370" s="199" t="s">
        <v>2280</v>
      </c>
      <c r="L1370" s="199" t="s">
        <v>271</v>
      </c>
      <c r="M1370" s="199"/>
      <c r="N1370" s="199"/>
      <c r="O1370" s="193"/>
      <c r="P1370" s="193"/>
      <c r="Q1370" s="200"/>
      <c r="R1370" s="86"/>
      <c r="S1370" s="114">
        <f t="shared" ref="S1370:T1370" si="1371">A1370</f>
        <v>1370</v>
      </c>
      <c r="T1370" s="114" t="str">
        <f t="shared" si="1371"/>
        <v>حمیدرضا اسدالله زاده</v>
      </c>
      <c r="U1370" s="86" t="str">
        <f t="shared" si="3"/>
        <v>09395020476</v>
      </c>
      <c r="V1370" s="86" t="str">
        <f t="shared" si="4"/>
        <v>پیش‌وایی 11</v>
      </c>
      <c r="W1370" s="86"/>
      <c r="X1370" s="86"/>
    </row>
    <row r="1371">
      <c r="A1371" s="201">
        <v>1371.0</v>
      </c>
      <c r="B1371" s="202" t="s">
        <v>5982</v>
      </c>
      <c r="C1371" s="203" t="s">
        <v>5983</v>
      </c>
      <c r="D1371" s="204" t="str">
        <f>IFERROR(__xludf.DUMMYFUNCTION("ARRAYFORMULA(LET( converted, SUBSTITUTE( SUBSTITUTE( SUBSTITUTE( SUBSTITUTE( SUBSTITUTE( SUBSTITUTE( SUBSTITUTE( SUBSTITUTE( SUBSTITUTE( SUBSTITUTE( C1371, ""۰"", ""0""), ""۱"", ""1""), ""۲"", ""2""), ""۳"", ""3""), ""۴"", ""4""), ""۵"", ""5""), ""۶"", """&amp;"6""), ""۷"", ""7""), ""۸"", ""8""), ""۹"", ""9""), IF(LEFT(converted,3)=""+98"", ""0"" &amp; RIGHT(converted, LEN(converted)-3), IF(LEFT(converted,2)=""98"", ""0"" &amp; RIGHT(converted, LEN(converted)-2), IF(LEFT(converted,1)&lt;&gt;""0"", ""0"" &amp; converted, REGEXREPL"&amp;"ACE(converted , ""\s"", """")) ) ) ) )"),"09171123429")</f>
        <v>09171123429</v>
      </c>
      <c r="E1371" s="205" t="s">
        <v>17</v>
      </c>
      <c r="F1371" s="206">
        <v>11.0</v>
      </c>
      <c r="G1371" s="202"/>
      <c r="H1371" s="202"/>
      <c r="I1371" s="203"/>
      <c r="J1371" s="203"/>
      <c r="K1371" s="207" t="s">
        <v>2280</v>
      </c>
      <c r="L1371" s="207" t="s">
        <v>5984</v>
      </c>
      <c r="M1371" s="207"/>
      <c r="N1371" s="207"/>
      <c r="O1371" s="202"/>
      <c r="P1371" s="202"/>
      <c r="Q1371" s="208"/>
      <c r="R1371" s="86"/>
      <c r="S1371" s="114">
        <f t="shared" ref="S1371:T1371" si="1372">A1371</f>
        <v>1371</v>
      </c>
      <c r="T1371" s="114" t="str">
        <f t="shared" si="1372"/>
        <v>حمیدرضا میر</v>
      </c>
      <c r="U1371" s="86" t="str">
        <f t="shared" si="3"/>
        <v>09171123429</v>
      </c>
      <c r="V1371" s="86" t="str">
        <f t="shared" si="4"/>
        <v>پیش‌وایی 11</v>
      </c>
      <c r="W1371" s="86"/>
      <c r="X1371" s="86"/>
    </row>
    <row r="1372">
      <c r="A1372" s="192">
        <v>1372.0</v>
      </c>
      <c r="B1372" s="193" t="s">
        <v>5985</v>
      </c>
      <c r="C1372" s="194" t="s">
        <v>5986</v>
      </c>
      <c r="D1372" s="195" t="str">
        <f>IFERROR(__xludf.DUMMYFUNCTION("ARRAYFORMULA(LET( converted, SUBSTITUTE( SUBSTITUTE( SUBSTITUTE( SUBSTITUTE( SUBSTITUTE( SUBSTITUTE( SUBSTITUTE( SUBSTITUTE( SUBSTITUTE( SUBSTITUTE( C1372, ""۰"", ""0""), ""۱"", ""1""), ""۲"", ""2""), ""۳"", ""3""), ""۴"", ""4""), ""۵"", ""5""), ""۶"", """&amp;"6""), ""۷"", ""7""), ""۸"", ""8""), ""۹"", ""9""), IF(LEFT(converted,3)=""+98"", ""0"" &amp; RIGHT(converted, LEN(converted)-3), IF(LEFT(converted,2)=""98"", ""0"" &amp; RIGHT(converted, LEN(converted)-2), IF(LEFT(converted,1)&lt;&gt;""0"", ""0"" &amp; converted, REGEXREPL"&amp;"ACE(converted , ""\s"", """")) ) ) ) )"),"09360816001")</f>
        <v>09360816001</v>
      </c>
      <c r="E1372" s="196" t="s">
        <v>17</v>
      </c>
      <c r="F1372" s="197">
        <v>11.0</v>
      </c>
      <c r="G1372" s="193"/>
      <c r="H1372" s="193"/>
      <c r="I1372" s="194"/>
      <c r="J1372" s="194"/>
      <c r="K1372" s="199" t="s">
        <v>5987</v>
      </c>
      <c r="L1372" s="199" t="s">
        <v>5988</v>
      </c>
      <c r="M1372" s="199"/>
      <c r="N1372" s="199"/>
      <c r="O1372" s="193"/>
      <c r="P1372" s="193"/>
      <c r="Q1372" s="200"/>
      <c r="R1372" s="86"/>
      <c r="S1372" s="114">
        <f t="shared" ref="S1372:T1372" si="1373">A1372</f>
        <v>1372</v>
      </c>
      <c r="T1372" s="114" t="str">
        <f t="shared" si="1373"/>
        <v>شیرین کیخا</v>
      </c>
      <c r="U1372" s="86" t="str">
        <f t="shared" si="3"/>
        <v>09360816001</v>
      </c>
      <c r="V1372" s="86" t="str">
        <f t="shared" si="4"/>
        <v>پیش‌وایی 11</v>
      </c>
      <c r="W1372" s="86"/>
      <c r="X1372" s="86"/>
    </row>
    <row r="1373">
      <c r="A1373" s="201">
        <v>1373.0</v>
      </c>
      <c r="B1373" s="202" t="s">
        <v>5989</v>
      </c>
      <c r="C1373" s="203" t="s">
        <v>5990</v>
      </c>
      <c r="D1373" s="204" t="str">
        <f>IFERROR(__xludf.DUMMYFUNCTION("ARRAYFORMULA(LET( converted, SUBSTITUTE( SUBSTITUTE( SUBSTITUTE( SUBSTITUTE( SUBSTITUTE( SUBSTITUTE( SUBSTITUTE( SUBSTITUTE( SUBSTITUTE( SUBSTITUTE( C1373, ""۰"", ""0""), ""۱"", ""1""), ""۲"", ""2""), ""۳"", ""3""), ""۴"", ""4""), ""۵"", ""5""), ""۶"", """&amp;"6""), ""۷"", ""7""), ""۸"", ""8""), ""۹"", ""9""), IF(LEFT(converted,3)=""+98"", ""0"" &amp; RIGHT(converted, LEN(converted)-3), IF(LEFT(converted,2)=""98"", ""0"" &amp; RIGHT(converted, LEN(converted)-2), IF(LEFT(converted,1)&lt;&gt;""0"", ""0"" &amp; converted, REGEXREPL"&amp;"ACE(converted , ""\s"", """")) ) ) ) )"),"09305146908")</f>
        <v>09305146908</v>
      </c>
      <c r="E1373" s="205" t="s">
        <v>17</v>
      </c>
      <c r="F1373" s="206">
        <v>11.0</v>
      </c>
      <c r="G1373" s="202"/>
      <c r="H1373" s="202"/>
      <c r="I1373" s="203"/>
      <c r="J1373" s="203"/>
      <c r="K1373" s="207" t="s">
        <v>3266</v>
      </c>
      <c r="L1373" s="207" t="s">
        <v>1647</v>
      </c>
      <c r="M1373" s="207"/>
      <c r="N1373" s="207"/>
      <c r="O1373" s="202"/>
      <c r="P1373" s="202"/>
      <c r="Q1373" s="208"/>
      <c r="R1373" s="86"/>
      <c r="S1373" s="114">
        <f t="shared" ref="S1373:T1373" si="1374">A1373</f>
        <v>1373</v>
      </c>
      <c r="T1373" s="114" t="str">
        <f t="shared" si="1374"/>
        <v>غزل کیا</v>
      </c>
      <c r="U1373" s="86" t="str">
        <f t="shared" si="3"/>
        <v>09305146908</v>
      </c>
      <c r="V1373" s="86" t="str">
        <f t="shared" si="4"/>
        <v>پیش‌وایی 11</v>
      </c>
      <c r="W1373" s="86"/>
      <c r="X1373" s="86"/>
    </row>
    <row r="1374">
      <c r="A1374" s="192">
        <v>1374.0</v>
      </c>
      <c r="B1374" s="193" t="s">
        <v>5991</v>
      </c>
      <c r="C1374" s="194" t="s">
        <v>5992</v>
      </c>
      <c r="D1374" s="195" t="str">
        <f>IFERROR(__xludf.DUMMYFUNCTION("ARRAYFORMULA(LET( converted, SUBSTITUTE( SUBSTITUTE( SUBSTITUTE( SUBSTITUTE( SUBSTITUTE( SUBSTITUTE( SUBSTITUTE( SUBSTITUTE( SUBSTITUTE( SUBSTITUTE( C1374, ""۰"", ""0""), ""۱"", ""1""), ""۲"", ""2""), ""۳"", ""3""), ""۴"", ""4""), ""۵"", ""5""), ""۶"", """&amp;"6""), ""۷"", ""7""), ""۸"", ""8""), ""۹"", ""9""), IF(LEFT(converted,3)=""+98"", ""0"" &amp; RIGHT(converted, LEN(converted)-3), IF(LEFT(converted,2)=""98"", ""0"" &amp; RIGHT(converted, LEN(converted)-2), IF(LEFT(converted,1)&lt;&gt;""0"", ""0"" &amp; converted, REGEXREPL"&amp;"ACE(converted , ""\s"", """")) ) ) ) )"),"09216954012")</f>
        <v>09216954012</v>
      </c>
      <c r="E1374" s="196" t="s">
        <v>17</v>
      </c>
      <c r="F1374" s="197">
        <v>11.0</v>
      </c>
      <c r="G1374" s="193"/>
      <c r="H1374" s="193"/>
      <c r="I1374" s="194"/>
      <c r="J1374" s="194"/>
      <c r="K1374" s="199" t="s">
        <v>1692</v>
      </c>
      <c r="L1374" s="199" t="s">
        <v>5993</v>
      </c>
      <c r="M1374" s="199"/>
      <c r="N1374" s="199"/>
      <c r="O1374" s="193"/>
      <c r="P1374" s="193"/>
      <c r="Q1374" s="200"/>
      <c r="R1374" s="86"/>
      <c r="S1374" s="114">
        <f t="shared" ref="S1374:T1374" si="1375">A1374</f>
        <v>1374</v>
      </c>
      <c r="T1374" s="114" t="str">
        <f t="shared" si="1375"/>
        <v>الهام فرزین</v>
      </c>
      <c r="U1374" s="86" t="str">
        <f t="shared" si="3"/>
        <v>09216954012</v>
      </c>
      <c r="V1374" s="86" t="str">
        <f t="shared" si="4"/>
        <v>پیش‌وایی 11</v>
      </c>
      <c r="W1374" s="86"/>
      <c r="X1374" s="86"/>
    </row>
    <row r="1375">
      <c r="A1375" s="201">
        <v>1375.0</v>
      </c>
      <c r="B1375" s="202" t="s">
        <v>5994</v>
      </c>
      <c r="C1375" s="203" t="s">
        <v>5995</v>
      </c>
      <c r="D1375" s="204" t="str">
        <f>IFERROR(__xludf.DUMMYFUNCTION("ARRAYFORMULA(LET( converted, SUBSTITUTE( SUBSTITUTE( SUBSTITUTE( SUBSTITUTE( SUBSTITUTE( SUBSTITUTE( SUBSTITUTE( SUBSTITUTE( SUBSTITUTE( SUBSTITUTE( C1375, ""۰"", ""0""), ""۱"", ""1""), ""۲"", ""2""), ""۳"", ""3""), ""۴"", ""4""), ""۵"", ""5""), ""۶"", """&amp;"6""), ""۷"", ""7""), ""۸"", ""8""), ""۹"", ""9""), IF(LEFT(converted,3)=""+98"", ""0"" &amp; RIGHT(converted, LEN(converted)-3), IF(LEFT(converted,2)=""98"", ""0"" &amp; RIGHT(converted, LEN(converted)-2), IF(LEFT(converted,1)&lt;&gt;""0"", ""0"" &amp; converted, REGEXREPL"&amp;"ACE(converted , ""\s"", """")) ) ) ) )"),"09120652693")</f>
        <v>09120652693</v>
      </c>
      <c r="E1375" s="205" t="s">
        <v>17</v>
      </c>
      <c r="F1375" s="206">
        <v>11.0</v>
      </c>
      <c r="G1375" s="202"/>
      <c r="H1375" s="202"/>
      <c r="I1375" s="203"/>
      <c r="J1375" s="203"/>
      <c r="K1375" s="207" t="s">
        <v>303</v>
      </c>
      <c r="L1375" s="207" t="s">
        <v>5996</v>
      </c>
      <c r="M1375" s="207"/>
      <c r="N1375" s="207"/>
      <c r="O1375" s="202"/>
      <c r="P1375" s="202"/>
      <c r="Q1375" s="208"/>
      <c r="R1375" s="86"/>
      <c r="S1375" s="114">
        <f t="shared" ref="S1375:T1375" si="1376">A1375</f>
        <v>1375</v>
      </c>
      <c r="T1375" s="114" t="str">
        <f t="shared" si="1376"/>
        <v>محمد دهقان</v>
      </c>
      <c r="U1375" s="86" t="str">
        <f t="shared" si="3"/>
        <v>09120652693</v>
      </c>
      <c r="V1375" s="86" t="str">
        <f t="shared" si="4"/>
        <v>پیش‌وایی 11</v>
      </c>
      <c r="W1375" s="86"/>
      <c r="X1375" s="86"/>
    </row>
    <row r="1376">
      <c r="A1376" s="192">
        <v>1376.0</v>
      </c>
      <c r="B1376" s="193" t="s">
        <v>5997</v>
      </c>
      <c r="C1376" s="194" t="s">
        <v>5998</v>
      </c>
      <c r="D1376" s="195" t="str">
        <f>IFERROR(__xludf.DUMMYFUNCTION("ARRAYFORMULA(LET( converted, SUBSTITUTE( SUBSTITUTE( SUBSTITUTE( SUBSTITUTE( SUBSTITUTE( SUBSTITUTE( SUBSTITUTE( SUBSTITUTE( SUBSTITUTE( SUBSTITUTE( C1376, ""۰"", ""0""), ""۱"", ""1""), ""۲"", ""2""), ""۳"", ""3""), ""۴"", ""4""), ""۵"", ""5""), ""۶"", """&amp;"6""), ""۷"", ""7""), ""۸"", ""8""), ""۹"", ""9""), IF(LEFT(converted,3)=""+98"", ""0"" &amp; RIGHT(converted, LEN(converted)-3), IF(LEFT(converted,2)=""98"", ""0"" &amp; RIGHT(converted, LEN(converted)-2), IF(LEFT(converted,1)&lt;&gt;""0"", ""0"" &amp; converted, REGEXREPL"&amp;"ACE(converted , ""\s"", """")) ) ) ) )"),"09931428407")</f>
        <v>09931428407</v>
      </c>
      <c r="E1376" s="196" t="s">
        <v>17</v>
      </c>
      <c r="F1376" s="197">
        <v>11.0</v>
      </c>
      <c r="G1376" s="193"/>
      <c r="H1376" s="193"/>
      <c r="I1376" s="194"/>
      <c r="J1376" s="194"/>
      <c r="K1376" s="199" t="s">
        <v>5999</v>
      </c>
      <c r="L1376" s="199" t="s">
        <v>6000</v>
      </c>
      <c r="M1376" s="199"/>
      <c r="N1376" s="199"/>
      <c r="O1376" s="193"/>
      <c r="P1376" s="193"/>
      <c r="Q1376" s="200"/>
      <c r="R1376" s="86"/>
      <c r="S1376" s="114">
        <f t="shared" ref="S1376:T1376" si="1377">A1376</f>
        <v>1376</v>
      </c>
      <c r="T1376" s="114" t="str">
        <f t="shared" si="1377"/>
        <v>تبسم رضوانی</v>
      </c>
      <c r="U1376" s="86" t="str">
        <f t="shared" si="3"/>
        <v>09931428407</v>
      </c>
      <c r="V1376" s="86" t="str">
        <f t="shared" si="4"/>
        <v>پیش‌وایی 11</v>
      </c>
      <c r="W1376" s="86"/>
      <c r="X1376" s="86"/>
    </row>
    <row r="1377">
      <c r="A1377" s="201">
        <v>1377.0</v>
      </c>
      <c r="B1377" s="202" t="s">
        <v>6001</v>
      </c>
      <c r="C1377" s="203" t="s">
        <v>6002</v>
      </c>
      <c r="D1377" s="204" t="str">
        <f>IFERROR(__xludf.DUMMYFUNCTION("ARRAYFORMULA(LET( converted, SUBSTITUTE( SUBSTITUTE( SUBSTITUTE( SUBSTITUTE( SUBSTITUTE( SUBSTITUTE( SUBSTITUTE( SUBSTITUTE( SUBSTITUTE( SUBSTITUTE( C1377, ""۰"", ""0""), ""۱"", ""1""), ""۲"", ""2""), ""۳"", ""3""), ""۴"", ""4""), ""۵"", ""5""), ""۶"", """&amp;"6""), ""۷"", ""7""), ""۸"", ""8""), ""۹"", ""9""), IF(LEFT(converted,3)=""+98"", ""0"" &amp; RIGHT(converted, LEN(converted)-3), IF(LEFT(converted,2)=""98"", ""0"" &amp; RIGHT(converted, LEN(converted)-2), IF(LEFT(converted,1)&lt;&gt;""0"", ""0"" &amp; converted, REGEXREPL"&amp;"ACE(converted , ""\s"", """")) ) ) ) )"),"09124431175")</f>
        <v>09124431175</v>
      </c>
      <c r="E1377" s="205" t="s">
        <v>17</v>
      </c>
      <c r="F1377" s="206">
        <v>11.0</v>
      </c>
      <c r="G1377" s="202"/>
      <c r="H1377" s="202"/>
      <c r="I1377" s="203"/>
      <c r="J1377" s="203"/>
      <c r="K1377" s="207" t="s">
        <v>2421</v>
      </c>
      <c r="L1377" s="207" t="s">
        <v>6003</v>
      </c>
      <c r="M1377" s="207"/>
      <c r="N1377" s="207"/>
      <c r="O1377" s="202"/>
      <c r="P1377" s="202"/>
      <c r="Q1377" s="208"/>
      <c r="R1377" s="86"/>
      <c r="S1377" s="114">
        <f t="shared" ref="S1377:T1377" si="1378">A1377</f>
        <v>1377</v>
      </c>
      <c r="T1377" s="114" t="str">
        <f t="shared" si="1378"/>
        <v>داود حیدری راد</v>
      </c>
      <c r="U1377" s="86" t="str">
        <f t="shared" si="3"/>
        <v>09124431175</v>
      </c>
      <c r="V1377" s="86" t="str">
        <f t="shared" si="4"/>
        <v>پیش‌وایی 11</v>
      </c>
      <c r="W1377" s="86"/>
      <c r="X1377" s="86"/>
    </row>
    <row r="1378">
      <c r="A1378" s="192">
        <v>1378.0</v>
      </c>
      <c r="B1378" s="193" t="s">
        <v>6004</v>
      </c>
      <c r="C1378" s="194" t="s">
        <v>6005</v>
      </c>
      <c r="D1378" s="195" t="str">
        <f>IFERROR(__xludf.DUMMYFUNCTION("ARRAYFORMULA(LET( converted, SUBSTITUTE( SUBSTITUTE( SUBSTITUTE( SUBSTITUTE( SUBSTITUTE( SUBSTITUTE( SUBSTITUTE( SUBSTITUTE( SUBSTITUTE( SUBSTITUTE( C1378, ""۰"", ""0""), ""۱"", ""1""), ""۲"", ""2""), ""۳"", ""3""), ""۴"", ""4""), ""۵"", ""5""), ""۶"", """&amp;"6""), ""۷"", ""7""), ""۸"", ""8""), ""۹"", ""9""), IF(LEFT(converted,3)=""+98"", ""0"" &amp; RIGHT(converted, LEN(converted)-3), IF(LEFT(converted,2)=""98"", ""0"" &amp; RIGHT(converted, LEN(converted)-2), IF(LEFT(converted,1)&lt;&gt;""0"", ""0"" &amp; converted, REGEXREPL"&amp;"ACE(converted , ""\s"", """")) ) ) ) )"),"09126597091")</f>
        <v>09126597091</v>
      </c>
      <c r="E1378" s="196" t="s">
        <v>17</v>
      </c>
      <c r="F1378" s="197">
        <v>11.0</v>
      </c>
      <c r="G1378" s="193"/>
      <c r="H1378" s="193"/>
      <c r="I1378" s="194"/>
      <c r="J1378" s="194"/>
      <c r="K1378" s="199" t="s">
        <v>1810</v>
      </c>
      <c r="L1378" s="199" t="s">
        <v>1012</v>
      </c>
      <c r="M1378" s="199"/>
      <c r="N1378" s="199"/>
      <c r="O1378" s="193"/>
      <c r="P1378" s="193"/>
      <c r="Q1378" s="200"/>
      <c r="R1378" s="86"/>
      <c r="S1378" s="114">
        <f t="shared" ref="S1378:T1378" si="1379">A1378</f>
        <v>1378</v>
      </c>
      <c r="T1378" s="114" t="str">
        <f t="shared" si="1379"/>
        <v>سمیه محمدی</v>
      </c>
      <c r="U1378" s="86" t="str">
        <f t="shared" si="3"/>
        <v>09126597091</v>
      </c>
      <c r="V1378" s="86" t="str">
        <f t="shared" si="4"/>
        <v>پیش‌وایی 11</v>
      </c>
      <c r="W1378" s="86"/>
      <c r="X1378" s="86"/>
    </row>
    <row r="1379">
      <c r="A1379" s="201">
        <v>1379.0</v>
      </c>
      <c r="B1379" s="202" t="s">
        <v>6006</v>
      </c>
      <c r="C1379" s="203" t="s">
        <v>6007</v>
      </c>
      <c r="D1379" s="204" t="str">
        <f>IFERROR(__xludf.DUMMYFUNCTION("ARRAYFORMULA(LET( converted, SUBSTITUTE( SUBSTITUTE( SUBSTITUTE( SUBSTITUTE( SUBSTITUTE( SUBSTITUTE( SUBSTITUTE( SUBSTITUTE( SUBSTITUTE( SUBSTITUTE( C1379, ""۰"", ""0""), ""۱"", ""1""), ""۲"", ""2""), ""۳"", ""3""), ""۴"", ""4""), ""۵"", ""5""), ""۶"", """&amp;"6""), ""۷"", ""7""), ""۸"", ""8""), ""۹"", ""9""), IF(LEFT(converted,3)=""+98"", ""0"" &amp; RIGHT(converted, LEN(converted)-3), IF(LEFT(converted,2)=""98"", ""0"" &amp; RIGHT(converted, LEN(converted)-2), IF(LEFT(converted,1)&lt;&gt;""0"", ""0"" &amp; converted, REGEXREPL"&amp;"ACE(converted , ""\s"", """")) ) ) ) )"),"09155459520")</f>
        <v>09155459520</v>
      </c>
      <c r="E1379" s="205" t="s">
        <v>17</v>
      </c>
      <c r="F1379" s="206">
        <v>11.0</v>
      </c>
      <c r="G1379" s="202"/>
      <c r="H1379" s="202"/>
      <c r="I1379" s="203"/>
      <c r="J1379" s="203"/>
      <c r="K1379" s="207" t="s">
        <v>758</v>
      </c>
      <c r="L1379" s="207" t="s">
        <v>6008</v>
      </c>
      <c r="M1379" s="207"/>
      <c r="N1379" s="207"/>
      <c r="O1379" s="202"/>
      <c r="P1379" s="202"/>
      <c r="Q1379" s="208"/>
      <c r="R1379" s="86"/>
      <c r="S1379" s="114">
        <f t="shared" ref="S1379:T1379" si="1380">A1379</f>
        <v>1379</v>
      </c>
      <c r="T1379" s="114" t="str">
        <f t="shared" si="1380"/>
        <v>سعید قریشی مقدم</v>
      </c>
      <c r="U1379" s="86" t="str">
        <f t="shared" si="3"/>
        <v>09155459520</v>
      </c>
      <c r="V1379" s="86" t="str">
        <f t="shared" si="4"/>
        <v>پیش‌وایی 11</v>
      </c>
      <c r="W1379" s="86"/>
      <c r="X1379" s="86"/>
    </row>
    <row r="1380">
      <c r="A1380" s="192">
        <v>1380.0</v>
      </c>
      <c r="B1380" s="193" t="s">
        <v>6009</v>
      </c>
      <c r="C1380" s="194" t="s">
        <v>6010</v>
      </c>
      <c r="D1380" s="195" t="str">
        <f>IFERROR(__xludf.DUMMYFUNCTION("ARRAYFORMULA(LET( converted, SUBSTITUTE( SUBSTITUTE( SUBSTITUTE( SUBSTITUTE( SUBSTITUTE( SUBSTITUTE( SUBSTITUTE( SUBSTITUTE( SUBSTITUTE( SUBSTITUTE( C1380, ""۰"", ""0""), ""۱"", ""1""), ""۲"", ""2""), ""۳"", ""3""), ""۴"", ""4""), ""۵"", ""5""), ""۶"", """&amp;"6""), ""۷"", ""7""), ""۸"", ""8""), ""۹"", ""9""), IF(LEFT(converted,3)=""+98"", ""0"" &amp; RIGHT(converted, LEN(converted)-3), IF(LEFT(converted,2)=""98"", ""0"" &amp; RIGHT(converted, LEN(converted)-2), IF(LEFT(converted,1)&lt;&gt;""0"", ""0"" &amp; converted, REGEXREPL"&amp;"ACE(converted , ""\s"", """")) ) ) ) )"),"09153404396")</f>
        <v>09153404396</v>
      </c>
      <c r="E1380" s="196" t="s">
        <v>17</v>
      </c>
      <c r="F1380" s="197">
        <v>11.0</v>
      </c>
      <c r="G1380" s="193"/>
      <c r="H1380" s="193"/>
      <c r="I1380" s="194"/>
      <c r="J1380" s="194"/>
      <c r="K1380" s="199" t="s">
        <v>1004</v>
      </c>
      <c r="L1380" s="199" t="s">
        <v>6011</v>
      </c>
      <c r="M1380" s="199"/>
      <c r="N1380" s="199"/>
      <c r="O1380" s="193"/>
      <c r="P1380" s="193"/>
      <c r="Q1380" s="200"/>
      <c r="R1380" s="86"/>
      <c r="S1380" s="114">
        <f t="shared" ref="S1380:T1380" si="1381">A1380</f>
        <v>1380</v>
      </c>
      <c r="T1380" s="114" t="str">
        <f t="shared" si="1381"/>
        <v>حامد ناظری</v>
      </c>
      <c r="U1380" s="86" t="str">
        <f t="shared" si="3"/>
        <v>09153404396</v>
      </c>
      <c r="V1380" s="86" t="str">
        <f t="shared" si="4"/>
        <v>پیش‌وایی 11</v>
      </c>
      <c r="W1380" s="86"/>
      <c r="X1380" s="86"/>
    </row>
    <row r="1381">
      <c r="A1381" s="201">
        <v>1381.0</v>
      </c>
      <c r="B1381" s="202" t="s">
        <v>6012</v>
      </c>
      <c r="C1381" s="203" t="s">
        <v>6013</v>
      </c>
      <c r="D1381" s="204" t="str">
        <f>IFERROR(__xludf.DUMMYFUNCTION("ARRAYFORMULA(LET( converted, SUBSTITUTE( SUBSTITUTE( SUBSTITUTE( SUBSTITUTE( SUBSTITUTE( SUBSTITUTE( SUBSTITUTE( SUBSTITUTE( SUBSTITUTE( SUBSTITUTE( C1381, ""۰"", ""0""), ""۱"", ""1""), ""۲"", ""2""), ""۳"", ""3""), ""۴"", ""4""), ""۵"", ""5""), ""۶"", """&amp;"6""), ""۷"", ""7""), ""۸"", ""8""), ""۹"", ""9""), IF(LEFT(converted,3)=""+98"", ""0"" &amp; RIGHT(converted, LEN(converted)-3), IF(LEFT(converted,2)=""98"", ""0"" &amp; RIGHT(converted, LEN(converted)-2), IF(LEFT(converted,1)&lt;&gt;""0"", ""0"" &amp; converted, REGEXREPL"&amp;"ACE(converted , ""\s"", """")) ) ) ) )"),"09126036839")</f>
        <v>09126036839</v>
      </c>
      <c r="E1381" s="205" t="s">
        <v>17</v>
      </c>
      <c r="F1381" s="206">
        <v>11.0</v>
      </c>
      <c r="G1381" s="202"/>
      <c r="H1381" s="202"/>
      <c r="I1381" s="203"/>
      <c r="J1381" s="203"/>
      <c r="K1381" s="207" t="s">
        <v>758</v>
      </c>
      <c r="L1381" s="207" t="s">
        <v>6014</v>
      </c>
      <c r="M1381" s="207"/>
      <c r="N1381" s="207"/>
      <c r="O1381" s="202"/>
      <c r="P1381" s="202"/>
      <c r="Q1381" s="208"/>
      <c r="R1381" s="86"/>
      <c r="S1381" s="114">
        <f t="shared" ref="S1381:T1381" si="1382">A1381</f>
        <v>1381</v>
      </c>
      <c r="T1381" s="114" t="str">
        <f t="shared" si="1382"/>
        <v>سعید دالوند</v>
      </c>
      <c r="U1381" s="86" t="str">
        <f t="shared" si="3"/>
        <v>09126036839</v>
      </c>
      <c r="V1381" s="86" t="str">
        <f t="shared" si="4"/>
        <v>پیش‌وایی 11</v>
      </c>
      <c r="W1381" s="86"/>
      <c r="X1381" s="86"/>
    </row>
    <row r="1382">
      <c r="A1382" s="192">
        <v>1382.0</v>
      </c>
      <c r="B1382" s="193" t="s">
        <v>6015</v>
      </c>
      <c r="C1382" s="194" t="s">
        <v>6016</v>
      </c>
      <c r="D1382" s="195" t="str">
        <f>IFERROR(__xludf.DUMMYFUNCTION("ARRAYFORMULA(LET( converted, SUBSTITUTE( SUBSTITUTE( SUBSTITUTE( SUBSTITUTE( SUBSTITUTE( SUBSTITUTE( SUBSTITUTE( SUBSTITUTE( SUBSTITUTE( SUBSTITUTE( C1382, ""۰"", ""0""), ""۱"", ""1""), ""۲"", ""2""), ""۳"", ""3""), ""۴"", ""4""), ""۵"", ""5""), ""۶"", """&amp;"6""), ""۷"", ""7""), ""۸"", ""8""), ""۹"", ""9""), IF(LEFT(converted,3)=""+98"", ""0"" &amp; RIGHT(converted, LEN(converted)-3), IF(LEFT(converted,2)=""98"", ""0"" &amp; RIGHT(converted, LEN(converted)-2), IF(LEFT(converted,1)&lt;&gt;""0"", ""0"" &amp; converted, REGEXREPL"&amp;"ACE(converted , ""\s"", """")) ) ) ) )"),"09120282072")</f>
        <v>09120282072</v>
      </c>
      <c r="E1382" s="196" t="s">
        <v>17</v>
      </c>
      <c r="F1382" s="197">
        <v>11.0</v>
      </c>
      <c r="G1382" s="193"/>
      <c r="H1382" s="193"/>
      <c r="I1382" s="194"/>
      <c r="J1382" s="194"/>
      <c r="K1382" s="199" t="s">
        <v>2369</v>
      </c>
      <c r="L1382" s="199" t="s">
        <v>2945</v>
      </c>
      <c r="M1382" s="199"/>
      <c r="N1382" s="199"/>
      <c r="O1382" s="193"/>
      <c r="P1382" s="193"/>
      <c r="Q1382" s="200"/>
      <c r="R1382" s="86"/>
      <c r="S1382" s="114">
        <f t="shared" ref="S1382:T1382" si="1383">A1382</f>
        <v>1382</v>
      </c>
      <c r="T1382" s="114" t="str">
        <f t="shared" si="1383"/>
        <v>بیتا سهرابی</v>
      </c>
      <c r="U1382" s="86" t="str">
        <f t="shared" si="3"/>
        <v>09120282072</v>
      </c>
      <c r="V1382" s="86" t="str">
        <f t="shared" si="4"/>
        <v>پیش‌وایی 11</v>
      </c>
      <c r="W1382" s="86"/>
      <c r="X1382" s="86"/>
    </row>
    <row r="1383">
      <c r="A1383" s="201">
        <v>1383.0</v>
      </c>
      <c r="B1383" s="202" t="s">
        <v>6017</v>
      </c>
      <c r="C1383" s="203" t="s">
        <v>6018</v>
      </c>
      <c r="D1383" s="204" t="str">
        <f>IFERROR(__xludf.DUMMYFUNCTION("ARRAYFORMULA(LET( converted, SUBSTITUTE( SUBSTITUTE( SUBSTITUTE( SUBSTITUTE( SUBSTITUTE( SUBSTITUTE( SUBSTITUTE( SUBSTITUTE( SUBSTITUTE( SUBSTITUTE( C1383, ""۰"", ""0""), ""۱"", ""1""), ""۲"", ""2""), ""۳"", ""3""), ""۴"", ""4""), ""۵"", ""5""), ""۶"", """&amp;"6""), ""۷"", ""7""), ""۸"", ""8""), ""۹"", ""9""), IF(LEFT(converted,3)=""+98"", ""0"" &amp; RIGHT(converted, LEN(converted)-3), IF(LEFT(converted,2)=""98"", ""0"" &amp; RIGHT(converted, LEN(converted)-2), IF(LEFT(converted,1)&lt;&gt;""0"", ""0"" &amp; converted, REGEXREPL"&amp;"ACE(converted , ""\s"", """")) ) ) ) )"),"09159587472")</f>
        <v>09159587472</v>
      </c>
      <c r="E1383" s="205" t="s">
        <v>17</v>
      </c>
      <c r="F1383" s="206">
        <v>11.0</v>
      </c>
      <c r="G1383" s="202"/>
      <c r="H1383" s="202"/>
      <c r="I1383" s="203"/>
      <c r="J1383" s="203"/>
      <c r="K1383" s="207" t="s">
        <v>6019</v>
      </c>
      <c r="L1383" s="207" t="s">
        <v>6020</v>
      </c>
      <c r="M1383" s="207"/>
      <c r="N1383" s="207"/>
      <c r="O1383" s="202"/>
      <c r="P1383" s="202"/>
      <c r="Q1383" s="208"/>
      <c r="R1383" s="86"/>
      <c r="S1383" s="114">
        <f t="shared" ref="S1383:T1383" si="1384">A1383</f>
        <v>1383</v>
      </c>
      <c r="T1383" s="114" t="str">
        <f t="shared" si="1384"/>
        <v>ندیم درزاده</v>
      </c>
      <c r="U1383" s="86" t="str">
        <f t="shared" si="3"/>
        <v>09159587472</v>
      </c>
      <c r="V1383" s="86" t="str">
        <f t="shared" si="4"/>
        <v>پیش‌وایی 11</v>
      </c>
      <c r="W1383" s="86"/>
      <c r="X1383" s="86"/>
    </row>
    <row r="1384">
      <c r="A1384" s="192">
        <v>1384.0</v>
      </c>
      <c r="B1384" s="193" t="s">
        <v>6021</v>
      </c>
      <c r="C1384" s="194" t="s">
        <v>6022</v>
      </c>
      <c r="D1384" s="195" t="str">
        <f>IFERROR(__xludf.DUMMYFUNCTION("ARRAYFORMULA(LET( converted, SUBSTITUTE( SUBSTITUTE( SUBSTITUTE( SUBSTITUTE( SUBSTITUTE( SUBSTITUTE( SUBSTITUTE( SUBSTITUTE( SUBSTITUTE( SUBSTITUTE( C1384, ""۰"", ""0""), ""۱"", ""1""), ""۲"", ""2""), ""۳"", ""3""), ""۴"", ""4""), ""۵"", ""5""), ""۶"", """&amp;"6""), ""۷"", ""7""), ""۸"", ""8""), ""۹"", ""9""), IF(LEFT(converted,3)=""+98"", ""0"" &amp; RIGHT(converted, LEN(converted)-3), IF(LEFT(converted,2)=""98"", ""0"" &amp; RIGHT(converted, LEN(converted)-2), IF(LEFT(converted,1)&lt;&gt;""0"", ""0"" &amp; converted, REGEXREPL"&amp;"ACE(converted , ""\s"", """")) ) ) ) )"),"09121244276")</f>
        <v>09121244276</v>
      </c>
      <c r="E1384" s="196" t="s">
        <v>17</v>
      </c>
      <c r="F1384" s="197">
        <v>11.0</v>
      </c>
      <c r="G1384" s="193"/>
      <c r="H1384" s="193"/>
      <c r="I1384" s="194"/>
      <c r="J1384" s="194"/>
      <c r="K1384" s="199" t="s">
        <v>968</v>
      </c>
      <c r="L1384" s="199" t="s">
        <v>6023</v>
      </c>
      <c r="M1384" s="199"/>
      <c r="N1384" s="199"/>
      <c r="O1384" s="193"/>
      <c r="P1384" s="193"/>
      <c r="Q1384" s="200"/>
      <c r="R1384" s="86"/>
      <c r="S1384" s="114">
        <f t="shared" ref="S1384:T1384" si="1385">A1384</f>
        <v>1384</v>
      </c>
      <c r="T1384" s="114" t="str">
        <f t="shared" si="1385"/>
        <v>رامین سمیع زاده</v>
      </c>
      <c r="U1384" s="86" t="str">
        <f t="shared" si="3"/>
        <v>09121244276</v>
      </c>
      <c r="V1384" s="86" t="str">
        <f t="shared" si="4"/>
        <v>پیش‌وایی 11</v>
      </c>
      <c r="W1384" s="86"/>
      <c r="X1384" s="86"/>
    </row>
    <row r="1385">
      <c r="A1385" s="201">
        <v>1385.0</v>
      </c>
      <c r="B1385" s="202" t="s">
        <v>6024</v>
      </c>
      <c r="C1385" s="203" t="s">
        <v>6025</v>
      </c>
      <c r="D1385" s="204" t="str">
        <f>IFERROR(__xludf.DUMMYFUNCTION("ARRAYFORMULA(LET( converted, SUBSTITUTE( SUBSTITUTE( SUBSTITUTE( SUBSTITUTE( SUBSTITUTE( SUBSTITUTE( SUBSTITUTE( SUBSTITUTE( SUBSTITUTE( SUBSTITUTE( C1385, ""۰"", ""0""), ""۱"", ""1""), ""۲"", ""2""), ""۳"", ""3""), ""۴"", ""4""), ""۵"", ""5""), ""۶"", """&amp;"6""), ""۷"", ""7""), ""۸"", ""8""), ""۹"", ""9""), IF(LEFT(converted,3)=""+98"", ""0"" &amp; RIGHT(converted, LEN(converted)-3), IF(LEFT(converted,2)=""98"", ""0"" &amp; RIGHT(converted, LEN(converted)-2), IF(LEFT(converted,1)&lt;&gt;""0"", ""0"" &amp; converted, REGEXREPL"&amp;"ACE(converted , ""\s"", """")) ) ) ) )"),"09188583660")</f>
        <v>09188583660</v>
      </c>
      <c r="E1385" s="205" t="s">
        <v>17</v>
      </c>
      <c r="F1385" s="206">
        <v>11.0</v>
      </c>
      <c r="G1385" s="202"/>
      <c r="H1385" s="202"/>
      <c r="I1385" s="203"/>
      <c r="J1385" s="203"/>
      <c r="K1385" s="207" t="s">
        <v>286</v>
      </c>
      <c r="L1385" s="207" t="s">
        <v>6026</v>
      </c>
      <c r="M1385" s="207"/>
      <c r="N1385" s="207"/>
      <c r="O1385" s="202"/>
      <c r="P1385" s="202"/>
      <c r="Q1385" s="208"/>
      <c r="R1385" s="86"/>
      <c r="S1385" s="114">
        <f t="shared" ref="S1385:T1385" si="1386">A1385</f>
        <v>1385</v>
      </c>
      <c r="T1385" s="114" t="str">
        <f t="shared" si="1386"/>
        <v>مهدی آشوع</v>
      </c>
      <c r="U1385" s="86" t="str">
        <f t="shared" si="3"/>
        <v>09188583660</v>
      </c>
      <c r="V1385" s="86" t="str">
        <f t="shared" si="4"/>
        <v>پیش‌وایی 11</v>
      </c>
      <c r="W1385" s="86"/>
      <c r="X1385" s="86"/>
    </row>
    <row r="1386">
      <c r="A1386" s="192">
        <v>1386.0</v>
      </c>
      <c r="B1386" s="193" t="s">
        <v>1720</v>
      </c>
      <c r="C1386" s="194" t="s">
        <v>1721</v>
      </c>
      <c r="D1386" s="195" t="str">
        <f>IFERROR(__xludf.DUMMYFUNCTION("ARRAYFORMULA(LET( converted, SUBSTITUTE( SUBSTITUTE( SUBSTITUTE( SUBSTITUTE( SUBSTITUTE( SUBSTITUTE( SUBSTITUTE( SUBSTITUTE( SUBSTITUTE( SUBSTITUTE( C1386, ""۰"", ""0""), ""۱"", ""1""), ""۲"", ""2""), ""۳"", ""3""), ""۴"", ""4""), ""۵"", ""5""), ""۶"", """&amp;"6""), ""۷"", ""7""), ""۸"", ""8""), ""۹"", ""9""), IF(LEFT(converted,3)=""+98"", ""0"" &amp; RIGHT(converted, LEN(converted)-3), IF(LEFT(converted,2)=""98"", ""0"" &amp; RIGHT(converted, LEN(converted)-2), IF(LEFT(converted,1)&lt;&gt;""0"", ""0"" &amp; converted, REGEXREPL"&amp;"ACE(converted , ""\s"", """")) ) ) ) )"),"014372990260")</f>
        <v>014372990260</v>
      </c>
      <c r="E1386" s="196" t="s">
        <v>17</v>
      </c>
      <c r="F1386" s="197">
        <v>11.0</v>
      </c>
      <c r="G1386" s="193"/>
      <c r="H1386" s="193"/>
      <c r="I1386" s="194"/>
      <c r="J1386" s="194"/>
      <c r="K1386" s="199" t="s">
        <v>303</v>
      </c>
      <c r="L1386" s="199" t="s">
        <v>1723</v>
      </c>
      <c r="M1386" s="199"/>
      <c r="N1386" s="199"/>
      <c r="O1386" s="193"/>
      <c r="P1386" s="193"/>
      <c r="Q1386" s="200"/>
      <c r="R1386" s="86"/>
      <c r="S1386" s="114">
        <f t="shared" ref="S1386:T1386" si="1387">A1386</f>
        <v>1386</v>
      </c>
      <c r="T1386" s="114" t="str">
        <f t="shared" si="1387"/>
        <v>محمد زارع</v>
      </c>
      <c r="U1386" s="86" t="str">
        <f t="shared" si="3"/>
        <v>014372990260</v>
      </c>
      <c r="V1386" s="86" t="str">
        <f t="shared" si="4"/>
        <v>پیش‌وایی 11</v>
      </c>
      <c r="W1386" s="86"/>
      <c r="X1386" s="86"/>
    </row>
    <row r="1387">
      <c r="A1387" s="201">
        <v>1387.0</v>
      </c>
      <c r="B1387" s="202" t="s">
        <v>6027</v>
      </c>
      <c r="C1387" s="203" t="s">
        <v>6028</v>
      </c>
      <c r="D1387" s="204" t="str">
        <f>IFERROR(__xludf.DUMMYFUNCTION("ARRAYFORMULA(LET( converted, SUBSTITUTE( SUBSTITUTE( SUBSTITUTE( SUBSTITUTE( SUBSTITUTE( SUBSTITUTE( SUBSTITUTE( SUBSTITUTE( SUBSTITUTE( SUBSTITUTE( C1387, ""۰"", ""0""), ""۱"", ""1""), ""۲"", ""2""), ""۳"", ""3""), ""۴"", ""4""), ""۵"", ""5""), ""۶"", """&amp;"6""), ""۷"", ""7""), ""۸"", ""8""), ""۹"", ""9""), IF(LEFT(converted,3)=""+98"", ""0"" &amp; RIGHT(converted, LEN(converted)-3), IF(LEFT(converted,2)=""98"", ""0"" &amp; RIGHT(converted, LEN(converted)-2), IF(LEFT(converted,1)&lt;&gt;""0"", ""0"" &amp; converted, REGEXREPL"&amp;"ACE(converted , ""\s"", """")) ) ) ) )"),"09378206785")</f>
        <v>09378206785</v>
      </c>
      <c r="E1387" s="205" t="s">
        <v>17</v>
      </c>
      <c r="F1387" s="206">
        <v>11.0</v>
      </c>
      <c r="G1387" s="202"/>
      <c r="H1387" s="202"/>
      <c r="I1387" s="203"/>
      <c r="J1387" s="203"/>
      <c r="K1387" s="207" t="s">
        <v>6029</v>
      </c>
      <c r="L1387" s="207" t="s">
        <v>1590</v>
      </c>
      <c r="M1387" s="207"/>
      <c r="N1387" s="207"/>
      <c r="O1387" s="202"/>
      <c r="P1387" s="202"/>
      <c r="Q1387" s="208"/>
      <c r="R1387" s="86"/>
      <c r="S1387" s="114">
        <f t="shared" ref="S1387:T1387" si="1388">A1387</f>
        <v>1387</v>
      </c>
      <c r="T1387" s="114" t="str">
        <f t="shared" si="1388"/>
        <v>راضیه انصاری</v>
      </c>
      <c r="U1387" s="86" t="str">
        <f t="shared" si="3"/>
        <v>09378206785</v>
      </c>
      <c r="V1387" s="86" t="str">
        <f t="shared" si="4"/>
        <v>پیش‌وایی 11</v>
      </c>
      <c r="W1387" s="86"/>
      <c r="X1387" s="86"/>
    </row>
    <row r="1388">
      <c r="A1388" s="192">
        <v>1388.0</v>
      </c>
      <c r="B1388" s="193" t="s">
        <v>6030</v>
      </c>
      <c r="C1388" s="194"/>
      <c r="D1388" s="195" t="str">
        <f>IFERROR(__xludf.DUMMYFUNCTION("ARRAYFORMULA(LET( converted, SUBSTITUTE( SUBSTITUTE( SUBSTITUTE( SUBSTITUTE( SUBSTITUTE( SUBSTITUTE( SUBSTITUTE( SUBSTITUTE( SUBSTITUTE( SUBSTITUTE( C1388, ""۰"", ""0""), ""۱"", ""1""), ""۲"", ""2""), ""۳"", ""3""), ""۴"", ""4""), ""۵"", ""5""), ""۶"", """&amp;"6""), ""۷"", ""7""), ""۸"", ""8""), ""۹"", ""9""), IF(LEFT(converted,3)=""+98"", ""0"" &amp; RIGHT(converted, LEN(converted)-3), IF(LEFT(converted,2)=""98"", ""0"" &amp; RIGHT(converted, LEN(converted)-2), IF(LEFT(converted,1)&lt;&gt;""0"", ""0"" &amp; converted, REGEXREPL"&amp;"ACE(converted , ""\s"", """")) ) ) ) )"),"0")</f>
        <v>0</v>
      </c>
      <c r="E1388" s="196" t="s">
        <v>17</v>
      </c>
      <c r="F1388" s="197">
        <v>11.0</v>
      </c>
      <c r="G1388" s="193"/>
      <c r="H1388" s="193"/>
      <c r="I1388" s="211" t="s">
        <v>6031</v>
      </c>
      <c r="J1388" s="194"/>
      <c r="K1388" s="199" t="s">
        <v>2347</v>
      </c>
      <c r="L1388" s="199" t="s">
        <v>6032</v>
      </c>
      <c r="M1388" s="199"/>
      <c r="N1388" s="199"/>
      <c r="O1388" s="193"/>
      <c r="P1388" s="193"/>
      <c r="Q1388" s="200"/>
      <c r="R1388" s="86"/>
      <c r="S1388" s="114">
        <f t="shared" ref="S1388:T1388" si="1389">A1388</f>
        <v>1388</v>
      </c>
      <c r="T1388" s="114" t="str">
        <f t="shared" si="1389"/>
        <v>هادی میرواحدی</v>
      </c>
      <c r="U1388" s="86" t="str">
        <f t="shared" si="3"/>
        <v>0</v>
      </c>
      <c r="V1388" s="86" t="str">
        <f t="shared" si="4"/>
        <v>پیش‌وایی 11</v>
      </c>
      <c r="W1388" s="86"/>
      <c r="X1388" s="86"/>
    </row>
    <row r="1389">
      <c r="A1389" s="201">
        <v>1389.0</v>
      </c>
      <c r="B1389" s="202" t="s">
        <v>6033</v>
      </c>
      <c r="C1389" s="203" t="s">
        <v>6034</v>
      </c>
      <c r="D1389" s="204" t="str">
        <f>IFERROR(__xludf.DUMMYFUNCTION("ARRAYFORMULA(LET( converted, SUBSTITUTE( SUBSTITUTE( SUBSTITUTE( SUBSTITUTE( SUBSTITUTE( SUBSTITUTE( SUBSTITUTE( SUBSTITUTE( SUBSTITUTE( SUBSTITUTE( C1389, ""۰"", ""0""), ""۱"", ""1""), ""۲"", ""2""), ""۳"", ""3""), ""۴"", ""4""), ""۵"", ""5""), ""۶"", """&amp;"6""), ""۷"", ""7""), ""۸"", ""8""), ""۹"", ""9""), IF(LEFT(converted,3)=""+98"", ""0"" &amp; RIGHT(converted, LEN(converted)-3), IF(LEFT(converted,2)=""98"", ""0"" &amp; RIGHT(converted, LEN(converted)-2), IF(LEFT(converted,1)&lt;&gt;""0"", ""0"" &amp; converted, REGEXREPL"&amp;"ACE(converted , ""\s"", """")) ) ) ) )"),"09191403895")</f>
        <v>09191403895</v>
      </c>
      <c r="E1389" s="205" t="s">
        <v>17</v>
      </c>
      <c r="F1389" s="206">
        <v>11.0</v>
      </c>
      <c r="G1389" s="202"/>
      <c r="H1389" s="202"/>
      <c r="I1389" s="203"/>
      <c r="J1389" s="203"/>
      <c r="K1389" s="207" t="s">
        <v>5670</v>
      </c>
      <c r="L1389" s="207" t="s">
        <v>6035</v>
      </c>
      <c r="M1389" s="207"/>
      <c r="N1389" s="207"/>
      <c r="O1389" s="202"/>
      <c r="P1389" s="202"/>
      <c r="Q1389" s="208"/>
      <c r="R1389" s="86"/>
      <c r="S1389" s="114">
        <f t="shared" ref="S1389:T1389" si="1390">A1389</f>
        <v>1389</v>
      </c>
      <c r="T1389" s="114" t="str">
        <f t="shared" si="1390"/>
        <v>امیرعباس علی شادی جلال</v>
      </c>
      <c r="U1389" s="86" t="str">
        <f t="shared" si="3"/>
        <v>09191403895</v>
      </c>
      <c r="V1389" s="86" t="str">
        <f t="shared" si="4"/>
        <v>پیش‌وایی 11</v>
      </c>
      <c r="W1389" s="86"/>
      <c r="X1389" s="86"/>
    </row>
    <row r="1390">
      <c r="A1390" s="192">
        <v>1390.0</v>
      </c>
      <c r="B1390" s="193" t="s">
        <v>6036</v>
      </c>
      <c r="C1390" s="194" t="s">
        <v>6037</v>
      </c>
      <c r="D1390" s="195" t="str">
        <f>IFERROR(__xludf.DUMMYFUNCTION("ARRAYFORMULA(LET( converted, SUBSTITUTE( SUBSTITUTE( SUBSTITUTE( SUBSTITUTE( SUBSTITUTE( SUBSTITUTE( SUBSTITUTE( SUBSTITUTE( SUBSTITUTE( SUBSTITUTE( C1390, ""۰"", ""0""), ""۱"", ""1""), ""۲"", ""2""), ""۳"", ""3""), ""۴"", ""4""), ""۵"", ""5""), ""۶"", """&amp;"6""), ""۷"", ""7""), ""۸"", ""8""), ""۹"", ""9""), IF(LEFT(converted,3)=""+98"", ""0"" &amp; RIGHT(converted, LEN(converted)-3), IF(LEFT(converted,2)=""98"", ""0"" &amp; RIGHT(converted, LEN(converted)-2), IF(LEFT(converted,1)&lt;&gt;""0"", ""0"" &amp; converted, REGEXREPL"&amp;"ACE(converted , ""\s"", """")) ) ) ) )"),"09136387240")</f>
        <v>09136387240</v>
      </c>
      <c r="E1390" s="196" t="s">
        <v>17</v>
      </c>
      <c r="F1390" s="197">
        <v>11.0</v>
      </c>
      <c r="G1390" s="193"/>
      <c r="H1390" s="193"/>
      <c r="I1390" s="194"/>
      <c r="J1390" s="194"/>
      <c r="K1390" s="199" t="s">
        <v>1445</v>
      </c>
      <c r="L1390" s="199" t="s">
        <v>6038</v>
      </c>
      <c r="M1390" s="199"/>
      <c r="N1390" s="199"/>
      <c r="O1390" s="193"/>
      <c r="P1390" s="193"/>
      <c r="Q1390" s="200"/>
      <c r="R1390" s="86"/>
      <c r="S1390" s="114">
        <f t="shared" ref="S1390:T1390" si="1391">A1390</f>
        <v>1390</v>
      </c>
      <c r="T1390" s="114" t="str">
        <f t="shared" si="1391"/>
        <v>مینا خواجه بهرامی</v>
      </c>
      <c r="U1390" s="86" t="str">
        <f t="shared" si="3"/>
        <v>09136387240</v>
      </c>
      <c r="V1390" s="86" t="str">
        <f t="shared" si="4"/>
        <v>پیش‌وایی 11</v>
      </c>
      <c r="W1390" s="86"/>
      <c r="X1390" s="86"/>
    </row>
    <row r="1391">
      <c r="A1391" s="201">
        <v>1391.0</v>
      </c>
      <c r="B1391" s="202" t="s">
        <v>6039</v>
      </c>
      <c r="C1391" s="203" t="s">
        <v>6040</v>
      </c>
      <c r="D1391" s="204" t="str">
        <f>IFERROR(__xludf.DUMMYFUNCTION("ARRAYFORMULA(LET( converted, SUBSTITUTE( SUBSTITUTE( SUBSTITUTE( SUBSTITUTE( SUBSTITUTE( SUBSTITUTE( SUBSTITUTE( SUBSTITUTE( SUBSTITUTE( SUBSTITUTE( C1391, ""۰"", ""0""), ""۱"", ""1""), ""۲"", ""2""), ""۳"", ""3""), ""۴"", ""4""), ""۵"", ""5""), ""۶"", """&amp;"6""), ""۷"", ""7""), ""۸"", ""8""), ""۹"", ""9""), IF(LEFT(converted,3)=""+98"", ""0"" &amp; RIGHT(converted, LEN(converted)-3), IF(LEFT(converted,2)=""98"", ""0"" &amp; RIGHT(converted, LEN(converted)-2), IF(LEFT(converted,1)&lt;&gt;""0"", ""0"" &amp; converted, REGEXREPL"&amp;"ACE(converted , ""\s"", """")) ) ) ) )"),"09925322822")</f>
        <v>09925322822</v>
      </c>
      <c r="E1391" s="205" t="s">
        <v>17</v>
      </c>
      <c r="F1391" s="206">
        <v>11.0</v>
      </c>
      <c r="G1391" s="202"/>
      <c r="H1391" s="202"/>
      <c r="I1391" s="203"/>
      <c r="J1391" s="203"/>
      <c r="K1391" s="207" t="s">
        <v>6041</v>
      </c>
      <c r="L1391" s="207" t="s">
        <v>6042</v>
      </c>
      <c r="M1391" s="207"/>
      <c r="N1391" s="207"/>
      <c r="O1391" s="202"/>
      <c r="P1391" s="202"/>
      <c r="Q1391" s="208"/>
      <c r="R1391" s="86"/>
      <c r="S1391" s="114">
        <f t="shared" ref="S1391:T1391" si="1392">A1391</f>
        <v>1391</v>
      </c>
      <c r="T1391" s="114" t="str">
        <f t="shared" si="1392"/>
        <v>پیمان محبت دوست</v>
      </c>
      <c r="U1391" s="86" t="str">
        <f t="shared" si="3"/>
        <v>09925322822</v>
      </c>
      <c r="V1391" s="86" t="str">
        <f t="shared" si="4"/>
        <v>پیش‌وایی 11</v>
      </c>
      <c r="W1391" s="86"/>
      <c r="X1391" s="86"/>
    </row>
    <row r="1392">
      <c r="A1392" s="192">
        <v>1392.0</v>
      </c>
      <c r="B1392" s="193" t="s">
        <v>6043</v>
      </c>
      <c r="C1392" s="194" t="s">
        <v>6044</v>
      </c>
      <c r="D1392" s="195" t="str">
        <f>IFERROR(__xludf.DUMMYFUNCTION("ARRAYFORMULA(LET( converted, SUBSTITUTE( SUBSTITUTE( SUBSTITUTE( SUBSTITUTE( SUBSTITUTE( SUBSTITUTE( SUBSTITUTE( SUBSTITUTE( SUBSTITUTE( SUBSTITUTE( C1392, ""۰"", ""0""), ""۱"", ""1""), ""۲"", ""2""), ""۳"", ""3""), ""۴"", ""4""), ""۵"", ""5""), ""۶"", """&amp;"6""), ""۷"", ""7""), ""۸"", ""8""), ""۹"", ""9""), IF(LEFT(converted,3)=""+98"", ""0"" &amp; RIGHT(converted, LEN(converted)-3), IF(LEFT(converted,2)=""98"", ""0"" &amp; RIGHT(converted, LEN(converted)-2), IF(LEFT(converted,1)&lt;&gt;""0"", ""0"" &amp; converted, REGEXREPL"&amp;"ACE(converted , ""\s"", """")) ) ) ) )"),"09150020211")</f>
        <v>09150020211</v>
      </c>
      <c r="E1392" s="196" t="s">
        <v>17</v>
      </c>
      <c r="F1392" s="197">
        <v>11.0</v>
      </c>
      <c r="G1392" s="193"/>
      <c r="H1392" s="193"/>
      <c r="I1392" s="194"/>
      <c r="J1392" s="194"/>
      <c r="K1392" s="199" t="s">
        <v>1248</v>
      </c>
      <c r="L1392" s="199" t="s">
        <v>6045</v>
      </c>
      <c r="M1392" s="199"/>
      <c r="N1392" s="199"/>
      <c r="O1392" s="193"/>
      <c r="P1392" s="193"/>
      <c r="Q1392" s="200"/>
      <c r="R1392" s="86"/>
      <c r="S1392" s="114">
        <f t="shared" ref="S1392:T1392" si="1393">A1392</f>
        <v>1392</v>
      </c>
      <c r="T1392" s="114" t="str">
        <f t="shared" si="1393"/>
        <v>جواد معینی</v>
      </c>
      <c r="U1392" s="86" t="str">
        <f t="shared" si="3"/>
        <v>09150020211</v>
      </c>
      <c r="V1392" s="86" t="str">
        <f t="shared" si="4"/>
        <v>پیش‌وایی 11</v>
      </c>
      <c r="W1392" s="86"/>
      <c r="X1392" s="86"/>
    </row>
    <row r="1393">
      <c r="A1393" s="201">
        <v>1393.0</v>
      </c>
      <c r="B1393" s="202" t="s">
        <v>5590</v>
      </c>
      <c r="C1393" s="203" t="s">
        <v>6046</v>
      </c>
      <c r="D1393" s="204" t="str">
        <f>IFERROR(__xludf.DUMMYFUNCTION("ARRAYFORMULA(LET( converted, SUBSTITUTE( SUBSTITUTE( SUBSTITUTE( SUBSTITUTE( SUBSTITUTE( SUBSTITUTE( SUBSTITUTE( SUBSTITUTE( SUBSTITUTE( SUBSTITUTE( C1393, ""۰"", ""0""), ""۱"", ""1""), ""۲"", ""2""), ""۳"", ""3""), ""۴"", ""4""), ""۵"", ""5""), ""۶"", """&amp;"6""), ""۷"", ""7""), ""۸"", ""8""), ""۹"", ""9""), IF(LEFT(converted,3)=""+98"", ""0"" &amp; RIGHT(converted, LEN(converted)-3), IF(LEFT(converted,2)=""98"", ""0"" &amp; RIGHT(converted, LEN(converted)-2), IF(LEFT(converted,1)&lt;&gt;""0"", ""0"" &amp; converted, REGEXREPL"&amp;"ACE(converted , ""\s"", """")) ) ) ) )"),"09118911002")</f>
        <v>09118911002</v>
      </c>
      <c r="E1393" s="205" t="s">
        <v>17</v>
      </c>
      <c r="F1393" s="206">
        <v>11.0</v>
      </c>
      <c r="G1393" s="202"/>
      <c r="H1393" s="202"/>
      <c r="I1393" s="203"/>
      <c r="J1393" s="203"/>
      <c r="K1393" s="207" t="s">
        <v>2369</v>
      </c>
      <c r="L1393" s="207" t="s">
        <v>5592</v>
      </c>
      <c r="M1393" s="207"/>
      <c r="N1393" s="207"/>
      <c r="O1393" s="202"/>
      <c r="P1393" s="202"/>
      <c r="Q1393" s="208"/>
      <c r="R1393" s="86"/>
      <c r="S1393" s="114">
        <f t="shared" ref="S1393:T1393" si="1394">A1393</f>
        <v>1393</v>
      </c>
      <c r="T1393" s="114" t="str">
        <f t="shared" si="1394"/>
        <v>بیتا حسین نژاد</v>
      </c>
      <c r="U1393" s="86" t="str">
        <f t="shared" si="3"/>
        <v>09118911002</v>
      </c>
      <c r="V1393" s="86" t="str">
        <f t="shared" si="4"/>
        <v>پیش‌وایی 11</v>
      </c>
      <c r="W1393" s="86"/>
      <c r="X1393" s="86"/>
    </row>
    <row r="1394">
      <c r="A1394" s="192">
        <v>1394.0</v>
      </c>
      <c r="B1394" s="193" t="s">
        <v>6047</v>
      </c>
      <c r="C1394" s="194" t="s">
        <v>6048</v>
      </c>
      <c r="D1394" s="195" t="str">
        <f>IFERROR(__xludf.DUMMYFUNCTION("ARRAYFORMULA(LET( converted, SUBSTITUTE( SUBSTITUTE( SUBSTITUTE( SUBSTITUTE( SUBSTITUTE( SUBSTITUTE( SUBSTITUTE( SUBSTITUTE( SUBSTITUTE( SUBSTITUTE( C1394, ""۰"", ""0""), ""۱"", ""1""), ""۲"", ""2""), ""۳"", ""3""), ""۴"", ""4""), ""۵"", ""5""), ""۶"", """&amp;"6""), ""۷"", ""7""), ""۸"", ""8""), ""۹"", ""9""), IF(LEFT(converted,3)=""+98"", ""0"" &amp; RIGHT(converted, LEN(converted)-3), IF(LEFT(converted,2)=""98"", ""0"" &amp; RIGHT(converted, LEN(converted)-2), IF(LEFT(converted,1)&lt;&gt;""0"", ""0"" &amp; converted, REGEXREPL"&amp;"ACE(converted , ""\s"", """")) ) ) ) )"),"09114226626")</f>
        <v>09114226626</v>
      </c>
      <c r="E1394" s="196" t="s">
        <v>17</v>
      </c>
      <c r="F1394" s="197">
        <v>11.0</v>
      </c>
      <c r="G1394" s="193"/>
      <c r="H1394" s="193"/>
      <c r="I1394" s="194"/>
      <c r="J1394" s="194"/>
      <c r="K1394" s="199" t="s">
        <v>1320</v>
      </c>
      <c r="L1394" s="199" t="s">
        <v>6049</v>
      </c>
      <c r="M1394" s="199"/>
      <c r="N1394" s="199"/>
      <c r="O1394" s="193"/>
      <c r="P1394" s="193"/>
      <c r="Q1394" s="200"/>
      <c r="R1394" s="86"/>
      <c r="S1394" s="114">
        <f t="shared" ref="S1394:T1394" si="1395">A1394</f>
        <v>1394</v>
      </c>
      <c r="T1394" s="114" t="str">
        <f t="shared" si="1395"/>
        <v>کامران کریم نیا</v>
      </c>
      <c r="U1394" s="86" t="str">
        <f t="shared" si="3"/>
        <v>09114226626</v>
      </c>
      <c r="V1394" s="86" t="str">
        <f t="shared" si="4"/>
        <v>پیش‌وایی 11</v>
      </c>
      <c r="W1394" s="86"/>
      <c r="X1394" s="86"/>
    </row>
    <row r="1395">
      <c r="A1395" s="201">
        <v>1395.0</v>
      </c>
      <c r="B1395" s="202" t="s">
        <v>6050</v>
      </c>
      <c r="C1395" s="203" t="s">
        <v>6051</v>
      </c>
      <c r="D1395" s="204" t="str">
        <f>IFERROR(__xludf.DUMMYFUNCTION("ARRAYFORMULA(LET( converted, SUBSTITUTE( SUBSTITUTE( SUBSTITUTE( SUBSTITUTE( SUBSTITUTE( SUBSTITUTE( SUBSTITUTE( SUBSTITUTE( SUBSTITUTE( SUBSTITUTE( C1395, ""۰"", ""0""), ""۱"", ""1""), ""۲"", ""2""), ""۳"", ""3""), ""۴"", ""4""), ""۵"", ""5""), ""۶"", """&amp;"6""), ""۷"", ""7""), ""۸"", ""8""), ""۹"", ""9""), IF(LEFT(converted,3)=""+98"", ""0"" &amp; RIGHT(converted, LEN(converted)-3), IF(LEFT(converted,2)=""98"", ""0"" &amp; RIGHT(converted, LEN(converted)-2), IF(LEFT(converted,1)&lt;&gt;""0"", ""0"" &amp; converted, REGEXREPL"&amp;"ACE(converted , ""\s"", """")) ) ) ) )"),"09120031301")</f>
        <v>09120031301</v>
      </c>
      <c r="E1395" s="205" t="s">
        <v>17</v>
      </c>
      <c r="F1395" s="206">
        <v>11.0</v>
      </c>
      <c r="G1395" s="202"/>
      <c r="H1395" s="202"/>
      <c r="I1395" s="203"/>
      <c r="J1395" s="203"/>
      <c r="K1395" s="207" t="s">
        <v>186</v>
      </c>
      <c r="L1395" s="207" t="s">
        <v>1821</v>
      </c>
      <c r="M1395" s="207"/>
      <c r="N1395" s="207"/>
      <c r="O1395" s="202"/>
      <c r="P1395" s="202"/>
      <c r="Q1395" s="208"/>
      <c r="R1395" s="86"/>
      <c r="S1395" s="114">
        <f t="shared" ref="S1395:T1395" si="1396">A1395</f>
        <v>1395</v>
      </c>
      <c r="T1395" s="114" t="str">
        <f t="shared" si="1396"/>
        <v>فرزاد نصیری</v>
      </c>
      <c r="U1395" s="86" t="str">
        <f t="shared" si="3"/>
        <v>09120031301</v>
      </c>
      <c r="V1395" s="86" t="str">
        <f t="shared" si="4"/>
        <v>پیش‌وایی 11</v>
      </c>
      <c r="W1395" s="86"/>
      <c r="X1395" s="86"/>
    </row>
    <row r="1396">
      <c r="A1396" s="192">
        <v>1396.0</v>
      </c>
      <c r="B1396" s="193" t="s">
        <v>6052</v>
      </c>
      <c r="C1396" s="194" t="s">
        <v>6053</v>
      </c>
      <c r="D1396" s="195" t="str">
        <f>IFERROR(__xludf.DUMMYFUNCTION("ARRAYFORMULA(LET( converted, SUBSTITUTE( SUBSTITUTE( SUBSTITUTE( SUBSTITUTE( SUBSTITUTE( SUBSTITUTE( SUBSTITUTE( SUBSTITUTE( SUBSTITUTE( SUBSTITUTE( C1396, ""۰"", ""0""), ""۱"", ""1""), ""۲"", ""2""), ""۳"", ""3""), ""۴"", ""4""), ""۵"", ""5""), ""۶"", """&amp;"6""), ""۷"", ""7""), ""۸"", ""8""), ""۹"", ""9""), IF(LEFT(converted,3)=""+98"", ""0"" &amp; RIGHT(converted, LEN(converted)-3), IF(LEFT(converted,2)=""98"", ""0"" &amp; RIGHT(converted, LEN(converted)-2), IF(LEFT(converted,1)&lt;&gt;""0"", ""0"" &amp; converted, REGEXREPL"&amp;"ACE(converted , ""\s"", """")) ) ) ) )"),"09120031201")</f>
        <v>09120031201</v>
      </c>
      <c r="E1396" s="196" t="s">
        <v>17</v>
      </c>
      <c r="F1396" s="197">
        <v>11.0</v>
      </c>
      <c r="G1396" s="193"/>
      <c r="H1396" s="193"/>
      <c r="I1396" s="194"/>
      <c r="J1396" s="194"/>
      <c r="K1396" s="199" t="s">
        <v>960</v>
      </c>
      <c r="L1396" s="199" t="s">
        <v>6054</v>
      </c>
      <c r="M1396" s="199"/>
      <c r="N1396" s="199"/>
      <c r="O1396" s="193"/>
      <c r="P1396" s="193"/>
      <c r="Q1396" s="200"/>
      <c r="R1396" s="86"/>
      <c r="S1396" s="114">
        <f t="shared" ref="S1396:T1396" si="1397">A1396</f>
        <v>1396</v>
      </c>
      <c r="T1396" s="114" t="str">
        <f t="shared" si="1397"/>
        <v>احمد مهدینلو</v>
      </c>
      <c r="U1396" s="86" t="str">
        <f t="shared" si="3"/>
        <v>09120031201</v>
      </c>
      <c r="V1396" s="86" t="str">
        <f t="shared" si="4"/>
        <v>پیش‌وایی 11</v>
      </c>
      <c r="W1396" s="86"/>
      <c r="X1396" s="86"/>
    </row>
    <row r="1397">
      <c r="A1397" s="201">
        <v>1397.0</v>
      </c>
      <c r="B1397" s="202" t="s">
        <v>6055</v>
      </c>
      <c r="C1397" s="203" t="s">
        <v>6056</v>
      </c>
      <c r="D1397" s="204" t="str">
        <f>IFERROR(__xludf.DUMMYFUNCTION("ARRAYFORMULA(LET( converted, SUBSTITUTE( SUBSTITUTE( SUBSTITUTE( SUBSTITUTE( SUBSTITUTE( SUBSTITUTE( SUBSTITUTE( SUBSTITUTE( SUBSTITUTE( SUBSTITUTE( C1397, ""۰"", ""0""), ""۱"", ""1""), ""۲"", ""2""), ""۳"", ""3""), ""۴"", ""4""), ""۵"", ""5""), ""۶"", """&amp;"6""), ""۷"", ""7""), ""۸"", ""8""), ""۹"", ""9""), IF(LEFT(converted,3)=""+98"", ""0"" &amp; RIGHT(converted, LEN(converted)-3), IF(LEFT(converted,2)=""98"", ""0"" &amp; RIGHT(converted, LEN(converted)-2), IF(LEFT(converted,1)&lt;&gt;""0"", ""0"" &amp; converted, REGEXREPL"&amp;"ACE(converted , ""\s"", """")) ) ) ) )"),"09389380654")</f>
        <v>09389380654</v>
      </c>
      <c r="E1397" s="205" t="s">
        <v>17</v>
      </c>
      <c r="F1397" s="206">
        <v>11.0</v>
      </c>
      <c r="G1397" s="202"/>
      <c r="H1397" s="202"/>
      <c r="I1397" s="203"/>
      <c r="J1397" s="203"/>
      <c r="K1397" s="207" t="s">
        <v>3469</v>
      </c>
      <c r="L1397" s="207" t="s">
        <v>237</v>
      </c>
      <c r="M1397" s="207"/>
      <c r="N1397" s="207"/>
      <c r="O1397" s="202"/>
      <c r="P1397" s="202"/>
      <c r="Q1397" s="208"/>
      <c r="R1397" s="86"/>
      <c r="S1397" s="114">
        <f t="shared" ref="S1397:T1397" si="1398">A1397</f>
        <v>1397</v>
      </c>
      <c r="T1397" s="114" t="str">
        <f t="shared" si="1398"/>
        <v>آرمان فرهادی</v>
      </c>
      <c r="U1397" s="86" t="str">
        <f t="shared" si="3"/>
        <v>09389380654</v>
      </c>
      <c r="V1397" s="86" t="str">
        <f t="shared" si="4"/>
        <v>پیش‌وایی 11</v>
      </c>
      <c r="W1397" s="86"/>
      <c r="X1397" s="86"/>
    </row>
    <row r="1398">
      <c r="A1398" s="192">
        <v>1398.0</v>
      </c>
      <c r="B1398" s="193" t="s">
        <v>6057</v>
      </c>
      <c r="C1398" s="194" t="s">
        <v>6058</v>
      </c>
      <c r="D1398" s="195" t="str">
        <f>IFERROR(__xludf.DUMMYFUNCTION("ARRAYFORMULA(LET( converted, SUBSTITUTE( SUBSTITUTE( SUBSTITUTE( SUBSTITUTE( SUBSTITUTE( SUBSTITUTE( SUBSTITUTE( SUBSTITUTE( SUBSTITUTE( SUBSTITUTE( C1398, ""۰"", ""0""), ""۱"", ""1""), ""۲"", ""2""), ""۳"", ""3""), ""۴"", ""4""), ""۵"", ""5""), ""۶"", """&amp;"6""), ""۷"", ""7""), ""۸"", ""8""), ""۹"", ""9""), IF(LEFT(converted,3)=""+98"", ""0"" &amp; RIGHT(converted, LEN(converted)-3), IF(LEFT(converted,2)=""98"", ""0"" &amp; RIGHT(converted, LEN(converted)-2), IF(LEFT(converted,1)&lt;&gt;""0"", ""0"" &amp; converted, REGEXREPL"&amp;"ACE(converted , ""\s"", """")) ) ) ) )"),"09128438310")</f>
        <v>09128438310</v>
      </c>
      <c r="E1398" s="196" t="s">
        <v>17</v>
      </c>
      <c r="F1398" s="197">
        <v>11.0</v>
      </c>
      <c r="G1398" s="193"/>
      <c r="H1398" s="193"/>
      <c r="I1398" s="194"/>
      <c r="J1398" s="194"/>
      <c r="K1398" s="199" t="s">
        <v>307</v>
      </c>
      <c r="L1398" s="199" t="s">
        <v>6059</v>
      </c>
      <c r="M1398" s="199"/>
      <c r="N1398" s="199"/>
      <c r="O1398" s="193"/>
      <c r="P1398" s="193"/>
      <c r="Q1398" s="200"/>
      <c r="R1398" s="86"/>
      <c r="S1398" s="114">
        <f t="shared" ref="S1398:T1398" si="1399">A1398</f>
        <v>1398</v>
      </c>
      <c r="T1398" s="114" t="str">
        <f t="shared" si="1399"/>
        <v>محمدرضا ایلخانی</v>
      </c>
      <c r="U1398" s="86" t="str">
        <f t="shared" si="3"/>
        <v>09128438310</v>
      </c>
      <c r="V1398" s="86" t="str">
        <f t="shared" si="4"/>
        <v>پیش‌وایی 11</v>
      </c>
      <c r="W1398" s="86"/>
      <c r="X1398" s="86"/>
    </row>
    <row r="1399">
      <c r="A1399" s="201">
        <v>1399.0</v>
      </c>
      <c r="B1399" s="202" t="s">
        <v>6060</v>
      </c>
      <c r="C1399" s="203" t="s">
        <v>6061</v>
      </c>
      <c r="D1399" s="204" t="str">
        <f>IFERROR(__xludf.DUMMYFUNCTION("ARRAYFORMULA(LET( converted, SUBSTITUTE( SUBSTITUTE( SUBSTITUTE( SUBSTITUTE( SUBSTITUTE( SUBSTITUTE( SUBSTITUTE( SUBSTITUTE( SUBSTITUTE( SUBSTITUTE( C1399, ""۰"", ""0""), ""۱"", ""1""), ""۲"", ""2""), ""۳"", ""3""), ""۴"", ""4""), ""۵"", ""5""), ""۶"", """&amp;"6""), ""۷"", ""7""), ""۸"", ""8""), ""۹"", ""9""), IF(LEFT(converted,3)=""+98"", ""0"" &amp; RIGHT(converted, LEN(converted)-3), IF(LEFT(converted,2)=""98"", ""0"" &amp; RIGHT(converted, LEN(converted)-2), IF(LEFT(converted,1)&lt;&gt;""0"", ""0"" &amp; converted, REGEXREPL"&amp;"ACE(converted , ""\s"", """")) ) ) ) )"),"09149695001")</f>
        <v>09149695001</v>
      </c>
      <c r="E1399" s="205" t="s">
        <v>17</v>
      </c>
      <c r="F1399" s="206">
        <v>11.0</v>
      </c>
      <c r="G1399" s="202"/>
      <c r="H1399" s="202"/>
      <c r="I1399" s="203"/>
      <c r="J1399" s="203"/>
      <c r="K1399" s="207" t="s">
        <v>2787</v>
      </c>
      <c r="L1399" s="207" t="s">
        <v>6062</v>
      </c>
      <c r="M1399" s="207"/>
      <c r="N1399" s="207"/>
      <c r="O1399" s="202"/>
      <c r="P1399" s="202"/>
      <c r="Q1399" s="208"/>
      <c r="R1399" s="86"/>
      <c r="S1399" s="114">
        <f t="shared" ref="S1399:T1399" si="1400">A1399</f>
        <v>1399</v>
      </c>
      <c r="T1399" s="114" t="str">
        <f t="shared" si="1400"/>
        <v>صفا وحید افشار</v>
      </c>
      <c r="U1399" s="86" t="str">
        <f t="shared" si="3"/>
        <v>09149695001</v>
      </c>
      <c r="V1399" s="86" t="str">
        <f t="shared" si="4"/>
        <v>پیش‌وایی 11</v>
      </c>
      <c r="W1399" s="86"/>
      <c r="X1399" s="86"/>
    </row>
    <row r="1400">
      <c r="A1400" s="192">
        <v>1400.0</v>
      </c>
      <c r="B1400" s="193" t="s">
        <v>4116</v>
      </c>
      <c r="C1400" s="194" t="s">
        <v>4117</v>
      </c>
      <c r="D1400" s="195" t="str">
        <f>IFERROR(__xludf.DUMMYFUNCTION("ARRAYFORMULA(LET( converted, SUBSTITUTE( SUBSTITUTE( SUBSTITUTE( SUBSTITUTE( SUBSTITUTE( SUBSTITUTE( SUBSTITUTE( SUBSTITUTE( SUBSTITUTE( SUBSTITUTE( C1400, ""۰"", ""0""), ""۱"", ""1""), ""۲"", ""2""), ""۳"", ""3""), ""۴"", ""4""), ""۵"", ""5""), ""۶"", """&amp;"6""), ""۷"", ""7""), ""۸"", ""8""), ""۹"", ""9""), IF(LEFT(converted,3)=""+98"", ""0"" &amp; RIGHT(converted, LEN(converted)-3), IF(LEFT(converted,2)=""98"", ""0"" &amp; RIGHT(converted, LEN(converted)-2), IF(LEFT(converted,1)&lt;&gt;""0"", ""0"" &amp; converted, REGEXREPL"&amp;"ACE(converted , ""\s"", """")) ) ) ) )"),"09919472624")</f>
        <v>09919472624</v>
      </c>
      <c r="E1400" s="196" t="s">
        <v>17</v>
      </c>
      <c r="F1400" s="197">
        <v>11.0</v>
      </c>
      <c r="G1400" s="212" t="s">
        <v>730</v>
      </c>
      <c r="H1400" s="193"/>
      <c r="I1400" s="194"/>
      <c r="J1400" s="194"/>
      <c r="K1400" s="199" t="s">
        <v>303</v>
      </c>
      <c r="L1400" s="199" t="s">
        <v>327</v>
      </c>
      <c r="M1400" s="199"/>
      <c r="N1400" s="199"/>
      <c r="O1400" s="193"/>
      <c r="P1400" s="193"/>
      <c r="Q1400" s="200"/>
      <c r="R1400" s="86"/>
      <c r="S1400" s="114">
        <f t="shared" ref="S1400:T1400" si="1401">A1400</f>
        <v>1400</v>
      </c>
      <c r="T1400" s="114" t="str">
        <f t="shared" si="1401"/>
        <v>محمد کیانی</v>
      </c>
      <c r="U1400" s="86" t="str">
        <f t="shared" si="3"/>
        <v>09919472624</v>
      </c>
      <c r="V1400" s="86" t="str">
        <f t="shared" si="4"/>
        <v>پیش‌وایی 11</v>
      </c>
      <c r="W1400" s="86"/>
      <c r="X1400" s="86"/>
    </row>
    <row r="1401">
      <c r="A1401" s="201">
        <v>1401.0</v>
      </c>
      <c r="B1401" s="207" t="s">
        <v>6063</v>
      </c>
      <c r="C1401" s="210" t="s">
        <v>6064</v>
      </c>
      <c r="D1401" s="204" t="str">
        <f>IFERROR(__xludf.DUMMYFUNCTION("ARRAYFORMULA(LET( converted, SUBSTITUTE( SUBSTITUTE( SUBSTITUTE( SUBSTITUTE( SUBSTITUTE( SUBSTITUTE( SUBSTITUTE( SUBSTITUTE( SUBSTITUTE( SUBSTITUTE( C1401, ""۰"", ""0""), ""۱"", ""1""), ""۲"", ""2""), ""۳"", ""3""), ""۴"", ""4""), ""۵"", ""5""), ""۶"", """&amp;"6""), ""۷"", ""7""), ""۸"", ""8""), ""۹"", ""9""), IF(LEFT(converted,3)=""+98"", ""0"" &amp; RIGHT(converted, LEN(converted)-3), IF(LEFT(converted,2)=""98"", ""0"" &amp; RIGHT(converted, LEN(converted)-2), IF(LEFT(converted,1)&lt;&gt;""0"", ""0"" &amp; converted, REGEXREPL"&amp;"ACE(converted , ""\s"", """")) ) ) ) )"),"09192043192")</f>
        <v>09192043192</v>
      </c>
      <c r="E1401" s="205" t="s">
        <v>17</v>
      </c>
      <c r="F1401" s="214">
        <v>12.0</v>
      </c>
      <c r="G1401" s="213" t="s">
        <v>730</v>
      </c>
      <c r="H1401" s="202"/>
      <c r="I1401" s="215"/>
      <c r="J1401" s="215"/>
      <c r="K1401" s="207" t="s">
        <v>186</v>
      </c>
      <c r="L1401" s="207" t="s">
        <v>6065</v>
      </c>
      <c r="M1401" s="207"/>
      <c r="N1401" s="207"/>
      <c r="O1401" s="207" t="s">
        <v>6066</v>
      </c>
      <c r="P1401" s="202"/>
      <c r="Q1401" s="216" t="s">
        <v>6067</v>
      </c>
      <c r="R1401" s="86"/>
      <c r="S1401" s="114">
        <f t="shared" ref="S1401:T1401" si="1402">A1401</f>
        <v>1401</v>
      </c>
      <c r="T1401" s="114" t="str">
        <f t="shared" si="1402"/>
        <v>فرزاد جمالی</v>
      </c>
      <c r="U1401" s="86" t="str">
        <f t="shared" si="3"/>
        <v>09192043192</v>
      </c>
      <c r="V1401" s="86" t="str">
        <f t="shared" si="4"/>
        <v>پیش‌وایی 12</v>
      </c>
      <c r="W1401" s="86"/>
      <c r="X1401" s="86"/>
    </row>
    <row r="1402">
      <c r="A1402" s="192">
        <v>1402.0</v>
      </c>
      <c r="B1402" s="193" t="s">
        <v>6068</v>
      </c>
      <c r="C1402" s="194" t="s">
        <v>6069</v>
      </c>
      <c r="D1402" s="195" t="str">
        <f>IFERROR(__xludf.DUMMYFUNCTION("ARRAYFORMULA(LET( converted, SUBSTITUTE( SUBSTITUTE( SUBSTITUTE( SUBSTITUTE( SUBSTITUTE( SUBSTITUTE( SUBSTITUTE( SUBSTITUTE( SUBSTITUTE( SUBSTITUTE( C1402, ""۰"", ""0""), ""۱"", ""1""), ""۲"", ""2""), ""۳"", ""3""), ""۴"", ""4""), ""۵"", ""5""), ""۶"", """&amp;"6""), ""۷"", ""7""), ""۸"", ""8""), ""۹"", ""9""), IF(LEFT(converted,3)=""+98"", ""0"" &amp; RIGHT(converted, LEN(converted)-3), IF(LEFT(converted,2)=""98"", ""0"" &amp; RIGHT(converted, LEN(converted)-2), IF(LEFT(converted,1)&lt;&gt;""0"", ""0"" &amp; converted, REGEXREPL"&amp;"ACE(converted , ""\s"", """")) ) ) ) )"),"09151024047")</f>
        <v>09151024047</v>
      </c>
      <c r="E1402" s="196" t="s">
        <v>17</v>
      </c>
      <c r="F1402" s="197">
        <v>12.0</v>
      </c>
      <c r="G1402" s="212" t="s">
        <v>730</v>
      </c>
      <c r="H1402" s="212" t="s">
        <v>356</v>
      </c>
      <c r="I1402" s="217"/>
      <c r="J1402" s="217"/>
      <c r="K1402" s="199" t="s">
        <v>353</v>
      </c>
      <c r="L1402" s="199" t="s">
        <v>354</v>
      </c>
      <c r="M1402" s="199"/>
      <c r="N1402" s="199"/>
      <c r="O1402" s="199" t="s">
        <v>6066</v>
      </c>
      <c r="P1402" s="193"/>
      <c r="Q1402" s="218" t="s">
        <v>6067</v>
      </c>
      <c r="R1402" s="86"/>
      <c r="S1402" s="114">
        <f t="shared" ref="S1402:T1402" si="1403">A1402</f>
        <v>1402</v>
      </c>
      <c r="T1402" s="114" t="str">
        <f t="shared" si="1403"/>
        <v>مهرداد نایب</v>
      </c>
      <c r="U1402" s="86" t="str">
        <f t="shared" si="3"/>
        <v>09151024047</v>
      </c>
      <c r="V1402" s="86" t="str">
        <f t="shared" si="4"/>
        <v>پیش‌وایی 12</v>
      </c>
      <c r="W1402" s="86"/>
      <c r="X1402" s="86"/>
    </row>
    <row r="1403">
      <c r="A1403" s="201">
        <v>1403.0</v>
      </c>
      <c r="B1403" s="202" t="s">
        <v>6070</v>
      </c>
      <c r="C1403" s="203" t="s">
        <v>6071</v>
      </c>
      <c r="D1403" s="204" t="str">
        <f>IFERROR(__xludf.DUMMYFUNCTION("ARRAYFORMULA(LET( converted, SUBSTITUTE( SUBSTITUTE( SUBSTITUTE( SUBSTITUTE( SUBSTITUTE( SUBSTITUTE( SUBSTITUTE( SUBSTITUTE( SUBSTITUTE( SUBSTITUTE( C1403, ""۰"", ""0""), ""۱"", ""1""), ""۲"", ""2""), ""۳"", ""3""), ""۴"", ""4""), ""۵"", ""5""), ""۶"", """&amp;"6""), ""۷"", ""7""), ""۸"", ""8""), ""۹"", ""9""), IF(LEFT(converted,3)=""+98"", ""0"" &amp; RIGHT(converted, LEN(converted)-3), IF(LEFT(converted,2)=""98"", ""0"" &amp; RIGHT(converted, LEN(converted)-2), IF(LEFT(converted,1)&lt;&gt;""0"", ""0"" &amp; converted, REGEXREPL"&amp;"ACE(converted , ""\s"", """")) ) ) ) )"),"09159356747")</f>
        <v>09159356747</v>
      </c>
      <c r="E1403" s="205" t="s">
        <v>17</v>
      </c>
      <c r="F1403" s="206">
        <v>12.0</v>
      </c>
      <c r="G1403" s="213" t="s">
        <v>730</v>
      </c>
      <c r="H1403" s="213" t="s">
        <v>6072</v>
      </c>
      <c r="I1403" s="215"/>
      <c r="J1403" s="215"/>
      <c r="K1403" s="207" t="s">
        <v>1419</v>
      </c>
      <c r="L1403" s="207" t="s">
        <v>981</v>
      </c>
      <c r="M1403" s="207"/>
      <c r="N1403" s="207"/>
      <c r="O1403" s="207" t="s">
        <v>6066</v>
      </c>
      <c r="P1403" s="202"/>
      <c r="Q1403" s="216" t="s">
        <v>6067</v>
      </c>
      <c r="R1403" s="86"/>
      <c r="S1403" s="114">
        <f t="shared" ref="S1403:T1403" si="1404">A1403</f>
        <v>1403</v>
      </c>
      <c r="T1403" s="114" t="str">
        <f t="shared" si="1404"/>
        <v>رسول قربانی</v>
      </c>
      <c r="U1403" s="86" t="str">
        <f t="shared" si="3"/>
        <v>09159356747</v>
      </c>
      <c r="V1403" s="86" t="str">
        <f t="shared" si="4"/>
        <v>پیش‌وایی 12</v>
      </c>
      <c r="W1403" s="86"/>
      <c r="X1403" s="86"/>
    </row>
    <row r="1404">
      <c r="A1404" s="192">
        <v>1404.0</v>
      </c>
      <c r="B1404" s="193" t="s">
        <v>5674</v>
      </c>
      <c r="C1404" s="194" t="s">
        <v>6073</v>
      </c>
      <c r="D1404" s="195" t="str">
        <f>IFERROR(__xludf.DUMMYFUNCTION("ARRAYFORMULA(LET( converted, SUBSTITUTE( SUBSTITUTE( SUBSTITUTE( SUBSTITUTE( SUBSTITUTE( SUBSTITUTE( SUBSTITUTE( SUBSTITUTE( SUBSTITUTE( SUBSTITUTE( C1404, ""۰"", ""0""), ""۱"", ""1""), ""۲"", ""2""), ""۳"", ""3""), ""۴"", ""4""), ""۵"", ""5""), ""۶"", """&amp;"6""), ""۷"", ""7""), ""۸"", ""8""), ""۹"", ""9""), IF(LEFT(converted,3)=""+98"", ""0"" &amp; RIGHT(converted, LEN(converted)-3), IF(LEFT(converted,2)=""98"", ""0"" &amp; RIGHT(converted, LEN(converted)-2), IF(LEFT(converted,1)&lt;&gt;""0"", ""0"" &amp; converted, REGEXREPL"&amp;"ACE(converted , ""\s"", """")) ) ) ) )"),"09363755772")</f>
        <v>09363755772</v>
      </c>
      <c r="E1404" s="196" t="s">
        <v>17</v>
      </c>
      <c r="F1404" s="197">
        <v>12.0</v>
      </c>
      <c r="G1404" s="212" t="s">
        <v>746</v>
      </c>
      <c r="H1404" s="212" t="s">
        <v>6074</v>
      </c>
      <c r="I1404" s="217"/>
      <c r="J1404" s="217"/>
      <c r="K1404" s="199" t="s">
        <v>1314</v>
      </c>
      <c r="L1404" s="199" t="s">
        <v>5676</v>
      </c>
      <c r="M1404" s="199"/>
      <c r="N1404" s="199"/>
      <c r="O1404" s="199" t="s">
        <v>6075</v>
      </c>
      <c r="P1404" s="193"/>
      <c r="Q1404" s="218" t="s">
        <v>6067</v>
      </c>
      <c r="R1404" s="86"/>
      <c r="S1404" s="114">
        <f t="shared" ref="S1404:T1404" si="1405">A1404</f>
        <v>1404</v>
      </c>
      <c r="T1404" s="114" t="str">
        <f t="shared" si="1405"/>
        <v>بهنوش کرباسیان</v>
      </c>
      <c r="U1404" s="86" t="str">
        <f t="shared" si="3"/>
        <v>09363755772</v>
      </c>
      <c r="V1404" s="86" t="str">
        <f t="shared" si="4"/>
        <v>پیش‌وایی 12</v>
      </c>
      <c r="W1404" s="86"/>
      <c r="X1404" s="86"/>
    </row>
    <row r="1405">
      <c r="A1405" s="201">
        <v>1405.0</v>
      </c>
      <c r="B1405" s="202" t="s">
        <v>6076</v>
      </c>
      <c r="C1405" s="203" t="s">
        <v>6077</v>
      </c>
      <c r="D1405" s="204" t="str">
        <f>IFERROR(__xludf.DUMMYFUNCTION("ARRAYFORMULA(LET( converted, SUBSTITUTE( SUBSTITUTE( SUBSTITUTE( SUBSTITUTE( SUBSTITUTE( SUBSTITUTE( SUBSTITUTE( SUBSTITUTE( SUBSTITUTE( SUBSTITUTE( C1405, ""۰"", ""0""), ""۱"", ""1""), ""۲"", ""2""), ""۳"", ""3""), ""۴"", ""4""), ""۵"", ""5""), ""۶"", """&amp;"6""), ""۷"", ""7""), ""۸"", ""8""), ""۹"", ""9""), IF(LEFT(converted,3)=""+98"", ""0"" &amp; RIGHT(converted, LEN(converted)-3), IF(LEFT(converted,2)=""98"", ""0"" &amp; RIGHT(converted, LEN(converted)-2), IF(LEFT(converted,1)&lt;&gt;""0"", ""0"" &amp; converted, REGEXREPL"&amp;"ACE(converted , ""\s"", """")) ) ) ) )"),"09122472476")</f>
        <v>09122472476</v>
      </c>
      <c r="E1405" s="205" t="s">
        <v>17</v>
      </c>
      <c r="F1405" s="206">
        <v>12.0</v>
      </c>
      <c r="G1405" s="213" t="s">
        <v>746</v>
      </c>
      <c r="H1405" s="213" t="s">
        <v>6078</v>
      </c>
      <c r="I1405" s="215"/>
      <c r="J1405" s="215"/>
      <c r="K1405" s="207" t="s">
        <v>1071</v>
      </c>
      <c r="L1405" s="207" t="s">
        <v>6079</v>
      </c>
      <c r="M1405" s="207"/>
      <c r="N1405" s="207"/>
      <c r="O1405" s="207" t="s">
        <v>6066</v>
      </c>
      <c r="P1405" s="202"/>
      <c r="Q1405" s="216" t="s">
        <v>6067</v>
      </c>
      <c r="R1405" s="86"/>
      <c r="S1405" s="114">
        <f t="shared" ref="S1405:T1405" si="1406">A1405</f>
        <v>1405</v>
      </c>
      <c r="T1405" s="114" t="str">
        <f t="shared" si="1406"/>
        <v>سحر مطمئن</v>
      </c>
      <c r="U1405" s="86" t="str">
        <f t="shared" si="3"/>
        <v>09122472476</v>
      </c>
      <c r="V1405" s="86" t="str">
        <f t="shared" si="4"/>
        <v>پیش‌وایی 12</v>
      </c>
      <c r="W1405" s="86"/>
      <c r="X1405" s="86"/>
    </row>
    <row r="1406">
      <c r="A1406" s="192">
        <v>1406.0</v>
      </c>
      <c r="B1406" s="193" t="s">
        <v>6080</v>
      </c>
      <c r="C1406" s="194" t="s">
        <v>6081</v>
      </c>
      <c r="D1406" s="195" t="str">
        <f>IFERROR(__xludf.DUMMYFUNCTION("ARRAYFORMULA(LET( converted, SUBSTITUTE( SUBSTITUTE( SUBSTITUTE( SUBSTITUTE( SUBSTITUTE( SUBSTITUTE( SUBSTITUTE( SUBSTITUTE( SUBSTITUTE( SUBSTITUTE( C1406, ""۰"", ""0""), ""۱"", ""1""), ""۲"", ""2""), ""۳"", ""3""), ""۴"", ""4""), ""۵"", ""5""), ""۶"", """&amp;"6""), ""۷"", ""7""), ""۸"", ""8""), ""۹"", ""9""), IF(LEFT(converted,3)=""+98"", ""0"" &amp; RIGHT(converted, LEN(converted)-3), IF(LEFT(converted,2)=""98"", ""0"" &amp; RIGHT(converted, LEN(converted)-2), IF(LEFT(converted,1)&lt;&gt;""0"", ""0"" &amp; converted, REGEXREPL"&amp;"ACE(converted , ""\s"", """")) ) ) ) )"),"09194423062")</f>
        <v>09194423062</v>
      </c>
      <c r="E1406" s="196" t="s">
        <v>17</v>
      </c>
      <c r="F1406" s="197">
        <v>12.0</v>
      </c>
      <c r="G1406" s="212" t="s">
        <v>746</v>
      </c>
      <c r="H1406" s="212" t="s">
        <v>6082</v>
      </c>
      <c r="I1406" s="217"/>
      <c r="J1406" s="217"/>
      <c r="K1406" s="199" t="s">
        <v>1504</v>
      </c>
      <c r="L1406" s="199" t="s">
        <v>4115</v>
      </c>
      <c r="M1406" s="199"/>
      <c r="N1406" s="199"/>
      <c r="O1406" s="199" t="s">
        <v>6066</v>
      </c>
      <c r="P1406" s="193"/>
      <c r="Q1406" s="218" t="s">
        <v>6067</v>
      </c>
      <c r="R1406" s="86"/>
      <c r="S1406" s="114">
        <f t="shared" ref="S1406:T1406" si="1407">A1406</f>
        <v>1406</v>
      </c>
      <c r="T1406" s="114" t="str">
        <f t="shared" si="1407"/>
        <v>مهسا یزدانی</v>
      </c>
      <c r="U1406" s="86" t="str">
        <f t="shared" si="3"/>
        <v>09194423062</v>
      </c>
      <c r="V1406" s="86" t="str">
        <f t="shared" si="4"/>
        <v>پیش‌وایی 12</v>
      </c>
      <c r="W1406" s="86"/>
      <c r="X1406" s="86"/>
    </row>
    <row r="1407">
      <c r="A1407" s="201">
        <v>1407.0</v>
      </c>
      <c r="B1407" s="202" t="s">
        <v>6083</v>
      </c>
      <c r="C1407" s="203" t="s">
        <v>6084</v>
      </c>
      <c r="D1407" s="204" t="str">
        <f>IFERROR(__xludf.DUMMYFUNCTION("ARRAYFORMULA(LET( converted, SUBSTITUTE( SUBSTITUTE( SUBSTITUTE( SUBSTITUTE( SUBSTITUTE( SUBSTITUTE( SUBSTITUTE( SUBSTITUTE( SUBSTITUTE( SUBSTITUTE( C1407, ""۰"", ""0""), ""۱"", ""1""), ""۲"", ""2""), ""۳"", ""3""), ""۴"", ""4""), ""۵"", ""5""), ""۶"", """&amp;"6""), ""۷"", ""7""), ""۸"", ""8""), ""۹"", ""9""), IF(LEFT(converted,3)=""+98"", ""0"" &amp; RIGHT(converted, LEN(converted)-3), IF(LEFT(converted,2)=""98"", ""0"" &amp; RIGHT(converted, LEN(converted)-2), IF(LEFT(converted,1)&lt;&gt;""0"", ""0"" &amp; converted, REGEXREPL"&amp;"ACE(converted , ""\s"", """")) ) ) ) )"),"09122501850")</f>
        <v>09122501850</v>
      </c>
      <c r="E1407" s="205" t="s">
        <v>17</v>
      </c>
      <c r="F1407" s="206">
        <v>12.0</v>
      </c>
      <c r="G1407" s="213" t="s">
        <v>730</v>
      </c>
      <c r="H1407" s="213" t="s">
        <v>6085</v>
      </c>
      <c r="I1407" s="215"/>
      <c r="J1407" s="215"/>
      <c r="K1407" s="207" t="s">
        <v>286</v>
      </c>
      <c r="L1407" s="207" t="s">
        <v>6086</v>
      </c>
      <c r="M1407" s="207"/>
      <c r="N1407" s="207"/>
      <c r="O1407" s="207" t="s">
        <v>6066</v>
      </c>
      <c r="P1407" s="202"/>
      <c r="Q1407" s="216" t="s">
        <v>6067</v>
      </c>
      <c r="R1407" s="86"/>
      <c r="S1407" s="114">
        <f t="shared" ref="S1407:T1407" si="1408">A1407</f>
        <v>1407</v>
      </c>
      <c r="T1407" s="114" t="str">
        <f t="shared" si="1408"/>
        <v>مهدی صفائی</v>
      </c>
      <c r="U1407" s="86" t="str">
        <f t="shared" si="3"/>
        <v>09122501850</v>
      </c>
      <c r="V1407" s="86" t="str">
        <f t="shared" si="4"/>
        <v>پیش‌وایی 12</v>
      </c>
      <c r="W1407" s="86"/>
      <c r="X1407" s="86"/>
    </row>
    <row r="1408">
      <c r="A1408" s="192">
        <v>1408.0</v>
      </c>
      <c r="B1408" s="193" t="s">
        <v>6087</v>
      </c>
      <c r="C1408" s="194" t="s">
        <v>6088</v>
      </c>
      <c r="D1408" s="195" t="str">
        <f>IFERROR(__xludf.DUMMYFUNCTION("ARRAYFORMULA(LET( converted, SUBSTITUTE( SUBSTITUTE( SUBSTITUTE( SUBSTITUTE( SUBSTITUTE( SUBSTITUTE( SUBSTITUTE( SUBSTITUTE( SUBSTITUTE( SUBSTITUTE( C1408, ""۰"", ""0""), ""۱"", ""1""), ""۲"", ""2""), ""۳"", ""3""), ""۴"", ""4""), ""۵"", ""5""), ""۶"", """&amp;"6""), ""۷"", ""7""), ""۸"", ""8""), ""۹"", ""9""), IF(LEFT(converted,3)=""+98"", ""0"" &amp; RIGHT(converted, LEN(converted)-3), IF(LEFT(converted,2)=""98"", ""0"" &amp; RIGHT(converted, LEN(converted)-2), IF(LEFT(converted,1)&lt;&gt;""0"", ""0"" &amp; converted, REGEXREPL"&amp;"ACE(converted , ""\s"", """")) ) ) ) )"),"09056506540")</f>
        <v>09056506540</v>
      </c>
      <c r="E1408" s="196" t="s">
        <v>17</v>
      </c>
      <c r="F1408" s="197">
        <v>12.0</v>
      </c>
      <c r="G1408" s="212" t="s">
        <v>730</v>
      </c>
      <c r="H1408" s="212" t="s">
        <v>6089</v>
      </c>
      <c r="I1408" s="217"/>
      <c r="J1408" s="217"/>
      <c r="K1408" s="199" t="s">
        <v>259</v>
      </c>
      <c r="L1408" s="199" t="s">
        <v>6090</v>
      </c>
      <c r="M1408" s="199"/>
      <c r="N1408" s="199"/>
      <c r="O1408" s="199" t="s">
        <v>6066</v>
      </c>
      <c r="P1408" s="193"/>
      <c r="Q1408" s="218" t="s">
        <v>6067</v>
      </c>
      <c r="R1408" s="86"/>
      <c r="S1408" s="114">
        <f t="shared" ref="S1408:T1408" si="1409">A1408</f>
        <v>1408</v>
      </c>
      <c r="T1408" s="114" t="str">
        <f t="shared" si="1409"/>
        <v>علیرضا بابازاده</v>
      </c>
      <c r="U1408" s="86" t="str">
        <f t="shared" si="3"/>
        <v>09056506540</v>
      </c>
      <c r="V1408" s="86" t="str">
        <f t="shared" si="4"/>
        <v>پیش‌وایی 12</v>
      </c>
      <c r="W1408" s="86"/>
      <c r="X1408" s="86"/>
    </row>
    <row r="1409">
      <c r="A1409" s="201">
        <v>1409.0</v>
      </c>
      <c r="B1409" s="202" t="s">
        <v>6091</v>
      </c>
      <c r="C1409" s="203" t="s">
        <v>6092</v>
      </c>
      <c r="D1409" s="204" t="str">
        <f>IFERROR(__xludf.DUMMYFUNCTION("ARRAYFORMULA(LET( converted, SUBSTITUTE( SUBSTITUTE( SUBSTITUTE( SUBSTITUTE( SUBSTITUTE( SUBSTITUTE( SUBSTITUTE( SUBSTITUTE( SUBSTITUTE( SUBSTITUTE( C1409, ""۰"", ""0""), ""۱"", ""1""), ""۲"", ""2""), ""۳"", ""3""), ""۴"", ""4""), ""۵"", ""5""), ""۶"", """&amp;"6""), ""۷"", ""7""), ""۸"", ""8""), ""۹"", ""9""), IF(LEFT(converted,3)=""+98"", ""0"" &amp; RIGHT(converted, LEN(converted)-3), IF(LEFT(converted,2)=""98"", ""0"" &amp; RIGHT(converted, LEN(converted)-2), IF(LEFT(converted,1)&lt;&gt;""0"", ""0"" &amp; converted, REGEXREPL"&amp;"ACE(converted , ""\s"", """")) ) ) ) )"),"09392532753")</f>
        <v>09392532753</v>
      </c>
      <c r="E1409" s="205" t="s">
        <v>17</v>
      </c>
      <c r="F1409" s="206">
        <v>12.0</v>
      </c>
      <c r="G1409" s="213" t="s">
        <v>746</v>
      </c>
      <c r="H1409" s="213" t="s">
        <v>6093</v>
      </c>
      <c r="I1409" s="215"/>
      <c r="J1409" s="215"/>
      <c r="K1409" s="207" t="s">
        <v>796</v>
      </c>
      <c r="L1409" s="207" t="s">
        <v>1480</v>
      </c>
      <c r="M1409" s="207"/>
      <c r="N1409" s="207"/>
      <c r="O1409" s="207" t="s">
        <v>6066</v>
      </c>
      <c r="P1409" s="202"/>
      <c r="Q1409" s="216" t="s">
        <v>6067</v>
      </c>
      <c r="R1409" s="86"/>
      <c r="S1409" s="114">
        <f t="shared" ref="S1409:T1409" si="1410">A1409</f>
        <v>1409</v>
      </c>
      <c r="T1409" s="114" t="str">
        <f t="shared" si="1410"/>
        <v>پریسا مسلمی</v>
      </c>
      <c r="U1409" s="86" t="str">
        <f t="shared" si="3"/>
        <v>09392532753</v>
      </c>
      <c r="V1409" s="86" t="str">
        <f t="shared" si="4"/>
        <v>پیش‌وایی 12</v>
      </c>
      <c r="W1409" s="86"/>
      <c r="X1409" s="86"/>
    </row>
    <row r="1410">
      <c r="A1410" s="192">
        <v>1410.0</v>
      </c>
      <c r="B1410" s="193" t="s">
        <v>6094</v>
      </c>
      <c r="C1410" s="194" t="s">
        <v>6095</v>
      </c>
      <c r="D1410" s="195" t="str">
        <f>IFERROR(__xludf.DUMMYFUNCTION("ARRAYFORMULA(LET( converted, SUBSTITUTE( SUBSTITUTE( SUBSTITUTE( SUBSTITUTE( SUBSTITUTE( SUBSTITUTE( SUBSTITUTE( SUBSTITUTE( SUBSTITUTE( SUBSTITUTE( C1410, ""۰"", ""0""), ""۱"", ""1""), ""۲"", ""2""), ""۳"", ""3""), ""۴"", ""4""), ""۵"", ""5""), ""۶"", """&amp;"6""), ""۷"", ""7""), ""۸"", ""8""), ""۹"", ""9""), IF(LEFT(converted,3)=""+98"", ""0"" &amp; RIGHT(converted, LEN(converted)-3), IF(LEFT(converted,2)=""98"", ""0"" &amp; RIGHT(converted, LEN(converted)-2), IF(LEFT(converted,1)&lt;&gt;""0"", ""0"" &amp; converted, REGEXREPL"&amp;"ACE(converted , ""\s"", """")) ) ) ) )"),"09125984866")</f>
        <v>09125984866</v>
      </c>
      <c r="E1410" s="196" t="s">
        <v>17</v>
      </c>
      <c r="F1410" s="197">
        <v>12.0</v>
      </c>
      <c r="G1410" s="212" t="s">
        <v>730</v>
      </c>
      <c r="H1410" s="212" t="s">
        <v>6096</v>
      </c>
      <c r="I1410" s="217"/>
      <c r="J1410" s="217"/>
      <c r="K1410" s="199" t="s">
        <v>286</v>
      </c>
      <c r="L1410" s="199" t="s">
        <v>1698</v>
      </c>
      <c r="M1410" s="199"/>
      <c r="N1410" s="199"/>
      <c r="O1410" s="199" t="s">
        <v>6066</v>
      </c>
      <c r="P1410" s="193"/>
      <c r="Q1410" s="218" t="s">
        <v>6067</v>
      </c>
      <c r="R1410" s="86"/>
      <c r="S1410" s="114">
        <f t="shared" ref="S1410:T1410" si="1411">A1410</f>
        <v>1410</v>
      </c>
      <c r="T1410" s="114" t="str">
        <f t="shared" si="1411"/>
        <v>مهدی طالبی</v>
      </c>
      <c r="U1410" s="86" t="str">
        <f t="shared" si="3"/>
        <v>09125984866</v>
      </c>
      <c r="V1410" s="86" t="str">
        <f t="shared" si="4"/>
        <v>پیش‌وایی 12</v>
      </c>
      <c r="W1410" s="86"/>
      <c r="X1410" s="86"/>
    </row>
    <row r="1411">
      <c r="A1411" s="201">
        <v>1411.0</v>
      </c>
      <c r="B1411" s="202" t="s">
        <v>6097</v>
      </c>
      <c r="C1411" s="203" t="s">
        <v>6098</v>
      </c>
      <c r="D1411" s="204" t="str">
        <f>IFERROR(__xludf.DUMMYFUNCTION("ARRAYFORMULA(LET( converted, SUBSTITUTE( SUBSTITUTE( SUBSTITUTE( SUBSTITUTE( SUBSTITUTE( SUBSTITUTE( SUBSTITUTE( SUBSTITUTE( SUBSTITUTE( SUBSTITUTE( C1411, ""۰"", ""0""), ""۱"", ""1""), ""۲"", ""2""), ""۳"", ""3""), ""۴"", ""4""), ""۵"", ""5""), ""۶"", """&amp;"6""), ""۷"", ""7""), ""۸"", ""8""), ""۹"", ""9""), IF(LEFT(converted,3)=""+98"", ""0"" &amp; RIGHT(converted, LEN(converted)-3), IF(LEFT(converted,2)=""98"", ""0"" &amp; RIGHT(converted, LEN(converted)-2), IF(LEFT(converted,1)&lt;&gt;""0"", ""0"" &amp; converted, REGEXREPL"&amp;"ACE(converted , ""\s"", """")) ) ) ) )"),"09129563353")</f>
        <v>09129563353</v>
      </c>
      <c r="E1411" s="205" t="s">
        <v>17</v>
      </c>
      <c r="F1411" s="206">
        <v>12.0</v>
      </c>
      <c r="G1411" s="213" t="s">
        <v>730</v>
      </c>
      <c r="H1411" s="213" t="s">
        <v>6099</v>
      </c>
      <c r="I1411" s="215"/>
      <c r="J1411" s="215"/>
      <c r="K1411" s="207" t="s">
        <v>307</v>
      </c>
      <c r="L1411" s="207" t="s">
        <v>6100</v>
      </c>
      <c r="M1411" s="207"/>
      <c r="N1411" s="207"/>
      <c r="O1411" s="207" t="s">
        <v>6066</v>
      </c>
      <c r="P1411" s="202"/>
      <c r="Q1411" s="216" t="s">
        <v>6067</v>
      </c>
      <c r="R1411" s="86"/>
      <c r="S1411" s="114">
        <f t="shared" ref="S1411:T1411" si="1412">A1411</f>
        <v>1411</v>
      </c>
      <c r="T1411" s="114" t="str">
        <f t="shared" si="1412"/>
        <v>محمدرضا بیگ پور</v>
      </c>
      <c r="U1411" s="86" t="str">
        <f t="shared" si="3"/>
        <v>09129563353</v>
      </c>
      <c r="V1411" s="86" t="str">
        <f t="shared" si="4"/>
        <v>پیش‌وایی 12</v>
      </c>
      <c r="W1411" s="86"/>
      <c r="X1411" s="86"/>
    </row>
    <row r="1412">
      <c r="A1412" s="192">
        <v>1412.0</v>
      </c>
      <c r="B1412" s="193" t="s">
        <v>6101</v>
      </c>
      <c r="C1412" s="194" t="s">
        <v>6102</v>
      </c>
      <c r="D1412" s="195" t="str">
        <f>IFERROR(__xludf.DUMMYFUNCTION("ARRAYFORMULA(LET( converted, SUBSTITUTE( SUBSTITUTE( SUBSTITUTE( SUBSTITUTE( SUBSTITUTE( SUBSTITUTE( SUBSTITUTE( SUBSTITUTE( SUBSTITUTE( SUBSTITUTE( C1412, ""۰"", ""0""), ""۱"", ""1""), ""۲"", ""2""), ""۳"", ""3""), ""۴"", ""4""), ""۵"", ""5""), ""۶"", """&amp;"6""), ""۷"", ""7""), ""۸"", ""8""), ""۹"", ""9""), IF(LEFT(converted,3)=""+98"", ""0"" &amp; RIGHT(converted, LEN(converted)-3), IF(LEFT(converted,2)=""98"", ""0"" &amp; RIGHT(converted, LEN(converted)-2), IF(LEFT(converted,1)&lt;&gt;""0"", ""0"" &amp; converted, REGEXREPL"&amp;"ACE(converted , ""\s"", """")) ) ) ) )"),"09129106348")</f>
        <v>09129106348</v>
      </c>
      <c r="E1412" s="196" t="s">
        <v>17</v>
      </c>
      <c r="F1412" s="197">
        <v>12.0</v>
      </c>
      <c r="G1412" s="212" t="s">
        <v>730</v>
      </c>
      <c r="H1412" s="212" t="s">
        <v>6103</v>
      </c>
      <c r="I1412" s="217"/>
      <c r="J1412" s="217"/>
      <c r="K1412" s="199" t="s">
        <v>6104</v>
      </c>
      <c r="L1412" s="199" t="s">
        <v>6105</v>
      </c>
      <c r="M1412" s="199"/>
      <c r="N1412" s="199"/>
      <c r="O1412" s="199" t="s">
        <v>6066</v>
      </c>
      <c r="P1412" s="193"/>
      <c r="Q1412" s="218" t="s">
        <v>6067</v>
      </c>
      <c r="R1412" s="86"/>
      <c r="S1412" s="114">
        <f t="shared" ref="S1412:T1412" si="1413">A1412</f>
        <v>1412</v>
      </c>
      <c r="T1412" s="114" t="str">
        <f t="shared" si="1413"/>
        <v>سید مرتضی یزدان پرست</v>
      </c>
      <c r="U1412" s="86" t="str">
        <f t="shared" si="3"/>
        <v>09129106348</v>
      </c>
      <c r="V1412" s="86" t="str">
        <f t="shared" si="4"/>
        <v>پیش‌وایی 12</v>
      </c>
      <c r="W1412" s="86"/>
      <c r="X1412" s="86"/>
    </row>
    <row r="1413">
      <c r="A1413" s="201">
        <v>1413.0</v>
      </c>
      <c r="B1413" s="202" t="s">
        <v>6106</v>
      </c>
      <c r="C1413" s="203" t="s">
        <v>6107</v>
      </c>
      <c r="D1413" s="204" t="str">
        <f>IFERROR(__xludf.DUMMYFUNCTION("ARRAYFORMULA(LET( converted, SUBSTITUTE( SUBSTITUTE( SUBSTITUTE( SUBSTITUTE( SUBSTITUTE( SUBSTITUTE( SUBSTITUTE( SUBSTITUTE( SUBSTITUTE( SUBSTITUTE( C1413, ""۰"", ""0""), ""۱"", ""1""), ""۲"", ""2""), ""۳"", ""3""), ""۴"", ""4""), ""۵"", ""5""), ""۶"", """&amp;"6""), ""۷"", ""7""), ""۸"", ""8""), ""۹"", ""9""), IF(LEFT(converted,3)=""+98"", ""0"" &amp; RIGHT(converted, LEN(converted)-3), IF(LEFT(converted,2)=""98"", ""0"" &amp; RIGHT(converted, LEN(converted)-2), IF(LEFT(converted,1)&lt;&gt;""0"", ""0"" &amp; converted, REGEXREPL"&amp;"ACE(converted , ""\s"", """")) ) ) ) )"),"09010693323")</f>
        <v>09010693323</v>
      </c>
      <c r="E1413" s="205" t="s">
        <v>17</v>
      </c>
      <c r="F1413" s="206">
        <v>12.0</v>
      </c>
      <c r="G1413" s="213" t="s">
        <v>730</v>
      </c>
      <c r="H1413" s="213" t="s">
        <v>6108</v>
      </c>
      <c r="I1413" s="215"/>
      <c r="J1413" s="215"/>
      <c r="K1413" s="207" t="s">
        <v>1018</v>
      </c>
      <c r="L1413" s="207" t="s">
        <v>6109</v>
      </c>
      <c r="M1413" s="207"/>
      <c r="N1413" s="207"/>
      <c r="O1413" s="207" t="s">
        <v>6066</v>
      </c>
      <c r="P1413" s="202"/>
      <c r="Q1413" s="216" t="s">
        <v>6067</v>
      </c>
      <c r="R1413" s="86"/>
      <c r="S1413" s="114">
        <f t="shared" ref="S1413:T1413" si="1414">A1413</f>
        <v>1413</v>
      </c>
      <c r="T1413" s="114" t="str">
        <f t="shared" si="1414"/>
        <v>علی گلدسته</v>
      </c>
      <c r="U1413" s="86" t="str">
        <f t="shared" si="3"/>
        <v>09010693323</v>
      </c>
      <c r="V1413" s="86" t="str">
        <f t="shared" si="4"/>
        <v>پیش‌وایی 12</v>
      </c>
      <c r="W1413" s="86"/>
      <c r="X1413" s="86"/>
    </row>
    <row r="1414">
      <c r="A1414" s="192">
        <v>1414.0</v>
      </c>
      <c r="B1414" s="193" t="s">
        <v>6110</v>
      </c>
      <c r="C1414" s="194" t="s">
        <v>6111</v>
      </c>
      <c r="D1414" s="195" t="str">
        <f>IFERROR(__xludf.DUMMYFUNCTION("ARRAYFORMULA(LET( converted, SUBSTITUTE( SUBSTITUTE( SUBSTITUTE( SUBSTITUTE( SUBSTITUTE( SUBSTITUTE( SUBSTITUTE( SUBSTITUTE( SUBSTITUTE( SUBSTITUTE( C1414, ""۰"", ""0""), ""۱"", ""1""), ""۲"", ""2""), ""۳"", ""3""), ""۴"", ""4""), ""۵"", ""5""), ""۶"", """&amp;"6""), ""۷"", ""7""), ""۸"", ""8""), ""۹"", ""9""), IF(LEFT(converted,3)=""+98"", ""0"" &amp; RIGHT(converted, LEN(converted)-3), IF(LEFT(converted,2)=""98"", ""0"" &amp; RIGHT(converted, LEN(converted)-2), IF(LEFT(converted,1)&lt;&gt;""0"", ""0"" &amp; converted, REGEXREPL"&amp;"ACE(converted , ""\s"", """")) ) ) ) )"),"09302932033")</f>
        <v>09302932033</v>
      </c>
      <c r="E1414" s="196" t="s">
        <v>17</v>
      </c>
      <c r="F1414" s="197">
        <v>12.0</v>
      </c>
      <c r="G1414" s="212" t="s">
        <v>730</v>
      </c>
      <c r="H1414" s="212" t="s">
        <v>6112</v>
      </c>
      <c r="I1414" s="217"/>
      <c r="J1414" s="217"/>
      <c r="K1414" s="199" t="s">
        <v>1617</v>
      </c>
      <c r="L1414" s="199" t="s">
        <v>6113</v>
      </c>
      <c r="M1414" s="199"/>
      <c r="N1414" s="199"/>
      <c r="O1414" s="199" t="s">
        <v>6066</v>
      </c>
      <c r="P1414" s="193"/>
      <c r="Q1414" s="218" t="s">
        <v>6067</v>
      </c>
      <c r="R1414" s="86"/>
      <c r="S1414" s="114">
        <f t="shared" ref="S1414:T1414" si="1415">A1414</f>
        <v>1414</v>
      </c>
      <c r="T1414" s="114" t="str">
        <f t="shared" si="1415"/>
        <v>سپهر رحیمیان</v>
      </c>
      <c r="U1414" s="86" t="str">
        <f t="shared" si="3"/>
        <v>09302932033</v>
      </c>
      <c r="V1414" s="86" t="str">
        <f t="shared" si="4"/>
        <v>پیش‌وایی 12</v>
      </c>
      <c r="W1414" s="86"/>
      <c r="X1414" s="86"/>
    </row>
    <row r="1415">
      <c r="A1415" s="201">
        <v>1415.0</v>
      </c>
      <c r="B1415" s="202" t="s">
        <v>6114</v>
      </c>
      <c r="C1415" s="203" t="s">
        <v>6115</v>
      </c>
      <c r="D1415" s="204" t="str">
        <f>IFERROR(__xludf.DUMMYFUNCTION("ARRAYFORMULA(LET( converted, SUBSTITUTE( SUBSTITUTE( SUBSTITUTE( SUBSTITUTE( SUBSTITUTE( SUBSTITUTE( SUBSTITUTE( SUBSTITUTE( SUBSTITUTE( SUBSTITUTE( C1415, ""۰"", ""0""), ""۱"", ""1""), ""۲"", ""2""), ""۳"", ""3""), ""۴"", ""4""), ""۵"", ""5""), ""۶"", """&amp;"6""), ""۷"", ""7""), ""۸"", ""8""), ""۹"", ""9""), IF(LEFT(converted,3)=""+98"", ""0"" &amp; RIGHT(converted, LEN(converted)-3), IF(LEFT(converted,2)=""98"", ""0"" &amp; RIGHT(converted, LEN(converted)-2), IF(LEFT(converted,1)&lt;&gt;""0"", ""0"" &amp; converted, REGEXREPL"&amp;"ACE(converted , ""\s"", """")) ) ) ) )"),"09195061290")</f>
        <v>09195061290</v>
      </c>
      <c r="E1415" s="205" t="s">
        <v>17</v>
      </c>
      <c r="F1415" s="206">
        <v>12.0</v>
      </c>
      <c r="G1415" s="213" t="s">
        <v>746</v>
      </c>
      <c r="H1415" s="213" t="s">
        <v>6116</v>
      </c>
      <c r="I1415" s="215"/>
      <c r="J1415" s="215"/>
      <c r="K1415" s="207" t="s">
        <v>2670</v>
      </c>
      <c r="L1415" s="207" t="s">
        <v>4363</v>
      </c>
      <c r="M1415" s="207"/>
      <c r="N1415" s="207"/>
      <c r="O1415" s="207" t="s">
        <v>6066</v>
      </c>
      <c r="P1415" s="202"/>
      <c r="Q1415" s="216" t="s">
        <v>6067</v>
      </c>
      <c r="R1415" s="86"/>
      <c r="S1415" s="114">
        <f t="shared" ref="S1415:T1415" si="1416">A1415</f>
        <v>1415</v>
      </c>
      <c r="T1415" s="114" t="str">
        <f t="shared" si="1416"/>
        <v>فرزانه فیروز</v>
      </c>
      <c r="U1415" s="86" t="str">
        <f t="shared" si="3"/>
        <v>09195061290</v>
      </c>
      <c r="V1415" s="86" t="str">
        <f t="shared" si="4"/>
        <v>پیش‌وایی 12</v>
      </c>
      <c r="W1415" s="86"/>
      <c r="X1415" s="86"/>
    </row>
    <row r="1416">
      <c r="A1416" s="192">
        <v>1416.0</v>
      </c>
      <c r="B1416" s="193" t="s">
        <v>5920</v>
      </c>
      <c r="C1416" s="194" t="s">
        <v>6117</v>
      </c>
      <c r="D1416" s="195" t="str">
        <f>IFERROR(__xludf.DUMMYFUNCTION("ARRAYFORMULA(LET( converted, SUBSTITUTE( SUBSTITUTE( SUBSTITUTE( SUBSTITUTE( SUBSTITUTE( SUBSTITUTE( SUBSTITUTE( SUBSTITUTE( SUBSTITUTE( SUBSTITUTE( C1416, ""۰"", ""0""), ""۱"", ""1""), ""۲"", ""2""), ""۳"", ""3""), ""۴"", ""4""), ""۵"", ""5""), ""۶"", """&amp;"6""), ""۷"", ""7""), ""۸"", ""8""), ""۹"", ""9""), IF(LEFT(converted,3)=""+98"", ""0"" &amp; RIGHT(converted, LEN(converted)-3), IF(LEFT(converted,2)=""98"", ""0"" &amp; RIGHT(converted, LEN(converted)-2), IF(LEFT(converted,1)&lt;&gt;""0"", ""0"" &amp; converted, REGEXREPL"&amp;"ACE(converted , ""\s"", """")) ) ) ) )"),"09300726271")</f>
        <v>09300726271</v>
      </c>
      <c r="E1416" s="196" t="s">
        <v>17</v>
      </c>
      <c r="F1416" s="197">
        <v>12.0</v>
      </c>
      <c r="G1416" s="212" t="s">
        <v>730</v>
      </c>
      <c r="H1416" s="212" t="s">
        <v>6118</v>
      </c>
      <c r="I1416" s="217"/>
      <c r="J1416" s="217"/>
      <c r="K1416" s="199" t="s">
        <v>1018</v>
      </c>
      <c r="L1416" s="199" t="s">
        <v>4246</v>
      </c>
      <c r="M1416" s="199"/>
      <c r="N1416" s="199"/>
      <c r="O1416" s="199" t="s">
        <v>6066</v>
      </c>
      <c r="P1416" s="193"/>
      <c r="Q1416" s="218" t="s">
        <v>6067</v>
      </c>
      <c r="R1416" s="86"/>
      <c r="S1416" s="114">
        <f t="shared" ref="S1416:T1416" si="1417">A1416</f>
        <v>1416</v>
      </c>
      <c r="T1416" s="114" t="str">
        <f t="shared" si="1417"/>
        <v>علی حیدری</v>
      </c>
      <c r="U1416" s="86" t="str">
        <f t="shared" si="3"/>
        <v>09300726271</v>
      </c>
      <c r="V1416" s="86" t="str">
        <f t="shared" si="4"/>
        <v>پیش‌وایی 12</v>
      </c>
      <c r="W1416" s="86"/>
      <c r="X1416" s="86"/>
    </row>
    <row r="1417">
      <c r="A1417" s="201">
        <v>1417.0</v>
      </c>
      <c r="B1417" s="202" t="s">
        <v>6119</v>
      </c>
      <c r="C1417" s="203" t="s">
        <v>6120</v>
      </c>
      <c r="D1417" s="204" t="str">
        <f>IFERROR(__xludf.DUMMYFUNCTION("ARRAYFORMULA(LET( converted, SUBSTITUTE( SUBSTITUTE( SUBSTITUTE( SUBSTITUTE( SUBSTITUTE( SUBSTITUTE( SUBSTITUTE( SUBSTITUTE( SUBSTITUTE( SUBSTITUTE( C1417, ""۰"", ""0""), ""۱"", ""1""), ""۲"", ""2""), ""۳"", ""3""), ""۴"", ""4""), ""۵"", ""5""), ""۶"", """&amp;"6""), ""۷"", ""7""), ""۸"", ""8""), ""۹"", ""9""), IF(LEFT(converted,3)=""+98"", ""0"" &amp; RIGHT(converted, LEN(converted)-3), IF(LEFT(converted,2)=""98"", ""0"" &amp; RIGHT(converted, LEN(converted)-2), IF(LEFT(converted,1)&lt;&gt;""0"", ""0"" &amp; converted, REGEXREPL"&amp;"ACE(converted , ""\s"", """")) ) ) ) )"),"09123335723")</f>
        <v>09123335723</v>
      </c>
      <c r="E1417" s="205" t="s">
        <v>17</v>
      </c>
      <c r="F1417" s="206">
        <v>12.0</v>
      </c>
      <c r="G1417" s="213" t="s">
        <v>730</v>
      </c>
      <c r="H1417" s="213" t="s">
        <v>6121</v>
      </c>
      <c r="I1417" s="215"/>
      <c r="J1417" s="215"/>
      <c r="K1417" s="207" t="s">
        <v>1018</v>
      </c>
      <c r="L1417" s="207" t="s">
        <v>6122</v>
      </c>
      <c r="M1417" s="207"/>
      <c r="N1417" s="207"/>
      <c r="O1417" s="207" t="s">
        <v>6066</v>
      </c>
      <c r="P1417" s="202"/>
      <c r="Q1417" s="216" t="s">
        <v>6067</v>
      </c>
      <c r="R1417" s="86"/>
      <c r="S1417" s="114">
        <f t="shared" ref="S1417:T1417" si="1418">A1417</f>
        <v>1417</v>
      </c>
      <c r="T1417" s="114" t="str">
        <f t="shared" si="1418"/>
        <v>علی حاجی‌محمدی</v>
      </c>
      <c r="U1417" s="86" t="str">
        <f t="shared" si="3"/>
        <v>09123335723</v>
      </c>
      <c r="V1417" s="86" t="str">
        <f t="shared" si="4"/>
        <v>پیش‌وایی 12</v>
      </c>
      <c r="W1417" s="86"/>
      <c r="X1417" s="86"/>
    </row>
    <row r="1418">
      <c r="A1418" s="192">
        <v>1418.0</v>
      </c>
      <c r="B1418" s="193" t="s">
        <v>6123</v>
      </c>
      <c r="C1418" s="194" t="s">
        <v>6124</v>
      </c>
      <c r="D1418" s="195" t="str">
        <f>IFERROR(__xludf.DUMMYFUNCTION("ARRAYFORMULA(LET( converted, SUBSTITUTE( SUBSTITUTE( SUBSTITUTE( SUBSTITUTE( SUBSTITUTE( SUBSTITUTE( SUBSTITUTE( SUBSTITUTE( SUBSTITUTE( SUBSTITUTE( C1418, ""۰"", ""0""), ""۱"", ""1""), ""۲"", ""2""), ""۳"", ""3""), ""۴"", ""4""), ""۵"", ""5""), ""۶"", """&amp;"6""), ""۷"", ""7""), ""۸"", ""8""), ""۹"", ""9""), IF(LEFT(converted,3)=""+98"", ""0"" &amp; RIGHT(converted, LEN(converted)-3), IF(LEFT(converted,2)=""98"", ""0"" &amp; RIGHT(converted, LEN(converted)-2), IF(LEFT(converted,1)&lt;&gt;""0"", ""0"" &amp; converted, REGEXREPL"&amp;"ACE(converted , ""\s"", """")) ) ) ) )"),"09357258018")</f>
        <v>09357258018</v>
      </c>
      <c r="E1418" s="196" t="s">
        <v>17</v>
      </c>
      <c r="F1418" s="197">
        <v>12.0</v>
      </c>
      <c r="G1418" s="212" t="s">
        <v>746</v>
      </c>
      <c r="H1418" s="212" t="s">
        <v>6125</v>
      </c>
      <c r="I1418" s="217"/>
      <c r="J1418" s="217"/>
      <c r="K1418" s="199" t="s">
        <v>4107</v>
      </c>
      <c r="L1418" s="199" t="s">
        <v>1019</v>
      </c>
      <c r="M1418" s="199"/>
      <c r="N1418" s="199"/>
      <c r="O1418" s="199" t="s">
        <v>6066</v>
      </c>
      <c r="P1418" s="193"/>
      <c r="Q1418" s="218" t="s">
        <v>6067</v>
      </c>
      <c r="R1418" s="86"/>
      <c r="S1418" s="114">
        <f t="shared" ref="S1418:T1418" si="1419">A1418</f>
        <v>1418</v>
      </c>
      <c r="T1418" s="114" t="str">
        <f t="shared" si="1419"/>
        <v>عارفه احمدی</v>
      </c>
      <c r="U1418" s="86" t="str">
        <f t="shared" si="3"/>
        <v>09357258018</v>
      </c>
      <c r="V1418" s="86" t="str">
        <f t="shared" si="4"/>
        <v>پیش‌وایی 12</v>
      </c>
      <c r="W1418" s="86"/>
      <c r="X1418" s="86"/>
    </row>
    <row r="1419">
      <c r="A1419" s="201">
        <v>1419.0</v>
      </c>
      <c r="B1419" s="202" t="s">
        <v>6126</v>
      </c>
      <c r="C1419" s="203" t="s">
        <v>6127</v>
      </c>
      <c r="D1419" s="204" t="str">
        <f>IFERROR(__xludf.DUMMYFUNCTION("ARRAYFORMULA(LET( converted, SUBSTITUTE( SUBSTITUTE( SUBSTITUTE( SUBSTITUTE( SUBSTITUTE( SUBSTITUTE( SUBSTITUTE( SUBSTITUTE( SUBSTITUTE( SUBSTITUTE( C1419, ""۰"", ""0""), ""۱"", ""1""), ""۲"", ""2""), ""۳"", ""3""), ""۴"", ""4""), ""۵"", ""5""), ""۶"", """&amp;"6""), ""۷"", ""7""), ""۸"", ""8""), ""۹"", ""9""), IF(LEFT(converted,3)=""+98"", ""0"" &amp; RIGHT(converted, LEN(converted)-3), IF(LEFT(converted,2)=""98"", ""0"" &amp; RIGHT(converted, LEN(converted)-2), IF(LEFT(converted,1)&lt;&gt;""0"", ""0"" &amp; converted, REGEXREPL"&amp;"ACE(converted , ""\s"", """")) ) ) ) )"),"09121633423")</f>
        <v>09121633423</v>
      </c>
      <c r="E1419" s="205" t="s">
        <v>17</v>
      </c>
      <c r="F1419" s="206">
        <v>12.0</v>
      </c>
      <c r="G1419" s="213" t="s">
        <v>730</v>
      </c>
      <c r="H1419" s="213" t="s">
        <v>6128</v>
      </c>
      <c r="I1419" s="215"/>
      <c r="J1419" s="215"/>
      <c r="K1419" s="207" t="s">
        <v>381</v>
      </c>
      <c r="L1419" s="207" t="s">
        <v>6129</v>
      </c>
      <c r="M1419" s="207"/>
      <c r="N1419" s="207"/>
      <c r="O1419" s="207" t="s">
        <v>6066</v>
      </c>
      <c r="P1419" s="202"/>
      <c r="Q1419" s="216" t="s">
        <v>6130</v>
      </c>
      <c r="R1419" s="86"/>
      <c r="S1419" s="114">
        <f t="shared" ref="S1419:T1419" si="1420">A1419</f>
        <v>1419</v>
      </c>
      <c r="T1419" s="114" t="str">
        <f t="shared" si="1420"/>
        <v>منصور علی آبادی</v>
      </c>
      <c r="U1419" s="86" t="str">
        <f t="shared" si="3"/>
        <v>09121633423</v>
      </c>
      <c r="V1419" s="86" t="str">
        <f t="shared" si="4"/>
        <v>پیش‌وایی 12</v>
      </c>
      <c r="W1419" s="86"/>
      <c r="X1419" s="86"/>
    </row>
    <row r="1420">
      <c r="A1420" s="192">
        <v>1420.0</v>
      </c>
      <c r="B1420" s="193" t="s">
        <v>6131</v>
      </c>
      <c r="C1420" s="194" t="s">
        <v>6132</v>
      </c>
      <c r="D1420" s="195" t="str">
        <f>IFERROR(__xludf.DUMMYFUNCTION("ARRAYFORMULA(LET( converted, SUBSTITUTE( SUBSTITUTE( SUBSTITUTE( SUBSTITUTE( SUBSTITUTE( SUBSTITUTE( SUBSTITUTE( SUBSTITUTE( SUBSTITUTE( SUBSTITUTE( C1420, ""۰"", ""0""), ""۱"", ""1""), ""۲"", ""2""), ""۳"", ""3""), ""۴"", ""4""), ""۵"", ""5""), ""۶"", """&amp;"6""), ""۷"", ""7""), ""۸"", ""8""), ""۹"", ""9""), IF(LEFT(converted,3)=""+98"", ""0"" &amp; RIGHT(converted, LEN(converted)-3), IF(LEFT(converted,2)=""98"", ""0"" &amp; RIGHT(converted, LEN(converted)-2), IF(LEFT(converted,1)&lt;&gt;""0"", ""0"" &amp; converted, REGEXREPL"&amp;"ACE(converted , ""\s"", """")) ) ) ) )"),"09123645053")</f>
        <v>09123645053</v>
      </c>
      <c r="E1420" s="196" t="s">
        <v>17</v>
      </c>
      <c r="F1420" s="197">
        <v>12.0</v>
      </c>
      <c r="G1420" s="212" t="s">
        <v>730</v>
      </c>
      <c r="H1420" s="212" t="s">
        <v>6128</v>
      </c>
      <c r="I1420" s="217"/>
      <c r="J1420" s="217"/>
      <c r="K1420" s="199" t="s">
        <v>2538</v>
      </c>
      <c r="L1420" s="199" t="s">
        <v>904</v>
      </c>
      <c r="M1420" s="199"/>
      <c r="N1420" s="199"/>
      <c r="O1420" s="199" t="s">
        <v>6066</v>
      </c>
      <c r="P1420" s="193"/>
      <c r="Q1420" s="218" t="s">
        <v>6067</v>
      </c>
      <c r="R1420" s="86"/>
      <c r="S1420" s="114">
        <f t="shared" ref="S1420:T1420" si="1421">A1420</f>
        <v>1420</v>
      </c>
      <c r="T1420" s="114" t="str">
        <f t="shared" si="1421"/>
        <v>کاوه ابراهیمی</v>
      </c>
      <c r="U1420" s="86" t="str">
        <f t="shared" si="3"/>
        <v>09123645053</v>
      </c>
      <c r="V1420" s="86" t="str">
        <f t="shared" si="4"/>
        <v>پیش‌وایی 12</v>
      </c>
      <c r="W1420" s="86"/>
      <c r="X1420" s="86"/>
    </row>
    <row r="1421">
      <c r="A1421" s="201">
        <v>1421.0</v>
      </c>
      <c r="B1421" s="202" t="s">
        <v>6133</v>
      </c>
      <c r="C1421" s="203" t="s">
        <v>6134</v>
      </c>
      <c r="D1421" s="204" t="str">
        <f>IFERROR(__xludf.DUMMYFUNCTION("ARRAYFORMULA(LET( converted, SUBSTITUTE( SUBSTITUTE( SUBSTITUTE( SUBSTITUTE( SUBSTITUTE( SUBSTITUTE( SUBSTITUTE( SUBSTITUTE( SUBSTITUTE( SUBSTITUTE( C1421, ""۰"", ""0""), ""۱"", ""1""), ""۲"", ""2""), ""۳"", ""3""), ""۴"", ""4""), ""۵"", ""5""), ""۶"", """&amp;"6""), ""۷"", ""7""), ""۸"", ""8""), ""۹"", ""9""), IF(LEFT(converted,3)=""+98"", ""0"" &amp; RIGHT(converted, LEN(converted)-3), IF(LEFT(converted,2)=""98"", ""0"" &amp; RIGHT(converted, LEN(converted)-2), IF(LEFT(converted,1)&lt;&gt;""0"", ""0"" &amp; converted, REGEXREPL"&amp;"ACE(converted , ""\s"", """")) ) ) ) )"),"09122720351")</f>
        <v>09122720351</v>
      </c>
      <c r="E1421" s="205" t="s">
        <v>17</v>
      </c>
      <c r="F1421" s="206">
        <v>12.0</v>
      </c>
      <c r="G1421" s="213" t="s">
        <v>746</v>
      </c>
      <c r="H1421" s="213" t="s">
        <v>6135</v>
      </c>
      <c r="I1421" s="215"/>
      <c r="J1421" s="215"/>
      <c r="K1421" s="207" t="s">
        <v>1692</v>
      </c>
      <c r="L1421" s="207" t="s">
        <v>6136</v>
      </c>
      <c r="M1421" s="207"/>
      <c r="N1421" s="207"/>
      <c r="O1421" s="207" t="s">
        <v>6066</v>
      </c>
      <c r="P1421" s="202"/>
      <c r="Q1421" s="216" t="s">
        <v>6137</v>
      </c>
      <c r="R1421" s="86"/>
      <c r="S1421" s="114">
        <f t="shared" ref="S1421:T1421" si="1422">A1421</f>
        <v>1421</v>
      </c>
      <c r="T1421" s="114" t="str">
        <f t="shared" si="1422"/>
        <v>الهام وطن پور</v>
      </c>
      <c r="U1421" s="86" t="str">
        <f t="shared" si="3"/>
        <v>09122720351</v>
      </c>
      <c r="V1421" s="86" t="str">
        <f t="shared" si="4"/>
        <v>پیش‌وایی 12</v>
      </c>
      <c r="W1421" s="86"/>
      <c r="X1421" s="86"/>
    </row>
    <row r="1422">
      <c r="A1422" s="192">
        <v>1422.0</v>
      </c>
      <c r="B1422" s="199" t="s">
        <v>6138</v>
      </c>
      <c r="C1422" s="194" t="s">
        <v>6139</v>
      </c>
      <c r="D1422" s="195" t="str">
        <f>IFERROR(__xludf.DUMMYFUNCTION("ARRAYFORMULA(LET( converted, SUBSTITUTE( SUBSTITUTE( SUBSTITUTE( SUBSTITUTE( SUBSTITUTE( SUBSTITUTE( SUBSTITUTE( SUBSTITUTE( SUBSTITUTE( SUBSTITUTE( C1422, ""۰"", ""0""), ""۱"", ""1""), ""۲"", ""2""), ""۳"", ""3""), ""۴"", ""4""), ""۵"", ""5""), ""۶"", """&amp;"6""), ""۷"", ""7""), ""۸"", ""8""), ""۹"", ""9""), IF(LEFT(converted,3)=""+98"", ""0"" &amp; RIGHT(converted, LEN(converted)-3), IF(LEFT(converted,2)=""98"", ""0"" &amp; RIGHT(converted, LEN(converted)-2), IF(LEFT(converted,1)&lt;&gt;""0"", ""0"" &amp; converted, REGEXREPL"&amp;"ACE(converted , ""\s"", """")) ) ) ) )"),"09122042879")</f>
        <v>09122042879</v>
      </c>
      <c r="E1422" s="196" t="s">
        <v>17</v>
      </c>
      <c r="F1422" s="197">
        <v>12.0</v>
      </c>
      <c r="G1422" s="212" t="s">
        <v>746</v>
      </c>
      <c r="H1422" s="199" t="s">
        <v>6140</v>
      </c>
      <c r="I1422" s="217"/>
      <c r="J1422" s="217"/>
      <c r="K1422" s="199" t="s">
        <v>3199</v>
      </c>
      <c r="L1422" s="199" t="s">
        <v>6141</v>
      </c>
      <c r="M1422" s="199"/>
      <c r="N1422" s="199"/>
      <c r="O1422" s="199" t="s">
        <v>6066</v>
      </c>
      <c r="P1422" s="193"/>
      <c r="Q1422" s="218" t="s">
        <v>6067</v>
      </c>
      <c r="R1422" s="86"/>
      <c r="S1422" s="114">
        <f t="shared" ref="S1422:T1422" si="1423">A1422</f>
        <v>1422</v>
      </c>
      <c r="T1422" s="114" t="str">
        <f t="shared" si="1423"/>
        <v>ساناز كوثری</v>
      </c>
      <c r="U1422" s="86" t="str">
        <f t="shared" si="3"/>
        <v>09122042879</v>
      </c>
      <c r="V1422" s="86" t="str">
        <f t="shared" si="4"/>
        <v>پیش‌وایی 12</v>
      </c>
      <c r="W1422" s="86"/>
      <c r="X1422" s="86"/>
    </row>
    <row r="1423">
      <c r="A1423" s="201">
        <v>1423.0</v>
      </c>
      <c r="B1423" s="202" t="s">
        <v>6142</v>
      </c>
      <c r="C1423" s="203" t="s">
        <v>6143</v>
      </c>
      <c r="D1423" s="204" t="str">
        <f>IFERROR(__xludf.DUMMYFUNCTION("ARRAYFORMULA(LET( converted, SUBSTITUTE( SUBSTITUTE( SUBSTITUTE( SUBSTITUTE( SUBSTITUTE( SUBSTITUTE( SUBSTITUTE( SUBSTITUTE( SUBSTITUTE( SUBSTITUTE( C1423, ""۰"", ""0""), ""۱"", ""1""), ""۲"", ""2""), ""۳"", ""3""), ""۴"", ""4""), ""۵"", ""5""), ""۶"", """&amp;"6""), ""۷"", ""7""), ""۸"", ""8""), ""۹"", ""9""), IF(LEFT(converted,3)=""+98"", ""0"" &amp; RIGHT(converted, LEN(converted)-3), IF(LEFT(converted,2)=""98"", ""0"" &amp; RIGHT(converted, LEN(converted)-2), IF(LEFT(converted,1)&lt;&gt;""0"", ""0"" &amp; converted, REGEXREPL"&amp;"ACE(converted , ""\s"", """")) ) ) ) )"),"09120348389")</f>
        <v>09120348389</v>
      </c>
      <c r="E1423" s="205" t="s">
        <v>17</v>
      </c>
      <c r="F1423" s="206">
        <v>12.0</v>
      </c>
      <c r="G1423" s="213" t="s">
        <v>746</v>
      </c>
      <c r="H1423" s="207" t="s">
        <v>6140</v>
      </c>
      <c r="I1423" s="215"/>
      <c r="J1423" s="215"/>
      <c r="K1423" s="207" t="s">
        <v>3199</v>
      </c>
      <c r="L1423" s="207" t="s">
        <v>6144</v>
      </c>
      <c r="M1423" s="207"/>
      <c r="N1423" s="207"/>
      <c r="O1423" s="207" t="s">
        <v>6066</v>
      </c>
      <c r="P1423" s="202"/>
      <c r="Q1423" s="216" t="s">
        <v>6067</v>
      </c>
      <c r="R1423" s="86"/>
      <c r="S1423" s="114">
        <f t="shared" ref="S1423:T1423" si="1424">A1423</f>
        <v>1423</v>
      </c>
      <c r="T1423" s="114" t="str">
        <f t="shared" si="1424"/>
        <v>ساناز سپهوند</v>
      </c>
      <c r="U1423" s="86" t="str">
        <f t="shared" si="3"/>
        <v>09120348389</v>
      </c>
      <c r="V1423" s="86" t="str">
        <f t="shared" si="4"/>
        <v>پیش‌وایی 12</v>
      </c>
      <c r="W1423" s="86"/>
      <c r="X1423" s="86"/>
    </row>
    <row r="1424">
      <c r="A1424" s="192">
        <v>1424.0</v>
      </c>
      <c r="B1424" s="193" t="s">
        <v>6145</v>
      </c>
      <c r="C1424" s="194" t="s">
        <v>6146</v>
      </c>
      <c r="D1424" s="195" t="str">
        <f>IFERROR(__xludf.DUMMYFUNCTION("ARRAYFORMULA(LET( converted, SUBSTITUTE( SUBSTITUTE( SUBSTITUTE( SUBSTITUTE( SUBSTITUTE( SUBSTITUTE( SUBSTITUTE( SUBSTITUTE( SUBSTITUTE( SUBSTITUTE( C1424, ""۰"", ""0""), ""۱"", ""1""), ""۲"", ""2""), ""۳"", ""3""), ""۴"", ""4""), ""۵"", ""5""), ""۶"", """&amp;"6""), ""۷"", ""7""), ""۸"", ""8""), ""۹"", ""9""), IF(LEFT(converted,3)=""+98"", ""0"" &amp; RIGHT(converted, LEN(converted)-3), IF(LEFT(converted,2)=""98"", ""0"" &amp; RIGHT(converted, LEN(converted)-2), IF(LEFT(converted,1)&lt;&gt;""0"", ""0"" &amp; converted, REGEXREPL"&amp;"ACE(converted , ""\s"", """")) ) ) ) )"),"09126839374")</f>
        <v>09126839374</v>
      </c>
      <c r="E1424" s="196" t="s">
        <v>17</v>
      </c>
      <c r="F1424" s="197">
        <v>12.0</v>
      </c>
      <c r="G1424" s="212" t="s">
        <v>746</v>
      </c>
      <c r="H1424" s="199" t="s">
        <v>6140</v>
      </c>
      <c r="I1424" s="217"/>
      <c r="J1424" s="217"/>
      <c r="K1424" s="199" t="s">
        <v>5533</v>
      </c>
      <c r="L1424" s="199" t="s">
        <v>6147</v>
      </c>
      <c r="M1424" s="199"/>
      <c r="N1424" s="199"/>
      <c r="O1424" s="199" t="s">
        <v>6066</v>
      </c>
      <c r="P1424" s="193"/>
      <c r="Q1424" s="218" t="s">
        <v>6067</v>
      </c>
      <c r="R1424" s="86"/>
      <c r="S1424" s="114">
        <f t="shared" ref="S1424:T1424" si="1425">A1424</f>
        <v>1424</v>
      </c>
      <c r="T1424" s="114" t="str">
        <f t="shared" si="1425"/>
        <v>یگانه حسنلو</v>
      </c>
      <c r="U1424" s="86" t="str">
        <f t="shared" si="3"/>
        <v>09126839374</v>
      </c>
      <c r="V1424" s="86" t="str">
        <f t="shared" si="4"/>
        <v>پیش‌وایی 12</v>
      </c>
      <c r="W1424" s="86"/>
      <c r="X1424" s="86"/>
    </row>
    <row r="1425">
      <c r="A1425" s="201">
        <v>1425.0</v>
      </c>
      <c r="B1425" s="202" t="s">
        <v>6148</v>
      </c>
      <c r="C1425" s="203"/>
      <c r="D1425" s="204" t="str">
        <f>IFERROR(__xludf.DUMMYFUNCTION("ARRAYFORMULA(LET( converted, SUBSTITUTE( SUBSTITUTE( SUBSTITUTE( SUBSTITUTE( SUBSTITUTE( SUBSTITUTE( SUBSTITUTE( SUBSTITUTE( SUBSTITUTE( SUBSTITUTE( C1425, ""۰"", ""0""), ""۱"", ""1""), ""۲"", ""2""), ""۳"", ""3""), ""۴"", ""4""), ""۵"", ""5""), ""۶"", """&amp;"6""), ""۷"", ""7""), ""۸"", ""8""), ""۹"", ""9""), IF(LEFT(converted,3)=""+98"", ""0"" &amp; RIGHT(converted, LEN(converted)-3), IF(LEFT(converted,2)=""98"", ""0"" &amp; RIGHT(converted, LEN(converted)-2), IF(LEFT(converted,1)&lt;&gt;""0"", ""0"" &amp; converted, REGEXREPL"&amp;"ACE(converted , ""\s"", """")) ) ) ) )"),"0")</f>
        <v>0</v>
      </c>
      <c r="E1425" s="205" t="s">
        <v>17</v>
      </c>
      <c r="F1425" s="206">
        <v>12.0</v>
      </c>
      <c r="G1425" s="213" t="s">
        <v>746</v>
      </c>
      <c r="H1425" s="207" t="s">
        <v>6140</v>
      </c>
      <c r="I1425" s="215"/>
      <c r="J1425" s="215"/>
      <c r="K1425" s="207" t="s">
        <v>1766</v>
      </c>
      <c r="L1425" s="207" t="s">
        <v>2816</v>
      </c>
      <c r="M1425" s="207"/>
      <c r="N1425" s="207"/>
      <c r="O1425" s="207" t="s">
        <v>6149</v>
      </c>
      <c r="P1425" s="202"/>
      <c r="Q1425" s="216" t="s">
        <v>6067</v>
      </c>
      <c r="R1425" s="86"/>
      <c r="S1425" s="114">
        <f t="shared" ref="S1425:T1425" si="1426">A1425</f>
        <v>1425</v>
      </c>
      <c r="T1425" s="114" t="str">
        <f t="shared" si="1426"/>
        <v>زینب رضایی</v>
      </c>
      <c r="U1425" s="86" t="str">
        <f t="shared" si="3"/>
        <v>0</v>
      </c>
      <c r="V1425" s="86" t="str">
        <f t="shared" si="4"/>
        <v>پیش‌وایی 12</v>
      </c>
      <c r="W1425" s="86"/>
      <c r="X1425" s="86"/>
    </row>
    <row r="1426">
      <c r="A1426" s="192">
        <v>1426.0</v>
      </c>
      <c r="B1426" s="193" t="s">
        <v>6150</v>
      </c>
      <c r="C1426" s="194" t="s">
        <v>6151</v>
      </c>
      <c r="D1426" s="195" t="str">
        <f>IFERROR(__xludf.DUMMYFUNCTION("ARRAYFORMULA(LET( converted, SUBSTITUTE( SUBSTITUTE( SUBSTITUTE( SUBSTITUTE( SUBSTITUTE( SUBSTITUTE( SUBSTITUTE( SUBSTITUTE( SUBSTITUTE( SUBSTITUTE( C1426, ""۰"", ""0""), ""۱"", ""1""), ""۲"", ""2""), ""۳"", ""3""), ""۴"", ""4""), ""۵"", ""5""), ""۶"", """&amp;"6""), ""۷"", ""7""), ""۸"", ""8""), ""۹"", ""9""), IF(LEFT(converted,3)=""+98"", ""0"" &amp; RIGHT(converted, LEN(converted)-3), IF(LEFT(converted,2)=""98"", ""0"" &amp; RIGHT(converted, LEN(converted)-2), IF(LEFT(converted,1)&lt;&gt;""0"", ""0"" &amp; converted, REGEXREPL"&amp;"ACE(converted , ""\s"", """")) ) ) ) )"),"09122112548")</f>
        <v>09122112548</v>
      </c>
      <c r="E1426" s="196" t="s">
        <v>17</v>
      </c>
      <c r="F1426" s="197">
        <v>12.0</v>
      </c>
      <c r="G1426" s="212" t="s">
        <v>746</v>
      </c>
      <c r="H1426" s="199" t="s">
        <v>6140</v>
      </c>
      <c r="I1426" s="217"/>
      <c r="J1426" s="217"/>
      <c r="K1426" s="199" t="s">
        <v>1302</v>
      </c>
      <c r="L1426" s="199" t="s">
        <v>6152</v>
      </c>
      <c r="M1426" s="199"/>
      <c r="N1426" s="199"/>
      <c r="O1426" s="199" t="s">
        <v>6066</v>
      </c>
      <c r="P1426" s="193"/>
      <c r="Q1426" s="218" t="s">
        <v>6153</v>
      </c>
      <c r="R1426" s="86"/>
      <c r="S1426" s="114">
        <f t="shared" ref="S1426:T1426" si="1427">A1426</f>
        <v>1426</v>
      </c>
      <c r="T1426" s="114" t="str">
        <f t="shared" si="1427"/>
        <v>مونا امام</v>
      </c>
      <c r="U1426" s="86" t="str">
        <f t="shared" si="3"/>
        <v>09122112548</v>
      </c>
      <c r="V1426" s="86" t="str">
        <f t="shared" si="4"/>
        <v>پیش‌وایی 12</v>
      </c>
      <c r="W1426" s="86"/>
      <c r="X1426" s="86"/>
    </row>
    <row r="1427">
      <c r="A1427" s="201">
        <v>1427.0</v>
      </c>
      <c r="B1427" s="207" t="s">
        <v>6154</v>
      </c>
      <c r="C1427" s="203" t="s">
        <v>6155</v>
      </c>
      <c r="D1427" s="204" t="str">
        <f>IFERROR(__xludf.DUMMYFUNCTION("ARRAYFORMULA(LET( converted, SUBSTITUTE( SUBSTITUTE( SUBSTITUTE( SUBSTITUTE( SUBSTITUTE( SUBSTITUTE( SUBSTITUTE( SUBSTITUTE( SUBSTITUTE( SUBSTITUTE( C1427, ""۰"", ""0""), ""۱"", ""1""), ""۲"", ""2""), ""۳"", ""3""), ""۴"", ""4""), ""۵"", ""5""), ""۶"", """&amp;"6""), ""۷"", ""7""), ""۸"", ""8""), ""۹"", ""9""), IF(LEFT(converted,3)=""+98"", ""0"" &amp; RIGHT(converted, LEN(converted)-3), IF(LEFT(converted,2)=""98"", ""0"" &amp; RIGHT(converted, LEN(converted)-2), IF(LEFT(converted,1)&lt;&gt;""0"", ""0"" &amp; converted, REGEXREPL"&amp;"ACE(converted , ""\s"", """")) ) ) ) )"),"09011966055")</f>
        <v>09011966055</v>
      </c>
      <c r="E1427" s="205" t="s">
        <v>17</v>
      </c>
      <c r="F1427" s="206">
        <v>12.0</v>
      </c>
      <c r="G1427" s="213" t="s">
        <v>746</v>
      </c>
      <c r="H1427" s="207" t="s">
        <v>6140</v>
      </c>
      <c r="I1427" s="215"/>
      <c r="J1427" s="215"/>
      <c r="K1427" s="207" t="s">
        <v>6156</v>
      </c>
      <c r="L1427" s="207" t="s">
        <v>6000</v>
      </c>
      <c r="M1427" s="207"/>
      <c r="N1427" s="207"/>
      <c r="O1427" s="207" t="s">
        <v>6066</v>
      </c>
      <c r="P1427" s="202"/>
      <c r="Q1427" s="216" t="s">
        <v>6067</v>
      </c>
      <c r="R1427" s="86"/>
      <c r="S1427" s="114">
        <f t="shared" ref="S1427:T1427" si="1428">A1427</f>
        <v>1427</v>
      </c>
      <c r="T1427" s="114" t="str">
        <f t="shared" si="1428"/>
        <v>دنیا رضوانی</v>
      </c>
      <c r="U1427" s="86" t="str">
        <f t="shared" si="3"/>
        <v>09011966055</v>
      </c>
      <c r="V1427" s="86" t="str">
        <f t="shared" si="4"/>
        <v>پیش‌وایی 12</v>
      </c>
      <c r="W1427" s="86"/>
      <c r="X1427" s="86"/>
    </row>
    <row r="1428">
      <c r="A1428" s="192">
        <v>1428.0</v>
      </c>
      <c r="B1428" s="199" t="s">
        <v>6157</v>
      </c>
      <c r="C1428" s="194" t="s">
        <v>6158</v>
      </c>
      <c r="D1428" s="195" t="str">
        <f>IFERROR(__xludf.DUMMYFUNCTION("ARRAYFORMULA(LET( converted, SUBSTITUTE( SUBSTITUTE( SUBSTITUTE( SUBSTITUTE( SUBSTITUTE( SUBSTITUTE( SUBSTITUTE( SUBSTITUTE( SUBSTITUTE( SUBSTITUTE( C1428, ""۰"", ""0""), ""۱"", ""1""), ""۲"", ""2""), ""۳"", ""3""), ""۴"", ""4""), ""۵"", ""5""), ""۶"", """&amp;"6""), ""۷"", ""7""), ""۸"", ""8""), ""۹"", ""9""), IF(LEFT(converted,3)=""+98"", ""0"" &amp; RIGHT(converted, LEN(converted)-3), IF(LEFT(converted,2)=""98"", ""0"" &amp; RIGHT(converted, LEN(converted)-2), IF(LEFT(converted,1)&lt;&gt;""0"", ""0"" &amp; converted, REGEXREPL"&amp;"ACE(converted , ""\s"", """")) ) ) ) )"),"09127331244")</f>
        <v>09127331244</v>
      </c>
      <c r="E1428" s="196" t="s">
        <v>17</v>
      </c>
      <c r="F1428" s="197">
        <v>12.0</v>
      </c>
      <c r="G1428" s="212" t="s">
        <v>746</v>
      </c>
      <c r="H1428" s="199" t="s">
        <v>6140</v>
      </c>
      <c r="I1428" s="217"/>
      <c r="J1428" s="217"/>
      <c r="K1428" s="199" t="s">
        <v>3523</v>
      </c>
      <c r="L1428" s="199" t="s">
        <v>4690</v>
      </c>
      <c r="M1428" s="199"/>
      <c r="N1428" s="199"/>
      <c r="O1428" s="199" t="s">
        <v>6066</v>
      </c>
      <c r="P1428" s="193"/>
      <c r="Q1428" s="218" t="s">
        <v>6067</v>
      </c>
      <c r="R1428" s="86"/>
      <c r="S1428" s="114">
        <f t="shared" ref="S1428:T1428" si="1429">A1428</f>
        <v>1428</v>
      </c>
      <c r="T1428" s="114" t="str">
        <f t="shared" si="1429"/>
        <v>سعیده حقیقی</v>
      </c>
      <c r="U1428" s="86" t="str">
        <f t="shared" si="3"/>
        <v>09127331244</v>
      </c>
      <c r="V1428" s="86" t="str">
        <f t="shared" si="4"/>
        <v>پیش‌وایی 12</v>
      </c>
      <c r="W1428" s="86"/>
      <c r="X1428" s="86"/>
    </row>
    <row r="1429">
      <c r="A1429" s="201">
        <v>1429.0</v>
      </c>
      <c r="B1429" s="207" t="s">
        <v>6159</v>
      </c>
      <c r="C1429" s="203" t="s">
        <v>6160</v>
      </c>
      <c r="D1429" s="204" t="str">
        <f>IFERROR(__xludf.DUMMYFUNCTION("ARRAYFORMULA(LET( converted, SUBSTITUTE( SUBSTITUTE( SUBSTITUTE( SUBSTITUTE( SUBSTITUTE( SUBSTITUTE( SUBSTITUTE( SUBSTITUTE( SUBSTITUTE( SUBSTITUTE( C1429, ""۰"", ""0""), ""۱"", ""1""), ""۲"", ""2""), ""۳"", ""3""), ""۴"", ""4""), ""۵"", ""5""), ""۶"", """&amp;"6""), ""۷"", ""7""), ""۸"", ""8""), ""۹"", ""9""), IF(LEFT(converted,3)=""+98"", ""0"" &amp; RIGHT(converted, LEN(converted)-3), IF(LEFT(converted,2)=""98"", ""0"" &amp; RIGHT(converted, LEN(converted)-2), IF(LEFT(converted,1)&lt;&gt;""0"", ""0"" &amp; converted, REGEXREPL"&amp;"ACE(converted , ""\s"", """")) ) ) ) )"),"09363109624")</f>
        <v>09363109624</v>
      </c>
      <c r="E1429" s="205" t="s">
        <v>17</v>
      </c>
      <c r="F1429" s="206">
        <v>12.0</v>
      </c>
      <c r="G1429" s="213" t="s">
        <v>746</v>
      </c>
      <c r="H1429" s="207" t="s">
        <v>6140</v>
      </c>
      <c r="I1429" s="215"/>
      <c r="J1429" s="215"/>
      <c r="K1429" s="207" t="s">
        <v>988</v>
      </c>
      <c r="L1429" s="207" t="s">
        <v>6161</v>
      </c>
      <c r="M1429" s="207"/>
      <c r="N1429" s="207"/>
      <c r="O1429" s="207" t="s">
        <v>6066</v>
      </c>
      <c r="P1429" s="202"/>
      <c r="Q1429" s="216" t="s">
        <v>6067</v>
      </c>
      <c r="R1429" s="86"/>
      <c r="S1429" s="114">
        <f t="shared" ref="S1429:T1429" si="1430">A1429</f>
        <v>1429</v>
      </c>
      <c r="T1429" s="114" t="str">
        <f t="shared" si="1430"/>
        <v>طناز حیدری نژاد</v>
      </c>
      <c r="U1429" s="86" t="str">
        <f t="shared" si="3"/>
        <v>09363109624</v>
      </c>
      <c r="V1429" s="86" t="str">
        <f t="shared" si="4"/>
        <v>پیش‌وایی 12</v>
      </c>
      <c r="W1429" s="86"/>
      <c r="X1429" s="86"/>
    </row>
    <row r="1430">
      <c r="A1430" s="192">
        <v>1430.0</v>
      </c>
      <c r="B1430" s="193" t="s">
        <v>6162</v>
      </c>
      <c r="C1430" s="194" t="s">
        <v>6163</v>
      </c>
      <c r="D1430" s="195" t="str">
        <f>IFERROR(__xludf.DUMMYFUNCTION("ARRAYFORMULA(LET( converted, SUBSTITUTE( SUBSTITUTE( SUBSTITUTE( SUBSTITUTE( SUBSTITUTE( SUBSTITUTE( SUBSTITUTE( SUBSTITUTE( SUBSTITUTE( SUBSTITUTE( C1430, ""۰"", ""0""), ""۱"", ""1""), ""۲"", ""2""), ""۳"", ""3""), ""۴"", ""4""), ""۵"", ""5""), ""۶"", """&amp;"6""), ""۷"", ""7""), ""۸"", ""8""), ""۹"", ""9""), IF(LEFT(converted,3)=""+98"", ""0"" &amp; RIGHT(converted, LEN(converted)-3), IF(LEFT(converted,2)=""98"", ""0"" &amp; RIGHT(converted, LEN(converted)-2), IF(LEFT(converted,1)&lt;&gt;""0"", ""0"" &amp; converted, REGEXREPL"&amp;"ACE(converted , ""\s"", """")) ) ) ) )"),"09383208842")</f>
        <v>09383208842</v>
      </c>
      <c r="E1430" s="196" t="s">
        <v>17</v>
      </c>
      <c r="F1430" s="197">
        <v>12.0</v>
      </c>
      <c r="G1430" s="212" t="s">
        <v>730</v>
      </c>
      <c r="H1430" s="212" t="s">
        <v>6164</v>
      </c>
      <c r="I1430" s="217"/>
      <c r="J1430" s="217"/>
      <c r="K1430" s="199" t="s">
        <v>1569</v>
      </c>
      <c r="L1430" s="199" t="s">
        <v>6165</v>
      </c>
      <c r="M1430" s="199"/>
      <c r="N1430" s="199"/>
      <c r="O1430" s="199" t="s">
        <v>6066</v>
      </c>
      <c r="P1430" s="193"/>
      <c r="Q1430" s="218" t="s">
        <v>6067</v>
      </c>
      <c r="R1430" s="86"/>
      <c r="S1430" s="114">
        <f t="shared" ref="S1430:T1430" si="1431">A1430</f>
        <v>1430</v>
      </c>
      <c r="T1430" s="114" t="str">
        <f t="shared" si="1431"/>
        <v>حسن باقرپور</v>
      </c>
      <c r="U1430" s="86" t="str">
        <f t="shared" si="3"/>
        <v>09383208842</v>
      </c>
      <c r="V1430" s="86" t="str">
        <f t="shared" si="4"/>
        <v>پیش‌وایی 12</v>
      </c>
      <c r="W1430" s="86"/>
      <c r="X1430" s="86"/>
    </row>
    <row r="1431">
      <c r="A1431" s="201">
        <v>1431.0</v>
      </c>
      <c r="B1431" s="202" t="s">
        <v>6166</v>
      </c>
      <c r="C1431" s="203" t="s">
        <v>6167</v>
      </c>
      <c r="D1431" s="204" t="str">
        <f>IFERROR(__xludf.DUMMYFUNCTION("ARRAYFORMULA(LET( converted, SUBSTITUTE( SUBSTITUTE( SUBSTITUTE( SUBSTITUTE( SUBSTITUTE( SUBSTITUTE( SUBSTITUTE( SUBSTITUTE( SUBSTITUTE( SUBSTITUTE( C1431, ""۰"", ""0""), ""۱"", ""1""), ""۲"", ""2""), ""۳"", ""3""), ""۴"", ""4""), ""۵"", ""5""), ""۶"", """&amp;"6""), ""۷"", ""7""), ""۸"", ""8""), ""۹"", ""9""), IF(LEFT(converted,3)=""+98"", ""0"" &amp; RIGHT(converted, LEN(converted)-3), IF(LEFT(converted,2)=""98"", ""0"" &amp; RIGHT(converted, LEN(converted)-2), IF(LEFT(converted,1)&lt;&gt;""0"", ""0"" &amp; converted, REGEXREPL"&amp;"ACE(converted , ""\s"", """")) ) ) ) )"),"09364985860")</f>
        <v>09364985860</v>
      </c>
      <c r="E1431" s="205" t="s">
        <v>17</v>
      </c>
      <c r="F1431" s="206">
        <v>12.0</v>
      </c>
      <c r="G1431" s="213" t="s">
        <v>746</v>
      </c>
      <c r="H1431" s="213" t="s">
        <v>6168</v>
      </c>
      <c r="I1431" s="215"/>
      <c r="J1431" s="215"/>
      <c r="K1431" s="207" t="s">
        <v>6169</v>
      </c>
      <c r="L1431" s="207" t="s">
        <v>2591</v>
      </c>
      <c r="M1431" s="207"/>
      <c r="N1431" s="207"/>
      <c r="O1431" s="207" t="s">
        <v>6066</v>
      </c>
      <c r="P1431" s="202"/>
      <c r="Q1431" s="216" t="s">
        <v>6067</v>
      </c>
      <c r="R1431" s="86"/>
      <c r="S1431" s="114">
        <f t="shared" ref="S1431:T1431" si="1432">A1431</f>
        <v>1431</v>
      </c>
      <c r="T1431" s="114" t="str">
        <f t="shared" si="1432"/>
        <v>فتانه مقدم</v>
      </c>
      <c r="U1431" s="86" t="str">
        <f t="shared" si="3"/>
        <v>09364985860</v>
      </c>
      <c r="V1431" s="86" t="str">
        <f t="shared" si="4"/>
        <v>پیش‌وایی 12</v>
      </c>
      <c r="W1431" s="86"/>
      <c r="X1431" s="86"/>
    </row>
    <row r="1432">
      <c r="A1432" s="192">
        <v>1432.0</v>
      </c>
      <c r="B1432" s="193" t="s">
        <v>5578</v>
      </c>
      <c r="C1432" s="194" t="s">
        <v>194</v>
      </c>
      <c r="D1432" s="195" t="str">
        <f>IFERROR(__xludf.DUMMYFUNCTION("ARRAYFORMULA(LET( converted, SUBSTITUTE( SUBSTITUTE( SUBSTITUTE( SUBSTITUTE( SUBSTITUTE( SUBSTITUTE( SUBSTITUTE( SUBSTITUTE( SUBSTITUTE( SUBSTITUTE( C1432, ""۰"", ""0""), ""۱"", ""1""), ""۲"", ""2""), ""۳"", ""3""), ""۴"", ""4""), ""۵"", ""5""), ""۶"", """&amp;"6""), ""۷"", ""7""), ""۸"", ""8""), ""۹"", ""9""), IF(LEFT(converted,3)=""+98"", ""0"" &amp; RIGHT(converted, LEN(converted)-3), IF(LEFT(converted,2)=""98"", ""0"" &amp; RIGHT(converted, LEN(converted)-2), IF(LEFT(converted,1)&lt;&gt;""0"", ""0"" &amp; converted, REGEXREPL"&amp;"ACE(converted , ""\s"", """")) ) ) ) )"),"09212792657")</f>
        <v>09212792657</v>
      </c>
      <c r="E1432" s="196" t="s">
        <v>17</v>
      </c>
      <c r="F1432" s="197">
        <v>12.0</v>
      </c>
      <c r="G1432" s="193"/>
      <c r="H1432" s="193"/>
      <c r="I1432" s="217"/>
      <c r="J1432" s="217"/>
      <c r="K1432" s="199" t="s">
        <v>192</v>
      </c>
      <c r="L1432" s="199" t="s">
        <v>193</v>
      </c>
      <c r="M1432" s="199"/>
      <c r="N1432" s="199"/>
      <c r="O1432" s="199" t="s">
        <v>6170</v>
      </c>
      <c r="P1432" s="193"/>
      <c r="Q1432" s="218" t="s">
        <v>6067</v>
      </c>
      <c r="R1432" s="86"/>
      <c r="S1432" s="114">
        <f t="shared" ref="S1432:T1432" si="1433">A1432</f>
        <v>1432</v>
      </c>
      <c r="T1432" s="114" t="str">
        <f t="shared" si="1433"/>
        <v>امیرحسین رضازاده</v>
      </c>
      <c r="U1432" s="86" t="str">
        <f t="shared" si="3"/>
        <v>09212792657</v>
      </c>
      <c r="V1432" s="86" t="str">
        <f t="shared" si="4"/>
        <v>پیش‌وایی 12</v>
      </c>
      <c r="W1432" s="86"/>
      <c r="X1432" s="86"/>
    </row>
    <row r="1433">
      <c r="A1433" s="201">
        <v>1433.0</v>
      </c>
      <c r="B1433" s="202" t="s">
        <v>6171</v>
      </c>
      <c r="C1433" s="203" t="s">
        <v>319</v>
      </c>
      <c r="D1433" s="204" t="str">
        <f>IFERROR(__xludf.DUMMYFUNCTION("ARRAYFORMULA(LET( converted, SUBSTITUTE( SUBSTITUTE( SUBSTITUTE( SUBSTITUTE( SUBSTITUTE( SUBSTITUTE( SUBSTITUTE( SUBSTITUTE( SUBSTITUTE( SUBSTITUTE( C1433, ""۰"", ""0""), ""۱"", ""1""), ""۲"", ""2""), ""۳"", ""3""), ""۴"", ""4""), ""۵"", ""5""), ""۶"", """&amp;"6""), ""۷"", ""7""), ""۸"", ""8""), ""۹"", ""9""), IF(LEFT(converted,3)=""+98"", ""0"" &amp; RIGHT(converted, LEN(converted)-3), IF(LEFT(converted,2)=""98"", ""0"" &amp; RIGHT(converted, LEN(converted)-2), IF(LEFT(converted,1)&lt;&gt;""0"", ""0"" &amp; converted, REGEXREPL"&amp;"ACE(converted , ""\s"", """")) ) ) ) )"),"09216045140")</f>
        <v>09216045140</v>
      </c>
      <c r="E1433" s="205" t="s">
        <v>17</v>
      </c>
      <c r="F1433" s="206">
        <v>12.0</v>
      </c>
      <c r="G1433" s="202"/>
      <c r="H1433" s="202"/>
      <c r="I1433" s="215"/>
      <c r="J1433" s="215"/>
      <c r="K1433" s="207" t="s">
        <v>317</v>
      </c>
      <c r="L1433" s="207" t="s">
        <v>318</v>
      </c>
      <c r="M1433" s="207"/>
      <c r="N1433" s="207"/>
      <c r="O1433" s="207" t="s">
        <v>6170</v>
      </c>
      <c r="P1433" s="202"/>
      <c r="Q1433" s="216" t="s">
        <v>6067</v>
      </c>
      <c r="R1433" s="86"/>
      <c r="S1433" s="114">
        <f t="shared" ref="S1433:T1433" si="1434">A1433</f>
        <v>1433</v>
      </c>
      <c r="T1433" s="114" t="str">
        <f t="shared" si="1434"/>
        <v>نسترن نعمتی</v>
      </c>
      <c r="U1433" s="86" t="str">
        <f t="shared" si="3"/>
        <v>09216045140</v>
      </c>
      <c r="V1433" s="86" t="str">
        <f t="shared" si="4"/>
        <v>پیش‌وایی 12</v>
      </c>
      <c r="W1433" s="86"/>
      <c r="X1433" s="86"/>
    </row>
    <row r="1434">
      <c r="A1434" s="192">
        <v>1434.0</v>
      </c>
      <c r="B1434" s="193" t="s">
        <v>6172</v>
      </c>
      <c r="C1434" s="194" t="s">
        <v>6173</v>
      </c>
      <c r="D1434" s="195" t="str">
        <f>IFERROR(__xludf.DUMMYFUNCTION("ARRAYFORMULA(LET( converted, SUBSTITUTE( SUBSTITUTE( SUBSTITUTE( SUBSTITUTE( SUBSTITUTE( SUBSTITUTE( SUBSTITUTE( SUBSTITUTE( SUBSTITUTE( SUBSTITUTE( C1434, ""۰"", ""0""), ""۱"", ""1""), ""۲"", ""2""), ""۳"", ""3""), ""۴"", ""4""), ""۵"", ""5""), ""۶"", """&amp;"6""), ""۷"", ""7""), ""۸"", ""8""), ""۹"", ""9""), IF(LEFT(converted,3)=""+98"", ""0"" &amp; RIGHT(converted, LEN(converted)-3), IF(LEFT(converted,2)=""98"", ""0"" &amp; RIGHT(converted, LEN(converted)-2), IF(LEFT(converted,1)&lt;&gt;""0"", ""0"" &amp; converted, REGEXREPL"&amp;"ACE(converted , ""\s"", """")) ) ) ) )"),"09225440574")</f>
        <v>09225440574</v>
      </c>
      <c r="E1434" s="196" t="s">
        <v>17</v>
      </c>
      <c r="F1434" s="197">
        <v>12.0</v>
      </c>
      <c r="G1434" s="193"/>
      <c r="H1434" s="193"/>
      <c r="I1434" s="217"/>
      <c r="J1434" s="217"/>
      <c r="K1434" s="199" t="s">
        <v>804</v>
      </c>
      <c r="L1434" s="199" t="s">
        <v>6174</v>
      </c>
      <c r="M1434" s="199"/>
      <c r="N1434" s="199"/>
      <c r="O1434" s="199" t="s">
        <v>6170</v>
      </c>
      <c r="P1434" s="193"/>
      <c r="Q1434" s="218" t="s">
        <v>6067</v>
      </c>
      <c r="R1434" s="86"/>
      <c r="S1434" s="114">
        <f t="shared" ref="S1434:T1434" si="1435">A1434</f>
        <v>1434</v>
      </c>
      <c r="T1434" s="114" t="str">
        <f t="shared" si="1435"/>
        <v>نیلوفر فردوسی</v>
      </c>
      <c r="U1434" s="86" t="str">
        <f t="shared" si="3"/>
        <v>09225440574</v>
      </c>
      <c r="V1434" s="86" t="str">
        <f t="shared" si="4"/>
        <v>پیش‌وایی 12</v>
      </c>
      <c r="W1434" s="86"/>
      <c r="X1434" s="86"/>
    </row>
    <row r="1435">
      <c r="A1435" s="201">
        <v>1435.0</v>
      </c>
      <c r="B1435" s="202" t="s">
        <v>6175</v>
      </c>
      <c r="C1435" s="203" t="s">
        <v>6176</v>
      </c>
      <c r="D1435" s="204" t="str">
        <f>IFERROR(__xludf.DUMMYFUNCTION("ARRAYFORMULA(LET( converted, SUBSTITUTE( SUBSTITUTE( SUBSTITUTE( SUBSTITUTE( SUBSTITUTE( SUBSTITUTE( SUBSTITUTE( SUBSTITUTE( SUBSTITUTE( SUBSTITUTE( C1435, ""۰"", ""0""), ""۱"", ""1""), ""۲"", ""2""), ""۳"", ""3""), ""۴"", ""4""), ""۵"", ""5""), ""۶"", """&amp;"6""), ""۷"", ""7""), ""۸"", ""8""), ""۹"", ""9""), IF(LEFT(converted,3)=""+98"", ""0"" &amp; RIGHT(converted, LEN(converted)-3), IF(LEFT(converted,2)=""98"", ""0"" &amp; RIGHT(converted, LEN(converted)-2), IF(LEFT(converted,1)&lt;&gt;""0"", ""0"" &amp; converted, REGEXREPL"&amp;"ACE(converted , ""\s"", """")) ) ) ) )"),"09377333546")</f>
        <v>09377333546</v>
      </c>
      <c r="E1435" s="205" t="s">
        <v>17</v>
      </c>
      <c r="F1435" s="206">
        <v>12.0</v>
      </c>
      <c r="G1435" s="202"/>
      <c r="H1435" s="202"/>
      <c r="I1435" s="215"/>
      <c r="J1435" s="215"/>
      <c r="K1435" s="207" t="s">
        <v>311</v>
      </c>
      <c r="L1435" s="207" t="s">
        <v>6177</v>
      </c>
      <c r="M1435" s="207"/>
      <c r="N1435" s="207"/>
      <c r="O1435" s="207" t="s">
        <v>6170</v>
      </c>
      <c r="P1435" s="202"/>
      <c r="Q1435" s="216" t="s">
        <v>6067</v>
      </c>
      <c r="R1435" s="86"/>
      <c r="S1435" s="114">
        <f t="shared" ref="S1435:T1435" si="1436">A1435</f>
        <v>1435</v>
      </c>
      <c r="T1435" s="114" t="str">
        <f t="shared" si="1436"/>
        <v>محسن خاکی</v>
      </c>
      <c r="U1435" s="86" t="str">
        <f t="shared" si="3"/>
        <v>09377333546</v>
      </c>
      <c r="V1435" s="86" t="str">
        <f t="shared" si="4"/>
        <v>پیش‌وایی 12</v>
      </c>
      <c r="W1435" s="86"/>
      <c r="X1435" s="86"/>
    </row>
    <row r="1436">
      <c r="A1436" s="192">
        <v>1436.0</v>
      </c>
      <c r="B1436" s="193" t="s">
        <v>6178</v>
      </c>
      <c r="C1436" s="194" t="s">
        <v>6179</v>
      </c>
      <c r="D1436" s="195" t="str">
        <f>IFERROR(__xludf.DUMMYFUNCTION("ARRAYFORMULA(LET( converted, SUBSTITUTE( SUBSTITUTE( SUBSTITUTE( SUBSTITUTE( SUBSTITUTE( SUBSTITUTE( SUBSTITUTE( SUBSTITUTE( SUBSTITUTE( SUBSTITUTE( C1436, ""۰"", ""0""), ""۱"", ""1""), ""۲"", ""2""), ""۳"", ""3""), ""۴"", ""4""), ""۵"", ""5""), ""۶"", """&amp;"6""), ""۷"", ""7""), ""۸"", ""8""), ""۹"", ""9""), IF(LEFT(converted,3)=""+98"", ""0"" &amp; RIGHT(converted, LEN(converted)-3), IF(LEFT(converted,2)=""98"", ""0"" &amp; RIGHT(converted, LEN(converted)-2), IF(LEFT(converted,1)&lt;&gt;""0"", ""0"" &amp; converted, REGEXREPL"&amp;"ACE(converted , ""\s"", """")) ) ) ) )"),"09363733923")</f>
        <v>09363733923</v>
      </c>
      <c r="E1436" s="196" t="s">
        <v>17</v>
      </c>
      <c r="F1436" s="197">
        <v>12.0</v>
      </c>
      <c r="G1436" s="193"/>
      <c r="H1436" s="193"/>
      <c r="I1436" s="217"/>
      <c r="J1436" s="217"/>
      <c r="K1436" s="199" t="s">
        <v>1398</v>
      </c>
      <c r="L1436" s="199" t="s">
        <v>3032</v>
      </c>
      <c r="M1436" s="199"/>
      <c r="N1436" s="199"/>
      <c r="O1436" s="199" t="s">
        <v>6170</v>
      </c>
      <c r="P1436" s="193"/>
      <c r="Q1436" s="218" t="s">
        <v>6067</v>
      </c>
      <c r="R1436" s="86"/>
      <c r="S1436" s="114">
        <f t="shared" ref="S1436:T1436" si="1437">A1436</f>
        <v>1436</v>
      </c>
      <c r="T1436" s="114" t="str">
        <f t="shared" si="1437"/>
        <v>زهرا نوروزی</v>
      </c>
      <c r="U1436" s="86" t="str">
        <f t="shared" si="3"/>
        <v>09363733923</v>
      </c>
      <c r="V1436" s="86" t="str">
        <f t="shared" si="4"/>
        <v>پیش‌وایی 12</v>
      </c>
      <c r="W1436" s="86"/>
      <c r="X1436" s="86"/>
    </row>
    <row r="1437">
      <c r="A1437" s="201">
        <v>1437.0</v>
      </c>
      <c r="B1437" s="202" t="s">
        <v>6180</v>
      </c>
      <c r="C1437" s="203" t="s">
        <v>6181</v>
      </c>
      <c r="D1437" s="204" t="str">
        <f>IFERROR(__xludf.DUMMYFUNCTION("ARRAYFORMULA(LET( converted, SUBSTITUTE( SUBSTITUTE( SUBSTITUTE( SUBSTITUTE( SUBSTITUTE( SUBSTITUTE( SUBSTITUTE( SUBSTITUTE( SUBSTITUTE( SUBSTITUTE( C1437, ""۰"", ""0""), ""۱"", ""1""), ""۲"", ""2""), ""۳"", ""3""), ""۴"", ""4""), ""۵"", ""5""), ""۶"", """&amp;"6""), ""۷"", ""7""), ""۸"", ""8""), ""۹"", ""9""), IF(LEFT(converted,3)=""+98"", ""0"" &amp; RIGHT(converted, LEN(converted)-3), IF(LEFT(converted,2)=""98"", ""0"" &amp; RIGHT(converted, LEN(converted)-2), IF(LEFT(converted,1)&lt;&gt;""0"", ""0"" &amp; converted, REGEXREPL"&amp;"ACE(converted , ""\s"", """")) ) ) ) )"),"09128949610")</f>
        <v>09128949610</v>
      </c>
      <c r="E1437" s="205" t="s">
        <v>17</v>
      </c>
      <c r="F1437" s="206">
        <v>12.0</v>
      </c>
      <c r="G1437" s="202"/>
      <c r="H1437" s="202"/>
      <c r="I1437" s="215"/>
      <c r="J1437" s="215"/>
      <c r="K1437" s="207" t="s">
        <v>1398</v>
      </c>
      <c r="L1437" s="207" t="s">
        <v>904</v>
      </c>
      <c r="M1437" s="207"/>
      <c r="N1437" s="207"/>
      <c r="O1437" s="207" t="s">
        <v>6170</v>
      </c>
      <c r="P1437" s="202"/>
      <c r="Q1437" s="216" t="s">
        <v>6067</v>
      </c>
      <c r="R1437" s="86"/>
      <c r="S1437" s="114">
        <f t="shared" ref="S1437:T1437" si="1438">A1437</f>
        <v>1437</v>
      </c>
      <c r="T1437" s="114" t="str">
        <f t="shared" si="1438"/>
        <v>زهرا ابراهیمی</v>
      </c>
      <c r="U1437" s="86" t="str">
        <f t="shared" si="3"/>
        <v>09128949610</v>
      </c>
      <c r="V1437" s="86" t="str">
        <f t="shared" si="4"/>
        <v>پیش‌وایی 12</v>
      </c>
      <c r="W1437" s="86"/>
      <c r="X1437" s="86"/>
    </row>
    <row r="1438">
      <c r="A1438" s="192">
        <v>1438.0</v>
      </c>
      <c r="B1438" s="193" t="s">
        <v>6182</v>
      </c>
      <c r="C1438" s="194" t="s">
        <v>6183</v>
      </c>
      <c r="D1438" s="195" t="str">
        <f>IFERROR(__xludf.DUMMYFUNCTION("ARRAYFORMULA(LET( converted, SUBSTITUTE( SUBSTITUTE( SUBSTITUTE( SUBSTITUTE( SUBSTITUTE( SUBSTITUTE( SUBSTITUTE( SUBSTITUTE( SUBSTITUTE( SUBSTITUTE( C1438, ""۰"", ""0""), ""۱"", ""1""), ""۲"", ""2""), ""۳"", ""3""), ""۴"", ""4""), ""۵"", ""5""), ""۶"", """&amp;"6""), ""۷"", ""7""), ""۸"", ""8""), ""۹"", ""9""), IF(LEFT(converted,3)=""+98"", ""0"" &amp; RIGHT(converted, LEN(converted)-3), IF(LEFT(converted,2)=""98"", ""0"" &amp; RIGHT(converted, LEN(converted)-2), IF(LEFT(converted,1)&lt;&gt;""0"", ""0"" &amp; converted, REGEXREPL"&amp;"ACE(converted , ""\s"", """")) ) ) ) )"),"09392808102")</f>
        <v>09392808102</v>
      </c>
      <c r="E1438" s="196" t="s">
        <v>17</v>
      </c>
      <c r="F1438" s="197">
        <v>12.0</v>
      </c>
      <c r="G1438" s="193"/>
      <c r="H1438" s="193"/>
      <c r="I1438" s="217"/>
      <c r="J1438" s="217"/>
      <c r="K1438" s="199" t="s">
        <v>5503</v>
      </c>
      <c r="L1438" s="199" t="s">
        <v>1128</v>
      </c>
      <c r="M1438" s="199"/>
      <c r="N1438" s="199"/>
      <c r="O1438" s="199" t="s">
        <v>6170</v>
      </c>
      <c r="P1438" s="193"/>
      <c r="Q1438" s="218" t="s">
        <v>6067</v>
      </c>
      <c r="R1438" s="86"/>
      <c r="S1438" s="114">
        <f t="shared" ref="S1438:T1438" si="1439">A1438</f>
        <v>1438</v>
      </c>
      <c r="T1438" s="114" t="str">
        <f t="shared" si="1439"/>
        <v>مهلا اسدی</v>
      </c>
      <c r="U1438" s="86" t="str">
        <f t="shared" si="3"/>
        <v>09392808102</v>
      </c>
      <c r="V1438" s="86" t="str">
        <f t="shared" si="4"/>
        <v>پیش‌وایی 12</v>
      </c>
      <c r="W1438" s="86"/>
      <c r="X1438" s="86"/>
    </row>
    <row r="1439">
      <c r="A1439" s="201">
        <v>1439.0</v>
      </c>
      <c r="B1439" s="202" t="s">
        <v>6184</v>
      </c>
      <c r="C1439" s="203" t="s">
        <v>6185</v>
      </c>
      <c r="D1439" s="204" t="str">
        <f>IFERROR(__xludf.DUMMYFUNCTION("ARRAYFORMULA(LET( converted, SUBSTITUTE( SUBSTITUTE( SUBSTITUTE( SUBSTITUTE( SUBSTITUTE( SUBSTITUTE( SUBSTITUTE( SUBSTITUTE( SUBSTITUTE( SUBSTITUTE( C1439, ""۰"", ""0""), ""۱"", ""1""), ""۲"", ""2""), ""۳"", ""3""), ""۴"", ""4""), ""۵"", ""5""), ""۶"", """&amp;"6""), ""۷"", ""7""), ""۸"", ""8""), ""۹"", ""9""), IF(LEFT(converted,3)=""+98"", ""0"" &amp; RIGHT(converted, LEN(converted)-3), IF(LEFT(converted,2)=""98"", ""0"" &amp; RIGHT(converted, LEN(converted)-2), IF(LEFT(converted,1)&lt;&gt;""0"", ""0"" &amp; converted, REGEXREPL"&amp;"ACE(converted , ""\s"", """")) ) ) ) )"),"09102705955")</f>
        <v>09102705955</v>
      </c>
      <c r="E1439" s="205" t="s">
        <v>17</v>
      </c>
      <c r="F1439" s="206">
        <v>12.0</v>
      </c>
      <c r="G1439" s="202"/>
      <c r="H1439" s="202"/>
      <c r="I1439" s="215"/>
      <c r="J1439" s="215"/>
      <c r="K1439" s="207" t="s">
        <v>1232</v>
      </c>
      <c r="L1439" s="207" t="s">
        <v>3288</v>
      </c>
      <c r="M1439" s="207"/>
      <c r="N1439" s="207"/>
      <c r="O1439" s="207" t="s">
        <v>6170</v>
      </c>
      <c r="P1439" s="202"/>
      <c r="Q1439" s="216" t="s">
        <v>6067</v>
      </c>
      <c r="R1439" s="86"/>
      <c r="S1439" s="114">
        <f t="shared" ref="S1439:T1439" si="1440">A1439</f>
        <v>1439</v>
      </c>
      <c r="T1439" s="114" t="str">
        <f t="shared" si="1440"/>
        <v>معصومه جعفرزاده</v>
      </c>
      <c r="U1439" s="86" t="str">
        <f t="shared" si="3"/>
        <v>09102705955</v>
      </c>
      <c r="V1439" s="86" t="str">
        <f t="shared" si="4"/>
        <v>پیش‌وایی 12</v>
      </c>
      <c r="W1439" s="86"/>
      <c r="X1439" s="86"/>
    </row>
    <row r="1440">
      <c r="A1440" s="192">
        <v>1440.0</v>
      </c>
      <c r="B1440" s="193" t="s">
        <v>6186</v>
      </c>
      <c r="C1440" s="194" t="s">
        <v>6187</v>
      </c>
      <c r="D1440" s="195" t="str">
        <f>IFERROR(__xludf.DUMMYFUNCTION("ARRAYFORMULA(LET( converted, SUBSTITUTE( SUBSTITUTE( SUBSTITUTE( SUBSTITUTE( SUBSTITUTE( SUBSTITUTE( SUBSTITUTE( SUBSTITUTE( SUBSTITUTE( SUBSTITUTE( C1440, ""۰"", ""0""), ""۱"", ""1""), ""۲"", ""2""), ""۳"", ""3""), ""۴"", ""4""), ""۵"", ""5""), ""۶"", """&amp;"6""), ""۷"", ""7""), ""۸"", ""8""), ""۹"", ""9""), IF(LEFT(converted,3)=""+98"", ""0"" &amp; RIGHT(converted, LEN(converted)-3), IF(LEFT(converted,2)=""98"", ""0"" &amp; RIGHT(converted, LEN(converted)-2), IF(LEFT(converted,1)&lt;&gt;""0"", ""0"" &amp; converted, REGEXREPL"&amp;"ACE(converted , ""\s"", """")) ) ) ) )"),"09210112150")</f>
        <v>09210112150</v>
      </c>
      <c r="E1440" s="196" t="s">
        <v>17</v>
      </c>
      <c r="F1440" s="197">
        <v>12.0</v>
      </c>
      <c r="G1440" s="193"/>
      <c r="H1440" s="193"/>
      <c r="I1440" s="217"/>
      <c r="J1440" s="217"/>
      <c r="K1440" s="199" t="s">
        <v>804</v>
      </c>
      <c r="L1440" s="199" t="s">
        <v>4503</v>
      </c>
      <c r="M1440" s="199"/>
      <c r="N1440" s="199"/>
      <c r="O1440" s="199" t="s">
        <v>6170</v>
      </c>
      <c r="P1440" s="193"/>
      <c r="Q1440" s="218" t="s">
        <v>6067</v>
      </c>
      <c r="R1440" s="86"/>
      <c r="S1440" s="114">
        <f t="shared" ref="S1440:T1440" si="1441">A1440</f>
        <v>1440</v>
      </c>
      <c r="T1440" s="114" t="str">
        <f t="shared" si="1441"/>
        <v>نیلوفر علیزاده</v>
      </c>
      <c r="U1440" s="86" t="str">
        <f t="shared" si="3"/>
        <v>09210112150</v>
      </c>
      <c r="V1440" s="86" t="str">
        <f t="shared" si="4"/>
        <v>پیش‌وایی 12</v>
      </c>
      <c r="W1440" s="86"/>
      <c r="X1440" s="86"/>
    </row>
    <row r="1441">
      <c r="A1441" s="201">
        <v>1441.0</v>
      </c>
      <c r="B1441" s="202" t="s">
        <v>6188</v>
      </c>
      <c r="C1441" s="203" t="s">
        <v>6189</v>
      </c>
      <c r="D1441" s="204" t="str">
        <f>IFERROR(__xludf.DUMMYFUNCTION("ARRAYFORMULA(LET( converted, SUBSTITUTE( SUBSTITUTE( SUBSTITUTE( SUBSTITUTE( SUBSTITUTE( SUBSTITUTE( SUBSTITUTE( SUBSTITUTE( SUBSTITUTE( SUBSTITUTE( C1441, ""۰"", ""0""), ""۱"", ""1""), ""۲"", ""2""), ""۳"", ""3""), ""۴"", ""4""), ""۵"", ""5""), ""۶"", """&amp;"6""), ""۷"", ""7""), ""۸"", ""8""), ""۹"", ""9""), IF(LEFT(converted,3)=""+98"", ""0"" &amp; RIGHT(converted, LEN(converted)-3), IF(LEFT(converted,2)=""98"", ""0"" &amp; RIGHT(converted, LEN(converted)-2), IF(LEFT(converted,1)&lt;&gt;""0"", ""0"" &amp; converted, REGEXREPL"&amp;"ACE(converted , ""\s"", """")) ) ) ) )"),"09302573489")</f>
        <v>09302573489</v>
      </c>
      <c r="E1441" s="205" t="s">
        <v>17</v>
      </c>
      <c r="F1441" s="206">
        <v>12.0</v>
      </c>
      <c r="G1441" s="202"/>
      <c r="H1441" s="202"/>
      <c r="I1441" s="215"/>
      <c r="J1441" s="215"/>
      <c r="K1441" s="207" t="s">
        <v>1678</v>
      </c>
      <c r="L1441" s="207" t="s">
        <v>6190</v>
      </c>
      <c r="M1441" s="207"/>
      <c r="N1441" s="207"/>
      <c r="O1441" s="207" t="s">
        <v>6170</v>
      </c>
      <c r="P1441" s="202"/>
      <c r="Q1441" s="216" t="s">
        <v>6067</v>
      </c>
      <c r="R1441" s="86"/>
      <c r="S1441" s="114">
        <f t="shared" ref="S1441:T1441" si="1442">A1441</f>
        <v>1441</v>
      </c>
      <c r="T1441" s="114" t="str">
        <f t="shared" si="1442"/>
        <v>امین وطن دوست</v>
      </c>
      <c r="U1441" s="86" t="str">
        <f t="shared" si="3"/>
        <v>09302573489</v>
      </c>
      <c r="V1441" s="86" t="str">
        <f t="shared" si="4"/>
        <v>پیش‌وایی 12</v>
      </c>
      <c r="W1441" s="86"/>
      <c r="X1441" s="86"/>
    </row>
    <row r="1442">
      <c r="A1442" s="192">
        <v>1442.0</v>
      </c>
      <c r="B1442" s="193" t="s">
        <v>6191</v>
      </c>
      <c r="C1442" s="194" t="s">
        <v>6192</v>
      </c>
      <c r="D1442" s="195" t="str">
        <f>IFERROR(__xludf.DUMMYFUNCTION("ARRAYFORMULA(LET( converted, SUBSTITUTE( SUBSTITUTE( SUBSTITUTE( SUBSTITUTE( SUBSTITUTE( SUBSTITUTE( SUBSTITUTE( SUBSTITUTE( SUBSTITUTE( SUBSTITUTE( C1442, ""۰"", ""0""), ""۱"", ""1""), ""۲"", ""2""), ""۳"", ""3""), ""۴"", ""4""), ""۵"", ""5""), ""۶"", """&amp;"6""), ""۷"", ""7""), ""۸"", ""8""), ""۹"", ""9""), IF(LEFT(converted,3)=""+98"", ""0"" &amp; RIGHT(converted, LEN(converted)-3), IF(LEFT(converted,2)=""98"", ""0"" &amp; RIGHT(converted, LEN(converted)-2), IF(LEFT(converted,1)&lt;&gt;""0"", ""0"" &amp; converted, REGEXREPL"&amp;"ACE(converted , ""\s"", """")) ) ) ) )"),"09107843118")</f>
        <v>09107843118</v>
      </c>
      <c r="E1442" s="196" t="s">
        <v>17</v>
      </c>
      <c r="F1442" s="197">
        <v>12.0</v>
      </c>
      <c r="G1442" s="193"/>
      <c r="H1442" s="193"/>
      <c r="I1442" s="217"/>
      <c r="J1442" s="217"/>
      <c r="K1442" s="199" t="s">
        <v>329</v>
      </c>
      <c r="L1442" s="199" t="s">
        <v>2500</v>
      </c>
      <c r="M1442" s="199"/>
      <c r="N1442" s="199"/>
      <c r="O1442" s="199" t="s">
        <v>6170</v>
      </c>
      <c r="P1442" s="193"/>
      <c r="Q1442" s="218" t="s">
        <v>6067</v>
      </c>
      <c r="R1442" s="86"/>
      <c r="S1442" s="114">
        <f t="shared" ref="S1442:T1442" si="1443">A1442</f>
        <v>1442</v>
      </c>
      <c r="T1442" s="114" t="str">
        <f t="shared" si="1443"/>
        <v>نگین شمس</v>
      </c>
      <c r="U1442" s="86" t="str">
        <f t="shared" si="3"/>
        <v>09107843118</v>
      </c>
      <c r="V1442" s="86" t="str">
        <f t="shared" si="4"/>
        <v>پیش‌وایی 12</v>
      </c>
      <c r="W1442" s="86"/>
      <c r="X1442" s="86"/>
    </row>
    <row r="1443">
      <c r="A1443" s="201">
        <v>1443.0</v>
      </c>
      <c r="B1443" s="202" t="s">
        <v>6193</v>
      </c>
      <c r="C1443" s="203" t="s">
        <v>6194</v>
      </c>
      <c r="D1443" s="204" t="str">
        <f>IFERROR(__xludf.DUMMYFUNCTION("ARRAYFORMULA(LET( converted, SUBSTITUTE( SUBSTITUTE( SUBSTITUTE( SUBSTITUTE( SUBSTITUTE( SUBSTITUTE( SUBSTITUTE( SUBSTITUTE( SUBSTITUTE( SUBSTITUTE( C1443, ""۰"", ""0""), ""۱"", ""1""), ""۲"", ""2""), ""۳"", ""3""), ""۴"", ""4""), ""۵"", ""5""), ""۶"", """&amp;"6""), ""۷"", ""7""), ""۸"", ""8""), ""۹"", ""9""), IF(LEFT(converted,3)=""+98"", ""0"" &amp; RIGHT(converted, LEN(converted)-3), IF(LEFT(converted,2)=""98"", ""0"" &amp; RIGHT(converted, LEN(converted)-2), IF(LEFT(converted,1)&lt;&gt;""0"", ""0"" &amp; converted, REGEXREPL"&amp;"ACE(converted , ""\s"", """")) ) ) ) )"),"09118806670")</f>
        <v>09118806670</v>
      </c>
      <c r="E1443" s="205" t="s">
        <v>17</v>
      </c>
      <c r="F1443" s="206">
        <v>12.0</v>
      </c>
      <c r="G1443" s="202"/>
      <c r="H1443" s="202"/>
      <c r="I1443" s="215"/>
      <c r="J1443" s="215"/>
      <c r="K1443" s="207" t="s">
        <v>3342</v>
      </c>
      <c r="L1443" s="207" t="s">
        <v>193</v>
      </c>
      <c r="M1443" s="207"/>
      <c r="N1443" s="207"/>
      <c r="O1443" s="207" t="s">
        <v>6170</v>
      </c>
      <c r="P1443" s="202"/>
      <c r="Q1443" s="216" t="s">
        <v>6067</v>
      </c>
      <c r="R1443" s="86"/>
      <c r="S1443" s="114">
        <f t="shared" ref="S1443:T1443" si="1444">A1443</f>
        <v>1443</v>
      </c>
      <c r="T1443" s="114" t="str">
        <f t="shared" si="1444"/>
        <v>حدیثه رضازاده</v>
      </c>
      <c r="U1443" s="86" t="str">
        <f t="shared" si="3"/>
        <v>09118806670</v>
      </c>
      <c r="V1443" s="86" t="str">
        <f t="shared" si="4"/>
        <v>پیش‌وایی 12</v>
      </c>
      <c r="W1443" s="86"/>
      <c r="X1443" s="86"/>
    </row>
    <row r="1444">
      <c r="A1444" s="192">
        <v>1444.0</v>
      </c>
      <c r="B1444" s="193" t="s">
        <v>6195</v>
      </c>
      <c r="C1444" s="194" t="s">
        <v>6196</v>
      </c>
      <c r="D1444" s="195" t="str">
        <f>IFERROR(__xludf.DUMMYFUNCTION("ARRAYFORMULA(LET( converted, SUBSTITUTE( SUBSTITUTE( SUBSTITUTE( SUBSTITUTE( SUBSTITUTE( SUBSTITUTE( SUBSTITUTE( SUBSTITUTE( SUBSTITUTE( SUBSTITUTE( C1444, ""۰"", ""0""), ""۱"", ""1""), ""۲"", ""2""), ""۳"", ""3""), ""۴"", ""4""), ""۵"", ""5""), ""۶"", """&amp;"6""), ""۷"", ""7""), ""۸"", ""8""), ""۹"", ""9""), IF(LEFT(converted,3)=""+98"", ""0"" &amp; RIGHT(converted, LEN(converted)-3), IF(LEFT(converted,2)=""98"", ""0"" &amp; RIGHT(converted, LEN(converted)-2), IF(LEFT(converted,1)&lt;&gt;""0"", ""0"" &amp; converted, REGEXREPL"&amp;"ACE(converted , ""\s"", """")) ) ) ) )"),"09912502800")</f>
        <v>09912502800</v>
      </c>
      <c r="E1444" s="196" t="s">
        <v>17</v>
      </c>
      <c r="F1444" s="197">
        <v>12.0</v>
      </c>
      <c r="G1444" s="212" t="s">
        <v>730</v>
      </c>
      <c r="H1444" s="212" t="s">
        <v>6197</v>
      </c>
      <c r="I1444" s="217"/>
      <c r="J1444" s="217"/>
      <c r="K1444" s="199" t="s">
        <v>2746</v>
      </c>
      <c r="L1444" s="199" t="s">
        <v>6198</v>
      </c>
      <c r="M1444" s="199"/>
      <c r="N1444" s="199"/>
      <c r="O1444" s="199" t="s">
        <v>6170</v>
      </c>
      <c r="P1444" s="193"/>
      <c r="Q1444" s="218" t="s">
        <v>6067</v>
      </c>
      <c r="R1444" s="86"/>
      <c r="S1444" s="114">
        <f t="shared" ref="S1444:T1444" si="1445">A1444</f>
        <v>1444</v>
      </c>
      <c r="T1444" s="114" t="str">
        <f t="shared" si="1445"/>
        <v>پارسا پهلوانی</v>
      </c>
      <c r="U1444" s="86" t="str">
        <f t="shared" si="3"/>
        <v>09912502800</v>
      </c>
      <c r="V1444" s="86" t="str">
        <f t="shared" si="4"/>
        <v>پیش‌وایی 12</v>
      </c>
      <c r="W1444" s="86"/>
      <c r="X1444" s="86"/>
    </row>
    <row r="1445">
      <c r="A1445" s="201">
        <v>1445.0</v>
      </c>
      <c r="B1445" s="202" t="s">
        <v>6199</v>
      </c>
      <c r="C1445" s="203" t="s">
        <v>6200</v>
      </c>
      <c r="D1445" s="204" t="str">
        <f>IFERROR(__xludf.DUMMYFUNCTION("ARRAYFORMULA(LET( converted, SUBSTITUTE( SUBSTITUTE( SUBSTITUTE( SUBSTITUTE( SUBSTITUTE( SUBSTITUTE( SUBSTITUTE( SUBSTITUTE( SUBSTITUTE( SUBSTITUTE( C1445, ""۰"", ""0""), ""۱"", ""1""), ""۲"", ""2""), ""۳"", ""3""), ""۴"", ""4""), ""۵"", ""5""), ""۶"", """&amp;"6""), ""۷"", ""7""), ""۸"", ""8""), ""۹"", ""9""), IF(LEFT(converted,3)=""+98"", ""0"" &amp; RIGHT(converted, LEN(converted)-3), IF(LEFT(converted,2)=""98"", ""0"" &amp; RIGHT(converted, LEN(converted)-2), IF(LEFT(converted,1)&lt;&gt;""0"", ""0"" &amp; converted, REGEXREPL"&amp;"ACE(converted , ""\s"", """")) ) ) ) )"),"09382625024")</f>
        <v>09382625024</v>
      </c>
      <c r="E1445" s="205" t="s">
        <v>17</v>
      </c>
      <c r="F1445" s="206">
        <v>12.0</v>
      </c>
      <c r="G1445" s="213" t="s">
        <v>746</v>
      </c>
      <c r="H1445" s="213" t="s">
        <v>6201</v>
      </c>
      <c r="I1445" s="215"/>
      <c r="J1445" s="215"/>
      <c r="K1445" s="207" t="s">
        <v>6202</v>
      </c>
      <c r="L1445" s="207" t="s">
        <v>6203</v>
      </c>
      <c r="M1445" s="207"/>
      <c r="N1445" s="207"/>
      <c r="O1445" s="207" t="s">
        <v>6170</v>
      </c>
      <c r="P1445" s="202"/>
      <c r="Q1445" s="216" t="s">
        <v>6067</v>
      </c>
      <c r="R1445" s="86"/>
      <c r="S1445" s="114">
        <f t="shared" ref="S1445:T1445" si="1446">A1445</f>
        <v>1445</v>
      </c>
      <c r="T1445" s="114" t="str">
        <f t="shared" si="1446"/>
        <v>فاطمه (عاطفه) اصغرزاده</v>
      </c>
      <c r="U1445" s="86" t="str">
        <f t="shared" si="3"/>
        <v>09382625024</v>
      </c>
      <c r="V1445" s="86" t="str">
        <f t="shared" si="4"/>
        <v>پیش‌وایی 12</v>
      </c>
      <c r="W1445" s="86"/>
      <c r="X1445" s="86"/>
    </row>
    <row r="1446">
      <c r="A1446" s="192">
        <v>1446.0</v>
      </c>
      <c r="B1446" s="193" t="s">
        <v>6204</v>
      </c>
      <c r="C1446" s="194" t="s">
        <v>6205</v>
      </c>
      <c r="D1446" s="195" t="str">
        <f>IFERROR(__xludf.DUMMYFUNCTION("ARRAYFORMULA(LET( converted, SUBSTITUTE( SUBSTITUTE( SUBSTITUTE( SUBSTITUTE( SUBSTITUTE( SUBSTITUTE( SUBSTITUTE( SUBSTITUTE( SUBSTITUTE( SUBSTITUTE( C1446, ""۰"", ""0""), ""۱"", ""1""), ""۲"", ""2""), ""۳"", ""3""), ""۴"", ""4""), ""۵"", ""5""), ""۶"", """&amp;"6""), ""۷"", ""7""), ""۸"", ""8""), ""۹"", ""9""), IF(LEFT(converted,3)=""+98"", ""0"" &amp; RIGHT(converted, LEN(converted)-3), IF(LEFT(converted,2)=""98"", ""0"" &amp; RIGHT(converted, LEN(converted)-2), IF(LEFT(converted,1)&lt;&gt;""0"", ""0"" &amp; converted, REGEXREPL"&amp;"ACE(converted , ""\s"", """")) ) ) ) )"),"09196828949")</f>
        <v>09196828949</v>
      </c>
      <c r="E1446" s="196" t="s">
        <v>17</v>
      </c>
      <c r="F1446" s="197">
        <v>12.0</v>
      </c>
      <c r="G1446" s="212" t="s">
        <v>730</v>
      </c>
      <c r="H1446" s="212" t="s">
        <v>6206</v>
      </c>
      <c r="I1446" s="217"/>
      <c r="J1446" s="217"/>
      <c r="K1446" s="199" t="s">
        <v>311</v>
      </c>
      <c r="L1446" s="199" t="s">
        <v>6207</v>
      </c>
      <c r="M1446" s="199"/>
      <c r="N1446" s="199"/>
      <c r="O1446" s="199" t="s">
        <v>6066</v>
      </c>
      <c r="P1446" s="193"/>
      <c r="Q1446" s="218" t="s">
        <v>6067</v>
      </c>
      <c r="R1446" s="86"/>
      <c r="S1446" s="114">
        <f t="shared" ref="S1446:T1446" si="1447">A1446</f>
        <v>1446</v>
      </c>
      <c r="T1446" s="114" t="str">
        <f t="shared" si="1447"/>
        <v>محسن به خوی</v>
      </c>
      <c r="U1446" s="86" t="str">
        <f t="shared" si="3"/>
        <v>09196828949</v>
      </c>
      <c r="V1446" s="86" t="str">
        <f t="shared" si="4"/>
        <v>پیش‌وایی 12</v>
      </c>
      <c r="W1446" s="86"/>
      <c r="X1446" s="86"/>
    </row>
    <row r="1447">
      <c r="A1447" s="201">
        <v>1447.0</v>
      </c>
      <c r="B1447" s="202" t="s">
        <v>6208</v>
      </c>
      <c r="C1447" s="203" t="s">
        <v>6209</v>
      </c>
      <c r="D1447" s="204" t="str">
        <f>IFERROR(__xludf.DUMMYFUNCTION("ARRAYFORMULA(LET( converted, SUBSTITUTE( SUBSTITUTE( SUBSTITUTE( SUBSTITUTE( SUBSTITUTE( SUBSTITUTE( SUBSTITUTE( SUBSTITUTE( SUBSTITUTE( SUBSTITUTE( C1447, ""۰"", ""0""), ""۱"", ""1""), ""۲"", ""2""), ""۳"", ""3""), ""۴"", ""4""), ""۵"", ""5""), ""۶"", """&amp;"6""), ""۷"", ""7""), ""۸"", ""8""), ""۹"", ""9""), IF(LEFT(converted,3)=""+98"", ""0"" &amp; RIGHT(converted, LEN(converted)-3), IF(LEFT(converted,2)=""98"", ""0"" &amp; RIGHT(converted, LEN(converted)-2), IF(LEFT(converted,1)&lt;&gt;""0"", ""0"" &amp; converted, REGEXREPL"&amp;"ACE(converted , ""\s"", """")) ) ) ) )"),"09223944967")</f>
        <v>09223944967</v>
      </c>
      <c r="E1447" s="205" t="s">
        <v>17</v>
      </c>
      <c r="F1447" s="206">
        <v>12.0</v>
      </c>
      <c r="G1447" s="213" t="s">
        <v>730</v>
      </c>
      <c r="H1447" s="213" t="s">
        <v>6210</v>
      </c>
      <c r="I1447" s="215"/>
      <c r="J1447" s="215"/>
      <c r="K1447" s="207" t="s">
        <v>6211</v>
      </c>
      <c r="L1447" s="207" t="s">
        <v>6212</v>
      </c>
      <c r="M1447" s="207"/>
      <c r="N1447" s="207"/>
      <c r="O1447" s="207" t="s">
        <v>6066</v>
      </c>
      <c r="P1447" s="202"/>
      <c r="Q1447" s="216" t="s">
        <v>6067</v>
      </c>
      <c r="R1447" s="86"/>
      <c r="S1447" s="114">
        <f t="shared" ref="S1447:T1447" si="1448">A1447</f>
        <v>1447</v>
      </c>
      <c r="T1447" s="114" t="str">
        <f t="shared" si="1448"/>
        <v>سید عطا ناقدی فر</v>
      </c>
      <c r="U1447" s="86" t="str">
        <f t="shared" si="3"/>
        <v>09223944967</v>
      </c>
      <c r="V1447" s="86" t="str">
        <f t="shared" si="4"/>
        <v>پیش‌وایی 12</v>
      </c>
      <c r="W1447" s="86"/>
      <c r="X1447" s="86"/>
    </row>
    <row r="1448">
      <c r="A1448" s="192">
        <v>1448.0</v>
      </c>
      <c r="B1448" s="193" t="s">
        <v>5476</v>
      </c>
      <c r="C1448" s="194" t="s">
        <v>6213</v>
      </c>
      <c r="D1448" s="195" t="str">
        <f>IFERROR(__xludf.DUMMYFUNCTION("ARRAYFORMULA(LET( converted, SUBSTITUTE( SUBSTITUTE( SUBSTITUTE( SUBSTITUTE( SUBSTITUTE( SUBSTITUTE( SUBSTITUTE( SUBSTITUTE( SUBSTITUTE( SUBSTITUTE( C1448, ""۰"", ""0""), ""۱"", ""1""), ""۲"", ""2""), ""۳"", ""3""), ""۴"", ""4""), ""۵"", ""5""), ""۶"", """&amp;"6""), ""۷"", ""7""), ""۸"", ""8""), ""۹"", ""9""), IF(LEFT(converted,3)=""+98"", ""0"" &amp; RIGHT(converted, LEN(converted)-3), IF(LEFT(converted,2)=""98"", ""0"" &amp; RIGHT(converted, LEN(converted)-2), IF(LEFT(converted,1)&lt;&gt;""0"", ""0"" &amp; converted, REGEXREPL"&amp;"ACE(converted , ""\s"", """")) ) ) ) )"),"09122361023")</f>
        <v>09122361023</v>
      </c>
      <c r="E1448" s="196" t="s">
        <v>17</v>
      </c>
      <c r="F1448" s="197">
        <v>12.0</v>
      </c>
      <c r="G1448" s="212" t="s">
        <v>730</v>
      </c>
      <c r="H1448" s="212" t="s">
        <v>4896</v>
      </c>
      <c r="I1448" s="217"/>
      <c r="J1448" s="217"/>
      <c r="K1448" s="199" t="s">
        <v>5478</v>
      </c>
      <c r="L1448" s="199" t="s">
        <v>1934</v>
      </c>
      <c r="M1448" s="199"/>
      <c r="N1448" s="199"/>
      <c r="O1448" s="199" t="s">
        <v>6066</v>
      </c>
      <c r="P1448" s="193"/>
      <c r="Q1448" s="218" t="s">
        <v>6067</v>
      </c>
      <c r="R1448" s="86"/>
      <c r="S1448" s="114">
        <f t="shared" ref="S1448:T1448" si="1449">A1448</f>
        <v>1448</v>
      </c>
      <c r="T1448" s="114" t="str">
        <f t="shared" si="1449"/>
        <v>سیدعلیرضا نجفی</v>
      </c>
      <c r="U1448" s="86" t="str">
        <f t="shared" si="3"/>
        <v>09122361023</v>
      </c>
      <c r="V1448" s="86" t="str">
        <f t="shared" si="4"/>
        <v>پیش‌وایی 12</v>
      </c>
      <c r="W1448" s="86"/>
      <c r="X1448" s="86"/>
    </row>
    <row r="1449">
      <c r="A1449" s="201">
        <v>1449.0</v>
      </c>
      <c r="B1449" s="202" t="s">
        <v>6214</v>
      </c>
      <c r="C1449" s="203" t="s">
        <v>6215</v>
      </c>
      <c r="D1449" s="204" t="str">
        <f>IFERROR(__xludf.DUMMYFUNCTION("ARRAYFORMULA(LET( converted, SUBSTITUTE( SUBSTITUTE( SUBSTITUTE( SUBSTITUTE( SUBSTITUTE( SUBSTITUTE( SUBSTITUTE( SUBSTITUTE( SUBSTITUTE( SUBSTITUTE( C1449, ""۰"", ""0""), ""۱"", ""1""), ""۲"", ""2""), ""۳"", ""3""), ""۴"", ""4""), ""۵"", ""5""), ""۶"", """&amp;"6""), ""۷"", ""7""), ""۸"", ""8""), ""۹"", ""9""), IF(LEFT(converted,3)=""+98"", ""0"" &amp; RIGHT(converted, LEN(converted)-3), IF(LEFT(converted,2)=""98"", ""0"" &amp; RIGHT(converted, LEN(converted)-2), IF(LEFT(converted,1)&lt;&gt;""0"", ""0"" &amp; converted, REGEXREPL"&amp;"ACE(converted , ""\s"", """")) ) ) ) )"),"091234707119359338520")</f>
        <v>091234707119359338520</v>
      </c>
      <c r="E1449" s="205" t="s">
        <v>17</v>
      </c>
      <c r="F1449" s="206">
        <v>12.0</v>
      </c>
      <c r="G1449" s="213" t="s">
        <v>730</v>
      </c>
      <c r="H1449" s="213" t="s">
        <v>6216</v>
      </c>
      <c r="I1449" s="215"/>
      <c r="J1449" s="215"/>
      <c r="K1449" s="207" t="s">
        <v>307</v>
      </c>
      <c r="L1449" s="207" t="s">
        <v>6217</v>
      </c>
      <c r="M1449" s="207"/>
      <c r="N1449" s="207"/>
      <c r="O1449" s="207" t="s">
        <v>6066</v>
      </c>
      <c r="P1449" s="202"/>
      <c r="Q1449" s="216" t="s">
        <v>6067</v>
      </c>
      <c r="R1449" s="86"/>
      <c r="S1449" s="114">
        <f t="shared" ref="S1449:T1449" si="1450">A1449</f>
        <v>1449</v>
      </c>
      <c r="T1449" s="114" t="str">
        <f t="shared" si="1450"/>
        <v>محمدرضا اسپرغم</v>
      </c>
      <c r="U1449" s="86" t="str">
        <f t="shared" si="3"/>
        <v>091234707119359338520</v>
      </c>
      <c r="V1449" s="86" t="str">
        <f t="shared" si="4"/>
        <v>پیش‌وایی 12</v>
      </c>
      <c r="W1449" s="86"/>
      <c r="X1449" s="86"/>
    </row>
    <row r="1450">
      <c r="A1450" s="192">
        <v>1450.0</v>
      </c>
      <c r="B1450" s="193" t="s">
        <v>6218</v>
      </c>
      <c r="C1450" s="194" t="s">
        <v>6219</v>
      </c>
      <c r="D1450" s="195" t="str">
        <f>IFERROR(__xludf.DUMMYFUNCTION("ARRAYFORMULA(LET( converted, SUBSTITUTE( SUBSTITUTE( SUBSTITUTE( SUBSTITUTE( SUBSTITUTE( SUBSTITUTE( SUBSTITUTE( SUBSTITUTE( SUBSTITUTE( SUBSTITUTE( C1450, ""۰"", ""0""), ""۱"", ""1""), ""۲"", ""2""), ""۳"", ""3""), ""۴"", ""4""), ""۵"", ""5""), ""۶"", """&amp;"6""), ""۷"", ""7""), ""۸"", ""8""), ""۹"", ""9""), IF(LEFT(converted,3)=""+98"", ""0"" &amp; RIGHT(converted, LEN(converted)-3), IF(LEFT(converted,2)=""98"", ""0"" &amp; RIGHT(converted, LEN(converted)-2), IF(LEFT(converted,1)&lt;&gt;""0"", ""0"" &amp; converted, REGEXREPL"&amp;"ACE(converted , ""\s"", """")) ) ) ) )"),"09306430828")</f>
        <v>09306430828</v>
      </c>
      <c r="E1450" s="196" t="s">
        <v>17</v>
      </c>
      <c r="F1450" s="197">
        <v>12.0</v>
      </c>
      <c r="G1450" s="212" t="s">
        <v>730</v>
      </c>
      <c r="H1450" s="193"/>
      <c r="I1450" s="217"/>
      <c r="J1450" s="217"/>
      <c r="K1450" s="199" t="s">
        <v>960</v>
      </c>
      <c r="L1450" s="199" t="s">
        <v>6220</v>
      </c>
      <c r="M1450" s="199"/>
      <c r="N1450" s="199"/>
      <c r="O1450" s="199" t="s">
        <v>6066</v>
      </c>
      <c r="P1450" s="193"/>
      <c r="Q1450" s="218" t="s">
        <v>6067</v>
      </c>
      <c r="R1450" s="86"/>
      <c r="S1450" s="114">
        <f t="shared" ref="S1450:T1450" si="1451">A1450</f>
        <v>1450</v>
      </c>
      <c r="T1450" s="114" t="str">
        <f t="shared" si="1451"/>
        <v>احمد پاشای</v>
      </c>
      <c r="U1450" s="86" t="str">
        <f t="shared" si="3"/>
        <v>09306430828</v>
      </c>
      <c r="V1450" s="86" t="str">
        <f t="shared" si="4"/>
        <v>پیش‌وایی 12</v>
      </c>
      <c r="W1450" s="86"/>
      <c r="X1450" s="86"/>
    </row>
    <row r="1451">
      <c r="A1451" s="201">
        <v>1451.0</v>
      </c>
      <c r="B1451" s="202" t="s">
        <v>6221</v>
      </c>
      <c r="C1451" s="203" t="s">
        <v>6222</v>
      </c>
      <c r="D1451" s="204" t="str">
        <f>IFERROR(__xludf.DUMMYFUNCTION("ARRAYFORMULA(LET( converted, SUBSTITUTE( SUBSTITUTE( SUBSTITUTE( SUBSTITUTE( SUBSTITUTE( SUBSTITUTE( SUBSTITUTE( SUBSTITUTE( SUBSTITUTE( SUBSTITUTE( C1451, ""۰"", ""0""), ""۱"", ""1""), ""۲"", ""2""), ""۳"", ""3""), ""۴"", ""4""), ""۵"", ""5""), ""۶"", """&amp;"6""), ""۷"", ""7""), ""۸"", ""8""), ""۹"", ""9""), IF(LEFT(converted,3)=""+98"", ""0"" &amp; RIGHT(converted, LEN(converted)-3), IF(LEFT(converted,2)=""98"", ""0"" &amp; RIGHT(converted, LEN(converted)-2), IF(LEFT(converted,1)&lt;&gt;""0"", ""0"" &amp; converted, REGEXREPL"&amp;"ACE(converted , ""\s"", """")) ) ) ) )"),"09395472004")</f>
        <v>09395472004</v>
      </c>
      <c r="E1451" s="205" t="s">
        <v>17</v>
      </c>
      <c r="F1451" s="206">
        <v>12.0</v>
      </c>
      <c r="G1451" s="213" t="s">
        <v>730</v>
      </c>
      <c r="H1451" s="213" t="s">
        <v>6223</v>
      </c>
      <c r="I1451" s="215"/>
      <c r="J1451" s="215"/>
      <c r="K1451" s="207" t="s">
        <v>307</v>
      </c>
      <c r="L1451" s="207" t="s">
        <v>3288</v>
      </c>
      <c r="M1451" s="207"/>
      <c r="N1451" s="207"/>
      <c r="O1451" s="207" t="s">
        <v>6066</v>
      </c>
      <c r="P1451" s="202"/>
      <c r="Q1451" s="216" t="s">
        <v>6067</v>
      </c>
      <c r="R1451" s="86"/>
      <c r="S1451" s="114">
        <f t="shared" ref="S1451:T1451" si="1452">A1451</f>
        <v>1451</v>
      </c>
      <c r="T1451" s="114" t="str">
        <f t="shared" si="1452"/>
        <v>محمدرضا جعفرزاده</v>
      </c>
      <c r="U1451" s="86" t="str">
        <f t="shared" si="3"/>
        <v>09395472004</v>
      </c>
      <c r="V1451" s="86" t="str">
        <f t="shared" si="4"/>
        <v>پیش‌وایی 12</v>
      </c>
      <c r="W1451" s="86"/>
      <c r="X1451" s="86"/>
    </row>
    <row r="1452">
      <c r="A1452" s="192">
        <v>1452.0</v>
      </c>
      <c r="B1452" s="193" t="s">
        <v>6224</v>
      </c>
      <c r="C1452" s="194" t="s">
        <v>6225</v>
      </c>
      <c r="D1452" s="195" t="str">
        <f>IFERROR(__xludf.DUMMYFUNCTION("ARRAYFORMULA(LET( converted, SUBSTITUTE( SUBSTITUTE( SUBSTITUTE( SUBSTITUTE( SUBSTITUTE( SUBSTITUTE( SUBSTITUTE( SUBSTITUTE( SUBSTITUTE( SUBSTITUTE( C1452, ""۰"", ""0""), ""۱"", ""1""), ""۲"", ""2""), ""۳"", ""3""), ""۴"", ""4""), ""۵"", ""5""), ""۶"", """&amp;"6""), ""۷"", ""7""), ""۸"", ""8""), ""۹"", ""9""), IF(LEFT(converted,3)=""+98"", ""0"" &amp; RIGHT(converted, LEN(converted)-3), IF(LEFT(converted,2)=""98"", ""0"" &amp; RIGHT(converted, LEN(converted)-2), IF(LEFT(converted,1)&lt;&gt;""0"", ""0"" &amp; converted, REGEXREPL"&amp;"ACE(converted , ""\s"", """")) ) ) ) )"),"09122208940")</f>
        <v>09122208940</v>
      </c>
      <c r="E1452" s="196" t="s">
        <v>17</v>
      </c>
      <c r="F1452" s="197">
        <v>12.0</v>
      </c>
      <c r="G1452" s="212" t="s">
        <v>746</v>
      </c>
      <c r="H1452" s="212" t="s">
        <v>6226</v>
      </c>
      <c r="I1452" s="217"/>
      <c r="J1452" s="217"/>
      <c r="K1452" s="199" t="s">
        <v>211</v>
      </c>
      <c r="L1452" s="199" t="s">
        <v>6227</v>
      </c>
      <c r="M1452" s="199"/>
      <c r="N1452" s="199"/>
      <c r="O1452" s="199" t="s">
        <v>6066</v>
      </c>
      <c r="P1452" s="193"/>
      <c r="Q1452" s="218" t="s">
        <v>6067</v>
      </c>
      <c r="R1452" s="86"/>
      <c r="S1452" s="114">
        <f t="shared" ref="S1452:T1452" si="1453">A1452</f>
        <v>1452</v>
      </c>
      <c r="T1452" s="114" t="str">
        <f t="shared" si="1453"/>
        <v>مرجان ناقور</v>
      </c>
      <c r="U1452" s="86" t="str">
        <f t="shared" si="3"/>
        <v>09122208940</v>
      </c>
      <c r="V1452" s="86" t="str">
        <f t="shared" si="4"/>
        <v>پیش‌وایی 12</v>
      </c>
      <c r="W1452" s="86"/>
      <c r="X1452" s="86"/>
    </row>
    <row r="1453">
      <c r="A1453" s="201">
        <v>1453.0</v>
      </c>
      <c r="B1453" s="202" t="s">
        <v>6228</v>
      </c>
      <c r="C1453" s="203" t="s">
        <v>6229</v>
      </c>
      <c r="D1453" s="204" t="str">
        <f>IFERROR(__xludf.DUMMYFUNCTION("ARRAYFORMULA(LET( converted, SUBSTITUTE( SUBSTITUTE( SUBSTITUTE( SUBSTITUTE( SUBSTITUTE( SUBSTITUTE( SUBSTITUTE( SUBSTITUTE( SUBSTITUTE( SUBSTITUTE( C1453, ""۰"", ""0""), ""۱"", ""1""), ""۲"", ""2""), ""۳"", ""3""), ""۴"", ""4""), ""۵"", ""5""), ""۶"", """&amp;"6""), ""۷"", ""7""), ""۸"", ""8""), ""۹"", ""9""), IF(LEFT(converted,3)=""+98"", ""0"" &amp; RIGHT(converted, LEN(converted)-3), IF(LEFT(converted,2)=""98"", ""0"" &amp; RIGHT(converted, LEN(converted)-2), IF(LEFT(converted,1)&lt;&gt;""0"", ""0"" &amp; converted, REGEXREPL"&amp;"ACE(converted , ""\s"", """")) ) ) ) )"),"09366034283")</f>
        <v>09366034283</v>
      </c>
      <c r="E1453" s="205" t="s">
        <v>17</v>
      </c>
      <c r="F1453" s="206">
        <v>12.0</v>
      </c>
      <c r="G1453" s="213" t="s">
        <v>746</v>
      </c>
      <c r="H1453" s="213" t="s">
        <v>6230</v>
      </c>
      <c r="I1453" s="215"/>
      <c r="J1453" s="215"/>
      <c r="K1453" s="207" t="s">
        <v>1232</v>
      </c>
      <c r="L1453" s="207" t="s">
        <v>6231</v>
      </c>
      <c r="M1453" s="207"/>
      <c r="N1453" s="207"/>
      <c r="O1453" s="207" t="s">
        <v>6066</v>
      </c>
      <c r="P1453" s="202"/>
      <c r="Q1453" s="216" t="s">
        <v>6067</v>
      </c>
      <c r="R1453" s="86"/>
      <c r="S1453" s="114">
        <f t="shared" ref="S1453:T1453" si="1454">A1453</f>
        <v>1453</v>
      </c>
      <c r="T1453" s="114" t="str">
        <f t="shared" si="1454"/>
        <v>معصومه نصرآبادی</v>
      </c>
      <c r="U1453" s="86" t="str">
        <f t="shared" si="3"/>
        <v>09366034283</v>
      </c>
      <c r="V1453" s="86" t="str">
        <f t="shared" si="4"/>
        <v>پیش‌وایی 12</v>
      </c>
      <c r="W1453" s="86"/>
      <c r="X1453" s="86"/>
    </row>
    <row r="1454">
      <c r="A1454" s="192">
        <v>1454.0</v>
      </c>
      <c r="B1454" s="193" t="s">
        <v>6232</v>
      </c>
      <c r="C1454" s="194" t="s">
        <v>6233</v>
      </c>
      <c r="D1454" s="195" t="str">
        <f>IFERROR(__xludf.DUMMYFUNCTION("ARRAYFORMULA(LET( converted, SUBSTITUTE( SUBSTITUTE( SUBSTITUTE( SUBSTITUTE( SUBSTITUTE( SUBSTITUTE( SUBSTITUTE( SUBSTITUTE( SUBSTITUTE( SUBSTITUTE( C1454, ""۰"", ""0""), ""۱"", ""1""), ""۲"", ""2""), ""۳"", ""3""), ""۴"", ""4""), ""۵"", ""5""), ""۶"", """&amp;"6""), ""۷"", ""7""), ""۸"", ""8""), ""۹"", ""9""), IF(LEFT(converted,3)=""+98"", ""0"" &amp; RIGHT(converted, LEN(converted)-3), IF(LEFT(converted,2)=""98"", ""0"" &amp; RIGHT(converted, LEN(converted)-2), IF(LEFT(converted,1)&lt;&gt;""0"", ""0"" &amp; converted, REGEXREPL"&amp;"ACE(converted , ""\s"", """")) ) ) ) )"),"09127118364")</f>
        <v>09127118364</v>
      </c>
      <c r="E1454" s="196" t="s">
        <v>17</v>
      </c>
      <c r="F1454" s="197">
        <v>12.0</v>
      </c>
      <c r="G1454" s="212" t="s">
        <v>746</v>
      </c>
      <c r="H1454" s="212" t="s">
        <v>6234</v>
      </c>
      <c r="I1454" s="217"/>
      <c r="J1454" s="217"/>
      <c r="K1454" s="199" t="s">
        <v>1366</v>
      </c>
      <c r="L1454" s="199" t="s">
        <v>6235</v>
      </c>
      <c r="M1454" s="199"/>
      <c r="N1454" s="199"/>
      <c r="O1454" s="199" t="s">
        <v>6066</v>
      </c>
      <c r="P1454" s="193"/>
      <c r="Q1454" s="218" t="s">
        <v>6067</v>
      </c>
      <c r="R1454" s="86"/>
      <c r="S1454" s="114">
        <f t="shared" ref="S1454:T1454" si="1455">A1454</f>
        <v>1454</v>
      </c>
      <c r="T1454" s="114" t="str">
        <f t="shared" si="1455"/>
        <v>فروغ ذاکرمشفق</v>
      </c>
      <c r="U1454" s="86" t="str">
        <f t="shared" si="3"/>
        <v>09127118364</v>
      </c>
      <c r="V1454" s="86" t="str">
        <f t="shared" si="4"/>
        <v>پیش‌وایی 12</v>
      </c>
      <c r="W1454" s="86"/>
      <c r="X1454" s="86"/>
    </row>
    <row r="1455">
      <c r="A1455" s="201">
        <v>1455.0</v>
      </c>
      <c r="B1455" s="202" t="s">
        <v>6236</v>
      </c>
      <c r="C1455" s="203" t="s">
        <v>6237</v>
      </c>
      <c r="D1455" s="204" t="str">
        <f>IFERROR(__xludf.DUMMYFUNCTION("ARRAYFORMULA(LET( converted, SUBSTITUTE( SUBSTITUTE( SUBSTITUTE( SUBSTITUTE( SUBSTITUTE( SUBSTITUTE( SUBSTITUTE( SUBSTITUTE( SUBSTITUTE( SUBSTITUTE( C1455, ""۰"", ""0""), ""۱"", ""1""), ""۲"", ""2""), ""۳"", ""3""), ""۴"", ""4""), ""۵"", ""5""), ""۶"", """&amp;"6""), ""۷"", ""7""), ""۸"", ""8""), ""۹"", ""9""), IF(LEFT(converted,3)=""+98"", ""0"" &amp; RIGHT(converted, LEN(converted)-3), IF(LEFT(converted,2)=""98"", ""0"" &amp; RIGHT(converted, LEN(converted)-2), IF(LEFT(converted,1)&lt;&gt;""0"", ""0"" &amp; converted, REGEXREPL"&amp;"ACE(converted , ""\s"", """")) ) ) ) )"),"09224428642")</f>
        <v>09224428642</v>
      </c>
      <c r="E1455" s="205" t="s">
        <v>17</v>
      </c>
      <c r="F1455" s="206">
        <v>12.0</v>
      </c>
      <c r="G1455" s="213" t="s">
        <v>730</v>
      </c>
      <c r="H1455" s="213" t="s">
        <v>6238</v>
      </c>
      <c r="I1455" s="215"/>
      <c r="J1455" s="215"/>
      <c r="K1455" s="207" t="s">
        <v>4397</v>
      </c>
      <c r="L1455" s="207" t="s">
        <v>1019</v>
      </c>
      <c r="M1455" s="207"/>
      <c r="N1455" s="207"/>
      <c r="O1455" s="207" t="s">
        <v>6066</v>
      </c>
      <c r="P1455" s="202"/>
      <c r="Q1455" s="216" t="s">
        <v>6067</v>
      </c>
      <c r="R1455" s="86"/>
      <c r="S1455" s="114">
        <f t="shared" ref="S1455:T1455" si="1456">A1455</f>
        <v>1455</v>
      </c>
      <c r="T1455" s="114" t="str">
        <f t="shared" si="1456"/>
        <v>عرشیا احمدی</v>
      </c>
      <c r="U1455" s="86" t="str">
        <f t="shared" si="3"/>
        <v>09224428642</v>
      </c>
      <c r="V1455" s="86" t="str">
        <f t="shared" si="4"/>
        <v>پیش‌وایی 12</v>
      </c>
      <c r="W1455" s="86"/>
      <c r="X1455" s="86"/>
    </row>
    <row r="1456">
      <c r="A1456" s="192">
        <v>1456.0</v>
      </c>
      <c r="B1456" s="193" t="s">
        <v>6239</v>
      </c>
      <c r="C1456" s="194" t="s">
        <v>6240</v>
      </c>
      <c r="D1456" s="195" t="str">
        <f>IFERROR(__xludf.DUMMYFUNCTION("ARRAYFORMULA(LET( converted, SUBSTITUTE( SUBSTITUTE( SUBSTITUTE( SUBSTITUTE( SUBSTITUTE( SUBSTITUTE( SUBSTITUTE( SUBSTITUTE( SUBSTITUTE( SUBSTITUTE( C1456, ""۰"", ""0""), ""۱"", ""1""), ""۲"", ""2""), ""۳"", ""3""), ""۴"", ""4""), ""۵"", ""5""), ""۶"", """&amp;"6""), ""۷"", ""7""), ""۸"", ""8""), ""۹"", ""9""), IF(LEFT(converted,3)=""+98"", ""0"" &amp; RIGHT(converted, LEN(converted)-3), IF(LEFT(converted,2)=""98"", ""0"" &amp; RIGHT(converted, LEN(converted)-2), IF(LEFT(converted,1)&lt;&gt;""0"", ""0"" &amp; converted, REGEXREPL"&amp;"ACE(converted , ""\s"", """")) ) ) ) )"),"09197209133")</f>
        <v>09197209133</v>
      </c>
      <c r="E1456" s="196" t="s">
        <v>17</v>
      </c>
      <c r="F1456" s="197">
        <v>12.0</v>
      </c>
      <c r="G1456" s="212" t="s">
        <v>746</v>
      </c>
      <c r="H1456" s="212" t="s">
        <v>6241</v>
      </c>
      <c r="I1456" s="217"/>
      <c r="J1456" s="217"/>
      <c r="K1456" s="199" t="s">
        <v>274</v>
      </c>
      <c r="L1456" s="199" t="s">
        <v>1811</v>
      </c>
      <c r="M1456" s="199"/>
      <c r="N1456" s="199"/>
      <c r="O1456" s="199" t="s">
        <v>6066</v>
      </c>
      <c r="P1456" s="193"/>
      <c r="Q1456" s="218" t="s">
        <v>6067</v>
      </c>
      <c r="R1456" s="86"/>
      <c r="S1456" s="114">
        <f t="shared" ref="S1456:T1456" si="1457">A1456</f>
        <v>1456</v>
      </c>
      <c r="T1456" s="114" t="str">
        <f t="shared" si="1457"/>
        <v>فاطمه حسنی</v>
      </c>
      <c r="U1456" s="86" t="str">
        <f t="shared" si="3"/>
        <v>09197209133</v>
      </c>
      <c r="V1456" s="86" t="str">
        <f t="shared" si="4"/>
        <v>پیش‌وایی 12</v>
      </c>
      <c r="W1456" s="86"/>
      <c r="X1456" s="86"/>
    </row>
    <row r="1457">
      <c r="A1457" s="201">
        <v>1457.0</v>
      </c>
      <c r="B1457" s="202" t="s">
        <v>6242</v>
      </c>
      <c r="C1457" s="203" t="s">
        <v>6243</v>
      </c>
      <c r="D1457" s="204" t="str">
        <f>IFERROR(__xludf.DUMMYFUNCTION("ARRAYFORMULA(LET( converted, SUBSTITUTE( SUBSTITUTE( SUBSTITUTE( SUBSTITUTE( SUBSTITUTE( SUBSTITUTE( SUBSTITUTE( SUBSTITUTE( SUBSTITUTE( SUBSTITUTE( C1457, ""۰"", ""0""), ""۱"", ""1""), ""۲"", ""2""), ""۳"", ""3""), ""۴"", ""4""), ""۵"", ""5""), ""۶"", """&amp;"6""), ""۷"", ""7""), ""۸"", ""8""), ""۹"", ""9""), IF(LEFT(converted,3)=""+98"", ""0"" &amp; RIGHT(converted, LEN(converted)-3), IF(LEFT(converted,2)=""98"", ""0"" &amp; RIGHT(converted, LEN(converted)-2), IF(LEFT(converted,1)&lt;&gt;""0"", ""0"" &amp; converted, REGEXREPL"&amp;"ACE(converted , ""\s"", """")) ) ) ) )"),"09381647084")</f>
        <v>09381647084</v>
      </c>
      <c r="E1457" s="205" t="s">
        <v>17</v>
      </c>
      <c r="F1457" s="206">
        <v>12.0</v>
      </c>
      <c r="G1457" s="213" t="s">
        <v>730</v>
      </c>
      <c r="H1457" s="213" t="s">
        <v>6244</v>
      </c>
      <c r="I1457" s="215"/>
      <c r="J1457" s="215"/>
      <c r="K1457" s="207" t="s">
        <v>5654</v>
      </c>
      <c r="L1457" s="207" t="s">
        <v>6245</v>
      </c>
      <c r="M1457" s="207"/>
      <c r="N1457" s="207"/>
      <c r="O1457" s="207" t="s">
        <v>6066</v>
      </c>
      <c r="P1457" s="202"/>
      <c r="Q1457" s="216" t="s">
        <v>6067</v>
      </c>
      <c r="R1457" s="86"/>
      <c r="S1457" s="114">
        <f t="shared" ref="S1457:T1457" si="1458">A1457</f>
        <v>1457</v>
      </c>
      <c r="T1457" s="114" t="str">
        <f t="shared" si="1458"/>
        <v>محمد مهدی زمانی اصفهانی</v>
      </c>
      <c r="U1457" s="86" t="str">
        <f t="shared" si="3"/>
        <v>09381647084</v>
      </c>
      <c r="V1457" s="86" t="str">
        <f t="shared" si="4"/>
        <v>پیش‌وایی 12</v>
      </c>
      <c r="W1457" s="86"/>
      <c r="X1457" s="86"/>
    </row>
    <row r="1458">
      <c r="A1458" s="192">
        <v>1458.0</v>
      </c>
      <c r="B1458" s="193" t="s">
        <v>6246</v>
      </c>
      <c r="C1458" s="194" t="s">
        <v>6247</v>
      </c>
      <c r="D1458" s="195" t="str">
        <f>IFERROR(__xludf.DUMMYFUNCTION("ARRAYFORMULA(LET( converted, SUBSTITUTE( SUBSTITUTE( SUBSTITUTE( SUBSTITUTE( SUBSTITUTE( SUBSTITUTE( SUBSTITUTE( SUBSTITUTE( SUBSTITUTE( SUBSTITUTE( C1458, ""۰"", ""0""), ""۱"", ""1""), ""۲"", ""2""), ""۳"", ""3""), ""۴"", ""4""), ""۵"", ""5""), ""۶"", """&amp;"6""), ""۷"", ""7""), ""۸"", ""8""), ""۹"", ""9""), IF(LEFT(converted,3)=""+98"", ""0"" &amp; RIGHT(converted, LEN(converted)-3), IF(LEFT(converted,2)=""98"", ""0"" &amp; RIGHT(converted, LEN(converted)-2), IF(LEFT(converted,1)&lt;&gt;""0"", ""0"" &amp; converted, REGEXREPL"&amp;"ACE(converted , ""\s"", """")) ) ) ) )"),"09126945043")</f>
        <v>09126945043</v>
      </c>
      <c r="E1458" s="196" t="s">
        <v>17</v>
      </c>
      <c r="F1458" s="197">
        <v>12.0</v>
      </c>
      <c r="G1458" s="212" t="s">
        <v>746</v>
      </c>
      <c r="H1458" s="212" t="s">
        <v>6248</v>
      </c>
      <c r="I1458" s="217"/>
      <c r="J1458" s="217"/>
      <c r="K1458" s="199" t="s">
        <v>2955</v>
      </c>
      <c r="L1458" s="199" t="s">
        <v>3297</v>
      </c>
      <c r="M1458" s="199"/>
      <c r="N1458" s="199"/>
      <c r="O1458" s="199" t="s">
        <v>6066</v>
      </c>
      <c r="P1458" s="193"/>
      <c r="Q1458" s="218" t="s">
        <v>6067</v>
      </c>
      <c r="R1458" s="86"/>
      <c r="S1458" s="114">
        <f t="shared" ref="S1458:T1458" si="1459">A1458</f>
        <v>1458</v>
      </c>
      <c r="T1458" s="114" t="str">
        <f t="shared" si="1459"/>
        <v>نوشین اعتمادیان</v>
      </c>
      <c r="U1458" s="86" t="str">
        <f t="shared" si="3"/>
        <v>09126945043</v>
      </c>
      <c r="V1458" s="86" t="str">
        <f t="shared" si="4"/>
        <v>پیش‌وایی 12</v>
      </c>
      <c r="W1458" s="86"/>
      <c r="X1458" s="86"/>
    </row>
    <row r="1459">
      <c r="A1459" s="201">
        <v>1459.0</v>
      </c>
      <c r="B1459" s="202" t="s">
        <v>1028</v>
      </c>
      <c r="C1459" s="203" t="s">
        <v>6249</v>
      </c>
      <c r="D1459" s="204" t="str">
        <f>IFERROR(__xludf.DUMMYFUNCTION("ARRAYFORMULA(LET( converted, SUBSTITUTE( SUBSTITUTE( SUBSTITUTE( SUBSTITUTE( SUBSTITUTE( SUBSTITUTE( SUBSTITUTE( SUBSTITUTE( SUBSTITUTE( SUBSTITUTE( C1459, ""۰"", ""0""), ""۱"", ""1""), ""۲"", ""2""), ""۳"", ""3""), ""۴"", ""4""), ""۵"", ""5""), ""۶"", """&amp;"6""), ""۷"", ""7""), ""۸"", ""8""), ""۹"", ""9""), IF(LEFT(converted,3)=""+98"", ""0"" &amp; RIGHT(converted, LEN(converted)-3), IF(LEFT(converted,2)=""98"", ""0"" &amp; RIGHT(converted, LEN(converted)-2), IF(LEFT(converted,1)&lt;&gt;""0"", ""0"" &amp; converted, REGEXREPL"&amp;"ACE(converted , ""\s"", """")) ) ) ) )"),"09375807234")</f>
        <v>09375807234</v>
      </c>
      <c r="E1459" s="205" t="s">
        <v>17</v>
      </c>
      <c r="F1459" s="206">
        <v>12.0</v>
      </c>
      <c r="G1459" s="213" t="s">
        <v>746</v>
      </c>
      <c r="H1459" s="213" t="s">
        <v>6250</v>
      </c>
      <c r="I1459" s="215"/>
      <c r="J1459" s="215"/>
      <c r="K1459" s="207" t="s">
        <v>1032</v>
      </c>
      <c r="L1459" s="207" t="s">
        <v>1033</v>
      </c>
      <c r="M1459" s="207"/>
      <c r="N1459" s="207"/>
      <c r="O1459" s="207" t="s">
        <v>6066</v>
      </c>
      <c r="P1459" s="202"/>
      <c r="Q1459" s="216" t="s">
        <v>6067</v>
      </c>
      <c r="R1459" s="86"/>
      <c r="S1459" s="114">
        <f t="shared" ref="S1459:T1459" si="1460">A1459</f>
        <v>1459</v>
      </c>
      <c r="T1459" s="114" t="str">
        <f t="shared" si="1460"/>
        <v>آذین شریفزاده علمداری</v>
      </c>
      <c r="U1459" s="86" t="str">
        <f t="shared" si="3"/>
        <v>09375807234</v>
      </c>
      <c r="V1459" s="86" t="str">
        <f t="shared" si="4"/>
        <v>پیش‌وایی 12</v>
      </c>
      <c r="W1459" s="86"/>
      <c r="X1459" s="86"/>
    </row>
    <row r="1460">
      <c r="A1460" s="192">
        <v>1460.0</v>
      </c>
      <c r="B1460" s="193" t="s">
        <v>6251</v>
      </c>
      <c r="C1460" s="194" t="s">
        <v>6252</v>
      </c>
      <c r="D1460" s="195" t="str">
        <f>IFERROR(__xludf.DUMMYFUNCTION("ARRAYFORMULA(LET( converted, SUBSTITUTE( SUBSTITUTE( SUBSTITUTE( SUBSTITUTE( SUBSTITUTE( SUBSTITUTE( SUBSTITUTE( SUBSTITUTE( SUBSTITUTE( SUBSTITUTE( C1460, ""۰"", ""0""), ""۱"", ""1""), ""۲"", ""2""), ""۳"", ""3""), ""۴"", ""4""), ""۵"", ""5""), ""۶"", """&amp;"6""), ""۷"", ""7""), ""۸"", ""8""), ""۹"", ""9""), IF(LEFT(converted,3)=""+98"", ""0"" &amp; RIGHT(converted, LEN(converted)-3), IF(LEFT(converted,2)=""98"", ""0"" &amp; RIGHT(converted, LEN(converted)-2), IF(LEFT(converted,1)&lt;&gt;""0"", ""0"" &amp; converted, REGEXREPL"&amp;"ACE(converted , ""\s"", """")) ) ) ) )"),"09195663863")</f>
        <v>09195663863</v>
      </c>
      <c r="E1460" s="196" t="s">
        <v>17</v>
      </c>
      <c r="F1460" s="197">
        <v>12.0</v>
      </c>
      <c r="G1460" s="212" t="s">
        <v>746</v>
      </c>
      <c r="H1460" s="212" t="s">
        <v>6253</v>
      </c>
      <c r="I1460" s="217"/>
      <c r="J1460" s="217"/>
      <c r="K1460" s="199" t="s">
        <v>180</v>
      </c>
      <c r="L1460" s="199" t="s">
        <v>6254</v>
      </c>
      <c r="M1460" s="199"/>
      <c r="N1460" s="199"/>
      <c r="O1460" s="199" t="s">
        <v>6066</v>
      </c>
      <c r="P1460" s="193"/>
      <c r="Q1460" s="218" t="s">
        <v>6067</v>
      </c>
      <c r="R1460" s="86"/>
      <c r="S1460" s="114">
        <f t="shared" ref="S1460:T1460" si="1461">A1460</f>
        <v>1460</v>
      </c>
      <c r="T1460" s="114" t="str">
        <f t="shared" si="1461"/>
        <v>آزاده کریم خانی</v>
      </c>
      <c r="U1460" s="86" t="str">
        <f t="shared" si="3"/>
        <v>09195663863</v>
      </c>
      <c r="V1460" s="86" t="str">
        <f t="shared" si="4"/>
        <v>پیش‌وایی 12</v>
      </c>
      <c r="W1460" s="86"/>
      <c r="X1460" s="86"/>
    </row>
    <row r="1461">
      <c r="A1461" s="201">
        <v>1461.0</v>
      </c>
      <c r="B1461" s="202" t="s">
        <v>6255</v>
      </c>
      <c r="C1461" s="203" t="s">
        <v>6256</v>
      </c>
      <c r="D1461" s="204" t="str">
        <f>IFERROR(__xludf.DUMMYFUNCTION("ARRAYFORMULA(LET( converted, SUBSTITUTE( SUBSTITUTE( SUBSTITUTE( SUBSTITUTE( SUBSTITUTE( SUBSTITUTE( SUBSTITUTE( SUBSTITUTE( SUBSTITUTE( SUBSTITUTE( C1461, ""۰"", ""0""), ""۱"", ""1""), ""۲"", ""2""), ""۳"", ""3""), ""۴"", ""4""), ""۵"", ""5""), ""۶"", """&amp;"6""), ""۷"", ""7""), ""۸"", ""8""), ""۹"", ""9""), IF(LEFT(converted,3)=""+98"", ""0"" &amp; RIGHT(converted, LEN(converted)-3), IF(LEFT(converted,2)=""98"", ""0"" &amp; RIGHT(converted, LEN(converted)-2), IF(LEFT(converted,1)&lt;&gt;""0"", ""0"" &amp; converted, REGEXREPL"&amp;"ACE(converted , ""\s"", """")) ) ) ) )"),"09122040827")</f>
        <v>09122040827</v>
      </c>
      <c r="E1461" s="205" t="s">
        <v>17</v>
      </c>
      <c r="F1461" s="206">
        <v>12.0</v>
      </c>
      <c r="G1461" s="213" t="s">
        <v>730</v>
      </c>
      <c r="H1461" s="213" t="s">
        <v>6257</v>
      </c>
      <c r="I1461" s="215"/>
      <c r="J1461" s="215"/>
      <c r="K1461" s="207" t="s">
        <v>1224</v>
      </c>
      <c r="L1461" s="207" t="s">
        <v>6258</v>
      </c>
      <c r="M1461" s="207"/>
      <c r="N1461" s="207"/>
      <c r="O1461" s="207" t="s">
        <v>6066</v>
      </c>
      <c r="P1461" s="202"/>
      <c r="Q1461" s="216" t="s">
        <v>6067</v>
      </c>
      <c r="R1461" s="86"/>
      <c r="S1461" s="114">
        <f t="shared" ref="S1461:T1461" si="1462">A1461</f>
        <v>1461</v>
      </c>
      <c r="T1461" s="114" t="str">
        <f t="shared" si="1462"/>
        <v>علی اکبر محمدابراهیمی</v>
      </c>
      <c r="U1461" s="86" t="str">
        <f t="shared" si="3"/>
        <v>09122040827</v>
      </c>
      <c r="V1461" s="86" t="str">
        <f t="shared" si="4"/>
        <v>پیش‌وایی 12</v>
      </c>
      <c r="W1461" s="86"/>
      <c r="X1461" s="86"/>
    </row>
    <row r="1462">
      <c r="A1462" s="192">
        <v>1462.0</v>
      </c>
      <c r="B1462" s="193" t="s">
        <v>6259</v>
      </c>
      <c r="C1462" s="194" t="s">
        <v>6260</v>
      </c>
      <c r="D1462" s="195" t="str">
        <f>IFERROR(__xludf.DUMMYFUNCTION("ARRAYFORMULA(LET( converted, SUBSTITUTE( SUBSTITUTE( SUBSTITUTE( SUBSTITUTE( SUBSTITUTE( SUBSTITUTE( SUBSTITUTE( SUBSTITUTE( SUBSTITUTE( SUBSTITUTE( C1462, ""۰"", ""0""), ""۱"", ""1""), ""۲"", ""2""), ""۳"", ""3""), ""۴"", ""4""), ""۵"", ""5""), ""۶"", """&amp;"6""), ""۷"", ""7""), ""۸"", ""8""), ""۹"", ""9""), IF(LEFT(converted,3)=""+98"", ""0"" &amp; RIGHT(converted, LEN(converted)-3), IF(LEFT(converted,2)=""98"", ""0"" &amp; RIGHT(converted, LEN(converted)-2), IF(LEFT(converted,1)&lt;&gt;""0"", ""0"" &amp; converted, REGEXREPL"&amp;"ACE(converted , ""\s"", """")) ) ) ) )"),"09184394657")</f>
        <v>09184394657</v>
      </c>
      <c r="E1462" s="196" t="s">
        <v>17</v>
      </c>
      <c r="F1462" s="197">
        <v>12.0</v>
      </c>
      <c r="G1462" s="212" t="s">
        <v>730</v>
      </c>
      <c r="H1462" s="212" t="s">
        <v>6261</v>
      </c>
      <c r="I1462" s="217"/>
      <c r="J1462" s="217"/>
      <c r="K1462" s="199" t="s">
        <v>6262</v>
      </c>
      <c r="L1462" s="199" t="s">
        <v>6263</v>
      </c>
      <c r="M1462" s="199"/>
      <c r="N1462" s="199"/>
      <c r="O1462" s="199" t="s">
        <v>6066</v>
      </c>
      <c r="P1462" s="193"/>
      <c r="Q1462" s="218" t="s">
        <v>6067</v>
      </c>
      <c r="R1462" s="86"/>
      <c r="S1462" s="114">
        <f t="shared" ref="S1462:T1462" si="1463">A1462</f>
        <v>1462</v>
      </c>
      <c r="T1462" s="114" t="str">
        <f t="shared" si="1463"/>
        <v>مومن حمه ویسی</v>
      </c>
      <c r="U1462" s="86" t="str">
        <f t="shared" si="3"/>
        <v>09184394657</v>
      </c>
      <c r="V1462" s="86" t="str">
        <f t="shared" si="4"/>
        <v>پیش‌وایی 12</v>
      </c>
      <c r="W1462" s="86"/>
      <c r="X1462" s="86"/>
    </row>
    <row r="1463">
      <c r="A1463" s="201">
        <v>1463.0</v>
      </c>
      <c r="B1463" s="202" t="s">
        <v>6264</v>
      </c>
      <c r="C1463" s="203" t="s">
        <v>6265</v>
      </c>
      <c r="D1463" s="204" t="str">
        <f>IFERROR(__xludf.DUMMYFUNCTION("ARRAYFORMULA(LET( converted, SUBSTITUTE( SUBSTITUTE( SUBSTITUTE( SUBSTITUTE( SUBSTITUTE( SUBSTITUTE( SUBSTITUTE( SUBSTITUTE( SUBSTITUTE( SUBSTITUTE( C1463, ""۰"", ""0""), ""۱"", ""1""), ""۲"", ""2""), ""۳"", ""3""), ""۴"", ""4""), ""۵"", ""5""), ""۶"", """&amp;"6""), ""۷"", ""7""), ""۸"", ""8""), ""۹"", ""9""), IF(LEFT(converted,3)=""+98"", ""0"" &amp; RIGHT(converted, LEN(converted)-3), IF(LEFT(converted,2)=""98"", ""0"" &amp; RIGHT(converted, LEN(converted)-2), IF(LEFT(converted,1)&lt;&gt;""0"", ""0"" &amp; converted, REGEXREPL"&amp;"ACE(converted , ""\s"", """")) ) ) ) )"),"09122139316")</f>
        <v>09122139316</v>
      </c>
      <c r="E1463" s="205" t="s">
        <v>17</v>
      </c>
      <c r="F1463" s="206">
        <v>12.0</v>
      </c>
      <c r="G1463" s="213" t="s">
        <v>730</v>
      </c>
      <c r="H1463" s="213" t="s">
        <v>6266</v>
      </c>
      <c r="I1463" s="215"/>
      <c r="J1463" s="215"/>
      <c r="K1463" s="207" t="s">
        <v>2146</v>
      </c>
      <c r="L1463" s="207" t="s">
        <v>2863</v>
      </c>
      <c r="M1463" s="207"/>
      <c r="N1463" s="207"/>
      <c r="O1463" s="207" t="s">
        <v>6066</v>
      </c>
      <c r="P1463" s="202"/>
      <c r="Q1463" s="216" t="s">
        <v>6067</v>
      </c>
      <c r="R1463" s="86"/>
      <c r="S1463" s="114">
        <f t="shared" ref="S1463:T1463" si="1464">A1463</f>
        <v>1463</v>
      </c>
      <c r="T1463" s="114" t="str">
        <f t="shared" si="1464"/>
        <v>بابک قبادی</v>
      </c>
      <c r="U1463" s="86" t="str">
        <f t="shared" si="3"/>
        <v>09122139316</v>
      </c>
      <c r="V1463" s="86" t="str">
        <f t="shared" si="4"/>
        <v>پیش‌وایی 12</v>
      </c>
      <c r="W1463" s="86"/>
      <c r="X1463" s="86"/>
    </row>
    <row r="1464">
      <c r="A1464" s="192">
        <v>1464.0</v>
      </c>
      <c r="B1464" s="193" t="s">
        <v>6267</v>
      </c>
      <c r="C1464" s="194" t="s">
        <v>6268</v>
      </c>
      <c r="D1464" s="195" t="str">
        <f>IFERROR(__xludf.DUMMYFUNCTION("ARRAYFORMULA(LET( converted, SUBSTITUTE( SUBSTITUTE( SUBSTITUTE( SUBSTITUTE( SUBSTITUTE( SUBSTITUTE( SUBSTITUTE( SUBSTITUTE( SUBSTITUTE( SUBSTITUTE( C1464, ""۰"", ""0""), ""۱"", ""1""), ""۲"", ""2""), ""۳"", ""3""), ""۴"", ""4""), ""۵"", ""5""), ""۶"", """&amp;"6""), ""۷"", ""7""), ""۸"", ""8""), ""۹"", ""9""), IF(LEFT(converted,3)=""+98"", ""0"" &amp; RIGHT(converted, LEN(converted)-3), IF(LEFT(converted,2)=""98"", ""0"" &amp; RIGHT(converted, LEN(converted)-2), IF(LEFT(converted,1)&lt;&gt;""0"", ""0"" &amp; converted, REGEXREPL"&amp;"ACE(converted , ""\s"", """")) ) ) ) )"),"09938048789")</f>
        <v>09938048789</v>
      </c>
      <c r="E1464" s="196" t="s">
        <v>17</v>
      </c>
      <c r="F1464" s="197">
        <v>12.0</v>
      </c>
      <c r="G1464" s="212" t="s">
        <v>730</v>
      </c>
      <c r="H1464" s="212" t="s">
        <v>6269</v>
      </c>
      <c r="I1464" s="217"/>
      <c r="J1464" s="217"/>
      <c r="K1464" s="199" t="s">
        <v>286</v>
      </c>
      <c r="L1464" s="199" t="s">
        <v>6270</v>
      </c>
      <c r="M1464" s="199"/>
      <c r="N1464" s="199"/>
      <c r="O1464" s="199" t="s">
        <v>6066</v>
      </c>
      <c r="P1464" s="193"/>
      <c r="Q1464" s="218" t="s">
        <v>6067</v>
      </c>
      <c r="R1464" s="86"/>
      <c r="S1464" s="114">
        <f t="shared" ref="S1464:T1464" si="1465">A1464</f>
        <v>1464</v>
      </c>
      <c r="T1464" s="114" t="str">
        <f t="shared" si="1465"/>
        <v>مهدی ولایتی پور</v>
      </c>
      <c r="U1464" s="86" t="str">
        <f t="shared" si="3"/>
        <v>09938048789</v>
      </c>
      <c r="V1464" s="86" t="str">
        <f t="shared" si="4"/>
        <v>پیش‌وایی 12</v>
      </c>
      <c r="W1464" s="86"/>
      <c r="X1464" s="86"/>
    </row>
    <row r="1465">
      <c r="A1465" s="201">
        <v>1465.0</v>
      </c>
      <c r="B1465" s="202" t="s">
        <v>6271</v>
      </c>
      <c r="C1465" s="203" t="s">
        <v>6272</v>
      </c>
      <c r="D1465" s="204" t="str">
        <f>IFERROR(__xludf.DUMMYFUNCTION("ARRAYFORMULA(LET( converted, SUBSTITUTE( SUBSTITUTE( SUBSTITUTE( SUBSTITUTE( SUBSTITUTE( SUBSTITUTE( SUBSTITUTE( SUBSTITUTE( SUBSTITUTE( SUBSTITUTE( C1465, ""۰"", ""0""), ""۱"", ""1""), ""۲"", ""2""), ""۳"", ""3""), ""۴"", ""4""), ""۵"", ""5""), ""۶"", """&amp;"6""), ""۷"", ""7""), ""۸"", ""8""), ""۹"", ""9""), IF(LEFT(converted,3)=""+98"", ""0"" &amp; RIGHT(converted, LEN(converted)-3), IF(LEFT(converted,2)=""98"", ""0"" &amp; RIGHT(converted, LEN(converted)-2), IF(LEFT(converted,1)&lt;&gt;""0"", ""0"" &amp; converted, REGEXREPL"&amp;"ACE(converted , ""\s"", """")) ) ) ) )"),"09217975747")</f>
        <v>09217975747</v>
      </c>
      <c r="E1465" s="205" t="s">
        <v>17</v>
      </c>
      <c r="F1465" s="206">
        <v>12.0</v>
      </c>
      <c r="G1465" s="213" t="s">
        <v>730</v>
      </c>
      <c r="H1465" s="213" t="s">
        <v>6273</v>
      </c>
      <c r="I1465" s="215"/>
      <c r="J1465" s="215"/>
      <c r="K1465" s="207" t="s">
        <v>6274</v>
      </c>
      <c r="L1465" s="207" t="s">
        <v>6275</v>
      </c>
      <c r="M1465" s="207"/>
      <c r="N1465" s="207"/>
      <c r="O1465" s="207" t="s">
        <v>6066</v>
      </c>
      <c r="P1465" s="202"/>
      <c r="Q1465" s="216" t="s">
        <v>6067</v>
      </c>
      <c r="R1465" s="86"/>
      <c r="S1465" s="114">
        <f t="shared" ref="S1465:T1465" si="1466">A1465</f>
        <v>1465</v>
      </c>
      <c r="T1465" s="114" t="str">
        <f t="shared" si="1466"/>
        <v>کیارش رشیدی</v>
      </c>
      <c r="U1465" s="86" t="str">
        <f t="shared" si="3"/>
        <v>09217975747</v>
      </c>
      <c r="V1465" s="86" t="str">
        <f t="shared" si="4"/>
        <v>پیش‌وایی 12</v>
      </c>
      <c r="W1465" s="86"/>
      <c r="X1465" s="86"/>
    </row>
    <row r="1466">
      <c r="A1466" s="192">
        <v>1466.0</v>
      </c>
      <c r="B1466" s="193" t="s">
        <v>6276</v>
      </c>
      <c r="C1466" s="194" t="s">
        <v>6277</v>
      </c>
      <c r="D1466" s="195" t="str">
        <f>IFERROR(__xludf.DUMMYFUNCTION("ARRAYFORMULA(LET( converted, SUBSTITUTE( SUBSTITUTE( SUBSTITUTE( SUBSTITUTE( SUBSTITUTE( SUBSTITUTE( SUBSTITUTE( SUBSTITUTE( SUBSTITUTE( SUBSTITUTE( C1466, ""۰"", ""0""), ""۱"", ""1""), ""۲"", ""2""), ""۳"", ""3""), ""۴"", ""4""), ""۵"", ""5""), ""۶"", """&amp;"6""), ""۷"", ""7""), ""۸"", ""8""), ""۹"", ""9""), IF(LEFT(converted,3)=""+98"", ""0"" &amp; RIGHT(converted, LEN(converted)-3), IF(LEFT(converted,2)=""98"", ""0"" &amp; RIGHT(converted, LEN(converted)-2), IF(LEFT(converted,1)&lt;&gt;""0"", ""0"" &amp; converted, REGEXREPL"&amp;"ACE(converted , ""\s"", """")) ) ) ) )"),"09912771781")</f>
        <v>09912771781</v>
      </c>
      <c r="E1466" s="196" t="s">
        <v>17</v>
      </c>
      <c r="F1466" s="197">
        <v>12.0</v>
      </c>
      <c r="G1466" s="212" t="s">
        <v>730</v>
      </c>
      <c r="H1466" s="212" t="s">
        <v>6278</v>
      </c>
      <c r="I1466" s="217"/>
      <c r="J1466" s="217"/>
      <c r="K1466" s="199" t="s">
        <v>1679</v>
      </c>
      <c r="L1466" s="199" t="s">
        <v>889</v>
      </c>
      <c r="M1466" s="199"/>
      <c r="N1466" s="199"/>
      <c r="O1466" s="199" t="s">
        <v>6066</v>
      </c>
      <c r="P1466" s="193"/>
      <c r="Q1466" s="218" t="s">
        <v>6067</v>
      </c>
      <c r="R1466" s="86"/>
      <c r="S1466" s="114">
        <f t="shared" ref="S1466:T1466" si="1467">A1466</f>
        <v>1466</v>
      </c>
      <c r="T1466" s="114" t="str">
        <f t="shared" si="1467"/>
        <v>عارف کاظمی</v>
      </c>
      <c r="U1466" s="86" t="str">
        <f t="shared" si="3"/>
        <v>09912771781</v>
      </c>
      <c r="V1466" s="86" t="str">
        <f t="shared" si="4"/>
        <v>پیش‌وایی 12</v>
      </c>
      <c r="W1466" s="86"/>
      <c r="X1466" s="86"/>
    </row>
    <row r="1467">
      <c r="A1467" s="201">
        <v>1467.0</v>
      </c>
      <c r="B1467" s="202" t="s">
        <v>4894</v>
      </c>
      <c r="C1467" s="203" t="s">
        <v>6279</v>
      </c>
      <c r="D1467" s="204" t="str">
        <f>IFERROR(__xludf.DUMMYFUNCTION("ARRAYFORMULA(LET( converted, SUBSTITUTE( SUBSTITUTE( SUBSTITUTE( SUBSTITUTE( SUBSTITUTE( SUBSTITUTE( SUBSTITUTE( SUBSTITUTE( SUBSTITUTE( SUBSTITUTE( C1467, ""۰"", ""0""), ""۱"", ""1""), ""۲"", ""2""), ""۳"", ""3""), ""۴"", ""4""), ""۵"", ""5""), ""۶"", """&amp;"6""), ""۷"", ""7""), ""۸"", ""8""), ""۹"", ""9""), IF(LEFT(converted,3)=""+98"", ""0"" &amp; RIGHT(converted, LEN(converted)-3), IF(LEFT(converted,2)=""98"", ""0"" &amp; RIGHT(converted, LEN(converted)-2), IF(LEFT(converted,1)&lt;&gt;""0"", ""0"" &amp; converted, REGEXREPL"&amp;"ACE(converted , ""\s"", """")) ) ) ) )"),"09121386329")</f>
        <v>09121386329</v>
      </c>
      <c r="E1467" s="205" t="s">
        <v>17</v>
      </c>
      <c r="F1467" s="206">
        <v>12.0</v>
      </c>
      <c r="G1467" s="213" t="s">
        <v>730</v>
      </c>
      <c r="H1467" s="213" t="s">
        <v>4896</v>
      </c>
      <c r="I1467" s="215"/>
      <c r="J1467" s="215"/>
      <c r="K1467" s="207" t="s">
        <v>6280</v>
      </c>
      <c r="L1467" s="207" t="s">
        <v>1934</v>
      </c>
      <c r="M1467" s="207"/>
      <c r="N1467" s="207"/>
      <c r="O1467" s="207" t="s">
        <v>6066</v>
      </c>
      <c r="P1467" s="202"/>
      <c r="Q1467" s="216" t="s">
        <v>6067</v>
      </c>
      <c r="R1467" s="86"/>
      <c r="S1467" s="114">
        <f t="shared" ref="S1467:T1467" si="1468">A1467</f>
        <v>1467</v>
      </c>
      <c r="T1467" s="114" t="str">
        <f t="shared" si="1468"/>
        <v>سید محمدرضا نجفی</v>
      </c>
      <c r="U1467" s="86" t="str">
        <f t="shared" si="3"/>
        <v>09121386329</v>
      </c>
      <c r="V1467" s="86" t="str">
        <f t="shared" si="4"/>
        <v>پیش‌وایی 12</v>
      </c>
      <c r="W1467" s="86"/>
      <c r="X1467" s="86"/>
    </row>
    <row r="1468">
      <c r="A1468" s="192">
        <v>1468.0</v>
      </c>
      <c r="B1468" s="193" t="s">
        <v>6281</v>
      </c>
      <c r="C1468" s="194" t="s">
        <v>6282</v>
      </c>
      <c r="D1468" s="195" t="str">
        <f>IFERROR(__xludf.DUMMYFUNCTION("ARRAYFORMULA(LET( converted, SUBSTITUTE( SUBSTITUTE( SUBSTITUTE( SUBSTITUTE( SUBSTITUTE( SUBSTITUTE( SUBSTITUTE( SUBSTITUTE( SUBSTITUTE( SUBSTITUTE( C1468, ""۰"", ""0""), ""۱"", ""1""), ""۲"", ""2""), ""۳"", ""3""), ""۴"", ""4""), ""۵"", ""5""), ""۶"", """&amp;"6""), ""۷"", ""7""), ""۸"", ""8""), ""۹"", ""9""), IF(LEFT(converted,3)=""+98"", ""0"" &amp; RIGHT(converted, LEN(converted)-3), IF(LEFT(converted,2)=""98"", ""0"" &amp; RIGHT(converted, LEN(converted)-2), IF(LEFT(converted,1)&lt;&gt;""0"", ""0"" &amp; converted, REGEXREPL"&amp;"ACE(converted , ""\s"", """")) ) ) ) )"),"09135474282")</f>
        <v>09135474282</v>
      </c>
      <c r="E1468" s="196" t="s">
        <v>17</v>
      </c>
      <c r="F1468" s="197">
        <v>12.0</v>
      </c>
      <c r="G1468" s="212" t="s">
        <v>730</v>
      </c>
      <c r="H1468" s="212" t="s">
        <v>6283</v>
      </c>
      <c r="I1468" s="217"/>
      <c r="J1468" s="217"/>
      <c r="K1468" s="199" t="s">
        <v>185</v>
      </c>
      <c r="L1468" s="199" t="s">
        <v>277</v>
      </c>
      <c r="M1468" s="199"/>
      <c r="N1468" s="199"/>
      <c r="O1468" s="199" t="s">
        <v>6066</v>
      </c>
      <c r="P1468" s="193"/>
      <c r="Q1468" s="218" t="s">
        <v>6067</v>
      </c>
      <c r="R1468" s="86"/>
      <c r="S1468" s="114">
        <f t="shared" ref="S1468:T1468" si="1469">A1468</f>
        <v>1468</v>
      </c>
      <c r="T1468" s="114" t="str">
        <f t="shared" si="1469"/>
        <v>مهران مظاهری</v>
      </c>
      <c r="U1468" s="86" t="str">
        <f t="shared" si="3"/>
        <v>09135474282</v>
      </c>
      <c r="V1468" s="86" t="str">
        <f t="shared" si="4"/>
        <v>پیش‌وایی 12</v>
      </c>
      <c r="W1468" s="86"/>
      <c r="X1468" s="86"/>
    </row>
    <row r="1469">
      <c r="A1469" s="201">
        <v>1469.0</v>
      </c>
      <c r="B1469" s="202" t="s">
        <v>6284</v>
      </c>
      <c r="C1469" s="203" t="s">
        <v>6285</v>
      </c>
      <c r="D1469" s="204" t="str">
        <f>IFERROR(__xludf.DUMMYFUNCTION("ARRAYFORMULA(LET( converted, SUBSTITUTE( SUBSTITUTE( SUBSTITUTE( SUBSTITUTE( SUBSTITUTE( SUBSTITUTE( SUBSTITUTE( SUBSTITUTE( SUBSTITUTE( SUBSTITUTE( C1469, ""۰"", ""0""), ""۱"", ""1""), ""۲"", ""2""), ""۳"", ""3""), ""۴"", ""4""), ""۵"", ""5""), ""۶"", """&amp;"6""), ""۷"", ""7""), ""۸"", ""8""), ""۹"", ""9""), IF(LEFT(converted,3)=""+98"", ""0"" &amp; RIGHT(converted, LEN(converted)-3), IF(LEFT(converted,2)=""98"", ""0"" &amp; RIGHT(converted, LEN(converted)-2), IF(LEFT(converted,1)&lt;&gt;""0"", ""0"" &amp; converted, REGEXREPL"&amp;"ACE(converted , ""\s"", """")) ) ) ) )"),"09396808256")</f>
        <v>09396808256</v>
      </c>
      <c r="E1469" s="205" t="s">
        <v>17</v>
      </c>
      <c r="F1469" s="206">
        <v>12.0</v>
      </c>
      <c r="G1469" s="213" t="s">
        <v>746</v>
      </c>
      <c r="H1469" s="213" t="s">
        <v>6286</v>
      </c>
      <c r="I1469" s="215"/>
      <c r="J1469" s="215"/>
      <c r="K1469" s="207" t="s">
        <v>3182</v>
      </c>
      <c r="L1469" s="207" t="s">
        <v>6287</v>
      </c>
      <c r="M1469" s="207"/>
      <c r="N1469" s="207"/>
      <c r="O1469" s="207" t="s">
        <v>6288</v>
      </c>
      <c r="P1469" s="202"/>
      <c r="Q1469" s="216" t="s">
        <v>6067</v>
      </c>
      <c r="R1469" s="86"/>
      <c r="S1469" s="114">
        <f t="shared" ref="S1469:T1469" si="1470">A1469</f>
        <v>1469</v>
      </c>
      <c r="T1469" s="114" t="str">
        <f t="shared" si="1470"/>
        <v>فرناز قوامی</v>
      </c>
      <c r="U1469" s="86" t="str">
        <f t="shared" si="3"/>
        <v>09396808256</v>
      </c>
      <c r="V1469" s="86" t="str">
        <f t="shared" si="4"/>
        <v>پیش‌وایی 12</v>
      </c>
      <c r="W1469" s="86"/>
      <c r="X1469" s="86"/>
    </row>
    <row r="1470">
      <c r="A1470" s="192">
        <v>1470.0</v>
      </c>
      <c r="B1470" s="193" t="s">
        <v>6289</v>
      </c>
      <c r="C1470" s="194" t="s">
        <v>6290</v>
      </c>
      <c r="D1470" s="195" t="str">
        <f>IFERROR(__xludf.DUMMYFUNCTION("ARRAYFORMULA(LET( converted, SUBSTITUTE( SUBSTITUTE( SUBSTITUTE( SUBSTITUTE( SUBSTITUTE( SUBSTITUTE( SUBSTITUTE( SUBSTITUTE( SUBSTITUTE( SUBSTITUTE( C1470, ""۰"", ""0""), ""۱"", ""1""), ""۲"", ""2""), ""۳"", ""3""), ""۴"", ""4""), ""۵"", ""5""), ""۶"", """&amp;"6""), ""۷"", ""7""), ""۸"", ""8""), ""۹"", ""9""), IF(LEFT(converted,3)=""+98"", ""0"" &amp; RIGHT(converted, LEN(converted)-3), IF(LEFT(converted,2)=""98"", ""0"" &amp; RIGHT(converted, LEN(converted)-2), IF(LEFT(converted,1)&lt;&gt;""0"", ""0"" &amp; converted, REGEXREPL"&amp;"ACE(converted , ""\s"", """")) ) ) ) )"),"09102669011")</f>
        <v>09102669011</v>
      </c>
      <c r="E1470" s="196" t="s">
        <v>17</v>
      </c>
      <c r="F1470" s="197">
        <v>12.0</v>
      </c>
      <c r="G1470" s="212" t="s">
        <v>746</v>
      </c>
      <c r="H1470" s="212" t="s">
        <v>6291</v>
      </c>
      <c r="I1470" s="217"/>
      <c r="J1470" s="217"/>
      <c r="K1470" s="199" t="s">
        <v>6292</v>
      </c>
      <c r="L1470" s="199" t="s">
        <v>6293</v>
      </c>
      <c r="M1470" s="199"/>
      <c r="N1470" s="199"/>
      <c r="O1470" s="199" t="s">
        <v>6288</v>
      </c>
      <c r="P1470" s="193"/>
      <c r="Q1470" s="218" t="s">
        <v>6067</v>
      </c>
      <c r="R1470" s="86"/>
      <c r="S1470" s="114">
        <f t="shared" ref="S1470:T1470" si="1471">A1470</f>
        <v>1470</v>
      </c>
      <c r="T1470" s="114" t="str">
        <f t="shared" si="1471"/>
        <v>مبینا کتابی</v>
      </c>
      <c r="U1470" s="86" t="str">
        <f t="shared" si="3"/>
        <v>09102669011</v>
      </c>
      <c r="V1470" s="86" t="str">
        <f t="shared" si="4"/>
        <v>پیش‌وایی 12</v>
      </c>
      <c r="W1470" s="86"/>
      <c r="X1470" s="86"/>
    </row>
    <row r="1471">
      <c r="A1471" s="201">
        <v>1471.0</v>
      </c>
      <c r="B1471" s="202" t="s">
        <v>6294</v>
      </c>
      <c r="C1471" s="203" t="s">
        <v>6295</v>
      </c>
      <c r="D1471" s="204" t="str">
        <f>IFERROR(__xludf.DUMMYFUNCTION("ARRAYFORMULA(LET( converted, SUBSTITUTE( SUBSTITUTE( SUBSTITUTE( SUBSTITUTE( SUBSTITUTE( SUBSTITUTE( SUBSTITUTE( SUBSTITUTE( SUBSTITUTE( SUBSTITUTE( C1471, ""۰"", ""0""), ""۱"", ""1""), ""۲"", ""2""), ""۳"", ""3""), ""۴"", ""4""), ""۵"", ""5""), ""۶"", """&amp;"6""), ""۷"", ""7""), ""۸"", ""8""), ""۹"", ""9""), IF(LEFT(converted,3)=""+98"", ""0"" &amp; RIGHT(converted, LEN(converted)-3), IF(LEFT(converted,2)=""98"", ""0"" &amp; RIGHT(converted, LEN(converted)-2), IF(LEFT(converted,1)&lt;&gt;""0"", ""0"" &amp; converted, REGEXREPL"&amp;"ACE(converted , ""\s"", """")) ) ) ) )"),"09129151375")</f>
        <v>09129151375</v>
      </c>
      <c r="E1471" s="205" t="s">
        <v>17</v>
      </c>
      <c r="F1471" s="206">
        <v>12.0</v>
      </c>
      <c r="G1471" s="213" t="s">
        <v>746</v>
      </c>
      <c r="H1471" s="213" t="s">
        <v>6296</v>
      </c>
      <c r="I1471" s="215"/>
      <c r="J1471" s="215"/>
      <c r="K1471" s="207" t="s">
        <v>796</v>
      </c>
      <c r="L1471" s="207" t="s">
        <v>6297</v>
      </c>
      <c r="M1471" s="207"/>
      <c r="N1471" s="207"/>
      <c r="O1471" s="207" t="s">
        <v>6288</v>
      </c>
      <c r="P1471" s="202"/>
      <c r="Q1471" s="216" t="s">
        <v>6067</v>
      </c>
      <c r="R1471" s="86"/>
      <c r="S1471" s="114">
        <f t="shared" ref="S1471:T1471" si="1472">A1471</f>
        <v>1471</v>
      </c>
      <c r="T1471" s="114" t="str">
        <f t="shared" si="1472"/>
        <v>پریسا جوکار</v>
      </c>
      <c r="U1471" s="86" t="str">
        <f t="shared" si="3"/>
        <v>09129151375</v>
      </c>
      <c r="V1471" s="86" t="str">
        <f t="shared" si="4"/>
        <v>پیش‌وایی 12</v>
      </c>
      <c r="W1471" s="86"/>
      <c r="X1471" s="86"/>
    </row>
    <row r="1472">
      <c r="A1472" s="192">
        <v>1472.0</v>
      </c>
      <c r="B1472" s="193" t="s">
        <v>5702</v>
      </c>
      <c r="C1472" s="194" t="s">
        <v>5703</v>
      </c>
      <c r="D1472" s="195" t="str">
        <f>IFERROR(__xludf.DUMMYFUNCTION("ARRAYFORMULA(LET( converted, SUBSTITUTE( SUBSTITUTE( SUBSTITUTE( SUBSTITUTE( SUBSTITUTE( SUBSTITUTE( SUBSTITUTE( SUBSTITUTE( SUBSTITUTE( SUBSTITUTE( C1472, ""۰"", ""0""), ""۱"", ""1""), ""۲"", ""2""), ""۳"", ""3""), ""۴"", ""4""), ""۵"", ""5""), ""۶"", """&amp;"6""), ""۷"", ""7""), ""۸"", ""8""), ""۹"", ""9""), IF(LEFT(converted,3)=""+98"", ""0"" &amp; RIGHT(converted, LEN(converted)-3), IF(LEFT(converted,2)=""98"", ""0"" &amp; RIGHT(converted, LEN(converted)-2), IF(LEFT(converted,1)&lt;&gt;""0"", ""0"" &amp; converted, REGEXREPL"&amp;"ACE(converted , ""\s"", """")) ) ) ) )"),"09112512459")</f>
        <v>09112512459</v>
      </c>
      <c r="E1472" s="196" t="s">
        <v>17</v>
      </c>
      <c r="F1472" s="197">
        <v>12.0</v>
      </c>
      <c r="G1472" s="212" t="s">
        <v>730</v>
      </c>
      <c r="H1472" s="212" t="s">
        <v>6298</v>
      </c>
      <c r="I1472" s="217"/>
      <c r="J1472" s="217"/>
      <c r="K1472" s="199" t="s">
        <v>1459</v>
      </c>
      <c r="L1472" s="199" t="s">
        <v>3528</v>
      </c>
      <c r="M1472" s="199"/>
      <c r="N1472" s="199"/>
      <c r="O1472" s="199" t="s">
        <v>6288</v>
      </c>
      <c r="P1472" s="193"/>
      <c r="Q1472" s="218" t="s">
        <v>6067</v>
      </c>
      <c r="R1472" s="86"/>
      <c r="S1472" s="114">
        <f t="shared" ref="S1472:T1472" si="1473">A1472</f>
        <v>1472</v>
      </c>
      <c r="T1472" s="114" t="str">
        <f t="shared" si="1473"/>
        <v>رضا عباسی</v>
      </c>
      <c r="U1472" s="86" t="str">
        <f t="shared" si="3"/>
        <v>09112512459</v>
      </c>
      <c r="V1472" s="86" t="str">
        <f t="shared" si="4"/>
        <v>پیش‌وایی 12</v>
      </c>
      <c r="W1472" s="86"/>
      <c r="X1472" s="86"/>
    </row>
    <row r="1473">
      <c r="A1473" s="201">
        <v>1473.0</v>
      </c>
      <c r="B1473" s="202" t="s">
        <v>6299</v>
      </c>
      <c r="C1473" s="203" t="s">
        <v>6300</v>
      </c>
      <c r="D1473" s="204" t="str">
        <f>IFERROR(__xludf.DUMMYFUNCTION("ARRAYFORMULA(LET( converted, SUBSTITUTE( SUBSTITUTE( SUBSTITUTE( SUBSTITUTE( SUBSTITUTE( SUBSTITUTE( SUBSTITUTE( SUBSTITUTE( SUBSTITUTE( SUBSTITUTE( C1473, ""۰"", ""0""), ""۱"", ""1""), ""۲"", ""2""), ""۳"", ""3""), ""۴"", ""4""), ""۵"", ""5""), ""۶"", """&amp;"6""), ""۷"", ""7""), ""۸"", ""8""), ""۹"", ""9""), IF(LEFT(converted,3)=""+98"", ""0"" &amp; RIGHT(converted, LEN(converted)-3), IF(LEFT(converted,2)=""98"", ""0"" &amp; RIGHT(converted, LEN(converted)-2), IF(LEFT(converted,1)&lt;&gt;""0"", ""0"" &amp; converted, REGEXREPL"&amp;"ACE(converted , ""\s"", """")) ) ) ) )"),"09199639250")</f>
        <v>09199639250</v>
      </c>
      <c r="E1473" s="205" t="s">
        <v>17</v>
      </c>
      <c r="F1473" s="206">
        <v>12.0</v>
      </c>
      <c r="G1473" s="213" t="s">
        <v>746</v>
      </c>
      <c r="H1473" s="213" t="s">
        <v>6301</v>
      </c>
      <c r="I1473" s="215"/>
      <c r="J1473" s="215"/>
      <c r="K1473" s="207" t="s">
        <v>6302</v>
      </c>
      <c r="L1473" s="207" t="s">
        <v>3087</v>
      </c>
      <c r="M1473" s="207"/>
      <c r="N1473" s="207"/>
      <c r="O1473" s="207" t="s">
        <v>6288</v>
      </c>
      <c r="P1473" s="202"/>
      <c r="Q1473" s="216" t="s">
        <v>6067</v>
      </c>
      <c r="R1473" s="86"/>
      <c r="S1473" s="114">
        <f t="shared" ref="S1473:T1473" si="1474">A1473</f>
        <v>1473</v>
      </c>
      <c r="T1473" s="114" t="str">
        <f t="shared" si="1474"/>
        <v>نهال ظاهری</v>
      </c>
      <c r="U1473" s="86" t="str">
        <f t="shared" si="3"/>
        <v>09199639250</v>
      </c>
      <c r="V1473" s="86" t="str">
        <f t="shared" si="4"/>
        <v>پیش‌وایی 12</v>
      </c>
      <c r="W1473" s="86"/>
      <c r="X1473" s="86"/>
    </row>
    <row r="1474">
      <c r="A1474" s="192">
        <v>1474.0</v>
      </c>
      <c r="B1474" s="193" t="s">
        <v>6303</v>
      </c>
      <c r="C1474" s="194" t="s">
        <v>6304</v>
      </c>
      <c r="D1474" s="195" t="str">
        <f>IFERROR(__xludf.DUMMYFUNCTION("ARRAYFORMULA(LET( converted, SUBSTITUTE( SUBSTITUTE( SUBSTITUTE( SUBSTITUTE( SUBSTITUTE( SUBSTITUTE( SUBSTITUTE( SUBSTITUTE( SUBSTITUTE( SUBSTITUTE( C1474, ""۰"", ""0""), ""۱"", ""1""), ""۲"", ""2""), ""۳"", ""3""), ""۴"", ""4""), ""۵"", ""5""), ""۶"", """&amp;"6""), ""۷"", ""7""), ""۸"", ""8""), ""۹"", ""9""), IF(LEFT(converted,3)=""+98"", ""0"" &amp; RIGHT(converted, LEN(converted)-3), IF(LEFT(converted,2)=""98"", ""0"" &amp; RIGHT(converted, LEN(converted)-2), IF(LEFT(converted,1)&lt;&gt;""0"", ""0"" &amp; converted, REGEXREPL"&amp;"ACE(converted , ""\s"", """")) ) ) ) )"),"09351178986")</f>
        <v>09351178986</v>
      </c>
      <c r="E1474" s="196" t="s">
        <v>17</v>
      </c>
      <c r="F1474" s="197">
        <v>12.0</v>
      </c>
      <c r="G1474" s="212" t="s">
        <v>746</v>
      </c>
      <c r="H1474" s="212" t="s">
        <v>6305</v>
      </c>
      <c r="I1474" s="217"/>
      <c r="J1474" s="217"/>
      <c r="K1474" s="199" t="s">
        <v>1032</v>
      </c>
      <c r="L1474" s="199" t="s">
        <v>3194</v>
      </c>
      <c r="M1474" s="199"/>
      <c r="N1474" s="199"/>
      <c r="O1474" s="199" t="s">
        <v>6288</v>
      </c>
      <c r="P1474" s="193"/>
      <c r="Q1474" s="218" t="s">
        <v>6067</v>
      </c>
      <c r="R1474" s="86"/>
      <c r="S1474" s="114">
        <f t="shared" ref="S1474:T1474" si="1475">A1474</f>
        <v>1474</v>
      </c>
      <c r="T1474" s="114" t="str">
        <f t="shared" si="1475"/>
        <v>آذین امیری</v>
      </c>
      <c r="U1474" s="86" t="str">
        <f t="shared" si="3"/>
        <v>09351178986</v>
      </c>
      <c r="V1474" s="86" t="str">
        <f t="shared" si="4"/>
        <v>پیش‌وایی 12</v>
      </c>
      <c r="W1474" s="86"/>
      <c r="X1474" s="86"/>
    </row>
    <row r="1475">
      <c r="A1475" s="201">
        <v>1475.0</v>
      </c>
      <c r="B1475" s="202" t="s">
        <v>6306</v>
      </c>
      <c r="C1475" s="203" t="s">
        <v>6307</v>
      </c>
      <c r="D1475" s="204" t="str">
        <f>IFERROR(__xludf.DUMMYFUNCTION("ARRAYFORMULA(LET( converted, SUBSTITUTE( SUBSTITUTE( SUBSTITUTE( SUBSTITUTE( SUBSTITUTE( SUBSTITUTE( SUBSTITUTE( SUBSTITUTE( SUBSTITUTE( SUBSTITUTE( C1475, ""۰"", ""0""), ""۱"", ""1""), ""۲"", ""2""), ""۳"", ""3""), ""۴"", ""4""), ""۵"", ""5""), ""۶"", """&amp;"6""), ""۷"", ""7""), ""۸"", ""8""), ""۹"", ""9""), IF(LEFT(converted,3)=""+98"", ""0"" &amp; RIGHT(converted, LEN(converted)-3), IF(LEFT(converted,2)=""98"", ""0"" &amp; RIGHT(converted, LEN(converted)-2), IF(LEFT(converted,1)&lt;&gt;""0"", ""0"" &amp; converted, REGEXREPL"&amp;"ACE(converted , ""\s"", """")) ) ) ) )"),"09226637640")</f>
        <v>09226637640</v>
      </c>
      <c r="E1475" s="205" t="s">
        <v>17</v>
      </c>
      <c r="F1475" s="206">
        <v>12.0</v>
      </c>
      <c r="G1475" s="213" t="s">
        <v>730</v>
      </c>
      <c r="H1475" s="213" t="s">
        <v>6308</v>
      </c>
      <c r="I1475" s="215"/>
      <c r="J1475" s="215"/>
      <c r="K1475" s="207" t="s">
        <v>1248</v>
      </c>
      <c r="L1475" s="207" t="s">
        <v>6309</v>
      </c>
      <c r="M1475" s="207"/>
      <c r="N1475" s="207"/>
      <c r="O1475" s="207" t="s">
        <v>6288</v>
      </c>
      <c r="P1475" s="202"/>
      <c r="Q1475" s="216" t="s">
        <v>6310</v>
      </c>
      <c r="R1475" s="86"/>
      <c r="S1475" s="114">
        <f t="shared" ref="S1475:T1475" si="1476">A1475</f>
        <v>1475</v>
      </c>
      <c r="T1475" s="114" t="str">
        <f t="shared" si="1476"/>
        <v>جواد مه آبادی</v>
      </c>
      <c r="U1475" s="86" t="str">
        <f t="shared" si="3"/>
        <v>09226637640</v>
      </c>
      <c r="V1475" s="86" t="str">
        <f t="shared" si="4"/>
        <v>پیش‌وایی 12</v>
      </c>
      <c r="W1475" s="86"/>
      <c r="X1475" s="86"/>
    </row>
    <row r="1476">
      <c r="A1476" s="192">
        <v>1476.0</v>
      </c>
      <c r="B1476" s="193" t="s">
        <v>6311</v>
      </c>
      <c r="C1476" s="194" t="s">
        <v>6312</v>
      </c>
      <c r="D1476" s="195" t="str">
        <f>IFERROR(__xludf.DUMMYFUNCTION("ARRAYFORMULA(LET( converted, SUBSTITUTE( SUBSTITUTE( SUBSTITUTE( SUBSTITUTE( SUBSTITUTE( SUBSTITUTE( SUBSTITUTE( SUBSTITUTE( SUBSTITUTE( SUBSTITUTE( C1476, ""۰"", ""0""), ""۱"", ""1""), ""۲"", ""2""), ""۳"", ""3""), ""۴"", ""4""), ""۵"", ""5""), ""۶"", """&amp;"6""), ""۷"", ""7""), ""۸"", ""8""), ""۹"", ""9""), IF(LEFT(converted,3)=""+98"", ""0"" &amp; RIGHT(converted, LEN(converted)-3), IF(LEFT(converted,2)=""98"", ""0"" &amp; RIGHT(converted, LEN(converted)-2), IF(LEFT(converted,1)&lt;&gt;""0"", ""0"" &amp; converted, REGEXREPL"&amp;"ACE(converted , ""\s"", """")) ) ) ) )"),"09152496838")</f>
        <v>09152496838</v>
      </c>
      <c r="E1476" s="196" t="s">
        <v>17</v>
      </c>
      <c r="F1476" s="197">
        <v>12.0</v>
      </c>
      <c r="G1476" s="212" t="s">
        <v>730</v>
      </c>
      <c r="H1476" s="212" t="s">
        <v>6313</v>
      </c>
      <c r="I1476" s="217"/>
      <c r="J1476" s="217"/>
      <c r="K1476" s="199" t="s">
        <v>1466</v>
      </c>
      <c r="L1476" s="199" t="s">
        <v>6314</v>
      </c>
      <c r="M1476" s="199"/>
      <c r="N1476" s="199"/>
      <c r="O1476" s="199" t="s">
        <v>6288</v>
      </c>
      <c r="P1476" s="193"/>
      <c r="Q1476" s="218" t="s">
        <v>6067</v>
      </c>
      <c r="R1476" s="86"/>
      <c r="S1476" s="114">
        <f t="shared" ref="S1476:T1476" si="1477">A1476</f>
        <v>1476</v>
      </c>
      <c r="T1476" s="114" t="str">
        <f t="shared" si="1477"/>
        <v>امیرعلی معصوم زاده</v>
      </c>
      <c r="U1476" s="86" t="str">
        <f t="shared" si="3"/>
        <v>09152496838</v>
      </c>
      <c r="V1476" s="86" t="str">
        <f t="shared" si="4"/>
        <v>پیش‌وایی 12</v>
      </c>
      <c r="W1476" s="86"/>
      <c r="X1476" s="86"/>
    </row>
    <row r="1477">
      <c r="A1477" s="201">
        <v>1477.0</v>
      </c>
      <c r="B1477" s="202" t="s">
        <v>6315</v>
      </c>
      <c r="C1477" s="203" t="s">
        <v>6316</v>
      </c>
      <c r="D1477" s="204" t="str">
        <f>IFERROR(__xludf.DUMMYFUNCTION("ARRAYFORMULA(LET( converted, SUBSTITUTE( SUBSTITUTE( SUBSTITUTE( SUBSTITUTE( SUBSTITUTE( SUBSTITUTE( SUBSTITUTE( SUBSTITUTE( SUBSTITUTE( SUBSTITUTE( C1477, ""۰"", ""0""), ""۱"", ""1""), ""۲"", ""2""), ""۳"", ""3""), ""۴"", ""4""), ""۵"", ""5""), ""۶"", """&amp;"6""), ""۷"", ""7""), ""۸"", ""8""), ""۹"", ""9""), IF(LEFT(converted,3)=""+98"", ""0"" &amp; RIGHT(converted, LEN(converted)-3), IF(LEFT(converted,2)=""98"", ""0"" &amp; RIGHT(converted, LEN(converted)-2), IF(LEFT(converted,1)&lt;&gt;""0"", ""0"" &amp; converted, REGEXREPL"&amp;"ACE(converted , ""\s"", """")) ) ) ) )"),"09921689734")</f>
        <v>09921689734</v>
      </c>
      <c r="E1477" s="205" t="s">
        <v>17</v>
      </c>
      <c r="F1477" s="206">
        <v>12.0</v>
      </c>
      <c r="G1477" s="213" t="s">
        <v>730</v>
      </c>
      <c r="H1477" s="213" t="s">
        <v>6317</v>
      </c>
      <c r="I1477" s="215"/>
      <c r="J1477" s="215"/>
      <c r="K1477" s="207" t="s">
        <v>247</v>
      </c>
      <c r="L1477" s="207" t="s">
        <v>2451</v>
      </c>
      <c r="M1477" s="207"/>
      <c r="N1477" s="207"/>
      <c r="O1477" s="207" t="s">
        <v>6288</v>
      </c>
      <c r="P1477" s="202"/>
      <c r="Q1477" s="216" t="s">
        <v>6067</v>
      </c>
      <c r="R1477" s="86"/>
      <c r="S1477" s="114">
        <f t="shared" ref="S1477:T1477" si="1478">A1477</f>
        <v>1477</v>
      </c>
      <c r="T1477" s="114" t="str">
        <f t="shared" si="1478"/>
        <v>سجاد جلالی</v>
      </c>
      <c r="U1477" s="86" t="str">
        <f t="shared" si="3"/>
        <v>09921689734</v>
      </c>
      <c r="V1477" s="86" t="str">
        <f t="shared" si="4"/>
        <v>پیش‌وایی 12</v>
      </c>
      <c r="W1477" s="86"/>
      <c r="X1477" s="86"/>
    </row>
    <row r="1478">
      <c r="A1478" s="192">
        <v>1478.0</v>
      </c>
      <c r="B1478" s="193" t="s">
        <v>6318</v>
      </c>
      <c r="C1478" s="194" t="s">
        <v>6319</v>
      </c>
      <c r="D1478" s="195" t="str">
        <f>IFERROR(__xludf.DUMMYFUNCTION("ARRAYFORMULA(LET( converted, SUBSTITUTE( SUBSTITUTE( SUBSTITUTE( SUBSTITUTE( SUBSTITUTE( SUBSTITUTE( SUBSTITUTE( SUBSTITUTE( SUBSTITUTE( SUBSTITUTE( C1478, ""۰"", ""0""), ""۱"", ""1""), ""۲"", ""2""), ""۳"", ""3""), ""۴"", ""4""), ""۵"", ""5""), ""۶"", """&amp;"6""), ""۷"", ""7""), ""۸"", ""8""), ""۹"", ""9""), IF(LEFT(converted,3)=""+98"", ""0"" &amp; RIGHT(converted, LEN(converted)-3), IF(LEFT(converted,2)=""98"", ""0"" &amp; RIGHT(converted, LEN(converted)-2), IF(LEFT(converted,1)&lt;&gt;""0"", ""0"" &amp; converted, REGEXREPL"&amp;"ACE(converted , ""\s"", """")) ) ) ) )"),"09120259834")</f>
        <v>09120259834</v>
      </c>
      <c r="E1478" s="196" t="s">
        <v>17</v>
      </c>
      <c r="F1478" s="197">
        <v>12.0</v>
      </c>
      <c r="G1478" s="212" t="s">
        <v>746</v>
      </c>
      <c r="H1478" s="212" t="s">
        <v>6320</v>
      </c>
      <c r="I1478" s="217"/>
      <c r="J1478" s="217"/>
      <c r="K1478" s="199" t="s">
        <v>6321</v>
      </c>
      <c r="L1478" s="199" t="s">
        <v>6322</v>
      </c>
      <c r="M1478" s="199"/>
      <c r="N1478" s="199"/>
      <c r="O1478" s="199" t="s">
        <v>6288</v>
      </c>
      <c r="P1478" s="193"/>
      <c r="Q1478" s="218" t="s">
        <v>6067</v>
      </c>
      <c r="R1478" s="86"/>
      <c r="S1478" s="114">
        <f t="shared" ref="S1478:T1478" si="1479">A1478</f>
        <v>1478</v>
      </c>
      <c r="T1478" s="114" t="str">
        <f t="shared" si="1479"/>
        <v>مهرناز سیم دار</v>
      </c>
      <c r="U1478" s="86" t="str">
        <f t="shared" si="3"/>
        <v>09120259834</v>
      </c>
      <c r="V1478" s="86" t="str">
        <f t="shared" si="4"/>
        <v>پیش‌وایی 12</v>
      </c>
      <c r="W1478" s="86"/>
      <c r="X1478" s="86"/>
    </row>
    <row r="1479">
      <c r="A1479" s="201">
        <v>1479.0</v>
      </c>
      <c r="B1479" s="202" t="s">
        <v>6323</v>
      </c>
      <c r="C1479" s="203" t="s">
        <v>6324</v>
      </c>
      <c r="D1479" s="204" t="str">
        <f>IFERROR(__xludf.DUMMYFUNCTION("ARRAYFORMULA(LET( converted, SUBSTITUTE( SUBSTITUTE( SUBSTITUTE( SUBSTITUTE( SUBSTITUTE( SUBSTITUTE( SUBSTITUTE( SUBSTITUTE( SUBSTITUTE( SUBSTITUTE( C1479, ""۰"", ""0""), ""۱"", ""1""), ""۲"", ""2""), ""۳"", ""3""), ""۴"", ""4""), ""۵"", ""5""), ""۶"", """&amp;"6""), ""۷"", ""7""), ""۸"", ""8""), ""۹"", ""9""), IF(LEFT(converted,3)=""+98"", ""0"" &amp; RIGHT(converted, LEN(converted)-3), IF(LEFT(converted,2)=""98"", ""0"" &amp; RIGHT(converted, LEN(converted)-2), IF(LEFT(converted,1)&lt;&gt;""0"", ""0"" &amp; converted, REGEXREPL"&amp;"ACE(converted , ""\s"", """")) ) ) ) )"),"09152170729")</f>
        <v>09152170729</v>
      </c>
      <c r="E1479" s="205" t="s">
        <v>17</v>
      </c>
      <c r="F1479" s="206">
        <v>12.0</v>
      </c>
      <c r="G1479" s="213" t="s">
        <v>730</v>
      </c>
      <c r="H1479" s="213" t="s">
        <v>6325</v>
      </c>
      <c r="I1479" s="215"/>
      <c r="J1479" s="215"/>
      <c r="K1479" s="207" t="s">
        <v>1161</v>
      </c>
      <c r="L1479" s="207" t="s">
        <v>6326</v>
      </c>
      <c r="M1479" s="207"/>
      <c r="N1479" s="207"/>
      <c r="O1479" s="207" t="s">
        <v>6288</v>
      </c>
      <c r="P1479" s="202"/>
      <c r="Q1479" s="216" t="s">
        <v>6067</v>
      </c>
      <c r="R1479" s="86"/>
      <c r="S1479" s="114">
        <f t="shared" ref="S1479:T1479" si="1480">A1479</f>
        <v>1479</v>
      </c>
      <c r="T1479" s="114" t="str">
        <f t="shared" si="1480"/>
        <v>سینا رشیدی زاده</v>
      </c>
      <c r="U1479" s="86" t="str">
        <f t="shared" si="3"/>
        <v>09152170729</v>
      </c>
      <c r="V1479" s="86" t="str">
        <f t="shared" si="4"/>
        <v>پیش‌وایی 12</v>
      </c>
      <c r="W1479" s="86"/>
      <c r="X1479" s="86"/>
    </row>
    <row r="1480">
      <c r="A1480" s="192">
        <v>1480.0</v>
      </c>
      <c r="B1480" s="193" t="s">
        <v>6327</v>
      </c>
      <c r="C1480" s="194" t="s">
        <v>6328</v>
      </c>
      <c r="D1480" s="195" t="str">
        <f>IFERROR(__xludf.DUMMYFUNCTION("ARRAYFORMULA(LET( converted, SUBSTITUTE( SUBSTITUTE( SUBSTITUTE( SUBSTITUTE( SUBSTITUTE( SUBSTITUTE( SUBSTITUTE( SUBSTITUTE( SUBSTITUTE( SUBSTITUTE( C1480, ""۰"", ""0""), ""۱"", ""1""), ""۲"", ""2""), ""۳"", ""3""), ""۴"", ""4""), ""۵"", ""5""), ""۶"", """&amp;"6""), ""۷"", ""7""), ""۸"", ""8""), ""۹"", ""9""), IF(LEFT(converted,3)=""+98"", ""0"" &amp; RIGHT(converted, LEN(converted)-3), IF(LEFT(converted,2)=""98"", ""0"" &amp; RIGHT(converted, LEN(converted)-2), IF(LEFT(converted,1)&lt;&gt;""0"", ""0"" &amp; converted, REGEXREPL"&amp;"ACE(converted , ""\s"", """")) ) ) ) )"),"09363132130")</f>
        <v>09363132130</v>
      </c>
      <c r="E1480" s="196" t="s">
        <v>17</v>
      </c>
      <c r="F1480" s="197">
        <v>12.0</v>
      </c>
      <c r="G1480" s="212" t="s">
        <v>730</v>
      </c>
      <c r="H1480" s="212" t="s">
        <v>6329</v>
      </c>
      <c r="I1480" s="217"/>
      <c r="J1480" s="217"/>
      <c r="K1480" s="199" t="s">
        <v>259</v>
      </c>
      <c r="L1480" s="199" t="s">
        <v>6330</v>
      </c>
      <c r="M1480" s="199"/>
      <c r="N1480" s="199"/>
      <c r="O1480" s="199" t="s">
        <v>6066</v>
      </c>
      <c r="P1480" s="193"/>
      <c r="Q1480" s="218" t="s">
        <v>6067</v>
      </c>
      <c r="R1480" s="86"/>
      <c r="S1480" s="114">
        <f t="shared" ref="S1480:T1480" si="1481">A1480</f>
        <v>1480</v>
      </c>
      <c r="T1480" s="114" t="str">
        <f t="shared" si="1481"/>
        <v>علیرضا شیرخدائی</v>
      </c>
      <c r="U1480" s="86" t="str">
        <f t="shared" si="3"/>
        <v>09363132130</v>
      </c>
      <c r="V1480" s="86" t="str">
        <f t="shared" si="4"/>
        <v>پیش‌وایی 12</v>
      </c>
      <c r="W1480" s="86"/>
      <c r="X1480" s="86"/>
    </row>
    <row r="1481">
      <c r="A1481" s="201">
        <v>1481.0</v>
      </c>
      <c r="B1481" s="202" t="s">
        <v>6331</v>
      </c>
      <c r="C1481" s="203" t="s">
        <v>6332</v>
      </c>
      <c r="D1481" s="204" t="str">
        <f>IFERROR(__xludf.DUMMYFUNCTION("ARRAYFORMULA(LET( converted, SUBSTITUTE( SUBSTITUTE( SUBSTITUTE( SUBSTITUTE( SUBSTITUTE( SUBSTITUTE( SUBSTITUTE( SUBSTITUTE( SUBSTITUTE( SUBSTITUTE( C1481, ""۰"", ""0""), ""۱"", ""1""), ""۲"", ""2""), ""۳"", ""3""), ""۴"", ""4""), ""۵"", ""5""), ""۶"", """&amp;"6""), ""۷"", ""7""), ""۸"", ""8""), ""۹"", ""9""), IF(LEFT(converted,3)=""+98"", ""0"" &amp; RIGHT(converted, LEN(converted)-3), IF(LEFT(converted,2)=""98"", ""0"" &amp; RIGHT(converted, LEN(converted)-2), IF(LEFT(converted,1)&lt;&gt;""0"", ""0"" &amp; converted, REGEXREPL"&amp;"ACE(converted , ""\s"", """")) ) ) ) )"),"09901912477")</f>
        <v>09901912477</v>
      </c>
      <c r="E1481" s="205" t="s">
        <v>17</v>
      </c>
      <c r="F1481" s="206">
        <v>12.0</v>
      </c>
      <c r="G1481" s="213" t="s">
        <v>746</v>
      </c>
      <c r="H1481" s="213" t="s">
        <v>6333</v>
      </c>
      <c r="I1481" s="215"/>
      <c r="J1481" s="215"/>
      <c r="K1481" s="207" t="s">
        <v>818</v>
      </c>
      <c r="L1481" s="207" t="s">
        <v>6334</v>
      </c>
      <c r="M1481" s="207"/>
      <c r="N1481" s="207"/>
      <c r="O1481" s="207" t="s">
        <v>6066</v>
      </c>
      <c r="P1481" s="202"/>
      <c r="Q1481" s="216" t="s">
        <v>6067</v>
      </c>
      <c r="R1481" s="86"/>
      <c r="S1481" s="114">
        <f t="shared" ref="S1481:T1481" si="1482">A1481</f>
        <v>1481</v>
      </c>
      <c r="T1481" s="114" t="str">
        <f t="shared" si="1482"/>
        <v>اعظم پارسائی تبار</v>
      </c>
      <c r="U1481" s="86" t="str">
        <f t="shared" si="3"/>
        <v>09901912477</v>
      </c>
      <c r="V1481" s="86" t="str">
        <f t="shared" si="4"/>
        <v>پیش‌وایی 12</v>
      </c>
      <c r="W1481" s="86"/>
      <c r="X1481" s="86"/>
    </row>
    <row r="1482">
      <c r="A1482" s="192">
        <v>1482.0</v>
      </c>
      <c r="B1482" s="193" t="s">
        <v>6335</v>
      </c>
      <c r="C1482" s="194" t="s">
        <v>6336</v>
      </c>
      <c r="D1482" s="195" t="str">
        <f>IFERROR(__xludf.DUMMYFUNCTION("ARRAYFORMULA(LET( converted, SUBSTITUTE( SUBSTITUTE( SUBSTITUTE( SUBSTITUTE( SUBSTITUTE( SUBSTITUTE( SUBSTITUTE( SUBSTITUTE( SUBSTITUTE( SUBSTITUTE( C1482, ""۰"", ""0""), ""۱"", ""1""), ""۲"", ""2""), ""۳"", ""3""), ""۴"", ""4""), ""۵"", ""5""), ""۶"", """&amp;"6""), ""۷"", ""7""), ""۸"", ""8""), ""۹"", ""9""), IF(LEFT(converted,3)=""+98"", ""0"" &amp; RIGHT(converted, LEN(converted)-3), IF(LEFT(converted,2)=""98"", ""0"" &amp; RIGHT(converted, LEN(converted)-2), IF(LEFT(converted,1)&lt;&gt;""0"", ""0"" &amp; converted, REGEXREPL"&amp;"ACE(converted , ""\s"", """")) ) ) ) )"),"09121784378")</f>
        <v>09121784378</v>
      </c>
      <c r="E1482" s="196" t="s">
        <v>17</v>
      </c>
      <c r="F1482" s="197">
        <v>12.0</v>
      </c>
      <c r="G1482" s="212" t="s">
        <v>730</v>
      </c>
      <c r="H1482" s="212" t="s">
        <v>6337</v>
      </c>
      <c r="I1482" s="217"/>
      <c r="J1482" s="217"/>
      <c r="K1482" s="199" t="s">
        <v>6338</v>
      </c>
      <c r="L1482" s="199" t="s">
        <v>5187</v>
      </c>
      <c r="M1482" s="199"/>
      <c r="N1482" s="199"/>
      <c r="O1482" s="199" t="s">
        <v>6066</v>
      </c>
      <c r="P1482" s="193"/>
      <c r="Q1482" s="218" t="s">
        <v>6067</v>
      </c>
      <c r="R1482" s="86"/>
      <c r="S1482" s="114">
        <f t="shared" ref="S1482:T1482" si="1483">A1482</f>
        <v>1482</v>
      </c>
      <c r="T1482" s="114" t="str">
        <f t="shared" si="1483"/>
        <v>مهدی یار کوکب زاده</v>
      </c>
      <c r="U1482" s="86" t="str">
        <f t="shared" si="3"/>
        <v>09121784378</v>
      </c>
      <c r="V1482" s="86" t="str">
        <f t="shared" si="4"/>
        <v>پیش‌وایی 12</v>
      </c>
      <c r="W1482" s="86"/>
      <c r="X1482" s="86"/>
    </row>
    <row r="1483">
      <c r="A1483" s="201">
        <v>1483.0</v>
      </c>
      <c r="B1483" s="202" t="s">
        <v>6339</v>
      </c>
      <c r="C1483" s="203" t="s">
        <v>6340</v>
      </c>
      <c r="D1483" s="204" t="str">
        <f>IFERROR(__xludf.DUMMYFUNCTION("ARRAYFORMULA(LET( converted, SUBSTITUTE( SUBSTITUTE( SUBSTITUTE( SUBSTITUTE( SUBSTITUTE( SUBSTITUTE( SUBSTITUTE( SUBSTITUTE( SUBSTITUTE( SUBSTITUTE( C1483, ""۰"", ""0""), ""۱"", ""1""), ""۲"", ""2""), ""۳"", ""3""), ""۴"", ""4""), ""۵"", ""5""), ""۶"", """&amp;"6""), ""۷"", ""7""), ""۸"", ""8""), ""۹"", ""9""), IF(LEFT(converted,3)=""+98"", ""0"" &amp; RIGHT(converted, LEN(converted)-3), IF(LEFT(converted,2)=""98"", ""0"" &amp; RIGHT(converted, LEN(converted)-2), IF(LEFT(converted,1)&lt;&gt;""0"", ""0"" &amp; converted, REGEXREPL"&amp;"ACE(converted , ""\s"", """")) ) ) ) )"),"09352822976")</f>
        <v>09352822976</v>
      </c>
      <c r="E1483" s="205" t="s">
        <v>17</v>
      </c>
      <c r="F1483" s="206">
        <v>12.0</v>
      </c>
      <c r="G1483" s="213" t="s">
        <v>730</v>
      </c>
      <c r="H1483" s="213" t="s">
        <v>6341</v>
      </c>
      <c r="I1483" s="215"/>
      <c r="J1483" s="215"/>
      <c r="K1483" s="207" t="s">
        <v>2280</v>
      </c>
      <c r="L1483" s="207" t="s">
        <v>940</v>
      </c>
      <c r="M1483" s="207"/>
      <c r="N1483" s="207"/>
      <c r="O1483" s="207" t="s">
        <v>6066</v>
      </c>
      <c r="P1483" s="202"/>
      <c r="Q1483" s="216" t="s">
        <v>6067</v>
      </c>
      <c r="R1483" s="86"/>
      <c r="S1483" s="114">
        <f t="shared" ref="S1483:T1483" si="1484">A1483</f>
        <v>1483</v>
      </c>
      <c r="T1483" s="114" t="str">
        <f t="shared" si="1484"/>
        <v>حمیدرضا کریمی</v>
      </c>
      <c r="U1483" s="86" t="str">
        <f t="shared" si="3"/>
        <v>09352822976</v>
      </c>
      <c r="V1483" s="86" t="str">
        <f t="shared" si="4"/>
        <v>پیش‌وایی 12</v>
      </c>
      <c r="W1483" s="86"/>
      <c r="X1483" s="86"/>
    </row>
    <row r="1484">
      <c r="A1484" s="192">
        <v>1484.0</v>
      </c>
      <c r="B1484" s="193" t="s">
        <v>6342</v>
      </c>
      <c r="C1484" s="194" t="s">
        <v>6343</v>
      </c>
      <c r="D1484" s="195" t="str">
        <f>IFERROR(__xludf.DUMMYFUNCTION("ARRAYFORMULA(LET( converted, SUBSTITUTE( SUBSTITUTE( SUBSTITUTE( SUBSTITUTE( SUBSTITUTE( SUBSTITUTE( SUBSTITUTE( SUBSTITUTE( SUBSTITUTE( SUBSTITUTE( C1484, ""۰"", ""0""), ""۱"", ""1""), ""۲"", ""2""), ""۳"", ""3""), ""۴"", ""4""), ""۵"", ""5""), ""۶"", """&amp;"6""), ""۷"", ""7""), ""۸"", ""8""), ""۹"", ""9""), IF(LEFT(converted,3)=""+98"", ""0"" &amp; RIGHT(converted, LEN(converted)-3), IF(LEFT(converted,2)=""98"", ""0"" &amp; RIGHT(converted, LEN(converted)-2), IF(LEFT(converted,1)&lt;&gt;""0"", ""0"" &amp; converted, REGEXREPL"&amp;"ACE(converted , ""\s"", """")) ) ) ) )"),"09362441673")</f>
        <v>09362441673</v>
      </c>
      <c r="E1484" s="196" t="s">
        <v>17</v>
      </c>
      <c r="F1484" s="197">
        <v>12.0</v>
      </c>
      <c r="G1484" s="212" t="s">
        <v>730</v>
      </c>
      <c r="H1484" s="212" t="s">
        <v>6341</v>
      </c>
      <c r="I1484" s="217"/>
      <c r="J1484" s="217"/>
      <c r="K1484" s="199" t="s">
        <v>6344</v>
      </c>
      <c r="L1484" s="199" t="s">
        <v>4503</v>
      </c>
      <c r="M1484" s="199"/>
      <c r="N1484" s="199"/>
      <c r="O1484" s="199" t="s">
        <v>6066</v>
      </c>
      <c r="P1484" s="193"/>
      <c r="Q1484" s="218" t="s">
        <v>6067</v>
      </c>
      <c r="R1484" s="86"/>
      <c r="S1484" s="114">
        <f t="shared" ref="S1484:T1484" si="1485">A1484</f>
        <v>1484</v>
      </c>
      <c r="T1484" s="114" t="str">
        <f t="shared" si="1485"/>
        <v>مولود علیزاده</v>
      </c>
      <c r="U1484" s="86" t="str">
        <f t="shared" si="3"/>
        <v>09362441673</v>
      </c>
      <c r="V1484" s="86" t="str">
        <f t="shared" si="4"/>
        <v>پیش‌وایی 12</v>
      </c>
      <c r="W1484" s="86"/>
      <c r="X1484" s="86"/>
    </row>
    <row r="1485">
      <c r="A1485" s="201">
        <v>1485.0</v>
      </c>
      <c r="B1485" s="202" t="s">
        <v>6345</v>
      </c>
      <c r="C1485" s="203" t="s">
        <v>6346</v>
      </c>
      <c r="D1485" s="204" t="str">
        <f>IFERROR(__xludf.DUMMYFUNCTION("ARRAYFORMULA(LET( converted, SUBSTITUTE( SUBSTITUTE( SUBSTITUTE( SUBSTITUTE( SUBSTITUTE( SUBSTITUTE( SUBSTITUTE( SUBSTITUTE( SUBSTITUTE( SUBSTITUTE( C1485, ""۰"", ""0""), ""۱"", ""1""), ""۲"", ""2""), ""۳"", ""3""), ""۴"", ""4""), ""۵"", ""5""), ""۶"", """&amp;"6""), ""۷"", ""7""), ""۸"", ""8""), ""۹"", ""9""), IF(LEFT(converted,3)=""+98"", ""0"" &amp; RIGHT(converted, LEN(converted)-3), IF(LEFT(converted,2)=""98"", ""0"" &amp; RIGHT(converted, LEN(converted)-2), IF(LEFT(converted,1)&lt;&gt;""0"", ""0"" &amp; converted, REGEXREPL"&amp;"ACE(converted , ""\s"", """")) ) ) ) )"),"09122102991")</f>
        <v>09122102991</v>
      </c>
      <c r="E1485" s="205" t="s">
        <v>17</v>
      </c>
      <c r="F1485" s="206">
        <v>12.0</v>
      </c>
      <c r="G1485" s="213" t="s">
        <v>730</v>
      </c>
      <c r="H1485" s="213" t="s">
        <v>6347</v>
      </c>
      <c r="I1485" s="215"/>
      <c r="J1485" s="215"/>
      <c r="K1485" s="207" t="s">
        <v>4739</v>
      </c>
      <c r="L1485" s="207" t="s">
        <v>6348</v>
      </c>
      <c r="M1485" s="207"/>
      <c r="N1485" s="207"/>
      <c r="O1485" s="207" t="s">
        <v>6066</v>
      </c>
      <c r="P1485" s="202"/>
      <c r="Q1485" s="216" t="s">
        <v>6067</v>
      </c>
      <c r="R1485" s="86"/>
      <c r="S1485" s="114">
        <f t="shared" ref="S1485:T1485" si="1486">A1485</f>
        <v>1485</v>
      </c>
      <c r="T1485" s="114" t="str">
        <f t="shared" si="1486"/>
        <v>اشکان نیک بخت</v>
      </c>
      <c r="U1485" s="86" t="str">
        <f t="shared" si="3"/>
        <v>09122102991</v>
      </c>
      <c r="V1485" s="86" t="str">
        <f t="shared" si="4"/>
        <v>پیش‌وایی 12</v>
      </c>
      <c r="W1485" s="86"/>
      <c r="X1485" s="86"/>
    </row>
    <row r="1486">
      <c r="A1486" s="192">
        <v>1486.0</v>
      </c>
      <c r="B1486" s="193" t="s">
        <v>6349</v>
      </c>
      <c r="C1486" s="194" t="s">
        <v>6350</v>
      </c>
      <c r="D1486" s="195" t="str">
        <f>IFERROR(__xludf.DUMMYFUNCTION("ARRAYFORMULA(LET( converted, SUBSTITUTE( SUBSTITUTE( SUBSTITUTE( SUBSTITUTE( SUBSTITUTE( SUBSTITUTE( SUBSTITUTE( SUBSTITUTE( SUBSTITUTE( SUBSTITUTE( C1486, ""۰"", ""0""), ""۱"", ""1""), ""۲"", ""2""), ""۳"", ""3""), ""۴"", ""4""), ""۵"", ""5""), ""۶"", """&amp;"6""), ""۷"", ""7""), ""۸"", ""8""), ""۹"", ""9""), IF(LEFT(converted,3)=""+98"", ""0"" &amp; RIGHT(converted, LEN(converted)-3), IF(LEFT(converted,2)=""98"", ""0"" &amp; RIGHT(converted, LEN(converted)-2), IF(LEFT(converted,1)&lt;&gt;""0"", ""0"" &amp; converted, REGEXREPL"&amp;"ACE(converted , ""\s"", """")) ) ) ) )"),"09122018155")</f>
        <v>09122018155</v>
      </c>
      <c r="E1486" s="196" t="s">
        <v>17</v>
      </c>
      <c r="F1486" s="197">
        <v>12.0</v>
      </c>
      <c r="G1486" s="212" t="s">
        <v>730</v>
      </c>
      <c r="H1486" s="212" t="s">
        <v>6351</v>
      </c>
      <c r="I1486" s="217"/>
      <c r="J1486" s="217"/>
      <c r="K1486" s="199" t="s">
        <v>3092</v>
      </c>
      <c r="L1486" s="199" t="s">
        <v>6352</v>
      </c>
      <c r="M1486" s="199"/>
      <c r="N1486" s="199"/>
      <c r="O1486" s="199" t="s">
        <v>6066</v>
      </c>
      <c r="P1486" s="193"/>
      <c r="Q1486" s="218" t="s">
        <v>6067</v>
      </c>
      <c r="R1486" s="86"/>
      <c r="S1486" s="114">
        <f t="shared" ref="S1486:T1486" si="1487">A1486</f>
        <v>1486</v>
      </c>
      <c r="T1486" s="114" t="str">
        <f t="shared" si="1487"/>
        <v>عرفان جداری جباری پور</v>
      </c>
      <c r="U1486" s="86" t="str">
        <f t="shared" si="3"/>
        <v>09122018155</v>
      </c>
      <c r="V1486" s="86" t="str">
        <f t="shared" si="4"/>
        <v>پیش‌وایی 12</v>
      </c>
      <c r="W1486" s="86"/>
      <c r="X1486" s="86"/>
    </row>
    <row r="1487">
      <c r="A1487" s="201">
        <v>1487.0</v>
      </c>
      <c r="B1487" s="202" t="s">
        <v>6353</v>
      </c>
      <c r="C1487" s="203" t="s">
        <v>6354</v>
      </c>
      <c r="D1487" s="204" t="str">
        <f>IFERROR(__xludf.DUMMYFUNCTION("ARRAYFORMULA(LET( converted, SUBSTITUTE( SUBSTITUTE( SUBSTITUTE( SUBSTITUTE( SUBSTITUTE( SUBSTITUTE( SUBSTITUTE( SUBSTITUTE( SUBSTITUTE( SUBSTITUTE( C1487, ""۰"", ""0""), ""۱"", ""1""), ""۲"", ""2""), ""۳"", ""3""), ""۴"", ""4""), ""۵"", ""5""), ""۶"", """&amp;"6""), ""۷"", ""7""), ""۸"", ""8""), ""۹"", ""9""), IF(LEFT(converted,3)=""+98"", ""0"" &amp; RIGHT(converted, LEN(converted)-3), IF(LEFT(converted,2)=""98"", ""0"" &amp; RIGHT(converted, LEN(converted)-2), IF(LEFT(converted,1)&lt;&gt;""0"", ""0"" &amp; converted, REGEXREPL"&amp;"ACE(converted , ""\s"", """")) ) ) ) )"),"09120365296")</f>
        <v>09120365296</v>
      </c>
      <c r="E1487" s="205" t="s">
        <v>17</v>
      </c>
      <c r="F1487" s="206">
        <v>12.0</v>
      </c>
      <c r="G1487" s="213" t="s">
        <v>746</v>
      </c>
      <c r="H1487" s="213" t="s">
        <v>6355</v>
      </c>
      <c r="I1487" s="215"/>
      <c r="J1487" s="215"/>
      <c r="K1487" s="207" t="s">
        <v>1633</v>
      </c>
      <c r="L1487" s="207" t="s">
        <v>6356</v>
      </c>
      <c r="M1487" s="207"/>
      <c r="N1487" s="207"/>
      <c r="O1487" s="207" t="s">
        <v>6066</v>
      </c>
      <c r="P1487" s="202"/>
      <c r="Q1487" s="216" t="s">
        <v>6067</v>
      </c>
      <c r="R1487" s="86"/>
      <c r="S1487" s="114">
        <f t="shared" ref="S1487:T1487" si="1488">A1487</f>
        <v>1487</v>
      </c>
      <c r="T1487" s="114" t="str">
        <f t="shared" si="1488"/>
        <v>یاسمن ندایی</v>
      </c>
      <c r="U1487" s="86" t="str">
        <f t="shared" si="3"/>
        <v>09120365296</v>
      </c>
      <c r="V1487" s="86" t="str">
        <f t="shared" si="4"/>
        <v>پیش‌وایی 12</v>
      </c>
      <c r="W1487" s="86"/>
      <c r="X1487" s="86"/>
    </row>
    <row r="1488">
      <c r="A1488" s="192">
        <v>1488.0</v>
      </c>
      <c r="B1488" s="193" t="s">
        <v>6357</v>
      </c>
      <c r="C1488" s="194" t="s">
        <v>6358</v>
      </c>
      <c r="D1488" s="195" t="str">
        <f>IFERROR(__xludf.DUMMYFUNCTION("ARRAYFORMULA(LET( converted, SUBSTITUTE( SUBSTITUTE( SUBSTITUTE( SUBSTITUTE( SUBSTITUTE( SUBSTITUTE( SUBSTITUTE( SUBSTITUTE( SUBSTITUTE( SUBSTITUTE( C1488, ""۰"", ""0""), ""۱"", ""1""), ""۲"", ""2""), ""۳"", ""3""), ""۴"", ""4""), ""۵"", ""5""), ""۶"", """&amp;"6""), ""۷"", ""7""), ""۸"", ""8""), ""۹"", ""9""), IF(LEFT(converted,3)=""+98"", ""0"" &amp; RIGHT(converted, LEN(converted)-3), IF(LEFT(converted,2)=""98"", ""0"" &amp; RIGHT(converted, LEN(converted)-2), IF(LEFT(converted,1)&lt;&gt;""0"", ""0"" &amp; converted, REGEXREPL"&amp;"ACE(converted , ""\s"", """")) ) ) ) )"),"09136491126")</f>
        <v>09136491126</v>
      </c>
      <c r="E1488" s="196" t="s">
        <v>17</v>
      </c>
      <c r="F1488" s="197">
        <v>12.0</v>
      </c>
      <c r="G1488" s="212" t="s">
        <v>730</v>
      </c>
      <c r="H1488" s="212" t="s">
        <v>6359</v>
      </c>
      <c r="I1488" s="217"/>
      <c r="J1488" s="217"/>
      <c r="K1488" s="199" t="s">
        <v>1018</v>
      </c>
      <c r="L1488" s="199" t="s">
        <v>6360</v>
      </c>
      <c r="M1488" s="199"/>
      <c r="N1488" s="199"/>
      <c r="O1488" s="199" t="s">
        <v>6066</v>
      </c>
      <c r="P1488" s="193"/>
      <c r="Q1488" s="218" t="s">
        <v>6067</v>
      </c>
      <c r="R1488" s="86"/>
      <c r="S1488" s="114">
        <f t="shared" ref="S1488:T1488" si="1489">A1488</f>
        <v>1488</v>
      </c>
      <c r="T1488" s="114" t="str">
        <f t="shared" si="1489"/>
        <v>علی مهدیان</v>
      </c>
      <c r="U1488" s="86" t="str">
        <f t="shared" si="3"/>
        <v>09136491126</v>
      </c>
      <c r="V1488" s="86" t="str">
        <f t="shared" si="4"/>
        <v>پیش‌وایی 12</v>
      </c>
      <c r="W1488" s="86"/>
      <c r="X1488" s="86"/>
    </row>
    <row r="1489">
      <c r="A1489" s="201">
        <v>1489.0</v>
      </c>
      <c r="B1489" s="202" t="s">
        <v>6361</v>
      </c>
      <c r="C1489" s="203" t="s">
        <v>6362</v>
      </c>
      <c r="D1489" s="204" t="str">
        <f>IFERROR(__xludf.DUMMYFUNCTION("ARRAYFORMULA(LET( converted, SUBSTITUTE( SUBSTITUTE( SUBSTITUTE( SUBSTITUTE( SUBSTITUTE( SUBSTITUTE( SUBSTITUTE( SUBSTITUTE( SUBSTITUTE( SUBSTITUTE( C1489, ""۰"", ""0""), ""۱"", ""1""), ""۲"", ""2""), ""۳"", ""3""), ""۴"", ""4""), ""۵"", ""5""), ""۶"", """&amp;"6""), ""۷"", ""7""), ""۸"", ""8""), ""۹"", ""9""), IF(LEFT(converted,3)=""+98"", ""0"" &amp; RIGHT(converted, LEN(converted)-3), IF(LEFT(converted,2)=""98"", ""0"" &amp; RIGHT(converted, LEN(converted)-2), IF(LEFT(converted,1)&lt;&gt;""0"", ""0"" &amp; converted, REGEXREPL"&amp;"ACE(converted , ""\s"", """")) ) ) ) )"),"09218852539")</f>
        <v>09218852539</v>
      </c>
      <c r="E1489" s="205" t="s">
        <v>17</v>
      </c>
      <c r="F1489" s="206">
        <v>12.0</v>
      </c>
      <c r="G1489" s="213" t="s">
        <v>730</v>
      </c>
      <c r="H1489" s="213" t="s">
        <v>6363</v>
      </c>
      <c r="I1489" s="215"/>
      <c r="J1489" s="215"/>
      <c r="K1489" s="207" t="s">
        <v>3272</v>
      </c>
      <c r="L1489" s="207" t="s">
        <v>6364</v>
      </c>
      <c r="M1489" s="207"/>
      <c r="N1489" s="207"/>
      <c r="O1489" s="207" t="s">
        <v>6066</v>
      </c>
      <c r="P1489" s="202"/>
      <c r="Q1489" s="216" t="s">
        <v>6137</v>
      </c>
      <c r="R1489" s="86"/>
      <c r="S1489" s="114">
        <f t="shared" ref="S1489:T1489" si="1490">A1489</f>
        <v>1489</v>
      </c>
      <c r="T1489" s="114" t="str">
        <f t="shared" si="1490"/>
        <v>محمدجواد صادق دوست</v>
      </c>
      <c r="U1489" s="86" t="str">
        <f t="shared" si="3"/>
        <v>09218852539</v>
      </c>
      <c r="V1489" s="86" t="str">
        <f t="shared" si="4"/>
        <v>پیش‌وایی 12</v>
      </c>
      <c r="W1489" s="86"/>
      <c r="X1489" s="86"/>
    </row>
    <row r="1490">
      <c r="A1490" s="192">
        <v>1490.0</v>
      </c>
      <c r="B1490" s="193" t="s">
        <v>1592</v>
      </c>
      <c r="C1490" s="194" t="s">
        <v>6365</v>
      </c>
      <c r="D1490" s="195" t="str">
        <f>IFERROR(__xludf.DUMMYFUNCTION("ARRAYFORMULA(LET( converted, SUBSTITUTE( SUBSTITUTE( SUBSTITUTE( SUBSTITUTE( SUBSTITUTE( SUBSTITUTE( SUBSTITUTE( SUBSTITUTE( SUBSTITUTE( SUBSTITUTE( C1490, ""۰"", ""0""), ""۱"", ""1""), ""۲"", ""2""), ""۳"", ""3""), ""۴"", ""4""), ""۵"", ""5""), ""۶"", """&amp;"6""), ""۷"", ""7""), ""۸"", ""8""), ""۹"", ""9""), IF(LEFT(converted,3)=""+98"", ""0"" &amp; RIGHT(converted, LEN(converted)-3), IF(LEFT(converted,2)=""98"", ""0"" &amp; RIGHT(converted, LEN(converted)-2), IF(LEFT(converted,1)&lt;&gt;""0"", ""0"" &amp; converted, REGEXREPL"&amp;"ACE(converted , ""\s"", """")) ) ) ) )"),"09120555019")</f>
        <v>09120555019</v>
      </c>
      <c r="E1490" s="196" t="s">
        <v>17</v>
      </c>
      <c r="F1490" s="197">
        <v>12.0</v>
      </c>
      <c r="G1490" s="212" t="s">
        <v>730</v>
      </c>
      <c r="H1490" s="212" t="s">
        <v>1594</v>
      </c>
      <c r="I1490" s="217"/>
      <c r="J1490" s="217"/>
      <c r="K1490" s="199" t="s">
        <v>1085</v>
      </c>
      <c r="L1490" s="199" t="s">
        <v>1595</v>
      </c>
      <c r="M1490" s="199"/>
      <c r="N1490" s="199"/>
      <c r="O1490" s="199" t="s">
        <v>6066</v>
      </c>
      <c r="P1490" s="193"/>
      <c r="Q1490" s="218" t="s">
        <v>6067</v>
      </c>
      <c r="R1490" s="86"/>
      <c r="S1490" s="114">
        <f t="shared" ref="S1490:T1490" si="1491">A1490</f>
        <v>1490</v>
      </c>
      <c r="T1490" s="114" t="str">
        <f t="shared" si="1491"/>
        <v>امیررضا فتحی</v>
      </c>
      <c r="U1490" s="86" t="str">
        <f t="shared" si="3"/>
        <v>09120555019</v>
      </c>
      <c r="V1490" s="86" t="str">
        <f t="shared" si="4"/>
        <v>پیش‌وایی 12</v>
      </c>
      <c r="W1490" s="86"/>
      <c r="X1490" s="86"/>
    </row>
    <row r="1491">
      <c r="A1491" s="201">
        <v>1491.0</v>
      </c>
      <c r="B1491" s="202" t="s">
        <v>6366</v>
      </c>
      <c r="C1491" s="203" t="s">
        <v>6367</v>
      </c>
      <c r="D1491" s="204" t="str">
        <f>IFERROR(__xludf.DUMMYFUNCTION("ARRAYFORMULA(LET( converted, SUBSTITUTE( SUBSTITUTE( SUBSTITUTE( SUBSTITUTE( SUBSTITUTE( SUBSTITUTE( SUBSTITUTE( SUBSTITUTE( SUBSTITUTE( SUBSTITUTE( C1491, ""۰"", ""0""), ""۱"", ""1""), ""۲"", ""2""), ""۳"", ""3""), ""۴"", ""4""), ""۵"", ""5""), ""۶"", """&amp;"6""), ""۷"", ""7""), ""۸"", ""8""), ""۹"", ""9""), IF(LEFT(converted,3)=""+98"", ""0"" &amp; RIGHT(converted, LEN(converted)-3), IF(LEFT(converted,2)=""98"", ""0"" &amp; RIGHT(converted, LEN(converted)-2), IF(LEFT(converted,1)&lt;&gt;""0"", ""0"" &amp; converted, REGEXREPL"&amp;"ACE(converted , ""\s"", """")) ) ) ) )"),"09010131603")</f>
        <v>09010131603</v>
      </c>
      <c r="E1491" s="205" t="s">
        <v>17</v>
      </c>
      <c r="F1491" s="206">
        <v>12.0</v>
      </c>
      <c r="G1491" s="213" t="s">
        <v>746</v>
      </c>
      <c r="H1491" s="213" t="s">
        <v>6368</v>
      </c>
      <c r="I1491" s="215"/>
      <c r="J1491" s="215"/>
      <c r="K1491" s="207" t="s">
        <v>911</v>
      </c>
      <c r="L1491" s="207" t="s">
        <v>6369</v>
      </c>
      <c r="M1491" s="207"/>
      <c r="N1491" s="207"/>
      <c r="O1491" s="207" t="s">
        <v>6066</v>
      </c>
      <c r="P1491" s="202"/>
      <c r="Q1491" s="216" t="s">
        <v>6067</v>
      </c>
      <c r="R1491" s="86"/>
      <c r="S1491" s="114">
        <f t="shared" ref="S1491:T1491" si="1492">A1491</f>
        <v>1491</v>
      </c>
      <c r="T1491" s="114" t="str">
        <f t="shared" si="1492"/>
        <v>سپیده پناه</v>
      </c>
      <c r="U1491" s="86" t="str">
        <f t="shared" si="3"/>
        <v>09010131603</v>
      </c>
      <c r="V1491" s="86" t="str">
        <f t="shared" si="4"/>
        <v>پیش‌وایی 12</v>
      </c>
      <c r="W1491" s="86"/>
      <c r="X1491" s="86"/>
    </row>
    <row r="1492">
      <c r="A1492" s="192">
        <v>1492.0</v>
      </c>
      <c r="B1492" s="193" t="s">
        <v>6370</v>
      </c>
      <c r="C1492" s="194" t="s">
        <v>6371</v>
      </c>
      <c r="D1492" s="195" t="str">
        <f>IFERROR(__xludf.DUMMYFUNCTION("ARRAYFORMULA(LET( converted, SUBSTITUTE( SUBSTITUTE( SUBSTITUTE( SUBSTITUTE( SUBSTITUTE( SUBSTITUTE( SUBSTITUTE( SUBSTITUTE( SUBSTITUTE( SUBSTITUTE( C1492, ""۰"", ""0""), ""۱"", ""1""), ""۲"", ""2""), ""۳"", ""3""), ""۴"", ""4""), ""۵"", ""5""), ""۶"", """&amp;"6""), ""۷"", ""7""), ""۸"", ""8""), ""۹"", ""9""), IF(LEFT(converted,3)=""+98"", ""0"" &amp; RIGHT(converted, LEN(converted)-3), IF(LEFT(converted,2)=""98"", ""0"" &amp; RIGHT(converted, LEN(converted)-2), IF(LEFT(converted,1)&lt;&gt;""0"", ""0"" &amp; converted, REGEXREPL"&amp;"ACE(converted , ""\s"", """")) ) ) ) )"),"09331861414")</f>
        <v>09331861414</v>
      </c>
      <c r="E1492" s="196" t="s">
        <v>17</v>
      </c>
      <c r="F1492" s="197">
        <v>12.0</v>
      </c>
      <c r="G1492" s="212" t="s">
        <v>730</v>
      </c>
      <c r="H1492" s="193"/>
      <c r="I1492" s="217"/>
      <c r="J1492" s="217"/>
      <c r="K1492" s="199" t="s">
        <v>1018</v>
      </c>
      <c r="L1492" s="199" t="s">
        <v>6372</v>
      </c>
      <c r="M1492" s="199"/>
      <c r="N1492" s="199"/>
      <c r="O1492" s="199" t="s">
        <v>6170</v>
      </c>
      <c r="P1492" s="193"/>
      <c r="Q1492" s="218" t="s">
        <v>6067</v>
      </c>
      <c r="R1492" s="86"/>
      <c r="S1492" s="114">
        <f t="shared" ref="S1492:T1492" si="1493">A1492</f>
        <v>1492</v>
      </c>
      <c r="T1492" s="114" t="str">
        <f t="shared" si="1493"/>
        <v>علی سلیمانی آرمیده</v>
      </c>
      <c r="U1492" s="86" t="str">
        <f t="shared" si="3"/>
        <v>09331861414</v>
      </c>
      <c r="V1492" s="86" t="str">
        <f t="shared" si="4"/>
        <v>پیش‌وایی 12</v>
      </c>
      <c r="W1492" s="86"/>
      <c r="X1492" s="86"/>
    </row>
    <row r="1493">
      <c r="A1493" s="201">
        <v>1493.0</v>
      </c>
      <c r="B1493" s="202" t="s">
        <v>6373</v>
      </c>
      <c r="C1493" s="203" t="s">
        <v>6374</v>
      </c>
      <c r="D1493" s="204" t="str">
        <f>IFERROR(__xludf.DUMMYFUNCTION("ARRAYFORMULA(LET( converted, SUBSTITUTE( SUBSTITUTE( SUBSTITUTE( SUBSTITUTE( SUBSTITUTE( SUBSTITUTE( SUBSTITUTE( SUBSTITUTE( SUBSTITUTE( SUBSTITUTE( C1493, ""۰"", ""0""), ""۱"", ""1""), ""۲"", ""2""), ""۳"", ""3""), ""۴"", ""4""), ""۵"", ""5""), ""۶"", """&amp;"6""), ""۷"", ""7""), ""۸"", ""8""), ""۹"", ""9""), IF(LEFT(converted,3)=""+98"", ""0"" &amp; RIGHT(converted, LEN(converted)-3), IF(LEFT(converted,2)=""98"", ""0"" &amp; RIGHT(converted, LEN(converted)-2), IF(LEFT(converted,1)&lt;&gt;""0"", ""0"" &amp; converted, REGEXREPL"&amp;"ACE(converted , ""\s"", """")) ) ) ) )"),"09366344604")</f>
        <v>09366344604</v>
      </c>
      <c r="E1493" s="205" t="s">
        <v>17</v>
      </c>
      <c r="F1493" s="206">
        <v>12.0</v>
      </c>
      <c r="G1493" s="202"/>
      <c r="H1493" s="213" t="s">
        <v>6375</v>
      </c>
      <c r="I1493" s="215"/>
      <c r="J1493" s="215"/>
      <c r="K1493" s="207" t="s">
        <v>27</v>
      </c>
      <c r="L1493" s="207" t="s">
        <v>2816</v>
      </c>
      <c r="M1493" s="207"/>
      <c r="N1493" s="207"/>
      <c r="O1493" s="207" t="s">
        <v>6066</v>
      </c>
      <c r="P1493" s="202"/>
      <c r="Q1493" s="216" t="s">
        <v>6067</v>
      </c>
      <c r="R1493" s="86"/>
      <c r="S1493" s="114">
        <f t="shared" ref="S1493:T1493" si="1494">A1493</f>
        <v>1493</v>
      </c>
      <c r="T1493" s="114" t="str">
        <f t="shared" si="1494"/>
        <v>مجید رضایی</v>
      </c>
      <c r="U1493" s="86" t="str">
        <f t="shared" si="3"/>
        <v>09366344604</v>
      </c>
      <c r="V1493" s="86" t="str">
        <f t="shared" si="4"/>
        <v>پیش‌وایی 12</v>
      </c>
      <c r="W1493" s="86"/>
      <c r="X1493" s="86"/>
    </row>
    <row r="1494">
      <c r="A1494" s="192">
        <v>1494.0</v>
      </c>
      <c r="B1494" s="193" t="s">
        <v>6376</v>
      </c>
      <c r="C1494" s="194" t="s">
        <v>6377</v>
      </c>
      <c r="D1494" s="195" t="str">
        <f>IFERROR(__xludf.DUMMYFUNCTION("ARRAYFORMULA(LET( converted, SUBSTITUTE( SUBSTITUTE( SUBSTITUTE( SUBSTITUTE( SUBSTITUTE( SUBSTITUTE( SUBSTITUTE( SUBSTITUTE( SUBSTITUTE( SUBSTITUTE( C1494, ""۰"", ""0""), ""۱"", ""1""), ""۲"", ""2""), ""۳"", ""3""), ""۴"", ""4""), ""۵"", ""5""), ""۶"", """&amp;"6""), ""۷"", ""7""), ""۸"", ""8""), ""۹"", ""9""), IF(LEFT(converted,3)=""+98"", ""0"" &amp; RIGHT(converted, LEN(converted)-3), IF(LEFT(converted,2)=""98"", ""0"" &amp; RIGHT(converted, LEN(converted)-2), IF(LEFT(converted,1)&lt;&gt;""0"", ""0"" &amp; converted, REGEXREPL"&amp;"ACE(converted , ""\s"", """")) ) ) ) )"),"09382103021")</f>
        <v>09382103021</v>
      </c>
      <c r="E1494" s="196" t="s">
        <v>17</v>
      </c>
      <c r="F1494" s="197">
        <v>12.0</v>
      </c>
      <c r="G1494" s="193"/>
      <c r="H1494" s="212" t="s">
        <v>6378</v>
      </c>
      <c r="I1494" s="217"/>
      <c r="J1494" s="217"/>
      <c r="K1494" s="199" t="s">
        <v>1085</v>
      </c>
      <c r="L1494" s="199" t="s">
        <v>1640</v>
      </c>
      <c r="M1494" s="199"/>
      <c r="N1494" s="199"/>
      <c r="O1494" s="199" t="s">
        <v>6066</v>
      </c>
      <c r="P1494" s="193"/>
      <c r="Q1494" s="218" t="s">
        <v>6067</v>
      </c>
      <c r="R1494" s="86"/>
      <c r="S1494" s="114">
        <f t="shared" ref="S1494:T1494" si="1495">A1494</f>
        <v>1494</v>
      </c>
      <c r="T1494" s="114" t="str">
        <f t="shared" si="1495"/>
        <v>امیررضا محمودزاده</v>
      </c>
      <c r="U1494" s="86" t="str">
        <f t="shared" si="3"/>
        <v>09382103021</v>
      </c>
      <c r="V1494" s="86" t="str">
        <f t="shared" si="4"/>
        <v>پیش‌وایی 12</v>
      </c>
      <c r="W1494" s="86"/>
      <c r="X1494" s="86"/>
    </row>
    <row r="1495">
      <c r="A1495" s="201">
        <v>1495.0</v>
      </c>
      <c r="B1495" s="202" t="s">
        <v>6379</v>
      </c>
      <c r="C1495" s="203" t="s">
        <v>6380</v>
      </c>
      <c r="D1495" s="204" t="str">
        <f>IFERROR(__xludf.DUMMYFUNCTION("ARRAYFORMULA(LET( converted, SUBSTITUTE( SUBSTITUTE( SUBSTITUTE( SUBSTITUTE( SUBSTITUTE( SUBSTITUTE( SUBSTITUTE( SUBSTITUTE( SUBSTITUTE( SUBSTITUTE( C1495, ""۰"", ""0""), ""۱"", ""1""), ""۲"", ""2""), ""۳"", ""3""), ""۴"", ""4""), ""۵"", ""5""), ""۶"", """&amp;"6""), ""۷"", ""7""), ""۸"", ""8""), ""۹"", ""9""), IF(LEFT(converted,3)=""+98"", ""0"" &amp; RIGHT(converted, LEN(converted)-3), IF(LEFT(converted,2)=""98"", ""0"" &amp; RIGHT(converted, LEN(converted)-2), IF(LEFT(converted,1)&lt;&gt;""0"", ""0"" &amp; converted, REGEXREPL"&amp;"ACE(converted , ""\s"", """")) ) ) ) )"),"09157571200")</f>
        <v>09157571200</v>
      </c>
      <c r="E1495" s="205" t="s">
        <v>17</v>
      </c>
      <c r="F1495" s="206">
        <v>12.0</v>
      </c>
      <c r="G1495" s="202"/>
      <c r="H1495" s="213" t="s">
        <v>6381</v>
      </c>
      <c r="I1495" s="215"/>
      <c r="J1495" s="215"/>
      <c r="K1495" s="207" t="s">
        <v>192</v>
      </c>
      <c r="L1495" s="207" t="s">
        <v>6382</v>
      </c>
      <c r="M1495" s="207"/>
      <c r="N1495" s="207"/>
      <c r="O1495" s="207" t="s">
        <v>6066</v>
      </c>
      <c r="P1495" s="202"/>
      <c r="Q1495" s="216" t="s">
        <v>6067</v>
      </c>
      <c r="R1495" s="86"/>
      <c r="S1495" s="114">
        <f t="shared" ref="S1495:T1495" si="1496">A1495</f>
        <v>1495</v>
      </c>
      <c r="T1495" s="114" t="str">
        <f t="shared" si="1496"/>
        <v>امیرحسین غفوریان</v>
      </c>
      <c r="U1495" s="86" t="str">
        <f t="shared" si="3"/>
        <v>09157571200</v>
      </c>
      <c r="V1495" s="86" t="str">
        <f t="shared" si="4"/>
        <v>پیش‌وایی 12</v>
      </c>
      <c r="W1495" s="86"/>
      <c r="X1495" s="86"/>
    </row>
    <row r="1496">
      <c r="A1496" s="192">
        <v>1496.0</v>
      </c>
      <c r="B1496" s="193" t="s">
        <v>6383</v>
      </c>
      <c r="C1496" s="194" t="s">
        <v>6384</v>
      </c>
      <c r="D1496" s="195" t="str">
        <f>IFERROR(__xludf.DUMMYFUNCTION("ARRAYFORMULA(LET( converted, SUBSTITUTE( SUBSTITUTE( SUBSTITUTE( SUBSTITUTE( SUBSTITUTE( SUBSTITUTE( SUBSTITUTE( SUBSTITUTE( SUBSTITUTE( SUBSTITUTE( C1496, ""۰"", ""0""), ""۱"", ""1""), ""۲"", ""2""), ""۳"", ""3""), ""۴"", ""4""), ""۵"", ""5""), ""۶"", """&amp;"6""), ""۷"", ""7""), ""۸"", ""8""), ""۹"", ""9""), IF(LEFT(converted,3)=""+98"", ""0"" &amp; RIGHT(converted, LEN(converted)-3), IF(LEFT(converted,2)=""98"", ""0"" &amp; RIGHT(converted, LEN(converted)-2), IF(LEFT(converted,1)&lt;&gt;""0"", ""0"" &amp; converted, REGEXREPL"&amp;"ACE(converted , ""\s"", """")) ) ) ) )"),"09211853418")</f>
        <v>09211853418</v>
      </c>
      <c r="E1496" s="196" t="s">
        <v>17</v>
      </c>
      <c r="F1496" s="197">
        <v>12.0</v>
      </c>
      <c r="G1496" s="193"/>
      <c r="H1496" s="212" t="s">
        <v>6385</v>
      </c>
      <c r="I1496" s="217"/>
      <c r="J1496" s="217"/>
      <c r="K1496" s="199" t="s">
        <v>3789</v>
      </c>
      <c r="L1496" s="199" t="s">
        <v>6386</v>
      </c>
      <c r="M1496" s="199"/>
      <c r="N1496" s="199"/>
      <c r="O1496" s="199" t="s">
        <v>6066</v>
      </c>
      <c r="P1496" s="193"/>
      <c r="Q1496" s="218" t="s">
        <v>6067</v>
      </c>
      <c r="R1496" s="86"/>
      <c r="S1496" s="114">
        <f t="shared" ref="S1496:T1496" si="1497">A1496</f>
        <v>1496</v>
      </c>
      <c r="T1496" s="114" t="str">
        <f t="shared" si="1497"/>
        <v>محمدامین صدقی</v>
      </c>
      <c r="U1496" s="86" t="str">
        <f t="shared" si="3"/>
        <v>09211853418</v>
      </c>
      <c r="V1496" s="86" t="str">
        <f t="shared" si="4"/>
        <v>پیش‌وایی 12</v>
      </c>
      <c r="W1496" s="86"/>
      <c r="X1496" s="86"/>
    </row>
    <row r="1497">
      <c r="A1497" s="201">
        <v>1497.0</v>
      </c>
      <c r="B1497" s="202" t="s">
        <v>6387</v>
      </c>
      <c r="C1497" s="203" t="s">
        <v>6388</v>
      </c>
      <c r="D1497" s="204" t="str">
        <f>IFERROR(__xludf.DUMMYFUNCTION("ARRAYFORMULA(LET( converted, SUBSTITUTE( SUBSTITUTE( SUBSTITUTE( SUBSTITUTE( SUBSTITUTE( SUBSTITUTE( SUBSTITUTE( SUBSTITUTE( SUBSTITUTE( SUBSTITUTE( C1497, ""۰"", ""0""), ""۱"", ""1""), ""۲"", ""2""), ""۳"", ""3""), ""۴"", ""4""), ""۵"", ""5""), ""۶"", """&amp;"6""), ""۷"", ""7""), ""۸"", ""8""), ""۹"", ""9""), IF(LEFT(converted,3)=""+98"", ""0"" &amp; RIGHT(converted, LEN(converted)-3), IF(LEFT(converted,2)=""98"", ""0"" &amp; RIGHT(converted, LEN(converted)-2), IF(LEFT(converted,1)&lt;&gt;""0"", ""0"" &amp; converted, REGEXREPL"&amp;"ACE(converted , ""\s"", """")) ) ) ) )"),"09304222144")</f>
        <v>09304222144</v>
      </c>
      <c r="E1497" s="205" t="s">
        <v>17</v>
      </c>
      <c r="F1497" s="206">
        <v>12.0</v>
      </c>
      <c r="G1497" s="202"/>
      <c r="H1497" s="213" t="s">
        <v>6389</v>
      </c>
      <c r="I1497" s="215"/>
      <c r="J1497" s="215"/>
      <c r="K1497" s="207" t="s">
        <v>311</v>
      </c>
      <c r="L1497" s="207" t="s">
        <v>6390</v>
      </c>
      <c r="M1497" s="207"/>
      <c r="N1497" s="207"/>
      <c r="O1497" s="207" t="s">
        <v>26</v>
      </c>
      <c r="P1497" s="202"/>
      <c r="Q1497" s="216" t="s">
        <v>6067</v>
      </c>
      <c r="R1497" s="86"/>
      <c r="S1497" s="114">
        <f t="shared" ref="S1497:T1497" si="1498">A1497</f>
        <v>1497</v>
      </c>
      <c r="T1497" s="114" t="str">
        <f t="shared" si="1498"/>
        <v>محسن حسن نیای گابیه</v>
      </c>
      <c r="U1497" s="86" t="str">
        <f t="shared" si="3"/>
        <v>09304222144</v>
      </c>
      <c r="V1497" s="86" t="str">
        <f t="shared" si="4"/>
        <v>پیش‌وایی 12</v>
      </c>
      <c r="W1497" s="86"/>
      <c r="X1497" s="86"/>
    </row>
    <row r="1498">
      <c r="A1498" s="192">
        <v>1498.0</v>
      </c>
      <c r="B1498" s="193" t="s">
        <v>6391</v>
      </c>
      <c r="C1498" s="194" t="s">
        <v>6392</v>
      </c>
      <c r="D1498" s="195" t="str">
        <f>IFERROR(__xludf.DUMMYFUNCTION("ARRAYFORMULA(LET( converted, SUBSTITUTE( SUBSTITUTE( SUBSTITUTE( SUBSTITUTE( SUBSTITUTE( SUBSTITUTE( SUBSTITUTE( SUBSTITUTE( SUBSTITUTE( SUBSTITUTE( C1498, ""۰"", ""0""), ""۱"", ""1""), ""۲"", ""2""), ""۳"", ""3""), ""۴"", ""4""), ""۵"", ""5""), ""۶"", """&amp;"6""), ""۷"", ""7""), ""۸"", ""8""), ""۹"", ""9""), IF(LEFT(converted,3)=""+98"", ""0"" &amp; RIGHT(converted, LEN(converted)-3), IF(LEFT(converted,2)=""98"", ""0"" &amp; RIGHT(converted, LEN(converted)-2), IF(LEFT(converted,1)&lt;&gt;""0"", ""0"" &amp; converted, REGEXREPL"&amp;"ACE(converted , ""\s"", """")) ) ) ) )"),"09124191299")</f>
        <v>09124191299</v>
      </c>
      <c r="E1498" s="196" t="s">
        <v>17</v>
      </c>
      <c r="F1498" s="197">
        <v>12.0</v>
      </c>
      <c r="G1498" s="193"/>
      <c r="H1498" s="212" t="s">
        <v>6393</v>
      </c>
      <c r="I1498" s="217"/>
      <c r="J1498" s="217"/>
      <c r="K1498" s="199" t="s">
        <v>1018</v>
      </c>
      <c r="L1498" s="199" t="s">
        <v>237</v>
      </c>
      <c r="M1498" s="199"/>
      <c r="N1498" s="199"/>
      <c r="O1498" s="199" t="s">
        <v>26</v>
      </c>
      <c r="P1498" s="193"/>
      <c r="Q1498" s="218" t="s">
        <v>6067</v>
      </c>
      <c r="R1498" s="86"/>
      <c r="S1498" s="114">
        <f t="shared" ref="S1498:T1498" si="1499">A1498</f>
        <v>1498</v>
      </c>
      <c r="T1498" s="114" t="str">
        <f t="shared" si="1499"/>
        <v>علی فرهادی</v>
      </c>
      <c r="U1498" s="86" t="str">
        <f t="shared" si="3"/>
        <v>09124191299</v>
      </c>
      <c r="V1498" s="86" t="str">
        <f t="shared" si="4"/>
        <v>پیش‌وایی 12</v>
      </c>
      <c r="W1498" s="86"/>
      <c r="X1498" s="86"/>
    </row>
    <row r="1499">
      <c r="A1499" s="201">
        <v>1499.0</v>
      </c>
      <c r="B1499" s="202" t="s">
        <v>6394</v>
      </c>
      <c r="C1499" s="203" t="s">
        <v>6395</v>
      </c>
      <c r="D1499" s="204" t="str">
        <f>IFERROR(__xludf.DUMMYFUNCTION("ARRAYFORMULA(LET( converted, SUBSTITUTE( SUBSTITUTE( SUBSTITUTE( SUBSTITUTE( SUBSTITUTE( SUBSTITUTE( SUBSTITUTE( SUBSTITUTE( SUBSTITUTE( SUBSTITUTE( C1499, ""۰"", ""0""), ""۱"", ""1""), ""۲"", ""2""), ""۳"", ""3""), ""۴"", ""4""), ""۵"", ""5""), ""۶"", """&amp;"6""), ""۷"", ""7""), ""۸"", ""8""), ""۹"", ""9""), IF(LEFT(converted,3)=""+98"", ""0"" &amp; RIGHT(converted, LEN(converted)-3), IF(LEFT(converted,2)=""98"", ""0"" &amp; RIGHT(converted, LEN(converted)-2), IF(LEFT(converted,1)&lt;&gt;""0"", ""0"" &amp; converted, REGEXREPL"&amp;"ACE(converted , ""\s"", """")) ) ) ) )"),"09124199985")</f>
        <v>09124199985</v>
      </c>
      <c r="E1499" s="205" t="s">
        <v>17</v>
      </c>
      <c r="F1499" s="206">
        <v>12.0</v>
      </c>
      <c r="G1499" s="202"/>
      <c r="H1499" s="213" t="s">
        <v>6396</v>
      </c>
      <c r="I1499" s="215"/>
      <c r="J1499" s="215"/>
      <c r="K1499" s="207" t="s">
        <v>5336</v>
      </c>
      <c r="L1499" s="207" t="s">
        <v>889</v>
      </c>
      <c r="M1499" s="207"/>
      <c r="N1499" s="207"/>
      <c r="O1499" s="207" t="s">
        <v>26</v>
      </c>
      <c r="P1499" s="202"/>
      <c r="Q1499" s="216" t="s">
        <v>6067</v>
      </c>
      <c r="R1499" s="86"/>
      <c r="S1499" s="114">
        <f t="shared" ref="S1499:T1499" si="1500">A1499</f>
        <v>1499</v>
      </c>
      <c r="T1499" s="114" t="str">
        <f t="shared" si="1500"/>
        <v>روح الله کاظمی</v>
      </c>
      <c r="U1499" s="86" t="str">
        <f t="shared" si="3"/>
        <v>09124199985</v>
      </c>
      <c r="V1499" s="86" t="str">
        <f t="shared" si="4"/>
        <v>پیش‌وایی 12</v>
      </c>
      <c r="W1499" s="86"/>
      <c r="X1499" s="86"/>
    </row>
    <row r="1500">
      <c r="A1500" s="192">
        <v>1500.0</v>
      </c>
      <c r="B1500" s="193" t="s">
        <v>6397</v>
      </c>
      <c r="C1500" s="194" t="s">
        <v>6398</v>
      </c>
      <c r="D1500" s="195" t="str">
        <f>IFERROR(__xludf.DUMMYFUNCTION("ARRAYFORMULA(LET( converted, SUBSTITUTE( SUBSTITUTE( SUBSTITUTE( SUBSTITUTE( SUBSTITUTE( SUBSTITUTE( SUBSTITUTE( SUBSTITUTE( SUBSTITUTE( SUBSTITUTE( C1500, ""۰"", ""0""), ""۱"", ""1""), ""۲"", ""2""), ""۳"", ""3""), ""۴"", ""4""), ""۵"", ""5""), ""۶"", """&amp;"6""), ""۷"", ""7""), ""۸"", ""8""), ""۹"", ""9""), IF(LEFT(converted,3)=""+98"", ""0"" &amp; RIGHT(converted, LEN(converted)-3), IF(LEFT(converted,2)=""98"", ""0"" &amp; RIGHT(converted, LEN(converted)-2), IF(LEFT(converted,1)&lt;&gt;""0"", ""0"" &amp; converted, REGEXREPL"&amp;"ACE(converted , ""\s"", """")) ) ) ) )"),"09960870704")</f>
        <v>09960870704</v>
      </c>
      <c r="E1500" s="196" t="s">
        <v>17</v>
      </c>
      <c r="F1500" s="197">
        <v>12.0</v>
      </c>
      <c r="G1500" s="193"/>
      <c r="H1500" s="212" t="s">
        <v>6399</v>
      </c>
      <c r="I1500" s="217"/>
      <c r="J1500" s="217"/>
      <c r="K1500" s="199" t="s">
        <v>6400</v>
      </c>
      <c r="L1500" s="199" t="s">
        <v>6401</v>
      </c>
      <c r="M1500" s="199"/>
      <c r="N1500" s="199"/>
      <c r="O1500" s="199" t="s">
        <v>26</v>
      </c>
      <c r="P1500" s="193"/>
      <c r="Q1500" s="218" t="s">
        <v>6067</v>
      </c>
      <c r="R1500" s="86"/>
      <c r="S1500" s="114">
        <f t="shared" ref="S1500:T1500" si="1501">A1500</f>
        <v>1500</v>
      </c>
      <c r="T1500" s="114" t="str">
        <f t="shared" si="1501"/>
        <v>کژال صلاح</v>
      </c>
      <c r="U1500" s="86" t="str">
        <f t="shared" si="3"/>
        <v>09960870704</v>
      </c>
      <c r="V1500" s="86" t="str">
        <f t="shared" si="4"/>
        <v>پیش‌وایی 12</v>
      </c>
      <c r="W1500" s="86"/>
      <c r="X1500" s="86"/>
    </row>
    <row r="1501">
      <c r="A1501" s="201">
        <v>1501.0</v>
      </c>
      <c r="B1501" s="202" t="s">
        <v>6402</v>
      </c>
      <c r="C1501" s="203" t="s">
        <v>6403</v>
      </c>
      <c r="D1501" s="204" t="str">
        <f>IFERROR(__xludf.DUMMYFUNCTION("ARRAYFORMULA(LET( converted, SUBSTITUTE( SUBSTITUTE( SUBSTITUTE( SUBSTITUTE( SUBSTITUTE( SUBSTITUTE( SUBSTITUTE( SUBSTITUTE( SUBSTITUTE( SUBSTITUTE( C1501, ""۰"", ""0""), ""۱"", ""1""), ""۲"", ""2""), ""۳"", ""3""), ""۴"", ""4""), ""۵"", ""5""), ""۶"", """&amp;"6""), ""۷"", ""7""), ""۸"", ""8""), ""۹"", ""9""), IF(LEFT(converted,3)=""+98"", ""0"" &amp; RIGHT(converted, LEN(converted)-3), IF(LEFT(converted,2)=""98"", ""0"" &amp; RIGHT(converted, LEN(converted)-2), IF(LEFT(converted,1)&lt;&gt;""0"", ""0"" &amp; converted, REGEXREPL"&amp;"ACE(converted , ""\s"", """")) ) ) ) )"),"09196208122")</f>
        <v>09196208122</v>
      </c>
      <c r="E1501" s="205" t="s">
        <v>17</v>
      </c>
      <c r="F1501" s="206">
        <v>12.0</v>
      </c>
      <c r="G1501" s="202"/>
      <c r="H1501" s="213" t="s">
        <v>6404</v>
      </c>
      <c r="I1501" s="215"/>
      <c r="J1501" s="215"/>
      <c r="K1501" s="207" t="s">
        <v>342</v>
      </c>
      <c r="L1501" s="207" t="s">
        <v>6405</v>
      </c>
      <c r="M1501" s="207"/>
      <c r="N1501" s="207"/>
      <c r="O1501" s="207" t="s">
        <v>26</v>
      </c>
      <c r="P1501" s="202"/>
      <c r="Q1501" s="216" t="s">
        <v>6067</v>
      </c>
      <c r="R1501" s="86"/>
      <c r="S1501" s="114">
        <f t="shared" ref="S1501:T1501" si="1502">A1501</f>
        <v>1501</v>
      </c>
      <c r="T1501" s="114" t="str">
        <f t="shared" si="1502"/>
        <v>آرش کاظم تاش</v>
      </c>
      <c r="U1501" s="86" t="str">
        <f t="shared" si="3"/>
        <v>09196208122</v>
      </c>
      <c r="V1501" s="86" t="str">
        <f t="shared" si="4"/>
        <v>پیش‌وایی 12</v>
      </c>
      <c r="W1501" s="86"/>
      <c r="X1501" s="86"/>
    </row>
    <row r="1502">
      <c r="A1502" s="192">
        <v>1502.0</v>
      </c>
      <c r="B1502" s="193" t="s">
        <v>6406</v>
      </c>
      <c r="C1502" s="194" t="s">
        <v>6403</v>
      </c>
      <c r="D1502" s="195" t="str">
        <f>IFERROR(__xludf.DUMMYFUNCTION("ARRAYFORMULA(LET( converted, SUBSTITUTE( SUBSTITUTE( SUBSTITUTE( SUBSTITUTE( SUBSTITUTE( SUBSTITUTE( SUBSTITUTE( SUBSTITUTE( SUBSTITUTE( SUBSTITUTE( C1502, ""۰"", ""0""), ""۱"", ""1""), ""۲"", ""2""), ""۳"", ""3""), ""۴"", ""4""), ""۵"", ""5""), ""۶"", """&amp;"6""), ""۷"", ""7""), ""۸"", ""8""), ""۹"", ""9""), IF(LEFT(converted,3)=""+98"", ""0"" &amp; RIGHT(converted, LEN(converted)-3), IF(LEFT(converted,2)=""98"", ""0"" &amp; RIGHT(converted, LEN(converted)-2), IF(LEFT(converted,1)&lt;&gt;""0"", ""0"" &amp; converted, REGEXREPL"&amp;"ACE(converted , ""\s"", """")) ) ) ) )"),"09196208122")</f>
        <v>09196208122</v>
      </c>
      <c r="E1502" s="196" t="s">
        <v>17</v>
      </c>
      <c r="F1502" s="197">
        <v>12.0</v>
      </c>
      <c r="G1502" s="193"/>
      <c r="H1502" s="212" t="s">
        <v>6404</v>
      </c>
      <c r="I1502" s="217"/>
      <c r="J1502" s="217"/>
      <c r="K1502" s="199" t="s">
        <v>6407</v>
      </c>
      <c r="L1502" s="199" t="s">
        <v>6402</v>
      </c>
      <c r="M1502" s="199"/>
      <c r="N1502" s="199"/>
      <c r="O1502" s="199" t="s">
        <v>26</v>
      </c>
      <c r="P1502" s="193"/>
      <c r="Q1502" s="218" t="s">
        <v>6067</v>
      </c>
      <c r="R1502" s="86"/>
      <c r="S1502" s="114">
        <f t="shared" ref="S1502:T1502" si="1503">A1502</f>
        <v>1502</v>
      </c>
      <c r="T1502" s="114" t="str">
        <f t="shared" si="1503"/>
        <v>همسر آرش کاظم تاش</v>
      </c>
      <c r="U1502" s="86" t="str">
        <f t="shared" si="3"/>
        <v>09196208122</v>
      </c>
      <c r="V1502" s="86" t="str">
        <f t="shared" si="4"/>
        <v>پیش‌وایی 12</v>
      </c>
      <c r="W1502" s="86"/>
      <c r="X1502" s="86"/>
    </row>
    <row r="1503">
      <c r="A1503" s="201">
        <v>1503.0</v>
      </c>
      <c r="B1503" s="202" t="s">
        <v>5711</v>
      </c>
      <c r="C1503" s="203" t="s">
        <v>5712</v>
      </c>
      <c r="D1503" s="204" t="str">
        <f>IFERROR(__xludf.DUMMYFUNCTION("ARRAYFORMULA(LET( converted, SUBSTITUTE( SUBSTITUTE( SUBSTITUTE( SUBSTITUTE( SUBSTITUTE( SUBSTITUTE( SUBSTITUTE( SUBSTITUTE( SUBSTITUTE( SUBSTITUTE( C1503, ""۰"", ""0""), ""۱"", ""1""), ""۲"", ""2""), ""۳"", ""3""), ""۴"", ""4""), ""۵"", ""5""), ""۶"", """&amp;"6""), ""۷"", ""7""), ""۸"", ""8""), ""۹"", ""9""), IF(LEFT(converted,3)=""+98"", ""0"" &amp; RIGHT(converted, LEN(converted)-3), IF(LEFT(converted,2)=""98"", ""0"" &amp; RIGHT(converted, LEN(converted)-2), IF(LEFT(converted,1)&lt;&gt;""0"", ""0"" &amp; converted, REGEXREPL"&amp;"ACE(converted , ""\s"", """")) ) ) ) )"),"09123135307")</f>
        <v>09123135307</v>
      </c>
      <c r="E1503" s="205" t="s">
        <v>17</v>
      </c>
      <c r="F1503" s="206">
        <v>12.0</v>
      </c>
      <c r="G1503" s="202"/>
      <c r="H1503" s="213" t="s">
        <v>6408</v>
      </c>
      <c r="I1503" s="215"/>
      <c r="J1503" s="215"/>
      <c r="K1503" s="207" t="s">
        <v>5710</v>
      </c>
      <c r="L1503" s="207" t="s">
        <v>5713</v>
      </c>
      <c r="M1503" s="207"/>
      <c r="N1503" s="207"/>
      <c r="O1503" s="207" t="s">
        <v>26</v>
      </c>
      <c r="P1503" s="202"/>
      <c r="Q1503" s="216" t="s">
        <v>6067</v>
      </c>
      <c r="R1503" s="86"/>
      <c r="S1503" s="114">
        <f t="shared" ref="S1503:T1503" si="1504">A1503</f>
        <v>1503</v>
      </c>
      <c r="T1503" s="114" t="str">
        <f t="shared" si="1504"/>
        <v>سامان شادیان</v>
      </c>
      <c r="U1503" s="86" t="str">
        <f t="shared" si="3"/>
        <v>09123135307</v>
      </c>
      <c r="V1503" s="86" t="str">
        <f t="shared" si="4"/>
        <v>پیش‌وایی 12</v>
      </c>
      <c r="W1503" s="86"/>
      <c r="X1503" s="86"/>
    </row>
    <row r="1504">
      <c r="A1504" s="192">
        <v>1504.0</v>
      </c>
      <c r="B1504" s="193" t="s">
        <v>6409</v>
      </c>
      <c r="C1504" s="194" t="s">
        <v>4134</v>
      </c>
      <c r="D1504" s="195" t="str">
        <f>IFERROR(__xludf.DUMMYFUNCTION("ARRAYFORMULA(LET( converted, SUBSTITUTE( SUBSTITUTE( SUBSTITUTE( SUBSTITUTE( SUBSTITUTE( SUBSTITUTE( SUBSTITUTE( SUBSTITUTE( SUBSTITUTE( SUBSTITUTE( C1504, ""۰"", ""0""), ""۱"", ""1""), ""۲"", ""2""), ""۳"", ""3""), ""۴"", ""4""), ""۵"", ""5""), ""۶"", """&amp;"6""), ""۷"", ""7""), ""۸"", ""8""), ""۹"", ""9""), IF(LEFT(converted,3)=""+98"", ""0"" &amp; RIGHT(converted, LEN(converted)-3), IF(LEFT(converted,2)=""98"", ""0"" &amp; RIGHT(converted, LEN(converted)-2), IF(LEFT(converted,1)&lt;&gt;""0"", ""0"" &amp; converted, REGEXREPL"&amp;"ACE(converted , ""\s"", """")) ) ) ) )"),"09127192230")</f>
        <v>09127192230</v>
      </c>
      <c r="E1504" s="196" t="s">
        <v>17</v>
      </c>
      <c r="F1504" s="197">
        <v>12.0</v>
      </c>
      <c r="G1504" s="193"/>
      <c r="H1504" s="212" t="s">
        <v>6410</v>
      </c>
      <c r="I1504" s="217"/>
      <c r="J1504" s="217"/>
      <c r="K1504" s="199" t="s">
        <v>342</v>
      </c>
      <c r="L1504" s="199" t="s">
        <v>6411</v>
      </c>
      <c r="M1504" s="199"/>
      <c r="N1504" s="199"/>
      <c r="O1504" s="199" t="s">
        <v>26</v>
      </c>
      <c r="P1504" s="193"/>
      <c r="Q1504" s="218" t="s">
        <v>6067</v>
      </c>
      <c r="R1504" s="86"/>
      <c r="S1504" s="114">
        <f t="shared" ref="S1504:T1504" si="1505">A1504</f>
        <v>1504</v>
      </c>
      <c r="T1504" s="114" t="str">
        <f t="shared" si="1505"/>
        <v>آرش خسرویان عرب</v>
      </c>
      <c r="U1504" s="86" t="str">
        <f t="shared" si="3"/>
        <v>09127192230</v>
      </c>
      <c r="V1504" s="86" t="str">
        <f t="shared" si="4"/>
        <v>پیش‌وایی 12</v>
      </c>
      <c r="W1504" s="86"/>
      <c r="X1504" s="86"/>
    </row>
    <row r="1505">
      <c r="A1505" s="201">
        <v>1505.0</v>
      </c>
      <c r="B1505" s="202" t="s">
        <v>6412</v>
      </c>
      <c r="C1505" s="203" t="s">
        <v>6413</v>
      </c>
      <c r="D1505" s="204" t="str">
        <f>IFERROR(__xludf.DUMMYFUNCTION("ARRAYFORMULA(LET( converted, SUBSTITUTE( SUBSTITUTE( SUBSTITUTE( SUBSTITUTE( SUBSTITUTE( SUBSTITUTE( SUBSTITUTE( SUBSTITUTE( SUBSTITUTE( SUBSTITUTE( C1505, ""۰"", ""0""), ""۱"", ""1""), ""۲"", ""2""), ""۳"", ""3""), ""۴"", ""4""), ""۵"", ""5""), ""۶"", """&amp;"6""), ""۷"", ""7""), ""۸"", ""8""), ""۹"", ""9""), IF(LEFT(converted,3)=""+98"", ""0"" &amp; RIGHT(converted, LEN(converted)-3), IF(LEFT(converted,2)=""98"", ""0"" &amp; RIGHT(converted, LEN(converted)-2), IF(LEFT(converted,1)&lt;&gt;""0"", ""0"" &amp; converted, REGEXREPL"&amp;"ACE(converted , ""\s"", """")) ) ) ) )"),"09352501680")</f>
        <v>09352501680</v>
      </c>
      <c r="E1505" s="205" t="s">
        <v>17</v>
      </c>
      <c r="F1505" s="206">
        <v>12.0</v>
      </c>
      <c r="G1505" s="202"/>
      <c r="H1505" s="213" t="s">
        <v>6414</v>
      </c>
      <c r="I1505" s="215"/>
      <c r="J1505" s="215"/>
      <c r="K1505" s="207" t="s">
        <v>2746</v>
      </c>
      <c r="L1505" s="207" t="s">
        <v>6415</v>
      </c>
      <c r="M1505" s="207"/>
      <c r="N1505" s="207"/>
      <c r="O1505" s="207" t="s">
        <v>26</v>
      </c>
      <c r="P1505" s="202"/>
      <c r="Q1505" s="216" t="s">
        <v>6067</v>
      </c>
      <c r="R1505" s="86"/>
      <c r="S1505" s="114">
        <f t="shared" ref="S1505:T1505" si="1506">A1505</f>
        <v>1505</v>
      </c>
      <c r="T1505" s="114" t="str">
        <f t="shared" si="1506"/>
        <v>پارسا امامقلی‌پور</v>
      </c>
      <c r="U1505" s="86" t="str">
        <f t="shared" si="3"/>
        <v>09352501680</v>
      </c>
      <c r="V1505" s="86" t="str">
        <f t="shared" si="4"/>
        <v>پیش‌وایی 12</v>
      </c>
      <c r="W1505" s="86"/>
      <c r="X1505" s="86"/>
    </row>
    <row r="1506">
      <c r="A1506" s="192">
        <v>1506.0</v>
      </c>
      <c r="B1506" s="193" t="s">
        <v>6416</v>
      </c>
      <c r="C1506" s="194" t="s">
        <v>6417</v>
      </c>
      <c r="D1506" s="195" t="str">
        <f>IFERROR(__xludf.DUMMYFUNCTION("ARRAYFORMULA(LET( converted, SUBSTITUTE( SUBSTITUTE( SUBSTITUTE( SUBSTITUTE( SUBSTITUTE( SUBSTITUTE( SUBSTITUTE( SUBSTITUTE( SUBSTITUTE( SUBSTITUTE( C1506, ""۰"", ""0""), ""۱"", ""1""), ""۲"", ""2""), ""۳"", ""3""), ""۴"", ""4""), ""۵"", ""5""), ""۶"", """&amp;"6""), ""۷"", ""7""), ""۸"", ""8""), ""۹"", ""9""), IF(LEFT(converted,3)=""+98"", ""0"" &amp; RIGHT(converted, LEN(converted)-3), IF(LEFT(converted,2)=""98"", ""0"" &amp; RIGHT(converted, LEN(converted)-2), IF(LEFT(converted,1)&lt;&gt;""0"", ""0"" &amp; converted, REGEXREPL"&amp;"ACE(converted , ""\s"", """")) ) ) ) )"),"09125838135")</f>
        <v>09125838135</v>
      </c>
      <c r="E1506" s="196" t="s">
        <v>17</v>
      </c>
      <c r="F1506" s="197">
        <v>12.0</v>
      </c>
      <c r="G1506" s="193"/>
      <c r="H1506" s="212" t="s">
        <v>6418</v>
      </c>
      <c r="I1506" s="217"/>
      <c r="J1506" s="217"/>
      <c r="K1506" s="199" t="s">
        <v>1876</v>
      </c>
      <c r="L1506" s="199" t="s">
        <v>6419</v>
      </c>
      <c r="M1506" s="199"/>
      <c r="N1506" s="199"/>
      <c r="O1506" s="199" t="s">
        <v>26</v>
      </c>
      <c r="P1506" s="193"/>
      <c r="Q1506" s="218" t="s">
        <v>6067</v>
      </c>
      <c r="R1506" s="86"/>
      <c r="S1506" s="114">
        <f t="shared" ref="S1506:T1506" si="1507">A1506</f>
        <v>1506</v>
      </c>
      <c r="T1506" s="114" t="str">
        <f t="shared" si="1507"/>
        <v>آیدا حبیب پور</v>
      </c>
      <c r="U1506" s="86" t="str">
        <f t="shared" si="3"/>
        <v>09125838135</v>
      </c>
      <c r="V1506" s="86" t="str">
        <f t="shared" si="4"/>
        <v>پیش‌وایی 12</v>
      </c>
      <c r="W1506" s="86"/>
      <c r="X1506" s="86"/>
    </row>
    <row r="1507">
      <c r="A1507" s="201">
        <v>1507.0</v>
      </c>
      <c r="B1507" s="202" t="s">
        <v>6420</v>
      </c>
      <c r="C1507" s="203" t="s">
        <v>6421</v>
      </c>
      <c r="D1507" s="204" t="str">
        <f>IFERROR(__xludf.DUMMYFUNCTION("ARRAYFORMULA(LET( converted, SUBSTITUTE( SUBSTITUTE( SUBSTITUTE( SUBSTITUTE( SUBSTITUTE( SUBSTITUTE( SUBSTITUTE( SUBSTITUTE( SUBSTITUTE( SUBSTITUTE( C1507, ""۰"", ""0""), ""۱"", ""1""), ""۲"", ""2""), ""۳"", ""3""), ""۴"", ""4""), ""۵"", ""5""), ""۶"", """&amp;"6""), ""۷"", ""7""), ""۸"", ""8""), ""۹"", ""9""), IF(LEFT(converted,3)=""+98"", ""0"" &amp; RIGHT(converted, LEN(converted)-3), IF(LEFT(converted,2)=""98"", ""0"" &amp; RIGHT(converted, LEN(converted)-2), IF(LEFT(converted,1)&lt;&gt;""0"", ""0"" &amp; converted, REGEXREPL"&amp;"ACE(converted , ""\s"", """")) ) ) ) )"),"09366071653")</f>
        <v>09366071653</v>
      </c>
      <c r="E1507" s="205" t="s">
        <v>17</v>
      </c>
      <c r="F1507" s="206">
        <v>12.0</v>
      </c>
      <c r="G1507" s="202"/>
      <c r="H1507" s="213" t="s">
        <v>6422</v>
      </c>
      <c r="I1507" s="215"/>
      <c r="J1507" s="215"/>
      <c r="K1507" s="207" t="s">
        <v>6423</v>
      </c>
      <c r="L1507" s="207" t="s">
        <v>6424</v>
      </c>
      <c r="M1507" s="207"/>
      <c r="N1507" s="207"/>
      <c r="O1507" s="207" t="s">
        <v>26</v>
      </c>
      <c r="P1507" s="202"/>
      <c r="Q1507" s="216" t="s">
        <v>6067</v>
      </c>
      <c r="R1507" s="86"/>
      <c r="S1507" s="114">
        <f t="shared" ref="S1507:T1507" si="1508">A1507</f>
        <v>1507</v>
      </c>
      <c r="T1507" s="114" t="str">
        <f t="shared" si="1508"/>
        <v>محمدصالح هجینی نژاد</v>
      </c>
      <c r="U1507" s="86" t="str">
        <f t="shared" si="3"/>
        <v>09366071653</v>
      </c>
      <c r="V1507" s="86" t="str">
        <f t="shared" si="4"/>
        <v>پیش‌وایی 12</v>
      </c>
      <c r="W1507" s="86"/>
      <c r="X1507" s="86"/>
    </row>
    <row r="1508">
      <c r="A1508" s="192">
        <v>1508.0</v>
      </c>
      <c r="B1508" s="193" t="s">
        <v>5527</v>
      </c>
      <c r="C1508" s="194" t="s">
        <v>5528</v>
      </c>
      <c r="D1508" s="195" t="str">
        <f>IFERROR(__xludf.DUMMYFUNCTION("ARRAYFORMULA(LET( converted, SUBSTITUTE( SUBSTITUTE( SUBSTITUTE( SUBSTITUTE( SUBSTITUTE( SUBSTITUTE( SUBSTITUTE( SUBSTITUTE( SUBSTITUTE( SUBSTITUTE( C1508, ""۰"", ""0""), ""۱"", ""1""), ""۲"", ""2""), ""۳"", ""3""), ""۴"", ""4""), ""۵"", ""5""), ""۶"", """&amp;"6""), ""۷"", ""7""), ""۸"", ""8""), ""۹"", ""9""), IF(LEFT(converted,3)=""+98"", ""0"" &amp; RIGHT(converted, LEN(converted)-3), IF(LEFT(converted,2)=""98"", ""0"" &amp; RIGHT(converted, LEN(converted)-2), IF(LEFT(converted,1)&lt;&gt;""0"", ""0"" &amp; converted, REGEXREPL"&amp;"ACE(converted , ""\s"", """")) ) ) ) )"),"09127615736")</f>
        <v>09127615736</v>
      </c>
      <c r="E1508" s="196" t="s">
        <v>17</v>
      </c>
      <c r="F1508" s="197">
        <v>12.0</v>
      </c>
      <c r="G1508" s="193"/>
      <c r="H1508" s="212" t="s">
        <v>6425</v>
      </c>
      <c r="I1508" s="217"/>
      <c r="J1508" s="217"/>
      <c r="K1508" s="199" t="s">
        <v>5529</v>
      </c>
      <c r="L1508" s="199" t="s">
        <v>5530</v>
      </c>
      <c r="M1508" s="199"/>
      <c r="N1508" s="199"/>
      <c r="O1508" s="199" t="s">
        <v>26</v>
      </c>
      <c r="P1508" s="193"/>
      <c r="Q1508" s="218" t="s">
        <v>6067</v>
      </c>
      <c r="R1508" s="86"/>
      <c r="S1508" s="114">
        <f t="shared" ref="S1508:T1508" si="1509">A1508</f>
        <v>1508</v>
      </c>
      <c r="T1508" s="114" t="str">
        <f t="shared" si="1509"/>
        <v>یامین نیکبخش آبکنار</v>
      </c>
      <c r="U1508" s="86" t="str">
        <f t="shared" si="3"/>
        <v>09127615736</v>
      </c>
      <c r="V1508" s="86" t="str">
        <f t="shared" si="4"/>
        <v>پیش‌وایی 12</v>
      </c>
      <c r="W1508" s="86"/>
      <c r="X1508" s="86"/>
    </row>
    <row r="1509">
      <c r="A1509" s="201">
        <v>1509.0</v>
      </c>
      <c r="B1509" s="202" t="s">
        <v>5771</v>
      </c>
      <c r="C1509" s="203" t="s">
        <v>6426</v>
      </c>
      <c r="D1509" s="204" t="str">
        <f>IFERROR(__xludf.DUMMYFUNCTION("ARRAYFORMULA(LET( converted, SUBSTITUTE( SUBSTITUTE( SUBSTITUTE( SUBSTITUTE( SUBSTITUTE( SUBSTITUTE( SUBSTITUTE( SUBSTITUTE( SUBSTITUTE( SUBSTITUTE( C1509, ""۰"", ""0""), ""۱"", ""1""), ""۲"", ""2""), ""۳"", ""3""), ""۴"", ""4""), ""۵"", ""5""), ""۶"", """&amp;"6""), ""۷"", ""7""), ""۸"", ""8""), ""۹"", ""9""), IF(LEFT(converted,3)=""+98"", ""0"" &amp; RIGHT(converted, LEN(converted)-3), IF(LEFT(converted,2)=""98"", ""0"" &amp; RIGHT(converted, LEN(converted)-2), IF(LEFT(converted,1)&lt;&gt;""0"", ""0"" &amp; converted, REGEXREPL"&amp;"ACE(converted , ""\s"", """")) ) ) ) )"),"09195499989")</f>
        <v>09195499989</v>
      </c>
      <c r="E1509" s="205" t="s">
        <v>17</v>
      </c>
      <c r="F1509" s="206">
        <v>12.0</v>
      </c>
      <c r="G1509" s="202"/>
      <c r="H1509" s="213" t="s">
        <v>6427</v>
      </c>
      <c r="I1509" s="215"/>
      <c r="J1509" s="215"/>
      <c r="K1509" s="207" t="s">
        <v>307</v>
      </c>
      <c r="L1509" s="207" t="s">
        <v>5773</v>
      </c>
      <c r="M1509" s="207"/>
      <c r="N1509" s="207"/>
      <c r="O1509" s="207" t="s">
        <v>311</v>
      </c>
      <c r="P1509" s="202"/>
      <c r="Q1509" s="216" t="s">
        <v>6067</v>
      </c>
      <c r="R1509" s="86"/>
      <c r="S1509" s="114">
        <f t="shared" ref="S1509:T1509" si="1510">A1509</f>
        <v>1509</v>
      </c>
      <c r="T1509" s="114" t="str">
        <f t="shared" si="1510"/>
        <v>محمدرضا زمین پرداز</v>
      </c>
      <c r="U1509" s="86" t="str">
        <f t="shared" si="3"/>
        <v>09195499989</v>
      </c>
      <c r="V1509" s="86" t="str">
        <f t="shared" si="4"/>
        <v>پیش‌وایی 12</v>
      </c>
      <c r="W1509" s="86"/>
      <c r="X1509" s="86"/>
    </row>
    <row r="1510">
      <c r="A1510" s="192">
        <v>1510.0</v>
      </c>
      <c r="B1510" s="193" t="s">
        <v>5783</v>
      </c>
      <c r="C1510" s="194" t="s">
        <v>6428</v>
      </c>
      <c r="D1510" s="195" t="str">
        <f>IFERROR(__xludf.DUMMYFUNCTION("ARRAYFORMULA(LET( converted, SUBSTITUTE( SUBSTITUTE( SUBSTITUTE( SUBSTITUTE( SUBSTITUTE( SUBSTITUTE( SUBSTITUTE( SUBSTITUTE( SUBSTITUTE( SUBSTITUTE( C1510, ""۰"", ""0""), ""۱"", ""1""), ""۲"", ""2""), ""۳"", ""3""), ""۴"", ""4""), ""۵"", ""5""), ""۶"", """&amp;"6""), ""۷"", ""7""), ""۸"", ""8""), ""۹"", ""9""), IF(LEFT(converted,3)=""+98"", ""0"" &amp; RIGHT(converted, LEN(converted)-3), IF(LEFT(converted,2)=""98"", ""0"" &amp; RIGHT(converted, LEN(converted)-2), IF(LEFT(converted,1)&lt;&gt;""0"", ""0"" &amp; converted, REGEXREPL"&amp;"ACE(converted , ""\s"", """")) ) ) ) )"),"09132865814")</f>
        <v>09132865814</v>
      </c>
      <c r="E1510" s="196" t="s">
        <v>17</v>
      </c>
      <c r="F1510" s="197">
        <v>12.0</v>
      </c>
      <c r="G1510" s="193"/>
      <c r="H1510" s="212" t="s">
        <v>6429</v>
      </c>
      <c r="I1510" s="217"/>
      <c r="J1510" s="217"/>
      <c r="K1510" s="199" t="s">
        <v>5126</v>
      </c>
      <c r="L1510" s="199" t="s">
        <v>5066</v>
      </c>
      <c r="M1510" s="199"/>
      <c r="N1510" s="199"/>
      <c r="O1510" s="199" t="s">
        <v>311</v>
      </c>
      <c r="P1510" s="193"/>
      <c r="Q1510" s="218" t="s">
        <v>6067</v>
      </c>
      <c r="R1510" s="86"/>
      <c r="S1510" s="114">
        <f t="shared" ref="S1510:T1510" si="1511">A1510</f>
        <v>1510</v>
      </c>
      <c r="T1510" s="114" t="str">
        <f t="shared" si="1511"/>
        <v>مرضیه عزیزی</v>
      </c>
      <c r="U1510" s="86" t="str">
        <f t="shared" si="3"/>
        <v>09132865814</v>
      </c>
      <c r="V1510" s="86" t="str">
        <f t="shared" si="4"/>
        <v>پیش‌وایی 12</v>
      </c>
      <c r="W1510" s="86"/>
      <c r="X1510" s="86"/>
    </row>
    <row r="1511">
      <c r="A1511" s="201">
        <v>1511.0</v>
      </c>
      <c r="B1511" s="202" t="s">
        <v>6430</v>
      </c>
      <c r="C1511" s="203" t="s">
        <v>6431</v>
      </c>
      <c r="D1511" s="204" t="str">
        <f>IFERROR(__xludf.DUMMYFUNCTION("ARRAYFORMULA(LET( converted, SUBSTITUTE( SUBSTITUTE( SUBSTITUTE( SUBSTITUTE( SUBSTITUTE( SUBSTITUTE( SUBSTITUTE( SUBSTITUTE( SUBSTITUTE( SUBSTITUTE( C1511, ""۰"", ""0""), ""۱"", ""1""), ""۲"", ""2""), ""۳"", ""3""), ""۴"", ""4""), ""۵"", ""5""), ""۶"", """&amp;"6""), ""۷"", ""7""), ""۸"", ""8""), ""۹"", ""9""), IF(LEFT(converted,3)=""+98"", ""0"" &amp; RIGHT(converted, LEN(converted)-3), IF(LEFT(converted,2)=""98"", ""0"" &amp; RIGHT(converted, LEN(converted)-2), IF(LEFT(converted,1)&lt;&gt;""0"", ""0"" &amp; converted, REGEXREPL"&amp;"ACE(converted , ""\s"", """")) ) ) ) )"),"09136860084")</f>
        <v>09136860084</v>
      </c>
      <c r="E1511" s="205" t="s">
        <v>17</v>
      </c>
      <c r="F1511" s="206">
        <v>12.0</v>
      </c>
      <c r="G1511" s="202"/>
      <c r="H1511" s="213" t="s">
        <v>6432</v>
      </c>
      <c r="I1511" s="215"/>
      <c r="J1511" s="215"/>
      <c r="K1511" s="207" t="s">
        <v>259</v>
      </c>
      <c r="L1511" s="207" t="s">
        <v>5053</v>
      </c>
      <c r="M1511" s="207"/>
      <c r="N1511" s="207"/>
      <c r="O1511" s="207" t="s">
        <v>311</v>
      </c>
      <c r="P1511" s="202"/>
      <c r="Q1511" s="216" t="s">
        <v>6067</v>
      </c>
      <c r="R1511" s="86"/>
      <c r="S1511" s="114">
        <f t="shared" ref="S1511:T1511" si="1512">A1511</f>
        <v>1511</v>
      </c>
      <c r="T1511" s="114" t="str">
        <f t="shared" si="1512"/>
        <v>علیرضا یاوری</v>
      </c>
      <c r="U1511" s="86" t="str">
        <f t="shared" si="3"/>
        <v>09136860084</v>
      </c>
      <c r="V1511" s="86" t="str">
        <f t="shared" si="4"/>
        <v>پیش‌وایی 12</v>
      </c>
      <c r="W1511" s="86"/>
      <c r="X1511" s="86"/>
    </row>
    <row r="1512">
      <c r="A1512" s="192">
        <v>1512.0</v>
      </c>
      <c r="B1512" s="193" t="s">
        <v>6433</v>
      </c>
      <c r="C1512" s="194" t="s">
        <v>6434</v>
      </c>
      <c r="D1512" s="195" t="str">
        <f>IFERROR(__xludf.DUMMYFUNCTION("ARRAYFORMULA(LET( converted, SUBSTITUTE( SUBSTITUTE( SUBSTITUTE( SUBSTITUTE( SUBSTITUTE( SUBSTITUTE( SUBSTITUTE( SUBSTITUTE( SUBSTITUTE( SUBSTITUTE( C1512, ""۰"", ""0""), ""۱"", ""1""), ""۲"", ""2""), ""۳"", ""3""), ""۴"", ""4""), ""۵"", ""5""), ""۶"", """&amp;"6""), ""۷"", ""7""), ""۸"", ""8""), ""۹"", ""9""), IF(LEFT(converted,3)=""+98"", ""0"" &amp; RIGHT(converted, LEN(converted)-3), IF(LEFT(converted,2)=""98"", ""0"" &amp; RIGHT(converted, LEN(converted)-2), IF(LEFT(converted,1)&lt;&gt;""0"", ""0"" &amp; converted, REGEXREPL"&amp;"ACE(converted , ""\s"", """")) ) ) ) )"),"09381241100")</f>
        <v>09381241100</v>
      </c>
      <c r="E1512" s="196" t="s">
        <v>17</v>
      </c>
      <c r="F1512" s="197">
        <v>12.0</v>
      </c>
      <c r="G1512" s="193"/>
      <c r="H1512" s="212" t="s">
        <v>6435</v>
      </c>
      <c r="I1512" s="217"/>
      <c r="J1512" s="217"/>
      <c r="K1512" s="199" t="s">
        <v>307</v>
      </c>
      <c r="L1512" s="199" t="s">
        <v>6436</v>
      </c>
      <c r="M1512" s="199"/>
      <c r="N1512" s="199"/>
      <c r="O1512" s="199" t="s">
        <v>311</v>
      </c>
      <c r="P1512" s="193"/>
      <c r="Q1512" s="218" t="s">
        <v>6067</v>
      </c>
      <c r="R1512" s="86"/>
      <c r="S1512" s="114">
        <f t="shared" ref="S1512:T1512" si="1513">A1512</f>
        <v>1512</v>
      </c>
      <c r="T1512" s="114" t="str">
        <f t="shared" si="1513"/>
        <v>محمدرضا درفشی</v>
      </c>
      <c r="U1512" s="86" t="str">
        <f t="shared" si="3"/>
        <v>09381241100</v>
      </c>
      <c r="V1512" s="86" t="str">
        <f t="shared" si="4"/>
        <v>پیش‌وایی 12</v>
      </c>
      <c r="W1512" s="86"/>
      <c r="X1512" s="86"/>
    </row>
    <row r="1513">
      <c r="A1513" s="201">
        <v>1513.0</v>
      </c>
      <c r="B1513" s="202" t="s">
        <v>6437</v>
      </c>
      <c r="C1513" s="203" t="s">
        <v>6438</v>
      </c>
      <c r="D1513" s="204" t="str">
        <f>IFERROR(__xludf.DUMMYFUNCTION("ARRAYFORMULA(LET( converted, SUBSTITUTE( SUBSTITUTE( SUBSTITUTE( SUBSTITUTE( SUBSTITUTE( SUBSTITUTE( SUBSTITUTE( SUBSTITUTE( SUBSTITUTE( SUBSTITUTE( C1513, ""۰"", ""0""), ""۱"", ""1""), ""۲"", ""2""), ""۳"", ""3""), ""۴"", ""4""), ""۵"", ""5""), ""۶"", """&amp;"6""), ""۷"", ""7""), ""۸"", ""8""), ""۹"", ""9""), IF(LEFT(converted,3)=""+98"", ""0"" &amp; RIGHT(converted, LEN(converted)-3), IF(LEFT(converted,2)=""98"", ""0"" &amp; RIGHT(converted, LEN(converted)-2), IF(LEFT(converted,1)&lt;&gt;""0"", ""0"" &amp; converted, REGEXREPL"&amp;"ACE(converted , ""\s"", """")) ) ) ) )"),"09134030615")</f>
        <v>09134030615</v>
      </c>
      <c r="E1513" s="205" t="s">
        <v>17</v>
      </c>
      <c r="F1513" s="206">
        <v>12.0</v>
      </c>
      <c r="G1513" s="202"/>
      <c r="H1513" s="213" t="s">
        <v>6439</v>
      </c>
      <c r="I1513" s="215"/>
      <c r="J1513" s="215"/>
      <c r="K1513" s="207" t="s">
        <v>2585</v>
      </c>
      <c r="L1513" s="207" t="s">
        <v>6440</v>
      </c>
      <c r="M1513" s="207"/>
      <c r="N1513" s="207"/>
      <c r="O1513" s="207" t="s">
        <v>311</v>
      </c>
      <c r="P1513" s="202"/>
      <c r="Q1513" s="216" t="s">
        <v>6067</v>
      </c>
      <c r="R1513" s="86"/>
      <c r="S1513" s="114">
        <f t="shared" ref="S1513:T1513" si="1514">A1513</f>
        <v>1513</v>
      </c>
      <c r="T1513" s="114" t="str">
        <f t="shared" si="1514"/>
        <v>سید علی آدینه</v>
      </c>
      <c r="U1513" s="86" t="str">
        <f t="shared" si="3"/>
        <v>09134030615</v>
      </c>
      <c r="V1513" s="86" t="str">
        <f t="shared" si="4"/>
        <v>پیش‌وایی 12</v>
      </c>
      <c r="W1513" s="86"/>
      <c r="X1513" s="86"/>
    </row>
    <row r="1514">
      <c r="A1514" s="192">
        <v>1514.0</v>
      </c>
      <c r="B1514" s="193" t="s">
        <v>6441</v>
      </c>
      <c r="C1514" s="194" t="s">
        <v>6442</v>
      </c>
      <c r="D1514" s="195" t="str">
        <f>IFERROR(__xludf.DUMMYFUNCTION("ARRAYFORMULA(LET( converted, SUBSTITUTE( SUBSTITUTE( SUBSTITUTE( SUBSTITUTE( SUBSTITUTE( SUBSTITUTE( SUBSTITUTE( SUBSTITUTE( SUBSTITUTE( SUBSTITUTE( C1514, ""۰"", ""0""), ""۱"", ""1""), ""۲"", ""2""), ""۳"", ""3""), ""۴"", ""4""), ""۵"", ""5""), ""۶"", """&amp;"6""), ""۷"", ""7""), ""۸"", ""8""), ""۹"", ""9""), IF(LEFT(converted,3)=""+98"", ""0"" &amp; RIGHT(converted, LEN(converted)-3), IF(LEFT(converted,2)=""98"", ""0"" &amp; RIGHT(converted, LEN(converted)-2), IF(LEFT(converted,1)&lt;&gt;""0"", ""0"" &amp; converted, REGEXREPL"&amp;"ACE(converted , ""\s"", """")) ) ) ) )"),"09132706570")</f>
        <v>09132706570</v>
      </c>
      <c r="E1514" s="196" t="s">
        <v>17</v>
      </c>
      <c r="F1514" s="197">
        <v>12.0</v>
      </c>
      <c r="G1514" s="193"/>
      <c r="H1514" s="212" t="s">
        <v>6443</v>
      </c>
      <c r="I1514" s="217"/>
      <c r="J1514" s="217"/>
      <c r="K1514" s="199" t="s">
        <v>292</v>
      </c>
      <c r="L1514" s="199" t="s">
        <v>6444</v>
      </c>
      <c r="M1514" s="199"/>
      <c r="N1514" s="199"/>
      <c r="O1514" s="199" t="s">
        <v>311</v>
      </c>
      <c r="P1514" s="193"/>
      <c r="Q1514" s="218" t="s">
        <v>6067</v>
      </c>
      <c r="R1514" s="86"/>
      <c r="S1514" s="114">
        <f t="shared" ref="S1514:T1514" si="1515">A1514</f>
        <v>1514</v>
      </c>
      <c r="T1514" s="114" t="str">
        <f t="shared" si="1515"/>
        <v>مریم صدری</v>
      </c>
      <c r="U1514" s="86" t="str">
        <f t="shared" si="3"/>
        <v>09132706570</v>
      </c>
      <c r="V1514" s="86" t="str">
        <f t="shared" si="4"/>
        <v>پیش‌وایی 12</v>
      </c>
      <c r="W1514" s="86"/>
      <c r="X1514" s="86"/>
    </row>
    <row r="1515">
      <c r="A1515" s="201">
        <v>1515.0</v>
      </c>
      <c r="B1515" s="202" t="s">
        <v>6445</v>
      </c>
      <c r="C1515" s="203" t="s">
        <v>6446</v>
      </c>
      <c r="D1515" s="204" t="str">
        <f>IFERROR(__xludf.DUMMYFUNCTION("ARRAYFORMULA(LET( converted, SUBSTITUTE( SUBSTITUTE( SUBSTITUTE( SUBSTITUTE( SUBSTITUTE( SUBSTITUTE( SUBSTITUTE( SUBSTITUTE( SUBSTITUTE( SUBSTITUTE( C1515, ""۰"", ""0""), ""۱"", ""1""), ""۲"", ""2""), ""۳"", ""3""), ""۴"", ""4""), ""۵"", ""5""), ""۶"", """&amp;"6""), ""۷"", ""7""), ""۸"", ""8""), ""۹"", ""9""), IF(LEFT(converted,3)=""+98"", ""0"" &amp; RIGHT(converted, LEN(converted)-3), IF(LEFT(converted,2)=""98"", ""0"" &amp; RIGHT(converted, LEN(converted)-2), IF(LEFT(converted,1)&lt;&gt;""0"", ""0"" &amp; converted, REGEXREPL"&amp;"ACE(converted , ""\s"", """")) ) ) ) )"),"09103003058")</f>
        <v>09103003058</v>
      </c>
      <c r="E1515" s="205" t="s">
        <v>17</v>
      </c>
      <c r="F1515" s="206">
        <v>12.0</v>
      </c>
      <c r="G1515" s="202"/>
      <c r="H1515" s="213" t="s">
        <v>6447</v>
      </c>
      <c r="I1515" s="215"/>
      <c r="J1515" s="215"/>
      <c r="K1515" s="207" t="s">
        <v>6448</v>
      </c>
      <c r="L1515" s="207" t="s">
        <v>6449</v>
      </c>
      <c r="M1515" s="207"/>
      <c r="N1515" s="207"/>
      <c r="O1515" s="207" t="s">
        <v>311</v>
      </c>
      <c r="P1515" s="202"/>
      <c r="Q1515" s="216" t="s">
        <v>6067</v>
      </c>
      <c r="R1515" s="86"/>
      <c r="S1515" s="114">
        <f t="shared" ref="S1515:T1515" si="1516">A1515</f>
        <v>1515</v>
      </c>
      <c r="T1515" s="114" t="str">
        <f t="shared" si="1516"/>
        <v>سید سعید موسوی زاهد</v>
      </c>
      <c r="U1515" s="86" t="str">
        <f t="shared" si="3"/>
        <v>09103003058</v>
      </c>
      <c r="V1515" s="86" t="str">
        <f t="shared" si="4"/>
        <v>پیش‌وایی 12</v>
      </c>
      <c r="W1515" s="86"/>
      <c r="X1515" s="86"/>
    </row>
    <row r="1516">
      <c r="A1516" s="192">
        <v>1516.0</v>
      </c>
      <c r="B1516" s="193" t="s">
        <v>4757</v>
      </c>
      <c r="C1516" s="194" t="s">
        <v>4758</v>
      </c>
      <c r="D1516" s="195" t="str">
        <f>IFERROR(__xludf.DUMMYFUNCTION("ARRAYFORMULA(LET( converted, SUBSTITUTE( SUBSTITUTE( SUBSTITUTE( SUBSTITUTE( SUBSTITUTE( SUBSTITUTE( SUBSTITUTE( SUBSTITUTE( SUBSTITUTE( SUBSTITUTE( C1516, ""۰"", ""0""), ""۱"", ""1""), ""۲"", ""2""), ""۳"", ""3""), ""۴"", ""4""), ""۵"", ""5""), ""۶"", """&amp;"6""), ""۷"", ""7""), ""۸"", ""8""), ""۹"", ""9""), IF(LEFT(converted,3)=""+98"", ""0"" &amp; RIGHT(converted, LEN(converted)-3), IF(LEFT(converted,2)=""98"", ""0"" &amp; RIGHT(converted, LEN(converted)-2), IF(LEFT(converted,1)&lt;&gt;""0"", ""0"" &amp; converted, REGEXREPL"&amp;"ACE(converted , ""\s"", """")) ) ) ) )"),"09120882522")</f>
        <v>09120882522</v>
      </c>
      <c r="E1516" s="196" t="s">
        <v>17</v>
      </c>
      <c r="F1516" s="197">
        <v>12.0</v>
      </c>
      <c r="G1516" s="193"/>
      <c r="H1516" s="199" t="s">
        <v>4144</v>
      </c>
      <c r="I1516" s="217"/>
      <c r="J1516" s="217"/>
      <c r="K1516" s="199" t="s">
        <v>192</v>
      </c>
      <c r="L1516" s="199" t="s">
        <v>4759</v>
      </c>
      <c r="M1516" s="199"/>
      <c r="N1516" s="199"/>
      <c r="O1516" s="199" t="s">
        <v>6450</v>
      </c>
      <c r="P1516" s="193"/>
      <c r="Q1516" s="218" t="s">
        <v>6067</v>
      </c>
      <c r="R1516" s="86"/>
      <c r="S1516" s="114">
        <f t="shared" ref="S1516:T1516" si="1517">A1516</f>
        <v>1516</v>
      </c>
      <c r="T1516" s="114" t="str">
        <f t="shared" si="1517"/>
        <v>امیرحسین قوام</v>
      </c>
      <c r="U1516" s="86" t="str">
        <f t="shared" si="3"/>
        <v>09120882522</v>
      </c>
      <c r="V1516" s="86" t="str">
        <f t="shared" si="4"/>
        <v>پیش‌وایی 12</v>
      </c>
      <c r="W1516" s="86"/>
      <c r="X1516" s="86"/>
    </row>
    <row r="1517">
      <c r="A1517" s="201">
        <v>1517.0</v>
      </c>
      <c r="B1517" s="202" t="s">
        <v>6451</v>
      </c>
      <c r="C1517" s="203" t="s">
        <v>6452</v>
      </c>
      <c r="D1517" s="204" t="str">
        <f>IFERROR(__xludf.DUMMYFUNCTION("ARRAYFORMULA(LET( converted, SUBSTITUTE( SUBSTITUTE( SUBSTITUTE( SUBSTITUTE( SUBSTITUTE( SUBSTITUTE( SUBSTITUTE( SUBSTITUTE( SUBSTITUTE( SUBSTITUTE( C1517, ""۰"", ""0""), ""۱"", ""1""), ""۲"", ""2""), ""۳"", ""3""), ""۴"", ""4""), ""۵"", ""5""), ""۶"", """&amp;"6""), ""۷"", ""7""), ""۸"", ""8""), ""۹"", ""9""), IF(LEFT(converted,3)=""+98"", ""0"" &amp; RIGHT(converted, LEN(converted)-3), IF(LEFT(converted,2)=""98"", ""0"" &amp; RIGHT(converted, LEN(converted)-2), IF(LEFT(converted,1)&lt;&gt;""0"", ""0"" &amp; converted, REGEXREPL"&amp;"ACE(converted , ""\s"", """")) ) ) ) )"),"09129681180")</f>
        <v>09129681180</v>
      </c>
      <c r="E1517" s="205" t="s">
        <v>17</v>
      </c>
      <c r="F1517" s="206">
        <v>12.0</v>
      </c>
      <c r="G1517" s="202"/>
      <c r="H1517" s="213" t="s">
        <v>6453</v>
      </c>
      <c r="I1517" s="215"/>
      <c r="J1517" s="215"/>
      <c r="K1517" s="207" t="s">
        <v>5924</v>
      </c>
      <c r="L1517" s="207" t="s">
        <v>6454</v>
      </c>
      <c r="M1517" s="207"/>
      <c r="N1517" s="207"/>
      <c r="O1517" s="207" t="s">
        <v>6170</v>
      </c>
      <c r="P1517" s="202"/>
      <c r="Q1517" s="216" t="s">
        <v>6067</v>
      </c>
      <c r="R1517" s="86"/>
      <c r="S1517" s="114">
        <f t="shared" ref="S1517:T1517" si="1518">A1517</f>
        <v>1517</v>
      </c>
      <c r="T1517" s="114" t="str">
        <f t="shared" si="1518"/>
        <v>امیرمحمد رستمی</v>
      </c>
      <c r="U1517" s="86" t="str">
        <f t="shared" si="3"/>
        <v>09129681180</v>
      </c>
      <c r="V1517" s="86" t="str">
        <f t="shared" si="4"/>
        <v>پیش‌وایی 12</v>
      </c>
      <c r="W1517" s="86"/>
      <c r="X1517" s="86"/>
    </row>
    <row r="1518">
      <c r="A1518" s="192">
        <v>1518.0</v>
      </c>
      <c r="B1518" s="193" t="s">
        <v>6455</v>
      </c>
      <c r="C1518" s="194" t="s">
        <v>6456</v>
      </c>
      <c r="D1518" s="195" t="str">
        <f>IFERROR(__xludf.DUMMYFUNCTION("ARRAYFORMULA(LET( converted, SUBSTITUTE( SUBSTITUTE( SUBSTITUTE( SUBSTITUTE( SUBSTITUTE( SUBSTITUTE( SUBSTITUTE( SUBSTITUTE( SUBSTITUTE( SUBSTITUTE( C1518, ""۰"", ""0""), ""۱"", ""1""), ""۲"", ""2""), ""۳"", ""3""), ""۴"", ""4""), ""۵"", ""5""), ""۶"", """&amp;"6""), ""۷"", ""7""), ""۸"", ""8""), ""۹"", ""9""), IF(LEFT(converted,3)=""+98"", ""0"" &amp; RIGHT(converted, LEN(converted)-3), IF(LEFT(converted,2)=""98"", ""0"" &amp; RIGHT(converted, LEN(converted)-2), IF(LEFT(converted,1)&lt;&gt;""0"", ""0"" &amp; converted, REGEXREPL"&amp;"ACE(converted , ""\s"", """")) ) ) ) )"),"09127021371")</f>
        <v>09127021371</v>
      </c>
      <c r="E1518" s="196" t="s">
        <v>17</v>
      </c>
      <c r="F1518" s="197">
        <v>12.0</v>
      </c>
      <c r="G1518" s="193"/>
      <c r="H1518" s="212" t="s">
        <v>6457</v>
      </c>
      <c r="I1518" s="217"/>
      <c r="J1518" s="217"/>
      <c r="K1518" s="199" t="s">
        <v>1167</v>
      </c>
      <c r="L1518" s="199" t="s">
        <v>6458</v>
      </c>
      <c r="M1518" s="199"/>
      <c r="N1518" s="199"/>
      <c r="O1518" s="199" t="s">
        <v>6066</v>
      </c>
      <c r="P1518" s="193"/>
      <c r="Q1518" s="218" t="s">
        <v>6067</v>
      </c>
      <c r="R1518" s="86"/>
      <c r="S1518" s="114">
        <f t="shared" ref="S1518:T1518" si="1519">A1518</f>
        <v>1518</v>
      </c>
      <c r="T1518" s="114" t="str">
        <f t="shared" si="1519"/>
        <v>میثم اسکندری</v>
      </c>
      <c r="U1518" s="86" t="str">
        <f t="shared" si="3"/>
        <v>09127021371</v>
      </c>
      <c r="V1518" s="86" t="str">
        <f t="shared" si="4"/>
        <v>پیش‌وایی 12</v>
      </c>
      <c r="W1518" s="86"/>
      <c r="X1518" s="86"/>
    </row>
    <row r="1519">
      <c r="A1519" s="201">
        <v>1519.0</v>
      </c>
      <c r="B1519" s="202" t="s">
        <v>117</v>
      </c>
      <c r="C1519" s="203" t="s">
        <v>6459</v>
      </c>
      <c r="D1519" s="204" t="str">
        <f>IFERROR(__xludf.DUMMYFUNCTION("ARRAYFORMULA(LET( converted, SUBSTITUTE( SUBSTITUTE( SUBSTITUTE( SUBSTITUTE( SUBSTITUTE( SUBSTITUTE( SUBSTITUTE( SUBSTITUTE( SUBSTITUTE( SUBSTITUTE( C1519, ""۰"", ""0""), ""۱"", ""1""), ""۲"", ""2""), ""۳"", ""3""), ""۴"", ""4""), ""۵"", ""5""), ""۶"", """&amp;"6""), ""۷"", ""7""), ""۸"", ""8""), ""۹"", ""9""), IF(LEFT(converted,3)=""+98"", ""0"" &amp; RIGHT(converted, LEN(converted)-3), IF(LEFT(converted,2)=""98"", ""0"" &amp; RIGHT(converted, LEN(converted)-2), IF(LEFT(converted,1)&lt;&gt;""0"", ""0"" &amp; converted, REGEXREPL"&amp;"ACE(converted , ""\s"", """")) ) ) ) )"),"09155017848")</f>
        <v>09155017848</v>
      </c>
      <c r="E1519" s="205" t="s">
        <v>17</v>
      </c>
      <c r="F1519" s="206">
        <v>12.0</v>
      </c>
      <c r="G1519" s="202"/>
      <c r="H1519" s="213" t="s">
        <v>6375</v>
      </c>
      <c r="I1519" s="215"/>
      <c r="J1519" s="215"/>
      <c r="K1519" s="207" t="s">
        <v>758</v>
      </c>
      <c r="L1519" s="207" t="s">
        <v>6460</v>
      </c>
      <c r="M1519" s="207"/>
      <c r="N1519" s="207"/>
      <c r="O1519" s="207" t="s">
        <v>6066</v>
      </c>
      <c r="P1519" s="202"/>
      <c r="Q1519" s="216" t="s">
        <v>6067</v>
      </c>
      <c r="R1519" s="86"/>
      <c r="S1519" s="114">
        <f t="shared" ref="S1519:T1519" si="1520">A1519</f>
        <v>1519</v>
      </c>
      <c r="T1519" s="114" t="str">
        <f t="shared" si="1520"/>
        <v>سعید ذبیحی</v>
      </c>
      <c r="U1519" s="86" t="str">
        <f t="shared" si="3"/>
        <v>09155017848</v>
      </c>
      <c r="V1519" s="86" t="str">
        <f t="shared" si="4"/>
        <v>پیش‌وایی 12</v>
      </c>
      <c r="W1519" s="86"/>
      <c r="X1519" s="86"/>
    </row>
    <row r="1520">
      <c r="A1520" s="192">
        <v>1520.0</v>
      </c>
      <c r="B1520" s="193" t="s">
        <v>6461</v>
      </c>
      <c r="C1520" s="194" t="s">
        <v>6462</v>
      </c>
      <c r="D1520" s="195" t="str">
        <f>IFERROR(__xludf.DUMMYFUNCTION("ARRAYFORMULA(LET( converted, SUBSTITUTE( SUBSTITUTE( SUBSTITUTE( SUBSTITUTE( SUBSTITUTE( SUBSTITUTE( SUBSTITUTE( SUBSTITUTE( SUBSTITUTE( SUBSTITUTE( C1520, ""۰"", ""0""), ""۱"", ""1""), ""۲"", ""2""), ""۳"", ""3""), ""۴"", ""4""), ""۵"", ""5""), ""۶"", """&amp;"6""), ""۷"", ""7""), ""۸"", ""8""), ""۹"", ""9""), IF(LEFT(converted,3)=""+98"", ""0"" &amp; RIGHT(converted, LEN(converted)-3), IF(LEFT(converted,2)=""98"", ""0"" &amp; RIGHT(converted, LEN(converted)-2), IF(LEFT(converted,1)&lt;&gt;""0"", ""0"" &amp; converted, REGEXREPL"&amp;"ACE(converted , ""\s"", """")) ) ) ) )"),"09155585525")</f>
        <v>09155585525</v>
      </c>
      <c r="E1520" s="196" t="s">
        <v>17</v>
      </c>
      <c r="F1520" s="197">
        <v>12.0</v>
      </c>
      <c r="G1520" s="193"/>
      <c r="H1520" s="212" t="s">
        <v>6463</v>
      </c>
      <c r="I1520" s="217"/>
      <c r="J1520" s="217"/>
      <c r="K1520" s="199" t="s">
        <v>274</v>
      </c>
      <c r="L1520" s="199" t="s">
        <v>6464</v>
      </c>
      <c r="M1520" s="199"/>
      <c r="N1520" s="199"/>
      <c r="O1520" s="199" t="s">
        <v>6066</v>
      </c>
      <c r="P1520" s="193"/>
      <c r="Q1520" s="218" t="s">
        <v>6310</v>
      </c>
      <c r="R1520" s="86"/>
      <c r="S1520" s="114">
        <f t="shared" ref="S1520:T1520" si="1521">A1520</f>
        <v>1520</v>
      </c>
      <c r="T1520" s="114" t="str">
        <f t="shared" si="1521"/>
        <v>فاطمه معینی نوده</v>
      </c>
      <c r="U1520" s="86" t="str">
        <f t="shared" si="3"/>
        <v>09155585525</v>
      </c>
      <c r="V1520" s="86" t="str">
        <f t="shared" si="4"/>
        <v>پیش‌وایی 12</v>
      </c>
      <c r="W1520" s="86"/>
      <c r="X1520" s="86"/>
    </row>
    <row r="1521">
      <c r="A1521" s="201">
        <v>1521.0</v>
      </c>
      <c r="B1521" s="207" t="s">
        <v>6465</v>
      </c>
      <c r="C1521" s="203" t="s">
        <v>6466</v>
      </c>
      <c r="D1521" s="204" t="str">
        <f>IFERROR(__xludf.DUMMYFUNCTION("ARRAYFORMULA(LET( converted, SUBSTITUTE( SUBSTITUTE( SUBSTITUTE( SUBSTITUTE( SUBSTITUTE( SUBSTITUTE( SUBSTITUTE( SUBSTITUTE( SUBSTITUTE( SUBSTITUTE( C1521, ""۰"", ""0""), ""۱"", ""1""), ""۲"", ""2""), ""۳"", ""3""), ""۴"", ""4""), ""۵"", ""5""), ""۶"", """&amp;"6""), ""۷"", ""7""), ""۸"", ""8""), ""۹"", ""9""), IF(LEFT(converted,3)=""+98"", ""0"" &amp; RIGHT(converted, LEN(converted)-3), IF(LEFT(converted,2)=""98"", ""0"" &amp; RIGHT(converted, LEN(converted)-2), IF(LEFT(converted,1)&lt;&gt;""0"", ""0"" &amp; converted, REGEXREPL"&amp;"ACE(converted , ""\s"", """")) ) ) ) )"),"09123798829")</f>
        <v>09123798829</v>
      </c>
      <c r="E1521" s="205" t="s">
        <v>17</v>
      </c>
      <c r="F1521" s="206">
        <v>12.0</v>
      </c>
      <c r="G1521" s="202"/>
      <c r="H1521" s="213" t="s">
        <v>6467</v>
      </c>
      <c r="I1521" s="215"/>
      <c r="J1521" s="215"/>
      <c r="K1521" s="207" t="s">
        <v>6468</v>
      </c>
      <c r="L1521" s="207" t="s">
        <v>6469</v>
      </c>
      <c r="M1521" s="207"/>
      <c r="N1521" s="207"/>
      <c r="O1521" s="207" t="s">
        <v>6066</v>
      </c>
      <c r="P1521" s="202"/>
      <c r="Q1521" s="216" t="s">
        <v>6067</v>
      </c>
      <c r="R1521" s="86"/>
      <c r="S1521" s="114">
        <f t="shared" ref="S1521:T1521" si="1522">A1521</f>
        <v>1521</v>
      </c>
      <c r="T1521" s="114" t="str">
        <f t="shared" si="1522"/>
        <v>امیر عباس فتوت</v>
      </c>
      <c r="U1521" s="86" t="str">
        <f t="shared" si="3"/>
        <v>09123798829</v>
      </c>
      <c r="V1521" s="86" t="str">
        <f t="shared" si="4"/>
        <v>پیش‌وایی 12</v>
      </c>
      <c r="W1521" s="86"/>
      <c r="X1521" s="86"/>
    </row>
    <row r="1522">
      <c r="A1522" s="192">
        <v>1522.0</v>
      </c>
      <c r="B1522" s="199" t="s">
        <v>6470</v>
      </c>
      <c r="C1522" s="194" t="s">
        <v>6466</v>
      </c>
      <c r="D1522" s="195" t="str">
        <f>IFERROR(__xludf.DUMMYFUNCTION("ARRAYFORMULA(LET( converted, SUBSTITUTE( SUBSTITUTE( SUBSTITUTE( SUBSTITUTE( SUBSTITUTE( SUBSTITUTE( SUBSTITUTE( SUBSTITUTE( SUBSTITUTE( SUBSTITUTE( C1522, ""۰"", ""0""), ""۱"", ""1""), ""۲"", ""2""), ""۳"", ""3""), ""۴"", ""4""), ""۵"", ""5""), ""۶"", """&amp;"6""), ""۷"", ""7""), ""۸"", ""8""), ""۹"", ""9""), IF(LEFT(converted,3)=""+98"", ""0"" &amp; RIGHT(converted, LEN(converted)-3), IF(LEFT(converted,2)=""98"", ""0"" &amp; RIGHT(converted, LEN(converted)-2), IF(LEFT(converted,1)&lt;&gt;""0"", ""0"" &amp; converted, REGEXREPL"&amp;"ACE(converted , ""\s"", """")) ) ) ) )"),"09123798829")</f>
        <v>09123798829</v>
      </c>
      <c r="E1522" s="196" t="s">
        <v>17</v>
      </c>
      <c r="F1522" s="197">
        <v>12.0</v>
      </c>
      <c r="G1522" s="193"/>
      <c r="H1522" s="212" t="s">
        <v>6467</v>
      </c>
      <c r="I1522" s="217"/>
      <c r="J1522" s="217"/>
      <c r="K1522" s="199" t="s">
        <v>796</v>
      </c>
      <c r="L1522" s="199" t="s">
        <v>6471</v>
      </c>
      <c r="M1522" s="199"/>
      <c r="N1522" s="199"/>
      <c r="O1522" s="199" t="s">
        <v>6066</v>
      </c>
      <c r="P1522" s="193"/>
      <c r="Q1522" s="218" t="s">
        <v>6067</v>
      </c>
      <c r="R1522" s="86"/>
      <c r="S1522" s="114">
        <f t="shared" ref="S1522:T1522" si="1523">A1522</f>
        <v>1522</v>
      </c>
      <c r="T1522" s="114" t="str">
        <f t="shared" si="1523"/>
        <v>پریسا باقریان</v>
      </c>
      <c r="U1522" s="86" t="str">
        <f t="shared" si="3"/>
        <v>09123798829</v>
      </c>
      <c r="V1522" s="86" t="str">
        <f t="shared" si="4"/>
        <v>پیش‌وایی 12</v>
      </c>
      <c r="W1522" s="86"/>
      <c r="X1522" s="86"/>
    </row>
    <row r="1523">
      <c r="A1523" s="201">
        <v>1523.0</v>
      </c>
      <c r="B1523" s="202" t="s">
        <v>6472</v>
      </c>
      <c r="C1523" s="203" t="s">
        <v>6473</v>
      </c>
      <c r="D1523" s="204" t="str">
        <f>IFERROR(__xludf.DUMMYFUNCTION("ARRAYFORMULA(LET( converted, SUBSTITUTE( SUBSTITUTE( SUBSTITUTE( SUBSTITUTE( SUBSTITUTE( SUBSTITUTE( SUBSTITUTE( SUBSTITUTE( SUBSTITUTE( SUBSTITUTE( C1523, ""۰"", ""0""), ""۱"", ""1""), ""۲"", ""2""), ""۳"", ""3""), ""۴"", ""4""), ""۵"", ""5""), ""۶"", """&amp;"6""), ""۷"", ""7""), ""۸"", ""8""), ""۹"", ""9""), IF(LEFT(converted,3)=""+98"", ""0"" &amp; RIGHT(converted, LEN(converted)-3), IF(LEFT(converted,2)=""98"", ""0"" &amp; RIGHT(converted, LEN(converted)-2), IF(LEFT(converted,1)&lt;&gt;""0"", ""0"" &amp; converted, REGEXREPL"&amp;"ACE(converted , ""\s"", """")) ) ) ) )"),"09190280118")</f>
        <v>09190280118</v>
      </c>
      <c r="E1523" s="205" t="s">
        <v>17</v>
      </c>
      <c r="F1523" s="206">
        <v>12.0</v>
      </c>
      <c r="G1523" s="202"/>
      <c r="H1523" s="207" t="s">
        <v>6140</v>
      </c>
      <c r="I1523" s="215"/>
      <c r="J1523" s="215"/>
      <c r="K1523" s="207" t="s">
        <v>4788</v>
      </c>
      <c r="L1523" s="207" t="s">
        <v>6474</v>
      </c>
      <c r="M1523" s="207"/>
      <c r="N1523" s="207"/>
      <c r="O1523" s="207" t="s">
        <v>6066</v>
      </c>
      <c r="P1523" s="202"/>
      <c r="Q1523" s="216" t="s">
        <v>6067</v>
      </c>
      <c r="R1523" s="86"/>
      <c r="S1523" s="114">
        <f t="shared" ref="S1523:T1523" si="1524">A1523</f>
        <v>1523</v>
      </c>
      <c r="T1523" s="114" t="str">
        <f t="shared" si="1524"/>
        <v>پوریا گنجی نژاد</v>
      </c>
      <c r="U1523" s="86" t="str">
        <f t="shared" si="3"/>
        <v>09190280118</v>
      </c>
      <c r="V1523" s="86" t="str">
        <f t="shared" si="4"/>
        <v>پیش‌وایی 12</v>
      </c>
      <c r="W1523" s="86"/>
      <c r="X1523" s="86"/>
    </row>
    <row r="1524">
      <c r="A1524" s="192">
        <v>1524.0</v>
      </c>
      <c r="B1524" s="193" t="s">
        <v>6475</v>
      </c>
      <c r="C1524" s="194" t="s">
        <v>6476</v>
      </c>
      <c r="D1524" s="195" t="str">
        <f>IFERROR(__xludf.DUMMYFUNCTION("ARRAYFORMULA(LET( converted, SUBSTITUTE( SUBSTITUTE( SUBSTITUTE( SUBSTITUTE( SUBSTITUTE( SUBSTITUTE( SUBSTITUTE( SUBSTITUTE( SUBSTITUTE( SUBSTITUTE( C1524, ""۰"", ""0""), ""۱"", ""1""), ""۲"", ""2""), ""۳"", ""3""), ""۴"", ""4""), ""۵"", ""5""), ""۶"", """&amp;"6""), ""۷"", ""7""), ""۸"", ""8""), ""۹"", ""9""), IF(LEFT(converted,3)=""+98"", ""0"" &amp; RIGHT(converted, LEN(converted)-3), IF(LEFT(converted,2)=""98"", ""0"" &amp; RIGHT(converted, LEN(converted)-2), IF(LEFT(converted,1)&lt;&gt;""0"", ""0"" &amp; converted, REGEXREPL"&amp;"ACE(converted , ""\s"", """")) ) ) ) )"),"09129313440")</f>
        <v>09129313440</v>
      </c>
      <c r="E1524" s="196" t="s">
        <v>17</v>
      </c>
      <c r="F1524" s="197">
        <v>12.0</v>
      </c>
      <c r="G1524" s="193"/>
      <c r="H1524" s="212" t="s">
        <v>6477</v>
      </c>
      <c r="I1524" s="217"/>
      <c r="J1524" s="217"/>
      <c r="K1524" s="199" t="s">
        <v>4079</v>
      </c>
      <c r="L1524" s="199" t="s">
        <v>5763</v>
      </c>
      <c r="M1524" s="199"/>
      <c r="N1524" s="199"/>
      <c r="O1524" s="199" t="s">
        <v>6066</v>
      </c>
      <c r="P1524" s="193"/>
      <c r="Q1524" s="218" t="s">
        <v>6067</v>
      </c>
      <c r="R1524" s="86"/>
      <c r="S1524" s="114">
        <f t="shared" ref="S1524:T1524" si="1525">A1524</f>
        <v>1524</v>
      </c>
      <c r="T1524" s="114" t="str">
        <f t="shared" si="1525"/>
        <v>فائزه نصرالهی</v>
      </c>
      <c r="U1524" s="86" t="str">
        <f t="shared" si="3"/>
        <v>09129313440</v>
      </c>
      <c r="V1524" s="86" t="str">
        <f t="shared" si="4"/>
        <v>پیش‌وایی 12</v>
      </c>
      <c r="W1524" s="86"/>
      <c r="X1524" s="86"/>
    </row>
    <row r="1525">
      <c r="A1525" s="201">
        <v>1525.0</v>
      </c>
      <c r="B1525" s="202" t="s">
        <v>6478</v>
      </c>
      <c r="C1525" s="203" t="s">
        <v>6479</v>
      </c>
      <c r="D1525" s="204" t="str">
        <f>IFERROR(__xludf.DUMMYFUNCTION("ARRAYFORMULA(LET( converted, SUBSTITUTE( SUBSTITUTE( SUBSTITUTE( SUBSTITUTE( SUBSTITUTE( SUBSTITUTE( SUBSTITUTE( SUBSTITUTE( SUBSTITUTE( SUBSTITUTE( C1525, ""۰"", ""0""), ""۱"", ""1""), ""۲"", ""2""), ""۳"", ""3""), ""۴"", ""4""), ""۵"", ""5""), ""۶"", """&amp;"6""), ""۷"", ""7""), ""۸"", ""8""), ""۹"", ""9""), IF(LEFT(converted,3)=""+98"", ""0"" &amp; RIGHT(converted, LEN(converted)-3), IF(LEFT(converted,2)=""98"", ""0"" &amp; RIGHT(converted, LEN(converted)-2), IF(LEFT(converted,1)&lt;&gt;""0"", ""0"" &amp; converted, REGEXREPL"&amp;"ACE(converted , ""\s"", """")) ) ) ) )"),"09334406162")</f>
        <v>09334406162</v>
      </c>
      <c r="E1525" s="205" t="s">
        <v>17</v>
      </c>
      <c r="F1525" s="206">
        <v>12.0</v>
      </c>
      <c r="G1525" s="202"/>
      <c r="H1525" s="213" t="s">
        <v>6480</v>
      </c>
      <c r="I1525" s="215"/>
      <c r="J1525" s="215"/>
      <c r="K1525" s="207" t="s">
        <v>192</v>
      </c>
      <c r="L1525" s="207" t="s">
        <v>6481</v>
      </c>
      <c r="M1525" s="207"/>
      <c r="N1525" s="207"/>
      <c r="O1525" s="207" t="s">
        <v>6066</v>
      </c>
      <c r="P1525" s="202"/>
      <c r="Q1525" s="216" t="s">
        <v>6067</v>
      </c>
      <c r="R1525" s="86"/>
      <c r="S1525" s="114">
        <f t="shared" ref="S1525:T1525" si="1526">A1525</f>
        <v>1525</v>
      </c>
      <c r="T1525" s="114" t="str">
        <f t="shared" si="1526"/>
        <v>امیرحسین خطائی داینی</v>
      </c>
      <c r="U1525" s="86" t="str">
        <f t="shared" si="3"/>
        <v>09334406162</v>
      </c>
      <c r="V1525" s="86" t="str">
        <f t="shared" si="4"/>
        <v>پیش‌وایی 12</v>
      </c>
      <c r="W1525" s="86"/>
      <c r="X1525" s="86"/>
    </row>
    <row r="1526">
      <c r="A1526" s="192">
        <v>1526.0</v>
      </c>
      <c r="B1526" s="193" t="s">
        <v>6482</v>
      </c>
      <c r="C1526" s="194" t="s">
        <v>6483</v>
      </c>
      <c r="D1526" s="195" t="str">
        <f>IFERROR(__xludf.DUMMYFUNCTION("ARRAYFORMULA(LET( converted, SUBSTITUTE( SUBSTITUTE( SUBSTITUTE( SUBSTITUTE( SUBSTITUTE( SUBSTITUTE( SUBSTITUTE( SUBSTITUTE( SUBSTITUTE( SUBSTITUTE( C1526, ""۰"", ""0""), ""۱"", ""1""), ""۲"", ""2""), ""۳"", ""3""), ""۴"", ""4""), ""۵"", ""5""), ""۶"", """&amp;"6""), ""۷"", ""7""), ""۸"", ""8""), ""۹"", ""9""), IF(LEFT(converted,3)=""+98"", ""0"" &amp; RIGHT(converted, LEN(converted)-3), IF(LEFT(converted,2)=""98"", ""0"" &amp; RIGHT(converted, LEN(converted)-2), IF(LEFT(converted,1)&lt;&gt;""0"", ""0"" &amp; converted, REGEXREPL"&amp;"ACE(converted , ""\s"", """")) ) ) ) )"),"09112104382")</f>
        <v>09112104382</v>
      </c>
      <c r="E1526" s="196" t="s">
        <v>17</v>
      </c>
      <c r="F1526" s="197">
        <v>12.0</v>
      </c>
      <c r="G1526" s="193"/>
      <c r="H1526" s="212" t="s">
        <v>6484</v>
      </c>
      <c r="I1526" s="217"/>
      <c r="J1526" s="217"/>
      <c r="K1526" s="199" t="s">
        <v>2780</v>
      </c>
      <c r="L1526" s="199" t="s">
        <v>6485</v>
      </c>
      <c r="M1526" s="199"/>
      <c r="N1526" s="199"/>
      <c r="O1526" s="199" t="s">
        <v>6066</v>
      </c>
      <c r="P1526" s="193"/>
      <c r="Q1526" s="218" t="s">
        <v>6067</v>
      </c>
      <c r="R1526" s="86"/>
      <c r="S1526" s="114">
        <f t="shared" ref="S1526:T1526" si="1527">A1526</f>
        <v>1526</v>
      </c>
      <c r="T1526" s="114" t="str">
        <f t="shared" si="1527"/>
        <v>هستی دهستانی</v>
      </c>
      <c r="U1526" s="86" t="str">
        <f t="shared" si="3"/>
        <v>09112104382</v>
      </c>
      <c r="V1526" s="86" t="str">
        <f t="shared" si="4"/>
        <v>پیش‌وایی 12</v>
      </c>
      <c r="W1526" s="86"/>
      <c r="X1526" s="86"/>
    </row>
    <row r="1527">
      <c r="A1527" s="201">
        <v>1527.0</v>
      </c>
      <c r="B1527" s="202" t="s">
        <v>713</v>
      </c>
      <c r="C1527" s="203" t="s">
        <v>4741</v>
      </c>
      <c r="D1527" s="204" t="str">
        <f>IFERROR(__xludf.DUMMYFUNCTION("ARRAYFORMULA(LET( converted, SUBSTITUTE( SUBSTITUTE( SUBSTITUTE( SUBSTITUTE( SUBSTITUTE( SUBSTITUTE( SUBSTITUTE( SUBSTITUTE( SUBSTITUTE( SUBSTITUTE( C1527, ""۰"", ""0""), ""۱"", ""1""), ""۲"", ""2""), ""۳"", ""3""), ""۴"", ""4""), ""۵"", ""5""), ""۶"", """&amp;"6""), ""۷"", ""7""), ""۸"", ""8""), ""۹"", ""9""), IF(LEFT(converted,3)=""+98"", ""0"" &amp; RIGHT(converted, LEN(converted)-3), IF(LEFT(converted,2)=""98"", ""0"" &amp; RIGHT(converted, LEN(converted)-2), IF(LEFT(converted,1)&lt;&gt;""0"", ""0"" &amp; converted, REGEXREPL"&amp;"ACE(converted , ""\s"", """")) ) ) ) )"),"09121472143")</f>
        <v>09121472143</v>
      </c>
      <c r="E1527" s="205" t="s">
        <v>17</v>
      </c>
      <c r="F1527" s="206">
        <v>12.0</v>
      </c>
      <c r="G1527" s="202"/>
      <c r="H1527" s="202"/>
      <c r="I1527" s="215"/>
      <c r="J1527" s="215"/>
      <c r="K1527" s="207" t="s">
        <v>197</v>
      </c>
      <c r="L1527" s="207" t="s">
        <v>2624</v>
      </c>
      <c r="M1527" s="207"/>
      <c r="N1527" s="207"/>
      <c r="O1527" s="207" t="s">
        <v>197</v>
      </c>
      <c r="P1527" s="202"/>
      <c r="Q1527" s="216" t="s">
        <v>6067</v>
      </c>
      <c r="R1527" s="86"/>
      <c r="S1527" s="114">
        <f t="shared" ref="S1527:T1527" si="1528">A1527</f>
        <v>1527</v>
      </c>
      <c r="T1527" s="114" t="str">
        <f t="shared" si="1528"/>
        <v>اصغر قاسمی</v>
      </c>
      <c r="U1527" s="86" t="str">
        <f t="shared" si="3"/>
        <v>09121472143</v>
      </c>
      <c r="V1527" s="86" t="str">
        <f t="shared" si="4"/>
        <v>پیش‌وایی 12</v>
      </c>
      <c r="W1527" s="86"/>
      <c r="X1527" s="86"/>
    </row>
    <row r="1528">
      <c r="A1528" s="192">
        <v>1528.0</v>
      </c>
      <c r="B1528" s="193" t="s">
        <v>5469</v>
      </c>
      <c r="C1528" s="194" t="s">
        <v>5470</v>
      </c>
      <c r="D1528" s="195" t="str">
        <f>IFERROR(__xludf.DUMMYFUNCTION("ARRAYFORMULA(LET( converted, SUBSTITUTE( SUBSTITUTE( SUBSTITUTE( SUBSTITUTE( SUBSTITUTE( SUBSTITUTE( SUBSTITUTE( SUBSTITUTE( SUBSTITUTE( SUBSTITUTE( C1528, ""۰"", ""0""), ""۱"", ""1""), ""۲"", ""2""), ""۳"", ""3""), ""۴"", ""4""), ""۵"", ""5""), ""۶"", """&amp;"6""), ""۷"", ""7""), ""۸"", ""8""), ""۹"", ""9""), IF(LEFT(converted,3)=""+98"", ""0"" &amp; RIGHT(converted, LEN(converted)-3), IF(LEFT(converted,2)=""98"", ""0"" &amp; RIGHT(converted, LEN(converted)-2), IF(LEFT(converted,1)&lt;&gt;""0"", ""0"" &amp; converted, REGEXREPL"&amp;"ACE(converted , ""\s"", """")) ) ) ) )"),"09128993213")</f>
        <v>09128993213</v>
      </c>
      <c r="E1528" s="196" t="s">
        <v>17</v>
      </c>
      <c r="F1528" s="197">
        <v>12.0</v>
      </c>
      <c r="G1528" s="193"/>
      <c r="H1528" s="193"/>
      <c r="I1528" s="217"/>
      <c r="J1528" s="217"/>
      <c r="K1528" s="199" t="s">
        <v>818</v>
      </c>
      <c r="L1528" s="199" t="s">
        <v>4347</v>
      </c>
      <c r="M1528" s="199"/>
      <c r="N1528" s="199"/>
      <c r="O1528" s="199" t="s">
        <v>197</v>
      </c>
      <c r="P1528" s="193"/>
      <c r="Q1528" s="218" t="s">
        <v>6067</v>
      </c>
      <c r="R1528" s="86"/>
      <c r="S1528" s="114">
        <f t="shared" ref="S1528:T1528" si="1529">A1528</f>
        <v>1528</v>
      </c>
      <c r="T1528" s="114" t="str">
        <f t="shared" si="1529"/>
        <v>اعظم غلامی</v>
      </c>
      <c r="U1528" s="86" t="str">
        <f t="shared" si="3"/>
        <v>09128993213</v>
      </c>
      <c r="V1528" s="86" t="str">
        <f t="shared" si="4"/>
        <v>پیش‌وایی 12</v>
      </c>
      <c r="W1528" s="86"/>
      <c r="X1528" s="86"/>
    </row>
    <row r="1529">
      <c r="A1529" s="201">
        <v>1529.0</v>
      </c>
      <c r="B1529" s="202" t="s">
        <v>5798</v>
      </c>
      <c r="C1529" s="203" t="s">
        <v>6486</v>
      </c>
      <c r="D1529" s="204" t="str">
        <f>IFERROR(__xludf.DUMMYFUNCTION("ARRAYFORMULA(LET( converted, SUBSTITUTE( SUBSTITUTE( SUBSTITUTE( SUBSTITUTE( SUBSTITUTE( SUBSTITUTE( SUBSTITUTE( SUBSTITUTE( SUBSTITUTE( SUBSTITUTE( C1529, ""۰"", ""0""), ""۱"", ""1""), ""۲"", ""2""), ""۳"", ""3""), ""۴"", ""4""), ""۵"", ""5""), ""۶"", """&amp;"6""), ""۷"", ""7""), ""۸"", ""8""), ""۹"", ""9""), IF(LEFT(converted,3)=""+98"", ""0"" &amp; RIGHT(converted, LEN(converted)-3), IF(LEFT(converted,2)=""98"", ""0"" &amp; RIGHT(converted, LEN(converted)-2), IF(LEFT(converted,1)&lt;&gt;""0"", ""0"" &amp; converted, REGEXREPL"&amp;"ACE(converted , ""\s"", """")) ) ) ) )"),"09919191746")</f>
        <v>09919191746</v>
      </c>
      <c r="E1529" s="205" t="s">
        <v>17</v>
      </c>
      <c r="F1529" s="206">
        <v>12.0</v>
      </c>
      <c r="G1529" s="202"/>
      <c r="H1529" s="202"/>
      <c r="I1529" s="215"/>
      <c r="J1529" s="215"/>
      <c r="K1529" s="207" t="s">
        <v>5670</v>
      </c>
      <c r="L1529" s="207" t="s">
        <v>2624</v>
      </c>
      <c r="M1529" s="207"/>
      <c r="N1529" s="207"/>
      <c r="O1529" s="207" t="s">
        <v>197</v>
      </c>
      <c r="P1529" s="202"/>
      <c r="Q1529" s="216" t="s">
        <v>6067</v>
      </c>
      <c r="R1529" s="86"/>
      <c r="S1529" s="114">
        <f t="shared" ref="S1529:T1529" si="1530">A1529</f>
        <v>1529</v>
      </c>
      <c r="T1529" s="114" t="str">
        <f t="shared" si="1530"/>
        <v>امیرعباس قاسمی</v>
      </c>
      <c r="U1529" s="86" t="str">
        <f t="shared" si="3"/>
        <v>09919191746</v>
      </c>
      <c r="V1529" s="86" t="str">
        <f t="shared" si="4"/>
        <v>پیش‌وایی 12</v>
      </c>
      <c r="W1529" s="86"/>
      <c r="X1529" s="86"/>
    </row>
    <row r="1530">
      <c r="A1530" s="192">
        <v>1530.0</v>
      </c>
      <c r="B1530" s="193" t="s">
        <v>6487</v>
      </c>
      <c r="C1530" s="194" t="s">
        <v>6488</v>
      </c>
      <c r="D1530" s="195" t="str">
        <f>IFERROR(__xludf.DUMMYFUNCTION("ARRAYFORMULA(LET( converted, SUBSTITUTE( SUBSTITUTE( SUBSTITUTE( SUBSTITUTE( SUBSTITUTE( SUBSTITUTE( SUBSTITUTE( SUBSTITUTE( SUBSTITUTE( SUBSTITUTE( C1530, ""۰"", ""0""), ""۱"", ""1""), ""۲"", ""2""), ""۳"", ""3""), ""۴"", ""4""), ""۵"", ""5""), ""۶"", """&amp;"6""), ""۷"", ""7""), ""۸"", ""8""), ""۹"", ""9""), IF(LEFT(converted,3)=""+98"", ""0"" &amp; RIGHT(converted, LEN(converted)-3), IF(LEFT(converted,2)=""98"", ""0"" &amp; RIGHT(converted, LEN(converted)-2), IF(LEFT(converted,1)&lt;&gt;""0"", ""0"" &amp; converted, REGEXREPL"&amp;"ACE(converted , ""\s"", """")) ) ) ) )"),"09363619067")</f>
        <v>09363619067</v>
      </c>
      <c r="E1530" s="196" t="s">
        <v>17</v>
      </c>
      <c r="F1530" s="197">
        <v>12.0</v>
      </c>
      <c r="G1530" s="193"/>
      <c r="H1530" s="199" t="s">
        <v>6140</v>
      </c>
      <c r="I1530" s="217"/>
      <c r="J1530" s="217"/>
      <c r="K1530" s="199" t="s">
        <v>1820</v>
      </c>
      <c r="L1530" s="199" t="s">
        <v>6489</v>
      </c>
      <c r="M1530" s="199"/>
      <c r="N1530" s="199"/>
      <c r="O1530" s="199" t="s">
        <v>6066</v>
      </c>
      <c r="P1530" s="193"/>
      <c r="Q1530" s="218" t="s">
        <v>6067</v>
      </c>
      <c r="R1530" s="86"/>
      <c r="S1530" s="114">
        <f t="shared" ref="S1530:T1530" si="1531">A1530</f>
        <v>1530</v>
      </c>
      <c r="T1530" s="114" t="str">
        <f t="shared" si="1531"/>
        <v>آرزو قفلی اول</v>
      </c>
      <c r="U1530" s="86" t="str">
        <f t="shared" si="3"/>
        <v>09363619067</v>
      </c>
      <c r="V1530" s="86" t="str">
        <f t="shared" si="4"/>
        <v>پیش‌وایی 12</v>
      </c>
      <c r="W1530" s="86"/>
      <c r="X1530" s="86"/>
    </row>
    <row r="1531">
      <c r="A1531" s="201">
        <v>1531.0</v>
      </c>
      <c r="B1531" s="202" t="s">
        <v>5105</v>
      </c>
      <c r="C1531" s="203" t="s">
        <v>6490</v>
      </c>
      <c r="D1531" s="204" t="str">
        <f>IFERROR(__xludf.DUMMYFUNCTION("ARRAYFORMULA(LET( converted, SUBSTITUTE( SUBSTITUTE( SUBSTITUTE( SUBSTITUTE( SUBSTITUTE( SUBSTITUTE( SUBSTITUTE( SUBSTITUTE( SUBSTITUTE( SUBSTITUTE( C1531, ""۰"", ""0""), ""۱"", ""1""), ""۲"", ""2""), ""۳"", ""3""), ""۴"", ""4""), ""۵"", ""5""), ""۶"", """&amp;"6""), ""۷"", ""7""), ""۸"", ""8""), ""۹"", ""9""), IF(LEFT(converted,3)=""+98"", ""0"" &amp; RIGHT(converted, LEN(converted)-3), IF(LEFT(converted,2)=""98"", ""0"" &amp; RIGHT(converted, LEN(converted)-2), IF(LEFT(converted,1)&lt;&gt;""0"", ""0"" &amp; converted, REGEXREPL"&amp;"ACE(converted , ""\s"", """")) ) ) ) )"),"09102107081")</f>
        <v>09102107081</v>
      </c>
      <c r="E1531" s="205" t="s">
        <v>17</v>
      </c>
      <c r="F1531" s="206">
        <v>12.0</v>
      </c>
      <c r="G1531" s="202"/>
      <c r="H1531" s="213" t="s">
        <v>6491</v>
      </c>
      <c r="I1531" s="215"/>
      <c r="J1531" s="215"/>
      <c r="K1531" s="207" t="s">
        <v>307</v>
      </c>
      <c r="L1531" s="207" t="s">
        <v>2636</v>
      </c>
      <c r="M1531" s="207"/>
      <c r="N1531" s="207"/>
      <c r="O1531" s="207" t="s">
        <v>6066</v>
      </c>
      <c r="P1531" s="202"/>
      <c r="Q1531" s="216" t="s">
        <v>6067</v>
      </c>
      <c r="R1531" s="86"/>
      <c r="S1531" s="114">
        <f t="shared" ref="S1531:T1531" si="1532">A1531</f>
        <v>1531</v>
      </c>
      <c r="T1531" s="114" t="str">
        <f t="shared" si="1532"/>
        <v>محمدرضا شعبانی</v>
      </c>
      <c r="U1531" s="86" t="str">
        <f t="shared" si="3"/>
        <v>09102107081</v>
      </c>
      <c r="V1531" s="86" t="str">
        <f t="shared" si="4"/>
        <v>پیش‌وایی 12</v>
      </c>
      <c r="W1531" s="86"/>
      <c r="X1531" s="86"/>
    </row>
    <row r="1532">
      <c r="A1532" s="192">
        <v>1532.0</v>
      </c>
      <c r="B1532" s="193" t="s">
        <v>3072</v>
      </c>
      <c r="C1532" s="194" t="s">
        <v>6492</v>
      </c>
      <c r="D1532" s="195" t="str">
        <f>IFERROR(__xludf.DUMMYFUNCTION("ARRAYFORMULA(LET( converted, SUBSTITUTE( SUBSTITUTE( SUBSTITUTE( SUBSTITUTE( SUBSTITUTE( SUBSTITUTE( SUBSTITUTE( SUBSTITUTE( SUBSTITUTE( SUBSTITUTE( C1532, ""۰"", ""0""), ""۱"", ""1""), ""۲"", ""2""), ""۳"", ""3""), ""۴"", ""4""), ""۵"", ""5""), ""۶"", """&amp;"6""), ""۷"", ""7""), ""۸"", ""8""), ""۹"", ""9""), IF(LEFT(converted,3)=""+98"", ""0"" &amp; RIGHT(converted, LEN(converted)-3), IF(LEFT(converted,2)=""98"", ""0"" &amp; RIGHT(converted, LEN(converted)-2), IF(LEFT(converted,1)&lt;&gt;""0"", ""0"" &amp; converted, REGEXREPL"&amp;"ACE(converted , ""\s"", """")) ) ) ) )"),"09037199117")</f>
        <v>09037199117</v>
      </c>
      <c r="E1532" s="196" t="s">
        <v>17</v>
      </c>
      <c r="F1532" s="197">
        <v>12.0</v>
      </c>
      <c r="G1532" s="193"/>
      <c r="H1532" s="212" t="s">
        <v>3074</v>
      </c>
      <c r="I1532" s="217"/>
      <c r="J1532" s="217"/>
      <c r="K1532" s="199" t="s">
        <v>896</v>
      </c>
      <c r="L1532" s="199" t="s">
        <v>3076</v>
      </c>
      <c r="M1532" s="199"/>
      <c r="N1532" s="199"/>
      <c r="O1532" s="199" t="s">
        <v>6066</v>
      </c>
      <c r="P1532" s="193"/>
      <c r="Q1532" s="218" t="s">
        <v>6067</v>
      </c>
      <c r="R1532" s="86"/>
      <c r="S1532" s="114">
        <f t="shared" ref="S1532:T1532" si="1533">A1532</f>
        <v>1532</v>
      </c>
      <c r="T1532" s="114" t="str">
        <f t="shared" si="1533"/>
        <v>حسین شیرزاد</v>
      </c>
      <c r="U1532" s="86" t="str">
        <f t="shared" si="3"/>
        <v>09037199117</v>
      </c>
      <c r="V1532" s="86" t="str">
        <f t="shared" si="4"/>
        <v>پیش‌وایی 12</v>
      </c>
      <c r="W1532" s="86"/>
      <c r="X1532" s="86"/>
    </row>
    <row r="1533">
      <c r="A1533" s="201">
        <v>1533.0</v>
      </c>
      <c r="B1533" s="202" t="s">
        <v>5634</v>
      </c>
      <c r="C1533" s="203" t="s">
        <v>6493</v>
      </c>
      <c r="D1533" s="204" t="str">
        <f>IFERROR(__xludf.DUMMYFUNCTION("ARRAYFORMULA(LET( converted, SUBSTITUTE( SUBSTITUTE( SUBSTITUTE( SUBSTITUTE( SUBSTITUTE( SUBSTITUTE( SUBSTITUTE( SUBSTITUTE( SUBSTITUTE( SUBSTITUTE( C1533, ""۰"", ""0""), ""۱"", ""1""), ""۲"", ""2""), ""۳"", ""3""), ""۴"", ""4""), ""۵"", ""5""), ""۶"", """&amp;"6""), ""۷"", ""7""), ""۸"", ""8""), ""۹"", ""9""), IF(LEFT(converted,3)=""+98"", ""0"" &amp; RIGHT(converted, LEN(converted)-3), IF(LEFT(converted,2)=""98"", ""0"" &amp; RIGHT(converted, LEN(converted)-2), IF(LEFT(converted,1)&lt;&gt;""0"", ""0"" &amp; converted, REGEXREPL"&amp;"ACE(converted , ""\s"", """")) ) ) ) )"),"09393900318")</f>
        <v>09393900318</v>
      </c>
      <c r="E1533" s="205" t="s">
        <v>17</v>
      </c>
      <c r="F1533" s="206">
        <v>12.0</v>
      </c>
      <c r="G1533" s="202"/>
      <c r="H1533" s="213" t="s">
        <v>6494</v>
      </c>
      <c r="I1533" s="215"/>
      <c r="J1533" s="215"/>
      <c r="K1533" s="207" t="s">
        <v>274</v>
      </c>
      <c r="L1533" s="207" t="s">
        <v>5636</v>
      </c>
      <c r="M1533" s="207"/>
      <c r="N1533" s="207"/>
      <c r="O1533" s="207" t="s">
        <v>6066</v>
      </c>
      <c r="P1533" s="202"/>
      <c r="Q1533" s="216" t="s">
        <v>6067</v>
      </c>
      <c r="R1533" s="86"/>
      <c r="S1533" s="114">
        <f t="shared" ref="S1533:T1533" si="1534">A1533</f>
        <v>1533</v>
      </c>
      <c r="T1533" s="114" t="str">
        <f t="shared" si="1534"/>
        <v>فاطمه شفایی</v>
      </c>
      <c r="U1533" s="86" t="str">
        <f t="shared" si="3"/>
        <v>09393900318</v>
      </c>
      <c r="V1533" s="86" t="str">
        <f t="shared" si="4"/>
        <v>پیش‌وایی 12</v>
      </c>
      <c r="W1533" s="86"/>
      <c r="X1533" s="86"/>
    </row>
    <row r="1534">
      <c r="A1534" s="192">
        <v>1534.0</v>
      </c>
      <c r="B1534" s="193" t="s">
        <v>6495</v>
      </c>
      <c r="C1534" s="194" t="s">
        <v>6496</v>
      </c>
      <c r="D1534" s="195" t="str">
        <f>IFERROR(__xludf.DUMMYFUNCTION("ARRAYFORMULA(LET( converted, SUBSTITUTE( SUBSTITUTE( SUBSTITUTE( SUBSTITUTE( SUBSTITUTE( SUBSTITUTE( SUBSTITUTE( SUBSTITUTE( SUBSTITUTE( SUBSTITUTE( C1534, ""۰"", ""0""), ""۱"", ""1""), ""۲"", ""2""), ""۳"", ""3""), ""۴"", ""4""), ""۵"", ""5""), ""۶"", """&amp;"6""), ""۷"", ""7""), ""۸"", ""8""), ""۹"", ""9""), IF(LEFT(converted,3)=""+98"", ""0"" &amp; RIGHT(converted, LEN(converted)-3), IF(LEFT(converted,2)=""98"", ""0"" &amp; RIGHT(converted, LEN(converted)-2), IF(LEFT(converted,1)&lt;&gt;""0"", ""0"" &amp; converted, REGEXREPL"&amp;"ACE(converted , ""\s"", """")) ) ) ) )"),"09124974526")</f>
        <v>09124974526</v>
      </c>
      <c r="E1534" s="196" t="s">
        <v>17</v>
      </c>
      <c r="F1534" s="197">
        <v>12.0</v>
      </c>
      <c r="G1534" s="193"/>
      <c r="H1534" s="193"/>
      <c r="I1534" s="217"/>
      <c r="J1534" s="217"/>
      <c r="K1534" s="199" t="s">
        <v>1374</v>
      </c>
      <c r="L1534" s="199" t="s">
        <v>6497</v>
      </c>
      <c r="M1534" s="199"/>
      <c r="N1534" s="199"/>
      <c r="O1534" s="199" t="s">
        <v>6066</v>
      </c>
      <c r="P1534" s="193"/>
      <c r="Q1534" s="218" t="s">
        <v>6067</v>
      </c>
      <c r="R1534" s="86"/>
      <c r="S1534" s="114">
        <f t="shared" ref="S1534:T1534" si="1535">A1534</f>
        <v>1534</v>
      </c>
      <c r="T1534" s="114" t="str">
        <f t="shared" si="1535"/>
        <v>امیر وزیری</v>
      </c>
      <c r="U1534" s="86" t="str">
        <f t="shared" si="3"/>
        <v>09124974526</v>
      </c>
      <c r="V1534" s="86" t="str">
        <f t="shared" si="4"/>
        <v>پیش‌وایی 12</v>
      </c>
      <c r="W1534" s="86"/>
      <c r="X1534" s="86"/>
    </row>
    <row r="1535">
      <c r="A1535" s="201">
        <v>1535.0</v>
      </c>
      <c r="B1535" s="202" t="s">
        <v>6498</v>
      </c>
      <c r="C1535" s="203" t="s">
        <v>6499</v>
      </c>
      <c r="D1535" s="204" t="str">
        <f>IFERROR(__xludf.DUMMYFUNCTION("ARRAYFORMULA(LET( converted, SUBSTITUTE( SUBSTITUTE( SUBSTITUTE( SUBSTITUTE( SUBSTITUTE( SUBSTITUTE( SUBSTITUTE( SUBSTITUTE( SUBSTITUTE( SUBSTITUTE( C1535, ""۰"", ""0""), ""۱"", ""1""), ""۲"", ""2""), ""۳"", ""3""), ""۴"", ""4""), ""۵"", ""5""), ""۶"", """&amp;"6""), ""۷"", ""7""), ""۸"", ""8""), ""۹"", ""9""), IF(LEFT(converted,3)=""+98"", ""0"" &amp; RIGHT(converted, LEN(converted)-3), IF(LEFT(converted,2)=""98"", ""0"" &amp; RIGHT(converted, LEN(converted)-2), IF(LEFT(converted,1)&lt;&gt;""0"", ""0"" &amp; converted, REGEXREPL"&amp;"ACE(converted , ""\s"", """")) ) ) ) )"),"09027223818")</f>
        <v>09027223818</v>
      </c>
      <c r="E1535" s="205" t="s">
        <v>17</v>
      </c>
      <c r="F1535" s="206">
        <v>12.0</v>
      </c>
      <c r="G1535" s="202"/>
      <c r="H1535" s="202"/>
      <c r="I1535" s="215"/>
      <c r="J1535" s="215"/>
      <c r="K1535" s="207" t="s">
        <v>1569</v>
      </c>
      <c r="L1535" s="207" t="s">
        <v>2676</v>
      </c>
      <c r="M1535" s="207"/>
      <c r="N1535" s="207"/>
      <c r="O1535" s="207" t="s">
        <v>6066</v>
      </c>
      <c r="P1535" s="202"/>
      <c r="Q1535" s="216" t="s">
        <v>6067</v>
      </c>
      <c r="R1535" s="86"/>
      <c r="S1535" s="114">
        <f t="shared" ref="S1535:T1535" si="1536">A1535</f>
        <v>1535</v>
      </c>
      <c r="T1535" s="114" t="str">
        <f t="shared" si="1536"/>
        <v>حسن کرمی</v>
      </c>
      <c r="U1535" s="86" t="str">
        <f t="shared" si="3"/>
        <v>09027223818</v>
      </c>
      <c r="V1535" s="86" t="str">
        <f t="shared" si="4"/>
        <v>پیش‌وایی 12</v>
      </c>
      <c r="W1535" s="86"/>
      <c r="X1535" s="86"/>
    </row>
    <row r="1536">
      <c r="A1536" s="192">
        <v>1536.0</v>
      </c>
      <c r="B1536" s="193" t="s">
        <v>6500</v>
      </c>
      <c r="C1536" s="194" t="s">
        <v>6501</v>
      </c>
      <c r="D1536" s="195" t="str">
        <f>IFERROR(__xludf.DUMMYFUNCTION("ARRAYFORMULA(LET( converted, SUBSTITUTE( SUBSTITUTE( SUBSTITUTE( SUBSTITUTE( SUBSTITUTE( SUBSTITUTE( SUBSTITUTE( SUBSTITUTE( SUBSTITUTE( SUBSTITUTE( C1536, ""۰"", ""0""), ""۱"", ""1""), ""۲"", ""2""), ""۳"", ""3""), ""۴"", ""4""), ""۵"", ""5""), ""۶"", """&amp;"6""), ""۷"", ""7""), ""۸"", ""8""), ""۹"", ""9""), IF(LEFT(converted,3)=""+98"", ""0"" &amp; RIGHT(converted, LEN(converted)-3), IF(LEFT(converted,2)=""98"", ""0"" &amp; RIGHT(converted, LEN(converted)-2), IF(LEFT(converted,1)&lt;&gt;""0"", ""0"" &amp; converted, REGEXREPL"&amp;"ACE(converted , ""\s"", """")) ) ) ) )"),"09122015542")</f>
        <v>09122015542</v>
      </c>
      <c r="E1536" s="196" t="s">
        <v>17</v>
      </c>
      <c r="F1536" s="197">
        <v>12.0</v>
      </c>
      <c r="G1536" s="193"/>
      <c r="H1536" s="212" t="s">
        <v>6502</v>
      </c>
      <c r="I1536" s="217"/>
      <c r="J1536" s="217"/>
      <c r="K1536" s="199" t="s">
        <v>1351</v>
      </c>
      <c r="L1536" s="199" t="s">
        <v>6503</v>
      </c>
      <c r="M1536" s="199"/>
      <c r="N1536" s="199"/>
      <c r="O1536" s="199" t="s">
        <v>6066</v>
      </c>
      <c r="P1536" s="193"/>
      <c r="Q1536" s="218" t="s">
        <v>6067</v>
      </c>
      <c r="R1536" s="86"/>
      <c r="S1536" s="114">
        <f t="shared" ref="S1536:T1536" si="1537">A1536</f>
        <v>1536</v>
      </c>
      <c r="T1536" s="114" t="str">
        <f t="shared" si="1537"/>
        <v>حمید بهشتی</v>
      </c>
      <c r="U1536" s="86" t="str">
        <f t="shared" si="3"/>
        <v>09122015542</v>
      </c>
      <c r="V1536" s="86" t="str">
        <f t="shared" si="4"/>
        <v>پیش‌وایی 12</v>
      </c>
      <c r="W1536" s="86"/>
      <c r="X1536" s="86"/>
    </row>
    <row r="1537">
      <c r="A1537" s="201">
        <v>1537.0</v>
      </c>
      <c r="B1537" s="202" t="s">
        <v>6504</v>
      </c>
      <c r="C1537" s="203" t="s">
        <v>6505</v>
      </c>
      <c r="D1537" s="204" t="str">
        <f>IFERROR(__xludf.DUMMYFUNCTION("ARRAYFORMULA(LET( converted, SUBSTITUTE( SUBSTITUTE( SUBSTITUTE( SUBSTITUTE( SUBSTITUTE( SUBSTITUTE( SUBSTITUTE( SUBSTITUTE( SUBSTITUTE( SUBSTITUTE( C1537, ""۰"", ""0""), ""۱"", ""1""), ""۲"", ""2""), ""۳"", ""3""), ""۴"", ""4""), ""۵"", ""5""), ""۶"", """&amp;"6""), ""۷"", ""7""), ""۸"", ""8""), ""۹"", ""9""), IF(LEFT(converted,3)=""+98"", ""0"" &amp; RIGHT(converted, LEN(converted)-3), IF(LEFT(converted,2)=""98"", ""0"" &amp; RIGHT(converted, LEN(converted)-2), IF(LEFT(converted,1)&lt;&gt;""0"", ""0"" &amp; converted, REGEXREPL"&amp;"ACE(converted , ""\s"", """")) ) ) ) )"),"09127198060")</f>
        <v>09127198060</v>
      </c>
      <c r="E1537" s="205" t="s">
        <v>17</v>
      </c>
      <c r="F1537" s="206">
        <v>12.0</v>
      </c>
      <c r="G1537" s="202"/>
      <c r="H1537" s="213" t="s">
        <v>6506</v>
      </c>
      <c r="I1537" s="215"/>
      <c r="J1537" s="215"/>
      <c r="K1537" s="207" t="s">
        <v>1398</v>
      </c>
      <c r="L1537" s="207" t="s">
        <v>3464</v>
      </c>
      <c r="M1537" s="207"/>
      <c r="N1537" s="207"/>
      <c r="O1537" s="207" t="s">
        <v>6066</v>
      </c>
      <c r="P1537" s="202"/>
      <c r="Q1537" s="216" t="s">
        <v>6067</v>
      </c>
      <c r="R1537" s="86"/>
      <c r="S1537" s="114">
        <f t="shared" ref="S1537:T1537" si="1538">A1537</f>
        <v>1537</v>
      </c>
      <c r="T1537" s="114" t="str">
        <f t="shared" si="1538"/>
        <v>زهرا خسروی</v>
      </c>
      <c r="U1537" s="86" t="str">
        <f t="shared" si="3"/>
        <v>09127198060</v>
      </c>
      <c r="V1537" s="86" t="str">
        <f t="shared" si="4"/>
        <v>پیش‌وایی 12</v>
      </c>
      <c r="W1537" s="86"/>
      <c r="X1537" s="86"/>
    </row>
    <row r="1538">
      <c r="A1538" s="192">
        <v>1538.0</v>
      </c>
      <c r="B1538" s="193" t="s">
        <v>4917</v>
      </c>
      <c r="C1538" s="194" t="s">
        <v>6507</v>
      </c>
      <c r="D1538" s="195" t="str">
        <f>IFERROR(__xludf.DUMMYFUNCTION("ARRAYFORMULA(LET( converted, SUBSTITUTE( SUBSTITUTE( SUBSTITUTE( SUBSTITUTE( SUBSTITUTE( SUBSTITUTE( SUBSTITUTE( SUBSTITUTE( SUBSTITUTE( SUBSTITUTE( C1538, ""۰"", ""0""), ""۱"", ""1""), ""۲"", ""2""), ""۳"", ""3""), ""۴"", ""4""), ""۵"", ""5""), ""۶"", """&amp;"6""), ""۷"", ""7""), ""۸"", ""8""), ""۹"", ""9""), IF(LEFT(converted,3)=""+98"", ""0"" &amp; RIGHT(converted, LEN(converted)-3), IF(LEFT(converted,2)=""98"", ""0"" &amp; RIGHT(converted, LEN(converted)-2), IF(LEFT(converted,1)&lt;&gt;""0"", ""0"" &amp; converted, REGEXREPL"&amp;"ACE(converted , ""\s"", """")) ) ) ) )"),"09124107836")</f>
        <v>09124107836</v>
      </c>
      <c r="E1538" s="196" t="s">
        <v>17</v>
      </c>
      <c r="F1538" s="197">
        <v>12.0</v>
      </c>
      <c r="G1538" s="193"/>
      <c r="H1538" s="212" t="s">
        <v>6508</v>
      </c>
      <c r="I1538" s="217"/>
      <c r="J1538" s="217"/>
      <c r="K1538" s="199" t="s">
        <v>1944</v>
      </c>
      <c r="L1538" s="199" t="s">
        <v>4920</v>
      </c>
      <c r="M1538" s="199"/>
      <c r="N1538" s="199"/>
      <c r="O1538" s="199" t="s">
        <v>6066</v>
      </c>
      <c r="P1538" s="193"/>
      <c r="Q1538" s="218" t="s">
        <v>6067</v>
      </c>
      <c r="R1538" s="86"/>
      <c r="S1538" s="114">
        <f t="shared" ref="S1538:T1538" si="1539">A1538</f>
        <v>1538</v>
      </c>
      <c r="T1538" s="114" t="str">
        <f t="shared" si="1539"/>
        <v>شقایق ساربانها</v>
      </c>
      <c r="U1538" s="86" t="str">
        <f t="shared" si="3"/>
        <v>09124107836</v>
      </c>
      <c r="V1538" s="86" t="str">
        <f t="shared" si="4"/>
        <v>پیش‌وایی 12</v>
      </c>
      <c r="W1538" s="86"/>
      <c r="X1538" s="86"/>
    </row>
    <row r="1539">
      <c r="A1539" s="201">
        <v>1539.0</v>
      </c>
      <c r="B1539" s="202" t="s">
        <v>6509</v>
      </c>
      <c r="C1539" s="203" t="s">
        <v>6510</v>
      </c>
      <c r="D1539" s="204" t="str">
        <f>IFERROR(__xludf.DUMMYFUNCTION("ARRAYFORMULA(LET( converted, SUBSTITUTE( SUBSTITUTE( SUBSTITUTE( SUBSTITUTE( SUBSTITUTE( SUBSTITUTE( SUBSTITUTE( SUBSTITUTE( SUBSTITUTE( SUBSTITUTE( C1539, ""۰"", ""0""), ""۱"", ""1""), ""۲"", ""2""), ""۳"", ""3""), ""۴"", ""4""), ""۵"", ""5""), ""۶"", """&amp;"6""), ""۷"", ""7""), ""۸"", ""8""), ""۹"", ""9""), IF(LEFT(converted,3)=""+98"", ""0"" &amp; RIGHT(converted, LEN(converted)-3), IF(LEFT(converted,2)=""98"", ""0"" &amp; RIGHT(converted, LEN(converted)-2), IF(LEFT(converted,1)&lt;&gt;""0"", ""0"" &amp; converted, REGEXREPL"&amp;"ACE(converted , ""\s"", """")) ) ) ) )"),"09101579864")</f>
        <v>09101579864</v>
      </c>
      <c r="E1539" s="205" t="s">
        <v>17</v>
      </c>
      <c r="F1539" s="206">
        <v>12.0</v>
      </c>
      <c r="G1539" s="202"/>
      <c r="H1539" s="213" t="s">
        <v>6511</v>
      </c>
      <c r="I1539" s="215"/>
      <c r="J1539" s="215"/>
      <c r="K1539" s="207" t="s">
        <v>286</v>
      </c>
      <c r="L1539" s="207" t="s">
        <v>3357</v>
      </c>
      <c r="M1539" s="207"/>
      <c r="N1539" s="207"/>
      <c r="O1539" s="207" t="s">
        <v>6066</v>
      </c>
      <c r="P1539" s="202"/>
      <c r="Q1539" s="216" t="s">
        <v>6067</v>
      </c>
      <c r="R1539" s="86"/>
      <c r="S1539" s="114">
        <f t="shared" ref="S1539:T1539" si="1540">A1539</f>
        <v>1539</v>
      </c>
      <c r="T1539" s="114" t="str">
        <f t="shared" si="1540"/>
        <v>مهدی سریزدی</v>
      </c>
      <c r="U1539" s="86" t="str">
        <f t="shared" si="3"/>
        <v>09101579864</v>
      </c>
      <c r="V1539" s="86" t="str">
        <f t="shared" si="4"/>
        <v>پیش‌وایی 12</v>
      </c>
      <c r="W1539" s="86"/>
      <c r="X1539" s="86"/>
    </row>
    <row r="1540">
      <c r="A1540" s="192">
        <v>1540.0</v>
      </c>
      <c r="B1540" s="193" t="s">
        <v>6512</v>
      </c>
      <c r="C1540" s="194" t="s">
        <v>6513</v>
      </c>
      <c r="D1540" s="195" t="str">
        <f>IFERROR(__xludf.DUMMYFUNCTION("ARRAYFORMULA(LET( converted, SUBSTITUTE( SUBSTITUTE( SUBSTITUTE( SUBSTITUTE( SUBSTITUTE( SUBSTITUTE( SUBSTITUTE( SUBSTITUTE( SUBSTITUTE( SUBSTITUTE( C1540, ""۰"", ""0""), ""۱"", ""1""), ""۲"", ""2""), ""۳"", ""3""), ""۴"", ""4""), ""۵"", ""5""), ""۶"", """&amp;"6""), ""۷"", ""7""), ""۸"", ""8""), ""۹"", ""9""), IF(LEFT(converted,3)=""+98"", ""0"" &amp; RIGHT(converted, LEN(converted)-3), IF(LEFT(converted,2)=""98"", ""0"" &amp; RIGHT(converted, LEN(converted)-2), IF(LEFT(converted,1)&lt;&gt;""0"", ""0"" &amp; converted, REGEXREPL"&amp;"ACE(converted , ""\s"", """")) ) ) ) )"),"09191013139")</f>
        <v>09191013139</v>
      </c>
      <c r="E1540" s="196" t="s">
        <v>17</v>
      </c>
      <c r="F1540" s="197">
        <v>12.0</v>
      </c>
      <c r="G1540" s="193"/>
      <c r="H1540" s="212" t="s">
        <v>6514</v>
      </c>
      <c r="I1540" s="217"/>
      <c r="J1540" s="217"/>
      <c r="K1540" s="199" t="s">
        <v>286</v>
      </c>
      <c r="L1540" s="199" t="s">
        <v>3667</v>
      </c>
      <c r="M1540" s="199"/>
      <c r="N1540" s="199"/>
      <c r="O1540" s="199" t="s">
        <v>6066</v>
      </c>
      <c r="P1540" s="193"/>
      <c r="Q1540" s="218" t="s">
        <v>6067</v>
      </c>
      <c r="R1540" s="86"/>
      <c r="S1540" s="114">
        <f t="shared" ref="S1540:T1540" si="1541">A1540</f>
        <v>1540</v>
      </c>
      <c r="T1540" s="114" t="str">
        <f t="shared" si="1541"/>
        <v>مهدی دارابی</v>
      </c>
      <c r="U1540" s="86" t="str">
        <f t="shared" si="3"/>
        <v>09191013139</v>
      </c>
      <c r="V1540" s="86" t="str">
        <f t="shared" si="4"/>
        <v>پیش‌وایی 12</v>
      </c>
      <c r="W1540" s="86"/>
      <c r="X1540" s="86"/>
    </row>
    <row r="1541">
      <c r="A1541" s="201">
        <v>1541.0</v>
      </c>
      <c r="B1541" s="202" t="s">
        <v>5726</v>
      </c>
      <c r="C1541" s="203" t="s">
        <v>6515</v>
      </c>
      <c r="D1541" s="204" t="str">
        <f>IFERROR(__xludf.DUMMYFUNCTION("ARRAYFORMULA(LET( converted, SUBSTITUTE( SUBSTITUTE( SUBSTITUTE( SUBSTITUTE( SUBSTITUTE( SUBSTITUTE( SUBSTITUTE( SUBSTITUTE( SUBSTITUTE( SUBSTITUTE( C1541, ""۰"", ""0""), ""۱"", ""1""), ""۲"", ""2""), ""۳"", ""3""), ""۴"", ""4""), ""۵"", ""5""), ""۶"", """&amp;"6""), ""۷"", ""7""), ""۸"", ""8""), ""۹"", ""9""), IF(LEFT(converted,3)=""+98"", ""0"" &amp; RIGHT(converted, LEN(converted)-3), IF(LEFT(converted,2)=""98"", ""0"" &amp; RIGHT(converted, LEN(converted)-2), IF(LEFT(converted,1)&lt;&gt;""0"", ""0"" &amp; converted, REGEXREPL"&amp;"ACE(converted , ""\s"", """")) ) ) ) )"),"09156135181")</f>
        <v>09156135181</v>
      </c>
      <c r="E1541" s="205" t="s">
        <v>17</v>
      </c>
      <c r="F1541" s="206">
        <v>12.0</v>
      </c>
      <c r="G1541" s="202"/>
      <c r="H1541" s="213" t="s">
        <v>6516</v>
      </c>
      <c r="I1541" s="215"/>
      <c r="J1541" s="215"/>
      <c r="K1541" s="207" t="s">
        <v>307</v>
      </c>
      <c r="L1541" s="207" t="s">
        <v>1612</v>
      </c>
      <c r="M1541" s="207"/>
      <c r="N1541" s="207"/>
      <c r="O1541" s="207" t="s">
        <v>6066</v>
      </c>
      <c r="P1541" s="202"/>
      <c r="Q1541" s="216" t="s">
        <v>6067</v>
      </c>
      <c r="R1541" s="86"/>
      <c r="S1541" s="114">
        <f t="shared" ref="S1541:T1541" si="1542">A1541</f>
        <v>1541</v>
      </c>
      <c r="T1541" s="114" t="str">
        <f t="shared" si="1542"/>
        <v>محمدرضا ایوبی</v>
      </c>
      <c r="U1541" s="86" t="str">
        <f t="shared" si="3"/>
        <v>09156135181</v>
      </c>
      <c r="V1541" s="86" t="str">
        <f t="shared" si="4"/>
        <v>پیش‌وایی 12</v>
      </c>
      <c r="W1541" s="86"/>
      <c r="X1541" s="86"/>
    </row>
    <row r="1542">
      <c r="A1542" s="192">
        <v>1542.0</v>
      </c>
      <c r="B1542" s="193" t="s">
        <v>6517</v>
      </c>
      <c r="C1542" s="194" t="s">
        <v>6518</v>
      </c>
      <c r="D1542" s="195" t="str">
        <f>IFERROR(__xludf.DUMMYFUNCTION("ARRAYFORMULA(LET( converted, SUBSTITUTE( SUBSTITUTE( SUBSTITUTE( SUBSTITUTE( SUBSTITUTE( SUBSTITUTE( SUBSTITUTE( SUBSTITUTE( SUBSTITUTE( SUBSTITUTE( C1542, ""۰"", ""0""), ""۱"", ""1""), ""۲"", ""2""), ""۳"", ""3""), ""۴"", ""4""), ""۵"", ""5""), ""۶"", """&amp;"6""), ""۷"", ""7""), ""۸"", ""8""), ""۹"", ""9""), IF(LEFT(converted,3)=""+98"", ""0"" &amp; RIGHT(converted, LEN(converted)-3), IF(LEFT(converted,2)=""98"", ""0"" &amp; RIGHT(converted, LEN(converted)-2), IF(LEFT(converted,1)&lt;&gt;""0"", ""0"" &amp; converted, REGEXREPL"&amp;"ACE(converted , ""\s"", """")) ) ) ) )"),"09910868165")</f>
        <v>09910868165</v>
      </c>
      <c r="E1542" s="196" t="s">
        <v>17</v>
      </c>
      <c r="F1542" s="197">
        <v>12.0</v>
      </c>
      <c r="G1542" s="193"/>
      <c r="H1542" s="193"/>
      <c r="I1542" s="217"/>
      <c r="J1542" s="217"/>
      <c r="K1542" s="199" t="s">
        <v>274</v>
      </c>
      <c r="L1542" s="199" t="s">
        <v>6519</v>
      </c>
      <c r="M1542" s="199"/>
      <c r="N1542" s="199"/>
      <c r="O1542" s="199" t="s">
        <v>197</v>
      </c>
      <c r="P1542" s="193"/>
      <c r="Q1542" s="218" t="s">
        <v>6067</v>
      </c>
      <c r="R1542" s="86"/>
      <c r="S1542" s="114">
        <f t="shared" ref="S1542:T1542" si="1543">A1542</f>
        <v>1542</v>
      </c>
      <c r="T1542" s="114" t="str">
        <f t="shared" si="1543"/>
        <v>فاطمه جدی</v>
      </c>
      <c r="U1542" s="86" t="str">
        <f t="shared" si="3"/>
        <v>09910868165</v>
      </c>
      <c r="V1542" s="86" t="str">
        <f t="shared" si="4"/>
        <v>پیش‌وایی 12</v>
      </c>
      <c r="W1542" s="86"/>
      <c r="X1542" s="86"/>
    </row>
    <row r="1543">
      <c r="A1543" s="201">
        <v>1543.0</v>
      </c>
      <c r="B1543" s="202" t="s">
        <v>6520</v>
      </c>
      <c r="C1543" s="203" t="s">
        <v>6521</v>
      </c>
      <c r="D1543" s="204" t="str">
        <f>IFERROR(__xludf.DUMMYFUNCTION("ARRAYFORMULA(LET( converted, SUBSTITUTE( SUBSTITUTE( SUBSTITUTE( SUBSTITUTE( SUBSTITUTE( SUBSTITUTE( SUBSTITUTE( SUBSTITUTE( SUBSTITUTE( SUBSTITUTE( C1543, ""۰"", ""0""), ""۱"", ""1""), ""۲"", ""2""), ""۳"", ""3""), ""۴"", ""4""), ""۵"", ""5""), ""۶"", """&amp;"6""), ""۷"", ""7""), ""۸"", ""8""), ""۹"", ""9""), IF(LEFT(converted,3)=""+98"", ""0"" &amp; RIGHT(converted, LEN(converted)-3), IF(LEFT(converted,2)=""98"", ""0"" &amp; RIGHT(converted, LEN(converted)-2), IF(LEFT(converted,1)&lt;&gt;""0"", ""0"" &amp; converted, REGEXREPL"&amp;"ACE(converted , ""\s"", """")) ) ) ) )"),"09125045620")</f>
        <v>09125045620</v>
      </c>
      <c r="E1543" s="205" t="s">
        <v>17</v>
      </c>
      <c r="F1543" s="206">
        <v>12.0</v>
      </c>
      <c r="G1543" s="202"/>
      <c r="H1543" s="202"/>
      <c r="I1543" s="215"/>
      <c r="J1543" s="215"/>
      <c r="K1543" s="207" t="s">
        <v>6522</v>
      </c>
      <c r="L1543" s="207" t="s">
        <v>2624</v>
      </c>
      <c r="M1543" s="207"/>
      <c r="N1543" s="207"/>
      <c r="O1543" s="207" t="s">
        <v>197</v>
      </c>
      <c r="P1543" s="202"/>
      <c r="Q1543" s="216" t="s">
        <v>6067</v>
      </c>
      <c r="R1543" s="86"/>
      <c r="S1543" s="114">
        <f t="shared" ref="S1543:T1543" si="1544">A1543</f>
        <v>1543</v>
      </c>
      <c r="T1543" s="114" t="str">
        <f t="shared" si="1544"/>
        <v>حمیرا قاسمی</v>
      </c>
      <c r="U1543" s="86" t="str">
        <f t="shared" si="3"/>
        <v>09125045620</v>
      </c>
      <c r="V1543" s="86" t="str">
        <f t="shared" si="4"/>
        <v>پیش‌وایی 12</v>
      </c>
      <c r="W1543" s="86"/>
      <c r="X1543" s="86"/>
    </row>
    <row r="1544">
      <c r="A1544" s="192">
        <v>1544.0</v>
      </c>
      <c r="B1544" s="193" t="s">
        <v>5448</v>
      </c>
      <c r="C1544" s="194" t="s">
        <v>6523</v>
      </c>
      <c r="D1544" s="195" t="str">
        <f>IFERROR(__xludf.DUMMYFUNCTION("ARRAYFORMULA(LET( converted, SUBSTITUTE( SUBSTITUTE( SUBSTITUTE( SUBSTITUTE( SUBSTITUTE( SUBSTITUTE( SUBSTITUTE( SUBSTITUTE( SUBSTITUTE( SUBSTITUTE( C1544, ""۰"", ""0""), ""۱"", ""1""), ""۲"", ""2""), ""۳"", ""3""), ""۴"", ""4""), ""۵"", ""5""), ""۶"", """&amp;"6""), ""۷"", ""7""), ""۸"", ""8""), ""۹"", ""9""), IF(LEFT(converted,3)=""+98"", ""0"" &amp; RIGHT(converted, LEN(converted)-3), IF(LEFT(converted,2)=""98"", ""0"" &amp; RIGHT(converted, LEN(converted)-2), IF(LEFT(converted,1)&lt;&gt;""0"", ""0"" &amp; converted, REGEXREPL"&amp;"ACE(converted , ""\s"", """")) ) ) ) )"),"09123360208")</f>
        <v>09123360208</v>
      </c>
      <c r="E1544" s="196" t="s">
        <v>17</v>
      </c>
      <c r="F1544" s="197">
        <v>12.0</v>
      </c>
      <c r="G1544" s="193"/>
      <c r="H1544" s="193"/>
      <c r="I1544" s="217"/>
      <c r="J1544" s="217"/>
      <c r="K1544" s="199" t="s">
        <v>311</v>
      </c>
      <c r="L1544" s="199" t="s">
        <v>5450</v>
      </c>
      <c r="M1544" s="199"/>
      <c r="N1544" s="199"/>
      <c r="O1544" s="199" t="s">
        <v>197</v>
      </c>
      <c r="P1544" s="193"/>
      <c r="Q1544" s="218" t="s">
        <v>6067</v>
      </c>
      <c r="R1544" s="86"/>
      <c r="S1544" s="114">
        <f t="shared" ref="S1544:T1544" si="1545">A1544</f>
        <v>1544</v>
      </c>
      <c r="T1544" s="114" t="str">
        <f t="shared" si="1545"/>
        <v>محسن مقدس</v>
      </c>
      <c r="U1544" s="86" t="str">
        <f t="shared" si="3"/>
        <v>09123360208</v>
      </c>
      <c r="V1544" s="86" t="str">
        <f t="shared" si="4"/>
        <v>پیش‌وایی 12</v>
      </c>
      <c r="W1544" s="86"/>
      <c r="X1544" s="86"/>
    </row>
    <row r="1545">
      <c r="A1545" s="201">
        <v>1545.0</v>
      </c>
      <c r="B1545" s="202" t="s">
        <v>6524</v>
      </c>
      <c r="C1545" s="203" t="s">
        <v>6525</v>
      </c>
      <c r="D1545" s="204" t="str">
        <f>IFERROR(__xludf.DUMMYFUNCTION("ARRAYFORMULA(LET( converted, SUBSTITUTE( SUBSTITUTE( SUBSTITUTE( SUBSTITUTE( SUBSTITUTE( SUBSTITUTE( SUBSTITUTE( SUBSTITUTE( SUBSTITUTE( SUBSTITUTE( C1545, ""۰"", ""0""), ""۱"", ""1""), ""۲"", ""2""), ""۳"", ""3""), ""۴"", ""4""), ""۵"", ""5""), ""۶"", """&amp;"6""), ""۷"", ""7""), ""۸"", ""8""), ""۹"", ""9""), IF(LEFT(converted,3)=""+98"", ""0"" &amp; RIGHT(converted, LEN(converted)-3), IF(LEFT(converted,2)=""98"", ""0"" &amp; RIGHT(converted, LEN(converted)-2), IF(LEFT(converted,1)&lt;&gt;""0"", ""0"" &amp; converted, REGEXREPL"&amp;"ACE(converted , ""\s"", """")) ) ) ) )"),"09354377804")</f>
        <v>09354377804</v>
      </c>
      <c r="E1545" s="205" t="s">
        <v>17</v>
      </c>
      <c r="F1545" s="206">
        <v>12.0</v>
      </c>
      <c r="G1545" s="202"/>
      <c r="H1545" s="213" t="s">
        <v>6526</v>
      </c>
      <c r="I1545" s="215"/>
      <c r="J1545" s="215"/>
      <c r="K1545" s="207" t="s">
        <v>852</v>
      </c>
      <c r="L1545" s="207" t="s">
        <v>981</v>
      </c>
      <c r="M1545" s="207"/>
      <c r="N1545" s="207"/>
      <c r="O1545" s="207" t="s">
        <v>6066</v>
      </c>
      <c r="P1545" s="202"/>
      <c r="Q1545" s="216" t="s">
        <v>6067</v>
      </c>
      <c r="R1545" s="86"/>
      <c r="S1545" s="114">
        <f t="shared" ref="S1545:T1545" si="1546">A1545</f>
        <v>1545</v>
      </c>
      <c r="T1545" s="114" t="str">
        <f t="shared" si="1546"/>
        <v>زهره قربانی</v>
      </c>
      <c r="U1545" s="86" t="str">
        <f t="shared" si="3"/>
        <v>09354377804</v>
      </c>
      <c r="V1545" s="86" t="str">
        <f t="shared" si="4"/>
        <v>پیش‌وایی 12</v>
      </c>
      <c r="W1545" s="86"/>
      <c r="X1545" s="86"/>
    </row>
    <row r="1546">
      <c r="A1546" s="192">
        <v>1546.0</v>
      </c>
      <c r="B1546" s="193" t="s">
        <v>6527</v>
      </c>
      <c r="C1546" s="194" t="s">
        <v>6528</v>
      </c>
      <c r="D1546" s="195" t="str">
        <f>IFERROR(__xludf.DUMMYFUNCTION("ARRAYFORMULA(LET( converted, SUBSTITUTE( SUBSTITUTE( SUBSTITUTE( SUBSTITUTE( SUBSTITUTE( SUBSTITUTE( SUBSTITUTE( SUBSTITUTE( SUBSTITUTE( SUBSTITUTE( C1546, ""۰"", ""0""), ""۱"", ""1""), ""۲"", ""2""), ""۳"", ""3""), ""۴"", ""4""), ""۵"", ""5""), ""۶"", """&amp;"6""), ""۷"", ""7""), ""۸"", ""8""), ""۹"", ""9""), IF(LEFT(converted,3)=""+98"", ""0"" &amp; RIGHT(converted, LEN(converted)-3), IF(LEFT(converted,2)=""98"", ""0"" &amp; RIGHT(converted, LEN(converted)-2), IF(LEFT(converted,1)&lt;&gt;""0"", ""0"" &amp; converted, REGEXREPL"&amp;"ACE(converted , ""\s"", """")) ) ) ) )"),"09221211825")</f>
        <v>09221211825</v>
      </c>
      <c r="E1546" s="196" t="s">
        <v>17</v>
      </c>
      <c r="F1546" s="197">
        <v>12.0</v>
      </c>
      <c r="G1546" s="193"/>
      <c r="H1546" s="212" t="s">
        <v>6529</v>
      </c>
      <c r="I1546" s="217"/>
      <c r="J1546" s="217"/>
      <c r="K1546" s="199" t="s">
        <v>6530</v>
      </c>
      <c r="L1546" s="199" t="s">
        <v>4483</v>
      </c>
      <c r="M1546" s="199"/>
      <c r="N1546" s="199"/>
      <c r="O1546" s="199" t="s">
        <v>6066</v>
      </c>
      <c r="P1546" s="193"/>
      <c r="Q1546" s="218" t="s">
        <v>6067</v>
      </c>
      <c r="R1546" s="86"/>
      <c r="S1546" s="114">
        <f t="shared" ref="S1546:T1546" si="1547">A1546</f>
        <v>1546</v>
      </c>
      <c r="T1546" s="114" t="str">
        <f t="shared" si="1547"/>
        <v>سیدمحسن غفوری</v>
      </c>
      <c r="U1546" s="86" t="str">
        <f t="shared" si="3"/>
        <v>09221211825</v>
      </c>
      <c r="V1546" s="86" t="str">
        <f t="shared" si="4"/>
        <v>پیش‌وایی 12</v>
      </c>
      <c r="W1546" s="86"/>
      <c r="X1546" s="86"/>
    </row>
    <row r="1547">
      <c r="A1547" s="201">
        <v>1547.0</v>
      </c>
      <c r="B1547" s="202" t="s">
        <v>6531</v>
      </c>
      <c r="C1547" s="203" t="s">
        <v>6532</v>
      </c>
      <c r="D1547" s="204" t="str">
        <f>IFERROR(__xludf.DUMMYFUNCTION("ARRAYFORMULA(LET( converted, SUBSTITUTE( SUBSTITUTE( SUBSTITUTE( SUBSTITUTE( SUBSTITUTE( SUBSTITUTE( SUBSTITUTE( SUBSTITUTE( SUBSTITUTE( SUBSTITUTE( C1547, ""۰"", ""0""), ""۱"", ""1""), ""۲"", ""2""), ""۳"", ""3""), ""۴"", ""4""), ""۵"", ""5""), ""۶"", """&amp;"6""), ""۷"", ""7""), ""۸"", ""8""), ""۹"", ""9""), IF(LEFT(converted,3)=""+98"", ""0"" &amp; RIGHT(converted, LEN(converted)-3), IF(LEFT(converted,2)=""98"", ""0"" &amp; RIGHT(converted, LEN(converted)-2), IF(LEFT(converted,1)&lt;&gt;""0"", ""0"" &amp; converted, REGEXREPL"&amp;"ACE(converted , ""\s"", """")) ) ) ) )"),"09124973910")</f>
        <v>09124973910</v>
      </c>
      <c r="E1547" s="205" t="s">
        <v>17</v>
      </c>
      <c r="F1547" s="206">
        <v>12.0</v>
      </c>
      <c r="G1547" s="202"/>
      <c r="H1547" s="213" t="s">
        <v>6533</v>
      </c>
      <c r="I1547" s="215"/>
      <c r="J1547" s="215"/>
      <c r="K1547" s="207" t="s">
        <v>286</v>
      </c>
      <c r="L1547" s="207" t="s">
        <v>4727</v>
      </c>
      <c r="M1547" s="207"/>
      <c r="N1547" s="207"/>
      <c r="O1547" s="207" t="s">
        <v>6066</v>
      </c>
      <c r="P1547" s="202"/>
      <c r="Q1547" s="216" t="s">
        <v>6067</v>
      </c>
      <c r="R1547" s="86"/>
      <c r="S1547" s="114">
        <f t="shared" ref="S1547:T1547" si="1548">A1547</f>
        <v>1547</v>
      </c>
      <c r="T1547" s="114" t="str">
        <f t="shared" si="1548"/>
        <v>مهدی کشاورز</v>
      </c>
      <c r="U1547" s="86" t="str">
        <f t="shared" si="3"/>
        <v>09124973910</v>
      </c>
      <c r="V1547" s="86" t="str">
        <f t="shared" si="4"/>
        <v>پیش‌وایی 12</v>
      </c>
      <c r="W1547" s="86"/>
      <c r="X1547" s="86"/>
    </row>
    <row r="1548">
      <c r="A1548" s="192">
        <v>1548.0</v>
      </c>
      <c r="B1548" s="193" t="s">
        <v>6534</v>
      </c>
      <c r="C1548" s="194" t="s">
        <v>6535</v>
      </c>
      <c r="D1548" s="195" t="str">
        <f>IFERROR(__xludf.DUMMYFUNCTION("ARRAYFORMULA(LET( converted, SUBSTITUTE( SUBSTITUTE( SUBSTITUTE( SUBSTITUTE( SUBSTITUTE( SUBSTITUTE( SUBSTITUTE( SUBSTITUTE( SUBSTITUTE( SUBSTITUTE( C1548, ""۰"", ""0""), ""۱"", ""1""), ""۲"", ""2""), ""۳"", ""3""), ""۴"", ""4""), ""۵"", ""5""), ""۶"", """&amp;"6""), ""۷"", ""7""), ""۸"", ""8""), ""۹"", ""9""), IF(LEFT(converted,3)=""+98"", ""0"" &amp; RIGHT(converted, LEN(converted)-3), IF(LEFT(converted,2)=""98"", ""0"" &amp; RIGHT(converted, LEN(converted)-2), IF(LEFT(converted,1)&lt;&gt;""0"", ""0"" &amp; converted, REGEXREPL"&amp;"ACE(converted , ""\s"", """")) ) ) ) )"),"09127559655")</f>
        <v>09127559655</v>
      </c>
      <c r="E1548" s="196" t="s">
        <v>17</v>
      </c>
      <c r="F1548" s="197">
        <v>12.0</v>
      </c>
      <c r="G1548" s="193"/>
      <c r="H1548" s="212" t="s">
        <v>6536</v>
      </c>
      <c r="I1548" s="217"/>
      <c r="J1548" s="217"/>
      <c r="K1548" s="199" t="s">
        <v>896</v>
      </c>
      <c r="L1548" s="199" t="s">
        <v>6537</v>
      </c>
      <c r="M1548" s="199"/>
      <c r="N1548" s="199"/>
      <c r="O1548" s="199" t="s">
        <v>6066</v>
      </c>
      <c r="P1548" s="193"/>
      <c r="Q1548" s="218" t="s">
        <v>6067</v>
      </c>
      <c r="R1548" s="86"/>
      <c r="S1548" s="114">
        <f t="shared" ref="S1548:T1548" si="1549">A1548</f>
        <v>1548</v>
      </c>
      <c r="T1548" s="114" t="str">
        <f t="shared" si="1549"/>
        <v>حسین شیرمحمدی</v>
      </c>
      <c r="U1548" s="86" t="str">
        <f t="shared" si="3"/>
        <v>09127559655</v>
      </c>
      <c r="V1548" s="86" t="str">
        <f t="shared" si="4"/>
        <v>پیش‌وایی 12</v>
      </c>
      <c r="W1548" s="86"/>
      <c r="X1548" s="86"/>
    </row>
    <row r="1549">
      <c r="A1549" s="201">
        <v>1549.0</v>
      </c>
      <c r="B1549" s="202" t="s">
        <v>6538</v>
      </c>
      <c r="C1549" s="203" t="s">
        <v>6539</v>
      </c>
      <c r="D1549" s="204" t="str">
        <f>IFERROR(__xludf.DUMMYFUNCTION("ARRAYFORMULA(LET( converted, SUBSTITUTE( SUBSTITUTE( SUBSTITUTE( SUBSTITUTE( SUBSTITUTE( SUBSTITUTE( SUBSTITUTE( SUBSTITUTE( SUBSTITUTE( SUBSTITUTE( C1549, ""۰"", ""0""), ""۱"", ""1""), ""۲"", ""2""), ""۳"", ""3""), ""۴"", ""4""), ""۵"", ""5""), ""۶"", """&amp;"6""), ""۷"", ""7""), ""۸"", ""8""), ""۹"", ""9""), IF(LEFT(converted,3)=""+98"", ""0"" &amp; RIGHT(converted, LEN(converted)-3), IF(LEFT(converted,2)=""98"", ""0"" &amp; RIGHT(converted, LEN(converted)-2), IF(LEFT(converted,1)&lt;&gt;""0"", ""0"" &amp; converted, REGEXREPL"&amp;"ACE(converted , ""\s"", """")) ) ) ) )"),"09128243032")</f>
        <v>09128243032</v>
      </c>
      <c r="E1549" s="205" t="s">
        <v>17</v>
      </c>
      <c r="F1549" s="206">
        <v>12.0</v>
      </c>
      <c r="G1549" s="202"/>
      <c r="H1549" s="213" t="s">
        <v>6540</v>
      </c>
      <c r="I1549" s="215"/>
      <c r="J1549" s="215"/>
      <c r="K1549" s="207" t="s">
        <v>1071</v>
      </c>
      <c r="L1549" s="207" t="s">
        <v>2422</v>
      </c>
      <c r="M1549" s="207"/>
      <c r="N1549" s="207"/>
      <c r="O1549" s="207" t="s">
        <v>6066</v>
      </c>
      <c r="P1549" s="202"/>
      <c r="Q1549" s="216" t="s">
        <v>6067</v>
      </c>
      <c r="R1549" s="86"/>
      <c r="S1549" s="114">
        <f t="shared" ref="S1549:T1549" si="1550">A1549</f>
        <v>1549</v>
      </c>
      <c r="T1549" s="114" t="str">
        <f t="shared" si="1550"/>
        <v>سحر ایمانی</v>
      </c>
      <c r="U1549" s="86" t="str">
        <f t="shared" si="3"/>
        <v>09128243032</v>
      </c>
      <c r="V1549" s="86" t="str">
        <f t="shared" si="4"/>
        <v>پیش‌وایی 12</v>
      </c>
      <c r="W1549" s="86"/>
      <c r="X1549" s="86"/>
    </row>
    <row r="1550">
      <c r="A1550" s="192">
        <v>1550.0</v>
      </c>
      <c r="B1550" s="193" t="s">
        <v>6541</v>
      </c>
      <c r="C1550" s="194" t="s">
        <v>6542</v>
      </c>
      <c r="D1550" s="195" t="str">
        <f>IFERROR(__xludf.DUMMYFUNCTION("ARRAYFORMULA(LET( converted, SUBSTITUTE( SUBSTITUTE( SUBSTITUTE( SUBSTITUTE( SUBSTITUTE( SUBSTITUTE( SUBSTITUTE( SUBSTITUTE( SUBSTITUTE( SUBSTITUTE( C1550, ""۰"", ""0""), ""۱"", ""1""), ""۲"", ""2""), ""۳"", ""3""), ""۴"", ""4""), ""۵"", ""5""), ""۶"", """&amp;"6""), ""۷"", ""7""), ""۸"", ""8""), ""۹"", ""9""), IF(LEFT(converted,3)=""+98"", ""0"" &amp; RIGHT(converted, LEN(converted)-3), IF(LEFT(converted,2)=""98"", ""0"" &amp; RIGHT(converted, LEN(converted)-2), IF(LEFT(converted,1)&lt;&gt;""0"", ""0"" &amp; converted, REGEXREPL"&amp;"ACE(converted , ""\s"", """")) ) ) ) )"),"09901975200")</f>
        <v>09901975200</v>
      </c>
      <c r="E1550" s="196" t="s">
        <v>17</v>
      </c>
      <c r="F1550" s="197">
        <v>12.0</v>
      </c>
      <c r="G1550" s="193"/>
      <c r="H1550" s="212" t="s">
        <v>6543</v>
      </c>
      <c r="I1550" s="217"/>
      <c r="J1550" s="217"/>
      <c r="K1550" s="199" t="s">
        <v>4666</v>
      </c>
      <c r="L1550" s="199" t="s">
        <v>6544</v>
      </c>
      <c r="M1550" s="199"/>
      <c r="N1550" s="199"/>
      <c r="O1550" s="199" t="s">
        <v>6066</v>
      </c>
      <c r="P1550" s="193"/>
      <c r="Q1550" s="218" t="s">
        <v>6067</v>
      </c>
      <c r="R1550" s="86"/>
      <c r="S1550" s="114">
        <f t="shared" ref="S1550:T1550" si="1551">A1550</f>
        <v>1550</v>
      </c>
      <c r="T1550" s="114" t="str">
        <f t="shared" si="1551"/>
        <v>محمدمهدی امیرآبادی</v>
      </c>
      <c r="U1550" s="86" t="str">
        <f t="shared" si="3"/>
        <v>09901975200</v>
      </c>
      <c r="V1550" s="86" t="str">
        <f t="shared" si="4"/>
        <v>پیش‌وایی 12</v>
      </c>
      <c r="W1550" s="86"/>
      <c r="X1550" s="86"/>
    </row>
    <row r="1551">
      <c r="A1551" s="201">
        <v>1551.0</v>
      </c>
      <c r="B1551" s="202" t="s">
        <v>6545</v>
      </c>
      <c r="C1551" s="203" t="s">
        <v>6546</v>
      </c>
      <c r="D1551" s="204" t="str">
        <f>IFERROR(__xludf.DUMMYFUNCTION("ARRAYFORMULA(LET( converted, SUBSTITUTE( SUBSTITUTE( SUBSTITUTE( SUBSTITUTE( SUBSTITUTE( SUBSTITUTE( SUBSTITUTE( SUBSTITUTE( SUBSTITUTE( SUBSTITUTE( C1551, ""۰"", ""0""), ""۱"", ""1""), ""۲"", ""2""), ""۳"", ""3""), ""۴"", ""4""), ""۵"", ""5""), ""۶"", """&amp;"6""), ""۷"", ""7""), ""۸"", ""8""), ""۹"", ""9""), IF(LEFT(converted,3)=""+98"", ""0"" &amp; RIGHT(converted, LEN(converted)-3), IF(LEFT(converted,2)=""98"", ""0"" &amp; RIGHT(converted, LEN(converted)-2), IF(LEFT(converted,1)&lt;&gt;""0"", ""0"" &amp; converted, REGEXREPL"&amp;"ACE(converted , ""\s"", """")) ) ) ) )"),"09131131247")</f>
        <v>09131131247</v>
      </c>
      <c r="E1551" s="205" t="s">
        <v>17</v>
      </c>
      <c r="F1551" s="206">
        <v>12.0</v>
      </c>
      <c r="G1551" s="202"/>
      <c r="H1551" s="213" t="s">
        <v>6547</v>
      </c>
      <c r="I1551" s="215"/>
      <c r="J1551" s="215"/>
      <c r="K1551" s="207" t="s">
        <v>1374</v>
      </c>
      <c r="L1551" s="207" t="s">
        <v>6548</v>
      </c>
      <c r="M1551" s="207"/>
      <c r="N1551" s="207"/>
      <c r="O1551" s="207" t="s">
        <v>6066</v>
      </c>
      <c r="P1551" s="202"/>
      <c r="Q1551" s="216" t="s">
        <v>6067</v>
      </c>
      <c r="R1551" s="86"/>
      <c r="S1551" s="114">
        <f t="shared" ref="S1551:T1551" si="1552">A1551</f>
        <v>1551</v>
      </c>
      <c r="T1551" s="114" t="str">
        <f t="shared" si="1552"/>
        <v>امیر مصباحی</v>
      </c>
      <c r="U1551" s="86" t="str">
        <f t="shared" si="3"/>
        <v>09131131247</v>
      </c>
      <c r="V1551" s="86" t="str">
        <f t="shared" si="4"/>
        <v>پیش‌وایی 12</v>
      </c>
      <c r="W1551" s="86"/>
      <c r="X1551" s="86"/>
    </row>
    <row r="1552">
      <c r="A1552" s="192">
        <v>1552.0</v>
      </c>
      <c r="B1552" s="193" t="s">
        <v>5849</v>
      </c>
      <c r="C1552" s="194" t="s">
        <v>6549</v>
      </c>
      <c r="D1552" s="195" t="str">
        <f>IFERROR(__xludf.DUMMYFUNCTION("ARRAYFORMULA(LET( converted, SUBSTITUTE( SUBSTITUTE( SUBSTITUTE( SUBSTITUTE( SUBSTITUTE( SUBSTITUTE( SUBSTITUTE( SUBSTITUTE( SUBSTITUTE( SUBSTITUTE( C1552, ""۰"", ""0""), ""۱"", ""1""), ""۲"", ""2""), ""۳"", ""3""), ""۴"", ""4""), ""۵"", ""5""), ""۶"", """&amp;"6""), ""۷"", ""7""), ""۸"", ""8""), ""۹"", ""9""), IF(LEFT(converted,3)=""+98"", ""0"" &amp; RIGHT(converted, LEN(converted)-3), IF(LEFT(converted,2)=""98"", ""0"" &amp; RIGHT(converted, LEN(converted)-2), IF(LEFT(converted,1)&lt;&gt;""0"", ""0"" &amp; converted, REGEXREPL"&amp;"ACE(converted , ""\s"", """")) ) ) ) )"),"09120665671")</f>
        <v>09120665671</v>
      </c>
      <c r="E1552" s="196" t="s">
        <v>17</v>
      </c>
      <c r="F1552" s="197">
        <v>12.0</v>
      </c>
      <c r="G1552" s="193"/>
      <c r="H1552" s="212" t="s">
        <v>6550</v>
      </c>
      <c r="I1552" s="217"/>
      <c r="J1552" s="217"/>
      <c r="K1552" s="199" t="s">
        <v>5851</v>
      </c>
      <c r="L1552" s="199" t="s">
        <v>5852</v>
      </c>
      <c r="M1552" s="199"/>
      <c r="N1552" s="199"/>
      <c r="O1552" s="199" t="s">
        <v>6066</v>
      </c>
      <c r="P1552" s="193"/>
      <c r="Q1552" s="218" t="s">
        <v>6067</v>
      </c>
      <c r="R1552" s="86"/>
      <c r="S1552" s="114">
        <f t="shared" ref="S1552:T1552" si="1553">A1552</f>
        <v>1552</v>
      </c>
      <c r="T1552" s="114" t="str">
        <f t="shared" si="1553"/>
        <v>صدرالدین عسگراولادی</v>
      </c>
      <c r="U1552" s="86" t="str">
        <f t="shared" si="3"/>
        <v>09120665671</v>
      </c>
      <c r="V1552" s="86" t="str">
        <f t="shared" si="4"/>
        <v>پیش‌وایی 12</v>
      </c>
      <c r="W1552" s="86"/>
      <c r="X1552" s="86"/>
    </row>
    <row r="1553">
      <c r="A1553" s="201">
        <v>1553.0</v>
      </c>
      <c r="B1553" s="202" t="s">
        <v>6551</v>
      </c>
      <c r="C1553" s="203" t="s">
        <v>6552</v>
      </c>
      <c r="D1553" s="204" t="str">
        <f>IFERROR(__xludf.DUMMYFUNCTION("ARRAYFORMULA(LET( converted, SUBSTITUTE( SUBSTITUTE( SUBSTITUTE( SUBSTITUTE( SUBSTITUTE( SUBSTITUTE( SUBSTITUTE( SUBSTITUTE( SUBSTITUTE( SUBSTITUTE( C1553, ""۰"", ""0""), ""۱"", ""1""), ""۲"", ""2""), ""۳"", ""3""), ""۴"", ""4""), ""۵"", ""5""), ""۶"", """&amp;"6""), ""۷"", ""7""), ""۸"", ""8""), ""۹"", ""9""), IF(LEFT(converted,3)=""+98"", ""0"" &amp; RIGHT(converted, LEN(converted)-3), IF(LEFT(converted,2)=""98"", ""0"" &amp; RIGHT(converted, LEN(converted)-2), IF(LEFT(converted,1)&lt;&gt;""0"", ""0"" &amp; converted, REGEXREPL"&amp;"ACE(converted , ""\s"", """")) ) ) ) )"),"09121756608")</f>
        <v>09121756608</v>
      </c>
      <c r="E1553" s="205" t="s">
        <v>17</v>
      </c>
      <c r="F1553" s="206">
        <v>12.0</v>
      </c>
      <c r="G1553" s="202"/>
      <c r="H1553" s="213" t="s">
        <v>6553</v>
      </c>
      <c r="I1553" s="215"/>
      <c r="J1553" s="215"/>
      <c r="K1553" s="207" t="s">
        <v>888</v>
      </c>
      <c r="L1553" s="207" t="s">
        <v>3067</v>
      </c>
      <c r="M1553" s="207"/>
      <c r="N1553" s="207"/>
      <c r="O1553" s="207" t="s">
        <v>6066</v>
      </c>
      <c r="P1553" s="202"/>
      <c r="Q1553" s="216" t="s">
        <v>6067</v>
      </c>
      <c r="R1553" s="86"/>
      <c r="S1553" s="114">
        <f t="shared" ref="S1553:T1553" si="1554">A1553</f>
        <v>1553</v>
      </c>
      <c r="T1553" s="114" t="str">
        <f t="shared" si="1554"/>
        <v>آیدین محمدحسینی</v>
      </c>
      <c r="U1553" s="86" t="str">
        <f t="shared" si="3"/>
        <v>09121756608</v>
      </c>
      <c r="V1553" s="86" t="str">
        <f t="shared" si="4"/>
        <v>پیش‌وایی 12</v>
      </c>
      <c r="W1553" s="86"/>
      <c r="X1553" s="86"/>
    </row>
    <row r="1554">
      <c r="A1554" s="192">
        <v>1554.0</v>
      </c>
      <c r="B1554" s="193" t="s">
        <v>6554</v>
      </c>
      <c r="C1554" s="194" t="s">
        <v>6555</v>
      </c>
      <c r="D1554" s="195" t="str">
        <f>IFERROR(__xludf.DUMMYFUNCTION("ARRAYFORMULA(LET( converted, SUBSTITUTE( SUBSTITUTE( SUBSTITUTE( SUBSTITUTE( SUBSTITUTE( SUBSTITUTE( SUBSTITUTE( SUBSTITUTE( SUBSTITUTE( SUBSTITUTE( C1554, ""۰"", ""0""), ""۱"", ""1""), ""۲"", ""2""), ""۳"", ""3""), ""۴"", ""4""), ""۵"", ""5""), ""۶"", """&amp;"6""), ""۷"", ""7""), ""۸"", ""8""), ""۹"", ""9""), IF(LEFT(converted,3)=""+98"", ""0"" &amp; RIGHT(converted, LEN(converted)-3), IF(LEFT(converted,2)=""98"", ""0"" &amp; RIGHT(converted, LEN(converted)-2), IF(LEFT(converted,1)&lt;&gt;""0"", ""0"" &amp; converted, REGEXREPL"&amp;"ACE(converted , ""\s"", """")) ) ) ) )"),"09193619161")</f>
        <v>09193619161</v>
      </c>
      <c r="E1554" s="196" t="s">
        <v>17</v>
      </c>
      <c r="F1554" s="197">
        <v>12.0</v>
      </c>
      <c r="G1554" s="193"/>
      <c r="H1554" s="212" t="s">
        <v>6556</v>
      </c>
      <c r="I1554" s="217"/>
      <c r="J1554" s="217"/>
      <c r="K1554" s="199" t="s">
        <v>1704</v>
      </c>
      <c r="L1554" s="199" t="s">
        <v>4851</v>
      </c>
      <c r="M1554" s="199"/>
      <c r="N1554" s="199"/>
      <c r="O1554" s="199" t="s">
        <v>214</v>
      </c>
      <c r="P1554" s="193"/>
      <c r="Q1554" s="218" t="s">
        <v>6067</v>
      </c>
      <c r="R1554" s="86"/>
      <c r="S1554" s="114">
        <f t="shared" ref="S1554:T1554" si="1555">A1554</f>
        <v>1554</v>
      </c>
      <c r="T1554" s="114" t="str">
        <f t="shared" si="1555"/>
        <v>امید شجاعی</v>
      </c>
      <c r="U1554" s="86" t="str">
        <f t="shared" si="3"/>
        <v>09193619161</v>
      </c>
      <c r="V1554" s="86" t="str">
        <f t="shared" si="4"/>
        <v>پیش‌وایی 12</v>
      </c>
      <c r="W1554" s="86"/>
      <c r="X1554" s="86"/>
    </row>
    <row r="1555">
      <c r="A1555" s="201">
        <v>1555.0</v>
      </c>
      <c r="B1555" s="202" t="s">
        <v>5315</v>
      </c>
      <c r="C1555" s="203" t="s">
        <v>6557</v>
      </c>
      <c r="D1555" s="204" t="str">
        <f>IFERROR(__xludf.DUMMYFUNCTION("ARRAYFORMULA(LET( converted, SUBSTITUTE( SUBSTITUTE( SUBSTITUTE( SUBSTITUTE( SUBSTITUTE( SUBSTITUTE( SUBSTITUTE( SUBSTITUTE( SUBSTITUTE( SUBSTITUTE( C1555, ""۰"", ""0""), ""۱"", ""1""), ""۲"", ""2""), ""۳"", ""3""), ""۴"", ""4""), ""۵"", ""5""), ""۶"", """&amp;"6""), ""۷"", ""7""), ""۸"", ""8""), ""۹"", ""9""), IF(LEFT(converted,3)=""+98"", ""0"" &amp; RIGHT(converted, LEN(converted)-3), IF(LEFT(converted,2)=""98"", ""0"" &amp; RIGHT(converted, LEN(converted)-2), IF(LEFT(converted,1)&lt;&gt;""0"", ""0"" &amp; converted, REGEXREPL"&amp;"ACE(converted , ""\s"", """")) ) ) ) )"),"09129619261")</f>
        <v>09129619261</v>
      </c>
      <c r="E1555" s="205" t="s">
        <v>17</v>
      </c>
      <c r="F1555" s="206">
        <v>12.0</v>
      </c>
      <c r="G1555" s="202"/>
      <c r="H1555" s="213" t="s">
        <v>6558</v>
      </c>
      <c r="I1555" s="215"/>
      <c r="J1555" s="215"/>
      <c r="K1555" s="207" t="s">
        <v>3789</v>
      </c>
      <c r="L1555" s="207" t="s">
        <v>5317</v>
      </c>
      <c r="M1555" s="207"/>
      <c r="N1555" s="207"/>
      <c r="O1555" s="207" t="s">
        <v>6066</v>
      </c>
      <c r="P1555" s="202"/>
      <c r="Q1555" s="216" t="s">
        <v>6067</v>
      </c>
      <c r="R1555" s="86"/>
      <c r="S1555" s="114">
        <f t="shared" ref="S1555:T1555" si="1556">A1555</f>
        <v>1555</v>
      </c>
      <c r="T1555" s="114" t="str">
        <f t="shared" si="1556"/>
        <v>محمدامین گیوری</v>
      </c>
      <c r="U1555" s="86" t="str">
        <f t="shared" si="3"/>
        <v>09129619261</v>
      </c>
      <c r="V1555" s="86" t="str">
        <f t="shared" si="4"/>
        <v>پیش‌وایی 12</v>
      </c>
      <c r="W1555" s="86"/>
      <c r="X1555" s="86"/>
    </row>
    <row r="1556">
      <c r="A1556" s="192">
        <v>1556.0</v>
      </c>
      <c r="B1556" s="193" t="s">
        <v>6559</v>
      </c>
      <c r="C1556" s="194" t="s">
        <v>6560</v>
      </c>
      <c r="D1556" s="195" t="str">
        <f>IFERROR(__xludf.DUMMYFUNCTION("ARRAYFORMULA(LET( converted, SUBSTITUTE( SUBSTITUTE( SUBSTITUTE( SUBSTITUTE( SUBSTITUTE( SUBSTITUTE( SUBSTITUTE( SUBSTITUTE( SUBSTITUTE( SUBSTITUTE( C1556, ""۰"", ""0""), ""۱"", ""1""), ""۲"", ""2""), ""۳"", ""3""), ""۴"", ""4""), ""۵"", ""5""), ""۶"", """&amp;"6""), ""۷"", ""7""), ""۸"", ""8""), ""۹"", ""9""), IF(LEFT(converted,3)=""+98"", ""0"" &amp; RIGHT(converted, LEN(converted)-3), IF(LEFT(converted,2)=""98"", ""0"" &amp; RIGHT(converted, LEN(converted)-2), IF(LEFT(converted,1)&lt;&gt;""0"", ""0"" &amp; converted, REGEXREPL"&amp;"ACE(converted , ""\s"", """")) ) ) ) )"),"09197339599")</f>
        <v>09197339599</v>
      </c>
      <c r="E1556" s="196" t="s">
        <v>17</v>
      </c>
      <c r="F1556" s="197">
        <v>12.0</v>
      </c>
      <c r="G1556" s="193"/>
      <c r="H1556" s="212" t="s">
        <v>6561</v>
      </c>
      <c r="I1556" s="217"/>
      <c r="J1556" s="217"/>
      <c r="K1556" s="199" t="s">
        <v>6562</v>
      </c>
      <c r="L1556" s="199" t="s">
        <v>6563</v>
      </c>
      <c r="M1556" s="199"/>
      <c r="N1556" s="199"/>
      <c r="O1556" s="199" t="s">
        <v>6066</v>
      </c>
      <c r="P1556" s="193"/>
      <c r="Q1556" s="218" t="s">
        <v>6067</v>
      </c>
      <c r="R1556" s="86"/>
      <c r="S1556" s="114">
        <f t="shared" ref="S1556:T1556" si="1557">A1556</f>
        <v>1556</v>
      </c>
      <c r="T1556" s="114" t="str">
        <f t="shared" si="1557"/>
        <v>موسی الرضا بروغنی</v>
      </c>
      <c r="U1556" s="86" t="str">
        <f t="shared" si="3"/>
        <v>09197339599</v>
      </c>
      <c r="V1556" s="86" t="str">
        <f t="shared" si="4"/>
        <v>پیش‌وایی 12</v>
      </c>
      <c r="W1556" s="86"/>
      <c r="X1556" s="86"/>
    </row>
    <row r="1557">
      <c r="A1557" s="201">
        <v>1557.0</v>
      </c>
      <c r="B1557" s="202" t="s">
        <v>6564</v>
      </c>
      <c r="C1557" s="203" t="s">
        <v>6565</v>
      </c>
      <c r="D1557" s="204" t="str">
        <f>IFERROR(__xludf.DUMMYFUNCTION("ARRAYFORMULA(LET( converted, SUBSTITUTE( SUBSTITUTE( SUBSTITUTE( SUBSTITUTE( SUBSTITUTE( SUBSTITUTE( SUBSTITUTE( SUBSTITUTE( SUBSTITUTE( SUBSTITUTE( C1557, ""۰"", ""0""), ""۱"", ""1""), ""۲"", ""2""), ""۳"", ""3""), ""۴"", ""4""), ""۵"", ""5""), ""۶"", """&amp;"6""), ""۷"", ""7""), ""۸"", ""8""), ""۹"", ""9""), IF(LEFT(converted,3)=""+98"", ""0"" &amp; RIGHT(converted, LEN(converted)-3), IF(LEFT(converted,2)=""98"", ""0"" &amp; RIGHT(converted, LEN(converted)-2), IF(LEFT(converted,1)&lt;&gt;""0"", ""0"" &amp; converted, REGEXREPL"&amp;"ACE(converted , ""\s"", """")) ) ) ) )"),"09020990402")</f>
        <v>09020990402</v>
      </c>
      <c r="E1557" s="205" t="s">
        <v>17</v>
      </c>
      <c r="F1557" s="206">
        <v>12.0</v>
      </c>
      <c r="G1557" s="202"/>
      <c r="H1557" s="213" t="s">
        <v>6566</v>
      </c>
      <c r="I1557" s="215"/>
      <c r="J1557" s="215"/>
      <c r="K1557" s="207" t="s">
        <v>796</v>
      </c>
      <c r="L1557" s="207" t="s">
        <v>6567</v>
      </c>
      <c r="M1557" s="207"/>
      <c r="N1557" s="207"/>
      <c r="O1557" s="207" t="s">
        <v>102</v>
      </c>
      <c r="P1557" s="202"/>
      <c r="Q1557" s="216" t="s">
        <v>6067</v>
      </c>
      <c r="R1557" s="86"/>
      <c r="S1557" s="114">
        <f t="shared" ref="S1557:T1557" si="1558">A1557</f>
        <v>1557</v>
      </c>
      <c r="T1557" s="114" t="str">
        <f t="shared" si="1558"/>
        <v>پریسا میرمحمدی طهرانی</v>
      </c>
      <c r="U1557" s="86" t="str">
        <f t="shared" si="3"/>
        <v>09020990402</v>
      </c>
      <c r="V1557" s="86" t="str">
        <f t="shared" si="4"/>
        <v>پیش‌وایی 12</v>
      </c>
      <c r="W1557" s="86"/>
      <c r="X1557" s="86"/>
    </row>
    <row r="1558">
      <c r="A1558" s="192">
        <v>1558.0</v>
      </c>
      <c r="B1558" s="193" t="s">
        <v>6568</v>
      </c>
      <c r="C1558" s="194" t="s">
        <v>6569</v>
      </c>
      <c r="D1558" s="195" t="str">
        <f>IFERROR(__xludf.DUMMYFUNCTION("ARRAYFORMULA(LET( converted, SUBSTITUTE( SUBSTITUTE( SUBSTITUTE( SUBSTITUTE( SUBSTITUTE( SUBSTITUTE( SUBSTITUTE( SUBSTITUTE( SUBSTITUTE( SUBSTITUTE( C1558, ""۰"", ""0""), ""۱"", ""1""), ""۲"", ""2""), ""۳"", ""3""), ""۴"", ""4""), ""۵"", ""5""), ""۶"", """&amp;"6""), ""۷"", ""7""), ""۸"", ""8""), ""۹"", ""9""), IF(LEFT(converted,3)=""+98"", ""0"" &amp; RIGHT(converted, LEN(converted)-3), IF(LEFT(converted,2)=""98"", ""0"" &amp; RIGHT(converted, LEN(converted)-2), IF(LEFT(converted,1)&lt;&gt;""0"", ""0"" &amp; converted, REGEXREPL"&amp;"ACE(converted , ""\s"", """")) ) ) ) )"),"09129368195")</f>
        <v>09129368195</v>
      </c>
      <c r="E1558" s="196" t="s">
        <v>17</v>
      </c>
      <c r="F1558" s="197">
        <v>12.0</v>
      </c>
      <c r="G1558" s="193"/>
      <c r="H1558" s="212" t="s">
        <v>6570</v>
      </c>
      <c r="I1558" s="217"/>
      <c r="J1558" s="217"/>
      <c r="K1558" s="199" t="s">
        <v>2683</v>
      </c>
      <c r="L1558" s="199" t="s">
        <v>5504</v>
      </c>
      <c r="M1558" s="199"/>
      <c r="N1558" s="199"/>
      <c r="O1558" s="199" t="s">
        <v>6066</v>
      </c>
      <c r="P1558" s="193"/>
      <c r="Q1558" s="218" t="s">
        <v>6067</v>
      </c>
      <c r="R1558" s="86"/>
      <c r="S1558" s="114">
        <f t="shared" ref="S1558:T1558" si="1559">A1558</f>
        <v>1558</v>
      </c>
      <c r="T1558" s="114" t="str">
        <f t="shared" si="1559"/>
        <v>مهدیه عباس زاده</v>
      </c>
      <c r="U1558" s="86" t="str">
        <f t="shared" si="3"/>
        <v>09129368195</v>
      </c>
      <c r="V1558" s="86" t="str">
        <f t="shared" si="4"/>
        <v>پیش‌وایی 12</v>
      </c>
      <c r="W1558" s="86"/>
      <c r="X1558" s="86"/>
    </row>
    <row r="1559">
      <c r="A1559" s="201">
        <v>1559.0</v>
      </c>
      <c r="B1559" s="202" t="s">
        <v>6571</v>
      </c>
      <c r="C1559" s="203" t="s">
        <v>6572</v>
      </c>
      <c r="D1559" s="204" t="str">
        <f>IFERROR(__xludf.DUMMYFUNCTION("ARRAYFORMULA(LET( converted, SUBSTITUTE( SUBSTITUTE( SUBSTITUTE( SUBSTITUTE( SUBSTITUTE( SUBSTITUTE( SUBSTITUTE( SUBSTITUTE( SUBSTITUTE( SUBSTITUTE( C1559, ""۰"", ""0""), ""۱"", ""1""), ""۲"", ""2""), ""۳"", ""3""), ""۴"", ""4""), ""۵"", ""5""), ""۶"", """&amp;"6""), ""۷"", ""7""), ""۸"", ""8""), ""۹"", ""9""), IF(LEFT(converted,3)=""+98"", ""0"" &amp; RIGHT(converted, LEN(converted)-3), IF(LEFT(converted,2)=""98"", ""0"" &amp; RIGHT(converted, LEN(converted)-2), IF(LEFT(converted,1)&lt;&gt;""0"", ""0"" &amp; converted, REGEXREPL"&amp;"ACE(converted , ""\s"", """")) ) ) ) )"),"09126091463")</f>
        <v>09126091463</v>
      </c>
      <c r="E1559" s="205" t="s">
        <v>17</v>
      </c>
      <c r="F1559" s="206">
        <v>12.0</v>
      </c>
      <c r="G1559" s="202"/>
      <c r="H1559" s="213" t="s">
        <v>6573</v>
      </c>
      <c r="I1559" s="215"/>
      <c r="J1559" s="215"/>
      <c r="K1559" s="207" t="s">
        <v>2222</v>
      </c>
      <c r="L1559" s="207" t="s">
        <v>1913</v>
      </c>
      <c r="M1559" s="207"/>
      <c r="N1559" s="207"/>
      <c r="O1559" s="207" t="s">
        <v>6574</v>
      </c>
      <c r="P1559" s="202"/>
      <c r="Q1559" s="216" t="s">
        <v>6067</v>
      </c>
      <c r="R1559" s="86"/>
      <c r="S1559" s="114">
        <f t="shared" ref="S1559:T1559" si="1560">A1559</f>
        <v>1559</v>
      </c>
      <c r="T1559" s="114" t="str">
        <f t="shared" si="1560"/>
        <v>نازنین مرادی</v>
      </c>
      <c r="U1559" s="86" t="str">
        <f t="shared" si="3"/>
        <v>09126091463</v>
      </c>
      <c r="V1559" s="86" t="str">
        <f t="shared" si="4"/>
        <v>پیش‌وایی 12</v>
      </c>
      <c r="W1559" s="86"/>
      <c r="X1559" s="86"/>
    </row>
    <row r="1560">
      <c r="A1560" s="192">
        <v>1560.0</v>
      </c>
      <c r="B1560" s="193" t="s">
        <v>6575</v>
      </c>
      <c r="C1560" s="194" t="s">
        <v>6576</v>
      </c>
      <c r="D1560" s="195" t="str">
        <f>IFERROR(__xludf.DUMMYFUNCTION("ARRAYFORMULA(LET( converted, SUBSTITUTE( SUBSTITUTE( SUBSTITUTE( SUBSTITUTE( SUBSTITUTE( SUBSTITUTE( SUBSTITUTE( SUBSTITUTE( SUBSTITUTE( SUBSTITUTE( C1560, ""۰"", ""0""), ""۱"", ""1""), ""۲"", ""2""), ""۳"", ""3""), ""۴"", ""4""), ""۵"", ""5""), ""۶"", """&amp;"6""), ""۷"", ""7""), ""۸"", ""8""), ""۹"", ""9""), IF(LEFT(converted,3)=""+98"", ""0"" &amp; RIGHT(converted, LEN(converted)-3), IF(LEFT(converted,2)=""98"", ""0"" &amp; RIGHT(converted, LEN(converted)-2), IF(LEFT(converted,1)&lt;&gt;""0"", ""0"" &amp; converted, REGEXREPL"&amp;"ACE(converted , ""\s"", """")) ) ) ) )"),"09133157513")</f>
        <v>09133157513</v>
      </c>
      <c r="E1560" s="196" t="s">
        <v>17</v>
      </c>
      <c r="F1560" s="197">
        <v>12.0</v>
      </c>
      <c r="G1560" s="193"/>
      <c r="H1560" s="212" t="s">
        <v>6577</v>
      </c>
      <c r="I1560" s="217"/>
      <c r="J1560" s="217"/>
      <c r="K1560" s="199" t="s">
        <v>2683</v>
      </c>
      <c r="L1560" s="199" t="s">
        <v>6578</v>
      </c>
      <c r="M1560" s="199"/>
      <c r="N1560" s="199"/>
      <c r="O1560" s="199" t="s">
        <v>311</v>
      </c>
      <c r="P1560" s="193"/>
      <c r="Q1560" s="218" t="s">
        <v>6067</v>
      </c>
      <c r="R1560" s="86"/>
      <c r="S1560" s="114">
        <f t="shared" ref="S1560:T1560" si="1561">A1560</f>
        <v>1560</v>
      </c>
      <c r="T1560" s="114" t="str">
        <f t="shared" si="1561"/>
        <v>مهدیه مستحفظیان</v>
      </c>
      <c r="U1560" s="86" t="str">
        <f t="shared" si="3"/>
        <v>09133157513</v>
      </c>
      <c r="V1560" s="86" t="str">
        <f t="shared" si="4"/>
        <v>پیش‌وایی 12</v>
      </c>
      <c r="W1560" s="86"/>
      <c r="X1560" s="86"/>
    </row>
    <row r="1561">
      <c r="A1561" s="201">
        <v>1561.0</v>
      </c>
      <c r="B1561" s="202" t="s">
        <v>5413</v>
      </c>
      <c r="C1561" s="203" t="s">
        <v>6579</v>
      </c>
      <c r="D1561" s="204" t="str">
        <f>IFERROR(__xludf.DUMMYFUNCTION("ARRAYFORMULA(LET( converted, SUBSTITUTE( SUBSTITUTE( SUBSTITUTE( SUBSTITUTE( SUBSTITUTE( SUBSTITUTE( SUBSTITUTE( SUBSTITUTE( SUBSTITUTE( SUBSTITUTE( C1561, ""۰"", ""0""), ""۱"", ""1""), ""۲"", ""2""), ""۳"", ""3""), ""۴"", ""4""), ""۵"", ""5""), ""۶"", """&amp;"6""), ""۷"", ""7""), ""۸"", ""8""), ""۹"", ""9""), IF(LEFT(converted,3)=""+98"", ""0"" &amp; RIGHT(converted, LEN(converted)-3), IF(LEFT(converted,2)=""98"", ""0"" &amp; RIGHT(converted, LEN(converted)-2), IF(LEFT(converted,1)&lt;&gt;""0"", ""0"" &amp; converted, REGEXREPL"&amp;"ACE(converted , ""\s"", """")) ) ) ) )"),"09131118589")</f>
        <v>09131118589</v>
      </c>
      <c r="E1561" s="205" t="s">
        <v>17</v>
      </c>
      <c r="F1561" s="206">
        <v>12.0</v>
      </c>
      <c r="G1561" s="202"/>
      <c r="H1561" s="213" t="s">
        <v>6577</v>
      </c>
      <c r="I1561" s="215"/>
      <c r="J1561" s="215"/>
      <c r="K1561" s="207" t="s">
        <v>5415</v>
      </c>
      <c r="L1561" s="207" t="s">
        <v>1717</v>
      </c>
      <c r="M1561" s="207"/>
      <c r="N1561" s="207"/>
      <c r="O1561" s="207" t="s">
        <v>311</v>
      </c>
      <c r="P1561" s="202"/>
      <c r="Q1561" s="216" t="s">
        <v>6067</v>
      </c>
      <c r="R1561" s="86"/>
      <c r="S1561" s="114">
        <f t="shared" ref="S1561:T1561" si="1562">A1561</f>
        <v>1561</v>
      </c>
      <c r="T1561" s="114" t="str">
        <f t="shared" si="1562"/>
        <v>علی جواد محب</v>
      </c>
      <c r="U1561" s="86" t="str">
        <f t="shared" si="3"/>
        <v>09131118589</v>
      </c>
      <c r="V1561" s="86" t="str">
        <f t="shared" si="4"/>
        <v>پیش‌وایی 12</v>
      </c>
      <c r="W1561" s="86"/>
      <c r="X1561" s="86"/>
    </row>
    <row r="1562">
      <c r="A1562" s="192">
        <v>1562.0</v>
      </c>
      <c r="B1562" s="193" t="s">
        <v>4772</v>
      </c>
      <c r="C1562" s="194" t="s">
        <v>4773</v>
      </c>
      <c r="D1562" s="195" t="str">
        <f>IFERROR(__xludf.DUMMYFUNCTION("ARRAYFORMULA(LET( converted, SUBSTITUTE( SUBSTITUTE( SUBSTITUTE( SUBSTITUTE( SUBSTITUTE( SUBSTITUTE( SUBSTITUTE( SUBSTITUTE( SUBSTITUTE( SUBSTITUTE( C1562, ""۰"", ""0""), ""۱"", ""1""), ""۲"", ""2""), ""۳"", ""3""), ""۴"", ""4""), ""۵"", ""5""), ""۶"", """&amp;"6""), ""۷"", ""7""), ""۸"", ""8""), ""۹"", ""9""), IF(LEFT(converted,3)=""+98"", ""0"" &amp; RIGHT(converted, LEN(converted)-3), IF(LEFT(converted,2)=""98"", ""0"" &amp; RIGHT(converted, LEN(converted)-2), IF(LEFT(converted,1)&lt;&gt;""0"", ""0"" &amp; converted, REGEXREPL"&amp;"ACE(converted , ""\s"", """")) ) ) ) )"),"09131170532")</f>
        <v>09131170532</v>
      </c>
      <c r="E1562" s="196" t="s">
        <v>17</v>
      </c>
      <c r="F1562" s="197">
        <v>12.0</v>
      </c>
      <c r="G1562" s="193"/>
      <c r="H1562" s="212" t="s">
        <v>4774</v>
      </c>
      <c r="I1562" s="217"/>
      <c r="J1562" s="217"/>
      <c r="K1562" s="199" t="s">
        <v>209</v>
      </c>
      <c r="L1562" s="199" t="s">
        <v>4775</v>
      </c>
      <c r="M1562" s="199"/>
      <c r="N1562" s="199"/>
      <c r="O1562" s="199" t="s">
        <v>311</v>
      </c>
      <c r="P1562" s="193"/>
      <c r="Q1562" s="218" t="s">
        <v>6067</v>
      </c>
      <c r="R1562" s="86"/>
      <c r="S1562" s="114">
        <f t="shared" ref="S1562:T1562" si="1563">A1562</f>
        <v>1562</v>
      </c>
      <c r="T1562" s="114" t="str">
        <f t="shared" si="1563"/>
        <v>بهروز حسن پور</v>
      </c>
      <c r="U1562" s="86" t="str">
        <f t="shared" si="3"/>
        <v>09131170532</v>
      </c>
      <c r="V1562" s="86" t="str">
        <f t="shared" si="4"/>
        <v>پیش‌وایی 12</v>
      </c>
      <c r="W1562" s="86"/>
      <c r="X1562" s="86"/>
    </row>
    <row r="1563">
      <c r="A1563" s="201">
        <v>1563.0</v>
      </c>
      <c r="B1563" s="202" t="s">
        <v>6580</v>
      </c>
      <c r="C1563" s="203" t="s">
        <v>6581</v>
      </c>
      <c r="D1563" s="204" t="str">
        <f>IFERROR(__xludf.DUMMYFUNCTION("ARRAYFORMULA(LET( converted, SUBSTITUTE( SUBSTITUTE( SUBSTITUTE( SUBSTITUTE( SUBSTITUTE( SUBSTITUTE( SUBSTITUTE( SUBSTITUTE( SUBSTITUTE( SUBSTITUTE( C1563, ""۰"", ""0""), ""۱"", ""1""), ""۲"", ""2""), ""۳"", ""3""), ""۴"", ""4""), ""۵"", ""5""), ""۶"", """&amp;"6""), ""۷"", ""7""), ""۸"", ""8""), ""۹"", ""9""), IF(LEFT(converted,3)=""+98"", ""0"" &amp; RIGHT(converted, LEN(converted)-3), IF(LEFT(converted,2)=""98"", ""0"" &amp; RIGHT(converted, LEN(converted)-2), IF(LEFT(converted,1)&lt;&gt;""0"", ""0"" &amp; converted, REGEXREPL"&amp;"ACE(converted , ""\s"", """")) ) ) ) )"),"09132008440")</f>
        <v>09132008440</v>
      </c>
      <c r="E1563" s="205" t="s">
        <v>17</v>
      </c>
      <c r="F1563" s="206">
        <v>12.0</v>
      </c>
      <c r="G1563" s="202"/>
      <c r="H1563" s="202"/>
      <c r="I1563" s="215"/>
      <c r="J1563" s="215"/>
      <c r="K1563" s="207" t="s">
        <v>1459</v>
      </c>
      <c r="L1563" s="207" t="s">
        <v>6582</v>
      </c>
      <c r="M1563" s="207"/>
      <c r="N1563" s="207"/>
      <c r="O1563" s="207" t="s">
        <v>311</v>
      </c>
      <c r="P1563" s="202"/>
      <c r="Q1563" s="216" t="s">
        <v>6067</v>
      </c>
      <c r="R1563" s="86"/>
      <c r="S1563" s="114">
        <f t="shared" ref="S1563:T1563" si="1564">A1563</f>
        <v>1563</v>
      </c>
      <c r="T1563" s="114" t="str">
        <f t="shared" si="1564"/>
        <v>رضا خسروی فارسانی</v>
      </c>
      <c r="U1563" s="86" t="str">
        <f t="shared" si="3"/>
        <v>09132008440</v>
      </c>
      <c r="V1563" s="86" t="str">
        <f t="shared" si="4"/>
        <v>پیش‌وایی 12</v>
      </c>
      <c r="W1563" s="86"/>
      <c r="X1563" s="86"/>
    </row>
    <row r="1564">
      <c r="A1564" s="192">
        <v>1564.0</v>
      </c>
      <c r="B1564" s="193" t="s">
        <v>6583</v>
      </c>
      <c r="C1564" s="194" t="s">
        <v>6584</v>
      </c>
      <c r="D1564" s="195" t="str">
        <f>IFERROR(__xludf.DUMMYFUNCTION("ARRAYFORMULA(LET( converted, SUBSTITUTE( SUBSTITUTE( SUBSTITUTE( SUBSTITUTE( SUBSTITUTE( SUBSTITUTE( SUBSTITUTE( SUBSTITUTE( SUBSTITUTE( SUBSTITUTE( C1564, ""۰"", ""0""), ""۱"", ""1""), ""۲"", ""2""), ""۳"", ""3""), ""۴"", ""4""), ""۵"", ""5""), ""۶"", """&amp;"6""), ""۷"", ""7""), ""۸"", ""8""), ""۹"", ""9""), IF(LEFT(converted,3)=""+98"", ""0"" &amp; RIGHT(converted, LEN(converted)-3), IF(LEFT(converted,2)=""98"", ""0"" &amp; RIGHT(converted, LEN(converted)-2), IF(LEFT(converted,1)&lt;&gt;""0"", ""0"" &amp; converted, REGEXREPL"&amp;"ACE(converted , ""\s"", """")) ) ) ) )"),"09396370137")</f>
        <v>09396370137</v>
      </c>
      <c r="E1564" s="196" t="s">
        <v>17</v>
      </c>
      <c r="F1564" s="197">
        <v>12.0</v>
      </c>
      <c r="G1564" s="193"/>
      <c r="H1564" s="212" t="s">
        <v>6585</v>
      </c>
      <c r="I1564" s="217"/>
      <c r="J1564" s="217"/>
      <c r="K1564" s="199" t="s">
        <v>6586</v>
      </c>
      <c r="L1564" s="199" t="s">
        <v>5126</v>
      </c>
      <c r="M1564" s="199"/>
      <c r="N1564" s="199"/>
      <c r="O1564" s="199" t="s">
        <v>311</v>
      </c>
      <c r="P1564" s="193"/>
      <c r="Q1564" s="218" t="s">
        <v>6067</v>
      </c>
      <c r="R1564" s="86"/>
      <c r="S1564" s="114">
        <f t="shared" ref="S1564:T1564" si="1565">A1564</f>
        <v>1564</v>
      </c>
      <c r="T1564" s="114" t="str">
        <f t="shared" si="1565"/>
        <v>فهیمه مرضیه</v>
      </c>
      <c r="U1564" s="86" t="str">
        <f t="shared" si="3"/>
        <v>09396370137</v>
      </c>
      <c r="V1564" s="86" t="str">
        <f t="shared" si="4"/>
        <v>پیش‌وایی 12</v>
      </c>
      <c r="W1564" s="86"/>
      <c r="X1564" s="86"/>
    </row>
    <row r="1565">
      <c r="A1565" s="201">
        <v>1565.0</v>
      </c>
      <c r="B1565" s="202" t="s">
        <v>6587</v>
      </c>
      <c r="C1565" s="203" t="s">
        <v>6588</v>
      </c>
      <c r="D1565" s="204" t="str">
        <f>IFERROR(__xludf.DUMMYFUNCTION("ARRAYFORMULA(LET( converted, SUBSTITUTE( SUBSTITUTE( SUBSTITUTE( SUBSTITUTE( SUBSTITUTE( SUBSTITUTE( SUBSTITUTE( SUBSTITUTE( SUBSTITUTE( SUBSTITUTE( C1565, ""۰"", ""0""), ""۱"", ""1""), ""۲"", ""2""), ""۳"", ""3""), ""۴"", ""4""), ""۵"", ""5""), ""۶"", """&amp;"6""), ""۷"", ""7""), ""۸"", ""8""), ""۹"", ""9""), IF(LEFT(converted,3)=""+98"", ""0"" &amp; RIGHT(converted, LEN(converted)-3), IF(LEFT(converted,2)=""98"", ""0"" &amp; RIGHT(converted, LEN(converted)-2), IF(LEFT(converted,1)&lt;&gt;""0"", ""0"" &amp; converted, REGEXREPL"&amp;"ACE(converted , ""\s"", """")) ) ) ) )"),"09133651510")</f>
        <v>09133651510</v>
      </c>
      <c r="E1565" s="205" t="s">
        <v>17</v>
      </c>
      <c r="F1565" s="206">
        <v>12.0</v>
      </c>
      <c r="G1565" s="202"/>
      <c r="H1565" s="213" t="s">
        <v>6589</v>
      </c>
      <c r="I1565" s="215"/>
      <c r="J1565" s="215"/>
      <c r="K1565" s="207" t="s">
        <v>844</v>
      </c>
      <c r="L1565" s="207" t="s">
        <v>6590</v>
      </c>
      <c r="M1565" s="207"/>
      <c r="N1565" s="207"/>
      <c r="O1565" s="207" t="s">
        <v>311</v>
      </c>
      <c r="P1565" s="202"/>
      <c r="Q1565" s="216" t="s">
        <v>6067</v>
      </c>
      <c r="R1565" s="86"/>
      <c r="S1565" s="114">
        <f t="shared" ref="S1565:T1565" si="1566">A1565</f>
        <v>1565</v>
      </c>
      <c r="T1565" s="114" t="str">
        <f t="shared" si="1566"/>
        <v>مسعود جلال پور</v>
      </c>
      <c r="U1565" s="86" t="str">
        <f t="shared" si="3"/>
        <v>09133651510</v>
      </c>
      <c r="V1565" s="86" t="str">
        <f t="shared" si="4"/>
        <v>پیش‌وایی 12</v>
      </c>
      <c r="W1565" s="86"/>
      <c r="X1565" s="86"/>
    </row>
    <row r="1566">
      <c r="A1566" s="192">
        <v>1566.0</v>
      </c>
      <c r="B1566" s="193" t="s">
        <v>6591</v>
      </c>
      <c r="C1566" s="194" t="s">
        <v>6592</v>
      </c>
      <c r="D1566" s="195" t="str">
        <f>IFERROR(__xludf.DUMMYFUNCTION("ARRAYFORMULA(LET( converted, SUBSTITUTE( SUBSTITUTE( SUBSTITUTE( SUBSTITUTE( SUBSTITUTE( SUBSTITUTE( SUBSTITUTE( SUBSTITUTE( SUBSTITUTE( SUBSTITUTE( C1566, ""۰"", ""0""), ""۱"", ""1""), ""۲"", ""2""), ""۳"", ""3""), ""۴"", ""4""), ""۵"", ""5""), ""۶"", """&amp;"6""), ""۷"", ""7""), ""۸"", ""8""), ""۹"", ""9""), IF(LEFT(converted,3)=""+98"", ""0"" &amp; RIGHT(converted, LEN(converted)-3), IF(LEFT(converted,2)=""98"", ""0"" &amp; RIGHT(converted, LEN(converted)-2), IF(LEFT(converted,1)&lt;&gt;""0"", ""0"" &amp; converted, REGEXREPL"&amp;"ACE(converted , ""\s"", """")) ) ) ) )"),"09198952029")</f>
        <v>09198952029</v>
      </c>
      <c r="E1566" s="196" t="s">
        <v>17</v>
      </c>
      <c r="F1566" s="197">
        <v>12.0</v>
      </c>
      <c r="G1566" s="193"/>
      <c r="H1566" s="212" t="s">
        <v>6593</v>
      </c>
      <c r="I1566" s="217"/>
      <c r="J1566" s="217"/>
      <c r="K1566" s="199" t="s">
        <v>2897</v>
      </c>
      <c r="L1566" s="199" t="s">
        <v>6594</v>
      </c>
      <c r="M1566" s="199"/>
      <c r="N1566" s="199"/>
      <c r="O1566" s="199" t="s">
        <v>26</v>
      </c>
      <c r="P1566" s="193"/>
      <c r="Q1566" s="218" t="s">
        <v>6067</v>
      </c>
      <c r="R1566" s="86"/>
      <c r="S1566" s="114">
        <f t="shared" ref="S1566:T1566" si="1567">A1566</f>
        <v>1566</v>
      </c>
      <c r="T1566" s="114" t="str">
        <f t="shared" si="1567"/>
        <v>ناهید سالاری جوبنی</v>
      </c>
      <c r="U1566" s="86" t="str">
        <f t="shared" si="3"/>
        <v>09198952029</v>
      </c>
      <c r="V1566" s="86" t="str">
        <f t="shared" si="4"/>
        <v>پیش‌وایی 12</v>
      </c>
      <c r="W1566" s="86"/>
      <c r="X1566" s="86"/>
    </row>
    <row r="1567">
      <c r="A1567" s="201">
        <v>1567.0</v>
      </c>
      <c r="B1567" s="202" t="s">
        <v>6595</v>
      </c>
      <c r="C1567" s="203" t="s">
        <v>6596</v>
      </c>
      <c r="D1567" s="204" t="str">
        <f>IFERROR(__xludf.DUMMYFUNCTION("ARRAYFORMULA(LET( converted, SUBSTITUTE( SUBSTITUTE( SUBSTITUTE( SUBSTITUTE( SUBSTITUTE( SUBSTITUTE( SUBSTITUTE( SUBSTITUTE( SUBSTITUTE( SUBSTITUTE( C1567, ""۰"", ""0""), ""۱"", ""1""), ""۲"", ""2""), ""۳"", ""3""), ""۴"", ""4""), ""۵"", ""5""), ""۶"", """&amp;"6""), ""۷"", ""7""), ""۸"", ""8""), ""۹"", ""9""), IF(LEFT(converted,3)=""+98"", ""0"" &amp; RIGHT(converted, LEN(converted)-3), IF(LEFT(converted,2)=""98"", ""0"" &amp; RIGHT(converted, LEN(converted)-2), IF(LEFT(converted,1)&lt;&gt;""0"", ""0"" &amp; converted, REGEXREPL"&amp;"ACE(converted , ""\s"", """")) ) ) ) )"),"09305923545")</f>
        <v>09305923545</v>
      </c>
      <c r="E1567" s="205" t="s">
        <v>17</v>
      </c>
      <c r="F1567" s="206">
        <v>12.0</v>
      </c>
      <c r="G1567" s="202"/>
      <c r="H1567" s="213" t="s">
        <v>6597</v>
      </c>
      <c r="I1567" s="215"/>
      <c r="J1567" s="215"/>
      <c r="K1567" s="207" t="s">
        <v>1269</v>
      </c>
      <c r="L1567" s="207" t="s">
        <v>6598</v>
      </c>
      <c r="M1567" s="207"/>
      <c r="N1567" s="207"/>
      <c r="O1567" s="207" t="s">
        <v>26</v>
      </c>
      <c r="P1567" s="202"/>
      <c r="Q1567" s="216" t="s">
        <v>6067</v>
      </c>
      <c r="R1567" s="86"/>
      <c r="S1567" s="114">
        <f t="shared" ref="S1567:T1567" si="1568">A1567</f>
        <v>1567</v>
      </c>
      <c r="T1567" s="114" t="str">
        <f t="shared" si="1568"/>
        <v>محمدعلی بیگدلی</v>
      </c>
      <c r="U1567" s="86" t="str">
        <f t="shared" si="3"/>
        <v>09305923545</v>
      </c>
      <c r="V1567" s="86" t="str">
        <f t="shared" si="4"/>
        <v>پیش‌وایی 12</v>
      </c>
      <c r="W1567" s="86"/>
      <c r="X1567" s="86"/>
    </row>
    <row r="1568">
      <c r="A1568" s="192">
        <v>1568.0</v>
      </c>
      <c r="B1568" s="193" t="s">
        <v>6599</v>
      </c>
      <c r="C1568" s="194" t="s">
        <v>6600</v>
      </c>
      <c r="D1568" s="195" t="str">
        <f>IFERROR(__xludf.DUMMYFUNCTION("ARRAYFORMULA(LET( converted, SUBSTITUTE( SUBSTITUTE( SUBSTITUTE( SUBSTITUTE( SUBSTITUTE( SUBSTITUTE( SUBSTITUTE( SUBSTITUTE( SUBSTITUTE( SUBSTITUTE( C1568, ""۰"", ""0""), ""۱"", ""1""), ""۲"", ""2""), ""۳"", ""3""), ""۴"", ""4""), ""۵"", ""5""), ""۶"", """&amp;"6""), ""۷"", ""7""), ""۸"", ""8""), ""۹"", ""9""), IF(LEFT(converted,3)=""+98"", ""0"" &amp; RIGHT(converted, LEN(converted)-3), IF(LEFT(converted,2)=""98"", ""0"" &amp; RIGHT(converted, LEN(converted)-2), IF(LEFT(converted,1)&lt;&gt;""0"", ""0"" &amp; converted, REGEXREPL"&amp;"ACE(converted , ""\s"", """")) ) ) ) )"),"09108485018")</f>
        <v>09108485018</v>
      </c>
      <c r="E1568" s="196" t="s">
        <v>17</v>
      </c>
      <c r="F1568" s="197">
        <v>12.0</v>
      </c>
      <c r="G1568" s="193"/>
      <c r="H1568" s="212" t="s">
        <v>6601</v>
      </c>
      <c r="I1568" s="217"/>
      <c r="J1568" s="217"/>
      <c r="K1568" s="199" t="s">
        <v>5924</v>
      </c>
      <c r="L1568" s="199" t="s">
        <v>6602</v>
      </c>
      <c r="M1568" s="199"/>
      <c r="N1568" s="199"/>
      <c r="O1568" s="199" t="s">
        <v>26</v>
      </c>
      <c r="P1568" s="193"/>
      <c r="Q1568" s="218" t="s">
        <v>6067</v>
      </c>
      <c r="R1568" s="86"/>
      <c r="S1568" s="114">
        <f t="shared" ref="S1568:T1568" si="1569">A1568</f>
        <v>1568</v>
      </c>
      <c r="T1568" s="114" t="str">
        <f t="shared" si="1569"/>
        <v>امیرمحمد قیومی</v>
      </c>
      <c r="U1568" s="86" t="str">
        <f t="shared" si="3"/>
        <v>09108485018</v>
      </c>
      <c r="V1568" s="86" t="str">
        <f t="shared" si="4"/>
        <v>پیش‌وایی 12</v>
      </c>
      <c r="W1568" s="86"/>
      <c r="X1568" s="86"/>
    </row>
    <row r="1569">
      <c r="A1569" s="201">
        <v>1569.0</v>
      </c>
      <c r="B1569" s="202" t="s">
        <v>6603</v>
      </c>
      <c r="C1569" s="203" t="s">
        <v>6604</v>
      </c>
      <c r="D1569" s="204" t="str">
        <f>IFERROR(__xludf.DUMMYFUNCTION("ARRAYFORMULA(LET( converted, SUBSTITUTE( SUBSTITUTE( SUBSTITUTE( SUBSTITUTE( SUBSTITUTE( SUBSTITUTE( SUBSTITUTE( SUBSTITUTE( SUBSTITUTE( SUBSTITUTE( C1569, ""۰"", ""0""), ""۱"", ""1""), ""۲"", ""2""), ""۳"", ""3""), ""۴"", ""4""), ""۵"", ""5""), ""۶"", """&amp;"6""), ""۷"", ""7""), ""۸"", ""8""), ""۹"", ""9""), IF(LEFT(converted,3)=""+98"", ""0"" &amp; RIGHT(converted, LEN(converted)-3), IF(LEFT(converted,2)=""98"", ""0"" &amp; RIGHT(converted, LEN(converted)-2), IF(LEFT(converted,1)&lt;&gt;""0"", ""0"" &amp; converted, REGEXREPL"&amp;"ACE(converted , ""\s"", """")) ) ) ) )"),"09121263009")</f>
        <v>09121263009</v>
      </c>
      <c r="E1569" s="205" t="s">
        <v>17</v>
      </c>
      <c r="F1569" s="206">
        <v>12.0</v>
      </c>
      <c r="G1569" s="202"/>
      <c r="H1569" s="202"/>
      <c r="I1569" s="215"/>
      <c r="J1569" s="215"/>
      <c r="K1569" s="207" t="s">
        <v>27</v>
      </c>
      <c r="L1569" s="207" t="s">
        <v>4392</v>
      </c>
      <c r="M1569" s="207"/>
      <c r="N1569" s="207"/>
      <c r="O1569" s="207" t="s">
        <v>6170</v>
      </c>
      <c r="P1569" s="202"/>
      <c r="Q1569" s="216" t="s">
        <v>6067</v>
      </c>
      <c r="R1569" s="86"/>
      <c r="S1569" s="114">
        <f t="shared" ref="S1569:T1569" si="1570">A1569</f>
        <v>1569</v>
      </c>
      <c r="T1569" s="114" t="str">
        <f t="shared" si="1570"/>
        <v>مجید گرامی</v>
      </c>
      <c r="U1569" s="86" t="str">
        <f t="shared" si="3"/>
        <v>09121263009</v>
      </c>
      <c r="V1569" s="86" t="str">
        <f t="shared" si="4"/>
        <v>پیش‌وایی 12</v>
      </c>
      <c r="W1569" s="86"/>
      <c r="X1569" s="86"/>
    </row>
    <row r="1570">
      <c r="A1570" s="192">
        <v>1570.0</v>
      </c>
      <c r="B1570" s="193" t="s">
        <v>6605</v>
      </c>
      <c r="C1570" s="194" t="s">
        <v>6606</v>
      </c>
      <c r="D1570" s="195" t="str">
        <f>IFERROR(__xludf.DUMMYFUNCTION("ARRAYFORMULA(LET( converted, SUBSTITUTE( SUBSTITUTE( SUBSTITUTE( SUBSTITUTE( SUBSTITUTE( SUBSTITUTE( SUBSTITUTE( SUBSTITUTE( SUBSTITUTE( SUBSTITUTE( C1570, ""۰"", ""0""), ""۱"", ""1""), ""۲"", ""2""), ""۳"", ""3""), ""۴"", ""4""), ""۵"", ""5""), ""۶"", """&amp;"6""), ""۷"", ""7""), ""۸"", ""8""), ""۹"", ""9""), IF(LEFT(converted,3)=""+98"", ""0"" &amp; RIGHT(converted, LEN(converted)-3), IF(LEFT(converted,2)=""98"", ""0"" &amp; RIGHT(converted, LEN(converted)-2), IF(LEFT(converted,1)&lt;&gt;""0"", ""0"" &amp; converted, REGEXREPL"&amp;"ACE(converted , ""\s"", """")) ) ) ) )"),"09124866349")</f>
        <v>09124866349</v>
      </c>
      <c r="E1570" s="196" t="s">
        <v>17</v>
      </c>
      <c r="F1570" s="197">
        <v>12.0</v>
      </c>
      <c r="G1570" s="193"/>
      <c r="H1570" s="193"/>
      <c r="I1570" s="217"/>
      <c r="J1570" s="217"/>
      <c r="K1570" s="199" t="s">
        <v>6607</v>
      </c>
      <c r="L1570" s="199" t="s">
        <v>889</v>
      </c>
      <c r="M1570" s="199"/>
      <c r="N1570" s="199"/>
      <c r="O1570" s="199" t="s">
        <v>6170</v>
      </c>
      <c r="P1570" s="193"/>
      <c r="Q1570" s="218" t="s">
        <v>6067</v>
      </c>
      <c r="R1570" s="86"/>
      <c r="S1570" s="114">
        <f t="shared" ref="S1570:T1570" si="1571">A1570</f>
        <v>1570</v>
      </c>
      <c r="T1570" s="114" t="str">
        <f t="shared" si="1571"/>
        <v>سمیرا کاظمی</v>
      </c>
      <c r="U1570" s="86" t="str">
        <f t="shared" si="3"/>
        <v>09124866349</v>
      </c>
      <c r="V1570" s="86" t="str">
        <f t="shared" si="4"/>
        <v>پیش‌وایی 12</v>
      </c>
      <c r="W1570" s="86"/>
      <c r="X1570" s="86"/>
    </row>
    <row r="1571">
      <c r="A1571" s="201">
        <v>1571.0</v>
      </c>
      <c r="B1571" s="202" t="s">
        <v>6608</v>
      </c>
      <c r="C1571" s="203" t="s">
        <v>6609</v>
      </c>
      <c r="D1571" s="204" t="str">
        <f>IFERROR(__xludf.DUMMYFUNCTION("ARRAYFORMULA(LET( converted, SUBSTITUTE( SUBSTITUTE( SUBSTITUTE( SUBSTITUTE( SUBSTITUTE( SUBSTITUTE( SUBSTITUTE( SUBSTITUTE( SUBSTITUTE( SUBSTITUTE( C1571, ""۰"", ""0""), ""۱"", ""1""), ""۲"", ""2""), ""۳"", ""3""), ""۴"", ""4""), ""۵"", ""5""), ""۶"", """&amp;"6""), ""۷"", ""7""), ""۸"", ""8""), ""۹"", ""9""), IF(LEFT(converted,3)=""+98"", ""0"" &amp; RIGHT(converted, LEN(converted)-3), IF(LEFT(converted,2)=""98"", ""0"" &amp; RIGHT(converted, LEN(converted)-2), IF(LEFT(converted,1)&lt;&gt;""0"", ""0"" &amp; converted, REGEXREPL"&amp;"ACE(converted , ""\s"", """")) ) ) ) )"),"09123655275")</f>
        <v>09123655275</v>
      </c>
      <c r="E1571" s="205" t="s">
        <v>17</v>
      </c>
      <c r="F1571" s="206">
        <v>12.0</v>
      </c>
      <c r="G1571" s="202"/>
      <c r="H1571" s="213" t="s">
        <v>6610</v>
      </c>
      <c r="I1571" s="215"/>
      <c r="J1571" s="215"/>
      <c r="K1571" s="207" t="s">
        <v>3384</v>
      </c>
      <c r="L1571" s="207" t="s">
        <v>6611</v>
      </c>
      <c r="M1571" s="207"/>
      <c r="N1571" s="207"/>
      <c r="O1571" s="207" t="s">
        <v>53</v>
      </c>
      <c r="P1571" s="202"/>
      <c r="Q1571" s="216" t="s">
        <v>6067</v>
      </c>
      <c r="R1571" s="86"/>
      <c r="S1571" s="114">
        <f t="shared" ref="S1571:T1571" si="1572">A1571</f>
        <v>1571</v>
      </c>
      <c r="T1571" s="114" t="str">
        <f t="shared" si="1572"/>
        <v>صنم نیک عادت</v>
      </c>
      <c r="U1571" s="86" t="str">
        <f t="shared" si="3"/>
        <v>09123655275</v>
      </c>
      <c r="V1571" s="86" t="str">
        <f t="shared" si="4"/>
        <v>پیش‌وایی 12</v>
      </c>
      <c r="W1571" s="86"/>
      <c r="X1571" s="86"/>
    </row>
    <row r="1572">
      <c r="A1572" s="192">
        <v>1572.0</v>
      </c>
      <c r="B1572" s="193" t="s">
        <v>6612</v>
      </c>
      <c r="C1572" s="194" t="s">
        <v>6613</v>
      </c>
      <c r="D1572" s="195" t="str">
        <f>IFERROR(__xludf.DUMMYFUNCTION("ARRAYFORMULA(LET( converted, SUBSTITUTE( SUBSTITUTE( SUBSTITUTE( SUBSTITUTE( SUBSTITUTE( SUBSTITUTE( SUBSTITUTE( SUBSTITUTE( SUBSTITUTE( SUBSTITUTE( C1572, ""۰"", ""0""), ""۱"", ""1""), ""۲"", ""2""), ""۳"", ""3""), ""۴"", ""4""), ""۵"", ""5""), ""۶"", """&amp;"6""), ""۷"", ""7""), ""۸"", ""8""), ""۹"", ""9""), IF(LEFT(converted,3)=""+98"", ""0"" &amp; RIGHT(converted, LEN(converted)-3), IF(LEFT(converted,2)=""98"", ""0"" &amp; RIGHT(converted, LEN(converted)-2), IF(LEFT(converted,1)&lt;&gt;""0"", ""0"" &amp; converted, REGEXREPL"&amp;"ACE(converted , ""\s"", """")) ) ) ) )"),"09127697193")</f>
        <v>09127697193</v>
      </c>
      <c r="E1572" s="196" t="s">
        <v>17</v>
      </c>
      <c r="F1572" s="197">
        <v>12.0</v>
      </c>
      <c r="G1572" s="193"/>
      <c r="H1572" s="212" t="s">
        <v>6614</v>
      </c>
      <c r="I1572" s="217"/>
      <c r="J1572" s="217"/>
      <c r="K1572" s="199" t="s">
        <v>3592</v>
      </c>
      <c r="L1572" s="199" t="s">
        <v>6615</v>
      </c>
      <c r="M1572" s="199"/>
      <c r="N1572" s="199"/>
      <c r="O1572" s="199" t="s">
        <v>6616</v>
      </c>
      <c r="P1572" s="193"/>
      <c r="Q1572" s="218" t="s">
        <v>6067</v>
      </c>
      <c r="R1572" s="86"/>
      <c r="S1572" s="114">
        <f t="shared" ref="S1572:T1572" si="1573">A1572</f>
        <v>1572</v>
      </c>
      <c r="T1572" s="114" t="str">
        <f t="shared" si="1573"/>
        <v>نوید قیطاسی</v>
      </c>
      <c r="U1572" s="86" t="str">
        <f t="shared" si="3"/>
        <v>09127697193</v>
      </c>
      <c r="V1572" s="86" t="str">
        <f t="shared" si="4"/>
        <v>پیش‌وایی 12</v>
      </c>
      <c r="W1572" s="86"/>
      <c r="X1572" s="86"/>
    </row>
    <row r="1573">
      <c r="A1573" s="201">
        <v>1573.0</v>
      </c>
      <c r="B1573" s="202" t="s">
        <v>6617</v>
      </c>
      <c r="C1573" s="203" t="s">
        <v>6618</v>
      </c>
      <c r="D1573" s="204" t="str">
        <f>IFERROR(__xludf.DUMMYFUNCTION("ARRAYFORMULA(LET( converted, SUBSTITUTE( SUBSTITUTE( SUBSTITUTE( SUBSTITUTE( SUBSTITUTE( SUBSTITUTE( SUBSTITUTE( SUBSTITUTE( SUBSTITUTE( SUBSTITUTE( C1573, ""۰"", ""0""), ""۱"", ""1""), ""۲"", ""2""), ""۳"", ""3""), ""۴"", ""4""), ""۵"", ""5""), ""۶"", """&amp;"6""), ""۷"", ""7""), ""۸"", ""8""), ""۹"", ""9""), IF(LEFT(converted,3)=""+98"", ""0"" &amp; RIGHT(converted, LEN(converted)-3), IF(LEFT(converted,2)=""98"", ""0"" &amp; RIGHT(converted, LEN(converted)-2), IF(LEFT(converted,1)&lt;&gt;""0"", ""0"" &amp; converted, REGEXREPL"&amp;"ACE(converted , ""\s"", """")) ) ) ) )"),"09301411201")</f>
        <v>09301411201</v>
      </c>
      <c r="E1573" s="205" t="s">
        <v>17</v>
      </c>
      <c r="F1573" s="206">
        <v>12.0</v>
      </c>
      <c r="G1573" s="202"/>
      <c r="H1573" s="213" t="s">
        <v>6619</v>
      </c>
      <c r="I1573" s="215"/>
      <c r="J1573" s="215"/>
      <c r="K1573" s="207" t="s">
        <v>3165</v>
      </c>
      <c r="L1573" s="207" t="s">
        <v>6620</v>
      </c>
      <c r="M1573" s="207"/>
      <c r="N1573" s="207"/>
      <c r="O1573" s="207" t="s">
        <v>6616</v>
      </c>
      <c r="P1573" s="202"/>
      <c r="Q1573" s="216" t="s">
        <v>6067</v>
      </c>
      <c r="R1573" s="86"/>
      <c r="S1573" s="114">
        <f t="shared" ref="S1573:T1573" si="1574">A1573</f>
        <v>1573</v>
      </c>
      <c r="T1573" s="114" t="str">
        <f t="shared" si="1574"/>
        <v>امیر محمد حریمی</v>
      </c>
      <c r="U1573" s="86" t="str">
        <f t="shared" si="3"/>
        <v>09301411201</v>
      </c>
      <c r="V1573" s="86" t="str">
        <f t="shared" si="4"/>
        <v>پیش‌وایی 12</v>
      </c>
      <c r="W1573" s="86"/>
      <c r="X1573" s="86"/>
    </row>
    <row r="1574">
      <c r="A1574" s="192">
        <v>1574.0</v>
      </c>
      <c r="B1574" s="193" t="s">
        <v>6621</v>
      </c>
      <c r="C1574" s="194" t="s">
        <v>6622</v>
      </c>
      <c r="D1574" s="195" t="str">
        <f>IFERROR(__xludf.DUMMYFUNCTION("ARRAYFORMULA(LET( converted, SUBSTITUTE( SUBSTITUTE( SUBSTITUTE( SUBSTITUTE( SUBSTITUTE( SUBSTITUTE( SUBSTITUTE( SUBSTITUTE( SUBSTITUTE( SUBSTITUTE( C1574, ""۰"", ""0""), ""۱"", ""1""), ""۲"", ""2""), ""۳"", ""3""), ""۴"", ""4""), ""۵"", ""5""), ""۶"", """&amp;"6""), ""۷"", ""7""), ""۸"", ""8""), ""۹"", ""9""), IF(LEFT(converted,3)=""+98"", ""0"" &amp; RIGHT(converted, LEN(converted)-3), IF(LEFT(converted,2)=""98"", ""0"" &amp; RIGHT(converted, LEN(converted)-2), IF(LEFT(converted,1)&lt;&gt;""0"", ""0"" &amp; converted, REGEXREPL"&amp;"ACE(converted , ""\s"", """")) ) ) ) )"),"09120555046")</f>
        <v>09120555046</v>
      </c>
      <c r="E1574" s="196" t="s">
        <v>17</v>
      </c>
      <c r="F1574" s="197">
        <v>12.0</v>
      </c>
      <c r="G1574" s="193"/>
      <c r="H1574" s="212" t="s">
        <v>6623</v>
      </c>
      <c r="I1574" s="217"/>
      <c r="J1574" s="217"/>
      <c r="K1574" s="199" t="s">
        <v>1459</v>
      </c>
      <c r="L1574" s="199" t="s">
        <v>6624</v>
      </c>
      <c r="M1574" s="199"/>
      <c r="N1574" s="199"/>
      <c r="O1574" s="199" t="s">
        <v>6616</v>
      </c>
      <c r="P1574" s="193"/>
      <c r="Q1574" s="218" t="s">
        <v>6067</v>
      </c>
      <c r="R1574" s="86"/>
      <c r="S1574" s="114">
        <f t="shared" ref="S1574:T1574" si="1575">A1574</f>
        <v>1574</v>
      </c>
      <c r="T1574" s="114" t="str">
        <f t="shared" si="1575"/>
        <v>رضا قنبر قره تپه</v>
      </c>
      <c r="U1574" s="86" t="str">
        <f t="shared" si="3"/>
        <v>09120555046</v>
      </c>
      <c r="V1574" s="86" t="str">
        <f t="shared" si="4"/>
        <v>پیش‌وایی 12</v>
      </c>
      <c r="W1574" s="86"/>
      <c r="X1574" s="86"/>
    </row>
    <row r="1575">
      <c r="A1575" s="201">
        <v>1575.0</v>
      </c>
      <c r="B1575" s="202" t="s">
        <v>6625</v>
      </c>
      <c r="C1575" s="203" t="s">
        <v>6626</v>
      </c>
      <c r="D1575" s="204" t="str">
        <f>IFERROR(__xludf.DUMMYFUNCTION("ARRAYFORMULA(LET( converted, SUBSTITUTE( SUBSTITUTE( SUBSTITUTE( SUBSTITUTE( SUBSTITUTE( SUBSTITUTE( SUBSTITUTE( SUBSTITUTE( SUBSTITUTE( SUBSTITUTE( C1575, ""۰"", ""0""), ""۱"", ""1""), ""۲"", ""2""), ""۳"", ""3""), ""۴"", ""4""), ""۵"", ""5""), ""۶"", """&amp;"6""), ""۷"", ""7""), ""۸"", ""8""), ""۹"", ""9""), IF(LEFT(converted,3)=""+98"", ""0"" &amp; RIGHT(converted, LEN(converted)-3), IF(LEFT(converted,2)=""98"", ""0"" &amp; RIGHT(converted, LEN(converted)-2), IF(LEFT(converted,1)&lt;&gt;""0"", ""0"" &amp; converted, REGEXREPL"&amp;"ACE(converted , ""\s"", """")) ) ) ) )"),"09104201470")</f>
        <v>09104201470</v>
      </c>
      <c r="E1575" s="205" t="s">
        <v>17</v>
      </c>
      <c r="F1575" s="206">
        <v>12.0</v>
      </c>
      <c r="G1575" s="202"/>
      <c r="H1575" s="213" t="s">
        <v>6627</v>
      </c>
      <c r="I1575" s="215"/>
      <c r="J1575" s="215"/>
      <c r="K1575" s="207" t="s">
        <v>192</v>
      </c>
      <c r="L1575" s="207" t="s">
        <v>6628</v>
      </c>
      <c r="M1575" s="207"/>
      <c r="N1575" s="207"/>
      <c r="O1575" s="207" t="s">
        <v>6616</v>
      </c>
      <c r="P1575" s="202"/>
      <c r="Q1575" s="216" t="s">
        <v>6067</v>
      </c>
      <c r="R1575" s="86"/>
      <c r="S1575" s="114">
        <f t="shared" ref="S1575:T1575" si="1576">A1575</f>
        <v>1575</v>
      </c>
      <c r="T1575" s="114" t="str">
        <f t="shared" si="1576"/>
        <v>امیرحسین ملائی</v>
      </c>
      <c r="U1575" s="86" t="str">
        <f t="shared" si="3"/>
        <v>09104201470</v>
      </c>
      <c r="V1575" s="86" t="str">
        <f t="shared" si="4"/>
        <v>پیش‌وایی 12</v>
      </c>
      <c r="W1575" s="86"/>
      <c r="X1575" s="86"/>
    </row>
    <row r="1576">
      <c r="A1576" s="192">
        <v>1576.0</v>
      </c>
      <c r="B1576" s="193" t="s">
        <v>6629</v>
      </c>
      <c r="C1576" s="194" t="s">
        <v>6630</v>
      </c>
      <c r="D1576" s="195" t="str">
        <f>IFERROR(__xludf.DUMMYFUNCTION("ARRAYFORMULA(LET( converted, SUBSTITUTE( SUBSTITUTE( SUBSTITUTE( SUBSTITUTE( SUBSTITUTE( SUBSTITUTE( SUBSTITUTE( SUBSTITUTE( SUBSTITUTE( SUBSTITUTE( C1576, ""۰"", ""0""), ""۱"", ""1""), ""۲"", ""2""), ""۳"", ""3""), ""۴"", ""4""), ""۵"", ""5""), ""۶"", """&amp;"6""), ""۷"", ""7""), ""۸"", ""8""), ""۹"", ""9""), IF(LEFT(converted,3)=""+98"", ""0"" &amp; RIGHT(converted, LEN(converted)-3), IF(LEFT(converted,2)=""98"", ""0"" &amp; RIGHT(converted, LEN(converted)-2), IF(LEFT(converted,1)&lt;&gt;""0"", ""0"" &amp; converted, REGEXREPL"&amp;"ACE(converted , ""\s"", """")) ) ) ) )"),"09132203988")</f>
        <v>09132203988</v>
      </c>
      <c r="E1576" s="196" t="s">
        <v>17</v>
      </c>
      <c r="F1576" s="197">
        <v>12.0</v>
      </c>
      <c r="G1576" s="193"/>
      <c r="H1576" s="212" t="s">
        <v>6631</v>
      </c>
      <c r="I1576" s="217"/>
      <c r="J1576" s="217"/>
      <c r="K1576" s="199" t="s">
        <v>758</v>
      </c>
      <c r="L1576" s="199" t="s">
        <v>2031</v>
      </c>
      <c r="M1576" s="199"/>
      <c r="N1576" s="199"/>
      <c r="O1576" s="199" t="s">
        <v>6066</v>
      </c>
      <c r="P1576" s="193"/>
      <c r="Q1576" s="218" t="s">
        <v>6067</v>
      </c>
      <c r="R1576" s="86"/>
      <c r="S1576" s="114">
        <f t="shared" ref="S1576:T1576" si="1577">A1576</f>
        <v>1576</v>
      </c>
      <c r="T1576" s="114" t="str">
        <f t="shared" si="1577"/>
        <v>سعید رحمتی</v>
      </c>
      <c r="U1576" s="86" t="str">
        <f t="shared" si="3"/>
        <v>09132203988</v>
      </c>
      <c r="V1576" s="86" t="str">
        <f t="shared" si="4"/>
        <v>پیش‌وایی 12</v>
      </c>
      <c r="W1576" s="86"/>
      <c r="X1576" s="86"/>
    </row>
    <row r="1577">
      <c r="A1577" s="201">
        <v>1577.0</v>
      </c>
      <c r="B1577" s="202" t="s">
        <v>6632</v>
      </c>
      <c r="C1577" s="203" t="s">
        <v>6633</v>
      </c>
      <c r="D1577" s="204" t="str">
        <f>IFERROR(__xludf.DUMMYFUNCTION("ARRAYFORMULA(LET( converted, SUBSTITUTE( SUBSTITUTE( SUBSTITUTE( SUBSTITUTE( SUBSTITUTE( SUBSTITUTE( SUBSTITUTE( SUBSTITUTE( SUBSTITUTE( SUBSTITUTE( C1577, ""۰"", ""0""), ""۱"", ""1""), ""۲"", ""2""), ""۳"", ""3""), ""۴"", ""4""), ""۵"", ""5""), ""۶"", """&amp;"6""), ""۷"", ""7""), ""۸"", ""8""), ""۹"", ""9""), IF(LEFT(converted,3)=""+98"", ""0"" &amp; RIGHT(converted, LEN(converted)-3), IF(LEFT(converted,2)=""98"", ""0"" &amp; RIGHT(converted, LEN(converted)-2), IF(LEFT(converted,1)&lt;&gt;""0"", ""0"" &amp; converted, REGEXREPL"&amp;"ACE(converted , ""\s"", """")) ) ) ) )"),"09123140121")</f>
        <v>09123140121</v>
      </c>
      <c r="E1577" s="205" t="s">
        <v>17</v>
      </c>
      <c r="F1577" s="206">
        <v>12.0</v>
      </c>
      <c r="G1577" s="202"/>
      <c r="H1577" s="213" t="s">
        <v>6634</v>
      </c>
      <c r="I1577" s="215"/>
      <c r="J1577" s="215"/>
      <c r="K1577" s="207" t="s">
        <v>1445</v>
      </c>
      <c r="L1577" s="207" t="s">
        <v>347</v>
      </c>
      <c r="M1577" s="207"/>
      <c r="N1577" s="207"/>
      <c r="O1577" s="207" t="s">
        <v>6066</v>
      </c>
      <c r="P1577" s="202"/>
      <c r="Q1577" s="216" t="s">
        <v>6067</v>
      </c>
      <c r="R1577" s="86"/>
      <c r="S1577" s="114">
        <f t="shared" ref="S1577:T1577" si="1578">A1577</f>
        <v>1577</v>
      </c>
      <c r="T1577" s="114" t="str">
        <f t="shared" si="1578"/>
        <v>مینا توکلی</v>
      </c>
      <c r="U1577" s="86" t="str">
        <f t="shared" si="3"/>
        <v>09123140121</v>
      </c>
      <c r="V1577" s="86" t="str">
        <f t="shared" si="4"/>
        <v>پیش‌وایی 12</v>
      </c>
      <c r="W1577" s="86"/>
      <c r="X1577" s="86"/>
    </row>
    <row r="1578">
      <c r="A1578" s="192">
        <v>1578.0</v>
      </c>
      <c r="B1578" s="193" t="s">
        <v>6635</v>
      </c>
      <c r="C1578" s="194" t="s">
        <v>6636</v>
      </c>
      <c r="D1578" s="195" t="str">
        <f>IFERROR(__xludf.DUMMYFUNCTION("ARRAYFORMULA(LET( converted, SUBSTITUTE( SUBSTITUTE( SUBSTITUTE( SUBSTITUTE( SUBSTITUTE( SUBSTITUTE( SUBSTITUTE( SUBSTITUTE( SUBSTITUTE( SUBSTITUTE( C1578, ""۰"", ""0""), ""۱"", ""1""), ""۲"", ""2""), ""۳"", ""3""), ""۴"", ""4""), ""۵"", ""5""), ""۶"", """&amp;"6""), ""۷"", ""7""), ""۸"", ""8""), ""۹"", ""9""), IF(LEFT(converted,3)=""+98"", ""0"" &amp; RIGHT(converted, LEN(converted)-3), IF(LEFT(converted,2)=""98"", ""0"" &amp; RIGHT(converted, LEN(converted)-2), IF(LEFT(converted,1)&lt;&gt;""0"", ""0"" &amp; converted, REGEXREPL"&amp;"ACE(converted , ""\s"", """")) ) ) ) )"),"09399188895")</f>
        <v>09399188895</v>
      </c>
      <c r="E1578" s="196" t="s">
        <v>17</v>
      </c>
      <c r="F1578" s="197">
        <v>12.0</v>
      </c>
      <c r="G1578" s="193"/>
      <c r="H1578" s="212" t="s">
        <v>6637</v>
      </c>
      <c r="I1578" s="217"/>
      <c r="J1578" s="217"/>
      <c r="K1578" s="199" t="s">
        <v>6638</v>
      </c>
      <c r="L1578" s="199" t="s">
        <v>2317</v>
      </c>
      <c r="M1578" s="199"/>
      <c r="N1578" s="199"/>
      <c r="O1578" s="199" t="s">
        <v>6616</v>
      </c>
      <c r="P1578" s="193"/>
      <c r="Q1578" s="218" t="s">
        <v>6067</v>
      </c>
      <c r="R1578" s="86"/>
      <c r="S1578" s="114">
        <f t="shared" ref="S1578:T1578" si="1579">A1578</f>
        <v>1578</v>
      </c>
      <c r="T1578" s="114" t="str">
        <f t="shared" si="1579"/>
        <v>حسنا حر</v>
      </c>
      <c r="U1578" s="86" t="str">
        <f t="shared" si="3"/>
        <v>09399188895</v>
      </c>
      <c r="V1578" s="86" t="str">
        <f t="shared" si="4"/>
        <v>پیش‌وایی 12</v>
      </c>
      <c r="W1578" s="86"/>
      <c r="X1578" s="86"/>
    </row>
    <row r="1579">
      <c r="A1579" s="201">
        <v>1579.0</v>
      </c>
      <c r="B1579" s="202" t="s">
        <v>6639</v>
      </c>
      <c r="C1579" s="203" t="s">
        <v>6640</v>
      </c>
      <c r="D1579" s="204" t="str">
        <f>IFERROR(__xludf.DUMMYFUNCTION("ARRAYFORMULA(LET( converted, SUBSTITUTE( SUBSTITUTE( SUBSTITUTE( SUBSTITUTE( SUBSTITUTE( SUBSTITUTE( SUBSTITUTE( SUBSTITUTE( SUBSTITUTE( SUBSTITUTE( C1579, ""۰"", ""0""), ""۱"", ""1""), ""۲"", ""2""), ""۳"", ""3""), ""۴"", ""4""), ""۵"", ""5""), ""۶"", """&amp;"6""), ""۷"", ""7""), ""۸"", ""8""), ""۹"", ""9""), IF(LEFT(converted,3)=""+98"", ""0"" &amp; RIGHT(converted, LEN(converted)-3), IF(LEFT(converted,2)=""98"", ""0"" &amp; RIGHT(converted, LEN(converted)-2), IF(LEFT(converted,1)&lt;&gt;""0"", ""0"" &amp; converted, REGEXREPL"&amp;"ACE(converted , ""\s"", """")) ) ) ) )"),"09128392711")</f>
        <v>09128392711</v>
      </c>
      <c r="E1579" s="205" t="s">
        <v>17</v>
      </c>
      <c r="F1579" s="206">
        <v>12.0</v>
      </c>
      <c r="G1579" s="202"/>
      <c r="H1579" s="213" t="s">
        <v>6641</v>
      </c>
      <c r="I1579" s="215"/>
      <c r="J1579" s="215"/>
      <c r="K1579" s="207" t="s">
        <v>6642</v>
      </c>
      <c r="L1579" s="207" t="s">
        <v>2347</v>
      </c>
      <c r="M1579" s="207"/>
      <c r="N1579" s="207"/>
      <c r="O1579" s="213" t="s">
        <v>6643</v>
      </c>
      <c r="P1579" s="202"/>
      <c r="Q1579" s="216" t="s">
        <v>6067</v>
      </c>
      <c r="R1579" s="86"/>
      <c r="S1579" s="114">
        <f t="shared" ref="S1579:T1579" si="1580">A1579</f>
        <v>1579</v>
      </c>
      <c r="T1579" s="114" t="str">
        <f t="shared" si="1580"/>
        <v>محمدبهزاد هادی</v>
      </c>
      <c r="U1579" s="86" t="str">
        <f t="shared" si="3"/>
        <v>09128392711</v>
      </c>
      <c r="V1579" s="86" t="str">
        <f t="shared" si="4"/>
        <v>پیش‌وایی 12</v>
      </c>
      <c r="W1579" s="86"/>
      <c r="X1579" s="86"/>
    </row>
    <row r="1580">
      <c r="A1580" s="192">
        <v>1580.0</v>
      </c>
      <c r="B1580" s="193" t="s">
        <v>6644</v>
      </c>
      <c r="C1580" s="194" t="s">
        <v>6645</v>
      </c>
      <c r="D1580" s="195" t="str">
        <f>IFERROR(__xludf.DUMMYFUNCTION("ARRAYFORMULA(LET( converted, SUBSTITUTE( SUBSTITUTE( SUBSTITUTE( SUBSTITUTE( SUBSTITUTE( SUBSTITUTE( SUBSTITUTE( SUBSTITUTE( SUBSTITUTE( SUBSTITUTE( C1580, ""۰"", ""0""), ""۱"", ""1""), ""۲"", ""2""), ""۳"", ""3""), ""۴"", ""4""), ""۵"", ""5""), ""۶"", """&amp;"6""), ""۷"", ""7""), ""۸"", ""8""), ""۹"", ""9""), IF(LEFT(converted,3)=""+98"", ""0"" &amp; RIGHT(converted, LEN(converted)-3), IF(LEFT(converted,2)=""98"", ""0"" &amp; RIGHT(converted, LEN(converted)-2), IF(LEFT(converted,1)&lt;&gt;""0"", ""0"" &amp; converted, REGEXREPL"&amp;"ACE(converted , ""\s"", """")) ) ) ) )"),"09182766454")</f>
        <v>09182766454</v>
      </c>
      <c r="E1580" s="196" t="s">
        <v>17</v>
      </c>
      <c r="F1580" s="197">
        <v>12.0</v>
      </c>
      <c r="G1580" s="193"/>
      <c r="H1580" s="212" t="s">
        <v>6646</v>
      </c>
      <c r="I1580" s="217"/>
      <c r="J1580" s="217"/>
      <c r="K1580" s="199" t="s">
        <v>3459</v>
      </c>
      <c r="L1580" s="199" t="s">
        <v>304</v>
      </c>
      <c r="M1580" s="199"/>
      <c r="N1580" s="199"/>
      <c r="O1580" s="212" t="s">
        <v>6643</v>
      </c>
      <c r="P1580" s="193"/>
      <c r="Q1580" s="218" t="s">
        <v>6067</v>
      </c>
      <c r="R1580" s="86"/>
      <c r="S1580" s="114">
        <f t="shared" ref="S1580:T1580" si="1581">A1580</f>
        <v>1580</v>
      </c>
      <c r="T1580" s="114" t="str">
        <f t="shared" si="1581"/>
        <v>محمدحسن بیات</v>
      </c>
      <c r="U1580" s="86" t="str">
        <f t="shared" si="3"/>
        <v>09182766454</v>
      </c>
      <c r="V1580" s="86" t="str">
        <f t="shared" si="4"/>
        <v>پیش‌وایی 12</v>
      </c>
      <c r="W1580" s="86"/>
      <c r="X1580" s="86"/>
    </row>
    <row r="1581">
      <c r="A1581" s="201">
        <v>1581.0</v>
      </c>
      <c r="B1581" s="202" t="s">
        <v>6647</v>
      </c>
      <c r="C1581" s="203" t="s">
        <v>6648</v>
      </c>
      <c r="D1581" s="204" t="str">
        <f>IFERROR(__xludf.DUMMYFUNCTION("ARRAYFORMULA(LET( converted, SUBSTITUTE( SUBSTITUTE( SUBSTITUTE( SUBSTITUTE( SUBSTITUTE( SUBSTITUTE( SUBSTITUTE( SUBSTITUTE( SUBSTITUTE( SUBSTITUTE( C1581, ""۰"", ""0""), ""۱"", ""1""), ""۲"", ""2""), ""۳"", ""3""), ""۴"", ""4""), ""۵"", ""5""), ""۶"", """&amp;"6""), ""۷"", ""7""), ""۸"", ""8""), ""۹"", ""9""), IF(LEFT(converted,3)=""+98"", ""0"" &amp; RIGHT(converted, LEN(converted)-3), IF(LEFT(converted,2)=""98"", ""0"" &amp; RIGHT(converted, LEN(converted)-2), IF(LEFT(converted,1)&lt;&gt;""0"", ""0"" &amp; converted, REGEXREPL"&amp;"ACE(converted , ""\s"", """")) ) ) ) )"),"09192052370")</f>
        <v>09192052370</v>
      </c>
      <c r="E1581" s="205" t="s">
        <v>17</v>
      </c>
      <c r="F1581" s="206">
        <v>12.0</v>
      </c>
      <c r="G1581" s="202"/>
      <c r="H1581" s="213" t="s">
        <v>6649</v>
      </c>
      <c r="I1581" s="215"/>
      <c r="J1581" s="215"/>
      <c r="K1581" s="207" t="s">
        <v>2264</v>
      </c>
      <c r="L1581" s="207" t="s">
        <v>6650</v>
      </c>
      <c r="M1581" s="207"/>
      <c r="N1581" s="207"/>
      <c r="O1581" s="207" t="s">
        <v>6651</v>
      </c>
      <c r="P1581" s="202"/>
      <c r="Q1581" s="216" t="s">
        <v>6067</v>
      </c>
      <c r="R1581" s="86"/>
      <c r="S1581" s="114">
        <f t="shared" ref="S1581:T1581" si="1582">A1581</f>
        <v>1581</v>
      </c>
      <c r="T1581" s="114" t="str">
        <f t="shared" si="1582"/>
        <v>یوسف غیاثوند</v>
      </c>
      <c r="U1581" s="86" t="str">
        <f t="shared" si="3"/>
        <v>09192052370</v>
      </c>
      <c r="V1581" s="86" t="str">
        <f t="shared" si="4"/>
        <v>پیش‌وایی 12</v>
      </c>
      <c r="W1581" s="86"/>
      <c r="X1581" s="86"/>
    </row>
    <row r="1582">
      <c r="A1582" s="192">
        <v>1582.0</v>
      </c>
      <c r="B1582" s="193" t="s">
        <v>6652</v>
      </c>
      <c r="C1582" s="194" t="s">
        <v>6653</v>
      </c>
      <c r="D1582" s="195" t="str">
        <f>IFERROR(__xludf.DUMMYFUNCTION("ARRAYFORMULA(LET( converted, SUBSTITUTE( SUBSTITUTE( SUBSTITUTE( SUBSTITUTE( SUBSTITUTE( SUBSTITUTE( SUBSTITUTE( SUBSTITUTE( SUBSTITUTE( SUBSTITUTE( C1582, ""۰"", ""0""), ""۱"", ""1""), ""۲"", ""2""), ""۳"", ""3""), ""۴"", ""4""), ""۵"", ""5""), ""۶"", """&amp;"6""), ""۷"", ""7""), ""۸"", ""8""), ""۹"", ""9""), IF(LEFT(converted,3)=""+98"", ""0"" &amp; RIGHT(converted, LEN(converted)-3), IF(LEFT(converted,2)=""98"", ""0"" &amp; RIGHT(converted, LEN(converted)-2), IF(LEFT(converted,1)&lt;&gt;""0"", ""0"" &amp; converted, REGEXREPL"&amp;"ACE(converted , ""\s"", """")) ) ) ) )"),"09902232636")</f>
        <v>09902232636</v>
      </c>
      <c r="E1582" s="196" t="s">
        <v>17</v>
      </c>
      <c r="F1582" s="197">
        <v>12.0</v>
      </c>
      <c r="G1582" s="193"/>
      <c r="H1582" s="212" t="s">
        <v>6654</v>
      </c>
      <c r="I1582" s="217"/>
      <c r="J1582" s="217"/>
      <c r="K1582" s="199" t="s">
        <v>804</v>
      </c>
      <c r="L1582" s="199" t="s">
        <v>6655</v>
      </c>
      <c r="M1582" s="199"/>
      <c r="N1582" s="199"/>
      <c r="O1582" s="199" t="s">
        <v>6651</v>
      </c>
      <c r="P1582" s="193"/>
      <c r="Q1582" s="218" t="s">
        <v>6067</v>
      </c>
      <c r="R1582" s="86"/>
      <c r="S1582" s="114">
        <f t="shared" ref="S1582:T1582" si="1583">A1582</f>
        <v>1582</v>
      </c>
      <c r="T1582" s="114" t="str">
        <f t="shared" si="1583"/>
        <v>نیلوفر افخمی</v>
      </c>
      <c r="U1582" s="86" t="str">
        <f t="shared" si="3"/>
        <v>09902232636</v>
      </c>
      <c r="V1582" s="86" t="str">
        <f t="shared" si="4"/>
        <v>پیش‌وایی 12</v>
      </c>
      <c r="W1582" s="86"/>
      <c r="X1582" s="86"/>
    </row>
    <row r="1583">
      <c r="A1583" s="201">
        <v>1583.0</v>
      </c>
      <c r="B1583" s="202" t="s">
        <v>6656</v>
      </c>
      <c r="C1583" s="203" t="s">
        <v>6657</v>
      </c>
      <c r="D1583" s="204" t="str">
        <f>IFERROR(__xludf.DUMMYFUNCTION("ARRAYFORMULA(LET( converted, SUBSTITUTE( SUBSTITUTE( SUBSTITUTE( SUBSTITUTE( SUBSTITUTE( SUBSTITUTE( SUBSTITUTE( SUBSTITUTE( SUBSTITUTE( SUBSTITUTE( C1583, ""۰"", ""0""), ""۱"", ""1""), ""۲"", ""2""), ""۳"", ""3""), ""۴"", ""4""), ""۵"", ""5""), ""۶"", """&amp;"6""), ""۷"", ""7""), ""۸"", ""8""), ""۹"", ""9""), IF(LEFT(converted,3)=""+98"", ""0"" &amp; RIGHT(converted, LEN(converted)-3), IF(LEFT(converted,2)=""98"", ""0"" &amp; RIGHT(converted, LEN(converted)-2), IF(LEFT(converted,1)&lt;&gt;""0"", ""0"" &amp; converted, REGEXREPL"&amp;"ACE(converted , ""\s"", """")) ) ) ) )"),"09100151506")</f>
        <v>09100151506</v>
      </c>
      <c r="E1583" s="205" t="s">
        <v>17</v>
      </c>
      <c r="F1583" s="206">
        <v>12.0</v>
      </c>
      <c r="G1583" s="202"/>
      <c r="H1583" s="213" t="s">
        <v>6658</v>
      </c>
      <c r="I1583" s="215"/>
      <c r="J1583" s="215"/>
      <c r="K1583" s="207" t="s">
        <v>6659</v>
      </c>
      <c r="L1583" s="207" t="s">
        <v>2201</v>
      </c>
      <c r="M1583" s="207"/>
      <c r="N1583" s="207"/>
      <c r="O1583" s="207" t="s">
        <v>6066</v>
      </c>
      <c r="P1583" s="202"/>
      <c r="Q1583" s="216" t="s">
        <v>6067</v>
      </c>
      <c r="R1583" s="86"/>
      <c r="S1583" s="114">
        <f t="shared" ref="S1583:T1583" si="1584">A1583</f>
        <v>1583</v>
      </c>
      <c r="T1583" s="114" t="str">
        <f t="shared" si="1584"/>
        <v>آیسودا هاشمی</v>
      </c>
      <c r="U1583" s="86" t="str">
        <f t="shared" si="3"/>
        <v>09100151506</v>
      </c>
      <c r="V1583" s="86" t="str">
        <f t="shared" si="4"/>
        <v>پیش‌وایی 12</v>
      </c>
      <c r="W1583" s="86"/>
      <c r="X1583" s="86"/>
    </row>
    <row r="1584">
      <c r="A1584" s="192">
        <v>1584.0</v>
      </c>
      <c r="B1584" s="193" t="s">
        <v>6660</v>
      </c>
      <c r="C1584" s="194" t="s">
        <v>6661</v>
      </c>
      <c r="D1584" s="195" t="str">
        <f>IFERROR(__xludf.DUMMYFUNCTION("ARRAYFORMULA(LET( converted, SUBSTITUTE( SUBSTITUTE( SUBSTITUTE( SUBSTITUTE( SUBSTITUTE( SUBSTITUTE( SUBSTITUTE( SUBSTITUTE( SUBSTITUTE( SUBSTITUTE( C1584, ""۰"", ""0""), ""۱"", ""1""), ""۲"", ""2""), ""۳"", ""3""), ""۴"", ""4""), ""۵"", ""5""), ""۶"", """&amp;"6""), ""۷"", ""7""), ""۸"", ""8""), ""۹"", ""9""), IF(LEFT(converted,3)=""+98"", ""0"" &amp; RIGHT(converted, LEN(converted)-3), IF(LEFT(converted,2)=""98"", ""0"" &amp; RIGHT(converted, LEN(converted)-2), IF(LEFT(converted,1)&lt;&gt;""0"", ""0"" &amp; converted, REGEXREPL"&amp;"ACE(converted , ""\s"", """")) ) ) ) )"),"09142473903")</f>
        <v>09142473903</v>
      </c>
      <c r="E1584" s="196" t="s">
        <v>17</v>
      </c>
      <c r="F1584" s="197">
        <v>12.0</v>
      </c>
      <c r="G1584" s="193"/>
      <c r="H1584" s="212" t="s">
        <v>6662</v>
      </c>
      <c r="I1584" s="217"/>
      <c r="J1584" s="217"/>
      <c r="K1584" s="199" t="s">
        <v>3666</v>
      </c>
      <c r="L1584" s="199" t="s">
        <v>6663</v>
      </c>
      <c r="M1584" s="199"/>
      <c r="N1584" s="199"/>
      <c r="O1584" s="199" t="s">
        <v>6066</v>
      </c>
      <c r="P1584" s="193"/>
      <c r="Q1584" s="218" t="s">
        <v>6067</v>
      </c>
      <c r="R1584" s="86"/>
      <c r="S1584" s="114">
        <f t="shared" ref="S1584:T1584" si="1585">A1584</f>
        <v>1584</v>
      </c>
      <c r="T1584" s="114" t="str">
        <f t="shared" si="1585"/>
        <v>پویا عدالتی</v>
      </c>
      <c r="U1584" s="86" t="str">
        <f t="shared" si="3"/>
        <v>09142473903</v>
      </c>
      <c r="V1584" s="86" t="str">
        <f t="shared" si="4"/>
        <v>پیش‌وایی 12</v>
      </c>
      <c r="W1584" s="86"/>
      <c r="X1584" s="86"/>
    </row>
    <row r="1585">
      <c r="A1585" s="201">
        <v>1585.0</v>
      </c>
      <c r="B1585" s="202" t="s">
        <v>6664</v>
      </c>
      <c r="C1585" s="203" t="s">
        <v>6665</v>
      </c>
      <c r="D1585" s="204" t="str">
        <f>IFERROR(__xludf.DUMMYFUNCTION("ARRAYFORMULA(LET( converted, SUBSTITUTE( SUBSTITUTE( SUBSTITUTE( SUBSTITUTE( SUBSTITUTE( SUBSTITUTE( SUBSTITUTE( SUBSTITUTE( SUBSTITUTE( SUBSTITUTE( C1585, ""۰"", ""0""), ""۱"", ""1""), ""۲"", ""2""), ""۳"", ""3""), ""۴"", ""4""), ""۵"", ""5""), ""۶"", """&amp;"6""), ""۷"", ""7""), ""۸"", ""8""), ""۹"", ""9""), IF(LEFT(converted,3)=""+98"", ""0"" &amp; RIGHT(converted, LEN(converted)-3), IF(LEFT(converted,2)=""98"", ""0"" &amp; RIGHT(converted, LEN(converted)-2), IF(LEFT(converted,1)&lt;&gt;""0"", ""0"" &amp; converted, REGEXREPL"&amp;"ACE(converted , ""\s"", """")) ) ) ) )"),"09124752247")</f>
        <v>09124752247</v>
      </c>
      <c r="E1585" s="205" t="s">
        <v>17</v>
      </c>
      <c r="F1585" s="206">
        <v>12.0</v>
      </c>
      <c r="G1585" s="202"/>
      <c r="H1585" s="213" t="s">
        <v>6666</v>
      </c>
      <c r="I1585" s="215"/>
      <c r="J1585" s="215"/>
      <c r="K1585" s="207" t="s">
        <v>6667</v>
      </c>
      <c r="L1585" s="207" t="s">
        <v>6668</v>
      </c>
      <c r="M1585" s="207"/>
      <c r="N1585" s="207"/>
      <c r="O1585" s="207" t="s">
        <v>6066</v>
      </c>
      <c r="P1585" s="202"/>
      <c r="Q1585" s="216" t="s">
        <v>6067</v>
      </c>
      <c r="R1585" s="86"/>
      <c r="S1585" s="114">
        <f t="shared" ref="S1585:T1585" si="1586">A1585</f>
        <v>1585</v>
      </c>
      <c r="T1585" s="114" t="str">
        <f t="shared" si="1586"/>
        <v>سید محسن رهبرنیا</v>
      </c>
      <c r="U1585" s="86" t="str">
        <f t="shared" si="3"/>
        <v>09124752247</v>
      </c>
      <c r="V1585" s="86" t="str">
        <f t="shared" si="4"/>
        <v>پیش‌وایی 12</v>
      </c>
      <c r="W1585" s="86"/>
      <c r="X1585" s="86"/>
    </row>
    <row r="1586">
      <c r="A1586" s="192">
        <v>1586.0</v>
      </c>
      <c r="B1586" s="193" t="s">
        <v>6669</v>
      </c>
      <c r="C1586" s="194" t="s">
        <v>6670</v>
      </c>
      <c r="D1586" s="195" t="str">
        <f>IFERROR(__xludf.DUMMYFUNCTION("ARRAYFORMULA(LET( converted, SUBSTITUTE( SUBSTITUTE( SUBSTITUTE( SUBSTITUTE( SUBSTITUTE( SUBSTITUTE( SUBSTITUTE( SUBSTITUTE( SUBSTITUTE( SUBSTITUTE( C1586, ""۰"", ""0""), ""۱"", ""1""), ""۲"", ""2""), ""۳"", ""3""), ""۴"", ""4""), ""۵"", ""5""), ""۶"", """&amp;"6""), ""۷"", ""7""), ""۸"", ""8""), ""۹"", ""9""), IF(LEFT(converted,3)=""+98"", ""0"" &amp; RIGHT(converted, LEN(converted)-3), IF(LEFT(converted,2)=""98"", ""0"" &amp; RIGHT(converted, LEN(converted)-2), IF(LEFT(converted,1)&lt;&gt;""0"", ""0"" &amp; converted, REGEXREPL"&amp;"ACE(converted , ""\s"", """")) ) ) ) )"),"09916699551")</f>
        <v>09916699551</v>
      </c>
      <c r="E1586" s="196" t="s">
        <v>17</v>
      </c>
      <c r="F1586" s="197">
        <v>12.0</v>
      </c>
      <c r="G1586" s="193"/>
      <c r="H1586" s="212" t="s">
        <v>6671</v>
      </c>
      <c r="I1586" s="217"/>
      <c r="J1586" s="217"/>
      <c r="K1586" s="199" t="s">
        <v>1018</v>
      </c>
      <c r="L1586" s="199" t="s">
        <v>6672</v>
      </c>
      <c r="M1586" s="199"/>
      <c r="N1586" s="199"/>
      <c r="O1586" s="199" t="s">
        <v>26</v>
      </c>
      <c r="P1586" s="193"/>
      <c r="Q1586" s="218" t="s">
        <v>6067</v>
      </c>
      <c r="R1586" s="86"/>
      <c r="S1586" s="114">
        <f t="shared" ref="S1586:T1586" si="1587">A1586</f>
        <v>1586</v>
      </c>
      <c r="T1586" s="114" t="str">
        <f t="shared" si="1587"/>
        <v>علی یوسفی‌فر</v>
      </c>
      <c r="U1586" s="86" t="str">
        <f t="shared" si="3"/>
        <v>09916699551</v>
      </c>
      <c r="V1586" s="86" t="str">
        <f t="shared" si="4"/>
        <v>پیش‌وایی 12</v>
      </c>
      <c r="W1586" s="86"/>
      <c r="X1586" s="86"/>
    </row>
    <row r="1587">
      <c r="A1587" s="201">
        <v>1587.0</v>
      </c>
      <c r="B1587" s="202" t="s">
        <v>6673</v>
      </c>
      <c r="C1587" s="203" t="s">
        <v>6674</v>
      </c>
      <c r="D1587" s="204" t="str">
        <f>IFERROR(__xludf.DUMMYFUNCTION("ARRAYFORMULA(LET( converted, SUBSTITUTE( SUBSTITUTE( SUBSTITUTE( SUBSTITUTE( SUBSTITUTE( SUBSTITUTE( SUBSTITUTE( SUBSTITUTE( SUBSTITUTE( SUBSTITUTE( C1587, ""۰"", ""0""), ""۱"", ""1""), ""۲"", ""2""), ""۳"", ""3""), ""۴"", ""4""), ""۵"", ""5""), ""۶"", """&amp;"6""), ""۷"", ""7""), ""۸"", ""8""), ""۹"", ""9""), IF(LEFT(converted,3)=""+98"", ""0"" &amp; RIGHT(converted, LEN(converted)-3), IF(LEFT(converted,2)=""98"", ""0"" &amp; RIGHT(converted, LEN(converted)-2), IF(LEFT(converted,1)&lt;&gt;""0"", ""0"" &amp; converted, REGEXREPL"&amp;"ACE(converted , ""\s"", """")) ) ) ) )"),"09124017409")</f>
        <v>09124017409</v>
      </c>
      <c r="E1587" s="205" t="s">
        <v>17</v>
      </c>
      <c r="F1587" s="206">
        <v>12.0</v>
      </c>
      <c r="G1587" s="202"/>
      <c r="H1587" s="213" t="s">
        <v>6675</v>
      </c>
      <c r="I1587" s="215"/>
      <c r="J1587" s="215"/>
      <c r="K1587" s="207" t="s">
        <v>2222</v>
      </c>
      <c r="L1587" s="207" t="s">
        <v>6676</v>
      </c>
      <c r="M1587" s="207"/>
      <c r="N1587" s="207"/>
      <c r="O1587" s="207" t="s">
        <v>6066</v>
      </c>
      <c r="P1587" s="202"/>
      <c r="Q1587" s="216" t="s">
        <v>6067</v>
      </c>
      <c r="R1587" s="86"/>
      <c r="S1587" s="114">
        <f t="shared" ref="S1587:T1587" si="1588">A1587</f>
        <v>1587</v>
      </c>
      <c r="T1587" s="114" t="str">
        <f t="shared" si="1588"/>
        <v>نازنین علی اکبرزاده خویشی</v>
      </c>
      <c r="U1587" s="86" t="str">
        <f t="shared" si="3"/>
        <v>09124017409</v>
      </c>
      <c r="V1587" s="86" t="str">
        <f t="shared" si="4"/>
        <v>پیش‌وایی 12</v>
      </c>
      <c r="W1587" s="86"/>
      <c r="X1587" s="86"/>
    </row>
    <row r="1588">
      <c r="A1588" s="192">
        <v>1588.0</v>
      </c>
      <c r="B1588" s="193" t="s">
        <v>5646</v>
      </c>
      <c r="C1588" s="194" t="s">
        <v>6677</v>
      </c>
      <c r="D1588" s="195" t="str">
        <f>IFERROR(__xludf.DUMMYFUNCTION("ARRAYFORMULA(LET( converted, SUBSTITUTE( SUBSTITUTE( SUBSTITUTE( SUBSTITUTE( SUBSTITUTE( SUBSTITUTE( SUBSTITUTE( SUBSTITUTE( SUBSTITUTE( SUBSTITUTE( C1588, ""۰"", ""0""), ""۱"", ""1""), ""۲"", ""2""), ""۳"", ""3""), ""۴"", ""4""), ""۵"", ""5""), ""۶"", """&amp;"6""), ""۷"", ""7""), ""۸"", ""8""), ""۹"", ""9""), IF(LEFT(converted,3)=""+98"", ""0"" &amp; RIGHT(converted, LEN(converted)-3), IF(LEFT(converted,2)=""98"", ""0"" &amp; RIGHT(converted, LEN(converted)-2), IF(LEFT(converted,1)&lt;&gt;""0"", ""0"" &amp; converted, REGEXREPL"&amp;"ACE(converted , ""\s"", """")) ) ) ) )"),"09360565553")</f>
        <v>09360565553</v>
      </c>
      <c r="E1588" s="196" t="s">
        <v>17</v>
      </c>
      <c r="F1588" s="197">
        <v>12.0</v>
      </c>
      <c r="G1588" s="193"/>
      <c r="H1588" s="212" t="s">
        <v>6678</v>
      </c>
      <c r="I1588" s="217"/>
      <c r="J1588" s="217"/>
      <c r="K1588" s="199" t="s">
        <v>1018</v>
      </c>
      <c r="L1588" s="199" t="s">
        <v>1012</v>
      </c>
      <c r="M1588" s="199"/>
      <c r="N1588" s="199"/>
      <c r="O1588" s="199" t="s">
        <v>6066</v>
      </c>
      <c r="P1588" s="193"/>
      <c r="Q1588" s="218" t="s">
        <v>6067</v>
      </c>
      <c r="R1588" s="86"/>
      <c r="S1588" s="114">
        <f t="shared" ref="S1588:T1588" si="1589">A1588</f>
        <v>1588</v>
      </c>
      <c r="T1588" s="114" t="str">
        <f t="shared" si="1589"/>
        <v>علی محمدی</v>
      </c>
      <c r="U1588" s="86" t="str">
        <f t="shared" si="3"/>
        <v>09360565553</v>
      </c>
      <c r="V1588" s="86" t="str">
        <f t="shared" si="4"/>
        <v>پیش‌وایی 12</v>
      </c>
      <c r="W1588" s="86"/>
      <c r="X1588" s="86"/>
    </row>
    <row r="1589">
      <c r="A1589" s="201">
        <v>1589.0</v>
      </c>
      <c r="B1589" s="202" t="s">
        <v>6679</v>
      </c>
      <c r="C1589" s="203" t="s">
        <v>6680</v>
      </c>
      <c r="D1589" s="204" t="str">
        <f>IFERROR(__xludf.DUMMYFUNCTION("ARRAYFORMULA(LET( converted, SUBSTITUTE( SUBSTITUTE( SUBSTITUTE( SUBSTITUTE( SUBSTITUTE( SUBSTITUTE( SUBSTITUTE( SUBSTITUTE( SUBSTITUTE( SUBSTITUTE( C1589, ""۰"", ""0""), ""۱"", ""1""), ""۲"", ""2""), ""۳"", ""3""), ""۴"", ""4""), ""۵"", ""5""), ""۶"", """&amp;"6""), ""۷"", ""7""), ""۸"", ""8""), ""۹"", ""9""), IF(LEFT(converted,3)=""+98"", ""0"" &amp; RIGHT(converted, LEN(converted)-3), IF(LEFT(converted,2)=""98"", ""0"" &amp; RIGHT(converted, LEN(converted)-2), IF(LEFT(converted,1)&lt;&gt;""0"", ""0"" &amp; converted, REGEXREPL"&amp;"ACE(converted , ""\s"", """")) ) ) ) )"),"09170659534")</f>
        <v>09170659534</v>
      </c>
      <c r="E1589" s="205" t="s">
        <v>17</v>
      </c>
      <c r="F1589" s="206">
        <v>12.0</v>
      </c>
      <c r="G1589" s="202"/>
      <c r="H1589" s="213" t="s">
        <v>6681</v>
      </c>
      <c r="I1589" s="215"/>
      <c r="J1589" s="215"/>
      <c r="K1589" s="207" t="s">
        <v>896</v>
      </c>
      <c r="L1589" s="207" t="s">
        <v>775</v>
      </c>
      <c r="M1589" s="207"/>
      <c r="N1589" s="207"/>
      <c r="O1589" s="207" t="s">
        <v>6066</v>
      </c>
      <c r="P1589" s="202"/>
      <c r="Q1589" s="216" t="s">
        <v>6067</v>
      </c>
      <c r="R1589" s="86"/>
      <c r="S1589" s="114">
        <f t="shared" ref="S1589:T1589" si="1590">A1589</f>
        <v>1589</v>
      </c>
      <c r="T1589" s="114" t="str">
        <f t="shared" si="1590"/>
        <v>حسین ناصری</v>
      </c>
      <c r="U1589" s="86" t="str">
        <f t="shared" si="3"/>
        <v>09170659534</v>
      </c>
      <c r="V1589" s="86" t="str">
        <f t="shared" si="4"/>
        <v>پیش‌وایی 12</v>
      </c>
      <c r="W1589" s="86"/>
      <c r="X1589" s="86"/>
    </row>
    <row r="1590">
      <c r="A1590" s="192">
        <v>1590.0</v>
      </c>
      <c r="B1590" s="193" t="s">
        <v>6682</v>
      </c>
      <c r="C1590" s="194" t="s">
        <v>6683</v>
      </c>
      <c r="D1590" s="195" t="str">
        <f>IFERROR(__xludf.DUMMYFUNCTION("ARRAYFORMULA(LET( converted, SUBSTITUTE( SUBSTITUTE( SUBSTITUTE( SUBSTITUTE( SUBSTITUTE( SUBSTITUTE( SUBSTITUTE( SUBSTITUTE( SUBSTITUTE( SUBSTITUTE( C1590, ""۰"", ""0""), ""۱"", ""1""), ""۲"", ""2""), ""۳"", ""3""), ""۴"", ""4""), ""۵"", ""5""), ""۶"", """&amp;"6""), ""۷"", ""7""), ""۸"", ""8""), ""۹"", ""9""), IF(LEFT(converted,3)=""+98"", ""0"" &amp; RIGHT(converted, LEN(converted)-3), IF(LEFT(converted,2)=""98"", ""0"" &amp; RIGHT(converted, LEN(converted)-2), IF(LEFT(converted,1)&lt;&gt;""0"", ""0"" &amp; converted, REGEXREPL"&amp;"ACE(converted , ""\s"", """")) ) ) ) )"),"09376290194")</f>
        <v>09376290194</v>
      </c>
      <c r="E1590" s="196" t="s">
        <v>17</v>
      </c>
      <c r="F1590" s="197">
        <v>12.0</v>
      </c>
      <c r="G1590" s="193"/>
      <c r="H1590" s="212" t="s">
        <v>6684</v>
      </c>
      <c r="I1590" s="217"/>
      <c r="J1590" s="217"/>
      <c r="K1590" s="199" t="s">
        <v>1398</v>
      </c>
      <c r="L1590" s="199" t="s">
        <v>6685</v>
      </c>
      <c r="M1590" s="199"/>
      <c r="N1590" s="199"/>
      <c r="O1590" s="199" t="s">
        <v>6616</v>
      </c>
      <c r="P1590" s="193"/>
      <c r="Q1590" s="218" t="s">
        <v>6067</v>
      </c>
      <c r="R1590" s="86"/>
      <c r="S1590" s="114">
        <f t="shared" ref="S1590:T1590" si="1591">A1590</f>
        <v>1590</v>
      </c>
      <c r="T1590" s="114" t="str">
        <f t="shared" si="1591"/>
        <v>زهرا زمانی فرادنبه</v>
      </c>
      <c r="U1590" s="86" t="str">
        <f t="shared" si="3"/>
        <v>09376290194</v>
      </c>
      <c r="V1590" s="86" t="str">
        <f t="shared" si="4"/>
        <v>پیش‌وایی 12</v>
      </c>
      <c r="W1590" s="86"/>
      <c r="X1590" s="86"/>
    </row>
    <row r="1591">
      <c r="A1591" s="201">
        <v>1591.0</v>
      </c>
      <c r="B1591" s="202" t="s">
        <v>6686</v>
      </c>
      <c r="C1591" s="203" t="s">
        <v>6687</v>
      </c>
      <c r="D1591" s="204" t="str">
        <f>IFERROR(__xludf.DUMMYFUNCTION("ARRAYFORMULA(LET( converted, SUBSTITUTE( SUBSTITUTE( SUBSTITUTE( SUBSTITUTE( SUBSTITUTE( SUBSTITUTE( SUBSTITUTE( SUBSTITUTE( SUBSTITUTE( SUBSTITUTE( C1591, ""۰"", ""0""), ""۱"", ""1""), ""۲"", ""2""), ""۳"", ""3""), ""۴"", ""4""), ""۵"", ""5""), ""۶"", """&amp;"6""), ""۷"", ""7""), ""۸"", ""8""), ""۹"", ""9""), IF(LEFT(converted,3)=""+98"", ""0"" &amp; RIGHT(converted, LEN(converted)-3), IF(LEFT(converted,2)=""98"", ""0"" &amp; RIGHT(converted, LEN(converted)-2), IF(LEFT(converted,1)&lt;&gt;""0"", ""0"" &amp; converted, REGEXREPL"&amp;"ACE(converted , ""\s"", """")) ) ) ) )"),"09928504813")</f>
        <v>09928504813</v>
      </c>
      <c r="E1591" s="205" t="s">
        <v>17</v>
      </c>
      <c r="F1591" s="206">
        <v>12.0</v>
      </c>
      <c r="G1591" s="202"/>
      <c r="H1591" s="213" t="s">
        <v>6688</v>
      </c>
      <c r="I1591" s="215"/>
      <c r="J1591" s="215"/>
      <c r="K1591" s="207" t="s">
        <v>1491</v>
      </c>
      <c r="L1591" s="207" t="s">
        <v>6689</v>
      </c>
      <c r="M1591" s="207"/>
      <c r="N1591" s="207"/>
      <c r="O1591" s="207" t="s">
        <v>6616</v>
      </c>
      <c r="P1591" s="202"/>
      <c r="Q1591" s="216" t="s">
        <v>6067</v>
      </c>
      <c r="R1591" s="86"/>
      <c r="S1591" s="114">
        <f t="shared" ref="S1591:T1591" si="1592">A1591</f>
        <v>1591</v>
      </c>
      <c r="T1591" s="114" t="str">
        <f t="shared" si="1592"/>
        <v>رحیم حیدری اشکذری</v>
      </c>
      <c r="U1591" s="86" t="str">
        <f t="shared" si="3"/>
        <v>09928504813</v>
      </c>
      <c r="V1591" s="86" t="str">
        <f t="shared" si="4"/>
        <v>پیش‌وایی 12</v>
      </c>
      <c r="W1591" s="86"/>
      <c r="X1591" s="86"/>
    </row>
    <row r="1592">
      <c r="A1592" s="192">
        <v>1592.0</v>
      </c>
      <c r="B1592" s="193" t="s">
        <v>6690</v>
      </c>
      <c r="C1592" s="219" t="s">
        <v>6691</v>
      </c>
      <c r="D1592" s="195" t="str">
        <f>IFERROR(__xludf.DUMMYFUNCTION("ARRAYFORMULA(LET( converted, SUBSTITUTE( SUBSTITUTE( SUBSTITUTE( SUBSTITUTE( SUBSTITUTE( SUBSTITUTE( SUBSTITUTE( SUBSTITUTE( SUBSTITUTE( SUBSTITUTE( C1592, ""۰"", ""0""), ""۱"", ""1""), ""۲"", ""2""), ""۳"", ""3""), ""۴"", ""4""), ""۵"", ""5""), ""۶"", """&amp;"6""), ""۷"", ""7""), ""۸"", ""8""), ""۹"", ""9""), IF(LEFT(converted,3)=""+98"", ""0"" &amp; RIGHT(converted, LEN(converted)-3), IF(LEFT(converted,2)=""98"", ""0"" &amp; RIGHT(converted, LEN(converted)-2), IF(LEFT(converted,1)&lt;&gt;""0"", ""0"" &amp; converted, REGEXREPL"&amp;"ACE(converted , ""\s"", """")) ) ) ) )"),"09052950704")</f>
        <v>09052950704</v>
      </c>
      <c r="E1592" s="196" t="s">
        <v>17</v>
      </c>
      <c r="F1592" s="197">
        <v>12.0</v>
      </c>
      <c r="G1592" s="193"/>
      <c r="H1592" s="212" t="s">
        <v>6692</v>
      </c>
      <c r="I1592" s="217"/>
      <c r="J1592" s="217"/>
      <c r="K1592" s="199" t="s">
        <v>1473</v>
      </c>
      <c r="L1592" s="199" t="s">
        <v>6693</v>
      </c>
      <c r="M1592" s="199"/>
      <c r="N1592" s="199"/>
      <c r="O1592" s="199" t="s">
        <v>6616</v>
      </c>
      <c r="P1592" s="193"/>
      <c r="Q1592" s="218" t="s">
        <v>6067</v>
      </c>
      <c r="R1592" s="86"/>
      <c r="S1592" s="114">
        <f t="shared" ref="S1592:T1592" si="1593">A1592</f>
        <v>1592</v>
      </c>
      <c r="T1592" s="114" t="str">
        <f t="shared" si="1593"/>
        <v>مصطفی شیروانی</v>
      </c>
      <c r="U1592" s="86" t="str">
        <f t="shared" si="3"/>
        <v>09052950704</v>
      </c>
      <c r="V1592" s="86" t="str">
        <f t="shared" si="4"/>
        <v>پیش‌وایی 12</v>
      </c>
      <c r="W1592" s="86"/>
      <c r="X1592" s="86"/>
    </row>
    <row r="1593">
      <c r="A1593" s="201">
        <v>1593.0</v>
      </c>
      <c r="B1593" s="202" t="s">
        <v>6694</v>
      </c>
      <c r="C1593" s="220" t="s">
        <v>6695</v>
      </c>
      <c r="D1593" s="204" t="str">
        <f>IFERROR(__xludf.DUMMYFUNCTION("ARRAYFORMULA(LET( converted, SUBSTITUTE( SUBSTITUTE( SUBSTITUTE( SUBSTITUTE( SUBSTITUTE( SUBSTITUTE( SUBSTITUTE( SUBSTITUTE( SUBSTITUTE( SUBSTITUTE( C1593, ""۰"", ""0""), ""۱"", ""1""), ""۲"", ""2""), ""۳"", ""3""), ""۴"", ""4""), ""۵"", ""5""), ""۶"", """&amp;"6""), ""۷"", ""7""), ""۸"", ""8""), ""۹"", ""9""), IF(LEFT(converted,3)=""+98"", ""0"" &amp; RIGHT(converted, LEN(converted)-3), IF(LEFT(converted,2)=""98"", ""0"" &amp; RIGHT(converted, LEN(converted)-2), IF(LEFT(converted,1)&lt;&gt;""0"", ""0"" &amp; converted, REGEXREPL"&amp;"ACE(converted , ""\s"", """")) ) ) ) )"),"09202904220")</f>
        <v>09202904220</v>
      </c>
      <c r="E1593" s="205" t="s">
        <v>17</v>
      </c>
      <c r="F1593" s="206">
        <v>12.0</v>
      </c>
      <c r="G1593" s="202"/>
      <c r="H1593" s="213" t="s">
        <v>6696</v>
      </c>
      <c r="I1593" s="215"/>
      <c r="J1593" s="215"/>
      <c r="K1593" s="207" t="s">
        <v>1466</v>
      </c>
      <c r="L1593" s="207" t="s">
        <v>6697</v>
      </c>
      <c r="M1593" s="207"/>
      <c r="N1593" s="207"/>
      <c r="O1593" s="207" t="s">
        <v>6616</v>
      </c>
      <c r="P1593" s="202"/>
      <c r="Q1593" s="216" t="s">
        <v>6067</v>
      </c>
      <c r="R1593" s="86"/>
      <c r="S1593" s="114">
        <f t="shared" ref="S1593:T1593" si="1594">A1593</f>
        <v>1593</v>
      </c>
      <c r="T1593" s="114" t="str">
        <f t="shared" si="1594"/>
        <v>امیرعلی دولت آبادی</v>
      </c>
      <c r="U1593" s="86" t="str">
        <f t="shared" si="3"/>
        <v>09202904220</v>
      </c>
      <c r="V1593" s="86" t="str">
        <f t="shared" si="4"/>
        <v>پیش‌وایی 12</v>
      </c>
      <c r="W1593" s="86"/>
      <c r="X1593" s="86"/>
    </row>
    <row r="1594">
      <c r="A1594" s="192">
        <v>1594.0</v>
      </c>
      <c r="B1594" s="193" t="s">
        <v>6698</v>
      </c>
      <c r="C1594" s="219" t="s">
        <v>6699</v>
      </c>
      <c r="D1594" s="195" t="str">
        <f>IFERROR(__xludf.DUMMYFUNCTION("ARRAYFORMULA(LET( converted, SUBSTITUTE( SUBSTITUTE( SUBSTITUTE( SUBSTITUTE( SUBSTITUTE( SUBSTITUTE( SUBSTITUTE( SUBSTITUTE( SUBSTITUTE( SUBSTITUTE( C1594, ""۰"", ""0""), ""۱"", ""1""), ""۲"", ""2""), ""۳"", ""3""), ""۴"", ""4""), ""۵"", ""5""), ""۶"", """&amp;"6""), ""۷"", ""7""), ""۸"", ""8""), ""۹"", ""9""), IF(LEFT(converted,3)=""+98"", ""0"" &amp; RIGHT(converted, LEN(converted)-3), IF(LEFT(converted,2)=""98"", ""0"" &amp; RIGHT(converted, LEN(converted)-2), IF(LEFT(converted,1)&lt;&gt;""0"", ""0"" &amp; converted, REGEXREPL"&amp;"ACE(converted , ""\s"", """")) ) ) ) )"),"09335056813")</f>
        <v>09335056813</v>
      </c>
      <c r="E1594" s="196" t="s">
        <v>17</v>
      </c>
      <c r="F1594" s="197">
        <v>12.0</v>
      </c>
      <c r="G1594" s="193"/>
      <c r="H1594" s="212" t="s">
        <v>6700</v>
      </c>
      <c r="I1594" s="217"/>
      <c r="J1594" s="217"/>
      <c r="K1594" s="199" t="s">
        <v>2367</v>
      </c>
      <c r="L1594" s="199" t="s">
        <v>2816</v>
      </c>
      <c r="M1594" s="199"/>
      <c r="N1594" s="199"/>
      <c r="O1594" s="199" t="s">
        <v>6616</v>
      </c>
      <c r="P1594" s="193"/>
      <c r="Q1594" s="218" t="s">
        <v>6067</v>
      </c>
      <c r="R1594" s="86"/>
      <c r="S1594" s="114">
        <f t="shared" ref="S1594:T1594" si="1595">A1594</f>
        <v>1594</v>
      </c>
      <c r="T1594" s="114" t="str">
        <f t="shared" si="1595"/>
        <v>سروش رضایی</v>
      </c>
      <c r="U1594" s="86" t="str">
        <f t="shared" si="3"/>
        <v>09335056813</v>
      </c>
      <c r="V1594" s="86" t="str">
        <f t="shared" si="4"/>
        <v>پیش‌وایی 12</v>
      </c>
      <c r="W1594" s="86"/>
      <c r="X1594" s="86"/>
    </row>
    <row r="1595">
      <c r="A1595" s="201">
        <v>1595.0</v>
      </c>
      <c r="B1595" s="202" t="s">
        <v>6701</v>
      </c>
      <c r="C1595" s="220" t="s">
        <v>6702</v>
      </c>
      <c r="D1595" s="204" t="str">
        <f>IFERROR(__xludf.DUMMYFUNCTION("ARRAYFORMULA(LET( converted, SUBSTITUTE( SUBSTITUTE( SUBSTITUTE( SUBSTITUTE( SUBSTITUTE( SUBSTITUTE( SUBSTITUTE( SUBSTITUTE( SUBSTITUTE( SUBSTITUTE( C1595, ""۰"", ""0""), ""۱"", ""1""), ""۲"", ""2""), ""۳"", ""3""), ""۴"", ""4""), ""۵"", ""5""), ""۶"", """&amp;"6""), ""۷"", ""7""), ""۸"", ""8""), ""۹"", ""9""), IF(LEFT(converted,3)=""+98"", ""0"" &amp; RIGHT(converted, LEN(converted)-3), IF(LEFT(converted,2)=""98"", ""0"" &amp; RIGHT(converted, LEN(converted)-2), IF(LEFT(converted,1)&lt;&gt;""0"", ""0"" &amp; converted, REGEXREPL"&amp;"ACE(converted , ""\s"", """")) ) ) ) )"),"09102430816")</f>
        <v>09102430816</v>
      </c>
      <c r="E1595" s="205" t="s">
        <v>17</v>
      </c>
      <c r="F1595" s="206">
        <v>12.0</v>
      </c>
      <c r="G1595" s="202"/>
      <c r="H1595" s="213" t="s">
        <v>6703</v>
      </c>
      <c r="I1595" s="215"/>
      <c r="J1595" s="215"/>
      <c r="K1595" s="207" t="s">
        <v>1876</v>
      </c>
      <c r="L1595" s="207" t="s">
        <v>333</v>
      </c>
      <c r="M1595" s="207"/>
      <c r="N1595" s="207"/>
      <c r="O1595" s="207" t="s">
        <v>6616</v>
      </c>
      <c r="P1595" s="202"/>
      <c r="Q1595" s="216" t="s">
        <v>6067</v>
      </c>
      <c r="R1595" s="86"/>
      <c r="S1595" s="114">
        <f t="shared" ref="S1595:T1595" si="1596">A1595</f>
        <v>1595</v>
      </c>
      <c r="T1595" s="114" t="str">
        <f t="shared" si="1596"/>
        <v>آیدا عطارد</v>
      </c>
      <c r="U1595" s="86" t="str">
        <f t="shared" si="3"/>
        <v>09102430816</v>
      </c>
      <c r="V1595" s="86" t="str">
        <f t="shared" si="4"/>
        <v>پیش‌وایی 12</v>
      </c>
      <c r="W1595" s="86"/>
      <c r="X1595" s="86"/>
    </row>
    <row r="1596">
      <c r="A1596" s="192">
        <v>1596.0</v>
      </c>
      <c r="B1596" s="193" t="s">
        <v>6704</v>
      </c>
      <c r="C1596" s="219" t="s">
        <v>6705</v>
      </c>
      <c r="D1596" s="195" t="str">
        <f>IFERROR(__xludf.DUMMYFUNCTION("ARRAYFORMULA(LET( converted, SUBSTITUTE( SUBSTITUTE( SUBSTITUTE( SUBSTITUTE( SUBSTITUTE( SUBSTITUTE( SUBSTITUTE( SUBSTITUTE( SUBSTITUTE( SUBSTITUTE( C1596, ""۰"", ""0""), ""۱"", ""1""), ""۲"", ""2""), ""۳"", ""3""), ""۴"", ""4""), ""۵"", ""5""), ""۶"", """&amp;"6""), ""۷"", ""7""), ""۸"", ""8""), ""۹"", ""9""), IF(LEFT(converted,3)=""+98"", ""0"" &amp; RIGHT(converted, LEN(converted)-3), IF(LEFT(converted,2)=""98"", ""0"" &amp; RIGHT(converted, LEN(converted)-2), IF(LEFT(converted,1)&lt;&gt;""0"", ""0"" &amp; converted, REGEXREPL"&amp;"ACE(converted , ""\s"", """")) ) ) ) )"),"09379471803")</f>
        <v>09379471803</v>
      </c>
      <c r="E1596" s="196" t="s">
        <v>17</v>
      </c>
      <c r="F1596" s="197">
        <v>12.0</v>
      </c>
      <c r="G1596" s="193"/>
      <c r="H1596" s="212" t="s">
        <v>6706</v>
      </c>
      <c r="I1596" s="217"/>
      <c r="J1596" s="217"/>
      <c r="K1596" s="199" t="s">
        <v>3789</v>
      </c>
      <c r="L1596" s="199" t="s">
        <v>6707</v>
      </c>
      <c r="M1596" s="199"/>
      <c r="N1596" s="199"/>
      <c r="O1596" s="199" t="s">
        <v>6616</v>
      </c>
      <c r="P1596" s="193"/>
      <c r="Q1596" s="218" t="s">
        <v>6067</v>
      </c>
      <c r="R1596" s="86"/>
      <c r="S1596" s="114">
        <f t="shared" ref="S1596:T1596" si="1597">A1596</f>
        <v>1596</v>
      </c>
      <c r="T1596" s="114" t="str">
        <f t="shared" si="1597"/>
        <v>محمدامین بلوچی</v>
      </c>
      <c r="U1596" s="86" t="str">
        <f t="shared" si="3"/>
        <v>09379471803</v>
      </c>
      <c r="V1596" s="86" t="str">
        <f t="shared" si="4"/>
        <v>پیش‌وایی 12</v>
      </c>
      <c r="W1596" s="86"/>
      <c r="X1596" s="86"/>
    </row>
    <row r="1597">
      <c r="A1597" s="201">
        <v>1597.0</v>
      </c>
      <c r="B1597" s="202" t="s">
        <v>6708</v>
      </c>
      <c r="C1597" s="203" t="s">
        <v>6709</v>
      </c>
      <c r="D1597" s="204" t="str">
        <f>IFERROR(__xludf.DUMMYFUNCTION("ARRAYFORMULA(LET( converted, SUBSTITUTE( SUBSTITUTE( SUBSTITUTE( SUBSTITUTE( SUBSTITUTE( SUBSTITUTE( SUBSTITUTE( SUBSTITUTE( SUBSTITUTE( SUBSTITUTE( C1597, ""۰"", ""0""), ""۱"", ""1""), ""۲"", ""2""), ""۳"", ""3""), ""۴"", ""4""), ""۵"", ""5""), ""۶"", """&amp;"6""), ""۷"", ""7""), ""۸"", ""8""), ""۹"", ""9""), IF(LEFT(converted,3)=""+98"", ""0"" &amp; RIGHT(converted, LEN(converted)-3), IF(LEFT(converted,2)=""98"", ""0"" &amp; RIGHT(converted, LEN(converted)-2), IF(LEFT(converted,1)&lt;&gt;""0"", ""0"" &amp; converted, REGEXREPL"&amp;"ACE(converted , ""\s"", """")) ) ) ) )"),"09013010047")</f>
        <v>09013010047</v>
      </c>
      <c r="E1597" s="205" t="s">
        <v>17</v>
      </c>
      <c r="F1597" s="206">
        <v>12.0</v>
      </c>
      <c r="G1597" s="202"/>
      <c r="H1597" s="213" t="s">
        <v>6710</v>
      </c>
      <c r="I1597" s="215"/>
      <c r="J1597" s="215"/>
      <c r="K1597" s="207" t="s">
        <v>3092</v>
      </c>
      <c r="L1597" s="207" t="s">
        <v>6711</v>
      </c>
      <c r="M1597" s="207"/>
      <c r="N1597" s="207"/>
      <c r="O1597" s="207" t="s">
        <v>6616</v>
      </c>
      <c r="P1597" s="202"/>
      <c r="Q1597" s="216" t="s">
        <v>6067</v>
      </c>
      <c r="R1597" s="86"/>
      <c r="S1597" s="114">
        <f t="shared" ref="S1597:T1597" si="1598">A1597</f>
        <v>1597</v>
      </c>
      <c r="T1597" s="114" t="str">
        <f t="shared" si="1598"/>
        <v>عرفان بیدمشکی</v>
      </c>
      <c r="U1597" s="86" t="str">
        <f t="shared" si="3"/>
        <v>09013010047</v>
      </c>
      <c r="V1597" s="86" t="str">
        <f t="shared" si="4"/>
        <v>پیش‌وایی 12</v>
      </c>
      <c r="W1597" s="86"/>
      <c r="X1597" s="86"/>
    </row>
    <row r="1598">
      <c r="A1598" s="192">
        <v>1598.0</v>
      </c>
      <c r="B1598" s="193" t="s">
        <v>6712</v>
      </c>
      <c r="C1598" s="194" t="s">
        <v>6713</v>
      </c>
      <c r="D1598" s="195" t="str">
        <f>IFERROR(__xludf.DUMMYFUNCTION("ARRAYFORMULA(LET( converted, SUBSTITUTE( SUBSTITUTE( SUBSTITUTE( SUBSTITUTE( SUBSTITUTE( SUBSTITUTE( SUBSTITUTE( SUBSTITUTE( SUBSTITUTE( SUBSTITUTE( C1598, ""۰"", ""0""), ""۱"", ""1""), ""۲"", ""2""), ""۳"", ""3""), ""۴"", ""4""), ""۵"", ""5""), ""۶"", """&amp;"6""), ""۷"", ""7""), ""۸"", ""8""), ""۹"", ""9""), IF(LEFT(converted,3)=""+98"", ""0"" &amp; RIGHT(converted, LEN(converted)-3), IF(LEFT(converted,2)=""98"", ""0"" &amp; RIGHT(converted, LEN(converted)-2), IF(LEFT(converted,1)&lt;&gt;""0"", ""0"" &amp; converted, REGEXREPL"&amp;"ACE(converted , ""\s"", """")) ) ) ) )"),"09011708847")</f>
        <v>09011708847</v>
      </c>
      <c r="E1598" s="196" t="s">
        <v>17</v>
      </c>
      <c r="F1598" s="197">
        <v>12.0</v>
      </c>
      <c r="G1598" s="193"/>
      <c r="H1598" s="212" t="s">
        <v>6714</v>
      </c>
      <c r="I1598" s="217"/>
      <c r="J1598" s="217"/>
      <c r="K1598" s="199" t="s">
        <v>274</v>
      </c>
      <c r="L1598" s="199" t="s">
        <v>6715</v>
      </c>
      <c r="M1598" s="199"/>
      <c r="N1598" s="199"/>
      <c r="O1598" s="199" t="s">
        <v>6616</v>
      </c>
      <c r="P1598" s="193"/>
      <c r="Q1598" s="218" t="s">
        <v>6310</v>
      </c>
      <c r="R1598" s="86"/>
      <c r="S1598" s="114">
        <f t="shared" ref="S1598:T1598" si="1599">A1598</f>
        <v>1598</v>
      </c>
      <c r="T1598" s="114" t="str">
        <f t="shared" si="1599"/>
        <v>فاطمه مهدی‌زاده</v>
      </c>
      <c r="U1598" s="86" t="str">
        <f t="shared" si="3"/>
        <v>09011708847</v>
      </c>
      <c r="V1598" s="86" t="str">
        <f t="shared" si="4"/>
        <v>پیش‌وایی 12</v>
      </c>
      <c r="W1598" s="86"/>
      <c r="X1598" s="86"/>
    </row>
    <row r="1599">
      <c r="A1599" s="201">
        <v>1599.0</v>
      </c>
      <c r="B1599" s="202" t="s">
        <v>6716</v>
      </c>
      <c r="C1599" s="203" t="s">
        <v>6717</v>
      </c>
      <c r="D1599" s="204" t="str">
        <f>IFERROR(__xludf.DUMMYFUNCTION("ARRAYFORMULA(LET( converted, SUBSTITUTE( SUBSTITUTE( SUBSTITUTE( SUBSTITUTE( SUBSTITUTE( SUBSTITUTE( SUBSTITUTE( SUBSTITUTE( SUBSTITUTE( SUBSTITUTE( C1599, ""۰"", ""0""), ""۱"", ""1""), ""۲"", ""2""), ""۳"", ""3""), ""۴"", ""4""), ""۵"", ""5""), ""۶"", """&amp;"6""), ""۷"", ""7""), ""۸"", ""8""), ""۹"", ""9""), IF(LEFT(converted,3)=""+98"", ""0"" &amp; RIGHT(converted, LEN(converted)-3), IF(LEFT(converted,2)=""98"", ""0"" &amp; RIGHT(converted, LEN(converted)-2), IF(LEFT(converted,1)&lt;&gt;""0"", ""0"" &amp; converted, REGEXREPL"&amp;"ACE(converted , ""\s"", """")) ) ) ) )"),"09125947138")</f>
        <v>09125947138</v>
      </c>
      <c r="E1599" s="205" t="s">
        <v>17</v>
      </c>
      <c r="F1599" s="206">
        <v>12.0</v>
      </c>
      <c r="G1599" s="202"/>
      <c r="H1599" s="213" t="s">
        <v>6718</v>
      </c>
      <c r="I1599" s="215"/>
      <c r="J1599" s="215"/>
      <c r="K1599" s="207" t="s">
        <v>826</v>
      </c>
      <c r="L1599" s="207" t="s">
        <v>6719</v>
      </c>
      <c r="M1599" s="207"/>
      <c r="N1599" s="207"/>
      <c r="O1599" s="207" t="s">
        <v>6616</v>
      </c>
      <c r="P1599" s="202"/>
      <c r="Q1599" s="216" t="s">
        <v>6067</v>
      </c>
      <c r="R1599" s="86"/>
      <c r="S1599" s="114">
        <f t="shared" ref="S1599:T1599" si="1600">A1599</f>
        <v>1599</v>
      </c>
      <c r="T1599" s="114" t="str">
        <f t="shared" si="1600"/>
        <v>محبوبه اسماعیل پور</v>
      </c>
      <c r="U1599" s="86" t="str">
        <f t="shared" si="3"/>
        <v>09125947138</v>
      </c>
      <c r="V1599" s="86" t="str">
        <f t="shared" si="4"/>
        <v>پیش‌وایی 12</v>
      </c>
      <c r="W1599" s="86"/>
      <c r="X1599" s="86"/>
    </row>
    <row r="1600">
      <c r="A1600" s="192">
        <v>1600.0</v>
      </c>
      <c r="B1600" s="193" t="s">
        <v>6720</v>
      </c>
      <c r="C1600" s="194" t="s">
        <v>6721</v>
      </c>
      <c r="D1600" s="195" t="str">
        <f>IFERROR(__xludf.DUMMYFUNCTION("ARRAYFORMULA(LET( converted, SUBSTITUTE( SUBSTITUTE( SUBSTITUTE( SUBSTITUTE( SUBSTITUTE( SUBSTITUTE( SUBSTITUTE( SUBSTITUTE( SUBSTITUTE( SUBSTITUTE( C1600, ""۰"", ""0""), ""۱"", ""1""), ""۲"", ""2""), ""۳"", ""3""), ""۴"", ""4""), ""۵"", ""5""), ""۶"", """&amp;"6""), ""۷"", ""7""), ""۸"", ""8""), ""۹"", ""9""), IF(LEFT(converted,3)=""+98"", ""0"" &amp; RIGHT(converted, LEN(converted)-3), IF(LEFT(converted,2)=""98"", ""0"" &amp; RIGHT(converted, LEN(converted)-2), IF(LEFT(converted,1)&lt;&gt;""0"", ""0"" &amp; converted, REGEXREPL"&amp;"ACE(converted , ""\s"", """")) ) ) ) )"),"09931653321")</f>
        <v>09931653321</v>
      </c>
      <c r="E1600" s="196" t="s">
        <v>17</v>
      </c>
      <c r="F1600" s="197">
        <v>12.0</v>
      </c>
      <c r="G1600" s="193"/>
      <c r="H1600" s="212" t="s">
        <v>6722</v>
      </c>
      <c r="I1600" s="217"/>
      <c r="J1600" s="217"/>
      <c r="K1600" s="199" t="s">
        <v>259</v>
      </c>
      <c r="L1600" s="199" t="s">
        <v>6723</v>
      </c>
      <c r="M1600" s="199"/>
      <c r="N1600" s="199"/>
      <c r="O1600" s="199" t="s">
        <v>6616</v>
      </c>
      <c r="P1600" s="193"/>
      <c r="Q1600" s="218" t="s">
        <v>6067</v>
      </c>
      <c r="R1600" s="86"/>
      <c r="S1600" s="114">
        <f t="shared" ref="S1600:T1600" si="1601">A1600</f>
        <v>1600</v>
      </c>
      <c r="T1600" s="114" t="str">
        <f t="shared" si="1601"/>
        <v>علیرضا کبیریان مقدم</v>
      </c>
      <c r="U1600" s="86" t="str">
        <f t="shared" si="3"/>
        <v>09931653321</v>
      </c>
      <c r="V1600" s="86" t="str">
        <f t="shared" si="4"/>
        <v>پیش‌وایی 12</v>
      </c>
      <c r="W1600" s="86"/>
      <c r="X1600" s="86"/>
    </row>
    <row r="1601">
      <c r="A1601" s="201">
        <v>1601.0</v>
      </c>
      <c r="B1601" s="202" t="s">
        <v>6724</v>
      </c>
      <c r="C1601" s="220" t="s">
        <v>6725</v>
      </c>
      <c r="D1601" s="204" t="str">
        <f>IFERROR(__xludf.DUMMYFUNCTION("ARRAYFORMULA(LET( converted, SUBSTITUTE( SUBSTITUTE( SUBSTITUTE( SUBSTITUTE( SUBSTITUTE( SUBSTITUTE( SUBSTITUTE( SUBSTITUTE( SUBSTITUTE( SUBSTITUTE( C1601, ""۰"", ""0""), ""۱"", ""1""), ""۲"", ""2""), ""۳"", ""3""), ""۴"", ""4""), ""۵"", ""5""), ""۶"", """&amp;"6""), ""۷"", ""7""), ""۸"", ""8""), ""۹"", ""9""), IF(LEFT(converted,3)=""+98"", ""0"" &amp; RIGHT(converted, LEN(converted)-3), IF(LEFT(converted,2)=""98"", ""0"" &amp; RIGHT(converted, LEN(converted)-2), IF(LEFT(converted,1)&lt;&gt;""0"", ""0"" &amp; converted, REGEXREPL"&amp;"ACE(converted , ""\s"", """")) ) ) ) )"),"09134242241")</f>
        <v>09134242241</v>
      </c>
      <c r="E1601" s="205" t="s">
        <v>17</v>
      </c>
      <c r="F1601" s="206">
        <v>12.0</v>
      </c>
      <c r="G1601" s="202"/>
      <c r="H1601" s="213" t="s">
        <v>6726</v>
      </c>
      <c r="I1601" s="215"/>
      <c r="J1601" s="215"/>
      <c r="K1601" s="207" t="s">
        <v>3674</v>
      </c>
      <c r="L1601" s="207" t="s">
        <v>6727</v>
      </c>
      <c r="M1601" s="207"/>
      <c r="N1601" s="207"/>
      <c r="O1601" s="207" t="s">
        <v>6616</v>
      </c>
      <c r="P1601" s="202"/>
      <c r="Q1601" s="216" t="s">
        <v>6067</v>
      </c>
      <c r="R1601" s="86"/>
      <c r="S1601" s="114">
        <f t="shared" ref="S1601:T1601" si="1602">A1601</f>
        <v>1601</v>
      </c>
      <c r="T1601" s="114" t="str">
        <f t="shared" si="1602"/>
        <v>عادل سربلوک‌زاده هرندی</v>
      </c>
      <c r="U1601" s="86" t="str">
        <f t="shared" si="3"/>
        <v>09134242241</v>
      </c>
      <c r="V1601" s="86" t="str">
        <f t="shared" si="4"/>
        <v>پیش‌وایی 12</v>
      </c>
      <c r="W1601" s="86"/>
      <c r="X1601" s="86"/>
    </row>
    <row r="1602">
      <c r="A1602" s="192">
        <v>1602.0</v>
      </c>
      <c r="B1602" s="193" t="s">
        <v>6728</v>
      </c>
      <c r="C1602" s="194" t="s">
        <v>6729</v>
      </c>
      <c r="D1602" s="195" t="str">
        <f>IFERROR(__xludf.DUMMYFUNCTION("ARRAYFORMULA(LET( converted, SUBSTITUTE( SUBSTITUTE( SUBSTITUTE( SUBSTITUTE( SUBSTITUTE( SUBSTITUTE( SUBSTITUTE( SUBSTITUTE( SUBSTITUTE( SUBSTITUTE( C1602, ""۰"", ""0""), ""۱"", ""1""), ""۲"", ""2""), ""۳"", ""3""), ""۴"", ""4""), ""۵"", ""5""), ""۶"", """&amp;"6""), ""۷"", ""7""), ""۸"", ""8""), ""۹"", ""9""), IF(LEFT(converted,3)=""+98"", ""0"" &amp; RIGHT(converted, LEN(converted)-3), IF(LEFT(converted,2)=""98"", ""0"" &amp; RIGHT(converted, LEN(converted)-2), IF(LEFT(converted,1)&lt;&gt;""0"", ""0"" &amp; converted, REGEXREPL"&amp;"ACE(converted , ""\s"", """")) ) ) ) )"),"09912533957")</f>
        <v>09912533957</v>
      </c>
      <c r="E1602" s="196" t="s">
        <v>17</v>
      </c>
      <c r="F1602" s="197">
        <v>12.0</v>
      </c>
      <c r="G1602" s="193"/>
      <c r="H1602" s="212" t="s">
        <v>6730</v>
      </c>
      <c r="I1602" s="217"/>
      <c r="J1602" s="217"/>
      <c r="K1602" s="199" t="s">
        <v>6731</v>
      </c>
      <c r="L1602" s="199" t="s">
        <v>6732</v>
      </c>
      <c r="M1602" s="199"/>
      <c r="N1602" s="199"/>
      <c r="O1602" s="199" t="s">
        <v>6733</v>
      </c>
      <c r="P1602" s="193"/>
      <c r="Q1602" s="218" t="s">
        <v>6067</v>
      </c>
      <c r="R1602" s="86"/>
      <c r="S1602" s="114">
        <f t="shared" ref="S1602:T1602" si="1603">A1602</f>
        <v>1602</v>
      </c>
      <c r="T1602" s="114" t="str">
        <f t="shared" si="1603"/>
        <v>ساچلی دانش پژوهان</v>
      </c>
      <c r="U1602" s="86" t="str">
        <f t="shared" si="3"/>
        <v>09912533957</v>
      </c>
      <c r="V1602" s="86" t="str">
        <f t="shared" si="4"/>
        <v>پیش‌وایی 12</v>
      </c>
      <c r="W1602" s="86"/>
      <c r="X1602" s="86"/>
    </row>
    <row r="1603">
      <c r="A1603" s="201">
        <v>1603.0</v>
      </c>
      <c r="B1603" s="202" t="s">
        <v>6734</v>
      </c>
      <c r="C1603" s="203" t="s">
        <v>6735</v>
      </c>
      <c r="D1603" s="204" t="str">
        <f>IFERROR(__xludf.DUMMYFUNCTION("ARRAYFORMULA(LET( converted, SUBSTITUTE( SUBSTITUTE( SUBSTITUTE( SUBSTITUTE( SUBSTITUTE( SUBSTITUTE( SUBSTITUTE( SUBSTITUTE( SUBSTITUTE( SUBSTITUTE( C1603, ""۰"", ""0""), ""۱"", ""1""), ""۲"", ""2""), ""۳"", ""3""), ""۴"", ""4""), ""۵"", ""5""), ""۶"", """&amp;"6""), ""۷"", ""7""), ""۸"", ""8""), ""۹"", ""9""), IF(LEFT(converted,3)=""+98"", ""0"" &amp; RIGHT(converted, LEN(converted)-3), IF(LEFT(converted,2)=""98"", ""0"" &amp; RIGHT(converted, LEN(converted)-2), IF(LEFT(converted,1)&lt;&gt;""0"", ""0"" &amp; converted, REGEXREPL"&amp;"ACE(converted , ""\s"", """")) ) ) ) )"),"09133699488")</f>
        <v>09133699488</v>
      </c>
      <c r="E1603" s="205" t="s">
        <v>17</v>
      </c>
      <c r="F1603" s="206">
        <v>12.0</v>
      </c>
      <c r="G1603" s="202"/>
      <c r="H1603" s="213" t="s">
        <v>6736</v>
      </c>
      <c r="I1603" s="215"/>
      <c r="J1603" s="215"/>
      <c r="K1603" s="207" t="s">
        <v>6737</v>
      </c>
      <c r="L1603" s="207" t="s">
        <v>6738</v>
      </c>
      <c r="M1603" s="207"/>
      <c r="N1603" s="207"/>
      <c r="O1603" s="207" t="s">
        <v>311</v>
      </c>
      <c r="P1603" s="202"/>
      <c r="Q1603" s="216" t="s">
        <v>6067</v>
      </c>
      <c r="R1603" s="86"/>
      <c r="S1603" s="114">
        <f t="shared" ref="S1603:T1603" si="1604">A1603</f>
        <v>1603</v>
      </c>
      <c r="T1603" s="114" t="str">
        <f t="shared" si="1604"/>
        <v>گلناز پرچمی</v>
      </c>
      <c r="U1603" s="86" t="str">
        <f t="shared" si="3"/>
        <v>09133699488</v>
      </c>
      <c r="V1603" s="86" t="str">
        <f t="shared" si="4"/>
        <v>پیش‌وایی 12</v>
      </c>
      <c r="W1603" s="86"/>
      <c r="X1603" s="86"/>
    </row>
    <row r="1604">
      <c r="A1604" s="192">
        <v>1604.0</v>
      </c>
      <c r="B1604" s="193" t="s">
        <v>4845</v>
      </c>
      <c r="C1604" s="194" t="s">
        <v>4846</v>
      </c>
      <c r="D1604" s="195" t="str">
        <f>IFERROR(__xludf.DUMMYFUNCTION("ARRAYFORMULA(LET( converted, SUBSTITUTE( SUBSTITUTE( SUBSTITUTE( SUBSTITUTE( SUBSTITUTE( SUBSTITUTE( SUBSTITUTE( SUBSTITUTE( SUBSTITUTE( SUBSTITUTE( C1604, ""۰"", ""0""), ""۱"", ""1""), ""۲"", ""2""), ""۳"", ""3""), ""۴"", ""4""), ""۵"", ""5""), ""۶"", """&amp;"6""), ""۷"", ""7""), ""۸"", ""8""), ""۹"", ""9""), IF(LEFT(converted,3)=""+98"", ""0"" &amp; RIGHT(converted, LEN(converted)-3), IF(LEFT(converted,2)=""98"", ""0"" &amp; RIGHT(converted, LEN(converted)-2), IF(LEFT(converted,1)&lt;&gt;""0"", ""0"" &amp; converted, REGEXREPL"&amp;"ACE(converted , ""\s"", """")) ) ) ) )"),"09355344963")</f>
        <v>09355344963</v>
      </c>
      <c r="E1604" s="196" t="s">
        <v>17</v>
      </c>
      <c r="F1604" s="197">
        <v>12.0</v>
      </c>
      <c r="G1604" s="193"/>
      <c r="H1604" s="212" t="s">
        <v>239</v>
      </c>
      <c r="I1604" s="217"/>
      <c r="J1604" s="217"/>
      <c r="K1604" s="199" t="s">
        <v>236</v>
      </c>
      <c r="L1604" s="199" t="s">
        <v>237</v>
      </c>
      <c r="M1604" s="199"/>
      <c r="N1604" s="199"/>
      <c r="O1604" s="199" t="s">
        <v>6739</v>
      </c>
      <c r="P1604" s="193"/>
      <c r="Q1604" s="218" t="s">
        <v>6067</v>
      </c>
      <c r="R1604" s="86"/>
      <c r="S1604" s="114">
        <f t="shared" ref="S1604:T1604" si="1605">A1604</f>
        <v>1604</v>
      </c>
      <c r="T1604" s="114" t="str">
        <f t="shared" si="1605"/>
        <v>رها فرهادی</v>
      </c>
      <c r="U1604" s="86" t="str">
        <f t="shared" si="3"/>
        <v>09355344963</v>
      </c>
      <c r="V1604" s="86" t="str">
        <f t="shared" si="4"/>
        <v>پیش‌وایی 12</v>
      </c>
      <c r="W1604" s="86"/>
      <c r="X1604" s="86"/>
    </row>
    <row r="1605">
      <c r="A1605" s="201">
        <v>1605.0</v>
      </c>
      <c r="B1605" s="202" t="s">
        <v>6740</v>
      </c>
      <c r="C1605" s="203" t="s">
        <v>6741</v>
      </c>
      <c r="D1605" s="204" t="str">
        <f>IFERROR(__xludf.DUMMYFUNCTION("ARRAYFORMULA(LET( converted, SUBSTITUTE( SUBSTITUTE( SUBSTITUTE( SUBSTITUTE( SUBSTITUTE( SUBSTITUTE( SUBSTITUTE( SUBSTITUTE( SUBSTITUTE( SUBSTITUTE( C1605, ""۰"", ""0""), ""۱"", ""1""), ""۲"", ""2""), ""۳"", ""3""), ""۴"", ""4""), ""۵"", ""5""), ""۶"", """&amp;"6""), ""۷"", ""7""), ""۸"", ""8""), ""۹"", ""9""), IF(LEFT(converted,3)=""+98"", ""0"" &amp; RIGHT(converted, LEN(converted)-3), IF(LEFT(converted,2)=""98"", ""0"" &amp; RIGHT(converted, LEN(converted)-2), IF(LEFT(converted,1)&lt;&gt;""0"", ""0"" &amp; converted, REGEXREPL"&amp;"ACE(converted , ""\s"", """")) ) ) ) )"),"09332614994")</f>
        <v>09332614994</v>
      </c>
      <c r="E1605" s="205" t="s">
        <v>17</v>
      </c>
      <c r="F1605" s="206">
        <v>12.0</v>
      </c>
      <c r="G1605" s="202"/>
      <c r="H1605" s="213" t="s">
        <v>6742</v>
      </c>
      <c r="I1605" s="215"/>
      <c r="J1605" s="215"/>
      <c r="K1605" s="207" t="s">
        <v>4600</v>
      </c>
      <c r="L1605" s="207" t="s">
        <v>1086</v>
      </c>
      <c r="M1605" s="207"/>
      <c r="N1605" s="207"/>
      <c r="O1605" s="207" t="s">
        <v>26</v>
      </c>
      <c r="P1605" s="202"/>
      <c r="Q1605" s="216" t="s">
        <v>6067</v>
      </c>
      <c r="R1605" s="86"/>
      <c r="S1605" s="114">
        <f t="shared" ref="S1605:T1605" si="1606">A1605</f>
        <v>1605</v>
      </c>
      <c r="T1605" s="114" t="str">
        <f t="shared" si="1606"/>
        <v>پروانه رجبی</v>
      </c>
      <c r="U1605" s="86" t="str">
        <f t="shared" si="3"/>
        <v>09332614994</v>
      </c>
      <c r="V1605" s="86" t="str">
        <f t="shared" si="4"/>
        <v>پیش‌وایی 12</v>
      </c>
      <c r="W1605" s="86"/>
      <c r="X1605" s="86"/>
    </row>
    <row r="1606">
      <c r="A1606" s="192">
        <v>1606.0</v>
      </c>
      <c r="B1606" s="193" t="s">
        <v>6743</v>
      </c>
      <c r="C1606" s="194" t="s">
        <v>6744</v>
      </c>
      <c r="D1606" s="195" t="str">
        <f>IFERROR(__xludf.DUMMYFUNCTION("ARRAYFORMULA(LET( converted, SUBSTITUTE( SUBSTITUTE( SUBSTITUTE( SUBSTITUTE( SUBSTITUTE( SUBSTITUTE( SUBSTITUTE( SUBSTITUTE( SUBSTITUTE( SUBSTITUTE( C1606, ""۰"", ""0""), ""۱"", ""1""), ""۲"", ""2""), ""۳"", ""3""), ""۴"", ""4""), ""۵"", ""5""), ""۶"", """&amp;"6""), ""۷"", ""7""), ""۸"", ""8""), ""۹"", ""9""), IF(LEFT(converted,3)=""+98"", ""0"" &amp; RIGHT(converted, LEN(converted)-3), IF(LEFT(converted,2)=""98"", ""0"" &amp; RIGHT(converted, LEN(converted)-2), IF(LEFT(converted,1)&lt;&gt;""0"", ""0"" &amp; converted, REGEXREPL"&amp;"ACE(converted , ""\s"", """")) ) ) ) )"),"09337433792")</f>
        <v>09337433792</v>
      </c>
      <c r="E1606" s="196" t="s">
        <v>17</v>
      </c>
      <c r="F1606" s="197">
        <v>12.0</v>
      </c>
      <c r="G1606" s="193"/>
      <c r="H1606" s="193"/>
      <c r="I1606" s="217"/>
      <c r="J1606" s="217"/>
      <c r="K1606" s="199" t="s">
        <v>303</v>
      </c>
      <c r="L1606" s="199" t="s">
        <v>6745</v>
      </c>
      <c r="M1606" s="199"/>
      <c r="N1606" s="199"/>
      <c r="O1606" s="199" t="s">
        <v>6739</v>
      </c>
      <c r="P1606" s="193"/>
      <c r="Q1606" s="218" t="s">
        <v>6067</v>
      </c>
      <c r="R1606" s="86"/>
      <c r="S1606" s="114">
        <f t="shared" ref="S1606:T1606" si="1607">A1606</f>
        <v>1606</v>
      </c>
      <c r="T1606" s="114" t="str">
        <f t="shared" si="1607"/>
        <v>محمد موسوی فر</v>
      </c>
      <c r="U1606" s="86" t="str">
        <f t="shared" si="3"/>
        <v>09337433792</v>
      </c>
      <c r="V1606" s="86" t="str">
        <f t="shared" si="4"/>
        <v>پیش‌وایی 12</v>
      </c>
      <c r="W1606" s="86"/>
      <c r="X1606" s="86"/>
    </row>
    <row r="1607">
      <c r="A1607" s="201">
        <v>1607.0</v>
      </c>
      <c r="B1607" s="202" t="s">
        <v>5451</v>
      </c>
      <c r="C1607" s="203" t="s">
        <v>6746</v>
      </c>
      <c r="D1607" s="204" t="str">
        <f>IFERROR(__xludf.DUMMYFUNCTION("ARRAYFORMULA(LET( converted, SUBSTITUTE( SUBSTITUTE( SUBSTITUTE( SUBSTITUTE( SUBSTITUTE( SUBSTITUTE( SUBSTITUTE( SUBSTITUTE( SUBSTITUTE( SUBSTITUTE( C1607, ""۰"", ""0""), ""۱"", ""1""), ""۲"", ""2""), ""۳"", ""3""), ""۴"", ""4""), ""۵"", ""5""), ""۶"", """&amp;"6""), ""۷"", ""7""), ""۸"", ""8""), ""۹"", ""9""), IF(LEFT(converted,3)=""+98"", ""0"" &amp; RIGHT(converted, LEN(converted)-3), IF(LEFT(converted,2)=""98"", ""0"" &amp; RIGHT(converted, LEN(converted)-2), IF(LEFT(converted,1)&lt;&gt;""0"", ""0"" &amp; converted, REGEXREPL"&amp;"ACE(converted , ""\s"", """")) ) ) ) )"),"09124936372")</f>
        <v>09124936372</v>
      </c>
      <c r="E1607" s="205" t="s">
        <v>17</v>
      </c>
      <c r="F1607" s="206">
        <v>12.0</v>
      </c>
      <c r="G1607" s="202"/>
      <c r="H1607" s="213" t="s">
        <v>6747</v>
      </c>
      <c r="I1607" s="215"/>
      <c r="J1607" s="215"/>
      <c r="K1607" s="207" t="s">
        <v>1302</v>
      </c>
      <c r="L1607" s="207" t="s">
        <v>5453</v>
      </c>
      <c r="M1607" s="207"/>
      <c r="N1607" s="207"/>
      <c r="O1607" s="207" t="s">
        <v>6066</v>
      </c>
      <c r="P1607" s="202"/>
      <c r="Q1607" s="216" t="s">
        <v>6067</v>
      </c>
      <c r="R1607" s="86"/>
      <c r="S1607" s="114">
        <f t="shared" ref="S1607:T1607" si="1608">A1607</f>
        <v>1607</v>
      </c>
      <c r="T1607" s="114" t="str">
        <f t="shared" si="1608"/>
        <v>مونا بابایی</v>
      </c>
      <c r="U1607" s="86" t="str">
        <f t="shared" si="3"/>
        <v>09124936372</v>
      </c>
      <c r="V1607" s="86" t="str">
        <f t="shared" si="4"/>
        <v>پیش‌وایی 12</v>
      </c>
      <c r="W1607" s="86"/>
      <c r="X1607" s="86"/>
    </row>
    <row r="1608">
      <c r="A1608" s="192">
        <v>1608.0</v>
      </c>
      <c r="B1608" s="193" t="s">
        <v>6748</v>
      </c>
      <c r="C1608" s="194" t="s">
        <v>6749</v>
      </c>
      <c r="D1608" s="195" t="str">
        <f>IFERROR(__xludf.DUMMYFUNCTION("ARRAYFORMULA(LET( converted, SUBSTITUTE( SUBSTITUTE( SUBSTITUTE( SUBSTITUTE( SUBSTITUTE( SUBSTITUTE( SUBSTITUTE( SUBSTITUTE( SUBSTITUTE( SUBSTITUTE( C1608, ""۰"", ""0""), ""۱"", ""1""), ""۲"", ""2""), ""۳"", ""3""), ""۴"", ""4""), ""۵"", ""5""), ""۶"", """&amp;"6""), ""۷"", ""7""), ""۸"", ""8""), ""۹"", ""9""), IF(LEFT(converted,3)=""+98"", ""0"" &amp; RIGHT(converted, LEN(converted)-3), IF(LEFT(converted,2)=""98"", ""0"" &amp; RIGHT(converted, LEN(converted)-2), IF(LEFT(converted,1)&lt;&gt;""0"", ""0"" &amp; converted, REGEXREPL"&amp;"ACE(converted , ""\s"", """")) ) ) ) )"),"09123676101")</f>
        <v>09123676101</v>
      </c>
      <c r="E1608" s="196" t="s">
        <v>17</v>
      </c>
      <c r="F1608" s="197">
        <v>12.0</v>
      </c>
      <c r="G1608" s="193"/>
      <c r="H1608" s="212" t="s">
        <v>6750</v>
      </c>
      <c r="I1608" s="217"/>
      <c r="J1608" s="217"/>
      <c r="K1608" s="199" t="s">
        <v>1004</v>
      </c>
      <c r="L1608" s="199" t="s">
        <v>6751</v>
      </c>
      <c r="M1608" s="199"/>
      <c r="N1608" s="199"/>
      <c r="O1608" s="199" t="s">
        <v>6066</v>
      </c>
      <c r="P1608" s="193"/>
      <c r="Q1608" s="218" t="s">
        <v>6067</v>
      </c>
      <c r="R1608" s="86"/>
      <c r="S1608" s="114">
        <f t="shared" ref="S1608:T1608" si="1609">A1608</f>
        <v>1608</v>
      </c>
      <c r="T1608" s="114" t="str">
        <f t="shared" si="1609"/>
        <v>حامد اسداللهی</v>
      </c>
      <c r="U1608" s="86" t="str">
        <f t="shared" si="3"/>
        <v>09123676101</v>
      </c>
      <c r="V1608" s="86" t="str">
        <f t="shared" si="4"/>
        <v>پیش‌وایی 12</v>
      </c>
      <c r="W1608" s="86"/>
      <c r="X1608" s="86"/>
    </row>
    <row r="1609">
      <c r="A1609" s="201">
        <v>1609.0</v>
      </c>
      <c r="B1609" s="202" t="s">
        <v>6752</v>
      </c>
      <c r="C1609" s="203" t="s">
        <v>6753</v>
      </c>
      <c r="D1609" s="204" t="str">
        <f>IFERROR(__xludf.DUMMYFUNCTION("ARRAYFORMULA(LET( converted, SUBSTITUTE( SUBSTITUTE( SUBSTITUTE( SUBSTITUTE( SUBSTITUTE( SUBSTITUTE( SUBSTITUTE( SUBSTITUTE( SUBSTITUTE( SUBSTITUTE( C1609, ""۰"", ""0""), ""۱"", ""1""), ""۲"", ""2""), ""۳"", ""3""), ""۴"", ""4""), ""۵"", ""5""), ""۶"", """&amp;"6""), ""۷"", ""7""), ""۸"", ""8""), ""۹"", ""9""), IF(LEFT(converted,3)=""+98"", ""0"" &amp; RIGHT(converted, LEN(converted)-3), IF(LEFT(converted,2)=""98"", ""0"" &amp; RIGHT(converted, LEN(converted)-2), IF(LEFT(converted,1)&lt;&gt;""0"", ""0"" &amp; converted, REGEXREPL"&amp;"ACE(converted , ""\s"", """")) ) ) ) )"),"09372973295")</f>
        <v>09372973295</v>
      </c>
      <c r="E1609" s="205" t="s">
        <v>17</v>
      </c>
      <c r="F1609" s="206">
        <v>12.0</v>
      </c>
      <c r="G1609" s="202"/>
      <c r="H1609" s="213" t="s">
        <v>6754</v>
      </c>
      <c r="I1609" s="215"/>
      <c r="J1609" s="215"/>
      <c r="K1609" s="207" t="s">
        <v>3302</v>
      </c>
      <c r="L1609" s="207" t="s">
        <v>2373</v>
      </c>
      <c r="M1609" s="207"/>
      <c r="N1609" s="207"/>
      <c r="O1609" s="207" t="s">
        <v>6066</v>
      </c>
      <c r="P1609" s="202"/>
      <c r="Q1609" s="216" t="s">
        <v>6067</v>
      </c>
      <c r="R1609" s="86"/>
      <c r="S1609" s="114">
        <f t="shared" ref="S1609:T1609" si="1610">A1609</f>
        <v>1609</v>
      </c>
      <c r="T1609" s="114" t="str">
        <f t="shared" si="1610"/>
        <v>شیما عظیمی</v>
      </c>
      <c r="U1609" s="86" t="str">
        <f t="shared" si="3"/>
        <v>09372973295</v>
      </c>
      <c r="V1609" s="86" t="str">
        <f t="shared" si="4"/>
        <v>پیش‌وایی 12</v>
      </c>
      <c r="W1609" s="86"/>
      <c r="X1609" s="86"/>
    </row>
    <row r="1610">
      <c r="A1610" s="192">
        <v>1610.0</v>
      </c>
      <c r="B1610" s="193" t="s">
        <v>6755</v>
      </c>
      <c r="C1610" s="194" t="s">
        <v>6756</v>
      </c>
      <c r="D1610" s="195" t="str">
        <f>IFERROR(__xludf.DUMMYFUNCTION("ARRAYFORMULA(LET( converted, SUBSTITUTE( SUBSTITUTE( SUBSTITUTE( SUBSTITUTE( SUBSTITUTE( SUBSTITUTE( SUBSTITUTE( SUBSTITUTE( SUBSTITUTE( SUBSTITUTE( C1610, ""۰"", ""0""), ""۱"", ""1""), ""۲"", ""2""), ""۳"", ""3""), ""۴"", ""4""), ""۵"", ""5""), ""۶"", """&amp;"6""), ""۷"", ""7""), ""۸"", ""8""), ""۹"", ""9""), IF(LEFT(converted,3)=""+98"", ""0"" &amp; RIGHT(converted, LEN(converted)-3), IF(LEFT(converted,2)=""98"", ""0"" &amp; RIGHT(converted, LEN(converted)-2), IF(LEFT(converted,1)&lt;&gt;""0"", ""0"" &amp; converted, REGEXREPL"&amp;"ACE(converted , ""\s"", """")) ) ) ) )"),"09902767088")</f>
        <v>09902767088</v>
      </c>
      <c r="E1610" s="196" t="s">
        <v>17</v>
      </c>
      <c r="F1610" s="197">
        <v>12.0</v>
      </c>
      <c r="G1610" s="212" t="s">
        <v>730</v>
      </c>
      <c r="H1610" s="199" t="s">
        <v>4144</v>
      </c>
      <c r="I1610" s="217"/>
      <c r="J1610" s="217"/>
      <c r="K1610" s="199" t="s">
        <v>2862</v>
      </c>
      <c r="L1610" s="199" t="s">
        <v>6757</v>
      </c>
      <c r="M1610" s="199"/>
      <c r="N1610" s="199"/>
      <c r="O1610" s="199" t="s">
        <v>6170</v>
      </c>
      <c r="P1610" s="193"/>
      <c r="Q1610" s="218" t="s">
        <v>6067</v>
      </c>
      <c r="R1610" s="86"/>
      <c r="S1610" s="114">
        <f t="shared" ref="S1610:T1610" si="1611">A1610</f>
        <v>1610</v>
      </c>
      <c r="T1610" s="114" t="str">
        <f t="shared" si="1611"/>
        <v>پرهام جهاندیده</v>
      </c>
      <c r="U1610" s="86" t="str">
        <f t="shared" si="3"/>
        <v>09902767088</v>
      </c>
      <c r="V1610" s="86" t="str">
        <f t="shared" si="4"/>
        <v>پیش‌وایی 12</v>
      </c>
      <c r="W1610" s="86"/>
      <c r="X1610" s="86"/>
    </row>
    <row r="1611">
      <c r="A1611" s="201">
        <v>1611.0</v>
      </c>
      <c r="B1611" s="202" t="s">
        <v>5289</v>
      </c>
      <c r="C1611" s="203"/>
      <c r="D1611" s="204" t="str">
        <f>IFERROR(__xludf.DUMMYFUNCTION("ARRAYFORMULA(LET( converted, SUBSTITUTE( SUBSTITUTE( SUBSTITUTE( SUBSTITUTE( SUBSTITUTE( SUBSTITUTE( SUBSTITUTE( SUBSTITUTE( SUBSTITUTE( SUBSTITUTE( C1611, ""۰"", ""0""), ""۱"", ""1""), ""۲"", ""2""), ""۳"", ""3""), ""۴"", ""4""), ""۵"", ""5""), ""۶"", """&amp;"6""), ""۷"", ""7""), ""۸"", ""8""), ""۹"", ""9""), IF(LEFT(converted,3)=""+98"", ""0"" &amp; RIGHT(converted, LEN(converted)-3), IF(LEFT(converted,2)=""98"", ""0"" &amp; RIGHT(converted, LEN(converted)-2), IF(LEFT(converted,1)&lt;&gt;""0"", ""0"" &amp; converted, REGEXREPL"&amp;"ACE(converted , ""\s"", """")) ) ) ) )"),"0")</f>
        <v>0</v>
      </c>
      <c r="E1611" s="205" t="s">
        <v>17</v>
      </c>
      <c r="F1611" s="206">
        <v>12.0</v>
      </c>
      <c r="G1611" s="213" t="s">
        <v>730</v>
      </c>
      <c r="H1611" s="202"/>
      <c r="I1611" s="215"/>
      <c r="J1611" s="215"/>
      <c r="K1611" s="207" t="s">
        <v>27</v>
      </c>
      <c r="L1611" s="207" t="s">
        <v>940</v>
      </c>
      <c r="M1611" s="207"/>
      <c r="N1611" s="207"/>
      <c r="O1611" s="207" t="s">
        <v>6066</v>
      </c>
      <c r="P1611" s="202"/>
      <c r="Q1611" s="216" t="s">
        <v>6067</v>
      </c>
      <c r="R1611" s="86"/>
      <c r="S1611" s="114">
        <f t="shared" ref="S1611:T1611" si="1612">A1611</f>
        <v>1611</v>
      </c>
      <c r="T1611" s="114" t="str">
        <f t="shared" si="1612"/>
        <v>مجید کریمی</v>
      </c>
      <c r="U1611" s="86" t="str">
        <f t="shared" si="3"/>
        <v>0</v>
      </c>
      <c r="V1611" s="86" t="str">
        <f t="shared" si="4"/>
        <v>پیش‌وایی 12</v>
      </c>
      <c r="W1611" s="86"/>
      <c r="X1611" s="86"/>
    </row>
    <row r="1612">
      <c r="A1612" s="192">
        <v>1612.0</v>
      </c>
      <c r="B1612" s="193" t="s">
        <v>6758</v>
      </c>
      <c r="C1612" s="194"/>
      <c r="D1612" s="195" t="str">
        <f>IFERROR(__xludf.DUMMYFUNCTION("ARRAYFORMULA(LET( converted, SUBSTITUTE( SUBSTITUTE( SUBSTITUTE( SUBSTITUTE( SUBSTITUTE( SUBSTITUTE( SUBSTITUTE( SUBSTITUTE( SUBSTITUTE( SUBSTITUTE( C1612, ""۰"", ""0""), ""۱"", ""1""), ""۲"", ""2""), ""۳"", ""3""), ""۴"", ""4""), ""۵"", ""5""), ""۶"", """&amp;"6""), ""۷"", ""7""), ""۸"", ""8""), ""۹"", ""9""), IF(LEFT(converted,3)=""+98"", ""0"" &amp; RIGHT(converted, LEN(converted)-3), IF(LEFT(converted,2)=""98"", ""0"" &amp; RIGHT(converted, LEN(converted)-2), IF(LEFT(converted,1)&lt;&gt;""0"", ""0"" &amp; converted, REGEXREPL"&amp;"ACE(converted , ""\s"", """")) ) ) ) )"),"0")</f>
        <v>0</v>
      </c>
      <c r="E1612" s="196" t="s">
        <v>17</v>
      </c>
      <c r="F1612" s="197">
        <v>12.0</v>
      </c>
      <c r="G1612" s="212" t="s">
        <v>730</v>
      </c>
      <c r="H1612" s="193"/>
      <c r="I1612" s="217"/>
      <c r="J1612" s="217"/>
      <c r="K1612" s="199" t="s">
        <v>1374</v>
      </c>
      <c r="L1612" s="199" t="s">
        <v>6759</v>
      </c>
      <c r="M1612" s="199"/>
      <c r="N1612" s="199"/>
      <c r="O1612" s="199" t="s">
        <v>6616</v>
      </c>
      <c r="P1612" s="193"/>
      <c r="Q1612" s="218" t="s">
        <v>6067</v>
      </c>
      <c r="R1612" s="86"/>
      <c r="S1612" s="114">
        <f t="shared" ref="S1612:T1612" si="1613">A1612</f>
        <v>1612</v>
      </c>
      <c r="T1612" s="114" t="str">
        <f t="shared" si="1613"/>
        <v>امیر نصرتی</v>
      </c>
      <c r="U1612" s="86" t="str">
        <f t="shared" si="3"/>
        <v>0</v>
      </c>
      <c r="V1612" s="86" t="str">
        <f t="shared" si="4"/>
        <v>پیش‌وایی 12</v>
      </c>
      <c r="W1612" s="86"/>
      <c r="X1612" s="86"/>
    </row>
    <row r="1613">
      <c r="A1613" s="201">
        <v>1613.0</v>
      </c>
      <c r="B1613" s="202" t="s">
        <v>6760</v>
      </c>
      <c r="C1613" s="203" t="s">
        <v>6761</v>
      </c>
      <c r="D1613" s="204" t="str">
        <f>IFERROR(__xludf.DUMMYFUNCTION("ARRAYFORMULA(LET( converted, SUBSTITUTE( SUBSTITUTE( SUBSTITUTE( SUBSTITUTE( SUBSTITUTE( SUBSTITUTE( SUBSTITUTE( SUBSTITUTE( SUBSTITUTE( SUBSTITUTE( C1613, ""۰"", ""0""), ""۱"", ""1""), ""۲"", ""2""), ""۳"", ""3""), ""۴"", ""4""), ""۵"", ""5""), ""۶"", """&amp;"6""), ""۷"", ""7""), ""۸"", ""8""), ""۹"", ""9""), IF(LEFT(converted,3)=""+98"", ""0"" &amp; RIGHT(converted, LEN(converted)-3), IF(LEFT(converted,2)=""98"", ""0"" &amp; RIGHT(converted, LEN(converted)-2), IF(LEFT(converted,1)&lt;&gt;""0"", ""0"" &amp; converted, REGEXREPL"&amp;"ACE(converted , ""\s"", """")) ) ) ) )"),"09396357073")</f>
        <v>09396357073</v>
      </c>
      <c r="E1613" s="205" t="s">
        <v>17</v>
      </c>
      <c r="F1613" s="206">
        <v>12.0</v>
      </c>
      <c r="G1613" s="213" t="s">
        <v>730</v>
      </c>
      <c r="H1613" s="213" t="s">
        <v>6762</v>
      </c>
      <c r="I1613" s="215"/>
      <c r="J1613" s="215"/>
      <c r="K1613" s="207" t="s">
        <v>1617</v>
      </c>
      <c r="L1613" s="207" t="s">
        <v>6763</v>
      </c>
      <c r="M1613" s="207"/>
      <c r="N1613" s="207"/>
      <c r="O1613" s="207" t="s">
        <v>6066</v>
      </c>
      <c r="P1613" s="202"/>
      <c r="Q1613" s="216" t="s">
        <v>6067</v>
      </c>
      <c r="R1613" s="86"/>
      <c r="S1613" s="114">
        <f t="shared" ref="S1613:T1613" si="1614">A1613</f>
        <v>1613</v>
      </c>
      <c r="T1613" s="114" t="str">
        <f t="shared" si="1614"/>
        <v>سپهر مددی</v>
      </c>
      <c r="U1613" s="86" t="str">
        <f t="shared" si="3"/>
        <v>09396357073</v>
      </c>
      <c r="V1613" s="86" t="str">
        <f t="shared" si="4"/>
        <v>پیش‌وایی 12</v>
      </c>
      <c r="W1613" s="86"/>
      <c r="X1613" s="86"/>
    </row>
    <row r="1614">
      <c r="A1614" s="192">
        <v>1614.0</v>
      </c>
      <c r="B1614" s="193" t="str">
        <f t="shared" ref="B1614:B1699" si="1616">K1614&amp;" "&amp;L1614</f>
        <v>فاطمه ولایتی پور</v>
      </c>
      <c r="C1614" s="194" t="s">
        <v>6764</v>
      </c>
      <c r="D1614" s="195" t="str">
        <f>IFERROR(__xludf.DUMMYFUNCTION("ARRAYFORMULA(LET( converted, SUBSTITUTE( SUBSTITUTE( SUBSTITUTE( SUBSTITUTE( SUBSTITUTE( SUBSTITUTE( SUBSTITUTE( SUBSTITUTE( SUBSTITUTE( SUBSTITUTE( C1614, ""۰"", ""0""), ""۱"", ""1""), ""۲"", ""2""), ""۳"", ""3""), ""۴"", ""4""), ""۵"", ""5""), ""۶"", """&amp;"6""), ""۷"", ""7""), ""۸"", ""8""), ""۹"", ""9""), IF(LEFT(converted,3)=""+98"", ""0"" &amp; RIGHT(converted, LEN(converted)-3), IF(LEFT(converted,2)=""98"", ""0"" &amp; RIGHT(converted, LEN(converted)-2), IF(LEFT(converted,1)&lt;&gt;""0"", ""0"" &amp; converted, REGEXREPL"&amp;"ACE(converted , ""\s"", """")) ) ) ) )"),"09308438392")</f>
        <v>09308438392</v>
      </c>
      <c r="E1614" s="196" t="s">
        <v>17</v>
      </c>
      <c r="F1614" s="221">
        <v>13.0</v>
      </c>
      <c r="G1614" s="193"/>
      <c r="H1614" s="212" t="s">
        <v>282</v>
      </c>
      <c r="I1614" s="194"/>
      <c r="J1614" s="194"/>
      <c r="K1614" s="193" t="s">
        <v>274</v>
      </c>
      <c r="L1614" s="193" t="s">
        <v>6270</v>
      </c>
      <c r="M1614" s="199"/>
      <c r="N1614" s="199"/>
      <c r="O1614" s="199" t="s">
        <v>6765</v>
      </c>
      <c r="P1614" s="199" t="s">
        <v>6267</v>
      </c>
      <c r="Q1614" s="218" t="s">
        <v>6766</v>
      </c>
      <c r="R1614" s="86"/>
      <c r="S1614" s="114">
        <f t="shared" ref="S1614:T1614" si="1615">A1614</f>
        <v>1614</v>
      </c>
      <c r="T1614" s="114" t="str">
        <f t="shared" si="1615"/>
        <v>فاطمه ولایتی پور</v>
      </c>
      <c r="U1614" s="86" t="str">
        <f t="shared" si="3"/>
        <v>09308438392</v>
      </c>
      <c r="V1614" s="86" t="str">
        <f t="shared" si="4"/>
        <v>پیش‌وایی 13</v>
      </c>
      <c r="W1614" s="86"/>
      <c r="X1614" s="86"/>
    </row>
    <row r="1615">
      <c r="A1615" s="201">
        <v>1615.0</v>
      </c>
      <c r="B1615" s="202" t="str">
        <f t="shared" si="1616"/>
        <v>محمدرضا اسپرغم</v>
      </c>
      <c r="C1615" s="203" t="s">
        <v>6767</v>
      </c>
      <c r="D1615" s="204" t="str">
        <f>IFERROR(__xludf.DUMMYFUNCTION("ARRAYFORMULA(LET( converted, SUBSTITUTE( SUBSTITUTE( SUBSTITUTE( SUBSTITUTE( SUBSTITUTE( SUBSTITUTE( SUBSTITUTE( SUBSTITUTE( SUBSTITUTE( SUBSTITUTE( C1615, ""۰"", ""0""), ""۱"", ""1""), ""۲"", ""2""), ""۳"", ""3""), ""۴"", ""4""), ""۵"", ""5""), ""۶"", """&amp;"6""), ""۷"", ""7""), ""۸"", ""8""), ""۹"", ""9""), IF(LEFT(converted,3)=""+98"", ""0"" &amp; RIGHT(converted, LEN(converted)-3), IF(LEFT(converted,2)=""98"", ""0"" &amp; RIGHT(converted, LEN(converted)-2), IF(LEFT(converted,1)&lt;&gt;""0"", ""0"" &amp; converted, REGEXREPL"&amp;"ACE(converted , ""\s"", """")) ) ) ) )"),"09359338520")</f>
        <v>09359338520</v>
      </c>
      <c r="E1615" s="205" t="s">
        <v>17</v>
      </c>
      <c r="F1615" s="214">
        <v>13.0</v>
      </c>
      <c r="G1615" s="202"/>
      <c r="H1615" s="213" t="s">
        <v>6216</v>
      </c>
      <c r="I1615" s="203"/>
      <c r="J1615" s="203"/>
      <c r="K1615" s="202" t="s">
        <v>307</v>
      </c>
      <c r="L1615" s="202" t="s">
        <v>6217</v>
      </c>
      <c r="M1615" s="207"/>
      <c r="N1615" s="207"/>
      <c r="O1615" s="207" t="s">
        <v>6765</v>
      </c>
      <c r="P1615" s="202"/>
      <c r="Q1615" s="216" t="s">
        <v>6766</v>
      </c>
      <c r="R1615" s="86"/>
      <c r="S1615" s="114">
        <f t="shared" ref="S1615:T1615" si="1617">A1615</f>
        <v>1615</v>
      </c>
      <c r="T1615" s="114" t="str">
        <f t="shared" si="1617"/>
        <v>محمدرضا اسپرغم</v>
      </c>
      <c r="U1615" s="86" t="str">
        <f t="shared" si="3"/>
        <v>09359338520</v>
      </c>
      <c r="V1615" s="86" t="str">
        <f t="shared" si="4"/>
        <v>پیش‌وایی 13</v>
      </c>
      <c r="W1615" s="86"/>
      <c r="X1615" s="86"/>
    </row>
    <row r="1616">
      <c r="A1616" s="192">
        <v>1616.0</v>
      </c>
      <c r="B1616" s="193" t="str">
        <f t="shared" si="1616"/>
        <v>حامد اصلاحی فرد</v>
      </c>
      <c r="C1616" s="194" t="s">
        <v>6768</v>
      </c>
      <c r="D1616" s="195" t="str">
        <f>IFERROR(__xludf.DUMMYFUNCTION("ARRAYFORMULA(LET( converted, SUBSTITUTE( SUBSTITUTE( SUBSTITUTE( SUBSTITUTE( SUBSTITUTE( SUBSTITUTE( SUBSTITUTE( SUBSTITUTE( SUBSTITUTE( SUBSTITUTE( C1616, ""۰"", ""0""), ""۱"", ""1""), ""۲"", ""2""), ""۳"", ""3""), ""۴"", ""4""), ""۵"", ""5""), ""۶"", """&amp;"6""), ""۷"", ""7""), ""۸"", ""8""), ""۹"", ""9""), IF(LEFT(converted,3)=""+98"", ""0"" &amp; RIGHT(converted, LEN(converted)-3), IF(LEFT(converted,2)=""98"", ""0"" &amp; RIGHT(converted, LEN(converted)-2), IF(LEFT(converted,1)&lt;&gt;""0"", ""0"" &amp; converted, REGEXREPL"&amp;"ACE(converted , ""\s"", """")) ) ) ) )"),"09126647646")</f>
        <v>09126647646</v>
      </c>
      <c r="E1616" s="196" t="s">
        <v>17</v>
      </c>
      <c r="F1616" s="221">
        <v>13.0</v>
      </c>
      <c r="G1616" s="193"/>
      <c r="H1616" s="212" t="s">
        <v>6769</v>
      </c>
      <c r="I1616" s="194"/>
      <c r="J1616" s="194"/>
      <c r="K1616" s="193" t="s">
        <v>1004</v>
      </c>
      <c r="L1616" s="193" t="s">
        <v>6770</v>
      </c>
      <c r="M1616" s="193"/>
      <c r="N1616" s="193"/>
      <c r="O1616" s="199" t="s">
        <v>6765</v>
      </c>
      <c r="P1616" s="199" t="s">
        <v>2461</v>
      </c>
      <c r="Q1616" s="218" t="s">
        <v>6766</v>
      </c>
      <c r="R1616" s="86"/>
      <c r="S1616" s="114">
        <f t="shared" ref="S1616:T1616" si="1618">A1616</f>
        <v>1616</v>
      </c>
      <c r="T1616" s="114" t="str">
        <f t="shared" si="1618"/>
        <v>حامد اصلاحی فرد</v>
      </c>
      <c r="U1616" s="86" t="str">
        <f t="shared" si="3"/>
        <v>09126647646</v>
      </c>
      <c r="V1616" s="86" t="str">
        <f t="shared" si="4"/>
        <v>پیش‌وایی 13</v>
      </c>
      <c r="W1616" s="86"/>
      <c r="X1616" s="86"/>
    </row>
    <row r="1617">
      <c r="A1617" s="201">
        <v>1617.0</v>
      </c>
      <c r="B1617" s="202" t="str">
        <f t="shared" si="1616"/>
        <v>ساناز حبیبی نژاد</v>
      </c>
      <c r="C1617" s="203" t="s">
        <v>6771</v>
      </c>
      <c r="D1617" s="204" t="str">
        <f>IFERROR(__xludf.DUMMYFUNCTION("ARRAYFORMULA(LET( converted, SUBSTITUTE( SUBSTITUTE( SUBSTITUTE( SUBSTITUTE( SUBSTITUTE( SUBSTITUTE( SUBSTITUTE( SUBSTITUTE( SUBSTITUTE( SUBSTITUTE( C1617, ""۰"", ""0""), ""۱"", ""1""), ""۲"", ""2""), ""۳"", ""3""), ""۴"", ""4""), ""۵"", ""5""), ""۶"", """&amp;"6""), ""۷"", ""7""), ""۸"", ""8""), ""۹"", ""9""), IF(LEFT(converted,3)=""+98"", ""0"" &amp; RIGHT(converted, LEN(converted)-3), IF(LEFT(converted,2)=""98"", ""0"" &amp; RIGHT(converted, LEN(converted)-2), IF(LEFT(converted,1)&lt;&gt;""0"", ""0"" &amp; converted, REGEXREPL"&amp;"ACE(converted , ""\s"", """")) ) ) ) )"),"09151675733")</f>
        <v>09151675733</v>
      </c>
      <c r="E1617" s="205" t="s">
        <v>17</v>
      </c>
      <c r="F1617" s="214">
        <v>13.0</v>
      </c>
      <c r="G1617" s="202"/>
      <c r="H1617" s="213" t="s">
        <v>6772</v>
      </c>
      <c r="I1617" s="203"/>
      <c r="J1617" s="203"/>
      <c r="K1617" s="202" t="s">
        <v>3199</v>
      </c>
      <c r="L1617" s="202" t="s">
        <v>6773</v>
      </c>
      <c r="M1617" s="202"/>
      <c r="N1617" s="202"/>
      <c r="O1617" s="207" t="s">
        <v>6765</v>
      </c>
      <c r="P1617" s="207" t="s">
        <v>6083</v>
      </c>
      <c r="Q1617" s="216" t="s">
        <v>6766</v>
      </c>
      <c r="R1617" s="86"/>
      <c r="S1617" s="114">
        <f t="shared" ref="S1617:T1617" si="1619">A1617</f>
        <v>1617</v>
      </c>
      <c r="T1617" s="114" t="str">
        <f t="shared" si="1619"/>
        <v>ساناز حبیبی نژاد</v>
      </c>
      <c r="U1617" s="86" t="str">
        <f t="shared" si="3"/>
        <v>09151675733</v>
      </c>
      <c r="V1617" s="86" t="str">
        <f t="shared" si="4"/>
        <v>پیش‌وایی 13</v>
      </c>
      <c r="W1617" s="86"/>
      <c r="X1617" s="86"/>
    </row>
    <row r="1618">
      <c r="A1618" s="192">
        <v>1618.0</v>
      </c>
      <c r="B1618" s="193" t="str">
        <f t="shared" si="1616"/>
        <v>الناز حبیبی نژاد</v>
      </c>
      <c r="C1618" s="194" t="s">
        <v>6774</v>
      </c>
      <c r="D1618" s="195" t="str">
        <f>IFERROR(__xludf.DUMMYFUNCTION("ARRAYFORMULA(LET( converted, SUBSTITUTE( SUBSTITUTE( SUBSTITUTE( SUBSTITUTE( SUBSTITUTE( SUBSTITUTE( SUBSTITUTE( SUBSTITUTE( SUBSTITUTE( SUBSTITUTE( C1618, ""۰"", ""0""), ""۱"", ""1""), ""۲"", ""2""), ""۳"", ""3""), ""۴"", ""4""), ""۵"", ""5""), ""۶"", """&amp;"6""), ""۷"", ""7""), ""۸"", ""8""), ""۹"", ""9""), IF(LEFT(converted,3)=""+98"", ""0"" &amp; RIGHT(converted, LEN(converted)-3), IF(LEFT(converted,2)=""98"", ""0"" &amp; RIGHT(converted, LEN(converted)-2), IF(LEFT(converted,1)&lt;&gt;""0"", ""0"" &amp; converted, REGEXREPL"&amp;"ACE(converted , ""\s"", """")) ) ) ) )"),"09154519791")</f>
        <v>09154519791</v>
      </c>
      <c r="E1618" s="196" t="s">
        <v>17</v>
      </c>
      <c r="F1618" s="221">
        <v>13.0</v>
      </c>
      <c r="G1618" s="193"/>
      <c r="H1618" s="212" t="s">
        <v>6775</v>
      </c>
      <c r="I1618" s="194"/>
      <c r="J1618" s="194"/>
      <c r="K1618" s="193" t="s">
        <v>1154</v>
      </c>
      <c r="L1618" s="193" t="s">
        <v>6773</v>
      </c>
      <c r="M1618" s="193"/>
      <c r="N1618" s="193"/>
      <c r="O1618" s="199" t="s">
        <v>6765</v>
      </c>
      <c r="P1618" s="199" t="s">
        <v>1741</v>
      </c>
      <c r="Q1618" s="218" t="s">
        <v>6766</v>
      </c>
      <c r="R1618" s="86"/>
      <c r="S1618" s="114">
        <f t="shared" ref="S1618:T1618" si="1620">A1618</f>
        <v>1618</v>
      </c>
      <c r="T1618" s="114" t="str">
        <f t="shared" si="1620"/>
        <v>الناز حبیبی نژاد</v>
      </c>
      <c r="U1618" s="86" t="str">
        <f t="shared" si="3"/>
        <v>09154519791</v>
      </c>
      <c r="V1618" s="86" t="str">
        <f t="shared" si="4"/>
        <v>پیش‌وایی 13</v>
      </c>
      <c r="W1618" s="86"/>
      <c r="X1618" s="86"/>
    </row>
    <row r="1619">
      <c r="A1619" s="201">
        <v>1619.0</v>
      </c>
      <c r="B1619" s="202" t="str">
        <f t="shared" si="1616"/>
        <v>سید محمد امین هاشمی</v>
      </c>
      <c r="C1619" s="203" t="s">
        <v>6776</v>
      </c>
      <c r="D1619" s="204" t="str">
        <f>IFERROR(__xludf.DUMMYFUNCTION("ARRAYFORMULA(LET( converted, SUBSTITUTE( SUBSTITUTE( SUBSTITUTE( SUBSTITUTE( SUBSTITUTE( SUBSTITUTE( SUBSTITUTE( SUBSTITUTE( SUBSTITUTE( SUBSTITUTE( C1619, ""۰"", ""0""), ""۱"", ""1""), ""۲"", ""2""), ""۳"", ""3""), ""۴"", ""4""), ""۵"", ""5""), ""۶"", """&amp;"6""), ""۷"", ""7""), ""۸"", ""8""), ""۹"", ""9""), IF(LEFT(converted,3)=""+98"", ""0"" &amp; RIGHT(converted, LEN(converted)-3), IF(LEFT(converted,2)=""98"", ""0"" &amp; RIGHT(converted, LEN(converted)-2), IF(LEFT(converted,1)&lt;&gt;""0"", ""0"" &amp; converted, REGEXREPL"&amp;"ACE(converted , ""\s"", """")) ) ) ) )"),"09129623854")</f>
        <v>09129623854</v>
      </c>
      <c r="E1619" s="205" t="s">
        <v>17</v>
      </c>
      <c r="F1619" s="214">
        <v>13.0</v>
      </c>
      <c r="G1619" s="202"/>
      <c r="H1619" s="213" t="s">
        <v>6777</v>
      </c>
      <c r="I1619" s="203"/>
      <c r="J1619" s="203"/>
      <c r="K1619" s="202" t="s">
        <v>4099</v>
      </c>
      <c r="L1619" s="202" t="s">
        <v>2201</v>
      </c>
      <c r="M1619" s="202"/>
      <c r="N1619" s="202"/>
      <c r="O1619" s="207" t="s">
        <v>6765</v>
      </c>
      <c r="P1619" s="207" t="s">
        <v>6778</v>
      </c>
      <c r="Q1619" s="216" t="s">
        <v>6766</v>
      </c>
      <c r="R1619" s="86"/>
      <c r="S1619" s="114">
        <f t="shared" ref="S1619:T1619" si="1621">A1619</f>
        <v>1619</v>
      </c>
      <c r="T1619" s="114" t="str">
        <f t="shared" si="1621"/>
        <v>سید محمد امین هاشمی</v>
      </c>
      <c r="U1619" s="86" t="str">
        <f t="shared" si="3"/>
        <v>09129623854</v>
      </c>
      <c r="V1619" s="86" t="str">
        <f t="shared" si="4"/>
        <v>پیش‌وایی 13</v>
      </c>
      <c r="W1619" s="86"/>
      <c r="X1619" s="86"/>
    </row>
    <row r="1620">
      <c r="A1620" s="192">
        <v>1620.0</v>
      </c>
      <c r="B1620" s="193" t="str">
        <f t="shared" si="1616"/>
        <v>حمید ولی زاده</v>
      </c>
      <c r="C1620" s="194" t="s">
        <v>6779</v>
      </c>
      <c r="D1620" s="195" t="str">
        <f>IFERROR(__xludf.DUMMYFUNCTION("ARRAYFORMULA(LET( converted, SUBSTITUTE( SUBSTITUTE( SUBSTITUTE( SUBSTITUTE( SUBSTITUTE( SUBSTITUTE( SUBSTITUTE( SUBSTITUTE( SUBSTITUTE( SUBSTITUTE( C1620, ""۰"", ""0""), ""۱"", ""1""), ""۲"", ""2""), ""۳"", ""3""), ""۴"", ""4""), ""۵"", ""5""), ""۶"", """&amp;"6""), ""۷"", ""7""), ""۸"", ""8""), ""۹"", ""9""), IF(LEFT(converted,3)=""+98"", ""0"" &amp; RIGHT(converted, LEN(converted)-3), IF(LEFT(converted,2)=""98"", ""0"" &amp; RIGHT(converted, LEN(converted)-2), IF(LEFT(converted,1)&lt;&gt;""0"", ""0"" &amp; converted, REGEXREPL"&amp;"ACE(converted , ""\s"", """")) ) ) ) )"),"09125076278")</f>
        <v>09125076278</v>
      </c>
      <c r="E1620" s="196" t="s">
        <v>17</v>
      </c>
      <c r="F1620" s="221">
        <v>13.0</v>
      </c>
      <c r="G1620" s="193"/>
      <c r="H1620" s="212" t="s">
        <v>6780</v>
      </c>
      <c r="I1620" s="194"/>
      <c r="J1620" s="194"/>
      <c r="K1620" s="193" t="s">
        <v>1351</v>
      </c>
      <c r="L1620" s="193" t="s">
        <v>6781</v>
      </c>
      <c r="M1620" s="193"/>
      <c r="N1620" s="193"/>
      <c r="O1620" s="199" t="s">
        <v>6765</v>
      </c>
      <c r="P1620" s="199" t="s">
        <v>6782</v>
      </c>
      <c r="Q1620" s="218" t="s">
        <v>6766</v>
      </c>
      <c r="R1620" s="86"/>
      <c r="S1620" s="114">
        <f t="shared" ref="S1620:T1620" si="1622">A1620</f>
        <v>1620</v>
      </c>
      <c r="T1620" s="114" t="str">
        <f t="shared" si="1622"/>
        <v>حمید ولی زاده</v>
      </c>
      <c r="U1620" s="86" t="str">
        <f t="shared" si="3"/>
        <v>09125076278</v>
      </c>
      <c r="V1620" s="86" t="str">
        <f t="shared" si="4"/>
        <v>پیش‌وایی 13</v>
      </c>
      <c r="W1620" s="86"/>
      <c r="X1620" s="86"/>
    </row>
    <row r="1621">
      <c r="A1621" s="201">
        <v>1621.0</v>
      </c>
      <c r="B1621" s="202" t="str">
        <f t="shared" si="1616"/>
        <v>مهدی حسنی</v>
      </c>
      <c r="C1621" s="203" t="s">
        <v>6783</v>
      </c>
      <c r="D1621" s="204" t="str">
        <f>IFERROR(__xludf.DUMMYFUNCTION("ARRAYFORMULA(LET( converted, SUBSTITUTE( SUBSTITUTE( SUBSTITUTE( SUBSTITUTE( SUBSTITUTE( SUBSTITUTE( SUBSTITUTE( SUBSTITUTE( SUBSTITUTE( SUBSTITUTE( C1621, ""۰"", ""0""), ""۱"", ""1""), ""۲"", ""2""), ""۳"", ""3""), ""۴"", ""4""), ""۵"", ""5""), ""۶"", """&amp;"6""), ""۷"", ""7""), ""۸"", ""8""), ""۹"", ""9""), IF(LEFT(converted,3)=""+98"", ""0"" &amp; RIGHT(converted, LEN(converted)-3), IF(LEFT(converted,2)=""98"", ""0"" &amp; RIGHT(converted, LEN(converted)-2), IF(LEFT(converted,1)&lt;&gt;""0"", ""0"" &amp; converted, REGEXREPL"&amp;"ACE(converted , ""\s"", """")) ) ) ) )"),"09123700739")</f>
        <v>09123700739</v>
      </c>
      <c r="E1621" s="205" t="s">
        <v>17</v>
      </c>
      <c r="F1621" s="214">
        <v>13.0</v>
      </c>
      <c r="G1621" s="202"/>
      <c r="H1621" s="213" t="s">
        <v>6784</v>
      </c>
      <c r="I1621" s="203"/>
      <c r="J1621" s="203"/>
      <c r="K1621" s="202" t="s">
        <v>286</v>
      </c>
      <c r="L1621" s="202" t="s">
        <v>1811</v>
      </c>
      <c r="M1621" s="202"/>
      <c r="N1621" s="202"/>
      <c r="O1621" s="207" t="s">
        <v>6765</v>
      </c>
      <c r="P1621" s="207" t="s">
        <v>6785</v>
      </c>
      <c r="Q1621" s="216" t="s">
        <v>6766</v>
      </c>
      <c r="R1621" s="86"/>
      <c r="S1621" s="114">
        <f t="shared" ref="S1621:T1621" si="1623">A1621</f>
        <v>1621</v>
      </c>
      <c r="T1621" s="114" t="str">
        <f t="shared" si="1623"/>
        <v>مهدی حسنی</v>
      </c>
      <c r="U1621" s="86" t="str">
        <f t="shared" si="3"/>
        <v>09123700739</v>
      </c>
      <c r="V1621" s="86" t="str">
        <f t="shared" si="4"/>
        <v>پیش‌وایی 13</v>
      </c>
      <c r="W1621" s="86"/>
      <c r="X1621" s="86"/>
    </row>
    <row r="1622">
      <c r="A1622" s="192">
        <v>1622.0</v>
      </c>
      <c r="B1622" s="193" t="str">
        <f t="shared" si="1616"/>
        <v>زهرا قربانی</v>
      </c>
      <c r="C1622" s="194" t="s">
        <v>6786</v>
      </c>
      <c r="D1622" s="195" t="str">
        <f>IFERROR(__xludf.DUMMYFUNCTION("ARRAYFORMULA(LET( converted, SUBSTITUTE( SUBSTITUTE( SUBSTITUTE( SUBSTITUTE( SUBSTITUTE( SUBSTITUTE( SUBSTITUTE( SUBSTITUTE( SUBSTITUTE( SUBSTITUTE( C1622, ""۰"", ""0""), ""۱"", ""1""), ""۲"", ""2""), ""۳"", ""3""), ""۴"", ""4""), ""۵"", ""5""), ""۶"", """&amp;"6""), ""۷"", ""7""), ""۸"", ""8""), ""۹"", ""9""), IF(LEFT(converted,3)=""+98"", ""0"" &amp; RIGHT(converted, LEN(converted)-3), IF(LEFT(converted,2)=""98"", ""0"" &amp; RIGHT(converted, LEN(converted)-2), IF(LEFT(converted,1)&lt;&gt;""0"", ""0"" &amp; converted, REGEXREPL"&amp;"ACE(converted , ""\s"", """")) ) ) ) )"),"09197705720")</f>
        <v>09197705720</v>
      </c>
      <c r="E1622" s="196" t="s">
        <v>17</v>
      </c>
      <c r="F1622" s="221">
        <v>13.0</v>
      </c>
      <c r="G1622" s="193"/>
      <c r="H1622" s="193"/>
      <c r="I1622" s="194"/>
      <c r="J1622" s="194"/>
      <c r="K1622" s="193" t="s">
        <v>1398</v>
      </c>
      <c r="L1622" s="193" t="s">
        <v>981</v>
      </c>
      <c r="M1622" s="193"/>
      <c r="N1622" s="193"/>
      <c r="O1622" s="199" t="s">
        <v>6787</v>
      </c>
      <c r="P1622" s="199" t="s">
        <v>6787</v>
      </c>
      <c r="Q1622" s="218" t="s">
        <v>6766</v>
      </c>
      <c r="R1622" s="86"/>
      <c r="S1622" s="114">
        <f t="shared" ref="S1622:T1622" si="1624">A1622</f>
        <v>1622</v>
      </c>
      <c r="T1622" s="114" t="str">
        <f t="shared" si="1624"/>
        <v>زهرا قربانی</v>
      </c>
      <c r="U1622" s="86" t="str">
        <f t="shared" si="3"/>
        <v>09197705720</v>
      </c>
      <c r="V1622" s="86" t="str">
        <f t="shared" si="4"/>
        <v>پیش‌وایی 13</v>
      </c>
      <c r="W1622" s="86"/>
      <c r="X1622" s="86"/>
    </row>
    <row r="1623">
      <c r="A1623" s="201">
        <v>1623.0</v>
      </c>
      <c r="B1623" s="202" t="str">
        <f t="shared" si="1616"/>
        <v>امین سمیع‌زاده</v>
      </c>
      <c r="C1623" s="203" t="s">
        <v>6788</v>
      </c>
      <c r="D1623" s="204" t="str">
        <f>IFERROR(__xludf.DUMMYFUNCTION("ARRAYFORMULA(LET( converted, SUBSTITUTE( SUBSTITUTE( SUBSTITUTE( SUBSTITUTE( SUBSTITUTE( SUBSTITUTE( SUBSTITUTE( SUBSTITUTE( SUBSTITUTE( SUBSTITUTE( C1623, ""۰"", ""0""), ""۱"", ""1""), ""۲"", ""2""), ""۳"", ""3""), ""۴"", ""4""), ""۵"", ""5""), ""۶"", """&amp;"6""), ""۷"", ""7""), ""۸"", ""8""), ""۹"", ""9""), IF(LEFT(converted,3)=""+98"", ""0"" &amp; RIGHT(converted, LEN(converted)-3), IF(LEFT(converted,2)=""98"", ""0"" &amp; RIGHT(converted, LEN(converted)-2), IF(LEFT(converted,1)&lt;&gt;""0"", ""0"" &amp; converted, REGEXREPL"&amp;"ACE(converted , ""\s"", """")) ) ) ) )"),"09121070729")</f>
        <v>09121070729</v>
      </c>
      <c r="E1623" s="205" t="s">
        <v>17</v>
      </c>
      <c r="F1623" s="214">
        <v>13.0</v>
      </c>
      <c r="G1623" s="202"/>
      <c r="H1623" s="213" t="s">
        <v>6789</v>
      </c>
      <c r="I1623" s="203"/>
      <c r="J1623" s="203"/>
      <c r="K1623" s="202" t="s">
        <v>1678</v>
      </c>
      <c r="L1623" s="202" t="s">
        <v>6790</v>
      </c>
      <c r="M1623" s="202"/>
      <c r="N1623" s="202"/>
      <c r="O1623" s="207" t="s">
        <v>6765</v>
      </c>
      <c r="P1623" s="207" t="s">
        <v>6791</v>
      </c>
      <c r="Q1623" s="216" t="s">
        <v>6766</v>
      </c>
      <c r="R1623" s="86"/>
      <c r="S1623" s="114">
        <f t="shared" ref="S1623:T1623" si="1625">A1623</f>
        <v>1623</v>
      </c>
      <c r="T1623" s="114" t="str">
        <f t="shared" si="1625"/>
        <v>امین سمیع‌زاده</v>
      </c>
      <c r="U1623" s="86" t="str">
        <f t="shared" si="3"/>
        <v>09121070729</v>
      </c>
      <c r="V1623" s="86" t="str">
        <f t="shared" si="4"/>
        <v>پیش‌وایی 13</v>
      </c>
      <c r="W1623" s="86"/>
      <c r="X1623" s="86"/>
    </row>
    <row r="1624">
      <c r="A1624" s="192">
        <v>1624.0</v>
      </c>
      <c r="B1624" s="193" t="str">
        <f t="shared" si="1616"/>
        <v>شیوا توکلی</v>
      </c>
      <c r="C1624" s="194" t="s">
        <v>348</v>
      </c>
      <c r="D1624" s="195" t="str">
        <f>IFERROR(__xludf.DUMMYFUNCTION("ARRAYFORMULA(LET( converted, SUBSTITUTE( SUBSTITUTE( SUBSTITUTE( SUBSTITUTE( SUBSTITUTE( SUBSTITUTE( SUBSTITUTE( SUBSTITUTE( SUBSTITUTE( SUBSTITUTE( C1624, ""۰"", ""0""), ""۱"", ""1""), ""۲"", ""2""), ""۳"", ""3""), ""۴"", ""4""), ""۵"", ""5""), ""۶"", """&amp;"6""), ""۷"", ""7""), ""۸"", ""8""), ""۹"", ""9""), IF(LEFT(converted,3)=""+98"", ""0"" &amp; RIGHT(converted, LEN(converted)-3), IF(LEFT(converted,2)=""98"", ""0"" &amp; RIGHT(converted, LEN(converted)-2), IF(LEFT(converted,1)&lt;&gt;""0"", ""0"" &amp; converted, REGEXREPL"&amp;"ACE(converted , ""\s"", """")) ) ) ) )"),"09126068481")</f>
        <v>09126068481</v>
      </c>
      <c r="E1624" s="196" t="s">
        <v>17</v>
      </c>
      <c r="F1624" s="221">
        <v>13.0</v>
      </c>
      <c r="G1624" s="193"/>
      <c r="H1624" s="193"/>
      <c r="I1624" s="194"/>
      <c r="J1624" s="194"/>
      <c r="K1624" s="193" t="s">
        <v>346</v>
      </c>
      <c r="L1624" s="193" t="s">
        <v>347</v>
      </c>
      <c r="M1624" s="193"/>
      <c r="N1624" s="193"/>
      <c r="O1624" s="199" t="s">
        <v>6765</v>
      </c>
      <c r="P1624" s="199" t="s">
        <v>6791</v>
      </c>
      <c r="Q1624" s="218" t="s">
        <v>6766</v>
      </c>
      <c r="R1624" s="86"/>
      <c r="S1624" s="114">
        <f t="shared" ref="S1624:T1624" si="1626">A1624</f>
        <v>1624</v>
      </c>
      <c r="T1624" s="114" t="str">
        <f t="shared" si="1626"/>
        <v>شیوا توکلی</v>
      </c>
      <c r="U1624" s="86" t="str">
        <f t="shared" si="3"/>
        <v>09126068481</v>
      </c>
      <c r="V1624" s="86" t="str">
        <f t="shared" si="4"/>
        <v>پیش‌وایی 13</v>
      </c>
      <c r="W1624" s="86"/>
      <c r="X1624" s="86"/>
    </row>
    <row r="1625">
      <c r="A1625" s="201">
        <v>1625.0</v>
      </c>
      <c r="B1625" s="202" t="str">
        <f t="shared" si="1616"/>
        <v>بهزاد محمدی</v>
      </c>
      <c r="C1625" s="203" t="s">
        <v>6792</v>
      </c>
      <c r="D1625" s="204" t="str">
        <f>IFERROR(__xludf.DUMMYFUNCTION("ARRAYFORMULA(LET( converted, SUBSTITUTE( SUBSTITUTE( SUBSTITUTE( SUBSTITUTE( SUBSTITUTE( SUBSTITUTE( SUBSTITUTE( SUBSTITUTE( SUBSTITUTE( SUBSTITUTE( C1625, ""۰"", ""0""), ""۱"", ""1""), ""۲"", ""2""), ""۳"", ""3""), ""۴"", ""4""), ""۵"", ""5""), ""۶"", """&amp;"6""), ""۷"", ""7""), ""۸"", ""8""), ""۹"", ""9""), IF(LEFT(converted,3)=""+98"", ""0"" &amp; RIGHT(converted, LEN(converted)-3), IF(LEFT(converted,2)=""98"", ""0"" &amp; RIGHT(converted, LEN(converted)-2), IF(LEFT(converted,1)&lt;&gt;""0"", ""0"" &amp; converted, REGEXREPL"&amp;"ACE(converted , ""\s"", """")) ) ) ) )"),"09122494620")</f>
        <v>09122494620</v>
      </c>
      <c r="E1625" s="205" t="s">
        <v>17</v>
      </c>
      <c r="F1625" s="214">
        <v>13.0</v>
      </c>
      <c r="G1625" s="202"/>
      <c r="H1625" s="202"/>
      <c r="I1625" s="203"/>
      <c r="J1625" s="203"/>
      <c r="K1625" s="202" t="s">
        <v>4019</v>
      </c>
      <c r="L1625" s="202" t="s">
        <v>1012</v>
      </c>
      <c r="M1625" s="202"/>
      <c r="N1625" s="202"/>
      <c r="O1625" s="207" t="s">
        <v>6765</v>
      </c>
      <c r="P1625" s="207" t="s">
        <v>6126</v>
      </c>
      <c r="Q1625" s="216" t="s">
        <v>6766</v>
      </c>
      <c r="R1625" s="86"/>
      <c r="S1625" s="114">
        <f t="shared" ref="S1625:T1625" si="1627">A1625</f>
        <v>1625</v>
      </c>
      <c r="T1625" s="114" t="str">
        <f t="shared" si="1627"/>
        <v>بهزاد محمدی</v>
      </c>
      <c r="U1625" s="86" t="str">
        <f t="shared" si="3"/>
        <v>09122494620</v>
      </c>
      <c r="V1625" s="86" t="str">
        <f t="shared" si="4"/>
        <v>پیش‌وایی 13</v>
      </c>
      <c r="W1625" s="86"/>
      <c r="X1625" s="86"/>
    </row>
    <row r="1626">
      <c r="A1626" s="192">
        <v>1626.0</v>
      </c>
      <c r="B1626" s="193" t="str">
        <f t="shared" si="1616"/>
        <v>محسن لطفی</v>
      </c>
      <c r="C1626" s="194" t="s">
        <v>6793</v>
      </c>
      <c r="D1626" s="195" t="str">
        <f>IFERROR(__xludf.DUMMYFUNCTION("ARRAYFORMULA(LET( converted, SUBSTITUTE( SUBSTITUTE( SUBSTITUTE( SUBSTITUTE( SUBSTITUTE( SUBSTITUTE( SUBSTITUTE( SUBSTITUTE( SUBSTITUTE( SUBSTITUTE( C1626, ""۰"", ""0""), ""۱"", ""1""), ""۲"", ""2""), ""۳"", ""3""), ""۴"", ""4""), ""۵"", ""5""), ""۶"", """&amp;"6""), ""۷"", ""7""), ""۸"", ""8""), ""۹"", ""9""), IF(LEFT(converted,3)=""+98"", ""0"" &amp; RIGHT(converted, LEN(converted)-3), IF(LEFT(converted,2)=""98"", ""0"" &amp; RIGHT(converted, LEN(converted)-2), IF(LEFT(converted,1)&lt;&gt;""0"", ""0"" &amp; converted, REGEXREPL"&amp;"ACE(converted , ""\s"", """")) ) ) ) )"),"09186996100")</f>
        <v>09186996100</v>
      </c>
      <c r="E1626" s="196" t="s">
        <v>17</v>
      </c>
      <c r="F1626" s="221">
        <v>13.0</v>
      </c>
      <c r="G1626" s="193"/>
      <c r="H1626" s="193"/>
      <c r="I1626" s="194"/>
      <c r="J1626" s="194"/>
      <c r="K1626" s="193" t="s">
        <v>311</v>
      </c>
      <c r="L1626" s="193" t="s">
        <v>1282</v>
      </c>
      <c r="M1626" s="193"/>
      <c r="N1626" s="193"/>
      <c r="O1626" s="199" t="s">
        <v>6765</v>
      </c>
      <c r="P1626" s="199" t="s">
        <v>6126</v>
      </c>
      <c r="Q1626" s="218" t="s">
        <v>6766</v>
      </c>
      <c r="R1626" s="86"/>
      <c r="S1626" s="114">
        <f t="shared" ref="S1626:T1626" si="1628">A1626</f>
        <v>1626</v>
      </c>
      <c r="T1626" s="114" t="str">
        <f t="shared" si="1628"/>
        <v>محسن لطفی</v>
      </c>
      <c r="U1626" s="86" t="str">
        <f t="shared" si="3"/>
        <v>09186996100</v>
      </c>
      <c r="V1626" s="86" t="str">
        <f t="shared" si="4"/>
        <v>پیش‌وایی 13</v>
      </c>
      <c r="W1626" s="86"/>
      <c r="X1626" s="86"/>
    </row>
    <row r="1627">
      <c r="A1627" s="201">
        <v>1627.0</v>
      </c>
      <c r="B1627" s="202" t="str">
        <f t="shared" si="1616"/>
        <v>فریبا فتحعلی</v>
      </c>
      <c r="C1627" s="203" t="s">
        <v>6794</v>
      </c>
      <c r="D1627" s="204" t="str">
        <f>IFERROR(__xludf.DUMMYFUNCTION("ARRAYFORMULA(LET( converted, SUBSTITUTE( SUBSTITUTE( SUBSTITUTE( SUBSTITUTE( SUBSTITUTE( SUBSTITUTE( SUBSTITUTE( SUBSTITUTE( SUBSTITUTE( SUBSTITUTE( C1627, ""۰"", ""0""), ""۱"", ""1""), ""۲"", ""2""), ""۳"", ""3""), ""۴"", ""4""), ""۵"", ""5""), ""۶"", """&amp;"6""), ""۷"", ""7""), ""۸"", ""8""), ""۹"", ""9""), IF(LEFT(converted,3)=""+98"", ""0"" &amp; RIGHT(converted, LEN(converted)-3), IF(LEFT(converted,2)=""98"", ""0"" &amp; RIGHT(converted, LEN(converted)-2), IF(LEFT(converted,1)&lt;&gt;""0"", ""0"" &amp; converted, REGEXREPL"&amp;"ACE(converted , ""\s"", """")) ) ) ) )"),"09186991107")</f>
        <v>09186991107</v>
      </c>
      <c r="E1627" s="205" t="s">
        <v>17</v>
      </c>
      <c r="F1627" s="214">
        <v>13.0</v>
      </c>
      <c r="G1627" s="202"/>
      <c r="H1627" s="202"/>
      <c r="I1627" s="203"/>
      <c r="J1627" s="203"/>
      <c r="K1627" s="202" t="s">
        <v>6795</v>
      </c>
      <c r="L1627" s="202" t="s">
        <v>6796</v>
      </c>
      <c r="M1627" s="202"/>
      <c r="N1627" s="202"/>
      <c r="O1627" s="207" t="s">
        <v>6765</v>
      </c>
      <c r="P1627" s="207" t="s">
        <v>6126</v>
      </c>
      <c r="Q1627" s="216" t="s">
        <v>6766</v>
      </c>
      <c r="R1627" s="86"/>
      <c r="S1627" s="114">
        <f t="shared" ref="S1627:T1627" si="1629">A1627</f>
        <v>1627</v>
      </c>
      <c r="T1627" s="114" t="str">
        <f t="shared" si="1629"/>
        <v>فریبا فتحعلی</v>
      </c>
      <c r="U1627" s="86" t="str">
        <f t="shared" si="3"/>
        <v>09186991107</v>
      </c>
      <c r="V1627" s="86" t="str">
        <f t="shared" si="4"/>
        <v>پیش‌وایی 13</v>
      </c>
      <c r="W1627" s="86"/>
      <c r="X1627" s="86"/>
    </row>
    <row r="1628">
      <c r="A1628" s="192">
        <v>1628.0</v>
      </c>
      <c r="B1628" s="193" t="str">
        <f t="shared" si="1616"/>
        <v>کیانوش قزوینی</v>
      </c>
      <c r="C1628" s="194" t="s">
        <v>6797</v>
      </c>
      <c r="D1628" s="195" t="str">
        <f>IFERROR(__xludf.DUMMYFUNCTION("ARRAYFORMULA(LET( converted, SUBSTITUTE( SUBSTITUTE( SUBSTITUTE( SUBSTITUTE( SUBSTITUTE( SUBSTITUTE( SUBSTITUTE( SUBSTITUTE( SUBSTITUTE( SUBSTITUTE( C1628, ""۰"", ""0""), ""۱"", ""1""), ""۲"", ""2""), ""۳"", ""3""), ""۴"", ""4""), ""۵"", ""5""), ""۶"", """&amp;"6""), ""۷"", ""7""), ""۸"", ""8""), ""۹"", ""9""), IF(LEFT(converted,3)=""+98"", ""0"" &amp; RIGHT(converted, LEN(converted)-3), IF(LEFT(converted,2)=""98"", ""0"" &amp; RIGHT(converted, LEN(converted)-2), IF(LEFT(converted,1)&lt;&gt;""0"", ""0"" &amp; converted, REGEXREPL"&amp;"ACE(converted , ""\s"", """")) ) ) ) )"),"09188624437")</f>
        <v>09188624437</v>
      </c>
      <c r="E1628" s="196" t="s">
        <v>17</v>
      </c>
      <c r="F1628" s="221">
        <v>13.0</v>
      </c>
      <c r="G1628" s="193"/>
      <c r="H1628" s="193"/>
      <c r="I1628" s="194"/>
      <c r="J1628" s="194"/>
      <c r="K1628" s="193" t="s">
        <v>6798</v>
      </c>
      <c r="L1628" s="193" t="s">
        <v>6799</v>
      </c>
      <c r="M1628" s="193"/>
      <c r="N1628" s="193"/>
      <c r="O1628" s="199" t="s">
        <v>6765</v>
      </c>
      <c r="P1628" s="199" t="s">
        <v>6126</v>
      </c>
      <c r="Q1628" s="218" t="s">
        <v>6766</v>
      </c>
      <c r="R1628" s="86"/>
      <c r="S1628" s="114">
        <f t="shared" ref="S1628:T1628" si="1630">A1628</f>
        <v>1628</v>
      </c>
      <c r="T1628" s="114" t="str">
        <f t="shared" si="1630"/>
        <v>کیانوش قزوینی</v>
      </c>
      <c r="U1628" s="86" t="str">
        <f t="shared" si="3"/>
        <v>09188624437</v>
      </c>
      <c r="V1628" s="86" t="str">
        <f t="shared" si="4"/>
        <v>پیش‌وایی 13</v>
      </c>
      <c r="W1628" s="86"/>
      <c r="X1628" s="86"/>
    </row>
    <row r="1629">
      <c r="A1629" s="201">
        <v>1629.0</v>
      </c>
      <c r="B1629" s="202" t="str">
        <f t="shared" si="1616"/>
        <v>محدثه عربی</v>
      </c>
      <c r="C1629" s="203" t="s">
        <v>6800</v>
      </c>
      <c r="D1629" s="204" t="str">
        <f>IFERROR(__xludf.DUMMYFUNCTION("ARRAYFORMULA(LET( converted, SUBSTITUTE( SUBSTITUTE( SUBSTITUTE( SUBSTITUTE( SUBSTITUTE( SUBSTITUTE( SUBSTITUTE( SUBSTITUTE( SUBSTITUTE( SUBSTITUTE( C1629, ""۰"", ""0""), ""۱"", ""1""), ""۲"", ""2""), ""۳"", ""3""), ""۴"", ""4""), ""۵"", ""5""), ""۶"", """&amp;"6""), ""۷"", ""7""), ""۸"", ""8""), ""۹"", ""9""), IF(LEFT(converted,3)=""+98"", ""0"" &amp; RIGHT(converted, LEN(converted)-3), IF(LEFT(converted,2)=""98"", ""0"" &amp; RIGHT(converted, LEN(converted)-2), IF(LEFT(converted,1)&lt;&gt;""0"", ""0"" &amp; converted, REGEXREPL"&amp;"ACE(converted , ""\s"", """")) ) ) ) )"),"09183563298")</f>
        <v>09183563298</v>
      </c>
      <c r="E1629" s="205" t="s">
        <v>17</v>
      </c>
      <c r="F1629" s="214">
        <v>13.0</v>
      </c>
      <c r="G1629" s="202"/>
      <c r="H1629" s="202"/>
      <c r="I1629" s="203"/>
      <c r="J1629" s="203"/>
      <c r="K1629" s="202" t="s">
        <v>4266</v>
      </c>
      <c r="L1629" s="202" t="s">
        <v>6801</v>
      </c>
      <c r="M1629" s="202"/>
      <c r="N1629" s="202"/>
      <c r="O1629" s="207" t="s">
        <v>6765</v>
      </c>
      <c r="P1629" s="207" t="s">
        <v>6126</v>
      </c>
      <c r="Q1629" s="216" t="s">
        <v>6766</v>
      </c>
      <c r="R1629" s="86"/>
      <c r="S1629" s="114">
        <f t="shared" ref="S1629:T1629" si="1631">A1629</f>
        <v>1629</v>
      </c>
      <c r="T1629" s="114" t="str">
        <f t="shared" si="1631"/>
        <v>محدثه عربی</v>
      </c>
      <c r="U1629" s="86" t="str">
        <f t="shared" si="3"/>
        <v>09183563298</v>
      </c>
      <c r="V1629" s="86" t="str">
        <f t="shared" si="4"/>
        <v>پیش‌وایی 13</v>
      </c>
      <c r="W1629" s="86"/>
      <c r="X1629" s="86"/>
    </row>
    <row r="1630">
      <c r="A1630" s="192">
        <v>1630.0</v>
      </c>
      <c r="B1630" s="193" t="str">
        <f t="shared" si="1616"/>
        <v>زهرا پرتوی</v>
      </c>
      <c r="C1630" s="194" t="s">
        <v>6802</v>
      </c>
      <c r="D1630" s="195" t="str">
        <f>IFERROR(__xludf.DUMMYFUNCTION("ARRAYFORMULA(LET( converted, SUBSTITUTE( SUBSTITUTE( SUBSTITUTE( SUBSTITUTE( SUBSTITUTE( SUBSTITUTE( SUBSTITUTE( SUBSTITUTE( SUBSTITUTE( SUBSTITUTE( C1630, ""۰"", ""0""), ""۱"", ""1""), ""۲"", ""2""), ""۳"", ""3""), ""۴"", ""4""), ""۵"", ""5""), ""۶"", """&amp;"6""), ""۷"", ""7""), ""۸"", ""8""), ""۹"", ""9""), IF(LEFT(converted,3)=""+98"", ""0"" &amp; RIGHT(converted, LEN(converted)-3), IF(LEFT(converted,2)=""98"", ""0"" &amp; RIGHT(converted, LEN(converted)-2), IF(LEFT(converted,1)&lt;&gt;""0"", ""0"" &amp; converted, REGEXREPL"&amp;"ACE(converted , ""\s"", """")) ) ) ) )"),"09188494403")</f>
        <v>09188494403</v>
      </c>
      <c r="E1630" s="196" t="s">
        <v>17</v>
      </c>
      <c r="F1630" s="221">
        <v>13.0</v>
      </c>
      <c r="G1630" s="193"/>
      <c r="H1630" s="193"/>
      <c r="I1630" s="194"/>
      <c r="J1630" s="194"/>
      <c r="K1630" s="193" t="s">
        <v>1398</v>
      </c>
      <c r="L1630" s="193" t="s">
        <v>6803</v>
      </c>
      <c r="M1630" s="193"/>
      <c r="N1630" s="193"/>
      <c r="O1630" s="199" t="s">
        <v>6765</v>
      </c>
      <c r="P1630" s="199" t="s">
        <v>6126</v>
      </c>
      <c r="Q1630" s="218" t="s">
        <v>6766</v>
      </c>
      <c r="R1630" s="86"/>
      <c r="S1630" s="114">
        <f t="shared" ref="S1630:T1630" si="1632">A1630</f>
        <v>1630</v>
      </c>
      <c r="T1630" s="114" t="str">
        <f t="shared" si="1632"/>
        <v>زهرا پرتوی</v>
      </c>
      <c r="U1630" s="86" t="str">
        <f t="shared" si="3"/>
        <v>09188494403</v>
      </c>
      <c r="V1630" s="86" t="str">
        <f t="shared" si="4"/>
        <v>پیش‌وایی 13</v>
      </c>
      <c r="W1630" s="86"/>
      <c r="X1630" s="86"/>
    </row>
    <row r="1631">
      <c r="A1631" s="201">
        <v>1631.0</v>
      </c>
      <c r="B1631" s="202" t="str">
        <f t="shared" si="1616"/>
        <v>زهرا خورشیدی</v>
      </c>
      <c r="C1631" s="203" t="s">
        <v>6804</v>
      </c>
      <c r="D1631" s="204" t="str">
        <f>IFERROR(__xludf.DUMMYFUNCTION("ARRAYFORMULA(LET( converted, SUBSTITUTE( SUBSTITUTE( SUBSTITUTE( SUBSTITUTE( SUBSTITUTE( SUBSTITUTE( SUBSTITUTE( SUBSTITUTE( SUBSTITUTE( SUBSTITUTE( C1631, ""۰"", ""0""), ""۱"", ""1""), ""۲"", ""2""), ""۳"", ""3""), ""۴"", ""4""), ""۵"", ""5""), ""۶"", """&amp;"6""), ""۷"", ""7""), ""۸"", ""8""), ""۹"", ""9""), IF(LEFT(converted,3)=""+98"", ""0"" &amp; RIGHT(converted, LEN(converted)-3), IF(LEFT(converted,2)=""98"", ""0"" &amp; RIGHT(converted, LEN(converted)-2), IF(LEFT(converted,1)&lt;&gt;""0"", ""0"" &amp; converted, REGEXREPL"&amp;"ACE(converted , ""\s"", """")) ) ) ) )"),"09186914231")</f>
        <v>09186914231</v>
      </c>
      <c r="E1631" s="205" t="s">
        <v>17</v>
      </c>
      <c r="F1631" s="214">
        <v>13.0</v>
      </c>
      <c r="G1631" s="202"/>
      <c r="H1631" s="202"/>
      <c r="I1631" s="203"/>
      <c r="J1631" s="203"/>
      <c r="K1631" s="202" t="s">
        <v>1398</v>
      </c>
      <c r="L1631" s="202" t="s">
        <v>4125</v>
      </c>
      <c r="M1631" s="202"/>
      <c r="N1631" s="202"/>
      <c r="O1631" s="207" t="s">
        <v>6765</v>
      </c>
      <c r="P1631" s="207" t="s">
        <v>6126</v>
      </c>
      <c r="Q1631" s="216" t="s">
        <v>6766</v>
      </c>
      <c r="R1631" s="86"/>
      <c r="S1631" s="114">
        <f t="shared" ref="S1631:T1631" si="1633">A1631</f>
        <v>1631</v>
      </c>
      <c r="T1631" s="114" t="str">
        <f t="shared" si="1633"/>
        <v>زهرا خورشیدی</v>
      </c>
      <c r="U1631" s="86" t="str">
        <f t="shared" si="3"/>
        <v>09186914231</v>
      </c>
      <c r="V1631" s="86" t="str">
        <f t="shared" si="4"/>
        <v>پیش‌وایی 13</v>
      </c>
      <c r="W1631" s="86"/>
      <c r="X1631" s="86"/>
    </row>
    <row r="1632">
      <c r="A1632" s="192">
        <v>1632.0</v>
      </c>
      <c r="B1632" s="193" t="str">
        <f t="shared" si="1616"/>
        <v>ساناز حیدری کیا</v>
      </c>
      <c r="C1632" s="194" t="s">
        <v>6805</v>
      </c>
      <c r="D1632" s="195" t="str">
        <f>IFERROR(__xludf.DUMMYFUNCTION("ARRAYFORMULA(LET( converted, SUBSTITUTE( SUBSTITUTE( SUBSTITUTE( SUBSTITUTE( SUBSTITUTE( SUBSTITUTE( SUBSTITUTE( SUBSTITUTE( SUBSTITUTE( SUBSTITUTE( C1632, ""۰"", ""0""), ""۱"", ""1""), ""۲"", ""2""), ""۳"", ""3""), ""۴"", ""4""), ""۵"", ""5""), ""۶"", """&amp;"6""), ""۷"", ""7""), ""۸"", ""8""), ""۹"", ""9""), IF(LEFT(converted,3)=""+98"", ""0"" &amp; RIGHT(converted, LEN(converted)-3), IF(LEFT(converted,2)=""98"", ""0"" &amp; RIGHT(converted, LEN(converted)-2), IF(LEFT(converted,1)&lt;&gt;""0"", ""0"" &amp; converted, REGEXREPL"&amp;"ACE(converted , ""\s"", """")) ) ) ) )"),"09025918188")</f>
        <v>09025918188</v>
      </c>
      <c r="E1632" s="196" t="s">
        <v>17</v>
      </c>
      <c r="F1632" s="221">
        <v>13.0</v>
      </c>
      <c r="G1632" s="193"/>
      <c r="H1632" s="212" t="s">
        <v>6806</v>
      </c>
      <c r="I1632" s="194"/>
      <c r="J1632" s="194"/>
      <c r="K1632" s="193" t="s">
        <v>3199</v>
      </c>
      <c r="L1632" s="193" t="s">
        <v>6807</v>
      </c>
      <c r="M1632" s="193"/>
      <c r="N1632" s="193"/>
      <c r="O1632" s="199" t="s">
        <v>6765</v>
      </c>
      <c r="P1632" s="199" t="s">
        <v>6126</v>
      </c>
      <c r="Q1632" s="218" t="s">
        <v>6766</v>
      </c>
      <c r="R1632" s="86"/>
      <c r="S1632" s="114">
        <f t="shared" ref="S1632:T1632" si="1634">A1632</f>
        <v>1632</v>
      </c>
      <c r="T1632" s="114" t="str">
        <f t="shared" si="1634"/>
        <v>ساناز حیدری کیا</v>
      </c>
      <c r="U1632" s="86" t="str">
        <f t="shared" si="3"/>
        <v>09025918188</v>
      </c>
      <c r="V1632" s="86" t="str">
        <f t="shared" si="4"/>
        <v>پیش‌وایی 13</v>
      </c>
      <c r="W1632" s="86"/>
      <c r="X1632" s="86"/>
    </row>
    <row r="1633">
      <c r="A1633" s="201">
        <v>1633.0</v>
      </c>
      <c r="B1633" s="202" t="str">
        <f t="shared" si="1616"/>
        <v>مریم حیدری کیا</v>
      </c>
      <c r="C1633" s="203" t="s">
        <v>6808</v>
      </c>
      <c r="D1633" s="204" t="str">
        <f>IFERROR(__xludf.DUMMYFUNCTION("ARRAYFORMULA(LET( converted, SUBSTITUTE( SUBSTITUTE( SUBSTITUTE( SUBSTITUTE( SUBSTITUTE( SUBSTITUTE( SUBSTITUTE( SUBSTITUTE( SUBSTITUTE( SUBSTITUTE( C1633, ""۰"", ""0""), ""۱"", ""1""), ""۲"", ""2""), ""۳"", ""3""), ""۴"", ""4""), ""۵"", ""5""), ""۶"", """&amp;"6""), ""۷"", ""7""), ""۸"", ""8""), ""۹"", ""9""), IF(LEFT(converted,3)=""+98"", ""0"" &amp; RIGHT(converted, LEN(converted)-3), IF(LEFT(converted,2)=""98"", ""0"" &amp; RIGHT(converted, LEN(converted)-2), IF(LEFT(converted,1)&lt;&gt;""0"", ""0"" &amp; converted, REGEXREPL"&amp;"ACE(converted , ""\s"", """")) ) ) ) )"),"09333170160")</f>
        <v>09333170160</v>
      </c>
      <c r="E1633" s="205" t="s">
        <v>17</v>
      </c>
      <c r="F1633" s="214">
        <v>13.0</v>
      </c>
      <c r="G1633" s="202"/>
      <c r="H1633" s="202"/>
      <c r="I1633" s="203"/>
      <c r="J1633" s="203"/>
      <c r="K1633" s="202" t="s">
        <v>292</v>
      </c>
      <c r="L1633" s="202" t="s">
        <v>6807</v>
      </c>
      <c r="M1633" s="202"/>
      <c r="N1633" s="202"/>
      <c r="O1633" s="207" t="s">
        <v>6765</v>
      </c>
      <c r="P1633" s="207" t="s">
        <v>6126</v>
      </c>
      <c r="Q1633" s="216" t="s">
        <v>6766</v>
      </c>
      <c r="R1633" s="86"/>
      <c r="S1633" s="114">
        <f t="shared" ref="S1633:T1633" si="1635">A1633</f>
        <v>1633</v>
      </c>
      <c r="T1633" s="114" t="str">
        <f t="shared" si="1635"/>
        <v>مریم حیدری کیا</v>
      </c>
      <c r="U1633" s="86" t="str">
        <f t="shared" si="3"/>
        <v>09333170160</v>
      </c>
      <c r="V1633" s="86" t="str">
        <f t="shared" si="4"/>
        <v>پیش‌وایی 13</v>
      </c>
      <c r="W1633" s="86"/>
      <c r="X1633" s="86"/>
    </row>
    <row r="1634">
      <c r="A1634" s="192">
        <v>1634.0</v>
      </c>
      <c r="B1634" s="193" t="str">
        <f t="shared" si="1616"/>
        <v>منصور علی آبادی</v>
      </c>
      <c r="C1634" s="194" t="s">
        <v>6809</v>
      </c>
      <c r="D1634" s="195" t="str">
        <f>IFERROR(__xludf.DUMMYFUNCTION("ARRAYFORMULA(LET( converted, SUBSTITUTE( SUBSTITUTE( SUBSTITUTE( SUBSTITUTE( SUBSTITUTE( SUBSTITUTE( SUBSTITUTE( SUBSTITUTE( SUBSTITUTE( SUBSTITUTE( C1634, ""۰"", ""0""), ""۱"", ""1""), ""۲"", ""2""), ""۳"", ""3""), ""۴"", ""4""), ""۵"", ""5""), ""۶"", """&amp;"6""), ""۷"", ""7""), ""۸"", ""8""), ""۹"", ""9""), IF(LEFT(converted,3)=""+98"", ""0"" &amp; RIGHT(converted, LEN(converted)-3), IF(LEFT(converted,2)=""98"", ""0"" &amp; RIGHT(converted, LEN(converted)-2), IF(LEFT(converted,1)&lt;&gt;""0"", ""0"" &amp; converted, REGEXREPL"&amp;"ACE(converted , ""\s"", """")) ) ) ) )"),"09183611591")</f>
        <v>09183611591</v>
      </c>
      <c r="E1634" s="196" t="s">
        <v>17</v>
      </c>
      <c r="F1634" s="221">
        <v>13.0</v>
      </c>
      <c r="G1634" s="193"/>
      <c r="H1634" s="193"/>
      <c r="I1634" s="194"/>
      <c r="J1634" s="194"/>
      <c r="K1634" s="193" t="s">
        <v>381</v>
      </c>
      <c r="L1634" s="193" t="s">
        <v>6129</v>
      </c>
      <c r="M1634" s="193"/>
      <c r="N1634" s="193"/>
      <c r="O1634" s="199" t="s">
        <v>6765</v>
      </c>
      <c r="P1634" s="199" t="s">
        <v>6126</v>
      </c>
      <c r="Q1634" s="218" t="s">
        <v>6766</v>
      </c>
      <c r="R1634" s="86"/>
      <c r="S1634" s="114">
        <f t="shared" ref="S1634:T1634" si="1636">A1634</f>
        <v>1634</v>
      </c>
      <c r="T1634" s="114" t="str">
        <f t="shared" si="1636"/>
        <v>منصور علی آبادی</v>
      </c>
      <c r="U1634" s="86" t="str">
        <f t="shared" si="3"/>
        <v>09183611591</v>
      </c>
      <c r="V1634" s="86" t="str">
        <f t="shared" si="4"/>
        <v>پیش‌وایی 13</v>
      </c>
      <c r="W1634" s="86"/>
      <c r="X1634" s="86"/>
    </row>
    <row r="1635">
      <c r="A1635" s="201">
        <v>1635.0</v>
      </c>
      <c r="B1635" s="202" t="str">
        <f t="shared" si="1616"/>
        <v>الهام صدری</v>
      </c>
      <c r="C1635" s="203" t="s">
        <v>6810</v>
      </c>
      <c r="D1635" s="204" t="str">
        <f>IFERROR(__xludf.DUMMYFUNCTION("ARRAYFORMULA(LET( converted, SUBSTITUTE( SUBSTITUTE( SUBSTITUTE( SUBSTITUTE( SUBSTITUTE( SUBSTITUTE( SUBSTITUTE( SUBSTITUTE( SUBSTITUTE( SUBSTITUTE( C1635, ""۰"", ""0""), ""۱"", ""1""), ""۲"", ""2""), ""۳"", ""3""), ""۴"", ""4""), ""۵"", ""5""), ""۶"", """&amp;"6""), ""۷"", ""7""), ""۸"", ""8""), ""۹"", ""9""), IF(LEFT(converted,3)=""+98"", ""0"" &amp; RIGHT(converted, LEN(converted)-3), IF(LEFT(converted,2)=""98"", ""0"" &amp; RIGHT(converted, LEN(converted)-2), IF(LEFT(converted,1)&lt;&gt;""0"", ""0"" &amp; converted, REGEXREPL"&amp;"ACE(converted , ""\s"", """")) ) ) ) )"),"09127021597")</f>
        <v>09127021597</v>
      </c>
      <c r="E1635" s="205" t="s">
        <v>17</v>
      </c>
      <c r="F1635" s="214">
        <v>13.0</v>
      </c>
      <c r="G1635" s="202"/>
      <c r="H1635" s="202"/>
      <c r="I1635" s="203"/>
      <c r="J1635" s="203"/>
      <c r="K1635" s="202" t="s">
        <v>1692</v>
      </c>
      <c r="L1635" s="202" t="s">
        <v>6444</v>
      </c>
      <c r="M1635" s="202"/>
      <c r="N1635" s="202"/>
      <c r="O1635" s="207" t="s">
        <v>6765</v>
      </c>
      <c r="P1635" s="207" t="s">
        <v>6126</v>
      </c>
      <c r="Q1635" s="216" t="s">
        <v>6766</v>
      </c>
      <c r="R1635" s="86"/>
      <c r="S1635" s="114">
        <f t="shared" ref="S1635:T1635" si="1637">A1635</f>
        <v>1635</v>
      </c>
      <c r="T1635" s="114" t="str">
        <f t="shared" si="1637"/>
        <v>الهام صدری</v>
      </c>
      <c r="U1635" s="86" t="str">
        <f t="shared" si="3"/>
        <v>09127021597</v>
      </c>
      <c r="V1635" s="86" t="str">
        <f t="shared" si="4"/>
        <v>پیش‌وایی 13</v>
      </c>
      <c r="W1635" s="86"/>
      <c r="X1635" s="86"/>
    </row>
    <row r="1636">
      <c r="A1636" s="192">
        <v>1636.0</v>
      </c>
      <c r="B1636" s="193" t="str">
        <f t="shared" si="1616"/>
        <v>عرفان ملک حسینی</v>
      </c>
      <c r="C1636" s="194" t="s">
        <v>6811</v>
      </c>
      <c r="D1636" s="195" t="str">
        <f>IFERROR(__xludf.DUMMYFUNCTION("ARRAYFORMULA(LET( converted, SUBSTITUTE( SUBSTITUTE( SUBSTITUTE( SUBSTITUTE( SUBSTITUTE( SUBSTITUTE( SUBSTITUTE( SUBSTITUTE( SUBSTITUTE( SUBSTITUTE( C1636, ""۰"", ""0""), ""۱"", ""1""), ""۲"", ""2""), ""۳"", ""3""), ""۴"", ""4""), ""۵"", ""5""), ""۶"", """&amp;"6""), ""۷"", ""7""), ""۸"", ""8""), ""۹"", ""9""), IF(LEFT(converted,3)=""+98"", ""0"" &amp; RIGHT(converted, LEN(converted)-3), IF(LEFT(converted,2)=""98"", ""0"" &amp; RIGHT(converted, LEN(converted)-2), IF(LEFT(converted,1)&lt;&gt;""0"", ""0"" &amp; converted, REGEXREPL"&amp;"ACE(converted , ""\s"", """")) ) ) ) )"),"09105295718")</f>
        <v>09105295718</v>
      </c>
      <c r="E1636" s="196" t="s">
        <v>17</v>
      </c>
      <c r="F1636" s="221">
        <v>13.0</v>
      </c>
      <c r="G1636" s="193"/>
      <c r="H1636" s="193"/>
      <c r="I1636" s="194"/>
      <c r="J1636" s="194"/>
      <c r="K1636" s="193" t="s">
        <v>3092</v>
      </c>
      <c r="L1636" s="193" t="s">
        <v>6812</v>
      </c>
      <c r="M1636" s="193"/>
      <c r="N1636" s="193"/>
      <c r="O1636" s="199" t="s">
        <v>6765</v>
      </c>
      <c r="P1636" s="199" t="s">
        <v>6126</v>
      </c>
      <c r="Q1636" s="218" t="s">
        <v>6766</v>
      </c>
      <c r="R1636" s="86"/>
      <c r="S1636" s="114">
        <f t="shared" ref="S1636:T1636" si="1638">A1636</f>
        <v>1636</v>
      </c>
      <c r="T1636" s="114" t="str">
        <f t="shared" si="1638"/>
        <v>عرفان ملک حسینی</v>
      </c>
      <c r="U1636" s="86" t="str">
        <f t="shared" si="3"/>
        <v>09105295718</v>
      </c>
      <c r="V1636" s="86" t="str">
        <f t="shared" si="4"/>
        <v>پیش‌وایی 13</v>
      </c>
      <c r="W1636" s="86"/>
      <c r="X1636" s="86"/>
    </row>
    <row r="1637">
      <c r="A1637" s="201">
        <v>1637.0</v>
      </c>
      <c r="B1637" s="202" t="str">
        <f t="shared" si="1616"/>
        <v>الهه اعظمی</v>
      </c>
      <c r="C1637" s="203" t="s">
        <v>706</v>
      </c>
      <c r="D1637" s="204" t="str">
        <f>IFERROR(__xludf.DUMMYFUNCTION("ARRAYFORMULA(LET( converted, SUBSTITUTE( SUBSTITUTE( SUBSTITUTE( SUBSTITUTE( SUBSTITUTE( SUBSTITUTE( SUBSTITUTE( SUBSTITUTE( SUBSTITUTE( SUBSTITUTE( C1637, ""۰"", ""0""), ""۱"", ""1""), ""۲"", ""2""), ""۳"", ""3""), ""۴"", ""4""), ""۵"", ""5""), ""۶"", """&amp;"6""), ""۷"", ""7""), ""۸"", ""8""), ""۹"", ""9""), IF(LEFT(converted,3)=""+98"", ""0"" &amp; RIGHT(converted, LEN(converted)-3), IF(LEFT(converted,2)=""98"", ""0"" &amp; RIGHT(converted, LEN(converted)-2), IF(LEFT(converted,1)&lt;&gt;""0"", ""0"" &amp; converted, REGEXREPL"&amp;"ACE(converted , ""\s"", """")) ) ) ) )"),"09102355212")</f>
        <v>09102355212</v>
      </c>
      <c r="E1637" s="205" t="s">
        <v>17</v>
      </c>
      <c r="F1637" s="214">
        <v>13.0</v>
      </c>
      <c r="G1637" s="202"/>
      <c r="H1637" s="202"/>
      <c r="I1637" s="203"/>
      <c r="J1637" s="203"/>
      <c r="K1637" s="202" t="s">
        <v>2233</v>
      </c>
      <c r="L1637" s="202" t="s">
        <v>3352</v>
      </c>
      <c r="M1637" s="202"/>
      <c r="N1637" s="202"/>
      <c r="O1637" s="207" t="s">
        <v>6765</v>
      </c>
      <c r="P1637" s="207" t="s">
        <v>6126</v>
      </c>
      <c r="Q1637" s="216" t="s">
        <v>6766</v>
      </c>
      <c r="R1637" s="86"/>
      <c r="S1637" s="114">
        <f t="shared" ref="S1637:T1637" si="1639">A1637</f>
        <v>1637</v>
      </c>
      <c r="T1637" s="114" t="str">
        <f t="shared" si="1639"/>
        <v>الهه اعظمی</v>
      </c>
      <c r="U1637" s="86" t="str">
        <f t="shared" si="3"/>
        <v>09102355212</v>
      </c>
      <c r="V1637" s="86" t="str">
        <f t="shared" si="4"/>
        <v>پیش‌وایی 13</v>
      </c>
      <c r="W1637" s="86"/>
      <c r="X1637" s="86"/>
    </row>
    <row r="1638">
      <c r="A1638" s="192">
        <v>1638.0</v>
      </c>
      <c r="B1638" s="193" t="str">
        <f t="shared" si="1616"/>
        <v>زهرا آقا یاری</v>
      </c>
      <c r="C1638" s="194" t="s">
        <v>6813</v>
      </c>
      <c r="D1638" s="195" t="str">
        <f>IFERROR(__xludf.DUMMYFUNCTION("ARRAYFORMULA(LET( converted, SUBSTITUTE( SUBSTITUTE( SUBSTITUTE( SUBSTITUTE( SUBSTITUTE( SUBSTITUTE( SUBSTITUTE( SUBSTITUTE( SUBSTITUTE( SUBSTITUTE( C1638, ""۰"", ""0""), ""۱"", ""1""), ""۲"", ""2""), ""۳"", ""3""), ""۴"", ""4""), ""۵"", ""5""), ""۶"", """&amp;"6""), ""۷"", ""7""), ""۸"", ""8""), ""۹"", ""9""), IF(LEFT(converted,3)=""+98"", ""0"" &amp; RIGHT(converted, LEN(converted)-3), IF(LEFT(converted,2)=""98"", ""0"" &amp; RIGHT(converted, LEN(converted)-2), IF(LEFT(converted,1)&lt;&gt;""0"", ""0"" &amp; converted, REGEXREPL"&amp;"ACE(converted , ""\s"", """")) ) ) ) )"),"09365584484")</f>
        <v>09365584484</v>
      </c>
      <c r="E1638" s="196" t="s">
        <v>17</v>
      </c>
      <c r="F1638" s="221">
        <v>13.0</v>
      </c>
      <c r="G1638" s="193"/>
      <c r="H1638" s="193"/>
      <c r="I1638" s="194"/>
      <c r="J1638" s="194"/>
      <c r="K1638" s="193" t="s">
        <v>1398</v>
      </c>
      <c r="L1638" s="193" t="s">
        <v>6814</v>
      </c>
      <c r="M1638" s="193"/>
      <c r="N1638" s="193"/>
      <c r="O1638" s="199" t="s">
        <v>6765</v>
      </c>
      <c r="P1638" s="199" t="s">
        <v>6126</v>
      </c>
      <c r="Q1638" s="218" t="s">
        <v>6766</v>
      </c>
      <c r="R1638" s="86"/>
      <c r="S1638" s="114">
        <f t="shared" ref="S1638:T1638" si="1640">A1638</f>
        <v>1638</v>
      </c>
      <c r="T1638" s="114" t="str">
        <f t="shared" si="1640"/>
        <v>زهرا آقا یاری</v>
      </c>
      <c r="U1638" s="86" t="str">
        <f t="shared" si="3"/>
        <v>09365584484</v>
      </c>
      <c r="V1638" s="86" t="str">
        <f t="shared" si="4"/>
        <v>پیش‌وایی 13</v>
      </c>
      <c r="W1638" s="86"/>
      <c r="X1638" s="86"/>
    </row>
    <row r="1639">
      <c r="A1639" s="201">
        <v>1639.0</v>
      </c>
      <c r="B1639" s="202" t="str">
        <f t="shared" si="1616"/>
        <v>سپیده حصاری</v>
      </c>
      <c r="C1639" s="203" t="s">
        <v>6815</v>
      </c>
      <c r="D1639" s="204" t="str">
        <f>IFERROR(__xludf.DUMMYFUNCTION("ARRAYFORMULA(LET( converted, SUBSTITUTE( SUBSTITUTE( SUBSTITUTE( SUBSTITUTE( SUBSTITUTE( SUBSTITUTE( SUBSTITUTE( SUBSTITUTE( SUBSTITUTE( SUBSTITUTE( C1639, ""۰"", ""0""), ""۱"", ""1""), ""۲"", ""2""), ""۳"", ""3""), ""۴"", ""4""), ""۵"", ""5""), ""۶"", """&amp;"6""), ""۷"", ""7""), ""۸"", ""8""), ""۹"", ""9""), IF(LEFT(converted,3)=""+98"", ""0"" &amp; RIGHT(converted, LEN(converted)-3), IF(LEFT(converted,2)=""98"", ""0"" &amp; RIGHT(converted, LEN(converted)-2), IF(LEFT(converted,1)&lt;&gt;""0"", ""0"" &amp; converted, REGEXREPL"&amp;"ACE(converted , ""\s"", """")) ) ) ) )"),"09190515088")</f>
        <v>09190515088</v>
      </c>
      <c r="E1639" s="205" t="s">
        <v>17</v>
      </c>
      <c r="F1639" s="214">
        <v>13.0</v>
      </c>
      <c r="G1639" s="202"/>
      <c r="H1639" s="202"/>
      <c r="I1639" s="203"/>
      <c r="J1639" s="203"/>
      <c r="K1639" s="202" t="s">
        <v>911</v>
      </c>
      <c r="L1639" s="202" t="s">
        <v>6816</v>
      </c>
      <c r="M1639" s="202"/>
      <c r="N1639" s="202"/>
      <c r="O1639" s="207" t="s">
        <v>6765</v>
      </c>
      <c r="P1639" s="207" t="s">
        <v>6126</v>
      </c>
      <c r="Q1639" s="216" t="s">
        <v>6766</v>
      </c>
      <c r="R1639" s="86"/>
      <c r="S1639" s="114">
        <f t="shared" ref="S1639:T1639" si="1641">A1639</f>
        <v>1639</v>
      </c>
      <c r="T1639" s="114" t="str">
        <f t="shared" si="1641"/>
        <v>سپیده حصاری</v>
      </c>
      <c r="U1639" s="86" t="str">
        <f t="shared" si="3"/>
        <v>09190515088</v>
      </c>
      <c r="V1639" s="86" t="str">
        <f t="shared" si="4"/>
        <v>پیش‌وایی 13</v>
      </c>
      <c r="W1639" s="86"/>
      <c r="X1639" s="86"/>
    </row>
    <row r="1640">
      <c r="A1640" s="192">
        <v>1640.0</v>
      </c>
      <c r="B1640" s="193" t="str">
        <f t="shared" si="1616"/>
        <v>امید حسینی زاده</v>
      </c>
      <c r="C1640" s="194" t="s">
        <v>6817</v>
      </c>
      <c r="D1640" s="195" t="str">
        <f>IFERROR(__xludf.DUMMYFUNCTION("ARRAYFORMULA(LET( converted, SUBSTITUTE( SUBSTITUTE( SUBSTITUTE( SUBSTITUTE( SUBSTITUTE( SUBSTITUTE( SUBSTITUTE( SUBSTITUTE( SUBSTITUTE( SUBSTITUTE( C1640, ""۰"", ""0""), ""۱"", ""1""), ""۲"", ""2""), ""۳"", ""3""), ""۴"", ""4""), ""۵"", ""5""), ""۶"", """&amp;"6""), ""۷"", ""7""), ""۸"", ""8""), ""۹"", ""9""), IF(LEFT(converted,3)=""+98"", ""0"" &amp; RIGHT(converted, LEN(converted)-3), IF(LEFT(converted,2)=""98"", ""0"" &amp; RIGHT(converted, LEN(converted)-2), IF(LEFT(converted,1)&lt;&gt;""0"", ""0"" &amp; converted, REGEXREPL"&amp;"ACE(converted , ""\s"", """")) ) ) ) )"),"09128274227")</f>
        <v>09128274227</v>
      </c>
      <c r="E1640" s="196" t="s">
        <v>17</v>
      </c>
      <c r="F1640" s="221">
        <v>13.0</v>
      </c>
      <c r="G1640" s="193"/>
      <c r="H1640" s="193"/>
      <c r="I1640" s="194"/>
      <c r="J1640" s="194"/>
      <c r="K1640" s="193" t="s">
        <v>1704</v>
      </c>
      <c r="L1640" s="193" t="s">
        <v>6818</v>
      </c>
      <c r="M1640" s="193"/>
      <c r="N1640" s="193"/>
      <c r="O1640" s="199" t="s">
        <v>6765</v>
      </c>
      <c r="P1640" s="199" t="s">
        <v>6126</v>
      </c>
      <c r="Q1640" s="218" t="s">
        <v>6766</v>
      </c>
      <c r="R1640" s="86"/>
      <c r="S1640" s="114">
        <f t="shared" ref="S1640:T1640" si="1642">A1640</f>
        <v>1640</v>
      </c>
      <c r="T1640" s="114" t="str">
        <f t="shared" si="1642"/>
        <v>امید حسینی زاده</v>
      </c>
      <c r="U1640" s="86" t="str">
        <f t="shared" si="3"/>
        <v>09128274227</v>
      </c>
      <c r="V1640" s="86" t="str">
        <f t="shared" si="4"/>
        <v>پیش‌وایی 13</v>
      </c>
      <c r="W1640" s="86"/>
      <c r="X1640" s="86"/>
    </row>
    <row r="1641">
      <c r="A1641" s="201">
        <v>1641.0</v>
      </c>
      <c r="B1641" s="202" t="str">
        <f t="shared" si="1616"/>
        <v>امیر مختاری</v>
      </c>
      <c r="C1641" s="203" t="s">
        <v>6819</v>
      </c>
      <c r="D1641" s="204" t="str">
        <f>IFERROR(__xludf.DUMMYFUNCTION("ARRAYFORMULA(LET( converted, SUBSTITUTE( SUBSTITUTE( SUBSTITUTE( SUBSTITUTE( SUBSTITUTE( SUBSTITUTE( SUBSTITUTE( SUBSTITUTE( SUBSTITUTE( SUBSTITUTE( C1641, ""۰"", ""0""), ""۱"", ""1""), ""۲"", ""2""), ""۳"", ""3""), ""۴"", ""4""), ""۵"", ""5""), ""۶"", """&amp;"6""), ""۷"", ""7""), ""۸"", ""8""), ""۹"", ""9""), IF(LEFT(converted,3)=""+98"", ""0"" &amp; RIGHT(converted, LEN(converted)-3), IF(LEFT(converted,2)=""98"", ""0"" &amp; RIGHT(converted, LEN(converted)-2), IF(LEFT(converted,1)&lt;&gt;""0"", ""0"" &amp; converted, REGEXREPL"&amp;"ACE(converted , ""\s"", """")) ) ) ) )"),"09379272321")</f>
        <v>09379272321</v>
      </c>
      <c r="E1641" s="205" t="s">
        <v>17</v>
      </c>
      <c r="F1641" s="214">
        <v>13.0</v>
      </c>
      <c r="G1641" s="202"/>
      <c r="H1641" s="202"/>
      <c r="I1641" s="203"/>
      <c r="J1641" s="203"/>
      <c r="K1641" s="202" t="s">
        <v>1374</v>
      </c>
      <c r="L1641" s="202" t="s">
        <v>5887</v>
      </c>
      <c r="M1641" s="202"/>
      <c r="N1641" s="202"/>
      <c r="O1641" s="207" t="s">
        <v>6765</v>
      </c>
      <c r="P1641" s="207" t="s">
        <v>6126</v>
      </c>
      <c r="Q1641" s="216" t="s">
        <v>6766</v>
      </c>
      <c r="R1641" s="86"/>
      <c r="S1641" s="114">
        <f t="shared" ref="S1641:T1641" si="1643">A1641</f>
        <v>1641</v>
      </c>
      <c r="T1641" s="114" t="str">
        <f t="shared" si="1643"/>
        <v>امیر مختاری</v>
      </c>
      <c r="U1641" s="86" t="str">
        <f t="shared" si="3"/>
        <v>09379272321</v>
      </c>
      <c r="V1641" s="86" t="str">
        <f t="shared" si="4"/>
        <v>پیش‌وایی 13</v>
      </c>
      <c r="W1641" s="86"/>
      <c r="X1641" s="86"/>
    </row>
    <row r="1642">
      <c r="A1642" s="192">
        <v>1642.0</v>
      </c>
      <c r="B1642" s="193" t="str">
        <f t="shared" si="1616"/>
        <v>فاطمه جعفری</v>
      </c>
      <c r="C1642" s="194" t="s">
        <v>6820</v>
      </c>
      <c r="D1642" s="195" t="str">
        <f>IFERROR(__xludf.DUMMYFUNCTION("ARRAYFORMULA(LET( converted, SUBSTITUTE( SUBSTITUTE( SUBSTITUTE( SUBSTITUTE( SUBSTITUTE( SUBSTITUTE( SUBSTITUTE( SUBSTITUTE( SUBSTITUTE( SUBSTITUTE( C1642, ""۰"", ""0""), ""۱"", ""1""), ""۲"", ""2""), ""۳"", ""3""), ""۴"", ""4""), ""۵"", ""5""), ""۶"", """&amp;"6""), ""۷"", ""7""), ""۸"", ""8""), ""۹"", ""9""), IF(LEFT(converted,3)=""+98"", ""0"" &amp; RIGHT(converted, LEN(converted)-3), IF(LEFT(converted,2)=""98"", ""0"" &amp; RIGHT(converted, LEN(converted)-2), IF(LEFT(converted,1)&lt;&gt;""0"", ""0"" &amp; converted, REGEXREPL"&amp;"ACE(converted , ""\s"", """")) ) ) ) )"),"09353384385")</f>
        <v>09353384385</v>
      </c>
      <c r="E1642" s="196" t="s">
        <v>17</v>
      </c>
      <c r="F1642" s="221">
        <v>13.0</v>
      </c>
      <c r="G1642" s="193"/>
      <c r="H1642" s="193"/>
      <c r="I1642" s="194"/>
      <c r="J1642" s="194"/>
      <c r="K1642" s="193" t="s">
        <v>274</v>
      </c>
      <c r="L1642" s="193" t="s">
        <v>2573</v>
      </c>
      <c r="M1642" s="193"/>
      <c r="N1642" s="193"/>
      <c r="O1642" s="199" t="s">
        <v>6765</v>
      </c>
      <c r="P1642" s="199" t="s">
        <v>6126</v>
      </c>
      <c r="Q1642" s="218" t="s">
        <v>6766</v>
      </c>
      <c r="R1642" s="86"/>
      <c r="S1642" s="114">
        <f t="shared" ref="S1642:T1642" si="1644">A1642</f>
        <v>1642</v>
      </c>
      <c r="T1642" s="114" t="str">
        <f t="shared" si="1644"/>
        <v>فاطمه جعفری</v>
      </c>
      <c r="U1642" s="86" t="str">
        <f t="shared" si="3"/>
        <v>09353384385</v>
      </c>
      <c r="V1642" s="86" t="str">
        <f t="shared" si="4"/>
        <v>پیش‌وایی 13</v>
      </c>
      <c r="W1642" s="86"/>
      <c r="X1642" s="86"/>
    </row>
    <row r="1643">
      <c r="A1643" s="201">
        <v>1643.0</v>
      </c>
      <c r="B1643" s="202" t="str">
        <f t="shared" si="1616"/>
        <v>احسان محمدیان</v>
      </c>
      <c r="C1643" s="203" t="s">
        <v>6821</v>
      </c>
      <c r="D1643" s="204" t="str">
        <f>IFERROR(__xludf.DUMMYFUNCTION("ARRAYFORMULA(LET( converted, SUBSTITUTE( SUBSTITUTE( SUBSTITUTE( SUBSTITUTE( SUBSTITUTE( SUBSTITUTE( SUBSTITUTE( SUBSTITUTE( SUBSTITUTE( SUBSTITUTE( C1643, ""۰"", ""0""), ""۱"", ""1""), ""۲"", ""2""), ""۳"", ""3""), ""۴"", ""4""), ""۵"", ""5""), ""۶"", """&amp;"6""), ""۷"", ""7""), ""۸"", ""8""), ""۹"", ""9""), IF(LEFT(converted,3)=""+98"", ""0"" &amp; RIGHT(converted, LEN(converted)-3), IF(LEFT(converted,2)=""98"", ""0"" &amp; RIGHT(converted, LEN(converted)-2), IF(LEFT(converted,1)&lt;&gt;""0"", ""0"" &amp; converted, REGEXREPL"&amp;"ACE(converted , ""\s"", """")) ) ) ) )"),"09376624027")</f>
        <v>09376624027</v>
      </c>
      <c r="E1643" s="205" t="s">
        <v>17</v>
      </c>
      <c r="F1643" s="214">
        <v>13.0</v>
      </c>
      <c r="G1643" s="202"/>
      <c r="H1643" s="202"/>
      <c r="I1643" s="203"/>
      <c r="J1643" s="203"/>
      <c r="K1643" s="202" t="s">
        <v>200</v>
      </c>
      <c r="L1643" s="202" t="s">
        <v>2505</v>
      </c>
      <c r="M1643" s="202"/>
      <c r="N1643" s="202"/>
      <c r="O1643" s="207" t="s">
        <v>6765</v>
      </c>
      <c r="P1643" s="207" t="s">
        <v>6126</v>
      </c>
      <c r="Q1643" s="216" t="s">
        <v>6766</v>
      </c>
      <c r="R1643" s="86"/>
      <c r="S1643" s="114">
        <f t="shared" ref="S1643:T1643" si="1645">A1643</f>
        <v>1643</v>
      </c>
      <c r="T1643" s="114" t="str">
        <f t="shared" si="1645"/>
        <v>احسان محمدیان</v>
      </c>
      <c r="U1643" s="86" t="str">
        <f t="shared" si="3"/>
        <v>09376624027</v>
      </c>
      <c r="V1643" s="86" t="str">
        <f t="shared" si="4"/>
        <v>پیش‌وایی 13</v>
      </c>
      <c r="W1643" s="86"/>
      <c r="X1643" s="86"/>
    </row>
    <row r="1644">
      <c r="A1644" s="192">
        <v>1644.0</v>
      </c>
      <c r="B1644" s="193" t="str">
        <f t="shared" si="1616"/>
        <v>مهنا شکراله زاده</v>
      </c>
      <c r="C1644" s="194" t="s">
        <v>6822</v>
      </c>
      <c r="D1644" s="195" t="str">
        <f>IFERROR(__xludf.DUMMYFUNCTION("ARRAYFORMULA(LET( converted, SUBSTITUTE( SUBSTITUTE( SUBSTITUTE( SUBSTITUTE( SUBSTITUTE( SUBSTITUTE( SUBSTITUTE( SUBSTITUTE( SUBSTITUTE( SUBSTITUTE( C1644, ""۰"", ""0""), ""۱"", ""1""), ""۲"", ""2""), ""۳"", ""3""), ""۴"", ""4""), ""۵"", ""5""), ""۶"", """&amp;"6""), ""۷"", ""7""), ""۸"", ""8""), ""۹"", ""9""), IF(LEFT(converted,3)=""+98"", ""0"" &amp; RIGHT(converted, LEN(converted)-3), IF(LEFT(converted,2)=""98"", ""0"" &amp; RIGHT(converted, LEN(converted)-2), IF(LEFT(converted,1)&lt;&gt;""0"", ""0"" &amp; converted, REGEXREPL"&amp;"ACE(converted , ""\s"", """")) ) ) ) )"),"09382693803")</f>
        <v>09382693803</v>
      </c>
      <c r="E1644" s="196" t="s">
        <v>17</v>
      </c>
      <c r="F1644" s="221">
        <v>13.0</v>
      </c>
      <c r="G1644" s="193"/>
      <c r="H1644" s="193"/>
      <c r="I1644" s="194"/>
      <c r="J1644" s="194"/>
      <c r="K1644" s="193" t="s">
        <v>6823</v>
      </c>
      <c r="L1644" s="193" t="s">
        <v>6824</v>
      </c>
      <c r="M1644" s="193"/>
      <c r="N1644" s="193"/>
      <c r="O1644" s="199" t="s">
        <v>6765</v>
      </c>
      <c r="P1644" s="199" t="s">
        <v>6126</v>
      </c>
      <c r="Q1644" s="218" t="s">
        <v>6766</v>
      </c>
      <c r="R1644" s="86"/>
      <c r="S1644" s="114">
        <f t="shared" ref="S1644:T1644" si="1646">A1644</f>
        <v>1644</v>
      </c>
      <c r="T1644" s="114" t="str">
        <f t="shared" si="1646"/>
        <v>مهنا شکراله زاده</v>
      </c>
      <c r="U1644" s="86" t="str">
        <f t="shared" si="3"/>
        <v>09382693803</v>
      </c>
      <c r="V1644" s="86" t="str">
        <f t="shared" si="4"/>
        <v>پیش‌وایی 13</v>
      </c>
      <c r="W1644" s="86"/>
      <c r="X1644" s="86"/>
    </row>
    <row r="1645">
      <c r="A1645" s="201">
        <v>1645.0</v>
      </c>
      <c r="B1645" s="202" t="str">
        <f t="shared" si="1616"/>
        <v>بهزاد عظیمی</v>
      </c>
      <c r="C1645" s="203" t="s">
        <v>6825</v>
      </c>
      <c r="D1645" s="204" t="str">
        <f>IFERROR(__xludf.DUMMYFUNCTION("ARRAYFORMULA(LET( converted, SUBSTITUTE( SUBSTITUTE( SUBSTITUTE( SUBSTITUTE( SUBSTITUTE( SUBSTITUTE( SUBSTITUTE( SUBSTITUTE( SUBSTITUTE( SUBSTITUTE( C1645, ""۰"", ""0""), ""۱"", ""1""), ""۲"", ""2""), ""۳"", ""3""), ""۴"", ""4""), ""۵"", ""5""), ""۶"", """&amp;"6""), ""۷"", ""7""), ""۸"", ""8""), ""۹"", ""9""), IF(LEFT(converted,3)=""+98"", ""0"" &amp; RIGHT(converted, LEN(converted)-3), IF(LEFT(converted,2)=""98"", ""0"" &amp; RIGHT(converted, LEN(converted)-2), IF(LEFT(converted,1)&lt;&gt;""0"", ""0"" &amp; converted, REGEXREPL"&amp;"ACE(converted , ""\s"", """")) ) ) ) )"),"09183685925")</f>
        <v>09183685925</v>
      </c>
      <c r="E1645" s="205" t="s">
        <v>17</v>
      </c>
      <c r="F1645" s="214">
        <v>13.0</v>
      </c>
      <c r="G1645" s="202"/>
      <c r="H1645" s="202"/>
      <c r="I1645" s="203"/>
      <c r="J1645" s="203"/>
      <c r="K1645" s="202" t="s">
        <v>4019</v>
      </c>
      <c r="L1645" s="202" t="s">
        <v>2373</v>
      </c>
      <c r="M1645" s="202"/>
      <c r="N1645" s="202"/>
      <c r="O1645" s="207" t="s">
        <v>6765</v>
      </c>
      <c r="P1645" s="207" t="s">
        <v>6126</v>
      </c>
      <c r="Q1645" s="216" t="s">
        <v>6826</v>
      </c>
      <c r="R1645" s="86"/>
      <c r="S1645" s="114">
        <f t="shared" ref="S1645:T1645" si="1647">A1645</f>
        <v>1645</v>
      </c>
      <c r="T1645" s="114" t="str">
        <f t="shared" si="1647"/>
        <v>بهزاد عظیمی</v>
      </c>
      <c r="U1645" s="86" t="str">
        <f t="shared" si="3"/>
        <v>09183685925</v>
      </c>
      <c r="V1645" s="86" t="str">
        <f t="shared" si="4"/>
        <v>پیش‌وایی 13</v>
      </c>
      <c r="W1645" s="86"/>
      <c r="X1645" s="86"/>
    </row>
    <row r="1646">
      <c r="A1646" s="192">
        <v>1646.0</v>
      </c>
      <c r="B1646" s="193" t="str">
        <f t="shared" si="1616"/>
        <v>عبدالله محمودی</v>
      </c>
      <c r="C1646" s="194" t="s">
        <v>6827</v>
      </c>
      <c r="D1646" s="195" t="str">
        <f>IFERROR(__xludf.DUMMYFUNCTION("ARRAYFORMULA(LET( converted, SUBSTITUTE( SUBSTITUTE( SUBSTITUTE( SUBSTITUTE( SUBSTITUTE( SUBSTITUTE( SUBSTITUTE( SUBSTITUTE( SUBSTITUTE( SUBSTITUTE( C1646, ""۰"", ""0""), ""۱"", ""1""), ""۲"", ""2""), ""۳"", ""3""), ""۴"", ""4""), ""۵"", ""5""), ""۶"", """&amp;"6""), ""۷"", ""7""), ""۸"", ""8""), ""۹"", ""9""), IF(LEFT(converted,3)=""+98"", ""0"" &amp; RIGHT(converted, LEN(converted)-3), IF(LEFT(converted,2)=""98"", ""0"" &amp; RIGHT(converted, LEN(converted)-2), IF(LEFT(converted,1)&lt;&gt;""0"", ""0"" &amp; converted, REGEXREPL"&amp;"ACE(converted , ""\s"", """")) ) ) ) )"),"09191445429")</f>
        <v>09191445429</v>
      </c>
      <c r="E1646" s="196" t="s">
        <v>17</v>
      </c>
      <c r="F1646" s="221">
        <v>13.0</v>
      </c>
      <c r="G1646" s="193"/>
      <c r="H1646" s="193"/>
      <c r="I1646" s="194"/>
      <c r="J1646" s="194"/>
      <c r="K1646" s="193" t="s">
        <v>5373</v>
      </c>
      <c r="L1646" s="193" t="s">
        <v>330</v>
      </c>
      <c r="M1646" s="193"/>
      <c r="N1646" s="193"/>
      <c r="O1646" s="199" t="s">
        <v>713</v>
      </c>
      <c r="P1646" s="199" t="s">
        <v>713</v>
      </c>
      <c r="Q1646" s="218" t="s">
        <v>6766</v>
      </c>
      <c r="R1646" s="86"/>
      <c r="S1646" s="114">
        <f t="shared" ref="S1646:T1646" si="1648">A1646</f>
        <v>1646</v>
      </c>
      <c r="T1646" s="114" t="str">
        <f t="shared" si="1648"/>
        <v>عبدالله محمودی</v>
      </c>
      <c r="U1646" s="86" t="str">
        <f t="shared" si="3"/>
        <v>09191445429</v>
      </c>
      <c r="V1646" s="86" t="str">
        <f t="shared" si="4"/>
        <v>پیش‌وایی 13</v>
      </c>
      <c r="W1646" s="86"/>
      <c r="X1646" s="86"/>
    </row>
    <row r="1647">
      <c r="A1647" s="201">
        <v>1647.0</v>
      </c>
      <c r="B1647" s="202" t="str">
        <f t="shared" si="1616"/>
        <v>تورج معصومی</v>
      </c>
      <c r="C1647" s="203" t="s">
        <v>6828</v>
      </c>
      <c r="D1647" s="204" t="str">
        <f>IFERROR(__xludf.DUMMYFUNCTION("ARRAYFORMULA(LET( converted, SUBSTITUTE( SUBSTITUTE( SUBSTITUTE( SUBSTITUTE( SUBSTITUTE( SUBSTITUTE( SUBSTITUTE( SUBSTITUTE( SUBSTITUTE( SUBSTITUTE( C1647, ""۰"", ""0""), ""۱"", ""1""), ""۲"", ""2""), ""۳"", ""3""), ""۴"", ""4""), ""۵"", ""5""), ""۶"", """&amp;"6""), ""۷"", ""7""), ""۸"", ""8""), ""۹"", ""9""), IF(LEFT(converted,3)=""+98"", ""0"" &amp; RIGHT(converted, LEN(converted)-3), IF(LEFT(converted,2)=""98"", ""0"" &amp; RIGHT(converted, LEN(converted)-2), IF(LEFT(converted,1)&lt;&gt;""0"", ""0"" &amp; converted, REGEXREPL"&amp;"ACE(converted , ""\s"", """")) ) ) ) )"),"09192348734")</f>
        <v>09192348734</v>
      </c>
      <c r="E1647" s="205" t="s">
        <v>17</v>
      </c>
      <c r="F1647" s="214">
        <v>13.0</v>
      </c>
      <c r="G1647" s="202"/>
      <c r="H1647" s="213" t="s">
        <v>6829</v>
      </c>
      <c r="I1647" s="203"/>
      <c r="J1647" s="203"/>
      <c r="K1647" s="202" t="s">
        <v>6830</v>
      </c>
      <c r="L1647" s="202" t="s">
        <v>6831</v>
      </c>
      <c r="M1647" s="202"/>
      <c r="N1647" s="202"/>
      <c r="O1647" s="207" t="s">
        <v>713</v>
      </c>
      <c r="P1647" s="207" t="s">
        <v>713</v>
      </c>
      <c r="Q1647" s="216" t="s">
        <v>6766</v>
      </c>
      <c r="R1647" s="86"/>
      <c r="S1647" s="114">
        <f t="shared" ref="S1647:T1647" si="1649">A1647</f>
        <v>1647</v>
      </c>
      <c r="T1647" s="114" t="str">
        <f t="shared" si="1649"/>
        <v>تورج معصومی</v>
      </c>
      <c r="U1647" s="86" t="str">
        <f t="shared" si="3"/>
        <v>09192348734</v>
      </c>
      <c r="V1647" s="86" t="str">
        <f t="shared" si="4"/>
        <v>پیش‌وایی 13</v>
      </c>
      <c r="W1647" s="86"/>
      <c r="X1647" s="86"/>
    </row>
    <row r="1648">
      <c r="A1648" s="192">
        <v>1648.0</v>
      </c>
      <c r="B1648" s="193" t="str">
        <f t="shared" si="1616"/>
        <v>علی‌اکبر مشکانی</v>
      </c>
      <c r="C1648" s="194" t="s">
        <v>6832</v>
      </c>
      <c r="D1648" s="195" t="str">
        <f>IFERROR(__xludf.DUMMYFUNCTION("ARRAYFORMULA(LET( converted, SUBSTITUTE( SUBSTITUTE( SUBSTITUTE( SUBSTITUTE( SUBSTITUTE( SUBSTITUTE( SUBSTITUTE( SUBSTITUTE( SUBSTITUTE( SUBSTITUTE( C1648, ""۰"", ""0""), ""۱"", ""1""), ""۲"", ""2""), ""۳"", ""3""), ""۴"", ""4""), ""۵"", ""5""), ""۶"", """&amp;"6""), ""۷"", ""7""), ""۸"", ""8""), ""۹"", ""9""), IF(LEFT(converted,3)=""+98"", ""0"" &amp; RIGHT(converted, LEN(converted)-3), IF(LEFT(converted,2)=""98"", ""0"" &amp; RIGHT(converted, LEN(converted)-2), IF(LEFT(converted,1)&lt;&gt;""0"", ""0"" &amp; converted, REGEXREPL"&amp;"ACE(converted , ""\s"", """")) ) ) ) )"),"09373095058")</f>
        <v>09373095058</v>
      </c>
      <c r="E1648" s="196" t="s">
        <v>17</v>
      </c>
      <c r="F1648" s="221">
        <v>13.0</v>
      </c>
      <c r="G1648" s="193"/>
      <c r="H1648" s="212" t="s">
        <v>6833</v>
      </c>
      <c r="I1648" s="194"/>
      <c r="J1648" s="194"/>
      <c r="K1648" s="193" t="s">
        <v>6834</v>
      </c>
      <c r="L1648" s="193" t="s">
        <v>6835</v>
      </c>
      <c r="M1648" s="193"/>
      <c r="N1648" s="193"/>
      <c r="O1648" s="199" t="s">
        <v>713</v>
      </c>
      <c r="P1648" s="199" t="s">
        <v>713</v>
      </c>
      <c r="Q1648" s="218" t="s">
        <v>6766</v>
      </c>
      <c r="R1648" s="86"/>
      <c r="S1648" s="114">
        <f t="shared" ref="S1648:T1648" si="1650">A1648</f>
        <v>1648</v>
      </c>
      <c r="T1648" s="114" t="str">
        <f t="shared" si="1650"/>
        <v>علی‌اکبر مشکانی</v>
      </c>
      <c r="U1648" s="86" t="str">
        <f t="shared" si="3"/>
        <v>09373095058</v>
      </c>
      <c r="V1648" s="86" t="str">
        <f t="shared" si="4"/>
        <v>پیش‌وایی 13</v>
      </c>
      <c r="W1648" s="86"/>
      <c r="X1648" s="86"/>
    </row>
    <row r="1649">
      <c r="A1649" s="201">
        <v>1649.0</v>
      </c>
      <c r="B1649" s="202" t="str">
        <f t="shared" si="1616"/>
        <v>قاسم اسدی</v>
      </c>
      <c r="C1649" s="203" t="s">
        <v>6836</v>
      </c>
      <c r="D1649" s="204" t="str">
        <f>IFERROR(__xludf.DUMMYFUNCTION("ARRAYFORMULA(LET( converted, SUBSTITUTE( SUBSTITUTE( SUBSTITUTE( SUBSTITUTE( SUBSTITUTE( SUBSTITUTE( SUBSTITUTE( SUBSTITUTE( SUBSTITUTE( SUBSTITUTE( C1649, ""۰"", ""0""), ""۱"", ""1""), ""۲"", ""2""), ""۳"", ""3""), ""۴"", ""4""), ""۵"", ""5""), ""۶"", """&amp;"6""), ""۷"", ""7""), ""۸"", ""8""), ""۹"", ""9""), IF(LEFT(converted,3)=""+98"", ""0"" &amp; RIGHT(converted, LEN(converted)-3), IF(LEFT(converted,2)=""98"", ""0"" &amp; RIGHT(converted, LEN(converted)-2), IF(LEFT(converted,1)&lt;&gt;""0"", ""0"" &amp; converted, REGEXREPL"&amp;"ACE(converted , ""\s"", """")) ) ) ) )"),"09190113373")</f>
        <v>09190113373</v>
      </c>
      <c r="E1649" s="205" t="s">
        <v>17</v>
      </c>
      <c r="F1649" s="214">
        <v>13.0</v>
      </c>
      <c r="G1649" s="202"/>
      <c r="H1649" s="213" t="s">
        <v>6837</v>
      </c>
      <c r="I1649" s="203"/>
      <c r="J1649" s="203"/>
      <c r="K1649" s="202" t="s">
        <v>6838</v>
      </c>
      <c r="L1649" s="202" t="s">
        <v>1128</v>
      </c>
      <c r="M1649" s="202"/>
      <c r="N1649" s="202"/>
      <c r="O1649" s="207" t="s">
        <v>713</v>
      </c>
      <c r="P1649" s="207" t="s">
        <v>713</v>
      </c>
      <c r="Q1649" s="216" t="s">
        <v>6766</v>
      </c>
      <c r="R1649" s="86"/>
      <c r="S1649" s="114">
        <f t="shared" ref="S1649:T1649" si="1651">A1649</f>
        <v>1649</v>
      </c>
      <c r="T1649" s="114" t="str">
        <f t="shared" si="1651"/>
        <v>قاسم اسدی</v>
      </c>
      <c r="U1649" s="86" t="str">
        <f t="shared" si="3"/>
        <v>09190113373</v>
      </c>
      <c r="V1649" s="86" t="str">
        <f t="shared" si="4"/>
        <v>پیش‌وایی 13</v>
      </c>
      <c r="W1649" s="86"/>
      <c r="X1649" s="86"/>
    </row>
    <row r="1650">
      <c r="A1650" s="192">
        <v>1650.0</v>
      </c>
      <c r="B1650" s="193" t="str">
        <f t="shared" si="1616"/>
        <v>یاور محمدی</v>
      </c>
      <c r="C1650" s="194" t="s">
        <v>6839</v>
      </c>
      <c r="D1650" s="195" t="str">
        <f>IFERROR(__xludf.DUMMYFUNCTION("ARRAYFORMULA(LET( converted, SUBSTITUTE( SUBSTITUTE( SUBSTITUTE( SUBSTITUTE( SUBSTITUTE( SUBSTITUTE( SUBSTITUTE( SUBSTITUTE( SUBSTITUTE( SUBSTITUTE( C1650, ""۰"", ""0""), ""۱"", ""1""), ""۲"", ""2""), ""۳"", ""3""), ""۴"", ""4""), ""۵"", ""5""), ""۶"", """&amp;"6""), ""۷"", ""7""), ""۸"", ""8""), ""۹"", ""9""), IF(LEFT(converted,3)=""+98"", ""0"" &amp; RIGHT(converted, LEN(converted)-3), IF(LEFT(converted,2)=""98"", ""0"" &amp; RIGHT(converted, LEN(converted)-2), IF(LEFT(converted,1)&lt;&gt;""0"", ""0"" &amp; converted, REGEXREPL"&amp;"ACE(converted , ""\s"", """")) ) ) ) )"),"09104955118")</f>
        <v>09104955118</v>
      </c>
      <c r="E1650" s="196" t="s">
        <v>17</v>
      </c>
      <c r="F1650" s="221">
        <v>13.0</v>
      </c>
      <c r="G1650" s="193"/>
      <c r="H1650" s="212" t="s">
        <v>6840</v>
      </c>
      <c r="I1650" s="194"/>
      <c r="J1650" s="194"/>
      <c r="K1650" s="193" t="s">
        <v>6841</v>
      </c>
      <c r="L1650" s="193" t="s">
        <v>1012</v>
      </c>
      <c r="M1650" s="193"/>
      <c r="N1650" s="193"/>
      <c r="O1650" s="199" t="s">
        <v>713</v>
      </c>
      <c r="P1650" s="199" t="s">
        <v>713</v>
      </c>
      <c r="Q1650" s="218" t="s">
        <v>6766</v>
      </c>
      <c r="R1650" s="86"/>
      <c r="S1650" s="114">
        <f t="shared" ref="S1650:T1650" si="1652">A1650</f>
        <v>1650</v>
      </c>
      <c r="T1650" s="114" t="str">
        <f t="shared" si="1652"/>
        <v>یاور محمدی</v>
      </c>
      <c r="U1650" s="86" t="str">
        <f t="shared" si="3"/>
        <v>09104955118</v>
      </c>
      <c r="V1650" s="86" t="str">
        <f t="shared" si="4"/>
        <v>پیش‌وایی 13</v>
      </c>
      <c r="W1650" s="86"/>
      <c r="X1650" s="86"/>
    </row>
    <row r="1651">
      <c r="A1651" s="201">
        <v>1651.0</v>
      </c>
      <c r="B1651" s="202" t="str">
        <f t="shared" si="1616"/>
        <v>سعید بیات</v>
      </c>
      <c r="C1651" s="203" t="s">
        <v>6842</v>
      </c>
      <c r="D1651" s="204" t="str">
        <f>IFERROR(__xludf.DUMMYFUNCTION("ARRAYFORMULA(LET( converted, SUBSTITUTE( SUBSTITUTE( SUBSTITUTE( SUBSTITUTE( SUBSTITUTE( SUBSTITUTE( SUBSTITUTE( SUBSTITUTE( SUBSTITUTE( SUBSTITUTE( C1651, ""۰"", ""0""), ""۱"", ""1""), ""۲"", ""2""), ""۳"", ""3""), ""۴"", ""4""), ""۵"", ""5""), ""۶"", """&amp;"6""), ""۷"", ""7""), ""۸"", ""8""), ""۹"", ""9""), IF(LEFT(converted,3)=""+98"", ""0"" &amp; RIGHT(converted, LEN(converted)-3), IF(LEFT(converted,2)=""98"", ""0"" &amp; RIGHT(converted, LEN(converted)-2), IF(LEFT(converted,1)&lt;&gt;""0"", ""0"" &amp; converted, REGEXREPL"&amp;"ACE(converted , ""\s"", """")) ) ) ) )"),"09114244837")</f>
        <v>09114244837</v>
      </c>
      <c r="E1651" s="205" t="s">
        <v>17</v>
      </c>
      <c r="F1651" s="214">
        <v>13.0</v>
      </c>
      <c r="G1651" s="202"/>
      <c r="H1651" s="213" t="s">
        <v>6843</v>
      </c>
      <c r="I1651" s="203"/>
      <c r="J1651" s="203"/>
      <c r="K1651" s="202" t="s">
        <v>758</v>
      </c>
      <c r="L1651" s="202" t="s">
        <v>304</v>
      </c>
      <c r="M1651" s="202"/>
      <c r="N1651" s="202"/>
      <c r="O1651" s="207" t="s">
        <v>713</v>
      </c>
      <c r="P1651" s="207" t="s">
        <v>713</v>
      </c>
      <c r="Q1651" s="216" t="s">
        <v>6766</v>
      </c>
      <c r="R1651" s="86"/>
      <c r="S1651" s="114">
        <f t="shared" ref="S1651:T1651" si="1653">A1651</f>
        <v>1651</v>
      </c>
      <c r="T1651" s="114" t="str">
        <f t="shared" si="1653"/>
        <v>سعید بیات</v>
      </c>
      <c r="U1651" s="86" t="str">
        <f t="shared" si="3"/>
        <v>09114244837</v>
      </c>
      <c r="V1651" s="86" t="str">
        <f t="shared" si="4"/>
        <v>پیش‌وایی 13</v>
      </c>
      <c r="W1651" s="86"/>
      <c r="X1651" s="86"/>
    </row>
    <row r="1652">
      <c r="A1652" s="192">
        <v>1652.0</v>
      </c>
      <c r="B1652" s="193" t="str">
        <f t="shared" si="1616"/>
        <v>سیدحسین گیلانی</v>
      </c>
      <c r="C1652" s="194" t="s">
        <v>6844</v>
      </c>
      <c r="D1652" s="195" t="str">
        <f>IFERROR(__xludf.DUMMYFUNCTION("ARRAYFORMULA(LET( converted, SUBSTITUTE( SUBSTITUTE( SUBSTITUTE( SUBSTITUTE( SUBSTITUTE( SUBSTITUTE( SUBSTITUTE( SUBSTITUTE( SUBSTITUTE( SUBSTITUTE( C1652, ""۰"", ""0""), ""۱"", ""1""), ""۲"", ""2""), ""۳"", ""3""), ""۴"", ""4""), ""۵"", ""5""), ""۶"", """&amp;"6""), ""۷"", ""7""), ""۸"", ""8""), ""۹"", ""9""), IF(LEFT(converted,3)=""+98"", ""0"" &amp; RIGHT(converted, LEN(converted)-3), IF(LEFT(converted,2)=""98"", ""0"" &amp; RIGHT(converted, LEN(converted)-2), IF(LEFT(converted,1)&lt;&gt;""0"", ""0"" &amp; converted, REGEXREPL"&amp;"ACE(converted , ""\s"", """")) ) ) ) )"),"09116764737")</f>
        <v>09116764737</v>
      </c>
      <c r="E1652" s="196" t="s">
        <v>17</v>
      </c>
      <c r="F1652" s="221">
        <v>13.0</v>
      </c>
      <c r="G1652" s="193"/>
      <c r="H1652" s="212" t="s">
        <v>6845</v>
      </c>
      <c r="I1652" s="194"/>
      <c r="J1652" s="194"/>
      <c r="K1652" s="193" t="s">
        <v>5364</v>
      </c>
      <c r="L1652" s="193" t="s">
        <v>6846</v>
      </c>
      <c r="M1652" s="193"/>
      <c r="N1652" s="193"/>
      <c r="O1652" s="199" t="s">
        <v>713</v>
      </c>
      <c r="P1652" s="199" t="s">
        <v>713</v>
      </c>
      <c r="Q1652" s="218" t="s">
        <v>6766</v>
      </c>
      <c r="R1652" s="86"/>
      <c r="S1652" s="114">
        <f t="shared" ref="S1652:T1652" si="1654">A1652</f>
        <v>1652</v>
      </c>
      <c r="T1652" s="114" t="str">
        <f t="shared" si="1654"/>
        <v>سیدحسین گیلانی</v>
      </c>
      <c r="U1652" s="86" t="str">
        <f t="shared" si="3"/>
        <v>09116764737</v>
      </c>
      <c r="V1652" s="86" t="str">
        <f t="shared" si="4"/>
        <v>پیش‌وایی 13</v>
      </c>
      <c r="W1652" s="86"/>
      <c r="X1652" s="86"/>
    </row>
    <row r="1653">
      <c r="A1653" s="201">
        <v>1653.0</v>
      </c>
      <c r="B1653" s="202" t="str">
        <f t="shared" si="1616"/>
        <v>محمد ایوبی</v>
      </c>
      <c r="C1653" s="203" t="s">
        <v>6847</v>
      </c>
      <c r="D1653" s="204" t="str">
        <f>IFERROR(__xludf.DUMMYFUNCTION("ARRAYFORMULA(LET( converted, SUBSTITUTE( SUBSTITUTE( SUBSTITUTE( SUBSTITUTE( SUBSTITUTE( SUBSTITUTE( SUBSTITUTE( SUBSTITUTE( SUBSTITUTE( SUBSTITUTE( C1653, ""۰"", ""0""), ""۱"", ""1""), ""۲"", ""2""), ""۳"", ""3""), ""۴"", ""4""), ""۵"", ""5""), ""۶"", """&amp;"6""), ""۷"", ""7""), ""۸"", ""8""), ""۹"", ""9""), IF(LEFT(converted,3)=""+98"", ""0"" &amp; RIGHT(converted, LEN(converted)-3), IF(LEFT(converted,2)=""98"", ""0"" &amp; RIGHT(converted, LEN(converted)-2), IF(LEFT(converted,1)&lt;&gt;""0"", ""0"" &amp; converted, REGEXREPL"&amp;"ACE(converted , ""\s"", """")) ) ) ) )"),"09108219085")</f>
        <v>09108219085</v>
      </c>
      <c r="E1653" s="205" t="s">
        <v>17</v>
      </c>
      <c r="F1653" s="214">
        <v>13.0</v>
      </c>
      <c r="G1653" s="202"/>
      <c r="H1653" s="213" t="s">
        <v>6848</v>
      </c>
      <c r="I1653" s="203"/>
      <c r="J1653" s="203"/>
      <c r="K1653" s="202" t="s">
        <v>303</v>
      </c>
      <c r="L1653" s="202" t="s">
        <v>1612</v>
      </c>
      <c r="M1653" s="202"/>
      <c r="N1653" s="202"/>
      <c r="O1653" s="207" t="s">
        <v>713</v>
      </c>
      <c r="P1653" s="207" t="s">
        <v>713</v>
      </c>
      <c r="Q1653" s="216" t="s">
        <v>6766</v>
      </c>
      <c r="R1653" s="86"/>
      <c r="S1653" s="114">
        <f t="shared" ref="S1653:T1653" si="1655">A1653</f>
        <v>1653</v>
      </c>
      <c r="T1653" s="114" t="str">
        <f t="shared" si="1655"/>
        <v>محمد ایوبی</v>
      </c>
      <c r="U1653" s="86" t="str">
        <f t="shared" si="3"/>
        <v>09108219085</v>
      </c>
      <c r="V1653" s="86" t="str">
        <f t="shared" si="4"/>
        <v>پیش‌وایی 13</v>
      </c>
      <c r="W1653" s="86"/>
      <c r="X1653" s="86"/>
    </row>
    <row r="1654">
      <c r="A1654" s="192">
        <v>1654.0</v>
      </c>
      <c r="B1654" s="193" t="str">
        <f t="shared" si="1616"/>
        <v>نوید علیزایی</v>
      </c>
      <c r="C1654" s="194" t="s">
        <v>6849</v>
      </c>
      <c r="D1654" s="195" t="str">
        <f>IFERROR(__xludf.DUMMYFUNCTION("ARRAYFORMULA(LET( converted, SUBSTITUTE( SUBSTITUTE( SUBSTITUTE( SUBSTITUTE( SUBSTITUTE( SUBSTITUTE( SUBSTITUTE( SUBSTITUTE( SUBSTITUTE( SUBSTITUTE( C1654, ""۰"", ""0""), ""۱"", ""1""), ""۲"", ""2""), ""۳"", ""3""), ""۴"", ""4""), ""۵"", ""5""), ""۶"", """&amp;"6""), ""۷"", ""7""), ""۸"", ""8""), ""۹"", ""9""), IF(LEFT(converted,3)=""+98"", ""0"" &amp; RIGHT(converted, LEN(converted)-3), IF(LEFT(converted,2)=""98"", ""0"" &amp; RIGHT(converted, LEN(converted)-2), IF(LEFT(converted,1)&lt;&gt;""0"", ""0"" &amp; converted, REGEXREPL"&amp;"ACE(converted , ""\s"", """")) ) ) ) )"),"09380098680")</f>
        <v>09380098680</v>
      </c>
      <c r="E1654" s="196" t="s">
        <v>17</v>
      </c>
      <c r="F1654" s="221">
        <v>13.0</v>
      </c>
      <c r="G1654" s="193"/>
      <c r="H1654" s="212" t="s">
        <v>6850</v>
      </c>
      <c r="I1654" s="194"/>
      <c r="J1654" s="194"/>
      <c r="K1654" s="193" t="s">
        <v>3592</v>
      </c>
      <c r="L1654" s="193" t="s">
        <v>6851</v>
      </c>
      <c r="M1654" s="193"/>
      <c r="N1654" s="193"/>
      <c r="O1654" s="199" t="s">
        <v>713</v>
      </c>
      <c r="P1654" s="199" t="s">
        <v>713</v>
      </c>
      <c r="Q1654" s="218" t="s">
        <v>6766</v>
      </c>
      <c r="R1654" s="86"/>
      <c r="S1654" s="114">
        <f t="shared" ref="S1654:T1654" si="1656">A1654</f>
        <v>1654</v>
      </c>
      <c r="T1654" s="114" t="str">
        <f t="shared" si="1656"/>
        <v>نوید علیزایی</v>
      </c>
      <c r="U1654" s="86" t="str">
        <f t="shared" si="3"/>
        <v>09380098680</v>
      </c>
      <c r="V1654" s="86" t="str">
        <f t="shared" si="4"/>
        <v>پیش‌وایی 13</v>
      </c>
      <c r="W1654" s="86"/>
      <c r="X1654" s="86"/>
    </row>
    <row r="1655">
      <c r="A1655" s="201">
        <v>1655.0</v>
      </c>
      <c r="B1655" s="202" t="str">
        <f t="shared" si="1616"/>
        <v>علی محمدی</v>
      </c>
      <c r="C1655" s="203" t="s">
        <v>6852</v>
      </c>
      <c r="D1655" s="204" t="str">
        <f>IFERROR(__xludf.DUMMYFUNCTION("ARRAYFORMULA(LET( converted, SUBSTITUTE( SUBSTITUTE( SUBSTITUTE( SUBSTITUTE( SUBSTITUTE( SUBSTITUTE( SUBSTITUTE( SUBSTITUTE( SUBSTITUTE( SUBSTITUTE( C1655, ""۰"", ""0""), ""۱"", ""1""), ""۲"", ""2""), ""۳"", ""3""), ""۴"", ""4""), ""۵"", ""5""), ""۶"", """&amp;"6""), ""۷"", ""7""), ""۸"", ""8""), ""۹"", ""9""), IF(LEFT(converted,3)=""+98"", ""0"" &amp; RIGHT(converted, LEN(converted)-3), IF(LEFT(converted,2)=""98"", ""0"" &amp; RIGHT(converted, LEN(converted)-2), IF(LEFT(converted,1)&lt;&gt;""0"", ""0"" &amp; converted, REGEXREPL"&amp;"ACE(converted , ""\s"", """")) ) ) ) )"),"09024635257")</f>
        <v>09024635257</v>
      </c>
      <c r="E1655" s="205" t="s">
        <v>17</v>
      </c>
      <c r="F1655" s="214">
        <v>13.0</v>
      </c>
      <c r="G1655" s="202"/>
      <c r="H1655" s="213" t="s">
        <v>6853</v>
      </c>
      <c r="I1655" s="203"/>
      <c r="J1655" s="203"/>
      <c r="K1655" s="202" t="s">
        <v>1018</v>
      </c>
      <c r="L1655" s="202" t="s">
        <v>1012</v>
      </c>
      <c r="M1655" s="202"/>
      <c r="N1655" s="202"/>
      <c r="O1655" s="207" t="s">
        <v>713</v>
      </c>
      <c r="P1655" s="207" t="s">
        <v>713</v>
      </c>
      <c r="Q1655" s="216" t="s">
        <v>6766</v>
      </c>
      <c r="R1655" s="86"/>
      <c r="S1655" s="114">
        <f t="shared" ref="S1655:T1655" si="1657">A1655</f>
        <v>1655</v>
      </c>
      <c r="T1655" s="114" t="str">
        <f t="shared" si="1657"/>
        <v>علی محمدی</v>
      </c>
      <c r="U1655" s="86" t="str">
        <f t="shared" si="3"/>
        <v>09024635257</v>
      </c>
      <c r="V1655" s="86" t="str">
        <f t="shared" si="4"/>
        <v>پیش‌وایی 13</v>
      </c>
      <c r="W1655" s="86"/>
      <c r="X1655" s="86"/>
    </row>
    <row r="1656">
      <c r="A1656" s="192">
        <v>1656.0</v>
      </c>
      <c r="B1656" s="193" t="str">
        <f t="shared" si="1616"/>
        <v>رقیه فراهانی</v>
      </c>
      <c r="C1656" s="194" t="s">
        <v>6854</v>
      </c>
      <c r="D1656" s="195" t="str">
        <f>IFERROR(__xludf.DUMMYFUNCTION("ARRAYFORMULA(LET( converted, SUBSTITUTE( SUBSTITUTE( SUBSTITUTE( SUBSTITUTE( SUBSTITUTE( SUBSTITUTE( SUBSTITUTE( SUBSTITUTE( SUBSTITUTE( SUBSTITUTE( C1656, ""۰"", ""0""), ""۱"", ""1""), ""۲"", ""2""), ""۳"", ""3""), ""۴"", ""4""), ""۵"", ""5""), ""۶"", """&amp;"6""), ""۷"", ""7""), ""۸"", ""8""), ""۹"", ""9""), IF(LEFT(converted,3)=""+98"", ""0"" &amp; RIGHT(converted, LEN(converted)-3), IF(LEFT(converted,2)=""98"", ""0"" &amp; RIGHT(converted, LEN(converted)-2), IF(LEFT(converted,1)&lt;&gt;""0"", ""0"" &amp; converted, REGEXREPL"&amp;"ACE(converted , ""\s"", """")) ) ) ) )"),"09928538184")</f>
        <v>09928538184</v>
      </c>
      <c r="E1656" s="196" t="s">
        <v>17</v>
      </c>
      <c r="F1656" s="221">
        <v>13.0</v>
      </c>
      <c r="G1656" s="193"/>
      <c r="H1656" s="212" t="s">
        <v>6855</v>
      </c>
      <c r="I1656" s="194"/>
      <c r="J1656" s="194"/>
      <c r="K1656" s="193" t="s">
        <v>6856</v>
      </c>
      <c r="L1656" s="193" t="s">
        <v>1606</v>
      </c>
      <c r="M1656" s="193"/>
      <c r="N1656" s="193"/>
      <c r="O1656" s="199" t="s">
        <v>713</v>
      </c>
      <c r="P1656" s="199" t="s">
        <v>713</v>
      </c>
      <c r="Q1656" s="218" t="s">
        <v>6766</v>
      </c>
      <c r="R1656" s="86"/>
      <c r="S1656" s="114">
        <f t="shared" ref="S1656:T1656" si="1658">A1656</f>
        <v>1656</v>
      </c>
      <c r="T1656" s="114" t="str">
        <f t="shared" si="1658"/>
        <v>رقیه فراهانی</v>
      </c>
      <c r="U1656" s="86" t="str">
        <f t="shared" si="3"/>
        <v>09928538184</v>
      </c>
      <c r="V1656" s="86" t="str">
        <f t="shared" si="4"/>
        <v>پیش‌وایی 13</v>
      </c>
      <c r="W1656" s="86"/>
      <c r="X1656" s="86"/>
    </row>
    <row r="1657">
      <c r="A1657" s="201">
        <v>1657.0</v>
      </c>
      <c r="B1657" s="202" t="str">
        <f t="shared" si="1616"/>
        <v>نسترن آشتیانی</v>
      </c>
      <c r="C1657" s="203" t="s">
        <v>6857</v>
      </c>
      <c r="D1657" s="204" t="str">
        <f>IFERROR(__xludf.DUMMYFUNCTION("ARRAYFORMULA(LET( converted, SUBSTITUTE( SUBSTITUTE( SUBSTITUTE( SUBSTITUTE( SUBSTITUTE( SUBSTITUTE( SUBSTITUTE( SUBSTITUTE( SUBSTITUTE( SUBSTITUTE( C1657, ""۰"", ""0""), ""۱"", ""1""), ""۲"", ""2""), ""۳"", ""3""), ""۴"", ""4""), ""۵"", ""5""), ""۶"", """&amp;"6""), ""۷"", ""7""), ""۸"", ""8""), ""۹"", ""9""), IF(LEFT(converted,3)=""+98"", ""0"" &amp; RIGHT(converted, LEN(converted)-3), IF(LEFT(converted,2)=""98"", ""0"" &amp; RIGHT(converted, LEN(converted)-2), IF(LEFT(converted,1)&lt;&gt;""0"", ""0"" &amp; converted, REGEXREPL"&amp;"ACE(converted , ""\s"", """")) ) ) ) )"),"09182946775")</f>
        <v>09182946775</v>
      </c>
      <c r="E1657" s="205" t="s">
        <v>17</v>
      </c>
      <c r="F1657" s="214">
        <v>13.0</v>
      </c>
      <c r="G1657" s="202"/>
      <c r="H1657" s="213" t="s">
        <v>6858</v>
      </c>
      <c r="I1657" s="203"/>
      <c r="J1657" s="203"/>
      <c r="K1657" s="202" t="s">
        <v>317</v>
      </c>
      <c r="L1657" s="202" t="s">
        <v>6859</v>
      </c>
      <c r="M1657" s="202"/>
      <c r="N1657" s="202"/>
      <c r="O1657" s="207" t="s">
        <v>713</v>
      </c>
      <c r="P1657" s="207" t="s">
        <v>713</v>
      </c>
      <c r="Q1657" s="216" t="s">
        <v>6766</v>
      </c>
      <c r="R1657" s="86"/>
      <c r="S1657" s="114">
        <f t="shared" ref="S1657:T1657" si="1659">A1657</f>
        <v>1657</v>
      </c>
      <c r="T1657" s="114" t="str">
        <f t="shared" si="1659"/>
        <v>نسترن آشتیانی</v>
      </c>
      <c r="U1657" s="86" t="str">
        <f t="shared" si="3"/>
        <v>09182946775</v>
      </c>
      <c r="V1657" s="86" t="str">
        <f t="shared" si="4"/>
        <v>پیش‌وایی 13</v>
      </c>
      <c r="W1657" s="86"/>
      <c r="X1657" s="86"/>
    </row>
    <row r="1658">
      <c r="A1658" s="192">
        <v>1658.0</v>
      </c>
      <c r="B1658" s="193" t="str">
        <f t="shared" si="1616"/>
        <v>حسین قاسمی</v>
      </c>
      <c r="C1658" s="194" t="s">
        <v>6860</v>
      </c>
      <c r="D1658" s="195" t="str">
        <f>IFERROR(__xludf.DUMMYFUNCTION("ARRAYFORMULA(LET( converted, SUBSTITUTE( SUBSTITUTE( SUBSTITUTE( SUBSTITUTE( SUBSTITUTE( SUBSTITUTE( SUBSTITUTE( SUBSTITUTE( SUBSTITUTE( SUBSTITUTE( C1658, ""۰"", ""0""), ""۱"", ""1""), ""۲"", ""2""), ""۳"", ""3""), ""۴"", ""4""), ""۵"", ""5""), ""۶"", """&amp;"6""), ""۷"", ""7""), ""۸"", ""8""), ""۹"", ""9""), IF(LEFT(converted,3)=""+98"", ""0"" &amp; RIGHT(converted, LEN(converted)-3), IF(LEFT(converted,2)=""98"", ""0"" &amp; RIGHT(converted, LEN(converted)-2), IF(LEFT(converted,1)&lt;&gt;""0"", ""0"" &amp; converted, REGEXREPL"&amp;"ACE(converted , ""\s"", """")) ) ) ) )"),"09104793896")</f>
        <v>09104793896</v>
      </c>
      <c r="E1658" s="196" t="s">
        <v>17</v>
      </c>
      <c r="F1658" s="221">
        <v>13.0</v>
      </c>
      <c r="G1658" s="193"/>
      <c r="H1658" s="212" t="s">
        <v>6861</v>
      </c>
      <c r="I1658" s="194"/>
      <c r="J1658" s="194"/>
      <c r="K1658" s="193" t="s">
        <v>896</v>
      </c>
      <c r="L1658" s="193" t="s">
        <v>2624</v>
      </c>
      <c r="M1658" s="193"/>
      <c r="N1658" s="193"/>
      <c r="O1658" s="199" t="s">
        <v>713</v>
      </c>
      <c r="P1658" s="199" t="s">
        <v>713</v>
      </c>
      <c r="Q1658" s="218" t="s">
        <v>6766</v>
      </c>
      <c r="R1658" s="86"/>
      <c r="S1658" s="114">
        <f t="shared" ref="S1658:T1658" si="1660">A1658</f>
        <v>1658</v>
      </c>
      <c r="T1658" s="114" t="str">
        <f t="shared" si="1660"/>
        <v>حسین قاسمی</v>
      </c>
      <c r="U1658" s="86" t="str">
        <f t="shared" si="3"/>
        <v>09104793896</v>
      </c>
      <c r="V1658" s="86" t="str">
        <f t="shared" si="4"/>
        <v>پیش‌وایی 13</v>
      </c>
      <c r="W1658" s="86"/>
      <c r="X1658" s="86"/>
    </row>
    <row r="1659">
      <c r="A1659" s="201">
        <v>1659.0</v>
      </c>
      <c r="B1659" s="202" t="str">
        <f t="shared" si="1616"/>
        <v>علیرضا مشکانی</v>
      </c>
      <c r="C1659" s="203" t="s">
        <v>6862</v>
      </c>
      <c r="D1659" s="204" t="str">
        <f>IFERROR(__xludf.DUMMYFUNCTION("ARRAYFORMULA(LET( converted, SUBSTITUTE( SUBSTITUTE( SUBSTITUTE( SUBSTITUTE( SUBSTITUTE( SUBSTITUTE( SUBSTITUTE( SUBSTITUTE( SUBSTITUTE( SUBSTITUTE( C1659, ""۰"", ""0""), ""۱"", ""1""), ""۲"", ""2""), ""۳"", ""3""), ""۴"", ""4""), ""۵"", ""5""), ""۶"", """&amp;"6""), ""۷"", ""7""), ""۸"", ""8""), ""۹"", ""9""), IF(LEFT(converted,3)=""+98"", ""0"" &amp; RIGHT(converted, LEN(converted)-3), IF(LEFT(converted,2)=""98"", ""0"" &amp; RIGHT(converted, LEN(converted)-2), IF(LEFT(converted,1)&lt;&gt;""0"", ""0"" &amp; converted, REGEXREPL"&amp;"ACE(converted , ""\s"", """")) ) ) ) )"),"09392409475")</f>
        <v>09392409475</v>
      </c>
      <c r="E1659" s="205" t="s">
        <v>17</v>
      </c>
      <c r="F1659" s="214">
        <v>13.0</v>
      </c>
      <c r="G1659" s="202"/>
      <c r="H1659" s="213" t="s">
        <v>6863</v>
      </c>
      <c r="I1659" s="203"/>
      <c r="J1659" s="203"/>
      <c r="K1659" s="202" t="s">
        <v>259</v>
      </c>
      <c r="L1659" s="202" t="s">
        <v>6835</v>
      </c>
      <c r="M1659" s="202"/>
      <c r="N1659" s="202"/>
      <c r="O1659" s="207" t="s">
        <v>713</v>
      </c>
      <c r="P1659" s="207" t="s">
        <v>713</v>
      </c>
      <c r="Q1659" s="216" t="s">
        <v>6766</v>
      </c>
      <c r="R1659" s="86"/>
      <c r="S1659" s="114">
        <f t="shared" ref="S1659:T1659" si="1661">A1659</f>
        <v>1659</v>
      </c>
      <c r="T1659" s="114" t="str">
        <f t="shared" si="1661"/>
        <v>علیرضا مشکانی</v>
      </c>
      <c r="U1659" s="86" t="str">
        <f t="shared" si="3"/>
        <v>09392409475</v>
      </c>
      <c r="V1659" s="86" t="str">
        <f t="shared" si="4"/>
        <v>پیش‌وایی 13</v>
      </c>
      <c r="W1659" s="86"/>
      <c r="X1659" s="86"/>
    </row>
    <row r="1660">
      <c r="A1660" s="192">
        <v>1660.0</v>
      </c>
      <c r="B1660" s="193" t="str">
        <f t="shared" si="1616"/>
        <v>حسین فرامرزی</v>
      </c>
      <c r="C1660" s="194" t="s">
        <v>6864</v>
      </c>
      <c r="D1660" s="195" t="str">
        <f>IFERROR(__xludf.DUMMYFUNCTION("ARRAYFORMULA(LET( converted, SUBSTITUTE( SUBSTITUTE( SUBSTITUTE( SUBSTITUTE( SUBSTITUTE( SUBSTITUTE( SUBSTITUTE( SUBSTITUTE( SUBSTITUTE( SUBSTITUTE( C1660, ""۰"", ""0""), ""۱"", ""1""), ""۲"", ""2""), ""۳"", ""3""), ""۴"", ""4""), ""۵"", ""5""), ""۶"", """&amp;"6""), ""۷"", ""7""), ""۸"", ""8""), ""۹"", ""9""), IF(LEFT(converted,3)=""+98"", ""0"" &amp; RIGHT(converted, LEN(converted)-3), IF(LEFT(converted,2)=""98"", ""0"" &amp; RIGHT(converted, LEN(converted)-2), IF(LEFT(converted,1)&lt;&gt;""0"", ""0"" &amp; converted, REGEXREPL"&amp;"ACE(converted , ""\s"", """")) ) ) ) )"),"09399717565")</f>
        <v>09399717565</v>
      </c>
      <c r="E1660" s="196" t="s">
        <v>17</v>
      </c>
      <c r="F1660" s="221">
        <v>13.0</v>
      </c>
      <c r="G1660" s="193"/>
      <c r="H1660" s="212" t="s">
        <v>6865</v>
      </c>
      <c r="I1660" s="194"/>
      <c r="J1660" s="194"/>
      <c r="K1660" s="193" t="s">
        <v>896</v>
      </c>
      <c r="L1660" s="193" t="s">
        <v>6866</v>
      </c>
      <c r="M1660" s="193"/>
      <c r="N1660" s="193"/>
      <c r="O1660" s="199" t="s">
        <v>713</v>
      </c>
      <c r="P1660" s="199" t="s">
        <v>713</v>
      </c>
      <c r="Q1660" s="218" t="s">
        <v>6766</v>
      </c>
      <c r="R1660" s="86"/>
      <c r="S1660" s="114">
        <f t="shared" ref="S1660:T1660" si="1662">A1660</f>
        <v>1660</v>
      </c>
      <c r="T1660" s="114" t="str">
        <f t="shared" si="1662"/>
        <v>حسین فرامرزی</v>
      </c>
      <c r="U1660" s="86" t="str">
        <f t="shared" si="3"/>
        <v>09399717565</v>
      </c>
      <c r="V1660" s="86" t="str">
        <f t="shared" si="4"/>
        <v>پیش‌وایی 13</v>
      </c>
      <c r="W1660" s="86"/>
      <c r="X1660" s="86"/>
    </row>
    <row r="1661">
      <c r="A1661" s="201">
        <v>1661.0</v>
      </c>
      <c r="B1661" s="202" t="str">
        <f t="shared" si="1616"/>
        <v>بهزاد میرزایی</v>
      </c>
      <c r="C1661" s="203" t="s">
        <v>6867</v>
      </c>
      <c r="D1661" s="204" t="str">
        <f>IFERROR(__xludf.DUMMYFUNCTION("ARRAYFORMULA(LET( converted, SUBSTITUTE( SUBSTITUTE( SUBSTITUTE( SUBSTITUTE( SUBSTITUTE( SUBSTITUTE( SUBSTITUTE( SUBSTITUTE( SUBSTITUTE( SUBSTITUTE( C1661, ""۰"", ""0""), ""۱"", ""1""), ""۲"", ""2""), ""۳"", ""3""), ""۴"", ""4""), ""۵"", ""5""), ""۶"", """&amp;"6""), ""۷"", ""7""), ""۸"", ""8""), ""۹"", ""9""), IF(LEFT(converted,3)=""+98"", ""0"" &amp; RIGHT(converted, LEN(converted)-3), IF(LEFT(converted,2)=""98"", ""0"" &amp; RIGHT(converted, LEN(converted)-2), IF(LEFT(converted,1)&lt;&gt;""0"", ""0"" &amp; converted, REGEXREPL"&amp;"ACE(converted , ""\s"", """")) ) ) ) )"),"09370421952")</f>
        <v>09370421952</v>
      </c>
      <c r="E1661" s="205" t="s">
        <v>17</v>
      </c>
      <c r="F1661" s="214">
        <v>13.0</v>
      </c>
      <c r="G1661" s="202"/>
      <c r="H1661" s="213" t="s">
        <v>6868</v>
      </c>
      <c r="I1661" s="203"/>
      <c r="J1661" s="203"/>
      <c r="K1661" s="202" t="s">
        <v>4019</v>
      </c>
      <c r="L1661" s="202" t="s">
        <v>2184</v>
      </c>
      <c r="M1661" s="202"/>
      <c r="N1661" s="202"/>
      <c r="O1661" s="207" t="s">
        <v>713</v>
      </c>
      <c r="P1661" s="207" t="s">
        <v>713</v>
      </c>
      <c r="Q1661" s="216" t="s">
        <v>6766</v>
      </c>
      <c r="R1661" s="86"/>
      <c r="S1661" s="114">
        <f t="shared" ref="S1661:T1661" si="1663">A1661</f>
        <v>1661</v>
      </c>
      <c r="T1661" s="114" t="str">
        <f t="shared" si="1663"/>
        <v>بهزاد میرزایی</v>
      </c>
      <c r="U1661" s="86" t="str">
        <f t="shared" si="3"/>
        <v>09370421952</v>
      </c>
      <c r="V1661" s="86" t="str">
        <f t="shared" si="4"/>
        <v>پیش‌وایی 13</v>
      </c>
      <c r="W1661" s="86"/>
      <c r="X1661" s="86"/>
    </row>
    <row r="1662">
      <c r="A1662" s="192">
        <v>1662.0</v>
      </c>
      <c r="B1662" s="193" t="str">
        <f t="shared" si="1616"/>
        <v>علی طیبی</v>
      </c>
      <c r="C1662" s="194" t="s">
        <v>6869</v>
      </c>
      <c r="D1662" s="195" t="str">
        <f>IFERROR(__xludf.DUMMYFUNCTION("ARRAYFORMULA(LET( converted, SUBSTITUTE( SUBSTITUTE( SUBSTITUTE( SUBSTITUTE( SUBSTITUTE( SUBSTITUTE( SUBSTITUTE( SUBSTITUTE( SUBSTITUTE( SUBSTITUTE( C1662, ""۰"", ""0""), ""۱"", ""1""), ""۲"", ""2""), ""۳"", ""3""), ""۴"", ""4""), ""۵"", ""5""), ""۶"", """&amp;"6""), ""۷"", ""7""), ""۸"", ""8""), ""۹"", ""9""), IF(LEFT(converted,3)=""+98"", ""0"" &amp; RIGHT(converted, LEN(converted)-3), IF(LEFT(converted,2)=""98"", ""0"" &amp; RIGHT(converted, LEN(converted)-2), IF(LEFT(converted,1)&lt;&gt;""0"", ""0"" &amp; converted, REGEXREPL"&amp;"ACE(converted , ""\s"", """")) ) ) ) )"),"09354205848")</f>
        <v>09354205848</v>
      </c>
      <c r="E1662" s="196" t="s">
        <v>17</v>
      </c>
      <c r="F1662" s="221">
        <v>13.0</v>
      </c>
      <c r="G1662" s="193"/>
      <c r="H1662" s="212" t="s">
        <v>6870</v>
      </c>
      <c r="I1662" s="194"/>
      <c r="J1662" s="194"/>
      <c r="K1662" s="193" t="s">
        <v>1018</v>
      </c>
      <c r="L1662" s="193" t="s">
        <v>3002</v>
      </c>
      <c r="M1662" s="193"/>
      <c r="N1662" s="193"/>
      <c r="O1662" s="199" t="s">
        <v>713</v>
      </c>
      <c r="P1662" s="199" t="s">
        <v>713</v>
      </c>
      <c r="Q1662" s="218" t="s">
        <v>6766</v>
      </c>
      <c r="R1662" s="86"/>
      <c r="S1662" s="114">
        <f t="shared" ref="S1662:T1662" si="1664">A1662</f>
        <v>1662</v>
      </c>
      <c r="T1662" s="114" t="str">
        <f t="shared" si="1664"/>
        <v>علی طیبی</v>
      </c>
      <c r="U1662" s="86" t="str">
        <f t="shared" si="3"/>
        <v>09354205848</v>
      </c>
      <c r="V1662" s="86" t="str">
        <f t="shared" si="4"/>
        <v>پیش‌وایی 13</v>
      </c>
      <c r="W1662" s="86"/>
      <c r="X1662" s="86"/>
    </row>
    <row r="1663">
      <c r="A1663" s="201">
        <v>1663.0</v>
      </c>
      <c r="B1663" s="202" t="str">
        <f t="shared" si="1616"/>
        <v>امید عظیمی</v>
      </c>
      <c r="C1663" s="203" t="s">
        <v>6871</v>
      </c>
      <c r="D1663" s="204" t="str">
        <f>IFERROR(__xludf.DUMMYFUNCTION("ARRAYFORMULA(LET( converted, SUBSTITUTE( SUBSTITUTE( SUBSTITUTE( SUBSTITUTE( SUBSTITUTE( SUBSTITUTE( SUBSTITUTE( SUBSTITUTE( SUBSTITUTE( SUBSTITUTE( C1663, ""۰"", ""0""), ""۱"", ""1""), ""۲"", ""2""), ""۳"", ""3""), ""۴"", ""4""), ""۵"", ""5""), ""۶"", """&amp;"6""), ""۷"", ""7""), ""۸"", ""8""), ""۹"", ""9""), IF(LEFT(converted,3)=""+98"", ""0"" &amp; RIGHT(converted, LEN(converted)-3), IF(LEFT(converted,2)=""98"", ""0"" &amp; RIGHT(converted, LEN(converted)-2), IF(LEFT(converted,1)&lt;&gt;""0"", ""0"" &amp; converted, REGEXREPL"&amp;"ACE(converted , ""\s"", """")) ) ) ) )"),"09382744128")</f>
        <v>09382744128</v>
      </c>
      <c r="E1663" s="205" t="s">
        <v>17</v>
      </c>
      <c r="F1663" s="214">
        <v>13.0</v>
      </c>
      <c r="G1663" s="202"/>
      <c r="H1663" s="213" t="s">
        <v>6872</v>
      </c>
      <c r="I1663" s="203"/>
      <c r="J1663" s="203"/>
      <c r="K1663" s="202" t="s">
        <v>1704</v>
      </c>
      <c r="L1663" s="202" t="s">
        <v>2373</v>
      </c>
      <c r="M1663" s="202"/>
      <c r="N1663" s="202"/>
      <c r="O1663" s="207" t="s">
        <v>713</v>
      </c>
      <c r="P1663" s="207" t="s">
        <v>713</v>
      </c>
      <c r="Q1663" s="216" t="s">
        <v>6766</v>
      </c>
      <c r="R1663" s="86"/>
      <c r="S1663" s="114">
        <f t="shared" ref="S1663:T1663" si="1665">A1663</f>
        <v>1663</v>
      </c>
      <c r="T1663" s="114" t="str">
        <f t="shared" si="1665"/>
        <v>امید عظیمی</v>
      </c>
      <c r="U1663" s="86" t="str">
        <f t="shared" si="3"/>
        <v>09382744128</v>
      </c>
      <c r="V1663" s="86" t="str">
        <f t="shared" si="4"/>
        <v>پیش‌وایی 13</v>
      </c>
      <c r="W1663" s="86"/>
      <c r="X1663" s="86"/>
    </row>
    <row r="1664">
      <c r="A1664" s="192">
        <v>1664.0</v>
      </c>
      <c r="B1664" s="193" t="str">
        <f t="shared" si="1616"/>
        <v>اعظم غلامی</v>
      </c>
      <c r="C1664" s="194" t="s">
        <v>6873</v>
      </c>
      <c r="D1664" s="195" t="str">
        <f>IFERROR(__xludf.DUMMYFUNCTION("ARRAYFORMULA(LET( converted, SUBSTITUTE( SUBSTITUTE( SUBSTITUTE( SUBSTITUTE( SUBSTITUTE( SUBSTITUTE( SUBSTITUTE( SUBSTITUTE( SUBSTITUTE( SUBSTITUTE( C1664, ""۰"", ""0""), ""۱"", ""1""), ""۲"", ""2""), ""۳"", ""3""), ""۴"", ""4""), ""۵"", ""5""), ""۶"", """&amp;"6""), ""۷"", ""7""), ""۸"", ""8""), ""۹"", ""9""), IF(LEFT(converted,3)=""+98"", ""0"" &amp; RIGHT(converted, LEN(converted)-3), IF(LEFT(converted,2)=""98"", ""0"" &amp; RIGHT(converted, LEN(converted)-2), IF(LEFT(converted,1)&lt;&gt;""0"", ""0"" &amp; converted, REGEXREPL"&amp;"ACE(converted , ""\s"", """")) ) ) ) )"),"09128993213")</f>
        <v>09128993213</v>
      </c>
      <c r="E1664" s="196" t="s">
        <v>17</v>
      </c>
      <c r="F1664" s="221">
        <v>13.0</v>
      </c>
      <c r="G1664" s="193"/>
      <c r="H1664" s="212" t="s">
        <v>6874</v>
      </c>
      <c r="I1664" s="194"/>
      <c r="J1664" s="194"/>
      <c r="K1664" s="193" t="s">
        <v>818</v>
      </c>
      <c r="L1664" s="193" t="s">
        <v>4347</v>
      </c>
      <c r="M1664" s="193"/>
      <c r="N1664" s="193"/>
      <c r="O1664" s="199" t="s">
        <v>713</v>
      </c>
      <c r="P1664" s="199" t="s">
        <v>713</v>
      </c>
      <c r="Q1664" s="218" t="s">
        <v>6766</v>
      </c>
      <c r="R1664" s="86"/>
      <c r="S1664" s="114">
        <f t="shared" ref="S1664:T1664" si="1666">A1664</f>
        <v>1664</v>
      </c>
      <c r="T1664" s="114" t="str">
        <f t="shared" si="1666"/>
        <v>اعظم غلامی</v>
      </c>
      <c r="U1664" s="86" t="str">
        <f t="shared" si="3"/>
        <v>09128993213</v>
      </c>
      <c r="V1664" s="86" t="str">
        <f t="shared" si="4"/>
        <v>پیش‌وایی 13</v>
      </c>
      <c r="W1664" s="86"/>
      <c r="X1664" s="86"/>
    </row>
    <row r="1665">
      <c r="A1665" s="201">
        <v>1665.0</v>
      </c>
      <c r="B1665" s="202" t="str">
        <f t="shared" si="1616"/>
        <v>فاطمه غلامی</v>
      </c>
      <c r="C1665" s="203" t="s">
        <v>6875</v>
      </c>
      <c r="D1665" s="204" t="str">
        <f>IFERROR(__xludf.DUMMYFUNCTION("ARRAYFORMULA(LET( converted, SUBSTITUTE( SUBSTITUTE( SUBSTITUTE( SUBSTITUTE( SUBSTITUTE( SUBSTITUTE( SUBSTITUTE( SUBSTITUTE( SUBSTITUTE( SUBSTITUTE( C1665, ""۰"", ""0""), ""۱"", ""1""), ""۲"", ""2""), ""۳"", ""3""), ""۴"", ""4""), ""۵"", ""5""), ""۶"", """&amp;"6""), ""۷"", ""7""), ""۸"", ""8""), ""۹"", ""9""), IF(LEFT(converted,3)=""+98"", ""0"" &amp; RIGHT(converted, LEN(converted)-3), IF(LEFT(converted,2)=""98"", ""0"" &amp; RIGHT(converted, LEN(converted)-2), IF(LEFT(converted,1)&lt;&gt;""0"", ""0"" &amp; converted, REGEXREPL"&amp;"ACE(converted , ""\s"", """")) ) ) ) )"),"09398028693")</f>
        <v>09398028693</v>
      </c>
      <c r="E1665" s="205" t="s">
        <v>17</v>
      </c>
      <c r="F1665" s="214">
        <v>13.0</v>
      </c>
      <c r="G1665" s="202"/>
      <c r="H1665" s="213" t="s">
        <v>6876</v>
      </c>
      <c r="I1665" s="203"/>
      <c r="J1665" s="203"/>
      <c r="K1665" s="202" t="s">
        <v>274</v>
      </c>
      <c r="L1665" s="202" t="s">
        <v>4347</v>
      </c>
      <c r="M1665" s="202"/>
      <c r="N1665" s="202"/>
      <c r="O1665" s="207" t="s">
        <v>713</v>
      </c>
      <c r="P1665" s="207" t="s">
        <v>713</v>
      </c>
      <c r="Q1665" s="216" t="s">
        <v>6766</v>
      </c>
      <c r="R1665" s="86"/>
      <c r="S1665" s="114">
        <f t="shared" ref="S1665:T1665" si="1667">A1665</f>
        <v>1665</v>
      </c>
      <c r="T1665" s="114" t="str">
        <f t="shared" si="1667"/>
        <v>فاطمه غلامی</v>
      </c>
      <c r="U1665" s="86" t="str">
        <f t="shared" si="3"/>
        <v>09398028693</v>
      </c>
      <c r="V1665" s="86" t="str">
        <f t="shared" si="4"/>
        <v>پیش‌وایی 13</v>
      </c>
      <c r="W1665" s="86"/>
      <c r="X1665" s="86"/>
    </row>
    <row r="1666">
      <c r="A1666" s="192">
        <v>1666.0</v>
      </c>
      <c r="B1666" s="193" t="str">
        <f t="shared" si="1616"/>
        <v>سمانه سلیمانی</v>
      </c>
      <c r="C1666" s="194" t="s">
        <v>6877</v>
      </c>
      <c r="D1666" s="195" t="str">
        <f>IFERROR(__xludf.DUMMYFUNCTION("ARRAYFORMULA(LET( converted, SUBSTITUTE( SUBSTITUTE( SUBSTITUTE( SUBSTITUTE( SUBSTITUTE( SUBSTITUTE( SUBSTITUTE( SUBSTITUTE( SUBSTITUTE( SUBSTITUTE( C1666, ""۰"", ""0""), ""۱"", ""1""), ""۲"", ""2""), ""۳"", ""3""), ""۴"", ""4""), ""۵"", ""5""), ""۶"", """&amp;"6""), ""۷"", ""7""), ""۸"", ""8""), ""۹"", ""9""), IF(LEFT(converted,3)=""+98"", ""0"" &amp; RIGHT(converted, LEN(converted)-3), IF(LEFT(converted,2)=""98"", ""0"" &amp; RIGHT(converted, LEN(converted)-2), IF(LEFT(converted,1)&lt;&gt;""0"", ""0"" &amp; converted, REGEXREPL"&amp;"ACE(converted , ""\s"", """")) ) ) ) )"),"09134454029")</f>
        <v>09134454029</v>
      </c>
      <c r="E1666" s="196" t="s">
        <v>17</v>
      </c>
      <c r="F1666" s="221">
        <v>13.0</v>
      </c>
      <c r="G1666" s="193"/>
      <c r="H1666" s="212" t="s">
        <v>6878</v>
      </c>
      <c r="I1666" s="194"/>
      <c r="J1666" s="194"/>
      <c r="K1666" s="193" t="s">
        <v>1576</v>
      </c>
      <c r="L1666" s="193" t="s">
        <v>920</v>
      </c>
      <c r="M1666" s="193"/>
      <c r="N1666" s="193"/>
      <c r="O1666" s="199" t="s">
        <v>713</v>
      </c>
      <c r="P1666" s="199" t="s">
        <v>713</v>
      </c>
      <c r="Q1666" s="218" t="s">
        <v>6766</v>
      </c>
      <c r="R1666" s="86"/>
      <c r="S1666" s="114">
        <f t="shared" ref="S1666:T1666" si="1668">A1666</f>
        <v>1666</v>
      </c>
      <c r="T1666" s="114" t="str">
        <f t="shared" si="1668"/>
        <v>سمانه سلیمانی</v>
      </c>
      <c r="U1666" s="86" t="str">
        <f t="shared" si="3"/>
        <v>09134454029</v>
      </c>
      <c r="V1666" s="86" t="str">
        <f t="shared" si="4"/>
        <v>پیش‌وایی 13</v>
      </c>
      <c r="W1666" s="86"/>
      <c r="X1666" s="86"/>
    </row>
    <row r="1667">
      <c r="A1667" s="201">
        <v>1667.0</v>
      </c>
      <c r="B1667" s="202" t="str">
        <f t="shared" si="1616"/>
        <v>نسرین غلامی</v>
      </c>
      <c r="C1667" s="203" t="s">
        <v>6879</v>
      </c>
      <c r="D1667" s="204" t="str">
        <f>IFERROR(__xludf.DUMMYFUNCTION("ARRAYFORMULA(LET( converted, SUBSTITUTE( SUBSTITUTE( SUBSTITUTE( SUBSTITUTE( SUBSTITUTE( SUBSTITUTE( SUBSTITUTE( SUBSTITUTE( SUBSTITUTE( SUBSTITUTE( C1667, ""۰"", ""0""), ""۱"", ""1""), ""۲"", ""2""), ""۳"", ""3""), ""۴"", ""4""), ""۵"", ""5""), ""۶"", """&amp;"6""), ""۷"", ""7""), ""۸"", ""8""), ""۹"", ""9""), IF(LEFT(converted,3)=""+98"", ""0"" &amp; RIGHT(converted, LEN(converted)-3), IF(LEFT(converted,2)=""98"", ""0"" &amp; RIGHT(converted, LEN(converted)-2), IF(LEFT(converted,1)&lt;&gt;""0"", ""0"" &amp; converted, REGEXREPL"&amp;"ACE(converted , ""\s"", """")) ) ) ) )"),"09382063709")</f>
        <v>09382063709</v>
      </c>
      <c r="E1667" s="205" t="s">
        <v>17</v>
      </c>
      <c r="F1667" s="214">
        <v>13.0</v>
      </c>
      <c r="G1667" s="202"/>
      <c r="H1667" s="202"/>
      <c r="I1667" s="203"/>
      <c r="J1667" s="203"/>
      <c r="K1667" s="202" t="s">
        <v>2044</v>
      </c>
      <c r="L1667" s="202" t="s">
        <v>4347</v>
      </c>
      <c r="M1667" s="202"/>
      <c r="N1667" s="202"/>
      <c r="O1667" s="207" t="s">
        <v>713</v>
      </c>
      <c r="P1667" s="207" t="s">
        <v>713</v>
      </c>
      <c r="Q1667" s="216" t="s">
        <v>6766</v>
      </c>
      <c r="R1667" s="86"/>
      <c r="S1667" s="114">
        <f t="shared" ref="S1667:T1667" si="1669">A1667</f>
        <v>1667</v>
      </c>
      <c r="T1667" s="114" t="str">
        <f t="shared" si="1669"/>
        <v>نسرین غلامی</v>
      </c>
      <c r="U1667" s="86" t="str">
        <f t="shared" si="3"/>
        <v>09382063709</v>
      </c>
      <c r="V1667" s="86" t="str">
        <f t="shared" si="4"/>
        <v>پیش‌وایی 13</v>
      </c>
      <c r="W1667" s="86"/>
      <c r="X1667" s="86"/>
    </row>
    <row r="1668">
      <c r="A1668" s="192">
        <v>1668.0</v>
      </c>
      <c r="B1668" s="193" t="str">
        <f t="shared" si="1616"/>
        <v>ذبیح فتاحی</v>
      </c>
      <c r="C1668" s="194" t="s">
        <v>6880</v>
      </c>
      <c r="D1668" s="195" t="str">
        <f>IFERROR(__xludf.DUMMYFUNCTION("ARRAYFORMULA(LET( converted, SUBSTITUTE( SUBSTITUTE( SUBSTITUTE( SUBSTITUTE( SUBSTITUTE( SUBSTITUTE( SUBSTITUTE( SUBSTITUTE( SUBSTITUTE( SUBSTITUTE( C1668, ""۰"", ""0""), ""۱"", ""1""), ""۲"", ""2""), ""۳"", ""3""), ""۴"", ""4""), ""۵"", ""5""), ""۶"", """&amp;"6""), ""۷"", ""7""), ""۸"", ""8""), ""۹"", ""9""), IF(LEFT(converted,3)=""+98"", ""0"" &amp; RIGHT(converted, LEN(converted)-3), IF(LEFT(converted,2)=""98"", ""0"" &amp; RIGHT(converted, LEN(converted)-2), IF(LEFT(converted,1)&lt;&gt;""0"", ""0"" &amp; converted, REGEXREPL"&amp;"ACE(converted , ""\s"", """")) ) ) ) )"),"09057579870")</f>
        <v>09057579870</v>
      </c>
      <c r="E1668" s="196" t="s">
        <v>17</v>
      </c>
      <c r="F1668" s="221">
        <v>13.0</v>
      </c>
      <c r="G1668" s="193"/>
      <c r="H1668" s="212" t="s">
        <v>6881</v>
      </c>
      <c r="I1668" s="194"/>
      <c r="J1668" s="194"/>
      <c r="K1668" s="193" t="s">
        <v>6882</v>
      </c>
      <c r="L1668" s="193" t="s">
        <v>2312</v>
      </c>
      <c r="M1668" s="193"/>
      <c r="N1668" s="193"/>
      <c r="O1668" s="199" t="s">
        <v>713</v>
      </c>
      <c r="P1668" s="199" t="s">
        <v>713</v>
      </c>
      <c r="Q1668" s="218" t="s">
        <v>6766</v>
      </c>
      <c r="R1668" s="86"/>
      <c r="S1668" s="114">
        <f t="shared" ref="S1668:T1668" si="1670">A1668</f>
        <v>1668</v>
      </c>
      <c r="T1668" s="114" t="str">
        <f t="shared" si="1670"/>
        <v>ذبیح فتاحی</v>
      </c>
      <c r="U1668" s="86" t="str">
        <f t="shared" si="3"/>
        <v>09057579870</v>
      </c>
      <c r="V1668" s="86" t="str">
        <f t="shared" si="4"/>
        <v>پیش‌وایی 13</v>
      </c>
      <c r="W1668" s="86"/>
      <c r="X1668" s="86"/>
    </row>
    <row r="1669">
      <c r="A1669" s="201">
        <v>1669.0</v>
      </c>
      <c r="B1669" s="202" t="str">
        <f t="shared" si="1616"/>
        <v>محمود محمدیان</v>
      </c>
      <c r="C1669" s="203" t="s">
        <v>6883</v>
      </c>
      <c r="D1669" s="204" t="str">
        <f>IFERROR(__xludf.DUMMYFUNCTION("ARRAYFORMULA(LET( converted, SUBSTITUTE( SUBSTITUTE( SUBSTITUTE( SUBSTITUTE( SUBSTITUTE( SUBSTITUTE( SUBSTITUTE( SUBSTITUTE( SUBSTITUTE( SUBSTITUTE( C1669, ""۰"", ""0""), ""۱"", ""1""), ""۲"", ""2""), ""۳"", ""3""), ""۴"", ""4""), ""۵"", ""5""), ""۶"", """&amp;"6""), ""۷"", ""7""), ""۸"", ""8""), ""۹"", ""9""), IF(LEFT(converted,3)=""+98"", ""0"" &amp; RIGHT(converted, LEN(converted)-3), IF(LEFT(converted,2)=""98"", ""0"" &amp; RIGHT(converted, LEN(converted)-2), IF(LEFT(converted,1)&lt;&gt;""0"", ""0"" &amp; converted, REGEXREPL"&amp;"ACE(converted , ""\s"", """")) ) ) ) )"),"09127748804")</f>
        <v>09127748804</v>
      </c>
      <c r="E1669" s="205" t="s">
        <v>17</v>
      </c>
      <c r="F1669" s="214">
        <v>13.0</v>
      </c>
      <c r="G1669" s="202"/>
      <c r="H1669" s="213" t="s">
        <v>6884</v>
      </c>
      <c r="I1669" s="203"/>
      <c r="J1669" s="203"/>
      <c r="K1669" s="202" t="s">
        <v>299</v>
      </c>
      <c r="L1669" s="202" t="s">
        <v>2505</v>
      </c>
      <c r="M1669" s="202"/>
      <c r="N1669" s="202"/>
      <c r="O1669" s="207" t="s">
        <v>713</v>
      </c>
      <c r="P1669" s="207" t="s">
        <v>713</v>
      </c>
      <c r="Q1669" s="216" t="s">
        <v>6766</v>
      </c>
      <c r="R1669" s="86"/>
      <c r="S1669" s="114">
        <f t="shared" ref="S1669:T1669" si="1671">A1669</f>
        <v>1669</v>
      </c>
      <c r="T1669" s="114" t="str">
        <f t="shared" si="1671"/>
        <v>محمود محمدیان</v>
      </c>
      <c r="U1669" s="86" t="str">
        <f t="shared" si="3"/>
        <v>09127748804</v>
      </c>
      <c r="V1669" s="86" t="str">
        <f t="shared" si="4"/>
        <v>پیش‌وایی 13</v>
      </c>
      <c r="W1669" s="86"/>
      <c r="X1669" s="86"/>
    </row>
    <row r="1670">
      <c r="A1670" s="192">
        <v>1670.0</v>
      </c>
      <c r="B1670" s="193" t="str">
        <f t="shared" si="1616"/>
        <v>محمد شکوری</v>
      </c>
      <c r="C1670" s="194" t="s">
        <v>6885</v>
      </c>
      <c r="D1670" s="195" t="str">
        <f>IFERROR(__xludf.DUMMYFUNCTION("ARRAYFORMULA(LET( converted, SUBSTITUTE( SUBSTITUTE( SUBSTITUTE( SUBSTITUTE( SUBSTITUTE( SUBSTITUTE( SUBSTITUTE( SUBSTITUTE( SUBSTITUTE( SUBSTITUTE( C1670, ""۰"", ""0""), ""۱"", ""1""), ""۲"", ""2""), ""۳"", ""3""), ""۴"", ""4""), ""۵"", ""5""), ""۶"", """&amp;"6""), ""۷"", ""7""), ""۸"", ""8""), ""۹"", ""9""), IF(LEFT(converted,3)=""+98"", ""0"" &amp; RIGHT(converted, LEN(converted)-3), IF(LEFT(converted,2)=""98"", ""0"" &amp; RIGHT(converted, LEN(converted)-2), IF(LEFT(converted,1)&lt;&gt;""0"", ""0"" &amp; converted, REGEXREPL"&amp;"ACE(converted , ""\s"", """")) ) ) ) )"),"09100875207")</f>
        <v>09100875207</v>
      </c>
      <c r="E1670" s="196" t="s">
        <v>17</v>
      </c>
      <c r="F1670" s="221">
        <v>13.0</v>
      </c>
      <c r="G1670" s="193"/>
      <c r="H1670" s="212" t="s">
        <v>6886</v>
      </c>
      <c r="I1670" s="194"/>
      <c r="J1670" s="194"/>
      <c r="K1670" s="193" t="s">
        <v>303</v>
      </c>
      <c r="L1670" s="193" t="s">
        <v>6887</v>
      </c>
      <c r="M1670" s="193"/>
      <c r="N1670" s="193"/>
      <c r="O1670" s="199" t="s">
        <v>713</v>
      </c>
      <c r="P1670" s="199" t="s">
        <v>713</v>
      </c>
      <c r="Q1670" s="218" t="s">
        <v>6766</v>
      </c>
      <c r="R1670" s="86"/>
      <c r="S1670" s="114">
        <f t="shared" ref="S1670:T1670" si="1672">A1670</f>
        <v>1670</v>
      </c>
      <c r="T1670" s="114" t="str">
        <f t="shared" si="1672"/>
        <v>محمد شکوری</v>
      </c>
      <c r="U1670" s="86" t="str">
        <f t="shared" si="3"/>
        <v>09100875207</v>
      </c>
      <c r="V1670" s="86" t="str">
        <f t="shared" si="4"/>
        <v>پیش‌وایی 13</v>
      </c>
      <c r="W1670" s="86"/>
      <c r="X1670" s="86"/>
    </row>
    <row r="1671">
      <c r="A1671" s="201">
        <v>1671.0</v>
      </c>
      <c r="B1671" s="202" t="str">
        <f t="shared" si="1616"/>
        <v>مبینا سامی</v>
      </c>
      <c r="C1671" s="203" t="s">
        <v>6888</v>
      </c>
      <c r="D1671" s="204" t="str">
        <f>IFERROR(__xludf.DUMMYFUNCTION("ARRAYFORMULA(LET( converted, SUBSTITUTE( SUBSTITUTE( SUBSTITUTE( SUBSTITUTE( SUBSTITUTE( SUBSTITUTE( SUBSTITUTE( SUBSTITUTE( SUBSTITUTE( SUBSTITUTE( C1671, ""۰"", ""0""), ""۱"", ""1""), ""۲"", ""2""), ""۳"", ""3""), ""۴"", ""4""), ""۵"", ""5""), ""۶"", """&amp;"6""), ""۷"", ""7""), ""۸"", ""8""), ""۹"", ""9""), IF(LEFT(converted,3)=""+98"", ""0"" &amp; RIGHT(converted, LEN(converted)-3), IF(LEFT(converted,2)=""98"", ""0"" &amp; RIGHT(converted, LEN(converted)-2), IF(LEFT(converted,1)&lt;&gt;""0"", ""0"" &amp; converted, REGEXREPL"&amp;"ACE(converted , ""\s"", """")) ) ) ) )"),"09364734031")</f>
        <v>09364734031</v>
      </c>
      <c r="E1671" s="205" t="s">
        <v>17</v>
      </c>
      <c r="F1671" s="214">
        <v>13.0</v>
      </c>
      <c r="G1671" s="202"/>
      <c r="H1671" s="213" t="s">
        <v>6889</v>
      </c>
      <c r="I1671" s="203"/>
      <c r="J1671" s="203"/>
      <c r="K1671" s="202" t="s">
        <v>6292</v>
      </c>
      <c r="L1671" s="202" t="s">
        <v>6890</v>
      </c>
      <c r="M1671" s="202"/>
      <c r="N1671" s="202"/>
      <c r="O1671" s="207" t="s">
        <v>713</v>
      </c>
      <c r="P1671" s="207" t="s">
        <v>713</v>
      </c>
      <c r="Q1671" s="216" t="s">
        <v>6766</v>
      </c>
      <c r="R1671" s="86"/>
      <c r="S1671" s="114">
        <f t="shared" ref="S1671:T1671" si="1673">A1671</f>
        <v>1671</v>
      </c>
      <c r="T1671" s="114" t="str">
        <f t="shared" si="1673"/>
        <v>مبینا سامی</v>
      </c>
      <c r="U1671" s="86" t="str">
        <f t="shared" si="3"/>
        <v>09364734031</v>
      </c>
      <c r="V1671" s="86" t="str">
        <f t="shared" si="4"/>
        <v>پیش‌وایی 13</v>
      </c>
      <c r="W1671" s="86"/>
      <c r="X1671" s="86"/>
    </row>
    <row r="1672">
      <c r="A1672" s="192">
        <v>1672.0</v>
      </c>
      <c r="B1672" s="193" t="str">
        <f t="shared" si="1616"/>
        <v>فاطمه حبی</v>
      </c>
      <c r="C1672" s="194" t="s">
        <v>6891</v>
      </c>
      <c r="D1672" s="195" t="str">
        <f>IFERROR(__xludf.DUMMYFUNCTION("ARRAYFORMULA(LET( converted, SUBSTITUTE( SUBSTITUTE( SUBSTITUTE( SUBSTITUTE( SUBSTITUTE( SUBSTITUTE( SUBSTITUTE( SUBSTITUTE( SUBSTITUTE( SUBSTITUTE( C1672, ""۰"", ""0""), ""۱"", ""1""), ""۲"", ""2""), ""۳"", ""3""), ""۴"", ""4""), ""۵"", ""5""), ""۶"", """&amp;"6""), ""۷"", ""7""), ""۸"", ""8""), ""۹"", ""9""), IF(LEFT(converted,3)=""+98"", ""0"" &amp; RIGHT(converted, LEN(converted)-3), IF(LEFT(converted,2)=""98"", ""0"" &amp; RIGHT(converted, LEN(converted)-2), IF(LEFT(converted,1)&lt;&gt;""0"", ""0"" &amp; converted, REGEXREPL"&amp;"ACE(converted , ""\s"", """")) ) ) ) )"),"09363007326")</f>
        <v>09363007326</v>
      </c>
      <c r="E1672" s="196" t="s">
        <v>17</v>
      </c>
      <c r="F1672" s="221">
        <v>13.0</v>
      </c>
      <c r="G1672" s="193"/>
      <c r="H1672" s="212" t="s">
        <v>6892</v>
      </c>
      <c r="I1672" s="194"/>
      <c r="J1672" s="194"/>
      <c r="K1672" s="193" t="s">
        <v>274</v>
      </c>
      <c r="L1672" s="193" t="s">
        <v>6893</v>
      </c>
      <c r="M1672" s="193"/>
      <c r="N1672" s="193"/>
      <c r="O1672" s="199" t="s">
        <v>713</v>
      </c>
      <c r="P1672" s="199" t="s">
        <v>713</v>
      </c>
      <c r="Q1672" s="218" t="s">
        <v>6766</v>
      </c>
      <c r="R1672" s="86"/>
      <c r="S1672" s="114">
        <f t="shared" ref="S1672:T1672" si="1674">A1672</f>
        <v>1672</v>
      </c>
      <c r="T1672" s="114" t="str">
        <f t="shared" si="1674"/>
        <v>فاطمه حبی</v>
      </c>
      <c r="U1672" s="86" t="str">
        <f t="shared" si="3"/>
        <v>09363007326</v>
      </c>
      <c r="V1672" s="86" t="str">
        <f t="shared" si="4"/>
        <v>پیش‌وایی 13</v>
      </c>
      <c r="W1672" s="86"/>
      <c r="X1672" s="86"/>
    </row>
    <row r="1673">
      <c r="A1673" s="201">
        <v>1673.0</v>
      </c>
      <c r="B1673" s="202" t="str">
        <f t="shared" si="1616"/>
        <v>محسن(میکائیل) ابراهیمی</v>
      </c>
      <c r="C1673" s="203" t="s">
        <v>6894</v>
      </c>
      <c r="D1673" s="204" t="str">
        <f>IFERROR(__xludf.DUMMYFUNCTION("ARRAYFORMULA(LET( converted, SUBSTITUTE( SUBSTITUTE( SUBSTITUTE( SUBSTITUTE( SUBSTITUTE( SUBSTITUTE( SUBSTITUTE( SUBSTITUTE( SUBSTITUTE( SUBSTITUTE( C1673, ""۰"", ""0""), ""۱"", ""1""), ""۲"", ""2""), ""۳"", ""3""), ""۴"", ""4""), ""۵"", ""5""), ""۶"", """&amp;"6""), ""۷"", ""7""), ""۸"", ""8""), ""۹"", ""9""), IF(LEFT(converted,3)=""+98"", ""0"" &amp; RIGHT(converted, LEN(converted)-3), IF(LEFT(converted,2)=""98"", ""0"" &amp; RIGHT(converted, LEN(converted)-2), IF(LEFT(converted,1)&lt;&gt;""0"", ""0"" &amp; converted, REGEXREPL"&amp;"ACE(converted , ""\s"", """")) ) ) ) )"),"09930003669")</f>
        <v>09930003669</v>
      </c>
      <c r="E1673" s="205" t="s">
        <v>17</v>
      </c>
      <c r="F1673" s="214">
        <v>13.0</v>
      </c>
      <c r="G1673" s="202"/>
      <c r="H1673" s="213" t="s">
        <v>6895</v>
      </c>
      <c r="I1673" s="203"/>
      <c r="J1673" s="203"/>
      <c r="K1673" s="202" t="s">
        <v>6896</v>
      </c>
      <c r="L1673" s="202" t="s">
        <v>904</v>
      </c>
      <c r="M1673" s="202"/>
      <c r="N1673" s="202"/>
      <c r="O1673" s="207" t="s">
        <v>713</v>
      </c>
      <c r="P1673" s="207" t="s">
        <v>713</v>
      </c>
      <c r="Q1673" s="216" t="s">
        <v>6766</v>
      </c>
      <c r="R1673" s="86"/>
      <c r="S1673" s="114">
        <f t="shared" ref="S1673:T1673" si="1675">A1673</f>
        <v>1673</v>
      </c>
      <c r="T1673" s="114" t="str">
        <f t="shared" si="1675"/>
        <v>محسن(میکائیل) ابراهیمی</v>
      </c>
      <c r="U1673" s="86" t="str">
        <f t="shared" si="3"/>
        <v>09930003669</v>
      </c>
      <c r="V1673" s="86" t="str">
        <f t="shared" si="4"/>
        <v>پیش‌وایی 13</v>
      </c>
      <c r="W1673" s="86"/>
      <c r="X1673" s="86"/>
    </row>
    <row r="1674">
      <c r="A1674" s="192">
        <v>1674.0</v>
      </c>
      <c r="B1674" s="193" t="str">
        <f t="shared" si="1616"/>
        <v>حسین بیزخی</v>
      </c>
      <c r="C1674" s="194" t="s">
        <v>6897</v>
      </c>
      <c r="D1674" s="195" t="str">
        <f>IFERROR(__xludf.DUMMYFUNCTION("ARRAYFORMULA(LET( converted, SUBSTITUTE( SUBSTITUTE( SUBSTITUTE( SUBSTITUTE( SUBSTITUTE( SUBSTITUTE( SUBSTITUTE( SUBSTITUTE( SUBSTITUTE( SUBSTITUTE( C1674, ""۰"", ""0""), ""۱"", ""1""), ""۲"", ""2""), ""۳"", ""3""), ""۴"", ""4""), ""۵"", ""5""), ""۶"", """&amp;"6""), ""۷"", ""7""), ""۸"", ""8""), ""۹"", ""9""), IF(LEFT(converted,3)=""+98"", ""0"" &amp; RIGHT(converted, LEN(converted)-3), IF(LEFT(converted,2)=""98"", ""0"" &amp; RIGHT(converted, LEN(converted)-2), IF(LEFT(converted,1)&lt;&gt;""0"", ""0"" &amp; converted, REGEXREPL"&amp;"ACE(converted , ""\s"", """")) ) ) ) )"),"09203933720")</f>
        <v>09203933720</v>
      </c>
      <c r="E1674" s="196" t="s">
        <v>17</v>
      </c>
      <c r="F1674" s="221">
        <v>13.0</v>
      </c>
      <c r="G1674" s="193"/>
      <c r="H1674" s="193"/>
      <c r="I1674" s="194"/>
      <c r="J1674" s="194"/>
      <c r="K1674" s="193" t="s">
        <v>896</v>
      </c>
      <c r="L1674" s="193" t="s">
        <v>6898</v>
      </c>
      <c r="M1674" s="193"/>
      <c r="N1674" s="193"/>
      <c r="O1674" s="199" t="s">
        <v>713</v>
      </c>
      <c r="P1674" s="199" t="s">
        <v>713</v>
      </c>
      <c r="Q1674" s="218" t="s">
        <v>6766</v>
      </c>
      <c r="R1674" s="86"/>
      <c r="S1674" s="114">
        <f t="shared" ref="S1674:T1674" si="1676">A1674</f>
        <v>1674</v>
      </c>
      <c r="T1674" s="114" t="str">
        <f t="shared" si="1676"/>
        <v>حسین بیزخی</v>
      </c>
      <c r="U1674" s="86" t="str">
        <f t="shared" si="3"/>
        <v>09203933720</v>
      </c>
      <c r="V1674" s="86" t="str">
        <f t="shared" si="4"/>
        <v>پیش‌وایی 13</v>
      </c>
      <c r="W1674" s="86"/>
      <c r="X1674" s="86"/>
    </row>
    <row r="1675">
      <c r="A1675" s="201">
        <v>1675.0</v>
      </c>
      <c r="B1675" s="202" t="str">
        <f t="shared" si="1616"/>
        <v>زهره جدی</v>
      </c>
      <c r="C1675" s="203" t="s">
        <v>6899</v>
      </c>
      <c r="D1675" s="204" t="str">
        <f>IFERROR(__xludf.DUMMYFUNCTION("ARRAYFORMULA(LET( converted, SUBSTITUTE( SUBSTITUTE( SUBSTITUTE( SUBSTITUTE( SUBSTITUTE( SUBSTITUTE( SUBSTITUTE( SUBSTITUTE( SUBSTITUTE( SUBSTITUTE( C1675, ""۰"", ""0""), ""۱"", ""1""), ""۲"", ""2""), ""۳"", ""3""), ""۴"", ""4""), ""۵"", ""5""), ""۶"", """&amp;"6""), ""۷"", ""7""), ""۸"", ""8""), ""۹"", ""9""), IF(LEFT(converted,3)=""+98"", ""0"" &amp; RIGHT(converted, LEN(converted)-3), IF(LEFT(converted,2)=""98"", ""0"" &amp; RIGHT(converted, LEN(converted)-2), IF(LEFT(converted,1)&lt;&gt;""0"", ""0"" &amp; converted, REGEXREPL"&amp;"ACE(converted , ""\s"", """")) ) ) ) )"),"09125149807")</f>
        <v>09125149807</v>
      </c>
      <c r="E1675" s="205" t="s">
        <v>17</v>
      </c>
      <c r="F1675" s="214">
        <v>13.0</v>
      </c>
      <c r="G1675" s="202"/>
      <c r="H1675" s="202"/>
      <c r="I1675" s="203"/>
      <c r="J1675" s="203"/>
      <c r="K1675" s="202" t="s">
        <v>852</v>
      </c>
      <c r="L1675" s="202" t="s">
        <v>6519</v>
      </c>
      <c r="M1675" s="202"/>
      <c r="N1675" s="202"/>
      <c r="O1675" s="207" t="s">
        <v>713</v>
      </c>
      <c r="P1675" s="207" t="s">
        <v>713</v>
      </c>
      <c r="Q1675" s="216" t="s">
        <v>6766</v>
      </c>
      <c r="R1675" s="86"/>
      <c r="S1675" s="114">
        <f t="shared" ref="S1675:T1675" si="1677">A1675</f>
        <v>1675</v>
      </c>
      <c r="T1675" s="114" t="str">
        <f t="shared" si="1677"/>
        <v>زهره جدی</v>
      </c>
      <c r="U1675" s="86" t="str">
        <f t="shared" si="3"/>
        <v>09125149807</v>
      </c>
      <c r="V1675" s="86" t="str">
        <f t="shared" si="4"/>
        <v>پیش‌وایی 13</v>
      </c>
      <c r="W1675" s="86"/>
      <c r="X1675" s="86"/>
    </row>
    <row r="1676">
      <c r="A1676" s="192">
        <v>1676.0</v>
      </c>
      <c r="B1676" s="193" t="str">
        <f t="shared" si="1616"/>
        <v>ثریا جدی</v>
      </c>
      <c r="C1676" s="194" t="s">
        <v>6900</v>
      </c>
      <c r="D1676" s="195" t="str">
        <f>IFERROR(__xludf.DUMMYFUNCTION("ARRAYFORMULA(LET( converted, SUBSTITUTE( SUBSTITUTE( SUBSTITUTE( SUBSTITUTE( SUBSTITUTE( SUBSTITUTE( SUBSTITUTE( SUBSTITUTE( SUBSTITUTE( SUBSTITUTE( C1676, ""۰"", ""0""), ""۱"", ""1""), ""۲"", ""2""), ""۳"", ""3""), ""۴"", ""4""), ""۵"", ""5""), ""۶"", """&amp;"6""), ""۷"", ""7""), ""۸"", ""8""), ""۹"", ""9""), IF(LEFT(converted,3)=""+98"", ""0"" &amp; RIGHT(converted, LEN(converted)-3), IF(LEFT(converted,2)=""98"", ""0"" &amp; RIGHT(converted, LEN(converted)-2), IF(LEFT(converted,1)&lt;&gt;""0"", ""0"" &amp; converted, REGEXREPL"&amp;"ACE(converted , ""\s"", """")) ) ) ) )"),"09224230126")</f>
        <v>09224230126</v>
      </c>
      <c r="E1676" s="196" t="s">
        <v>17</v>
      </c>
      <c r="F1676" s="221">
        <v>13.0</v>
      </c>
      <c r="G1676" s="193"/>
      <c r="H1676" s="193"/>
      <c r="I1676" s="194"/>
      <c r="J1676" s="194"/>
      <c r="K1676" s="193" t="s">
        <v>5404</v>
      </c>
      <c r="L1676" s="193" t="s">
        <v>6519</v>
      </c>
      <c r="M1676" s="193"/>
      <c r="N1676" s="193"/>
      <c r="O1676" s="199" t="s">
        <v>713</v>
      </c>
      <c r="P1676" s="199" t="s">
        <v>713</v>
      </c>
      <c r="Q1676" s="218" t="s">
        <v>6766</v>
      </c>
      <c r="R1676" s="86"/>
      <c r="S1676" s="114">
        <f t="shared" ref="S1676:T1676" si="1678">A1676</f>
        <v>1676</v>
      </c>
      <c r="T1676" s="114" t="str">
        <f t="shared" si="1678"/>
        <v>ثریا جدی</v>
      </c>
      <c r="U1676" s="86" t="str">
        <f t="shared" si="3"/>
        <v>09224230126</v>
      </c>
      <c r="V1676" s="86" t="str">
        <f t="shared" si="4"/>
        <v>پیش‌وایی 13</v>
      </c>
      <c r="W1676" s="86"/>
      <c r="X1676" s="86"/>
    </row>
    <row r="1677">
      <c r="A1677" s="201">
        <v>1677.0</v>
      </c>
      <c r="B1677" s="202" t="str">
        <f t="shared" si="1616"/>
        <v>زهرا جدی</v>
      </c>
      <c r="C1677" s="203" t="s">
        <v>6901</v>
      </c>
      <c r="D1677" s="204" t="str">
        <f>IFERROR(__xludf.DUMMYFUNCTION("ARRAYFORMULA(LET( converted, SUBSTITUTE( SUBSTITUTE( SUBSTITUTE( SUBSTITUTE( SUBSTITUTE( SUBSTITUTE( SUBSTITUTE( SUBSTITUTE( SUBSTITUTE( SUBSTITUTE( C1677, ""۰"", ""0""), ""۱"", ""1""), ""۲"", ""2""), ""۳"", ""3""), ""۴"", ""4""), ""۵"", ""5""), ""۶"", """&amp;"6""), ""۷"", ""7""), ""۸"", ""8""), ""۹"", ""9""), IF(LEFT(converted,3)=""+98"", ""0"" &amp; RIGHT(converted, LEN(converted)-3), IF(LEFT(converted,2)=""98"", ""0"" &amp; RIGHT(converted, LEN(converted)-2), IF(LEFT(converted,1)&lt;&gt;""0"", ""0"" &amp; converted, REGEXREPL"&amp;"ACE(converted , ""\s"", """")) ) ) ) )"),"09213743525")</f>
        <v>09213743525</v>
      </c>
      <c r="E1677" s="205" t="s">
        <v>17</v>
      </c>
      <c r="F1677" s="214">
        <v>13.0</v>
      </c>
      <c r="G1677" s="202"/>
      <c r="H1677" s="202"/>
      <c r="I1677" s="203"/>
      <c r="J1677" s="203"/>
      <c r="K1677" s="202" t="s">
        <v>1398</v>
      </c>
      <c r="L1677" s="202" t="s">
        <v>6519</v>
      </c>
      <c r="M1677" s="202"/>
      <c r="N1677" s="202"/>
      <c r="O1677" s="207" t="s">
        <v>713</v>
      </c>
      <c r="P1677" s="207" t="s">
        <v>713</v>
      </c>
      <c r="Q1677" s="216" t="s">
        <v>6766</v>
      </c>
      <c r="R1677" s="86"/>
      <c r="S1677" s="114">
        <f t="shared" ref="S1677:T1677" si="1679">A1677</f>
        <v>1677</v>
      </c>
      <c r="T1677" s="114" t="str">
        <f t="shared" si="1679"/>
        <v>زهرا جدی</v>
      </c>
      <c r="U1677" s="86" t="str">
        <f t="shared" si="3"/>
        <v>09213743525</v>
      </c>
      <c r="V1677" s="86" t="str">
        <f t="shared" si="4"/>
        <v>پیش‌وایی 13</v>
      </c>
      <c r="W1677" s="86"/>
      <c r="X1677" s="86"/>
    </row>
    <row r="1678">
      <c r="A1678" s="192">
        <v>1678.0</v>
      </c>
      <c r="B1678" s="193" t="str">
        <f t="shared" si="1616"/>
        <v>صفورا قاسمی</v>
      </c>
      <c r="C1678" s="194" t="s">
        <v>6902</v>
      </c>
      <c r="D1678" s="195" t="str">
        <f>IFERROR(__xludf.DUMMYFUNCTION("ARRAYFORMULA(LET( converted, SUBSTITUTE( SUBSTITUTE( SUBSTITUTE( SUBSTITUTE( SUBSTITUTE( SUBSTITUTE( SUBSTITUTE( SUBSTITUTE( SUBSTITUTE( SUBSTITUTE( C1678, ""۰"", ""0""), ""۱"", ""1""), ""۲"", ""2""), ""۳"", ""3""), ""۴"", ""4""), ""۵"", ""5""), ""۶"", """&amp;"6""), ""۷"", ""7""), ""۸"", ""8""), ""۹"", ""9""), IF(LEFT(converted,3)=""+98"", ""0"" &amp; RIGHT(converted, LEN(converted)-3), IF(LEFT(converted,2)=""98"", ""0"" &amp; RIGHT(converted, LEN(converted)-2), IF(LEFT(converted,1)&lt;&gt;""0"", ""0"" &amp; converted, REGEXREPL"&amp;"ACE(converted , ""\s"", """")) ) ) ) )"),"09221251785")</f>
        <v>09221251785</v>
      </c>
      <c r="E1678" s="196" t="s">
        <v>17</v>
      </c>
      <c r="F1678" s="221">
        <v>13.0</v>
      </c>
      <c r="G1678" s="193"/>
      <c r="H1678" s="193"/>
      <c r="I1678" s="194"/>
      <c r="J1678" s="194"/>
      <c r="K1678" s="193" t="s">
        <v>5459</v>
      </c>
      <c r="L1678" s="193" t="s">
        <v>2624</v>
      </c>
      <c r="M1678" s="193"/>
      <c r="N1678" s="193"/>
      <c r="O1678" s="199" t="s">
        <v>713</v>
      </c>
      <c r="P1678" s="199" t="s">
        <v>713</v>
      </c>
      <c r="Q1678" s="218" t="s">
        <v>6766</v>
      </c>
      <c r="R1678" s="86"/>
      <c r="S1678" s="114">
        <f t="shared" ref="S1678:T1678" si="1680">A1678</f>
        <v>1678</v>
      </c>
      <c r="T1678" s="114" t="str">
        <f t="shared" si="1680"/>
        <v>صفورا قاسمی</v>
      </c>
      <c r="U1678" s="86" t="str">
        <f t="shared" si="3"/>
        <v>09221251785</v>
      </c>
      <c r="V1678" s="86" t="str">
        <f t="shared" si="4"/>
        <v>پیش‌وایی 13</v>
      </c>
      <c r="W1678" s="86"/>
      <c r="X1678" s="86"/>
    </row>
    <row r="1679">
      <c r="A1679" s="201">
        <v>1679.0</v>
      </c>
      <c r="B1679" s="202" t="str">
        <f t="shared" si="1616"/>
        <v>حمیرا قاسمی</v>
      </c>
      <c r="C1679" s="203" t="s">
        <v>6903</v>
      </c>
      <c r="D1679" s="204" t="str">
        <f>IFERROR(__xludf.DUMMYFUNCTION("ARRAYFORMULA(LET( converted, SUBSTITUTE( SUBSTITUTE( SUBSTITUTE( SUBSTITUTE( SUBSTITUTE( SUBSTITUTE( SUBSTITUTE( SUBSTITUTE( SUBSTITUTE( SUBSTITUTE( C1679, ""۰"", ""0""), ""۱"", ""1""), ""۲"", ""2""), ""۳"", ""3""), ""۴"", ""4""), ""۵"", ""5""), ""۶"", """&amp;"6""), ""۷"", ""7""), ""۸"", ""8""), ""۹"", ""9""), IF(LEFT(converted,3)=""+98"", ""0"" &amp; RIGHT(converted, LEN(converted)-3), IF(LEFT(converted,2)=""98"", ""0"" &amp; RIGHT(converted, LEN(converted)-2), IF(LEFT(converted,1)&lt;&gt;""0"", ""0"" &amp; converted, REGEXREPL"&amp;"ACE(converted , ""\s"", """")) ) ) ) )"),"09125045620")</f>
        <v>09125045620</v>
      </c>
      <c r="E1679" s="205" t="s">
        <v>17</v>
      </c>
      <c r="F1679" s="214">
        <v>13.0</v>
      </c>
      <c r="G1679" s="202"/>
      <c r="H1679" s="202"/>
      <c r="I1679" s="203"/>
      <c r="J1679" s="203"/>
      <c r="K1679" s="202" t="s">
        <v>6522</v>
      </c>
      <c r="L1679" s="202" t="s">
        <v>2624</v>
      </c>
      <c r="M1679" s="202"/>
      <c r="N1679" s="202"/>
      <c r="O1679" s="207" t="s">
        <v>713</v>
      </c>
      <c r="P1679" s="207" t="s">
        <v>713</v>
      </c>
      <c r="Q1679" s="216" t="s">
        <v>6766</v>
      </c>
      <c r="R1679" s="86"/>
      <c r="S1679" s="114">
        <f t="shared" ref="S1679:T1679" si="1681">A1679</f>
        <v>1679</v>
      </c>
      <c r="T1679" s="114" t="str">
        <f t="shared" si="1681"/>
        <v>حمیرا قاسمی</v>
      </c>
      <c r="U1679" s="86" t="str">
        <f t="shared" si="3"/>
        <v>09125045620</v>
      </c>
      <c r="V1679" s="86" t="str">
        <f t="shared" si="4"/>
        <v>پیش‌وایی 13</v>
      </c>
      <c r="W1679" s="86"/>
      <c r="X1679" s="86"/>
    </row>
    <row r="1680">
      <c r="A1680" s="192">
        <v>1680.0</v>
      </c>
      <c r="B1680" s="193" t="str">
        <f t="shared" si="1616"/>
        <v>مرتضی مسعودی</v>
      </c>
      <c r="C1680" s="194" t="s">
        <v>6904</v>
      </c>
      <c r="D1680" s="195" t="str">
        <f>IFERROR(__xludf.DUMMYFUNCTION("ARRAYFORMULA(LET( converted, SUBSTITUTE( SUBSTITUTE( SUBSTITUTE( SUBSTITUTE( SUBSTITUTE( SUBSTITUTE( SUBSTITUTE( SUBSTITUTE( SUBSTITUTE( SUBSTITUTE( C1680, ""۰"", ""0""), ""۱"", ""1""), ""۲"", ""2""), ""۳"", ""3""), ""۴"", ""4""), ""۵"", ""5""), ""۶"", """&amp;"6""), ""۷"", ""7""), ""۸"", ""8""), ""۹"", ""9""), IF(LEFT(converted,3)=""+98"", ""0"" &amp; RIGHT(converted, LEN(converted)-3), IF(LEFT(converted,2)=""98"", ""0"" &amp; RIGHT(converted, LEN(converted)-2), IF(LEFT(converted,1)&lt;&gt;""0"", ""0"" &amp; converted, REGEXREPL"&amp;"ACE(converted , ""\s"", """")) ) ) ) )"),"09122720062")</f>
        <v>09122720062</v>
      </c>
      <c r="E1680" s="196" t="s">
        <v>17</v>
      </c>
      <c r="F1680" s="221">
        <v>13.0</v>
      </c>
      <c r="G1680" s="193"/>
      <c r="H1680" s="212" t="s">
        <v>6905</v>
      </c>
      <c r="I1680" s="194"/>
      <c r="J1680" s="194"/>
      <c r="K1680" s="193" t="s">
        <v>2306</v>
      </c>
      <c r="L1680" s="193" t="s">
        <v>1263</v>
      </c>
      <c r="M1680" s="193"/>
      <c r="N1680" s="193"/>
      <c r="O1680" s="199" t="s">
        <v>713</v>
      </c>
      <c r="P1680" s="199" t="s">
        <v>713</v>
      </c>
      <c r="Q1680" s="218" t="s">
        <v>6766</v>
      </c>
      <c r="R1680" s="86"/>
      <c r="S1680" s="114">
        <f t="shared" ref="S1680:T1680" si="1682">A1680</f>
        <v>1680</v>
      </c>
      <c r="T1680" s="114" t="str">
        <f t="shared" si="1682"/>
        <v>مرتضی مسعودی</v>
      </c>
      <c r="U1680" s="86" t="str">
        <f t="shared" si="3"/>
        <v>09122720062</v>
      </c>
      <c r="V1680" s="86" t="str">
        <f t="shared" si="4"/>
        <v>پیش‌وایی 13</v>
      </c>
      <c r="W1680" s="86"/>
      <c r="X1680" s="86"/>
    </row>
    <row r="1681">
      <c r="A1681" s="201">
        <v>1681.0</v>
      </c>
      <c r="B1681" s="202" t="str">
        <f t="shared" si="1616"/>
        <v>علی محمد محمدی</v>
      </c>
      <c r="C1681" s="203" t="s">
        <v>6906</v>
      </c>
      <c r="D1681" s="204" t="str">
        <f>IFERROR(__xludf.DUMMYFUNCTION("ARRAYFORMULA(LET( converted, SUBSTITUTE( SUBSTITUTE( SUBSTITUTE( SUBSTITUTE( SUBSTITUTE( SUBSTITUTE( SUBSTITUTE( SUBSTITUTE( SUBSTITUTE( SUBSTITUTE( C1681, ""۰"", ""0""), ""۱"", ""1""), ""۲"", ""2""), ""۳"", ""3""), ""۴"", ""4""), ""۵"", ""5""), ""۶"", """&amp;"6""), ""۷"", ""7""), ""۸"", ""8""), ""۹"", ""9""), IF(LEFT(converted,3)=""+98"", ""0"" &amp; RIGHT(converted, LEN(converted)-3), IF(LEFT(converted,2)=""98"", ""0"" &amp; RIGHT(converted, LEN(converted)-2), IF(LEFT(converted,1)&lt;&gt;""0"", ""0"" &amp; converted, REGEXREPL"&amp;"ACE(converted , ""\s"", """")) ) ) ) )"),"09129623066")</f>
        <v>09129623066</v>
      </c>
      <c r="E1681" s="205" t="s">
        <v>17</v>
      </c>
      <c r="F1681" s="214">
        <v>13.0</v>
      </c>
      <c r="G1681" s="202"/>
      <c r="H1681" s="202"/>
      <c r="I1681" s="203"/>
      <c r="J1681" s="203"/>
      <c r="K1681" s="202" t="s">
        <v>6907</v>
      </c>
      <c r="L1681" s="202" t="s">
        <v>1012</v>
      </c>
      <c r="M1681" s="202"/>
      <c r="N1681" s="202"/>
      <c r="O1681" s="207" t="s">
        <v>713</v>
      </c>
      <c r="P1681" s="207" t="s">
        <v>713</v>
      </c>
      <c r="Q1681" s="216" t="s">
        <v>6766</v>
      </c>
      <c r="R1681" s="86"/>
      <c r="S1681" s="114">
        <f t="shared" ref="S1681:T1681" si="1683">A1681</f>
        <v>1681</v>
      </c>
      <c r="T1681" s="114" t="str">
        <f t="shared" si="1683"/>
        <v>علی محمد محمدی</v>
      </c>
      <c r="U1681" s="86" t="str">
        <f t="shared" si="3"/>
        <v>09129623066</v>
      </c>
      <c r="V1681" s="86" t="str">
        <f t="shared" si="4"/>
        <v>پیش‌وایی 13</v>
      </c>
      <c r="W1681" s="86"/>
      <c r="X1681" s="86"/>
    </row>
    <row r="1682">
      <c r="A1682" s="192">
        <v>1682.0</v>
      </c>
      <c r="B1682" s="193" t="str">
        <f t="shared" si="1616"/>
        <v>سعید سعیدی</v>
      </c>
      <c r="C1682" s="194" t="s">
        <v>6908</v>
      </c>
      <c r="D1682" s="195" t="str">
        <f>IFERROR(__xludf.DUMMYFUNCTION("ARRAYFORMULA(LET( converted, SUBSTITUTE( SUBSTITUTE( SUBSTITUTE( SUBSTITUTE( SUBSTITUTE( SUBSTITUTE( SUBSTITUTE( SUBSTITUTE( SUBSTITUTE( SUBSTITUTE( C1682, ""۰"", ""0""), ""۱"", ""1""), ""۲"", ""2""), ""۳"", ""3""), ""۴"", ""4""), ""۵"", ""5""), ""۶"", """&amp;"6""), ""۷"", ""7""), ""۸"", ""8""), ""۹"", ""9""), IF(LEFT(converted,3)=""+98"", ""0"" &amp; RIGHT(converted, LEN(converted)-3), IF(LEFT(converted,2)=""98"", ""0"" &amp; RIGHT(converted, LEN(converted)-2), IF(LEFT(converted,1)&lt;&gt;""0"", ""0"" &amp; converted, REGEXREPL"&amp;"ACE(converted , ""\s"", """")) ) ) ) )"),"09021286617")</f>
        <v>09021286617</v>
      </c>
      <c r="E1682" s="196" t="s">
        <v>17</v>
      </c>
      <c r="F1682" s="221">
        <v>13.0</v>
      </c>
      <c r="G1682" s="193"/>
      <c r="H1682" s="193"/>
      <c r="I1682" s="194"/>
      <c r="J1682" s="194"/>
      <c r="K1682" s="193" t="s">
        <v>758</v>
      </c>
      <c r="L1682" s="193" t="s">
        <v>3956</v>
      </c>
      <c r="M1682" s="193"/>
      <c r="N1682" s="193"/>
      <c r="O1682" s="199" t="s">
        <v>713</v>
      </c>
      <c r="P1682" s="199" t="s">
        <v>713</v>
      </c>
      <c r="Q1682" s="218" t="s">
        <v>6766</v>
      </c>
      <c r="R1682" s="86"/>
      <c r="S1682" s="114">
        <f t="shared" ref="S1682:T1682" si="1684">A1682</f>
        <v>1682</v>
      </c>
      <c r="T1682" s="114" t="str">
        <f t="shared" si="1684"/>
        <v>سعید سعیدی</v>
      </c>
      <c r="U1682" s="86" t="str">
        <f t="shared" si="3"/>
        <v>09021286617</v>
      </c>
      <c r="V1682" s="86" t="str">
        <f t="shared" si="4"/>
        <v>پیش‌وایی 13</v>
      </c>
      <c r="W1682" s="86"/>
      <c r="X1682" s="86"/>
    </row>
    <row r="1683">
      <c r="A1683" s="201">
        <v>1683.0</v>
      </c>
      <c r="B1683" s="202" t="str">
        <f t="shared" si="1616"/>
        <v>امیرعباس قاسمی</v>
      </c>
      <c r="C1683" s="203" t="s">
        <v>6909</v>
      </c>
      <c r="D1683" s="204" t="str">
        <f>IFERROR(__xludf.DUMMYFUNCTION("ARRAYFORMULA(LET( converted, SUBSTITUTE( SUBSTITUTE( SUBSTITUTE( SUBSTITUTE( SUBSTITUTE( SUBSTITUTE( SUBSTITUTE( SUBSTITUTE( SUBSTITUTE( SUBSTITUTE( C1683, ""۰"", ""0""), ""۱"", ""1""), ""۲"", ""2""), ""۳"", ""3""), ""۴"", ""4""), ""۵"", ""5""), ""۶"", """&amp;"6""), ""۷"", ""7""), ""۸"", ""8""), ""۹"", ""9""), IF(LEFT(converted,3)=""+98"", ""0"" &amp; RIGHT(converted, LEN(converted)-3), IF(LEFT(converted,2)=""98"", ""0"" &amp; RIGHT(converted, LEN(converted)-2), IF(LEFT(converted,1)&lt;&gt;""0"", ""0"" &amp; converted, REGEXREPL"&amp;"ACE(converted , ""\s"", """")) ) ) ) )"),"09919191746")</f>
        <v>09919191746</v>
      </c>
      <c r="E1683" s="205" t="s">
        <v>17</v>
      </c>
      <c r="F1683" s="214">
        <v>13.0</v>
      </c>
      <c r="G1683" s="202"/>
      <c r="H1683" s="202"/>
      <c r="I1683" s="203"/>
      <c r="J1683" s="203"/>
      <c r="K1683" s="202" t="s">
        <v>5670</v>
      </c>
      <c r="L1683" s="202" t="s">
        <v>2624</v>
      </c>
      <c r="M1683" s="202"/>
      <c r="N1683" s="202"/>
      <c r="O1683" s="207" t="s">
        <v>713</v>
      </c>
      <c r="P1683" s="207" t="s">
        <v>713</v>
      </c>
      <c r="Q1683" s="216" t="s">
        <v>6910</v>
      </c>
      <c r="R1683" s="86"/>
      <c r="S1683" s="114">
        <f t="shared" ref="S1683:T1683" si="1685">A1683</f>
        <v>1683</v>
      </c>
      <c r="T1683" s="114" t="str">
        <f t="shared" si="1685"/>
        <v>امیرعباس قاسمی</v>
      </c>
      <c r="U1683" s="86" t="str">
        <f t="shared" si="3"/>
        <v>09919191746</v>
      </c>
      <c r="V1683" s="86" t="str">
        <f t="shared" si="4"/>
        <v>پیش‌وایی 13</v>
      </c>
      <c r="W1683" s="86"/>
      <c r="X1683" s="86"/>
    </row>
    <row r="1684">
      <c r="A1684" s="192">
        <v>1684.0</v>
      </c>
      <c r="B1684" s="193" t="str">
        <f t="shared" si="1616"/>
        <v>احمد رحیمی</v>
      </c>
      <c r="C1684" s="194" t="s">
        <v>6911</v>
      </c>
      <c r="D1684" s="195" t="str">
        <f>IFERROR(__xludf.DUMMYFUNCTION("ARRAYFORMULA(LET( converted, SUBSTITUTE( SUBSTITUTE( SUBSTITUTE( SUBSTITUTE( SUBSTITUTE( SUBSTITUTE( SUBSTITUTE( SUBSTITUTE( SUBSTITUTE( SUBSTITUTE( C1684, ""۰"", ""0""), ""۱"", ""1""), ""۲"", ""2""), ""۳"", ""3""), ""۴"", ""4""), ""۵"", ""5""), ""۶"", """&amp;"6""), ""۷"", ""7""), ""۸"", ""8""), ""۹"", ""9""), IF(LEFT(converted,3)=""+98"", ""0"" &amp; RIGHT(converted, LEN(converted)-3), IF(LEFT(converted,2)=""98"", ""0"" &amp; RIGHT(converted, LEN(converted)-2), IF(LEFT(converted,1)&lt;&gt;""0"", ""0"" &amp; converted, REGEXREPL"&amp;"ACE(converted , ""\s"", """")) ) ) ) )"),"09215503589")</f>
        <v>09215503589</v>
      </c>
      <c r="E1684" s="196" t="s">
        <v>17</v>
      </c>
      <c r="F1684" s="221">
        <v>13.0</v>
      </c>
      <c r="G1684" s="193"/>
      <c r="H1684" s="212" t="s">
        <v>6912</v>
      </c>
      <c r="I1684" s="194"/>
      <c r="J1684" s="194"/>
      <c r="K1684" s="193" t="s">
        <v>960</v>
      </c>
      <c r="L1684" s="193" t="s">
        <v>4373</v>
      </c>
      <c r="M1684" s="193"/>
      <c r="N1684" s="193"/>
      <c r="O1684" s="199" t="s">
        <v>713</v>
      </c>
      <c r="P1684" s="199" t="s">
        <v>713</v>
      </c>
      <c r="Q1684" s="218" t="s">
        <v>6910</v>
      </c>
      <c r="R1684" s="86"/>
      <c r="S1684" s="114">
        <f t="shared" ref="S1684:T1684" si="1686">A1684</f>
        <v>1684</v>
      </c>
      <c r="T1684" s="114" t="str">
        <f t="shared" si="1686"/>
        <v>احمد رحیمی</v>
      </c>
      <c r="U1684" s="86" t="str">
        <f t="shared" si="3"/>
        <v>09215503589</v>
      </c>
      <c r="V1684" s="86" t="str">
        <f t="shared" si="4"/>
        <v>پیش‌وایی 13</v>
      </c>
      <c r="W1684" s="86"/>
      <c r="X1684" s="86"/>
    </row>
    <row r="1685">
      <c r="A1685" s="201">
        <v>1685.0</v>
      </c>
      <c r="B1685" s="202" t="str">
        <f t="shared" si="1616"/>
        <v>محمدرضا تهرانی</v>
      </c>
      <c r="C1685" s="203" t="s">
        <v>6913</v>
      </c>
      <c r="D1685" s="204" t="str">
        <f>IFERROR(__xludf.DUMMYFUNCTION("ARRAYFORMULA(LET( converted, SUBSTITUTE( SUBSTITUTE( SUBSTITUTE( SUBSTITUTE( SUBSTITUTE( SUBSTITUTE( SUBSTITUTE( SUBSTITUTE( SUBSTITUTE( SUBSTITUTE( C1685, ""۰"", ""0""), ""۱"", ""1""), ""۲"", ""2""), ""۳"", ""3""), ""۴"", ""4""), ""۵"", ""5""), ""۶"", """&amp;"6""), ""۷"", ""7""), ""۸"", ""8""), ""۹"", ""9""), IF(LEFT(converted,3)=""+98"", ""0"" &amp; RIGHT(converted, LEN(converted)-3), IF(LEFT(converted,2)=""98"", ""0"" &amp; RIGHT(converted, LEN(converted)-2), IF(LEFT(converted,1)&lt;&gt;""0"", ""0"" &amp; converted, REGEXREPL"&amp;"ACE(converted , ""\s"", """")) ) ) ) )"),"09125590950")</f>
        <v>09125590950</v>
      </c>
      <c r="E1685" s="205" t="s">
        <v>17</v>
      </c>
      <c r="F1685" s="214">
        <v>13.0</v>
      </c>
      <c r="G1685" s="202"/>
      <c r="H1685" s="213" t="s">
        <v>6914</v>
      </c>
      <c r="I1685" s="203"/>
      <c r="J1685" s="203"/>
      <c r="K1685" s="202" t="s">
        <v>307</v>
      </c>
      <c r="L1685" s="202" t="s">
        <v>1512</v>
      </c>
      <c r="M1685" s="202"/>
      <c r="N1685" s="202"/>
      <c r="O1685" s="207" t="s">
        <v>48</v>
      </c>
      <c r="P1685" s="207" t="s">
        <v>48</v>
      </c>
      <c r="Q1685" s="216" t="s">
        <v>6766</v>
      </c>
      <c r="R1685" s="86"/>
      <c r="S1685" s="114">
        <f t="shared" ref="S1685:T1685" si="1687">A1685</f>
        <v>1685</v>
      </c>
      <c r="T1685" s="114" t="str">
        <f t="shared" si="1687"/>
        <v>محمدرضا تهرانی</v>
      </c>
      <c r="U1685" s="86" t="str">
        <f t="shared" si="3"/>
        <v>09125590950</v>
      </c>
      <c r="V1685" s="86" t="str">
        <f t="shared" si="4"/>
        <v>پیش‌وایی 13</v>
      </c>
      <c r="W1685" s="86"/>
      <c r="X1685" s="86"/>
    </row>
    <row r="1686">
      <c r="A1686" s="192">
        <v>1686.0</v>
      </c>
      <c r="B1686" s="193" t="str">
        <f t="shared" si="1616"/>
        <v>هادی کمایستانی</v>
      </c>
      <c r="C1686" s="194" t="s">
        <v>6915</v>
      </c>
      <c r="D1686" s="195" t="str">
        <f>IFERROR(__xludf.DUMMYFUNCTION("ARRAYFORMULA(LET( converted, SUBSTITUTE( SUBSTITUTE( SUBSTITUTE( SUBSTITUTE( SUBSTITUTE( SUBSTITUTE( SUBSTITUTE( SUBSTITUTE( SUBSTITUTE( SUBSTITUTE( C1686, ""۰"", ""0""), ""۱"", ""1""), ""۲"", ""2""), ""۳"", ""3""), ""۴"", ""4""), ""۵"", ""5""), ""۶"", """&amp;"6""), ""۷"", ""7""), ""۸"", ""8""), ""۹"", ""9""), IF(LEFT(converted,3)=""+98"", ""0"" &amp; RIGHT(converted, LEN(converted)-3), IF(LEFT(converted,2)=""98"", ""0"" &amp; RIGHT(converted, LEN(converted)-2), IF(LEFT(converted,1)&lt;&gt;""0"", ""0"" &amp; converted, REGEXREPL"&amp;"ACE(converted , ""\s"", """")) ) ) ) )"),"09367331661")</f>
        <v>09367331661</v>
      </c>
      <c r="E1686" s="196" t="s">
        <v>17</v>
      </c>
      <c r="F1686" s="221">
        <v>13.0</v>
      </c>
      <c r="G1686" s="193"/>
      <c r="H1686" s="212" t="s">
        <v>6916</v>
      </c>
      <c r="I1686" s="194"/>
      <c r="J1686" s="194"/>
      <c r="K1686" s="193" t="s">
        <v>2347</v>
      </c>
      <c r="L1686" s="193" t="s">
        <v>6917</v>
      </c>
      <c r="M1686" s="193"/>
      <c r="N1686" s="193"/>
      <c r="O1686" s="199" t="s">
        <v>48</v>
      </c>
      <c r="P1686" s="199" t="s">
        <v>48</v>
      </c>
      <c r="Q1686" s="218" t="s">
        <v>6766</v>
      </c>
      <c r="R1686" s="86"/>
      <c r="S1686" s="114">
        <f t="shared" ref="S1686:T1686" si="1688">A1686</f>
        <v>1686</v>
      </c>
      <c r="T1686" s="114" t="str">
        <f t="shared" si="1688"/>
        <v>هادی کمایستانی</v>
      </c>
      <c r="U1686" s="86" t="str">
        <f t="shared" si="3"/>
        <v>09367331661</v>
      </c>
      <c r="V1686" s="86" t="str">
        <f t="shared" si="4"/>
        <v>پیش‌وایی 13</v>
      </c>
      <c r="W1686" s="86"/>
      <c r="X1686" s="86"/>
    </row>
    <row r="1687">
      <c r="A1687" s="201">
        <v>1687.0</v>
      </c>
      <c r="B1687" s="202" t="str">
        <f t="shared" si="1616"/>
        <v>مژده عبدلله</v>
      </c>
      <c r="C1687" s="203" t="s">
        <v>6918</v>
      </c>
      <c r="D1687" s="204" t="str">
        <f>IFERROR(__xludf.DUMMYFUNCTION("ARRAYFORMULA(LET( converted, SUBSTITUTE( SUBSTITUTE( SUBSTITUTE( SUBSTITUTE( SUBSTITUTE( SUBSTITUTE( SUBSTITUTE( SUBSTITUTE( SUBSTITUTE( SUBSTITUTE( C1687, ""۰"", ""0""), ""۱"", ""1""), ""۲"", ""2""), ""۳"", ""3""), ""۴"", ""4""), ""۵"", ""5""), ""۶"", """&amp;"6""), ""۷"", ""7""), ""۸"", ""8""), ""۹"", ""9""), IF(LEFT(converted,3)=""+98"", ""0"" &amp; RIGHT(converted, LEN(converted)-3), IF(LEFT(converted,2)=""98"", ""0"" &amp; RIGHT(converted, LEN(converted)-2), IF(LEFT(converted,1)&lt;&gt;""0"", ""0"" &amp; converted, REGEXREPL"&amp;"ACE(converted , ""\s"", """")) ) ) ) )"),"09105977161")</f>
        <v>09105977161</v>
      </c>
      <c r="E1687" s="205" t="s">
        <v>17</v>
      </c>
      <c r="F1687" s="214">
        <v>13.0</v>
      </c>
      <c r="G1687" s="202"/>
      <c r="H1687" s="213" t="s">
        <v>6919</v>
      </c>
      <c r="I1687" s="203"/>
      <c r="J1687" s="203"/>
      <c r="K1687" s="202" t="s">
        <v>6920</v>
      </c>
      <c r="L1687" s="202" t="s">
        <v>6921</v>
      </c>
      <c r="M1687" s="202"/>
      <c r="N1687" s="202"/>
      <c r="O1687" s="207" t="s">
        <v>48</v>
      </c>
      <c r="P1687" s="207" t="s">
        <v>48</v>
      </c>
      <c r="Q1687" s="216" t="s">
        <v>6766</v>
      </c>
      <c r="R1687" s="86"/>
      <c r="S1687" s="114">
        <f t="shared" ref="S1687:T1687" si="1689">A1687</f>
        <v>1687</v>
      </c>
      <c r="T1687" s="114" t="str">
        <f t="shared" si="1689"/>
        <v>مژده عبدلله</v>
      </c>
      <c r="U1687" s="86" t="str">
        <f t="shared" si="3"/>
        <v>09105977161</v>
      </c>
      <c r="V1687" s="86" t="str">
        <f t="shared" si="4"/>
        <v>پیش‌وایی 13</v>
      </c>
      <c r="W1687" s="86"/>
      <c r="X1687" s="86"/>
    </row>
    <row r="1688">
      <c r="A1688" s="192">
        <v>1688.0</v>
      </c>
      <c r="B1688" s="193" t="str">
        <f t="shared" si="1616"/>
        <v>احسان اقبال</v>
      </c>
      <c r="C1688" s="194" t="s">
        <v>6922</v>
      </c>
      <c r="D1688" s="195" t="str">
        <f>IFERROR(__xludf.DUMMYFUNCTION("ARRAYFORMULA(LET( converted, SUBSTITUTE( SUBSTITUTE( SUBSTITUTE( SUBSTITUTE( SUBSTITUTE( SUBSTITUTE( SUBSTITUTE( SUBSTITUTE( SUBSTITUTE( SUBSTITUTE( C1688, ""۰"", ""0""), ""۱"", ""1""), ""۲"", ""2""), ""۳"", ""3""), ""۴"", ""4""), ""۵"", ""5""), ""۶"", """&amp;"6""), ""۷"", ""7""), ""۸"", ""8""), ""۹"", ""9""), IF(LEFT(converted,3)=""+98"", ""0"" &amp; RIGHT(converted, LEN(converted)-3), IF(LEFT(converted,2)=""98"", ""0"" &amp; RIGHT(converted, LEN(converted)-2), IF(LEFT(converted,1)&lt;&gt;""0"", ""0"" &amp; converted, REGEXREPL"&amp;"ACE(converted , ""\s"", """")) ) ) ) )"),"09981702541")</f>
        <v>09981702541</v>
      </c>
      <c r="E1688" s="196" t="s">
        <v>17</v>
      </c>
      <c r="F1688" s="221">
        <v>13.0</v>
      </c>
      <c r="G1688" s="193"/>
      <c r="H1688" s="212" t="s">
        <v>6923</v>
      </c>
      <c r="I1688" s="194"/>
      <c r="J1688" s="194"/>
      <c r="K1688" s="193" t="s">
        <v>200</v>
      </c>
      <c r="L1688" s="193" t="s">
        <v>6924</v>
      </c>
      <c r="M1688" s="193"/>
      <c r="N1688" s="193"/>
      <c r="O1688" s="199" t="s">
        <v>48</v>
      </c>
      <c r="P1688" s="199" t="s">
        <v>48</v>
      </c>
      <c r="Q1688" s="218" t="s">
        <v>6766</v>
      </c>
      <c r="R1688" s="86"/>
      <c r="S1688" s="114">
        <f t="shared" ref="S1688:T1688" si="1690">A1688</f>
        <v>1688</v>
      </c>
      <c r="T1688" s="114" t="str">
        <f t="shared" si="1690"/>
        <v>احسان اقبال</v>
      </c>
      <c r="U1688" s="86" t="str">
        <f t="shared" si="3"/>
        <v>09981702541</v>
      </c>
      <c r="V1688" s="86" t="str">
        <f t="shared" si="4"/>
        <v>پیش‌وایی 13</v>
      </c>
      <c r="W1688" s="86"/>
      <c r="X1688" s="86"/>
    </row>
    <row r="1689">
      <c r="A1689" s="201">
        <v>1689.0</v>
      </c>
      <c r="B1689" s="202" t="str">
        <f t="shared" si="1616"/>
        <v>وحیده ستایش</v>
      </c>
      <c r="C1689" s="203" t="s">
        <v>6925</v>
      </c>
      <c r="D1689" s="204" t="str">
        <f>IFERROR(__xludf.DUMMYFUNCTION("ARRAYFORMULA(LET( converted, SUBSTITUTE( SUBSTITUTE( SUBSTITUTE( SUBSTITUTE( SUBSTITUTE( SUBSTITUTE( SUBSTITUTE( SUBSTITUTE( SUBSTITUTE( SUBSTITUTE( C1689, ""۰"", ""0""), ""۱"", ""1""), ""۲"", ""2""), ""۳"", ""3""), ""۴"", ""4""), ""۵"", ""5""), ""۶"", """&amp;"6""), ""۷"", ""7""), ""۸"", ""8""), ""۹"", ""9""), IF(LEFT(converted,3)=""+98"", ""0"" &amp; RIGHT(converted, LEN(converted)-3), IF(LEFT(converted,2)=""98"", ""0"" &amp; RIGHT(converted, LEN(converted)-2), IF(LEFT(converted,1)&lt;&gt;""0"", ""0"" &amp; converted, REGEXREPL"&amp;"ACE(converted , ""\s"", """")) ) ) ) )"),"09121460905")</f>
        <v>09121460905</v>
      </c>
      <c r="E1689" s="205" t="s">
        <v>17</v>
      </c>
      <c r="F1689" s="214">
        <v>13.0</v>
      </c>
      <c r="G1689" s="202"/>
      <c r="H1689" s="213" t="s">
        <v>6926</v>
      </c>
      <c r="I1689" s="203"/>
      <c r="J1689" s="203"/>
      <c r="K1689" s="202" t="s">
        <v>2299</v>
      </c>
      <c r="L1689" s="202" t="s">
        <v>6927</v>
      </c>
      <c r="M1689" s="202"/>
      <c r="N1689" s="202"/>
      <c r="O1689" s="207" t="s">
        <v>48</v>
      </c>
      <c r="P1689" s="207" t="s">
        <v>48</v>
      </c>
      <c r="Q1689" s="216" t="s">
        <v>6766</v>
      </c>
      <c r="R1689" s="86"/>
      <c r="S1689" s="114">
        <f t="shared" ref="S1689:T1689" si="1691">A1689</f>
        <v>1689</v>
      </c>
      <c r="T1689" s="114" t="str">
        <f t="shared" si="1691"/>
        <v>وحیده ستایش</v>
      </c>
      <c r="U1689" s="86" t="str">
        <f t="shared" si="3"/>
        <v>09121460905</v>
      </c>
      <c r="V1689" s="86" t="str">
        <f t="shared" si="4"/>
        <v>پیش‌وایی 13</v>
      </c>
      <c r="W1689" s="86"/>
      <c r="X1689" s="86"/>
    </row>
    <row r="1690">
      <c r="A1690" s="192">
        <v>1690.0</v>
      </c>
      <c r="B1690" s="193" t="str">
        <f t="shared" si="1616"/>
        <v>سهیلا نداف</v>
      </c>
      <c r="C1690" s="194" t="s">
        <v>6928</v>
      </c>
      <c r="D1690" s="195" t="str">
        <f>IFERROR(__xludf.DUMMYFUNCTION("ARRAYFORMULA(LET( converted, SUBSTITUTE( SUBSTITUTE( SUBSTITUTE( SUBSTITUTE( SUBSTITUTE( SUBSTITUTE( SUBSTITUTE( SUBSTITUTE( SUBSTITUTE( SUBSTITUTE( C1690, ""۰"", ""0""), ""۱"", ""1""), ""۲"", ""2""), ""۳"", ""3""), ""۴"", ""4""), ""۵"", ""5""), ""۶"", """&amp;"6""), ""۷"", ""7""), ""۸"", ""8""), ""۹"", ""9""), IF(LEFT(converted,3)=""+98"", ""0"" &amp; RIGHT(converted, LEN(converted)-3), IF(LEFT(converted,2)=""98"", ""0"" &amp; RIGHT(converted, LEN(converted)-2), IF(LEFT(converted,1)&lt;&gt;""0"", ""0"" &amp; converted, REGEXREPL"&amp;"ACE(converted , ""\s"", """")) ) ) ) )"),"09127142056")</f>
        <v>09127142056</v>
      </c>
      <c r="E1690" s="196" t="s">
        <v>17</v>
      </c>
      <c r="F1690" s="221">
        <v>13.0</v>
      </c>
      <c r="G1690" s="193"/>
      <c r="H1690" s="212" t="s">
        <v>6929</v>
      </c>
      <c r="I1690" s="194"/>
      <c r="J1690" s="194"/>
      <c r="K1690" s="193" t="s">
        <v>6930</v>
      </c>
      <c r="L1690" s="193" t="s">
        <v>6931</v>
      </c>
      <c r="M1690" s="193"/>
      <c r="N1690" s="193"/>
      <c r="O1690" s="199" t="s">
        <v>48</v>
      </c>
      <c r="P1690" s="199" t="s">
        <v>48</v>
      </c>
      <c r="Q1690" s="218" t="s">
        <v>6766</v>
      </c>
      <c r="R1690" s="86"/>
      <c r="S1690" s="114">
        <f t="shared" ref="S1690:T1690" si="1692">A1690</f>
        <v>1690</v>
      </c>
      <c r="T1690" s="114" t="str">
        <f t="shared" si="1692"/>
        <v>سهیلا نداف</v>
      </c>
      <c r="U1690" s="86" t="str">
        <f t="shared" si="3"/>
        <v>09127142056</v>
      </c>
      <c r="V1690" s="86" t="str">
        <f t="shared" si="4"/>
        <v>پیش‌وایی 13</v>
      </c>
      <c r="W1690" s="86"/>
      <c r="X1690" s="86"/>
    </row>
    <row r="1691">
      <c r="A1691" s="201">
        <v>1691.0</v>
      </c>
      <c r="B1691" s="202" t="str">
        <f t="shared" si="1616"/>
        <v>محمد امین پوررحمانی</v>
      </c>
      <c r="C1691" s="203" t="s">
        <v>6932</v>
      </c>
      <c r="D1691" s="204" t="str">
        <f>IFERROR(__xludf.DUMMYFUNCTION("ARRAYFORMULA(LET( converted, SUBSTITUTE( SUBSTITUTE( SUBSTITUTE( SUBSTITUTE( SUBSTITUTE( SUBSTITUTE( SUBSTITUTE( SUBSTITUTE( SUBSTITUTE( SUBSTITUTE( C1691, ""۰"", ""0""), ""۱"", ""1""), ""۲"", ""2""), ""۳"", ""3""), ""۴"", ""4""), ""۵"", ""5""), ""۶"", """&amp;"6""), ""۷"", ""7""), ""۸"", ""8""), ""۹"", ""9""), IF(LEFT(converted,3)=""+98"", ""0"" &amp; RIGHT(converted, LEN(converted)-3), IF(LEFT(converted,2)=""98"", ""0"" &amp; RIGHT(converted, LEN(converted)-2), IF(LEFT(converted,1)&lt;&gt;""0"", ""0"" &amp; converted, REGEXREPL"&amp;"ACE(converted , ""\s"", """")) ) ) ) )"),"09126456654")</f>
        <v>09126456654</v>
      </c>
      <c r="E1691" s="205" t="s">
        <v>17</v>
      </c>
      <c r="F1691" s="214">
        <v>13.0</v>
      </c>
      <c r="G1691" s="202"/>
      <c r="H1691" s="202"/>
      <c r="I1691" s="203"/>
      <c r="J1691" s="203"/>
      <c r="K1691" s="202" t="s">
        <v>4271</v>
      </c>
      <c r="L1691" s="202" t="s">
        <v>6933</v>
      </c>
      <c r="M1691" s="202"/>
      <c r="N1691" s="202"/>
      <c r="O1691" s="207" t="s">
        <v>48</v>
      </c>
      <c r="P1691" s="207" t="s">
        <v>48</v>
      </c>
      <c r="Q1691" s="216" t="s">
        <v>6766</v>
      </c>
      <c r="R1691" s="86"/>
      <c r="S1691" s="114">
        <f t="shared" ref="S1691:T1691" si="1693">A1691</f>
        <v>1691</v>
      </c>
      <c r="T1691" s="114" t="str">
        <f t="shared" si="1693"/>
        <v>محمد امین پوررحمانی</v>
      </c>
      <c r="U1691" s="86" t="str">
        <f t="shared" si="3"/>
        <v>09126456654</v>
      </c>
      <c r="V1691" s="86" t="str">
        <f t="shared" si="4"/>
        <v>پیش‌وایی 13</v>
      </c>
      <c r="W1691" s="86"/>
      <c r="X1691" s="86"/>
    </row>
    <row r="1692">
      <c r="A1692" s="192">
        <v>1692.0</v>
      </c>
      <c r="B1692" s="193" t="str">
        <f t="shared" si="1616"/>
        <v>مرجان عمیدی</v>
      </c>
      <c r="C1692" s="194" t="s">
        <v>6934</v>
      </c>
      <c r="D1692" s="195" t="str">
        <f>IFERROR(__xludf.DUMMYFUNCTION("ARRAYFORMULA(LET( converted, SUBSTITUTE( SUBSTITUTE( SUBSTITUTE( SUBSTITUTE( SUBSTITUTE( SUBSTITUTE( SUBSTITUTE( SUBSTITUTE( SUBSTITUTE( SUBSTITUTE( C1692, ""۰"", ""0""), ""۱"", ""1""), ""۲"", ""2""), ""۳"", ""3""), ""۴"", ""4""), ""۵"", ""5""), ""۶"", """&amp;"6""), ""۷"", ""7""), ""۸"", ""8""), ""۹"", ""9""), IF(LEFT(converted,3)=""+98"", ""0"" &amp; RIGHT(converted, LEN(converted)-3), IF(LEFT(converted,2)=""98"", ""0"" &amp; RIGHT(converted, LEN(converted)-2), IF(LEFT(converted,1)&lt;&gt;""0"", ""0"" &amp; converted, REGEXREPL"&amp;"ACE(converted , ""\s"", """")) ) ) ) )"),"09124899799")</f>
        <v>09124899799</v>
      </c>
      <c r="E1692" s="196" t="s">
        <v>17</v>
      </c>
      <c r="F1692" s="221">
        <v>13.0</v>
      </c>
      <c r="G1692" s="193"/>
      <c r="H1692" s="193"/>
      <c r="I1692" s="194"/>
      <c r="J1692" s="194"/>
      <c r="K1692" s="193" t="s">
        <v>211</v>
      </c>
      <c r="L1692" s="193" t="s">
        <v>6935</v>
      </c>
      <c r="M1692" s="193"/>
      <c r="N1692" s="193"/>
      <c r="O1692" s="199" t="s">
        <v>48</v>
      </c>
      <c r="P1692" s="199" t="s">
        <v>48</v>
      </c>
      <c r="Q1692" s="218" t="s">
        <v>6766</v>
      </c>
      <c r="R1692" s="86"/>
      <c r="S1692" s="114">
        <f t="shared" ref="S1692:T1692" si="1694">A1692</f>
        <v>1692</v>
      </c>
      <c r="T1692" s="114" t="str">
        <f t="shared" si="1694"/>
        <v>مرجان عمیدی</v>
      </c>
      <c r="U1692" s="86" t="str">
        <f t="shared" si="3"/>
        <v>09124899799</v>
      </c>
      <c r="V1692" s="86" t="str">
        <f t="shared" si="4"/>
        <v>پیش‌وایی 13</v>
      </c>
      <c r="W1692" s="86"/>
      <c r="X1692" s="86"/>
    </row>
    <row r="1693">
      <c r="A1693" s="201">
        <v>1693.0</v>
      </c>
      <c r="B1693" s="202" t="str">
        <f t="shared" si="1616"/>
        <v>سهیل خداکرم</v>
      </c>
      <c r="C1693" s="203" t="s">
        <v>6936</v>
      </c>
      <c r="D1693" s="204" t="str">
        <f>IFERROR(__xludf.DUMMYFUNCTION("ARRAYFORMULA(LET( converted, SUBSTITUTE( SUBSTITUTE( SUBSTITUTE( SUBSTITUTE( SUBSTITUTE( SUBSTITUTE( SUBSTITUTE( SUBSTITUTE( SUBSTITUTE( SUBSTITUTE( C1693, ""۰"", ""0""), ""۱"", ""1""), ""۲"", ""2""), ""۳"", ""3""), ""۴"", ""4""), ""۵"", ""5""), ""۶"", """&amp;"6""), ""۷"", ""7""), ""۸"", ""8""), ""۹"", ""9""), IF(LEFT(converted,3)=""+98"", ""0"" &amp; RIGHT(converted, LEN(converted)-3), IF(LEFT(converted,2)=""98"", ""0"" &amp; RIGHT(converted, LEN(converted)-2), IF(LEFT(converted,1)&lt;&gt;""0"", ""0"" &amp; converted, REGEXREPL"&amp;"ACE(converted , ""\s"", """")) ) ) ) )"),"09353941627")</f>
        <v>09353941627</v>
      </c>
      <c r="E1693" s="205" t="s">
        <v>17</v>
      </c>
      <c r="F1693" s="214">
        <v>13.0</v>
      </c>
      <c r="G1693" s="202"/>
      <c r="H1693" s="202"/>
      <c r="I1693" s="203"/>
      <c r="J1693" s="203"/>
      <c r="K1693" s="202" t="s">
        <v>3159</v>
      </c>
      <c r="L1693" s="202" t="s">
        <v>6937</v>
      </c>
      <c r="M1693" s="202"/>
      <c r="N1693" s="202"/>
      <c r="O1693" s="207" t="s">
        <v>48</v>
      </c>
      <c r="P1693" s="207" t="s">
        <v>48</v>
      </c>
      <c r="Q1693" s="216" t="s">
        <v>6766</v>
      </c>
      <c r="R1693" s="86"/>
      <c r="S1693" s="114">
        <f t="shared" ref="S1693:T1693" si="1695">A1693</f>
        <v>1693</v>
      </c>
      <c r="T1693" s="114" t="str">
        <f t="shared" si="1695"/>
        <v>سهیل خداکرم</v>
      </c>
      <c r="U1693" s="86" t="str">
        <f t="shared" si="3"/>
        <v>09353941627</v>
      </c>
      <c r="V1693" s="86" t="str">
        <f t="shared" si="4"/>
        <v>پیش‌وایی 13</v>
      </c>
      <c r="W1693" s="86"/>
      <c r="X1693" s="86"/>
    </row>
    <row r="1694">
      <c r="A1694" s="192">
        <v>1694.0</v>
      </c>
      <c r="B1694" s="193" t="str">
        <f t="shared" si="1616"/>
        <v>ولی اله صوفی</v>
      </c>
      <c r="C1694" s="194" t="s">
        <v>6938</v>
      </c>
      <c r="D1694" s="195" t="str">
        <f>IFERROR(__xludf.DUMMYFUNCTION("ARRAYFORMULA(LET( converted, SUBSTITUTE( SUBSTITUTE( SUBSTITUTE( SUBSTITUTE( SUBSTITUTE( SUBSTITUTE( SUBSTITUTE( SUBSTITUTE( SUBSTITUTE( SUBSTITUTE( C1694, ""۰"", ""0""), ""۱"", ""1""), ""۲"", ""2""), ""۳"", ""3""), ""۴"", ""4""), ""۵"", ""5""), ""۶"", """&amp;"6""), ""۷"", ""7""), ""۸"", ""8""), ""۹"", ""9""), IF(LEFT(converted,3)=""+98"", ""0"" &amp; RIGHT(converted, LEN(converted)-3), IF(LEFT(converted,2)=""98"", ""0"" &amp; RIGHT(converted, LEN(converted)-2), IF(LEFT(converted,1)&lt;&gt;""0"", ""0"" &amp; converted, REGEXREPL"&amp;"ACE(converted , ""\s"", """")) ) ) ) )"),"09375118168")</f>
        <v>09375118168</v>
      </c>
      <c r="E1694" s="196" t="s">
        <v>17</v>
      </c>
      <c r="F1694" s="221">
        <v>13.0</v>
      </c>
      <c r="G1694" s="193"/>
      <c r="H1694" s="212" t="s">
        <v>6939</v>
      </c>
      <c r="I1694" s="194"/>
      <c r="J1694" s="194"/>
      <c r="K1694" s="193" t="s">
        <v>6940</v>
      </c>
      <c r="L1694" s="193" t="s">
        <v>6941</v>
      </c>
      <c r="M1694" s="193"/>
      <c r="N1694" s="193"/>
      <c r="O1694" s="199" t="s">
        <v>48</v>
      </c>
      <c r="P1694" s="199" t="s">
        <v>48</v>
      </c>
      <c r="Q1694" s="218" t="s">
        <v>6942</v>
      </c>
      <c r="R1694" s="86"/>
      <c r="S1694" s="114">
        <f t="shared" ref="S1694:T1694" si="1696">A1694</f>
        <v>1694</v>
      </c>
      <c r="T1694" s="114" t="str">
        <f t="shared" si="1696"/>
        <v>ولی اله صوفی</v>
      </c>
      <c r="U1694" s="86" t="str">
        <f t="shared" si="3"/>
        <v>09375118168</v>
      </c>
      <c r="V1694" s="86" t="str">
        <f t="shared" si="4"/>
        <v>پیش‌وایی 13</v>
      </c>
      <c r="W1694" s="86"/>
      <c r="X1694" s="86"/>
    </row>
    <row r="1695">
      <c r="A1695" s="201">
        <v>1695.0</v>
      </c>
      <c r="B1695" s="202" t="str">
        <f t="shared" si="1616"/>
        <v>حنانه فلاح</v>
      </c>
      <c r="C1695" s="203" t="s">
        <v>6943</v>
      </c>
      <c r="D1695" s="204" t="str">
        <f>IFERROR(__xludf.DUMMYFUNCTION("ARRAYFORMULA(LET( converted, SUBSTITUTE( SUBSTITUTE( SUBSTITUTE( SUBSTITUTE( SUBSTITUTE( SUBSTITUTE( SUBSTITUTE( SUBSTITUTE( SUBSTITUTE( SUBSTITUTE( C1695, ""۰"", ""0""), ""۱"", ""1""), ""۲"", ""2""), ""۳"", ""3""), ""۴"", ""4""), ""۵"", ""5""), ""۶"", """&amp;"6""), ""۷"", ""7""), ""۸"", ""8""), ""۹"", ""9""), IF(LEFT(converted,3)=""+98"", ""0"" &amp; RIGHT(converted, LEN(converted)-3), IF(LEFT(converted,2)=""98"", ""0"" &amp; RIGHT(converted, LEN(converted)-2), IF(LEFT(converted,1)&lt;&gt;""0"", ""0"" &amp; converted, REGEXREPL"&amp;"ACE(converted , ""\s"", """")) ) ) ) )"),"09196224657")</f>
        <v>09196224657</v>
      </c>
      <c r="E1695" s="205" t="s">
        <v>17</v>
      </c>
      <c r="F1695" s="214">
        <v>13.0</v>
      </c>
      <c r="G1695" s="202"/>
      <c r="H1695" s="213" t="s">
        <v>6944</v>
      </c>
      <c r="I1695" s="203"/>
      <c r="J1695" s="203"/>
      <c r="K1695" s="202" t="s">
        <v>6945</v>
      </c>
      <c r="L1695" s="202" t="s">
        <v>1815</v>
      </c>
      <c r="M1695" s="202"/>
      <c r="N1695" s="202"/>
      <c r="O1695" s="207" t="s">
        <v>48</v>
      </c>
      <c r="P1695" s="207" t="s">
        <v>48</v>
      </c>
      <c r="Q1695" s="216" t="s">
        <v>6910</v>
      </c>
      <c r="R1695" s="86"/>
      <c r="S1695" s="114">
        <f t="shared" ref="S1695:T1695" si="1697">A1695</f>
        <v>1695</v>
      </c>
      <c r="T1695" s="114" t="str">
        <f t="shared" si="1697"/>
        <v>حنانه فلاح</v>
      </c>
      <c r="U1695" s="86" t="str">
        <f t="shared" si="3"/>
        <v>09196224657</v>
      </c>
      <c r="V1695" s="86" t="str">
        <f t="shared" si="4"/>
        <v>پیش‌وایی 13</v>
      </c>
      <c r="W1695" s="86"/>
      <c r="X1695" s="86"/>
    </row>
    <row r="1696">
      <c r="A1696" s="192">
        <v>1696.0</v>
      </c>
      <c r="B1696" s="193" t="str">
        <f t="shared" si="1616"/>
        <v>سروش سخن سنج</v>
      </c>
      <c r="C1696" s="194" t="s">
        <v>6946</v>
      </c>
      <c r="D1696" s="195" t="str">
        <f>IFERROR(__xludf.DUMMYFUNCTION("ARRAYFORMULA(LET( converted, SUBSTITUTE( SUBSTITUTE( SUBSTITUTE( SUBSTITUTE( SUBSTITUTE( SUBSTITUTE( SUBSTITUTE( SUBSTITUTE( SUBSTITUTE( SUBSTITUTE( C1696, ""۰"", ""0""), ""۱"", ""1""), ""۲"", ""2""), ""۳"", ""3""), ""۴"", ""4""), ""۵"", ""5""), ""۶"", """&amp;"6""), ""۷"", ""7""), ""۸"", ""8""), ""۹"", ""9""), IF(LEFT(converted,3)=""+98"", ""0"" &amp; RIGHT(converted, LEN(converted)-3), IF(LEFT(converted,2)=""98"", ""0"" &amp; RIGHT(converted, LEN(converted)-2), IF(LEFT(converted,1)&lt;&gt;""0"", ""0"" &amp; converted, REGEXREPL"&amp;"ACE(converted , ""\s"", """")) ) ) ) )"),"09124130904")</f>
        <v>09124130904</v>
      </c>
      <c r="E1696" s="196" t="s">
        <v>17</v>
      </c>
      <c r="F1696" s="221">
        <v>13.0</v>
      </c>
      <c r="G1696" s="193"/>
      <c r="H1696" s="212" t="s">
        <v>6947</v>
      </c>
      <c r="I1696" s="194"/>
      <c r="J1696" s="194"/>
      <c r="K1696" s="193" t="s">
        <v>2367</v>
      </c>
      <c r="L1696" s="193" t="s">
        <v>6948</v>
      </c>
      <c r="M1696" s="193"/>
      <c r="N1696" s="193"/>
      <c r="O1696" s="199" t="s">
        <v>48</v>
      </c>
      <c r="P1696" s="199" t="s">
        <v>48</v>
      </c>
      <c r="Q1696" s="218" t="s">
        <v>6910</v>
      </c>
      <c r="R1696" s="86"/>
      <c r="S1696" s="114">
        <f t="shared" ref="S1696:T1696" si="1698">A1696</f>
        <v>1696</v>
      </c>
      <c r="T1696" s="114" t="str">
        <f t="shared" si="1698"/>
        <v>سروش سخن سنج</v>
      </c>
      <c r="U1696" s="86" t="str">
        <f t="shared" si="3"/>
        <v>09124130904</v>
      </c>
      <c r="V1696" s="86" t="str">
        <f t="shared" si="4"/>
        <v>پیش‌وایی 13</v>
      </c>
      <c r="W1696" s="86"/>
      <c r="X1696" s="86"/>
    </row>
    <row r="1697">
      <c r="A1697" s="201">
        <v>1697.0</v>
      </c>
      <c r="B1697" s="202" t="str">
        <f t="shared" si="1616"/>
        <v>آتنا (فاطمه) ابراهیمی</v>
      </c>
      <c r="C1697" s="203" t="s">
        <v>6949</v>
      </c>
      <c r="D1697" s="204" t="str">
        <f>IFERROR(__xludf.DUMMYFUNCTION("ARRAYFORMULA(LET( converted, SUBSTITUTE( SUBSTITUTE( SUBSTITUTE( SUBSTITUTE( SUBSTITUTE( SUBSTITUTE( SUBSTITUTE( SUBSTITUTE( SUBSTITUTE( SUBSTITUTE( C1697, ""۰"", ""0""), ""۱"", ""1""), ""۲"", ""2""), ""۳"", ""3""), ""۴"", ""4""), ""۵"", ""5""), ""۶"", """&amp;"6""), ""۷"", ""7""), ""۸"", ""8""), ""۹"", ""9""), IF(LEFT(converted,3)=""+98"", ""0"" &amp; RIGHT(converted, LEN(converted)-3), IF(LEFT(converted,2)=""98"", ""0"" &amp; RIGHT(converted, LEN(converted)-2), IF(LEFT(converted,1)&lt;&gt;""0"", ""0"" &amp; converted, REGEXREPL"&amp;"ACE(converted , ""\s"", """")) ) ) ) )"),"09128962498")</f>
        <v>09128962498</v>
      </c>
      <c r="E1697" s="205" t="s">
        <v>17</v>
      </c>
      <c r="F1697" s="214">
        <v>13.0</v>
      </c>
      <c r="G1697" s="202"/>
      <c r="H1697" s="213" t="s">
        <v>6950</v>
      </c>
      <c r="I1697" s="203"/>
      <c r="J1697" s="203"/>
      <c r="K1697" s="202" t="s">
        <v>6951</v>
      </c>
      <c r="L1697" s="202" t="s">
        <v>904</v>
      </c>
      <c r="M1697" s="202"/>
      <c r="N1697" s="202"/>
      <c r="O1697" s="207" t="s">
        <v>6765</v>
      </c>
      <c r="P1697" s="207" t="s">
        <v>180</v>
      </c>
      <c r="Q1697" s="216" t="s">
        <v>6942</v>
      </c>
      <c r="R1697" s="86"/>
      <c r="S1697" s="114">
        <f t="shared" ref="S1697:T1697" si="1699">A1697</f>
        <v>1697</v>
      </c>
      <c r="T1697" s="114" t="str">
        <f t="shared" si="1699"/>
        <v>آتنا (فاطمه) ابراهیمی</v>
      </c>
      <c r="U1697" s="86" t="str">
        <f t="shared" si="3"/>
        <v>09128962498</v>
      </c>
      <c r="V1697" s="86" t="str">
        <f t="shared" si="4"/>
        <v>پیش‌وایی 13</v>
      </c>
      <c r="W1697" s="86"/>
      <c r="X1697" s="86"/>
    </row>
    <row r="1698">
      <c r="A1698" s="192">
        <v>1698.0</v>
      </c>
      <c r="B1698" s="193" t="str">
        <f t="shared" si="1616"/>
        <v>عطیه السادات محسنی</v>
      </c>
      <c r="C1698" s="194" t="s">
        <v>6952</v>
      </c>
      <c r="D1698" s="195" t="str">
        <f>IFERROR(__xludf.DUMMYFUNCTION("ARRAYFORMULA(LET( converted, SUBSTITUTE( SUBSTITUTE( SUBSTITUTE( SUBSTITUTE( SUBSTITUTE( SUBSTITUTE( SUBSTITUTE( SUBSTITUTE( SUBSTITUTE( SUBSTITUTE( C1698, ""۰"", ""0""), ""۱"", ""1""), ""۲"", ""2""), ""۳"", ""3""), ""۴"", ""4""), ""۵"", ""5""), ""۶"", """&amp;"6""), ""۷"", ""7""), ""۸"", ""8""), ""۹"", ""9""), IF(LEFT(converted,3)=""+98"", ""0"" &amp; RIGHT(converted, LEN(converted)-3), IF(LEFT(converted,2)=""98"", ""0"" &amp; RIGHT(converted, LEN(converted)-2), IF(LEFT(converted,1)&lt;&gt;""0"", ""0"" &amp; converted, REGEXREPL"&amp;"ACE(converted , ""\s"", """")) ) ) ) )"),"09025021621")</f>
        <v>09025021621</v>
      </c>
      <c r="E1698" s="196" t="s">
        <v>17</v>
      </c>
      <c r="F1698" s="221">
        <v>13.0</v>
      </c>
      <c r="G1698" s="193"/>
      <c r="H1698" s="212" t="s">
        <v>6953</v>
      </c>
      <c r="I1698" s="194"/>
      <c r="J1698" s="194"/>
      <c r="K1698" s="193" t="s">
        <v>6954</v>
      </c>
      <c r="L1698" s="193" t="s">
        <v>6955</v>
      </c>
      <c r="M1698" s="193"/>
      <c r="N1698" s="193"/>
      <c r="O1698" s="199" t="s">
        <v>6765</v>
      </c>
      <c r="P1698" s="199" t="s">
        <v>180</v>
      </c>
      <c r="Q1698" s="218" t="s">
        <v>6942</v>
      </c>
      <c r="R1698" s="86"/>
      <c r="S1698" s="114">
        <f t="shared" ref="S1698:T1698" si="1700">A1698</f>
        <v>1698</v>
      </c>
      <c r="T1698" s="114" t="str">
        <f t="shared" si="1700"/>
        <v>عطیه السادات محسنی</v>
      </c>
      <c r="U1698" s="86" t="str">
        <f t="shared" si="3"/>
        <v>09025021621</v>
      </c>
      <c r="V1698" s="86" t="str">
        <f t="shared" si="4"/>
        <v>پیش‌وایی 13</v>
      </c>
      <c r="W1698" s="86"/>
      <c r="X1698" s="86"/>
    </row>
    <row r="1699">
      <c r="A1699" s="201">
        <v>1699.0</v>
      </c>
      <c r="B1699" s="202" t="str">
        <f t="shared" si="1616"/>
        <v>آزاده سینای</v>
      </c>
      <c r="C1699" s="203" t="s">
        <v>6956</v>
      </c>
      <c r="D1699" s="204" t="str">
        <f>IFERROR(__xludf.DUMMYFUNCTION("ARRAYFORMULA(LET( converted, SUBSTITUTE( SUBSTITUTE( SUBSTITUTE( SUBSTITUTE( SUBSTITUTE( SUBSTITUTE( SUBSTITUTE( SUBSTITUTE( SUBSTITUTE( SUBSTITUTE( C1699, ""۰"", ""0""), ""۱"", ""1""), ""۲"", ""2""), ""۳"", ""3""), ""۴"", ""4""), ""۵"", ""5""), ""۶"", """&amp;"6""), ""۷"", ""7""), ""۸"", ""8""), ""۹"", ""9""), IF(LEFT(converted,3)=""+98"", ""0"" &amp; RIGHT(converted, LEN(converted)-3), IF(LEFT(converted,2)=""98"", ""0"" &amp; RIGHT(converted, LEN(converted)-2), IF(LEFT(converted,1)&lt;&gt;""0"", ""0"" &amp; converted, REGEXREPL"&amp;"ACE(converted , ""\s"", """")) ) ) ) )"),"09193634757")</f>
        <v>09193634757</v>
      </c>
      <c r="E1699" s="205" t="s">
        <v>17</v>
      </c>
      <c r="F1699" s="214">
        <v>13.0</v>
      </c>
      <c r="G1699" s="202"/>
      <c r="H1699" s="213" t="s">
        <v>6957</v>
      </c>
      <c r="I1699" s="203"/>
      <c r="J1699" s="203"/>
      <c r="K1699" s="202" t="s">
        <v>180</v>
      </c>
      <c r="L1699" s="202" t="s">
        <v>6958</v>
      </c>
      <c r="M1699" s="202"/>
      <c r="N1699" s="202"/>
      <c r="O1699" s="207" t="s">
        <v>6765</v>
      </c>
      <c r="P1699" s="207" t="s">
        <v>180</v>
      </c>
      <c r="Q1699" s="216" t="s">
        <v>6910</v>
      </c>
      <c r="R1699" s="86"/>
      <c r="S1699" s="114">
        <f t="shared" ref="S1699:T1699" si="1701">A1699</f>
        <v>1699</v>
      </c>
      <c r="T1699" s="114" t="str">
        <f t="shared" si="1701"/>
        <v>آزاده سینای</v>
      </c>
      <c r="U1699" s="86" t="str">
        <f t="shared" si="3"/>
        <v>09193634757</v>
      </c>
      <c r="V1699" s="86" t="str">
        <f t="shared" si="4"/>
        <v>پیش‌وایی 13</v>
      </c>
      <c r="W1699" s="86"/>
      <c r="X1699" s="86"/>
    </row>
    <row r="1700">
      <c r="A1700" s="192">
        <v>1700.0</v>
      </c>
      <c r="B1700" s="193" t="s">
        <v>6959</v>
      </c>
      <c r="C1700" s="211" t="s">
        <v>6960</v>
      </c>
      <c r="D1700" s="195" t="str">
        <f>IFERROR(__xludf.DUMMYFUNCTION("ARRAYFORMULA(LET( converted, SUBSTITUTE( SUBSTITUTE( SUBSTITUTE( SUBSTITUTE( SUBSTITUTE( SUBSTITUTE( SUBSTITUTE( SUBSTITUTE( SUBSTITUTE( SUBSTITUTE( C1700, ""۰"", ""0""), ""۱"", ""1""), ""۲"", ""2""), ""۳"", ""3""), ""۴"", ""4""), ""۵"", ""5""), ""۶"", """&amp;"6""), ""۷"", ""7""), ""۸"", ""8""), ""۹"", ""9""), IF(LEFT(converted,3)=""+98"", ""0"" &amp; RIGHT(converted, LEN(converted)-3), IF(LEFT(converted,2)=""98"", ""0"" &amp; RIGHT(converted, LEN(converted)-2), IF(LEFT(converted,1)&lt;&gt;""0"", ""0"" &amp; converted, REGEXREPL"&amp;"ACE(converted , ""\s"", """")) ) ) ) )"),"09188190776")</f>
        <v>09188190776</v>
      </c>
      <c r="E1700" s="196" t="s">
        <v>17</v>
      </c>
      <c r="F1700" s="221">
        <v>14.0</v>
      </c>
      <c r="G1700" s="193"/>
      <c r="H1700" s="212" t="s">
        <v>6961</v>
      </c>
      <c r="I1700" s="194"/>
      <c r="J1700" s="194"/>
      <c r="K1700" s="193" t="s">
        <v>6962</v>
      </c>
      <c r="L1700" s="193" t="s">
        <v>6963</v>
      </c>
      <c r="M1700" s="193"/>
      <c r="N1700" s="193"/>
      <c r="O1700" s="193"/>
      <c r="P1700" s="193" t="s">
        <v>6765</v>
      </c>
      <c r="Q1700" s="222" t="s">
        <v>6766</v>
      </c>
      <c r="R1700" s="86"/>
      <c r="S1700" s="114">
        <f t="shared" ref="S1700:T1700" si="1702">A1700</f>
        <v>1700</v>
      </c>
      <c r="T1700" s="114" t="str">
        <f t="shared" si="1702"/>
        <v>مسعود  وجدان نیک</v>
      </c>
      <c r="U1700" s="86" t="str">
        <f t="shared" si="3"/>
        <v>09188190776</v>
      </c>
      <c r="V1700" s="86" t="str">
        <f t="shared" si="4"/>
        <v>پیش‌وایی 14</v>
      </c>
      <c r="W1700" s="86"/>
      <c r="X1700" s="86"/>
    </row>
    <row r="1701">
      <c r="A1701" s="201">
        <v>1701.0</v>
      </c>
      <c r="B1701" s="202" t="s">
        <v>6964</v>
      </c>
      <c r="C1701" s="210" t="s">
        <v>6965</v>
      </c>
      <c r="D1701" s="204" t="str">
        <f>IFERROR(__xludf.DUMMYFUNCTION("ARRAYFORMULA(LET( converted, SUBSTITUTE( SUBSTITUTE( SUBSTITUTE( SUBSTITUTE( SUBSTITUTE( SUBSTITUTE( SUBSTITUTE( SUBSTITUTE( SUBSTITUTE( SUBSTITUTE( C1701, ""۰"", ""0""), ""۱"", ""1""), ""۲"", ""2""), ""۳"", ""3""), ""۴"", ""4""), ""۵"", ""5""), ""۶"", """&amp;"6""), ""۷"", ""7""), ""۸"", ""8""), ""۹"", ""9""), IF(LEFT(converted,3)=""+98"", ""0"" &amp; RIGHT(converted, LEN(converted)-3), IF(LEFT(converted,2)=""98"", ""0"" &amp; RIGHT(converted, LEN(converted)-2), IF(LEFT(converted,1)&lt;&gt;""0"", ""0"" &amp; converted, REGEXREPL"&amp;"ACE(converted , ""\s"", """")) ) ) ) )"),"09125372263")</f>
        <v>09125372263</v>
      </c>
      <c r="E1701" s="205" t="s">
        <v>17</v>
      </c>
      <c r="F1701" s="214">
        <v>14.0</v>
      </c>
      <c r="G1701" s="202"/>
      <c r="H1701" s="213" t="s">
        <v>6966</v>
      </c>
      <c r="I1701" s="203"/>
      <c r="J1701" s="203"/>
      <c r="K1701" s="202" t="s">
        <v>4793</v>
      </c>
      <c r="L1701" s="202" t="s">
        <v>6790</v>
      </c>
      <c r="M1701" s="202"/>
      <c r="N1701" s="202"/>
      <c r="O1701" s="202"/>
      <c r="P1701" s="202" t="s">
        <v>6021</v>
      </c>
      <c r="Q1701" s="223" t="s">
        <v>6766</v>
      </c>
      <c r="R1701" s="86"/>
      <c r="S1701" s="114">
        <f t="shared" ref="S1701:T1701" si="1703">A1701</f>
        <v>1701</v>
      </c>
      <c r="T1701" s="114" t="str">
        <f t="shared" si="1703"/>
        <v>پیام سمیع‌زاده</v>
      </c>
      <c r="U1701" s="86" t="str">
        <f t="shared" si="3"/>
        <v>09125372263</v>
      </c>
      <c r="V1701" s="86" t="str">
        <f t="shared" si="4"/>
        <v>پیش‌وایی 14</v>
      </c>
      <c r="W1701" s="86"/>
      <c r="X1701" s="86"/>
    </row>
    <row r="1702">
      <c r="A1702" s="192">
        <v>1702.0</v>
      </c>
      <c r="B1702" s="193" t="s">
        <v>6967</v>
      </c>
      <c r="C1702" s="211" t="s">
        <v>6968</v>
      </c>
      <c r="D1702" s="195" t="str">
        <f>IFERROR(__xludf.DUMMYFUNCTION("ARRAYFORMULA(LET( converted, SUBSTITUTE( SUBSTITUTE( SUBSTITUTE( SUBSTITUTE( SUBSTITUTE( SUBSTITUTE( SUBSTITUTE( SUBSTITUTE( SUBSTITUTE( SUBSTITUTE( C1702, ""۰"", ""0""), ""۱"", ""1""), ""۲"", ""2""), ""۳"", ""3""), ""۴"", ""4""), ""۵"", ""5""), ""۶"", """&amp;"6""), ""۷"", ""7""), ""۸"", ""8""), ""۹"", ""9""), IF(LEFT(converted,3)=""+98"", ""0"" &amp; RIGHT(converted, LEN(converted)-3), IF(LEFT(converted,2)=""98"", ""0"" &amp; RIGHT(converted, LEN(converted)-2), IF(LEFT(converted,1)&lt;&gt;""0"", ""0"" &amp; converted, REGEXREPL"&amp;"ACE(converted , ""\s"", """")) ) ) ) )"),"09177651627")</f>
        <v>09177651627</v>
      </c>
      <c r="E1702" s="196" t="s">
        <v>17</v>
      </c>
      <c r="F1702" s="221">
        <v>14.0</v>
      </c>
      <c r="G1702" s="193"/>
      <c r="H1702" s="193"/>
      <c r="I1702" s="194"/>
      <c r="J1702" s="194"/>
      <c r="K1702" s="193" t="s">
        <v>259</v>
      </c>
      <c r="L1702" s="193" t="s">
        <v>1821</v>
      </c>
      <c r="M1702" s="193"/>
      <c r="N1702" s="193"/>
      <c r="O1702" s="193"/>
      <c r="P1702" s="193" t="s">
        <v>6969</v>
      </c>
      <c r="Q1702" s="222" t="s">
        <v>6766</v>
      </c>
      <c r="R1702" s="86"/>
      <c r="S1702" s="114">
        <f t="shared" ref="S1702:T1702" si="1704">A1702</f>
        <v>1702</v>
      </c>
      <c r="T1702" s="114" t="str">
        <f t="shared" si="1704"/>
        <v>علیرضا نصیری</v>
      </c>
      <c r="U1702" s="86" t="str">
        <f t="shared" si="3"/>
        <v>09177651627</v>
      </c>
      <c r="V1702" s="86" t="str">
        <f t="shared" si="4"/>
        <v>پیش‌وایی 14</v>
      </c>
      <c r="W1702" s="86"/>
      <c r="X1702" s="86"/>
    </row>
    <row r="1703">
      <c r="A1703" s="201">
        <v>1703.0</v>
      </c>
      <c r="B1703" s="202" t="s">
        <v>6970</v>
      </c>
      <c r="C1703" s="210" t="s">
        <v>6971</v>
      </c>
      <c r="D1703" s="204" t="str">
        <f>IFERROR(__xludf.DUMMYFUNCTION("ARRAYFORMULA(LET( converted, SUBSTITUTE( SUBSTITUTE( SUBSTITUTE( SUBSTITUTE( SUBSTITUTE( SUBSTITUTE( SUBSTITUTE( SUBSTITUTE( SUBSTITUTE( SUBSTITUTE( C1703, ""۰"", ""0""), ""۱"", ""1""), ""۲"", ""2""), ""۳"", ""3""), ""۴"", ""4""), ""۵"", ""5""), ""۶"", """&amp;"6""), ""۷"", ""7""), ""۸"", ""8""), ""۹"", ""9""), IF(LEFT(converted,3)=""+98"", ""0"" &amp; RIGHT(converted, LEN(converted)-3), IF(LEFT(converted,2)=""98"", ""0"" &amp; RIGHT(converted, LEN(converted)-2), IF(LEFT(converted,1)&lt;&gt;""0"", ""0"" &amp; converted, REGEXREPL"&amp;"ACE(converted , ""\s"", """")) ) ) ) )"),"09170965865")</f>
        <v>09170965865</v>
      </c>
      <c r="E1703" s="205" t="s">
        <v>17</v>
      </c>
      <c r="F1703" s="214">
        <v>14.0</v>
      </c>
      <c r="G1703" s="202"/>
      <c r="H1703" s="202"/>
      <c r="I1703" s="203"/>
      <c r="J1703" s="203"/>
      <c r="K1703" s="202" t="s">
        <v>6972</v>
      </c>
      <c r="L1703" s="202" t="s">
        <v>6973</v>
      </c>
      <c r="M1703" s="202"/>
      <c r="N1703" s="202"/>
      <c r="O1703" s="202"/>
      <c r="P1703" s="202" t="s">
        <v>6969</v>
      </c>
      <c r="Q1703" s="223" t="s">
        <v>6766</v>
      </c>
      <c r="R1703" s="86"/>
      <c r="S1703" s="114">
        <f t="shared" ref="S1703:T1703" si="1705">A1703</f>
        <v>1703</v>
      </c>
      <c r="T1703" s="114" t="str">
        <f t="shared" si="1705"/>
        <v>صادق صمصام پور</v>
      </c>
      <c r="U1703" s="86" t="str">
        <f t="shared" si="3"/>
        <v>09170965865</v>
      </c>
      <c r="V1703" s="86" t="str">
        <f t="shared" si="4"/>
        <v>پیش‌وایی 14</v>
      </c>
      <c r="W1703" s="86"/>
      <c r="X1703" s="86"/>
    </row>
    <row r="1704">
      <c r="A1704" s="192">
        <v>1704.0</v>
      </c>
      <c r="B1704" s="193" t="s">
        <v>6974</v>
      </c>
      <c r="C1704" s="211" t="s">
        <v>6975</v>
      </c>
      <c r="D1704" s="195" t="str">
        <f>IFERROR(__xludf.DUMMYFUNCTION("ARRAYFORMULA(LET( converted, SUBSTITUTE( SUBSTITUTE( SUBSTITUTE( SUBSTITUTE( SUBSTITUTE( SUBSTITUTE( SUBSTITUTE( SUBSTITUTE( SUBSTITUTE( SUBSTITUTE( C1704, ""۰"", ""0""), ""۱"", ""1""), ""۲"", ""2""), ""۳"", ""3""), ""۴"", ""4""), ""۵"", ""5""), ""۶"", """&amp;"6""), ""۷"", ""7""), ""۸"", ""8""), ""۹"", ""9""), IF(LEFT(converted,3)=""+98"", ""0"" &amp; RIGHT(converted, LEN(converted)-3), IF(LEFT(converted,2)=""98"", ""0"" &amp; RIGHT(converted, LEN(converted)-2), IF(LEFT(converted,1)&lt;&gt;""0"", ""0"" &amp; converted, REGEXREPL"&amp;"ACE(converted , ""\s"", """")) ) ) ) )"),"09179605680")</f>
        <v>09179605680</v>
      </c>
      <c r="E1704" s="196" t="s">
        <v>17</v>
      </c>
      <c r="F1704" s="221">
        <v>14.0</v>
      </c>
      <c r="G1704" s="193"/>
      <c r="H1704" s="193"/>
      <c r="I1704" s="194"/>
      <c r="J1704" s="194"/>
      <c r="K1704" s="193" t="s">
        <v>6029</v>
      </c>
      <c r="L1704" s="193" t="s">
        <v>6976</v>
      </c>
      <c r="M1704" s="193"/>
      <c r="N1704" s="193"/>
      <c r="O1704" s="193"/>
      <c r="P1704" s="193" t="s">
        <v>6969</v>
      </c>
      <c r="Q1704" s="222" t="s">
        <v>6826</v>
      </c>
      <c r="R1704" s="86"/>
      <c r="S1704" s="114">
        <f t="shared" ref="S1704:T1704" si="1706">A1704</f>
        <v>1704</v>
      </c>
      <c r="T1704" s="114" t="str">
        <f t="shared" si="1706"/>
        <v>راضیه گردی</v>
      </c>
      <c r="U1704" s="86" t="str">
        <f t="shared" si="3"/>
        <v>09179605680</v>
      </c>
      <c r="V1704" s="86" t="str">
        <f t="shared" si="4"/>
        <v>پیش‌وایی 14</v>
      </c>
      <c r="W1704" s="86"/>
      <c r="X1704" s="86"/>
    </row>
    <row r="1705">
      <c r="A1705" s="201">
        <v>1705.0</v>
      </c>
      <c r="B1705" s="202" t="s">
        <v>6977</v>
      </c>
      <c r="C1705" s="210" t="s">
        <v>6978</v>
      </c>
      <c r="D1705" s="204" t="str">
        <f>IFERROR(__xludf.DUMMYFUNCTION("ARRAYFORMULA(LET( converted, SUBSTITUTE( SUBSTITUTE( SUBSTITUTE( SUBSTITUTE( SUBSTITUTE( SUBSTITUTE( SUBSTITUTE( SUBSTITUTE( SUBSTITUTE( SUBSTITUTE( C1705, ""۰"", ""0""), ""۱"", ""1""), ""۲"", ""2""), ""۳"", ""3""), ""۴"", ""4""), ""۵"", ""5""), ""۶"", """&amp;"6""), ""۷"", ""7""), ""۸"", ""8""), ""۹"", ""9""), IF(LEFT(converted,3)=""+98"", ""0"" &amp; RIGHT(converted, LEN(converted)-3), IF(LEFT(converted,2)=""98"", ""0"" &amp; RIGHT(converted, LEN(converted)-2), IF(LEFT(converted,1)&lt;&gt;""0"", ""0"" &amp; converted, REGEXREPL"&amp;"ACE(converted , ""\s"", """")) ) ) ) )"),"09127386077")</f>
        <v>09127386077</v>
      </c>
      <c r="E1705" s="205" t="s">
        <v>17</v>
      </c>
      <c r="F1705" s="214">
        <v>14.0</v>
      </c>
      <c r="G1705" s="202"/>
      <c r="H1705" s="202"/>
      <c r="I1705" s="203"/>
      <c r="J1705" s="203"/>
      <c r="K1705" s="202" t="s">
        <v>349</v>
      </c>
      <c r="L1705" s="202" t="s">
        <v>350</v>
      </c>
      <c r="M1705" s="202"/>
      <c r="N1705" s="202"/>
      <c r="O1705" s="202"/>
      <c r="P1705" s="202" t="s">
        <v>6969</v>
      </c>
      <c r="Q1705" s="223" t="s">
        <v>6766</v>
      </c>
      <c r="R1705" s="86"/>
      <c r="S1705" s="114">
        <f t="shared" ref="S1705:T1705" si="1707">A1705</f>
        <v>1705</v>
      </c>
      <c r="T1705" s="114" t="str">
        <f t="shared" si="1707"/>
        <v>راحله شیری حکم آبادی</v>
      </c>
      <c r="U1705" s="86" t="str">
        <f t="shared" si="3"/>
        <v>09127386077</v>
      </c>
      <c r="V1705" s="86" t="str">
        <f t="shared" si="4"/>
        <v>پیش‌وایی 14</v>
      </c>
      <c r="W1705" s="86"/>
      <c r="X1705" s="86"/>
    </row>
    <row r="1706">
      <c r="A1706" s="192">
        <v>1706.0</v>
      </c>
      <c r="B1706" s="193" t="s">
        <v>6979</v>
      </c>
      <c r="C1706" s="211" t="s">
        <v>6980</v>
      </c>
      <c r="D1706" s="195" t="str">
        <f>IFERROR(__xludf.DUMMYFUNCTION("ARRAYFORMULA(LET( converted, SUBSTITUTE( SUBSTITUTE( SUBSTITUTE( SUBSTITUTE( SUBSTITUTE( SUBSTITUTE( SUBSTITUTE( SUBSTITUTE( SUBSTITUTE( SUBSTITUTE( C1706, ""۰"", ""0""), ""۱"", ""1""), ""۲"", ""2""), ""۳"", ""3""), ""۴"", ""4""), ""۵"", ""5""), ""۶"", """&amp;"6""), ""۷"", ""7""), ""۸"", ""8""), ""۹"", ""9""), IF(LEFT(converted,3)=""+98"", ""0"" &amp; RIGHT(converted, LEN(converted)-3), IF(LEFT(converted,2)=""98"", ""0"" &amp; RIGHT(converted, LEN(converted)-2), IF(LEFT(converted,1)&lt;&gt;""0"", ""0"" &amp; converted, REGEXREPL"&amp;"ACE(converted , ""\s"", """")) ) ) ) )"),"09107070389")</f>
        <v>09107070389</v>
      </c>
      <c r="E1706" s="196" t="s">
        <v>17</v>
      </c>
      <c r="F1706" s="221">
        <v>14.0</v>
      </c>
      <c r="G1706" s="193"/>
      <c r="H1706" s="193"/>
      <c r="I1706" s="194"/>
      <c r="J1706" s="194"/>
      <c r="K1706" s="193" t="s">
        <v>6920</v>
      </c>
      <c r="L1706" s="193" t="s">
        <v>6981</v>
      </c>
      <c r="M1706" s="193"/>
      <c r="N1706" s="193"/>
      <c r="O1706" s="193"/>
      <c r="P1706" s="193" t="s">
        <v>6969</v>
      </c>
      <c r="Q1706" s="222" t="s">
        <v>6766</v>
      </c>
      <c r="R1706" s="86"/>
      <c r="S1706" s="114">
        <f t="shared" ref="S1706:T1706" si="1708">A1706</f>
        <v>1706</v>
      </c>
      <c r="T1706" s="114" t="str">
        <f t="shared" si="1708"/>
        <v>مژده دادرس</v>
      </c>
      <c r="U1706" s="86" t="str">
        <f t="shared" si="3"/>
        <v>09107070389</v>
      </c>
      <c r="V1706" s="86" t="str">
        <f t="shared" si="4"/>
        <v>پیش‌وایی 14</v>
      </c>
      <c r="W1706" s="86"/>
      <c r="X1706" s="86"/>
    </row>
    <row r="1707">
      <c r="A1707" s="201">
        <v>1707.0</v>
      </c>
      <c r="B1707" s="202" t="s">
        <v>6982</v>
      </c>
      <c r="C1707" s="210" t="s">
        <v>6983</v>
      </c>
      <c r="D1707" s="204" t="str">
        <f>IFERROR(__xludf.DUMMYFUNCTION("ARRAYFORMULA(LET( converted, SUBSTITUTE( SUBSTITUTE( SUBSTITUTE( SUBSTITUTE( SUBSTITUTE( SUBSTITUTE( SUBSTITUTE( SUBSTITUTE( SUBSTITUTE( SUBSTITUTE( C1707, ""۰"", ""0""), ""۱"", ""1""), ""۲"", ""2""), ""۳"", ""3""), ""۴"", ""4""), ""۵"", ""5""), ""۶"", """&amp;"6""), ""۷"", ""7""), ""۸"", ""8""), ""۹"", ""9""), IF(LEFT(converted,3)=""+98"", ""0"" &amp; RIGHT(converted, LEN(converted)-3), IF(LEFT(converted,2)=""98"", ""0"" &amp; RIGHT(converted, LEN(converted)-2), IF(LEFT(converted,1)&lt;&gt;""0"", ""0"" &amp; converted, REGEXREPL"&amp;"ACE(converted , ""\s"", """")) ) ) ) )"),"09164499302")</f>
        <v>09164499302</v>
      </c>
      <c r="E1707" s="205" t="s">
        <v>17</v>
      </c>
      <c r="F1707" s="214">
        <v>14.0</v>
      </c>
      <c r="G1707" s="202"/>
      <c r="H1707" s="202"/>
      <c r="I1707" s="203"/>
      <c r="J1707" s="203"/>
      <c r="K1707" s="202" t="s">
        <v>6984</v>
      </c>
      <c r="L1707" s="202" t="s">
        <v>6985</v>
      </c>
      <c r="M1707" s="202"/>
      <c r="N1707" s="202"/>
      <c r="O1707" s="202"/>
      <c r="P1707" s="202" t="s">
        <v>6969</v>
      </c>
      <c r="Q1707" s="223" t="s">
        <v>6910</v>
      </c>
      <c r="R1707" s="86"/>
      <c r="S1707" s="114">
        <f t="shared" ref="S1707:T1707" si="1709">A1707</f>
        <v>1707</v>
      </c>
      <c r="T1707" s="114" t="str">
        <f t="shared" si="1709"/>
        <v>امیرارسلان عامری</v>
      </c>
      <c r="U1707" s="86" t="str">
        <f t="shared" si="3"/>
        <v>09164499302</v>
      </c>
      <c r="V1707" s="86" t="str">
        <f t="shared" si="4"/>
        <v>پیش‌وایی 14</v>
      </c>
      <c r="W1707" s="86"/>
      <c r="X1707" s="86"/>
    </row>
    <row r="1708">
      <c r="A1708" s="192">
        <v>1708.0</v>
      </c>
      <c r="B1708" s="193" t="s">
        <v>6986</v>
      </c>
      <c r="C1708" s="211" t="s">
        <v>6987</v>
      </c>
      <c r="D1708" s="195" t="str">
        <f>IFERROR(__xludf.DUMMYFUNCTION("ARRAYFORMULA(LET( converted, SUBSTITUTE( SUBSTITUTE( SUBSTITUTE( SUBSTITUTE( SUBSTITUTE( SUBSTITUTE( SUBSTITUTE( SUBSTITUTE( SUBSTITUTE( SUBSTITUTE( C1708, ""۰"", ""0""), ""۱"", ""1""), ""۲"", ""2""), ""۳"", ""3""), ""۴"", ""4""), ""۵"", ""5""), ""۶"", """&amp;"6""), ""۷"", ""7""), ""۸"", ""8""), ""۹"", ""9""), IF(LEFT(converted,3)=""+98"", ""0"" &amp; RIGHT(converted, LEN(converted)-3), IF(LEFT(converted,2)=""98"", ""0"" &amp; RIGHT(converted, LEN(converted)-2), IF(LEFT(converted,1)&lt;&gt;""0"", ""0"" &amp; converted, REGEXREPL"&amp;"ACE(converted , ""\s"", """")) ) ) ) )"),"09179013909")</f>
        <v>09179013909</v>
      </c>
      <c r="E1708" s="196" t="s">
        <v>17</v>
      </c>
      <c r="F1708" s="221">
        <v>14.0</v>
      </c>
      <c r="G1708" s="193"/>
      <c r="H1708" s="193"/>
      <c r="I1708" s="194"/>
      <c r="J1708" s="194"/>
      <c r="K1708" s="193" t="s">
        <v>274</v>
      </c>
      <c r="L1708" s="193" t="s">
        <v>5391</v>
      </c>
      <c r="M1708" s="193"/>
      <c r="N1708" s="193"/>
      <c r="O1708" s="193"/>
      <c r="P1708" s="193" t="s">
        <v>6969</v>
      </c>
      <c r="Q1708" s="222" t="s">
        <v>6766</v>
      </c>
      <c r="R1708" s="86"/>
      <c r="S1708" s="114">
        <f t="shared" ref="S1708:T1708" si="1710">A1708</f>
        <v>1708</v>
      </c>
      <c r="T1708" s="114" t="str">
        <f t="shared" si="1710"/>
        <v>فاطمه معماری</v>
      </c>
      <c r="U1708" s="86" t="str">
        <f t="shared" si="3"/>
        <v>09179013909</v>
      </c>
      <c r="V1708" s="86" t="str">
        <f t="shared" si="4"/>
        <v>پیش‌وایی 14</v>
      </c>
      <c r="W1708" s="86"/>
      <c r="X1708" s="86"/>
    </row>
    <row r="1709">
      <c r="A1709" s="201">
        <v>1709.0</v>
      </c>
      <c r="B1709" s="202" t="s">
        <v>6988</v>
      </c>
      <c r="C1709" s="210" t="s">
        <v>6989</v>
      </c>
      <c r="D1709" s="204" t="str">
        <f>IFERROR(__xludf.DUMMYFUNCTION("ARRAYFORMULA(LET( converted, SUBSTITUTE( SUBSTITUTE( SUBSTITUTE( SUBSTITUTE( SUBSTITUTE( SUBSTITUTE( SUBSTITUTE( SUBSTITUTE( SUBSTITUTE( SUBSTITUTE( C1709, ""۰"", ""0""), ""۱"", ""1""), ""۲"", ""2""), ""۳"", ""3""), ""۴"", ""4""), ""۵"", ""5""), ""۶"", """&amp;"6""), ""۷"", ""7""), ""۸"", ""8""), ""۹"", ""9""), IF(LEFT(converted,3)=""+98"", ""0"" &amp; RIGHT(converted, LEN(converted)-3), IF(LEFT(converted,2)=""98"", ""0"" &amp; RIGHT(converted, LEN(converted)-2), IF(LEFT(converted,1)&lt;&gt;""0"", ""0"" &amp; converted, REGEXREPL"&amp;"ACE(converted , ""\s"", """")) ) ) ) )"),"09037548996")</f>
        <v>09037548996</v>
      </c>
      <c r="E1709" s="205" t="s">
        <v>17</v>
      </c>
      <c r="F1709" s="214">
        <v>14.0</v>
      </c>
      <c r="G1709" s="202"/>
      <c r="H1709" s="202"/>
      <c r="I1709" s="203"/>
      <c r="J1709" s="203"/>
      <c r="K1709" s="202" t="s">
        <v>6990</v>
      </c>
      <c r="L1709" s="202" t="s">
        <v>2027</v>
      </c>
      <c r="M1709" s="202"/>
      <c r="N1709" s="202"/>
      <c r="O1709" s="202"/>
      <c r="P1709" s="202" t="s">
        <v>6969</v>
      </c>
      <c r="Q1709" s="223" t="s">
        <v>6910</v>
      </c>
      <c r="R1709" s="86"/>
      <c r="S1709" s="114">
        <f t="shared" ref="S1709:T1709" si="1711">A1709</f>
        <v>1709</v>
      </c>
      <c r="T1709" s="114" t="str">
        <f t="shared" si="1711"/>
        <v>پونه پاکدامن</v>
      </c>
      <c r="U1709" s="86" t="str">
        <f t="shared" si="3"/>
        <v>09037548996</v>
      </c>
      <c r="V1709" s="86" t="str">
        <f t="shared" si="4"/>
        <v>پیش‌وایی 14</v>
      </c>
      <c r="W1709" s="86"/>
      <c r="X1709" s="86"/>
    </row>
    <row r="1710">
      <c r="A1710" s="192">
        <v>1710.0</v>
      </c>
      <c r="B1710" s="193" t="s">
        <v>6991</v>
      </c>
      <c r="C1710" s="211" t="s">
        <v>6992</v>
      </c>
      <c r="D1710" s="195" t="str">
        <f>IFERROR(__xludf.DUMMYFUNCTION("ARRAYFORMULA(LET( converted, SUBSTITUTE( SUBSTITUTE( SUBSTITUTE( SUBSTITUTE( SUBSTITUTE( SUBSTITUTE( SUBSTITUTE( SUBSTITUTE( SUBSTITUTE( SUBSTITUTE( C1710, ""۰"", ""0""), ""۱"", ""1""), ""۲"", ""2""), ""۳"", ""3""), ""۴"", ""4""), ""۵"", ""5""), ""۶"", """&amp;"6""), ""۷"", ""7""), ""۸"", ""8""), ""۹"", ""9""), IF(LEFT(converted,3)=""+98"", ""0"" &amp; RIGHT(converted, LEN(converted)-3), IF(LEFT(converted,2)=""98"", ""0"" &amp; RIGHT(converted, LEN(converted)-2), IF(LEFT(converted,1)&lt;&gt;""0"", ""0"" &amp; converted, REGEXREPL"&amp;"ACE(converted , ""\s"", """")) ) ) ) )"),"09177692758")</f>
        <v>09177692758</v>
      </c>
      <c r="E1710" s="196" t="s">
        <v>17</v>
      </c>
      <c r="F1710" s="221">
        <v>14.0</v>
      </c>
      <c r="G1710" s="193"/>
      <c r="H1710" s="193"/>
      <c r="I1710" s="194"/>
      <c r="J1710" s="194"/>
      <c r="K1710" s="193" t="s">
        <v>4019</v>
      </c>
      <c r="L1710" s="193" t="s">
        <v>6693</v>
      </c>
      <c r="M1710" s="193"/>
      <c r="N1710" s="193"/>
      <c r="O1710" s="193"/>
      <c r="P1710" s="193" t="s">
        <v>6969</v>
      </c>
      <c r="Q1710" s="222" t="s">
        <v>6910</v>
      </c>
      <c r="R1710" s="86"/>
      <c r="S1710" s="114">
        <f t="shared" ref="S1710:T1710" si="1712">A1710</f>
        <v>1710</v>
      </c>
      <c r="T1710" s="114" t="str">
        <f t="shared" si="1712"/>
        <v>بهزاد شیروانی</v>
      </c>
      <c r="U1710" s="86" t="str">
        <f t="shared" si="3"/>
        <v>09177692758</v>
      </c>
      <c r="V1710" s="86" t="str">
        <f t="shared" si="4"/>
        <v>پیش‌وایی 14</v>
      </c>
      <c r="W1710" s="86"/>
      <c r="X1710" s="86"/>
    </row>
    <row r="1711">
      <c r="A1711" s="201">
        <v>1711.0</v>
      </c>
      <c r="B1711" s="202" t="s">
        <v>6993</v>
      </c>
      <c r="C1711" s="210" t="s">
        <v>6994</v>
      </c>
      <c r="D1711" s="204" t="str">
        <f>IFERROR(__xludf.DUMMYFUNCTION("ARRAYFORMULA(LET( converted, SUBSTITUTE( SUBSTITUTE( SUBSTITUTE( SUBSTITUTE( SUBSTITUTE( SUBSTITUTE( SUBSTITUTE( SUBSTITUTE( SUBSTITUTE( SUBSTITUTE( C1711, ""۰"", ""0""), ""۱"", ""1""), ""۲"", ""2""), ""۳"", ""3""), ""۴"", ""4""), ""۵"", ""5""), ""۶"", """&amp;"6""), ""۷"", ""7""), ""۸"", ""8""), ""۹"", ""9""), IF(LEFT(converted,3)=""+98"", ""0"" &amp; RIGHT(converted, LEN(converted)-3), IF(LEFT(converted,2)=""98"", ""0"" &amp; RIGHT(converted, LEN(converted)-2), IF(LEFT(converted,1)&lt;&gt;""0"", ""0"" &amp; converted, REGEXREPL"&amp;"ACE(converted , ""\s"", """")) ) ) ) )"),"09102037087")</f>
        <v>09102037087</v>
      </c>
      <c r="E1711" s="205" t="s">
        <v>17</v>
      </c>
      <c r="F1711" s="214">
        <v>14.0</v>
      </c>
      <c r="G1711" s="202"/>
      <c r="H1711" s="202"/>
      <c r="I1711" s="203"/>
      <c r="J1711" s="203"/>
      <c r="K1711" s="202" t="s">
        <v>6995</v>
      </c>
      <c r="L1711" s="202" t="s">
        <v>6973</v>
      </c>
      <c r="M1711" s="202"/>
      <c r="N1711" s="202"/>
      <c r="O1711" s="202"/>
      <c r="P1711" s="202" t="s">
        <v>6969</v>
      </c>
      <c r="Q1711" s="223" t="s">
        <v>6910</v>
      </c>
      <c r="R1711" s="86"/>
      <c r="S1711" s="114">
        <f t="shared" ref="S1711:T1711" si="1713">A1711</f>
        <v>1711</v>
      </c>
      <c r="T1711" s="114" t="str">
        <f t="shared" si="1713"/>
        <v>امیرحسن صمصام پور</v>
      </c>
      <c r="U1711" s="86" t="str">
        <f t="shared" si="3"/>
        <v>09102037087</v>
      </c>
      <c r="V1711" s="86" t="str">
        <f t="shared" si="4"/>
        <v>پیش‌وایی 14</v>
      </c>
      <c r="W1711" s="86"/>
      <c r="X1711" s="86"/>
    </row>
    <row r="1712">
      <c r="A1712" s="192">
        <v>1712.0</v>
      </c>
      <c r="B1712" s="193" t="s">
        <v>6996</v>
      </c>
      <c r="C1712" s="211" t="s">
        <v>6997</v>
      </c>
      <c r="D1712" s="195" t="str">
        <f>IFERROR(__xludf.DUMMYFUNCTION("ARRAYFORMULA(LET( converted, SUBSTITUTE( SUBSTITUTE( SUBSTITUTE( SUBSTITUTE( SUBSTITUTE( SUBSTITUTE( SUBSTITUTE( SUBSTITUTE( SUBSTITUTE( SUBSTITUTE( C1712, ""۰"", ""0""), ""۱"", ""1""), ""۲"", ""2""), ""۳"", ""3""), ""۴"", ""4""), ""۵"", ""5""), ""۶"", """&amp;"6""), ""۷"", ""7""), ""۸"", ""8""), ""۹"", ""9""), IF(LEFT(converted,3)=""+98"", ""0"" &amp; RIGHT(converted, LEN(converted)-3), IF(LEFT(converted,2)=""98"", ""0"" &amp; RIGHT(converted, LEN(converted)-2), IF(LEFT(converted,1)&lt;&gt;""0"", ""0"" &amp; converted, REGEXREPL"&amp;"ACE(converted , ""\s"", """")) ) ) ) )"),"09139837180")</f>
        <v>09139837180</v>
      </c>
      <c r="E1712" s="196" t="s">
        <v>17</v>
      </c>
      <c r="F1712" s="221">
        <v>14.0</v>
      </c>
      <c r="G1712" s="193"/>
      <c r="H1712" s="193"/>
      <c r="I1712" s="194"/>
      <c r="J1712" s="194"/>
      <c r="K1712" s="193" t="s">
        <v>303</v>
      </c>
      <c r="L1712" s="193" t="s">
        <v>1761</v>
      </c>
      <c r="M1712" s="193"/>
      <c r="N1712" s="193"/>
      <c r="O1712" s="193"/>
      <c r="P1712" s="193" t="s">
        <v>6969</v>
      </c>
      <c r="Q1712" s="222" t="s">
        <v>6766</v>
      </c>
      <c r="R1712" s="86"/>
      <c r="S1712" s="114">
        <f t="shared" ref="S1712:T1712" si="1714">A1712</f>
        <v>1712</v>
      </c>
      <c r="T1712" s="114" t="str">
        <f t="shared" si="1714"/>
        <v>محمد سلحشور</v>
      </c>
      <c r="U1712" s="86" t="str">
        <f t="shared" si="3"/>
        <v>09139837180</v>
      </c>
      <c r="V1712" s="86" t="str">
        <f t="shared" si="4"/>
        <v>پیش‌وایی 14</v>
      </c>
      <c r="W1712" s="86"/>
      <c r="X1712" s="86"/>
    </row>
    <row r="1713">
      <c r="A1713" s="201">
        <v>1713.0</v>
      </c>
      <c r="B1713" s="202" t="s">
        <v>6998</v>
      </c>
      <c r="C1713" s="210" t="s">
        <v>6999</v>
      </c>
      <c r="D1713" s="204" t="str">
        <f>IFERROR(__xludf.DUMMYFUNCTION("ARRAYFORMULA(LET( converted, SUBSTITUTE( SUBSTITUTE( SUBSTITUTE( SUBSTITUTE( SUBSTITUTE( SUBSTITUTE( SUBSTITUTE( SUBSTITUTE( SUBSTITUTE( SUBSTITUTE( C1713, ""۰"", ""0""), ""۱"", ""1""), ""۲"", ""2""), ""۳"", ""3""), ""۴"", ""4""), ""۵"", ""5""), ""۶"", """&amp;"6""), ""۷"", ""7""), ""۸"", ""8""), ""۹"", ""9""), IF(LEFT(converted,3)=""+98"", ""0"" &amp; RIGHT(converted, LEN(converted)-3), IF(LEFT(converted,2)=""98"", ""0"" &amp; RIGHT(converted, LEN(converted)-2), IF(LEFT(converted,1)&lt;&gt;""0"", ""0"" &amp; converted, REGEXREPL"&amp;"ACE(converted , ""\s"", """")) ) ) ) )"),"0971553115182")</f>
        <v>0971553115182</v>
      </c>
      <c r="E1713" s="205" t="s">
        <v>17</v>
      </c>
      <c r="F1713" s="214">
        <v>14.0</v>
      </c>
      <c r="G1713" s="202"/>
      <c r="H1713" s="202"/>
      <c r="I1713" s="203"/>
      <c r="J1713" s="203"/>
      <c r="K1713" s="202" t="s">
        <v>307</v>
      </c>
      <c r="L1713" s="202" t="s">
        <v>7000</v>
      </c>
      <c r="M1713" s="202"/>
      <c r="N1713" s="202"/>
      <c r="O1713" s="202"/>
      <c r="P1713" s="202" t="s">
        <v>6969</v>
      </c>
      <c r="Q1713" s="223" t="s">
        <v>6910</v>
      </c>
      <c r="R1713" s="86"/>
      <c r="S1713" s="114">
        <f t="shared" ref="S1713:T1713" si="1715">A1713</f>
        <v>1713</v>
      </c>
      <c r="T1713" s="114" t="str">
        <f t="shared" si="1715"/>
        <v>محمدرضا کمالی</v>
      </c>
      <c r="U1713" s="86" t="str">
        <f t="shared" si="3"/>
        <v>0971553115182</v>
      </c>
      <c r="V1713" s="86" t="str">
        <f t="shared" si="4"/>
        <v>پیش‌وایی 14</v>
      </c>
      <c r="W1713" s="86"/>
      <c r="X1713" s="86"/>
    </row>
    <row r="1714">
      <c r="A1714" s="192">
        <v>1714.0</v>
      </c>
      <c r="B1714" s="193" t="s">
        <v>7001</v>
      </c>
      <c r="C1714" s="211" t="s">
        <v>7002</v>
      </c>
      <c r="D1714" s="195" t="str">
        <f>IFERROR(__xludf.DUMMYFUNCTION("ARRAYFORMULA(LET( converted, SUBSTITUTE( SUBSTITUTE( SUBSTITUTE( SUBSTITUTE( SUBSTITUTE( SUBSTITUTE( SUBSTITUTE( SUBSTITUTE( SUBSTITUTE( SUBSTITUTE( C1714, ""۰"", ""0""), ""۱"", ""1""), ""۲"", ""2""), ""۳"", ""3""), ""۴"", ""4""), ""۵"", ""5""), ""۶"", """&amp;"6""), ""۷"", ""7""), ""۸"", ""8""), ""۹"", ""9""), IF(LEFT(converted,3)=""+98"", ""0"" &amp; RIGHT(converted, LEN(converted)-3), IF(LEFT(converted,2)=""98"", ""0"" &amp; RIGHT(converted, LEN(converted)-2), IF(LEFT(converted,1)&lt;&gt;""0"", ""0"" &amp; converted, REGEXREPL"&amp;"ACE(converted , ""\s"", """")) ) ) ) )"),"09388123337")</f>
        <v>09388123337</v>
      </c>
      <c r="E1714" s="196" t="s">
        <v>17</v>
      </c>
      <c r="F1714" s="221">
        <v>14.0</v>
      </c>
      <c r="G1714" s="193"/>
      <c r="H1714" s="212" t="s">
        <v>7003</v>
      </c>
      <c r="I1714" s="211" t="s">
        <v>7004</v>
      </c>
      <c r="J1714" s="211"/>
      <c r="K1714" s="193" t="s">
        <v>286</v>
      </c>
      <c r="L1714" s="193" t="s">
        <v>5510</v>
      </c>
      <c r="M1714" s="193"/>
      <c r="N1714" s="193"/>
      <c r="O1714" s="193"/>
      <c r="P1714" s="193" t="s">
        <v>7005</v>
      </c>
      <c r="Q1714" s="222" t="s">
        <v>6766</v>
      </c>
      <c r="R1714" s="86"/>
      <c r="S1714" s="114">
        <f t="shared" ref="S1714:T1714" si="1716">A1714</f>
        <v>1714</v>
      </c>
      <c r="T1714" s="114" t="str">
        <f t="shared" si="1716"/>
        <v>مهدی عبداللهی</v>
      </c>
      <c r="U1714" s="86" t="str">
        <f t="shared" si="3"/>
        <v>09388123337</v>
      </c>
      <c r="V1714" s="86" t="str">
        <f t="shared" si="4"/>
        <v>پیش‌وایی 14</v>
      </c>
      <c r="W1714" s="86"/>
      <c r="X1714" s="86"/>
    </row>
    <row r="1715">
      <c r="A1715" s="201">
        <v>1715.0</v>
      </c>
      <c r="B1715" s="202" t="s">
        <v>4996</v>
      </c>
      <c r="C1715" s="210" t="s">
        <v>7006</v>
      </c>
      <c r="D1715" s="204" t="str">
        <f>IFERROR(__xludf.DUMMYFUNCTION("ARRAYFORMULA(LET( converted, SUBSTITUTE( SUBSTITUTE( SUBSTITUTE( SUBSTITUTE( SUBSTITUTE( SUBSTITUTE( SUBSTITUTE( SUBSTITUTE( SUBSTITUTE( SUBSTITUTE( C1715, ""۰"", ""0""), ""۱"", ""1""), ""۲"", ""2""), ""۳"", ""3""), ""۴"", ""4""), ""۵"", ""5""), ""۶"", """&amp;"6""), ""۷"", ""7""), ""۸"", ""8""), ""۹"", ""9""), IF(LEFT(converted,3)=""+98"", ""0"" &amp; RIGHT(converted, LEN(converted)-3), IF(LEFT(converted,2)=""98"", ""0"" &amp; RIGHT(converted, LEN(converted)-2), IF(LEFT(converted,1)&lt;&gt;""0"", ""0"" &amp; converted, REGEXREPL"&amp;"ACE(converted , ""\s"", """")) ) ) ) )"),"09127622270")</f>
        <v>09127622270</v>
      </c>
      <c r="E1715" s="205" t="s">
        <v>17</v>
      </c>
      <c r="F1715" s="214">
        <v>14.0</v>
      </c>
      <c r="G1715" s="202"/>
      <c r="H1715" s="213" t="s">
        <v>4998</v>
      </c>
      <c r="I1715" s="210" t="s">
        <v>7007</v>
      </c>
      <c r="J1715" s="210"/>
      <c r="K1715" s="202" t="s">
        <v>274</v>
      </c>
      <c r="L1715" s="202" t="s">
        <v>4999</v>
      </c>
      <c r="M1715" s="202"/>
      <c r="N1715" s="202"/>
      <c r="O1715" s="202"/>
      <c r="P1715" s="202" t="s">
        <v>102</v>
      </c>
      <c r="Q1715" s="223" t="s">
        <v>6910</v>
      </c>
      <c r="R1715" s="86"/>
      <c r="S1715" s="114">
        <f t="shared" ref="S1715:T1715" si="1717">A1715</f>
        <v>1715</v>
      </c>
      <c r="T1715" s="114" t="str">
        <f t="shared" si="1717"/>
        <v>فاطمه کرمیان</v>
      </c>
      <c r="U1715" s="86" t="str">
        <f t="shared" si="3"/>
        <v>09127622270</v>
      </c>
      <c r="V1715" s="86" t="str">
        <f t="shared" si="4"/>
        <v>پیش‌وایی 14</v>
      </c>
      <c r="W1715" s="86"/>
      <c r="X1715" s="86"/>
    </row>
    <row r="1716">
      <c r="A1716" s="192">
        <v>1716.0</v>
      </c>
      <c r="B1716" s="193" t="s">
        <v>7008</v>
      </c>
      <c r="C1716" s="211" t="s">
        <v>7009</v>
      </c>
      <c r="D1716" s="195" t="str">
        <f>IFERROR(__xludf.DUMMYFUNCTION("ARRAYFORMULA(LET( converted, SUBSTITUTE( SUBSTITUTE( SUBSTITUTE( SUBSTITUTE( SUBSTITUTE( SUBSTITUTE( SUBSTITUTE( SUBSTITUTE( SUBSTITUTE( SUBSTITUTE( C1716, ""۰"", ""0""), ""۱"", ""1""), ""۲"", ""2""), ""۳"", ""3""), ""۴"", ""4""), ""۵"", ""5""), ""۶"", """&amp;"6""), ""۷"", ""7""), ""۸"", ""8""), ""۹"", ""9""), IF(LEFT(converted,3)=""+98"", ""0"" &amp; RIGHT(converted, LEN(converted)-3), IF(LEFT(converted,2)=""98"", ""0"" &amp; RIGHT(converted, LEN(converted)-2), IF(LEFT(converted,1)&lt;&gt;""0"", ""0"" &amp; converted, REGEXREPL"&amp;"ACE(converted , ""\s"", """")) ) ) ) )"),"09127248961")</f>
        <v>09127248961</v>
      </c>
      <c r="E1716" s="196" t="s">
        <v>17</v>
      </c>
      <c r="F1716" s="221">
        <v>14.0</v>
      </c>
      <c r="G1716" s="193"/>
      <c r="H1716" s="212" t="s">
        <v>7010</v>
      </c>
      <c r="I1716" s="211" t="s">
        <v>7011</v>
      </c>
      <c r="J1716" s="211"/>
      <c r="K1716" s="193" t="s">
        <v>2897</v>
      </c>
      <c r="L1716" s="193" t="s">
        <v>7012</v>
      </c>
      <c r="M1716" s="193"/>
      <c r="N1716" s="193"/>
      <c r="O1716" s="193"/>
      <c r="P1716" s="193" t="s">
        <v>7013</v>
      </c>
      <c r="Q1716" s="222" t="s">
        <v>6766</v>
      </c>
      <c r="R1716" s="86"/>
      <c r="S1716" s="114">
        <f t="shared" ref="S1716:T1716" si="1718">A1716</f>
        <v>1716</v>
      </c>
      <c r="T1716" s="114" t="str">
        <f t="shared" si="1718"/>
        <v>ناهید افسون</v>
      </c>
      <c r="U1716" s="86" t="str">
        <f t="shared" si="3"/>
        <v>09127248961</v>
      </c>
      <c r="V1716" s="86" t="str">
        <f t="shared" si="4"/>
        <v>پیش‌وایی 14</v>
      </c>
      <c r="W1716" s="86"/>
      <c r="X1716" s="86"/>
    </row>
    <row r="1717">
      <c r="A1717" s="201">
        <v>1717.0</v>
      </c>
      <c r="B1717" s="202" t="s">
        <v>6605</v>
      </c>
      <c r="C1717" s="210" t="s">
        <v>7014</v>
      </c>
      <c r="D1717" s="204" t="str">
        <f>IFERROR(__xludf.DUMMYFUNCTION("ARRAYFORMULA(LET( converted, SUBSTITUTE( SUBSTITUTE( SUBSTITUTE( SUBSTITUTE( SUBSTITUTE( SUBSTITUTE( SUBSTITUTE( SUBSTITUTE( SUBSTITUTE( SUBSTITUTE( C1717, ""۰"", ""0""), ""۱"", ""1""), ""۲"", ""2""), ""۳"", ""3""), ""۴"", ""4""), ""۵"", ""5""), ""۶"", """&amp;"6""), ""۷"", ""7""), ""۸"", ""8""), ""۹"", ""9""), IF(LEFT(converted,3)=""+98"", ""0"" &amp; RIGHT(converted, LEN(converted)-3), IF(LEFT(converted,2)=""98"", ""0"" &amp; RIGHT(converted, LEN(converted)-2), IF(LEFT(converted,1)&lt;&gt;""0"", ""0"" &amp; converted, REGEXREPL"&amp;"ACE(converted , ""\s"", """")) ) ) ) )"),"09124866349")</f>
        <v>09124866349</v>
      </c>
      <c r="E1717" s="205" t="s">
        <v>17</v>
      </c>
      <c r="F1717" s="214">
        <v>14.0</v>
      </c>
      <c r="G1717" s="202"/>
      <c r="H1717" s="202"/>
      <c r="I1717" s="210" t="s">
        <v>7015</v>
      </c>
      <c r="J1717" s="210"/>
      <c r="K1717" s="202" t="s">
        <v>6607</v>
      </c>
      <c r="L1717" s="202" t="s">
        <v>889</v>
      </c>
      <c r="M1717" s="202"/>
      <c r="N1717" s="202"/>
      <c r="O1717" s="202"/>
      <c r="P1717" s="202" t="s">
        <v>713</v>
      </c>
      <c r="Q1717" s="223" t="s">
        <v>6766</v>
      </c>
      <c r="R1717" s="86"/>
      <c r="S1717" s="114">
        <f t="shared" ref="S1717:T1717" si="1719">A1717</f>
        <v>1717</v>
      </c>
      <c r="T1717" s="114" t="str">
        <f t="shared" si="1719"/>
        <v>سمیرا کاظمی</v>
      </c>
      <c r="U1717" s="86" t="str">
        <f t="shared" si="3"/>
        <v>09124866349</v>
      </c>
      <c r="V1717" s="86" t="str">
        <f t="shared" si="4"/>
        <v>پیش‌وایی 14</v>
      </c>
      <c r="W1717" s="86"/>
      <c r="X1717" s="86"/>
    </row>
    <row r="1718">
      <c r="A1718" s="192">
        <v>1718.0</v>
      </c>
      <c r="B1718" s="193" t="s">
        <v>7016</v>
      </c>
      <c r="C1718" s="211" t="s">
        <v>7017</v>
      </c>
      <c r="D1718" s="195" t="str">
        <f>IFERROR(__xludf.DUMMYFUNCTION("ARRAYFORMULA(LET( converted, SUBSTITUTE( SUBSTITUTE( SUBSTITUTE( SUBSTITUTE( SUBSTITUTE( SUBSTITUTE( SUBSTITUTE( SUBSTITUTE( SUBSTITUTE( SUBSTITUTE( C1718, ""۰"", ""0""), ""۱"", ""1""), ""۲"", ""2""), ""۳"", ""3""), ""۴"", ""4""), ""۵"", ""5""), ""۶"", """&amp;"6""), ""۷"", ""7""), ""۸"", ""8""), ""۹"", ""9""), IF(LEFT(converted,3)=""+98"", ""0"" &amp; RIGHT(converted, LEN(converted)-3), IF(LEFT(converted,2)=""98"", ""0"" &amp; RIGHT(converted, LEN(converted)-2), IF(LEFT(converted,1)&lt;&gt;""0"", ""0"" &amp; converted, REGEXREPL"&amp;"ACE(converted , ""\s"", """")) ) ) ) )"),"09913055185")</f>
        <v>09913055185</v>
      </c>
      <c r="E1718" s="196" t="s">
        <v>17</v>
      </c>
      <c r="F1718" s="221">
        <v>14.0</v>
      </c>
      <c r="G1718" s="193"/>
      <c r="H1718" s="212" t="s">
        <v>7018</v>
      </c>
      <c r="I1718" s="211" t="s">
        <v>7019</v>
      </c>
      <c r="J1718" s="211"/>
      <c r="K1718" s="193" t="s">
        <v>3092</v>
      </c>
      <c r="L1718" s="193" t="s">
        <v>7020</v>
      </c>
      <c r="M1718" s="193"/>
      <c r="N1718" s="193"/>
      <c r="O1718" s="193"/>
      <c r="P1718" s="193"/>
      <c r="Q1718" s="222" t="s">
        <v>6766</v>
      </c>
      <c r="R1718" s="86"/>
      <c r="S1718" s="114">
        <f t="shared" ref="S1718:T1718" si="1720">A1718</f>
        <v>1718</v>
      </c>
      <c r="T1718" s="114" t="str">
        <f t="shared" si="1720"/>
        <v>عرفان توسلی</v>
      </c>
      <c r="U1718" s="86" t="str">
        <f t="shared" si="3"/>
        <v>09913055185</v>
      </c>
      <c r="V1718" s="86" t="str">
        <f t="shared" si="4"/>
        <v>پیش‌وایی 14</v>
      </c>
      <c r="W1718" s="86"/>
      <c r="X1718" s="86"/>
    </row>
    <row r="1719">
      <c r="A1719" s="201">
        <v>1719.0</v>
      </c>
      <c r="B1719" s="202" t="s">
        <v>7021</v>
      </c>
      <c r="C1719" s="210" t="s">
        <v>7022</v>
      </c>
      <c r="D1719" s="204" t="str">
        <f>IFERROR(__xludf.DUMMYFUNCTION("ARRAYFORMULA(LET( converted, SUBSTITUTE( SUBSTITUTE( SUBSTITUTE( SUBSTITUTE( SUBSTITUTE( SUBSTITUTE( SUBSTITUTE( SUBSTITUTE( SUBSTITUTE( SUBSTITUTE( C1719, ""۰"", ""0""), ""۱"", ""1""), ""۲"", ""2""), ""۳"", ""3""), ""۴"", ""4""), ""۵"", ""5""), ""۶"", """&amp;"6""), ""۷"", ""7""), ""۸"", ""8""), ""۹"", ""9""), IF(LEFT(converted,3)=""+98"", ""0"" &amp; RIGHT(converted, LEN(converted)-3), IF(LEFT(converted,2)=""98"", ""0"" &amp; RIGHT(converted, LEN(converted)-2), IF(LEFT(converted,1)&lt;&gt;""0"", ""0"" &amp; converted, REGEXREPL"&amp;"ACE(converted , ""\s"", """")) ) ) ) )"),"09123309066")</f>
        <v>09123309066</v>
      </c>
      <c r="E1719" s="205" t="s">
        <v>17</v>
      </c>
      <c r="F1719" s="214">
        <v>14.0</v>
      </c>
      <c r="G1719" s="202"/>
      <c r="H1719" s="213" t="s">
        <v>7023</v>
      </c>
      <c r="I1719" s="210" t="s">
        <v>7024</v>
      </c>
      <c r="J1719" s="210"/>
      <c r="K1719" s="202" t="s">
        <v>1685</v>
      </c>
      <c r="L1719" s="202" t="s">
        <v>2573</v>
      </c>
      <c r="M1719" s="202"/>
      <c r="N1719" s="202"/>
      <c r="O1719" s="202"/>
      <c r="P1719" s="202" t="s">
        <v>7025</v>
      </c>
      <c r="Q1719" s="223" t="s">
        <v>6766</v>
      </c>
      <c r="R1719" s="86"/>
      <c r="S1719" s="114">
        <f t="shared" ref="S1719:T1719" si="1721">A1719</f>
        <v>1719</v>
      </c>
      <c r="T1719" s="114" t="str">
        <f t="shared" si="1721"/>
        <v>سارا جعفری</v>
      </c>
      <c r="U1719" s="86" t="str">
        <f t="shared" si="3"/>
        <v>09123309066</v>
      </c>
      <c r="V1719" s="86" t="str">
        <f t="shared" si="4"/>
        <v>پیش‌وایی 14</v>
      </c>
      <c r="W1719" s="86"/>
      <c r="X1719" s="86"/>
    </row>
    <row r="1720">
      <c r="A1720" s="192">
        <v>1720.0</v>
      </c>
      <c r="B1720" s="193" t="s">
        <v>7026</v>
      </c>
      <c r="C1720" s="211" t="s">
        <v>7027</v>
      </c>
      <c r="D1720" s="195" t="str">
        <f>IFERROR(__xludf.DUMMYFUNCTION("ARRAYFORMULA(LET( converted, SUBSTITUTE( SUBSTITUTE( SUBSTITUTE( SUBSTITUTE( SUBSTITUTE( SUBSTITUTE( SUBSTITUTE( SUBSTITUTE( SUBSTITUTE( SUBSTITUTE( C1720, ""۰"", ""0""), ""۱"", ""1""), ""۲"", ""2""), ""۳"", ""3""), ""۴"", ""4""), ""۵"", ""5""), ""۶"", """&amp;"6""), ""۷"", ""7""), ""۸"", ""8""), ""۹"", ""9""), IF(LEFT(converted,3)=""+98"", ""0"" &amp; RIGHT(converted, LEN(converted)-3), IF(LEFT(converted,2)=""98"", ""0"" &amp; RIGHT(converted, LEN(converted)-2), IF(LEFT(converted,1)&lt;&gt;""0"", ""0"" &amp; converted, REGEXREPL"&amp;"ACE(converted , ""\s"", """")) ) ) ) )"),"09210865357")</f>
        <v>09210865357</v>
      </c>
      <c r="E1720" s="196" t="s">
        <v>17</v>
      </c>
      <c r="F1720" s="221">
        <v>14.0</v>
      </c>
      <c r="G1720" s="193"/>
      <c r="H1720" s="212" t="s">
        <v>7028</v>
      </c>
      <c r="I1720" s="211" t="s">
        <v>7029</v>
      </c>
      <c r="J1720" s="211"/>
      <c r="K1720" s="193" t="s">
        <v>259</v>
      </c>
      <c r="L1720" s="193" t="s">
        <v>7030</v>
      </c>
      <c r="M1720" s="193"/>
      <c r="N1720" s="193"/>
      <c r="O1720" s="193"/>
      <c r="P1720" s="193" t="s">
        <v>184</v>
      </c>
      <c r="Q1720" s="222" t="s">
        <v>6766</v>
      </c>
      <c r="R1720" s="86"/>
      <c r="S1720" s="114">
        <f t="shared" ref="S1720:T1720" si="1722">A1720</f>
        <v>1720</v>
      </c>
      <c r="T1720" s="114" t="str">
        <f t="shared" si="1722"/>
        <v>علیرضا نیاری</v>
      </c>
      <c r="U1720" s="86" t="str">
        <f t="shared" si="3"/>
        <v>09210865357</v>
      </c>
      <c r="V1720" s="86" t="str">
        <f t="shared" si="4"/>
        <v>پیش‌وایی 14</v>
      </c>
      <c r="W1720" s="86"/>
      <c r="X1720" s="86"/>
    </row>
    <row r="1721">
      <c r="A1721" s="201">
        <v>1721.0</v>
      </c>
      <c r="B1721" s="202" t="s">
        <v>7031</v>
      </c>
      <c r="C1721" s="210" t="s">
        <v>7032</v>
      </c>
      <c r="D1721" s="204" t="str">
        <f>IFERROR(__xludf.DUMMYFUNCTION("ARRAYFORMULA(LET( converted, SUBSTITUTE( SUBSTITUTE( SUBSTITUTE( SUBSTITUTE( SUBSTITUTE( SUBSTITUTE( SUBSTITUTE( SUBSTITUTE( SUBSTITUTE( SUBSTITUTE( C1721, ""۰"", ""0""), ""۱"", ""1""), ""۲"", ""2""), ""۳"", ""3""), ""۴"", ""4""), ""۵"", ""5""), ""۶"", """&amp;"6""), ""۷"", ""7""), ""۸"", ""8""), ""۹"", ""9""), IF(LEFT(converted,3)=""+98"", ""0"" &amp; RIGHT(converted, LEN(converted)-3), IF(LEFT(converted,2)=""98"", ""0"" &amp; RIGHT(converted, LEN(converted)-2), IF(LEFT(converted,1)&lt;&gt;""0"", ""0"" &amp; converted, REGEXREPL"&amp;"ACE(converted , ""\s"", """")) ) ) ) )"),"09136839287")</f>
        <v>09136839287</v>
      </c>
      <c r="E1721" s="205" t="s">
        <v>17</v>
      </c>
      <c r="F1721" s="214">
        <v>14.0</v>
      </c>
      <c r="G1721" s="202"/>
      <c r="H1721" s="213" t="s">
        <v>7033</v>
      </c>
      <c r="I1721" s="210" t="s">
        <v>7034</v>
      </c>
      <c r="J1721" s="203"/>
      <c r="K1721" s="202" t="s">
        <v>7035</v>
      </c>
      <c r="L1721" s="202" t="s">
        <v>7036</v>
      </c>
      <c r="M1721" s="202"/>
      <c r="N1721" s="202"/>
      <c r="O1721" s="202"/>
      <c r="P1721" s="202" t="s">
        <v>184</v>
      </c>
      <c r="Q1721" s="223" t="s">
        <v>6766</v>
      </c>
      <c r="R1721" s="86"/>
      <c r="S1721" s="114">
        <f t="shared" ref="S1721:T1721" si="1723">A1721</f>
        <v>1721</v>
      </c>
      <c r="T1721" s="114" t="str">
        <f t="shared" si="1723"/>
        <v>سنا نادعلی</v>
      </c>
      <c r="U1721" s="86" t="str">
        <f t="shared" si="3"/>
        <v>09136839287</v>
      </c>
      <c r="V1721" s="86" t="str">
        <f t="shared" si="4"/>
        <v>پیش‌وایی 14</v>
      </c>
      <c r="W1721" s="86"/>
      <c r="X1721" s="86"/>
    </row>
    <row r="1722">
      <c r="A1722" s="192">
        <v>1722.0</v>
      </c>
      <c r="B1722" s="193" t="s">
        <v>7037</v>
      </c>
      <c r="C1722" s="211" t="s">
        <v>7038</v>
      </c>
      <c r="D1722" s="195" t="str">
        <f>IFERROR(__xludf.DUMMYFUNCTION("ARRAYFORMULA(LET( converted, SUBSTITUTE( SUBSTITUTE( SUBSTITUTE( SUBSTITUTE( SUBSTITUTE( SUBSTITUTE( SUBSTITUTE( SUBSTITUTE( SUBSTITUTE( SUBSTITUTE( C1722, ""۰"", ""0""), ""۱"", ""1""), ""۲"", ""2""), ""۳"", ""3""), ""۴"", ""4""), ""۵"", ""5""), ""۶"", """&amp;"6""), ""۷"", ""7""), ""۸"", ""8""), ""۹"", ""9""), IF(LEFT(converted,3)=""+98"", ""0"" &amp; RIGHT(converted, LEN(converted)-3), IF(LEFT(converted,2)=""98"", ""0"" &amp; RIGHT(converted, LEN(converted)-2), IF(LEFT(converted,1)&lt;&gt;""0"", ""0"" &amp; converted, REGEXREPL"&amp;"ACE(converted , ""\s"", """")) ) ) ) )"),"09380686761")</f>
        <v>09380686761</v>
      </c>
      <c r="E1722" s="196" t="s">
        <v>17</v>
      </c>
      <c r="F1722" s="221">
        <v>14.0</v>
      </c>
      <c r="G1722" s="193"/>
      <c r="H1722" s="212" t="s">
        <v>7039</v>
      </c>
      <c r="I1722" s="211" t="s">
        <v>7040</v>
      </c>
      <c r="J1722" s="211"/>
      <c r="K1722" s="193" t="s">
        <v>7041</v>
      </c>
      <c r="L1722" s="193" t="s">
        <v>6655</v>
      </c>
      <c r="M1722" s="193"/>
      <c r="N1722" s="193"/>
      <c r="O1722" s="193"/>
      <c r="P1722" s="193"/>
      <c r="Q1722" s="222" t="s">
        <v>6766</v>
      </c>
      <c r="R1722" s="86"/>
      <c r="S1722" s="114">
        <f t="shared" ref="S1722:T1722" si="1724">A1722</f>
        <v>1722</v>
      </c>
      <c r="T1722" s="114" t="str">
        <f t="shared" si="1724"/>
        <v>سیدهاشم افخمی</v>
      </c>
      <c r="U1722" s="86" t="str">
        <f t="shared" si="3"/>
        <v>09380686761</v>
      </c>
      <c r="V1722" s="86" t="str">
        <f t="shared" si="4"/>
        <v>پیش‌وایی 14</v>
      </c>
      <c r="W1722" s="86"/>
      <c r="X1722" s="86"/>
    </row>
    <row r="1723">
      <c r="A1723" s="201">
        <v>1723.0</v>
      </c>
      <c r="B1723" s="202" t="s">
        <v>5966</v>
      </c>
      <c r="C1723" s="210" t="s">
        <v>7042</v>
      </c>
      <c r="D1723" s="204" t="str">
        <f>IFERROR(__xludf.DUMMYFUNCTION("ARRAYFORMULA(LET( converted, SUBSTITUTE( SUBSTITUTE( SUBSTITUTE( SUBSTITUTE( SUBSTITUTE( SUBSTITUTE( SUBSTITUTE( SUBSTITUTE( SUBSTITUTE( SUBSTITUTE( C1723, ""۰"", ""0""), ""۱"", ""1""), ""۲"", ""2""), ""۳"", ""3""), ""۴"", ""4""), ""۵"", ""5""), ""۶"", """&amp;"6""), ""۷"", ""7""), ""۸"", ""8""), ""۹"", ""9""), IF(LEFT(converted,3)=""+98"", ""0"" &amp; RIGHT(converted, LEN(converted)-3), IF(LEFT(converted,2)=""98"", ""0"" &amp; RIGHT(converted, LEN(converted)-2), IF(LEFT(converted,1)&lt;&gt;""0"", ""0"" &amp; converted, REGEXREPL"&amp;"ACE(converted , ""\s"", """")) ) ) ) )"),"09127031008")</f>
        <v>09127031008</v>
      </c>
      <c r="E1723" s="205" t="s">
        <v>17</v>
      </c>
      <c r="F1723" s="214">
        <v>14.0</v>
      </c>
      <c r="G1723" s="202"/>
      <c r="H1723" s="213" t="s">
        <v>7043</v>
      </c>
      <c r="I1723" s="210" t="s">
        <v>7044</v>
      </c>
      <c r="J1723" s="210"/>
      <c r="K1723" s="202" t="s">
        <v>286</v>
      </c>
      <c r="L1723" s="202" t="s">
        <v>5968</v>
      </c>
      <c r="M1723" s="202"/>
      <c r="N1723" s="202"/>
      <c r="O1723" s="202"/>
      <c r="P1723" s="202" t="s">
        <v>7045</v>
      </c>
      <c r="Q1723" s="223" t="s">
        <v>6910</v>
      </c>
      <c r="R1723" s="86"/>
      <c r="S1723" s="114">
        <f t="shared" ref="S1723:T1723" si="1725">A1723</f>
        <v>1723</v>
      </c>
      <c r="T1723" s="114" t="str">
        <f t="shared" si="1725"/>
        <v>مهدی قطبی</v>
      </c>
      <c r="U1723" s="86" t="str">
        <f t="shared" si="3"/>
        <v>09127031008</v>
      </c>
      <c r="V1723" s="86" t="str">
        <f t="shared" si="4"/>
        <v>پیش‌وایی 14</v>
      </c>
      <c r="W1723" s="86"/>
      <c r="X1723" s="86"/>
    </row>
    <row r="1724">
      <c r="A1724" s="192">
        <v>1724.0</v>
      </c>
      <c r="B1724" s="193" t="s">
        <v>7046</v>
      </c>
      <c r="C1724" s="211" t="s">
        <v>7047</v>
      </c>
      <c r="D1724" s="195" t="str">
        <f>IFERROR(__xludf.DUMMYFUNCTION("ARRAYFORMULA(LET( converted, SUBSTITUTE( SUBSTITUTE( SUBSTITUTE( SUBSTITUTE( SUBSTITUTE( SUBSTITUTE( SUBSTITUTE( SUBSTITUTE( SUBSTITUTE( SUBSTITUTE( C1724, ""۰"", ""0""), ""۱"", ""1""), ""۲"", ""2""), ""۳"", ""3""), ""۴"", ""4""), ""۵"", ""5""), ""۶"", """&amp;"6""), ""۷"", ""7""), ""۸"", ""8""), ""۹"", ""9""), IF(LEFT(converted,3)=""+98"", ""0"" &amp; RIGHT(converted, LEN(converted)-3), IF(LEFT(converted,2)=""98"", ""0"" &amp; RIGHT(converted, LEN(converted)-2), IF(LEFT(converted,1)&lt;&gt;""0"", ""0"" &amp; converted, REGEXREPL"&amp;"ACE(converted , ""\s"", """")) ) ) ) )"),"09216759528")</f>
        <v>09216759528</v>
      </c>
      <c r="E1724" s="196" t="s">
        <v>17</v>
      </c>
      <c r="F1724" s="221">
        <v>14.0</v>
      </c>
      <c r="G1724" s="193"/>
      <c r="H1724" s="212" t="s">
        <v>7048</v>
      </c>
      <c r="I1724" s="211" t="s">
        <v>7049</v>
      </c>
      <c r="J1724" s="211"/>
      <c r="K1724" s="193" t="s">
        <v>1289</v>
      </c>
      <c r="L1724" s="193" t="s">
        <v>7050</v>
      </c>
      <c r="M1724" s="193"/>
      <c r="N1724" s="193"/>
      <c r="O1724" s="193"/>
      <c r="P1724" s="193"/>
      <c r="Q1724" s="222" t="s">
        <v>6766</v>
      </c>
      <c r="R1724" s="86"/>
      <c r="S1724" s="114">
        <f t="shared" ref="S1724:T1724" si="1726">A1724</f>
        <v>1724</v>
      </c>
      <c r="T1724" s="114" t="str">
        <f t="shared" si="1726"/>
        <v>میلاد امامی</v>
      </c>
      <c r="U1724" s="86" t="str">
        <f t="shared" si="3"/>
        <v>09216759528</v>
      </c>
      <c r="V1724" s="86" t="str">
        <f t="shared" si="4"/>
        <v>پیش‌وایی 14</v>
      </c>
      <c r="W1724" s="86"/>
      <c r="X1724" s="86"/>
    </row>
    <row r="1725">
      <c r="A1725" s="201">
        <v>1725.0</v>
      </c>
      <c r="B1725" s="202" t="s">
        <v>4881</v>
      </c>
      <c r="C1725" s="210" t="s">
        <v>7051</v>
      </c>
      <c r="D1725" s="204" t="str">
        <f>IFERROR(__xludf.DUMMYFUNCTION("ARRAYFORMULA(LET( converted, SUBSTITUTE( SUBSTITUTE( SUBSTITUTE( SUBSTITUTE( SUBSTITUTE( SUBSTITUTE( SUBSTITUTE( SUBSTITUTE( SUBSTITUTE( SUBSTITUTE( C1725, ""۰"", ""0""), ""۱"", ""1""), ""۲"", ""2""), ""۳"", ""3""), ""۴"", ""4""), ""۵"", ""5""), ""۶"", """&amp;"6""), ""۷"", ""7""), ""۸"", ""8""), ""۹"", ""9""), IF(LEFT(converted,3)=""+98"", ""0"" &amp; RIGHT(converted, LEN(converted)-3), IF(LEFT(converted,2)=""98"", ""0"" &amp; RIGHT(converted, LEN(converted)-2), IF(LEFT(converted,1)&lt;&gt;""0"", ""0"" &amp; converted, REGEXREPL"&amp;"ACE(converted , ""\s"", """")) ) ) ) )"),"09178702820")</f>
        <v>09178702820</v>
      </c>
      <c r="E1725" s="205" t="s">
        <v>17</v>
      </c>
      <c r="F1725" s="214">
        <v>14.0</v>
      </c>
      <c r="G1725" s="202"/>
      <c r="H1725" s="213" t="s">
        <v>4883</v>
      </c>
      <c r="I1725" s="210" t="s">
        <v>7052</v>
      </c>
      <c r="J1725" s="210"/>
      <c r="K1725" s="202" t="s">
        <v>758</v>
      </c>
      <c r="L1725" s="202" t="s">
        <v>2816</v>
      </c>
      <c r="M1725" s="202"/>
      <c r="N1725" s="202"/>
      <c r="O1725" s="202"/>
      <c r="P1725" s="202" t="s">
        <v>7045</v>
      </c>
      <c r="Q1725" s="223" t="s">
        <v>6910</v>
      </c>
      <c r="R1725" s="86"/>
      <c r="S1725" s="114">
        <f t="shared" ref="S1725:T1725" si="1727">A1725</f>
        <v>1725</v>
      </c>
      <c r="T1725" s="114" t="str">
        <f t="shared" si="1727"/>
        <v>سعید رضایی</v>
      </c>
      <c r="U1725" s="86" t="str">
        <f t="shared" si="3"/>
        <v>09178702820</v>
      </c>
      <c r="V1725" s="86" t="str">
        <f t="shared" si="4"/>
        <v>پیش‌وایی 14</v>
      </c>
      <c r="W1725" s="86"/>
      <c r="X1725" s="86"/>
    </row>
    <row r="1726">
      <c r="A1726" s="192">
        <v>1726.0</v>
      </c>
      <c r="B1726" s="193" t="s">
        <v>7053</v>
      </c>
      <c r="C1726" s="211" t="s">
        <v>7054</v>
      </c>
      <c r="D1726" s="195" t="str">
        <f>IFERROR(__xludf.DUMMYFUNCTION("ARRAYFORMULA(LET( converted, SUBSTITUTE( SUBSTITUTE( SUBSTITUTE( SUBSTITUTE( SUBSTITUTE( SUBSTITUTE( SUBSTITUTE( SUBSTITUTE( SUBSTITUTE( SUBSTITUTE( C1726, ""۰"", ""0""), ""۱"", ""1""), ""۲"", ""2""), ""۳"", ""3""), ""۴"", ""4""), ""۵"", ""5""), ""۶"", """&amp;"6""), ""۷"", ""7""), ""۸"", ""8""), ""۹"", ""9""), IF(LEFT(converted,3)=""+98"", ""0"" &amp; RIGHT(converted, LEN(converted)-3), IF(LEFT(converted,2)=""98"", ""0"" &amp; RIGHT(converted, LEN(converted)-2), IF(LEFT(converted,1)&lt;&gt;""0"", ""0"" &amp; converted, REGEXREPL"&amp;"ACE(converted , ""\s"", """")) ) ) ) )"),"09197209132")</f>
        <v>09197209132</v>
      </c>
      <c r="E1726" s="196" t="s">
        <v>17</v>
      </c>
      <c r="F1726" s="221">
        <v>14.0</v>
      </c>
      <c r="G1726" s="193"/>
      <c r="H1726" s="212" t="s">
        <v>7055</v>
      </c>
      <c r="I1726" s="211" t="s">
        <v>7056</v>
      </c>
      <c r="J1726" s="211"/>
      <c r="K1726" s="193" t="s">
        <v>3092</v>
      </c>
      <c r="L1726" s="193" t="s">
        <v>1811</v>
      </c>
      <c r="M1726" s="193"/>
      <c r="N1726" s="193"/>
      <c r="O1726" s="193"/>
      <c r="P1726" s="193" t="s">
        <v>7057</v>
      </c>
      <c r="Q1726" s="222" t="s">
        <v>6766</v>
      </c>
      <c r="R1726" s="86"/>
      <c r="S1726" s="114">
        <f t="shared" ref="S1726:T1726" si="1728">A1726</f>
        <v>1726</v>
      </c>
      <c r="T1726" s="114" t="str">
        <f t="shared" si="1728"/>
        <v>عرفان حسنی</v>
      </c>
      <c r="U1726" s="86" t="str">
        <f t="shared" si="3"/>
        <v>09197209132</v>
      </c>
      <c r="V1726" s="86" t="str">
        <f t="shared" si="4"/>
        <v>پیش‌وایی 14</v>
      </c>
      <c r="W1726" s="86"/>
      <c r="X1726" s="86"/>
    </row>
    <row r="1727">
      <c r="A1727" s="201">
        <v>1727.0</v>
      </c>
      <c r="B1727" s="202" t="s">
        <v>7058</v>
      </c>
      <c r="C1727" s="210" t="s">
        <v>7059</v>
      </c>
      <c r="D1727" s="204" t="str">
        <f>IFERROR(__xludf.DUMMYFUNCTION("ARRAYFORMULA(LET( converted, SUBSTITUTE( SUBSTITUTE( SUBSTITUTE( SUBSTITUTE( SUBSTITUTE( SUBSTITUTE( SUBSTITUTE( SUBSTITUTE( SUBSTITUTE( SUBSTITUTE( C1727, ""۰"", ""0""), ""۱"", ""1""), ""۲"", ""2""), ""۳"", ""3""), ""۴"", ""4""), ""۵"", ""5""), ""۶"", """&amp;"6""), ""۷"", ""7""), ""۸"", ""8""), ""۹"", ""9""), IF(LEFT(converted,3)=""+98"", ""0"" &amp; RIGHT(converted, LEN(converted)-3), IF(LEFT(converted,2)=""98"", ""0"" &amp; RIGHT(converted, LEN(converted)-2), IF(LEFT(converted,1)&lt;&gt;""0"", ""0"" &amp; converted, REGEXREPL"&amp;"ACE(converted , ""\s"", """")) ) ) ) )"),"09172893176")</f>
        <v>09172893176</v>
      </c>
      <c r="E1727" s="205" t="s">
        <v>17</v>
      </c>
      <c r="F1727" s="214">
        <v>16.0</v>
      </c>
      <c r="G1727" s="202"/>
      <c r="H1727" s="213" t="s">
        <v>7060</v>
      </c>
      <c r="I1727" s="213" t="s">
        <v>7061</v>
      </c>
      <c r="J1727" s="210"/>
      <c r="K1727" s="207" t="s">
        <v>1692</v>
      </c>
      <c r="L1727" s="207" t="s">
        <v>7062</v>
      </c>
      <c r="M1727" s="202"/>
      <c r="N1727" s="202"/>
      <c r="O1727" s="202"/>
      <c r="P1727" s="202"/>
      <c r="Q1727" s="216" t="s">
        <v>6766</v>
      </c>
      <c r="R1727" s="86"/>
      <c r="S1727" s="114">
        <f t="shared" ref="S1727:T1727" si="1729">A1727</f>
        <v>1727</v>
      </c>
      <c r="T1727" s="114" t="str">
        <f t="shared" si="1729"/>
        <v>الهام رضاپور</v>
      </c>
      <c r="U1727" s="86" t="str">
        <f t="shared" si="3"/>
        <v>09172893176</v>
      </c>
      <c r="V1727" s="86" t="str">
        <f t="shared" si="4"/>
        <v>پیش‌وایی 16</v>
      </c>
      <c r="W1727" s="86"/>
      <c r="X1727" s="86"/>
    </row>
    <row r="1728">
      <c r="A1728" s="192">
        <v>1728.0</v>
      </c>
      <c r="B1728" s="193" t="s">
        <v>7063</v>
      </c>
      <c r="C1728" s="211" t="s">
        <v>6810</v>
      </c>
      <c r="D1728" s="195" t="str">
        <f>IFERROR(__xludf.DUMMYFUNCTION("ARRAYFORMULA(LET( converted, SUBSTITUTE( SUBSTITUTE( SUBSTITUTE( SUBSTITUTE( SUBSTITUTE( SUBSTITUTE( SUBSTITUTE( SUBSTITUTE( SUBSTITUTE( SUBSTITUTE( C1728, ""۰"", ""0""), ""۱"", ""1""), ""۲"", ""2""), ""۳"", ""3""), ""۴"", ""4""), ""۵"", ""5""), ""۶"", """&amp;"6""), ""۷"", ""7""), ""۸"", ""8""), ""۹"", ""9""), IF(LEFT(converted,3)=""+98"", ""0"" &amp; RIGHT(converted, LEN(converted)-3), IF(LEFT(converted,2)=""98"", ""0"" &amp; RIGHT(converted, LEN(converted)-2), IF(LEFT(converted,1)&lt;&gt;""0"", ""0"" &amp; converted, REGEXREPL"&amp;"ACE(converted , ""\s"", """")) ) ) ) )"),"09127021597")</f>
        <v>09127021597</v>
      </c>
      <c r="E1728" s="196" t="s">
        <v>17</v>
      </c>
      <c r="F1728" s="221">
        <v>16.0</v>
      </c>
      <c r="G1728" s="193"/>
      <c r="H1728" s="212" t="s">
        <v>7064</v>
      </c>
      <c r="I1728" s="211" t="s">
        <v>7065</v>
      </c>
      <c r="J1728" s="194"/>
      <c r="K1728" s="199" t="s">
        <v>1692</v>
      </c>
      <c r="L1728" s="199" t="s">
        <v>6444</v>
      </c>
      <c r="M1728" s="193"/>
      <c r="N1728" s="193"/>
      <c r="O1728" s="193"/>
      <c r="P1728" s="193"/>
      <c r="Q1728" s="218" t="s">
        <v>6766</v>
      </c>
      <c r="R1728" s="86"/>
      <c r="S1728" s="114">
        <f t="shared" ref="S1728:T1728" si="1730">A1728</f>
        <v>1728</v>
      </c>
      <c r="T1728" s="114" t="str">
        <f t="shared" si="1730"/>
        <v>الهام صدری</v>
      </c>
      <c r="U1728" s="86" t="str">
        <f t="shared" si="3"/>
        <v>09127021597</v>
      </c>
      <c r="V1728" s="86" t="str">
        <f t="shared" si="4"/>
        <v>پیش‌وایی 16</v>
      </c>
      <c r="W1728" s="86"/>
      <c r="X1728" s="86"/>
    </row>
    <row r="1729">
      <c r="A1729" s="201">
        <v>1729.0</v>
      </c>
      <c r="B1729" s="202" t="s">
        <v>7066</v>
      </c>
      <c r="C1729" s="210" t="s">
        <v>7067</v>
      </c>
      <c r="D1729" s="204" t="str">
        <f>IFERROR(__xludf.DUMMYFUNCTION("ARRAYFORMULA(LET( converted, SUBSTITUTE( SUBSTITUTE( SUBSTITUTE( SUBSTITUTE( SUBSTITUTE( SUBSTITUTE( SUBSTITUTE( SUBSTITUTE( SUBSTITUTE( SUBSTITUTE( C1729, ""۰"", ""0""), ""۱"", ""1""), ""۲"", ""2""), ""۳"", ""3""), ""۴"", ""4""), ""۵"", ""5""), ""۶"", """&amp;"6""), ""۷"", ""7""), ""۸"", ""8""), ""۹"", ""9""), IF(LEFT(converted,3)=""+98"", ""0"" &amp; RIGHT(converted, LEN(converted)-3), IF(LEFT(converted,2)=""98"", ""0"" &amp; RIGHT(converted, LEN(converted)-2), IF(LEFT(converted,1)&lt;&gt;""0"", ""0"" &amp; converted, REGEXREPL"&amp;"ACE(converted , ""\s"", """")) ) ) ) )"),"0971557567224")</f>
        <v>0971557567224</v>
      </c>
      <c r="E1729" s="205" t="s">
        <v>17</v>
      </c>
      <c r="F1729" s="214">
        <v>16.0</v>
      </c>
      <c r="G1729" s="202"/>
      <c r="H1729" s="213" t="s">
        <v>7068</v>
      </c>
      <c r="I1729" s="210" t="s">
        <v>7069</v>
      </c>
      <c r="J1729" s="203"/>
      <c r="K1729" s="207" t="s">
        <v>1374</v>
      </c>
      <c r="L1729" s="207" t="s">
        <v>1855</v>
      </c>
      <c r="M1729" s="202"/>
      <c r="N1729" s="202"/>
      <c r="O1729" s="202"/>
      <c r="P1729" s="202"/>
      <c r="Q1729" s="216" t="s">
        <v>6910</v>
      </c>
      <c r="R1729" s="86"/>
      <c r="S1729" s="114">
        <f t="shared" ref="S1729:T1729" si="1731">A1729</f>
        <v>1729</v>
      </c>
      <c r="T1729" s="114" t="str">
        <f t="shared" si="1731"/>
        <v>امیر ذوالفقاری</v>
      </c>
      <c r="U1729" s="86" t="str">
        <f t="shared" si="3"/>
        <v>0971557567224</v>
      </c>
      <c r="V1729" s="86" t="str">
        <f t="shared" si="4"/>
        <v>پیش‌وایی 16</v>
      </c>
      <c r="W1729" s="86"/>
      <c r="X1729" s="86"/>
    </row>
    <row r="1730">
      <c r="A1730" s="192">
        <v>1730.0</v>
      </c>
      <c r="B1730" s="193" t="s">
        <v>7070</v>
      </c>
      <c r="C1730" s="211" t="s">
        <v>6788</v>
      </c>
      <c r="D1730" s="195" t="str">
        <f>IFERROR(__xludf.DUMMYFUNCTION("ARRAYFORMULA(LET( converted, SUBSTITUTE( SUBSTITUTE( SUBSTITUTE( SUBSTITUTE( SUBSTITUTE( SUBSTITUTE( SUBSTITUTE( SUBSTITUTE( SUBSTITUTE( SUBSTITUTE( C1730, ""۰"", ""0""), ""۱"", ""1""), ""۲"", ""2""), ""۳"", ""3""), ""۴"", ""4""), ""۵"", ""5""), ""۶"", """&amp;"6""), ""۷"", ""7""), ""۸"", ""8""), ""۹"", ""9""), IF(LEFT(converted,3)=""+98"", ""0"" &amp; RIGHT(converted, LEN(converted)-3), IF(LEFT(converted,2)=""98"", ""0"" &amp; RIGHT(converted, LEN(converted)-2), IF(LEFT(converted,1)&lt;&gt;""0"", ""0"" &amp; converted, REGEXREPL"&amp;"ACE(converted , ""\s"", """")) ) ) ) )"),"09121070729")</f>
        <v>09121070729</v>
      </c>
      <c r="E1730" s="196" t="s">
        <v>17</v>
      </c>
      <c r="F1730" s="221">
        <v>16.0</v>
      </c>
      <c r="G1730" s="193"/>
      <c r="H1730" s="212" t="s">
        <v>6789</v>
      </c>
      <c r="I1730" s="211" t="s">
        <v>7071</v>
      </c>
      <c r="J1730" s="194"/>
      <c r="K1730" s="199" t="s">
        <v>1678</v>
      </c>
      <c r="L1730" s="199" t="s">
        <v>6023</v>
      </c>
      <c r="M1730" s="193"/>
      <c r="N1730" s="193"/>
      <c r="O1730" s="193"/>
      <c r="P1730" s="193"/>
      <c r="Q1730" s="218" t="s">
        <v>6766</v>
      </c>
      <c r="R1730" s="86"/>
      <c r="S1730" s="114">
        <f t="shared" ref="S1730:T1730" si="1732">A1730</f>
        <v>1730</v>
      </c>
      <c r="T1730" s="114" t="str">
        <f t="shared" si="1732"/>
        <v>امین سمیع زاده</v>
      </c>
      <c r="U1730" s="86" t="str">
        <f t="shared" si="3"/>
        <v>09121070729</v>
      </c>
      <c r="V1730" s="86" t="str">
        <f t="shared" si="4"/>
        <v>پیش‌وایی 16</v>
      </c>
      <c r="W1730" s="86"/>
      <c r="X1730" s="86"/>
    </row>
    <row r="1731">
      <c r="A1731" s="201">
        <v>1731.0</v>
      </c>
      <c r="B1731" s="202" t="s">
        <v>7072</v>
      </c>
      <c r="C1731" s="210" t="s">
        <v>6792</v>
      </c>
      <c r="D1731" s="204" t="str">
        <f>IFERROR(__xludf.DUMMYFUNCTION("ARRAYFORMULA(LET( converted, SUBSTITUTE( SUBSTITUTE( SUBSTITUTE( SUBSTITUTE( SUBSTITUTE( SUBSTITUTE( SUBSTITUTE( SUBSTITUTE( SUBSTITUTE( SUBSTITUTE( C1731, ""۰"", ""0""), ""۱"", ""1""), ""۲"", ""2""), ""۳"", ""3""), ""۴"", ""4""), ""۵"", ""5""), ""۶"", """&amp;"6""), ""۷"", ""7""), ""۸"", ""8""), ""۹"", ""9""), IF(LEFT(converted,3)=""+98"", ""0"" &amp; RIGHT(converted, LEN(converted)-3), IF(LEFT(converted,2)=""98"", ""0"" &amp; RIGHT(converted, LEN(converted)-2), IF(LEFT(converted,1)&lt;&gt;""0"", ""0"" &amp; converted, REGEXREPL"&amp;"ACE(converted , ""\s"", """")) ) ) ) )"),"09122494620")</f>
        <v>09122494620</v>
      </c>
      <c r="E1731" s="205" t="s">
        <v>17</v>
      </c>
      <c r="F1731" s="214">
        <v>16.0</v>
      </c>
      <c r="G1731" s="202"/>
      <c r="H1731" s="213" t="s">
        <v>7073</v>
      </c>
      <c r="I1731" s="210" t="s">
        <v>7074</v>
      </c>
      <c r="J1731" s="203"/>
      <c r="K1731" s="207" t="s">
        <v>4019</v>
      </c>
      <c r="L1731" s="207" t="s">
        <v>1012</v>
      </c>
      <c r="M1731" s="202"/>
      <c r="N1731" s="202"/>
      <c r="O1731" s="202"/>
      <c r="P1731" s="207" t="s">
        <v>7075</v>
      </c>
      <c r="Q1731" s="216" t="s">
        <v>6766</v>
      </c>
      <c r="R1731" s="86"/>
      <c r="S1731" s="114">
        <f t="shared" ref="S1731:T1731" si="1733">A1731</f>
        <v>1731</v>
      </c>
      <c r="T1731" s="114" t="str">
        <f t="shared" si="1733"/>
        <v>بهزاد محمدی</v>
      </c>
      <c r="U1731" s="86" t="str">
        <f t="shared" si="3"/>
        <v>09122494620</v>
      </c>
      <c r="V1731" s="86" t="str">
        <f t="shared" si="4"/>
        <v>پیش‌وایی 16</v>
      </c>
      <c r="W1731" s="86"/>
      <c r="X1731" s="86"/>
    </row>
    <row r="1732">
      <c r="A1732" s="192">
        <v>1732.0</v>
      </c>
      <c r="B1732" s="193" t="s">
        <v>7076</v>
      </c>
      <c r="C1732" s="211" t="s">
        <v>7077</v>
      </c>
      <c r="D1732" s="195" t="str">
        <f>IFERROR(__xludf.DUMMYFUNCTION("ARRAYFORMULA(LET( converted, SUBSTITUTE( SUBSTITUTE( SUBSTITUTE( SUBSTITUTE( SUBSTITUTE( SUBSTITUTE( SUBSTITUTE( SUBSTITUTE( SUBSTITUTE( SUBSTITUTE( C1732, ""۰"", ""0""), ""۱"", ""1""), ""۲"", ""2""), ""۳"", ""3""), ""۴"", ""4""), ""۵"", ""5""), ""۶"", """&amp;"6""), ""۷"", ""7""), ""۸"", ""8""), ""۹"", ""9""), IF(LEFT(converted,3)=""+98"", ""0"" &amp; RIGHT(converted, LEN(converted)-3), IF(LEFT(converted,2)=""98"", ""0"" &amp; RIGHT(converted, LEN(converted)-2), IF(LEFT(converted,1)&lt;&gt;""0"", ""0"" &amp; converted, REGEXREPL"&amp;"ACE(converted , ""\s"", """")) ) ) ) )"),"09122508858")</f>
        <v>09122508858</v>
      </c>
      <c r="E1732" s="196" t="s">
        <v>17</v>
      </c>
      <c r="F1732" s="221">
        <v>16.0</v>
      </c>
      <c r="G1732" s="193"/>
      <c r="H1732" s="212" t="s">
        <v>7078</v>
      </c>
      <c r="I1732" s="211" t="s">
        <v>7079</v>
      </c>
      <c r="J1732" s="194"/>
      <c r="K1732" s="199" t="s">
        <v>296</v>
      </c>
      <c r="L1732" s="199" t="s">
        <v>7080</v>
      </c>
      <c r="M1732" s="193"/>
      <c r="N1732" s="193"/>
      <c r="O1732" s="193"/>
      <c r="P1732" s="193"/>
      <c r="Q1732" s="218" t="s">
        <v>6766</v>
      </c>
      <c r="R1732" s="86"/>
      <c r="S1732" s="114">
        <f t="shared" ref="S1732:T1732" si="1734">A1732</f>
        <v>1732</v>
      </c>
      <c r="T1732" s="114" t="str">
        <f t="shared" si="1734"/>
        <v>جاوید صفی زاده</v>
      </c>
      <c r="U1732" s="86" t="str">
        <f t="shared" si="3"/>
        <v>09122508858</v>
      </c>
      <c r="V1732" s="86" t="str">
        <f t="shared" si="4"/>
        <v>پیش‌وایی 16</v>
      </c>
      <c r="W1732" s="86"/>
      <c r="X1732" s="86"/>
    </row>
    <row r="1733">
      <c r="A1733" s="201">
        <v>1733.0</v>
      </c>
      <c r="B1733" s="202" t="s">
        <v>7081</v>
      </c>
      <c r="C1733" s="210" t="s">
        <v>7082</v>
      </c>
      <c r="D1733" s="204" t="str">
        <f>IFERROR(__xludf.DUMMYFUNCTION("ARRAYFORMULA(LET( converted, SUBSTITUTE( SUBSTITUTE( SUBSTITUTE( SUBSTITUTE( SUBSTITUTE( SUBSTITUTE( SUBSTITUTE( SUBSTITUTE( SUBSTITUTE( SUBSTITUTE( C1733, ""۰"", ""0""), ""۱"", ""1""), ""۲"", ""2""), ""۳"", ""3""), ""۴"", ""4""), ""۵"", ""5""), ""۶"", """&amp;"6""), ""۷"", ""7""), ""۸"", ""8""), ""۹"", ""9""), IF(LEFT(converted,3)=""+98"", ""0"" &amp; RIGHT(converted, LEN(converted)-3), IF(LEFT(converted,2)=""98"", ""0"" &amp; RIGHT(converted, LEN(converted)-2), IF(LEFT(converted,1)&lt;&gt;""0"", ""0"" &amp; converted, REGEXREPL"&amp;"ACE(converted , ""\s"", """")) ) ) ) )"),"09126359122")</f>
        <v>09126359122</v>
      </c>
      <c r="E1733" s="205" t="s">
        <v>17</v>
      </c>
      <c r="F1733" s="214">
        <v>16.0</v>
      </c>
      <c r="G1733" s="202"/>
      <c r="H1733" s="213" t="s">
        <v>7083</v>
      </c>
      <c r="I1733" s="210" t="s">
        <v>7084</v>
      </c>
      <c r="J1733" s="203"/>
      <c r="K1733" s="207" t="s">
        <v>1004</v>
      </c>
      <c r="L1733" s="207" t="s">
        <v>3528</v>
      </c>
      <c r="M1733" s="202"/>
      <c r="N1733" s="202"/>
      <c r="O1733" s="202"/>
      <c r="P1733" s="207" t="s">
        <v>7085</v>
      </c>
      <c r="Q1733" s="216" t="s">
        <v>6766</v>
      </c>
      <c r="R1733" s="86"/>
      <c r="S1733" s="114">
        <f t="shared" ref="S1733:T1733" si="1735">A1733</f>
        <v>1733</v>
      </c>
      <c r="T1733" s="114" t="str">
        <f t="shared" si="1735"/>
        <v>حامد عباسی</v>
      </c>
      <c r="U1733" s="86" t="str">
        <f t="shared" si="3"/>
        <v>09126359122</v>
      </c>
      <c r="V1733" s="86" t="str">
        <f t="shared" si="4"/>
        <v>پیش‌وایی 16</v>
      </c>
      <c r="W1733" s="86"/>
      <c r="X1733" s="86"/>
    </row>
    <row r="1734">
      <c r="A1734" s="192">
        <v>1734.0</v>
      </c>
      <c r="B1734" s="193" t="s">
        <v>7086</v>
      </c>
      <c r="C1734" s="211" t="s">
        <v>7087</v>
      </c>
      <c r="D1734" s="195" t="str">
        <f>IFERROR(__xludf.DUMMYFUNCTION("ARRAYFORMULA(LET( converted, SUBSTITUTE( SUBSTITUTE( SUBSTITUTE( SUBSTITUTE( SUBSTITUTE( SUBSTITUTE( SUBSTITUTE( SUBSTITUTE( SUBSTITUTE( SUBSTITUTE( C1734, ""۰"", ""0""), ""۱"", ""1""), ""۲"", ""2""), ""۳"", ""3""), ""۴"", ""4""), ""۵"", ""5""), ""۶"", """&amp;"6""), ""۷"", ""7""), ""۸"", ""8""), ""۹"", ""9""), IF(LEFT(converted,3)=""+98"", ""0"" &amp; RIGHT(converted, LEN(converted)-3), IF(LEFT(converted,2)=""98"", ""0"" &amp; RIGHT(converted, LEN(converted)-2), IF(LEFT(converted,1)&lt;&gt;""0"", ""0"" &amp; converted, REGEXREPL"&amp;"ACE(converted , ""\s"", """")) ) ) ) )"),"09304914951")</f>
        <v>09304914951</v>
      </c>
      <c r="E1734" s="196" t="s">
        <v>17</v>
      </c>
      <c r="F1734" s="221">
        <v>16.0</v>
      </c>
      <c r="G1734" s="193"/>
      <c r="H1734" s="212" t="s">
        <v>7088</v>
      </c>
      <c r="I1734" s="211" t="s">
        <v>7089</v>
      </c>
      <c r="J1734" s="194"/>
      <c r="K1734" s="199" t="s">
        <v>1004</v>
      </c>
      <c r="L1734" s="199" t="s">
        <v>7090</v>
      </c>
      <c r="M1734" s="193"/>
      <c r="N1734" s="193"/>
      <c r="O1734" s="193"/>
      <c r="P1734" s="199" t="s">
        <v>4996</v>
      </c>
      <c r="Q1734" s="218" t="s">
        <v>6766</v>
      </c>
      <c r="R1734" s="86"/>
      <c r="S1734" s="114">
        <f t="shared" ref="S1734:T1734" si="1736">A1734</f>
        <v>1734</v>
      </c>
      <c r="T1734" s="114" t="str">
        <f t="shared" si="1736"/>
        <v>حامد نجم الدین</v>
      </c>
      <c r="U1734" s="86" t="str">
        <f t="shared" si="3"/>
        <v>09304914951</v>
      </c>
      <c r="V1734" s="86" t="str">
        <f t="shared" si="4"/>
        <v>پیش‌وایی 16</v>
      </c>
      <c r="W1734" s="86"/>
      <c r="X1734" s="86"/>
    </row>
    <row r="1735">
      <c r="A1735" s="201">
        <v>1735.0</v>
      </c>
      <c r="B1735" s="202" t="s">
        <v>7091</v>
      </c>
      <c r="C1735" s="210" t="s">
        <v>7092</v>
      </c>
      <c r="D1735" s="204" t="str">
        <f>IFERROR(__xludf.DUMMYFUNCTION("ARRAYFORMULA(LET( converted, SUBSTITUTE( SUBSTITUTE( SUBSTITUTE( SUBSTITUTE( SUBSTITUTE( SUBSTITUTE( SUBSTITUTE( SUBSTITUTE( SUBSTITUTE( SUBSTITUTE( C1735, ""۰"", ""0""), ""۱"", ""1""), ""۲"", ""2""), ""۳"", ""3""), ""۴"", ""4""), ""۵"", ""5""), ""۶"", """&amp;"6""), ""۷"", ""7""), ""۸"", ""8""), ""۹"", ""9""), IF(LEFT(converted,3)=""+98"", ""0"" &amp; RIGHT(converted, LEN(converted)-3), IF(LEFT(converted,2)=""98"", ""0"" &amp; RIGHT(converted, LEN(converted)-2), IF(LEFT(converted,1)&lt;&gt;""0"", ""0"" &amp; converted, REGEXREPL"&amp;"ACE(converted , ""\s"", """")) ) ) ) )"),"09157571200")</f>
        <v>09157571200</v>
      </c>
      <c r="E1735" s="205" t="s">
        <v>17</v>
      </c>
      <c r="F1735" s="214">
        <v>16.0</v>
      </c>
      <c r="G1735" s="202"/>
      <c r="H1735" s="213" t="s">
        <v>7093</v>
      </c>
      <c r="I1735" s="210" t="s">
        <v>7094</v>
      </c>
      <c r="J1735" s="203"/>
      <c r="K1735" s="207" t="s">
        <v>896</v>
      </c>
      <c r="L1735" s="207" t="s">
        <v>6382</v>
      </c>
      <c r="M1735" s="202"/>
      <c r="N1735" s="202"/>
      <c r="O1735" s="202"/>
      <c r="P1735" s="202"/>
      <c r="Q1735" s="216" t="s">
        <v>6766</v>
      </c>
      <c r="R1735" s="86"/>
      <c r="S1735" s="114">
        <f t="shared" ref="S1735:T1735" si="1737">A1735</f>
        <v>1735</v>
      </c>
      <c r="T1735" s="114" t="str">
        <f t="shared" si="1737"/>
        <v>حسین غفوریان</v>
      </c>
      <c r="U1735" s="86" t="str">
        <f t="shared" si="3"/>
        <v>09157571200</v>
      </c>
      <c r="V1735" s="86" t="str">
        <f t="shared" si="4"/>
        <v>پیش‌وایی 16</v>
      </c>
      <c r="W1735" s="86"/>
      <c r="X1735" s="86"/>
    </row>
    <row r="1736">
      <c r="A1736" s="192">
        <v>1736.0</v>
      </c>
      <c r="B1736" s="193" t="s">
        <v>7095</v>
      </c>
      <c r="C1736" s="211" t="s">
        <v>7096</v>
      </c>
      <c r="D1736" s="195" t="str">
        <f>IFERROR(__xludf.DUMMYFUNCTION("ARRAYFORMULA(LET( converted, SUBSTITUTE( SUBSTITUTE( SUBSTITUTE( SUBSTITUTE( SUBSTITUTE( SUBSTITUTE( SUBSTITUTE( SUBSTITUTE( SUBSTITUTE( SUBSTITUTE( C1736, ""۰"", ""0""), ""۱"", ""1""), ""۲"", ""2""), ""۳"", ""3""), ""۴"", ""4""), ""۵"", ""5""), ""۶"", """&amp;"6""), ""۷"", ""7""), ""۸"", ""8""), ""۹"", ""9""), IF(LEFT(converted,3)=""+98"", ""0"" &amp; RIGHT(converted, LEN(converted)-3), IF(LEFT(converted,2)=""98"", ""0"" &amp; RIGHT(converted, LEN(converted)-2), IF(LEFT(converted,1)&lt;&gt;""0"", ""0"" &amp; converted, REGEXREPL"&amp;"ACE(converted , ""\s"", """")) ) ) ) )"),"09190677151")</f>
        <v>09190677151</v>
      </c>
      <c r="E1736" s="196" t="s">
        <v>17</v>
      </c>
      <c r="F1736" s="221">
        <v>16.0</v>
      </c>
      <c r="G1736" s="193"/>
      <c r="H1736" s="212" t="s">
        <v>7097</v>
      </c>
      <c r="I1736" s="211" t="s">
        <v>7098</v>
      </c>
      <c r="J1736" s="194"/>
      <c r="K1736" s="199" t="s">
        <v>896</v>
      </c>
      <c r="L1736" s="199" t="s">
        <v>7099</v>
      </c>
      <c r="M1736" s="193"/>
      <c r="N1736" s="193"/>
      <c r="O1736" s="193"/>
      <c r="P1736" s="193"/>
      <c r="Q1736" s="218" t="s">
        <v>6766</v>
      </c>
      <c r="R1736" s="86"/>
      <c r="S1736" s="114">
        <f t="shared" ref="S1736:T1736" si="1738">A1736</f>
        <v>1736</v>
      </c>
      <c r="T1736" s="114" t="str">
        <f t="shared" si="1738"/>
        <v>حسین حبیبی</v>
      </c>
      <c r="U1736" s="86" t="str">
        <f t="shared" si="3"/>
        <v>09190677151</v>
      </c>
      <c r="V1736" s="86" t="str">
        <f t="shared" si="4"/>
        <v>پیش‌وایی 16</v>
      </c>
      <c r="W1736" s="86"/>
      <c r="X1736" s="86"/>
    </row>
    <row r="1737">
      <c r="A1737" s="201">
        <v>1737.0</v>
      </c>
      <c r="B1737" s="202" t="s">
        <v>7100</v>
      </c>
      <c r="C1737" s="210" t="s">
        <v>7101</v>
      </c>
      <c r="D1737" s="204" t="str">
        <f>IFERROR(__xludf.DUMMYFUNCTION("ARRAYFORMULA(LET( converted, SUBSTITUTE( SUBSTITUTE( SUBSTITUTE( SUBSTITUTE( SUBSTITUTE( SUBSTITUTE( SUBSTITUTE( SUBSTITUTE( SUBSTITUTE( SUBSTITUTE( C1737, ""۰"", ""0""), ""۱"", ""1""), ""۲"", ""2""), ""۳"", ""3""), ""۴"", ""4""), ""۵"", ""5""), ""۶"", """&amp;"6""), ""۷"", ""7""), ""۸"", ""8""), ""۹"", ""9""), IF(LEFT(converted,3)=""+98"", ""0"" &amp; RIGHT(converted, LEN(converted)-3), IF(LEFT(converted,2)=""98"", ""0"" &amp; RIGHT(converted, LEN(converted)-2), IF(LEFT(converted,1)&lt;&gt;""0"", ""0"" &amp; converted, REGEXREPL"&amp;"ACE(converted , ""\s"", """")) ) ) ) )"),"09192413296")</f>
        <v>09192413296</v>
      </c>
      <c r="E1737" s="205" t="s">
        <v>17</v>
      </c>
      <c r="F1737" s="214">
        <v>16.0</v>
      </c>
      <c r="G1737" s="202"/>
      <c r="H1737" s="213" t="s">
        <v>7102</v>
      </c>
      <c r="I1737" s="210" t="s">
        <v>7103</v>
      </c>
      <c r="J1737" s="203"/>
      <c r="K1737" s="207" t="s">
        <v>1419</v>
      </c>
      <c r="L1737" s="207" t="s">
        <v>2485</v>
      </c>
      <c r="M1737" s="202"/>
      <c r="N1737" s="202"/>
      <c r="O1737" s="202"/>
      <c r="P1737" s="202"/>
      <c r="Q1737" s="216" t="s">
        <v>6766</v>
      </c>
      <c r="R1737" s="86"/>
      <c r="S1737" s="114">
        <f t="shared" ref="S1737:T1737" si="1739">A1737</f>
        <v>1737</v>
      </c>
      <c r="T1737" s="114" t="str">
        <f t="shared" si="1739"/>
        <v>رسول اسماعیلی</v>
      </c>
      <c r="U1737" s="86" t="str">
        <f t="shared" si="3"/>
        <v>09192413296</v>
      </c>
      <c r="V1737" s="86" t="str">
        <f t="shared" si="4"/>
        <v>پیش‌وایی 16</v>
      </c>
      <c r="W1737" s="86"/>
      <c r="X1737" s="86"/>
    </row>
    <row r="1738">
      <c r="A1738" s="192">
        <v>1738.0</v>
      </c>
      <c r="B1738" s="193" t="s">
        <v>6698</v>
      </c>
      <c r="C1738" s="211" t="s">
        <v>6699</v>
      </c>
      <c r="D1738" s="195" t="str">
        <f>IFERROR(__xludf.DUMMYFUNCTION("ARRAYFORMULA(LET( converted, SUBSTITUTE( SUBSTITUTE( SUBSTITUTE( SUBSTITUTE( SUBSTITUTE( SUBSTITUTE( SUBSTITUTE( SUBSTITUTE( SUBSTITUTE( SUBSTITUTE( C1738, ""۰"", ""0""), ""۱"", ""1""), ""۲"", ""2""), ""۳"", ""3""), ""۴"", ""4""), ""۵"", ""5""), ""۶"", """&amp;"6""), ""۷"", ""7""), ""۸"", ""8""), ""۹"", ""9""), IF(LEFT(converted,3)=""+98"", ""0"" &amp; RIGHT(converted, LEN(converted)-3), IF(LEFT(converted,2)=""98"", ""0"" &amp; RIGHT(converted, LEN(converted)-2), IF(LEFT(converted,1)&lt;&gt;""0"", ""0"" &amp; converted, REGEXREPL"&amp;"ACE(converted , ""\s"", """")) ) ) ) )"),"09335056813")</f>
        <v>09335056813</v>
      </c>
      <c r="E1738" s="196" t="s">
        <v>17</v>
      </c>
      <c r="F1738" s="221">
        <v>16.0</v>
      </c>
      <c r="G1738" s="193"/>
      <c r="H1738" s="212" t="s">
        <v>6700</v>
      </c>
      <c r="I1738" s="211" t="s">
        <v>7104</v>
      </c>
      <c r="J1738" s="194"/>
      <c r="K1738" s="199" t="s">
        <v>2367</v>
      </c>
      <c r="L1738" s="199" t="s">
        <v>2816</v>
      </c>
      <c r="M1738" s="193"/>
      <c r="N1738" s="193"/>
      <c r="O1738" s="193"/>
      <c r="P1738" s="193"/>
      <c r="Q1738" s="218" t="s">
        <v>6766</v>
      </c>
      <c r="R1738" s="86"/>
      <c r="S1738" s="114">
        <f t="shared" ref="S1738:T1738" si="1740">A1738</f>
        <v>1738</v>
      </c>
      <c r="T1738" s="114" t="str">
        <f t="shared" si="1740"/>
        <v>سروش رضایی</v>
      </c>
      <c r="U1738" s="86" t="str">
        <f t="shared" si="3"/>
        <v>09335056813</v>
      </c>
      <c r="V1738" s="86" t="str">
        <f t="shared" si="4"/>
        <v>پیش‌وایی 16</v>
      </c>
      <c r="W1738" s="86"/>
      <c r="X1738" s="86"/>
    </row>
    <row r="1739">
      <c r="A1739" s="201">
        <v>1739.0</v>
      </c>
      <c r="B1739" s="202" t="s">
        <v>7105</v>
      </c>
      <c r="C1739" s="210" t="s">
        <v>7106</v>
      </c>
      <c r="D1739" s="204" t="str">
        <f>IFERROR(__xludf.DUMMYFUNCTION("ARRAYFORMULA(LET( converted, SUBSTITUTE( SUBSTITUTE( SUBSTITUTE( SUBSTITUTE( SUBSTITUTE( SUBSTITUTE( SUBSTITUTE( SUBSTITUTE( SUBSTITUTE( SUBSTITUTE( C1739, ""۰"", ""0""), ""۱"", ""1""), ""۲"", ""2""), ""۳"", ""3""), ""۴"", ""4""), ""۵"", ""5""), ""۶"", """&amp;"6""), ""۷"", ""7""), ""۸"", ""8""), ""۹"", ""9""), IF(LEFT(converted,3)=""+98"", ""0"" &amp; RIGHT(converted, LEN(converted)-3), IF(LEFT(converted,2)=""98"", ""0"" &amp; RIGHT(converted, LEN(converted)-2), IF(LEFT(converted,1)&lt;&gt;""0"", ""0"" &amp; converted, REGEXREPL"&amp;"ACE(converted , ""\s"", """")) ) ) ) )"),"09128133197")</f>
        <v>09128133197</v>
      </c>
      <c r="E1739" s="205" t="s">
        <v>17</v>
      </c>
      <c r="F1739" s="214">
        <v>16.0</v>
      </c>
      <c r="G1739" s="202"/>
      <c r="H1739" s="213" t="s">
        <v>7107</v>
      </c>
      <c r="I1739" s="210" t="s">
        <v>7108</v>
      </c>
      <c r="J1739" s="203"/>
      <c r="K1739" s="207" t="s">
        <v>1576</v>
      </c>
      <c r="L1739" s="207" t="s">
        <v>4452</v>
      </c>
      <c r="M1739" s="202"/>
      <c r="N1739" s="202"/>
      <c r="O1739" s="202"/>
      <c r="P1739" s="202"/>
      <c r="Q1739" s="216" t="s">
        <v>6766</v>
      </c>
      <c r="R1739" s="86"/>
      <c r="S1739" s="114">
        <f t="shared" ref="S1739:T1739" si="1741">A1739</f>
        <v>1739</v>
      </c>
      <c r="T1739" s="114" t="str">
        <f t="shared" si="1741"/>
        <v>سمانه رمضانی</v>
      </c>
      <c r="U1739" s="86" t="str">
        <f t="shared" si="3"/>
        <v>09128133197</v>
      </c>
      <c r="V1739" s="86" t="str">
        <f t="shared" si="4"/>
        <v>پیش‌وایی 16</v>
      </c>
      <c r="W1739" s="86"/>
      <c r="X1739" s="86"/>
    </row>
    <row r="1740">
      <c r="A1740" s="192">
        <v>1740.0</v>
      </c>
      <c r="B1740" s="193" t="s">
        <v>7109</v>
      </c>
      <c r="C1740" s="211" t="s">
        <v>7110</v>
      </c>
      <c r="D1740" s="195" t="str">
        <f>IFERROR(__xludf.DUMMYFUNCTION("ARRAYFORMULA(LET( converted, SUBSTITUTE( SUBSTITUTE( SUBSTITUTE( SUBSTITUTE( SUBSTITUTE( SUBSTITUTE( SUBSTITUTE( SUBSTITUTE( SUBSTITUTE( SUBSTITUTE( C1740, ""۰"", ""0""), ""۱"", ""1""), ""۲"", ""2""), ""۳"", ""3""), ""۴"", ""4""), ""۵"", ""5""), ""۶"", """&amp;"6""), ""۷"", ""7""), ""۸"", ""8""), ""۹"", ""9""), IF(LEFT(converted,3)=""+98"", ""0"" &amp; RIGHT(converted, LEN(converted)-3), IF(LEFT(converted,2)=""98"", ""0"" &amp; RIGHT(converted, LEN(converted)-2), IF(LEFT(converted,1)&lt;&gt;""0"", ""0"" &amp; converted, REGEXREPL"&amp;"ACE(converted , ""\s"", """")) ) ) ) )"),"09024852157")</f>
        <v>09024852157</v>
      </c>
      <c r="E1740" s="196" t="s">
        <v>17</v>
      </c>
      <c r="F1740" s="221">
        <v>16.0</v>
      </c>
      <c r="G1740" s="193"/>
      <c r="H1740" s="212" t="s">
        <v>7111</v>
      </c>
      <c r="I1740" s="211" t="s">
        <v>7112</v>
      </c>
      <c r="J1740" s="194"/>
      <c r="K1740" s="199" t="s">
        <v>1810</v>
      </c>
      <c r="L1740" s="199" t="s">
        <v>6719</v>
      </c>
      <c r="M1740" s="193"/>
      <c r="N1740" s="193"/>
      <c r="O1740" s="193"/>
      <c r="P1740" s="193"/>
      <c r="Q1740" s="218" t="s">
        <v>6766</v>
      </c>
      <c r="R1740" s="86"/>
      <c r="S1740" s="114">
        <f t="shared" ref="S1740:T1740" si="1742">A1740</f>
        <v>1740</v>
      </c>
      <c r="T1740" s="114" t="str">
        <f t="shared" si="1742"/>
        <v>سمیه اسماعیل پور</v>
      </c>
      <c r="U1740" s="86" t="str">
        <f t="shared" si="3"/>
        <v>09024852157</v>
      </c>
      <c r="V1740" s="86" t="str">
        <f t="shared" si="4"/>
        <v>پیش‌وایی 16</v>
      </c>
      <c r="W1740" s="86"/>
      <c r="X1740" s="86"/>
    </row>
    <row r="1741">
      <c r="A1741" s="201">
        <v>1741.0</v>
      </c>
      <c r="B1741" s="202" t="s">
        <v>7113</v>
      </c>
      <c r="C1741" s="210" t="s">
        <v>7114</v>
      </c>
      <c r="D1741" s="204" t="str">
        <f>IFERROR(__xludf.DUMMYFUNCTION("ARRAYFORMULA(LET( converted, SUBSTITUTE( SUBSTITUTE( SUBSTITUTE( SUBSTITUTE( SUBSTITUTE( SUBSTITUTE( SUBSTITUTE( SUBSTITUTE( SUBSTITUTE( SUBSTITUTE( C1741, ""۰"", ""0""), ""۱"", ""1""), ""۲"", ""2""), ""۳"", ""3""), ""۴"", ""4""), ""۵"", ""5""), ""۶"", """&amp;"6""), ""۷"", ""7""), ""۸"", ""8""), ""۹"", ""9""), IF(LEFT(converted,3)=""+98"", ""0"" &amp; RIGHT(converted, LEN(converted)-3), IF(LEFT(converted,2)=""98"", ""0"" &amp; RIGHT(converted, LEN(converted)-2), IF(LEFT(converted,1)&lt;&gt;""0"", ""0"" &amp; converted, REGEXREPL"&amp;"ACE(converted , ""\s"", """")) ) ) ) )"),"09127522603")</f>
        <v>09127522603</v>
      </c>
      <c r="E1741" s="205" t="s">
        <v>17</v>
      </c>
      <c r="F1741" s="214">
        <v>16.0</v>
      </c>
      <c r="G1741" s="202"/>
      <c r="H1741" s="213" t="s">
        <v>7115</v>
      </c>
      <c r="I1741" s="210" t="s">
        <v>7116</v>
      </c>
      <c r="J1741" s="203"/>
      <c r="K1741" s="207" t="s">
        <v>3312</v>
      </c>
      <c r="L1741" s="207" t="s">
        <v>231</v>
      </c>
      <c r="M1741" s="202"/>
      <c r="N1741" s="202"/>
      <c r="O1741" s="202"/>
      <c r="P1741" s="207" t="s">
        <v>7117</v>
      </c>
      <c r="Q1741" s="216" t="s">
        <v>6766</v>
      </c>
      <c r="R1741" s="86"/>
      <c r="S1741" s="114">
        <f t="shared" ref="S1741:T1741" si="1743">A1741</f>
        <v>1741</v>
      </c>
      <c r="T1741" s="114" t="str">
        <f t="shared" si="1743"/>
        <v>سید احمد موسوی</v>
      </c>
      <c r="U1741" s="86" t="str">
        <f t="shared" si="3"/>
        <v>09127522603</v>
      </c>
      <c r="V1741" s="86" t="str">
        <f t="shared" si="4"/>
        <v>پیش‌وایی 16</v>
      </c>
      <c r="W1741" s="86"/>
      <c r="X1741" s="86"/>
    </row>
    <row r="1742">
      <c r="A1742" s="192">
        <v>1742.0</v>
      </c>
      <c r="B1742" s="193" t="s">
        <v>7118</v>
      </c>
      <c r="C1742" s="211" t="s">
        <v>7119</v>
      </c>
      <c r="D1742" s="195" t="str">
        <f>IFERROR(__xludf.DUMMYFUNCTION("ARRAYFORMULA(LET( converted, SUBSTITUTE( SUBSTITUTE( SUBSTITUTE( SUBSTITUTE( SUBSTITUTE( SUBSTITUTE( SUBSTITUTE( SUBSTITUTE( SUBSTITUTE( SUBSTITUTE( C1742, ""۰"", ""0""), ""۱"", ""1""), ""۲"", ""2""), ""۳"", ""3""), ""۴"", ""4""), ""۵"", ""5""), ""۶"", """&amp;"6""), ""۷"", ""7""), ""۸"", ""8""), ""۹"", ""9""), IF(LEFT(converted,3)=""+98"", ""0"" &amp; RIGHT(converted, LEN(converted)-3), IF(LEFT(converted,2)=""98"", ""0"" &amp; RIGHT(converted, LEN(converted)-2), IF(LEFT(converted,1)&lt;&gt;""0"", ""0"" &amp; converted, REGEXREPL"&amp;"ACE(converted , ""\s"", """")) ) ) ) )"),"09151877035")</f>
        <v>09151877035</v>
      </c>
      <c r="E1742" s="196" t="s">
        <v>17</v>
      </c>
      <c r="F1742" s="221">
        <v>16.0</v>
      </c>
      <c r="G1742" s="193"/>
      <c r="H1742" s="212" t="s">
        <v>7120</v>
      </c>
      <c r="I1742" s="224" t="s">
        <v>7121</v>
      </c>
      <c r="J1742" s="194"/>
      <c r="K1742" s="199" t="s">
        <v>7122</v>
      </c>
      <c r="L1742" s="199" t="s">
        <v>7123</v>
      </c>
      <c r="M1742" s="193"/>
      <c r="N1742" s="193"/>
      <c r="O1742" s="193"/>
      <c r="P1742" s="193"/>
      <c r="Q1742" s="218" t="s">
        <v>6766</v>
      </c>
      <c r="R1742" s="86"/>
      <c r="S1742" s="114">
        <f t="shared" ref="S1742:T1742" si="1744">A1742</f>
        <v>1742</v>
      </c>
      <c r="T1742" s="114" t="str">
        <f t="shared" si="1744"/>
        <v>سیما پرستار طوسی</v>
      </c>
      <c r="U1742" s="86" t="str">
        <f t="shared" si="3"/>
        <v>09151877035</v>
      </c>
      <c r="V1742" s="86" t="str">
        <f t="shared" si="4"/>
        <v>پیش‌وایی 16</v>
      </c>
      <c r="W1742" s="86"/>
      <c r="X1742" s="86"/>
    </row>
    <row r="1743">
      <c r="A1743" s="201">
        <v>1743.0</v>
      </c>
      <c r="B1743" s="202" t="s">
        <v>7124</v>
      </c>
      <c r="C1743" s="210" t="s">
        <v>7125</v>
      </c>
      <c r="D1743" s="204" t="str">
        <f>IFERROR(__xludf.DUMMYFUNCTION("ARRAYFORMULA(LET( converted, SUBSTITUTE( SUBSTITUTE( SUBSTITUTE( SUBSTITUTE( SUBSTITUTE( SUBSTITUTE( SUBSTITUTE( SUBSTITUTE( SUBSTITUTE( SUBSTITUTE( C1743, ""۰"", ""0""), ""۱"", ""1""), ""۲"", ""2""), ""۳"", ""3""), ""۴"", ""4""), ""۵"", ""5""), ""۶"", """&amp;"6""), ""۷"", ""7""), ""۸"", ""8""), ""۹"", ""9""), IF(LEFT(converted,3)=""+98"", ""0"" &amp; RIGHT(converted, LEN(converted)-3), IF(LEFT(converted,2)=""98"", ""0"" &amp; RIGHT(converted, LEN(converted)-2), IF(LEFT(converted,1)&lt;&gt;""0"", ""0"" &amp; converted, REGEXREPL"&amp;"ACE(converted , ""\s"", """")) ) ) ) )"),"09125984866")</f>
        <v>09125984866</v>
      </c>
      <c r="E1743" s="205" t="s">
        <v>17</v>
      </c>
      <c r="F1743" s="214">
        <v>16.0</v>
      </c>
      <c r="G1743" s="202"/>
      <c r="H1743" s="213" t="s">
        <v>7126</v>
      </c>
      <c r="I1743" s="210" t="s">
        <v>7127</v>
      </c>
      <c r="J1743" s="203"/>
      <c r="K1743" s="207" t="s">
        <v>4209</v>
      </c>
      <c r="L1743" s="207" t="s">
        <v>1698</v>
      </c>
      <c r="M1743" s="202"/>
      <c r="N1743" s="202"/>
      <c r="O1743" s="202"/>
      <c r="P1743" s="202"/>
      <c r="Q1743" s="216" t="s">
        <v>6766</v>
      </c>
      <c r="R1743" s="86"/>
      <c r="S1743" s="114">
        <f t="shared" ref="S1743:T1743" si="1745">A1743</f>
        <v>1743</v>
      </c>
      <c r="T1743" s="114" t="str">
        <f t="shared" si="1745"/>
        <v>شاهرخ طالبی</v>
      </c>
      <c r="U1743" s="86" t="str">
        <f t="shared" si="3"/>
        <v>09125984866</v>
      </c>
      <c r="V1743" s="86" t="str">
        <f t="shared" si="4"/>
        <v>پیش‌وایی 16</v>
      </c>
      <c r="W1743" s="86"/>
      <c r="X1743" s="86"/>
    </row>
    <row r="1744">
      <c r="A1744" s="192">
        <v>1744.0</v>
      </c>
      <c r="B1744" s="193" t="s">
        <v>7128</v>
      </c>
      <c r="C1744" s="211" t="s">
        <v>7129</v>
      </c>
      <c r="D1744" s="195" t="str">
        <f>IFERROR(__xludf.DUMMYFUNCTION("ARRAYFORMULA(LET( converted, SUBSTITUTE( SUBSTITUTE( SUBSTITUTE( SUBSTITUTE( SUBSTITUTE( SUBSTITUTE( SUBSTITUTE( SUBSTITUTE( SUBSTITUTE( SUBSTITUTE( C1744, ""۰"", ""0""), ""۱"", ""1""), ""۲"", ""2""), ""۳"", ""3""), ""۴"", ""4""), ""۵"", ""5""), ""۶"", """&amp;"6""), ""۷"", ""7""), ""۸"", ""8""), ""۹"", ""9""), IF(LEFT(converted,3)=""+98"", ""0"" &amp; RIGHT(converted, LEN(converted)-3), IF(LEFT(converted,2)=""98"", ""0"" &amp; RIGHT(converted, LEN(converted)-2), IF(LEFT(converted,1)&lt;&gt;""0"", ""0"" &amp; converted, REGEXREPL"&amp;"ACE(converted , ""\s"", """")) ) ) ) )"),"09127217935")</f>
        <v>09127217935</v>
      </c>
      <c r="E1744" s="196" t="s">
        <v>17</v>
      </c>
      <c r="F1744" s="221">
        <v>16.0</v>
      </c>
      <c r="G1744" s="193"/>
      <c r="H1744" s="212" t="s">
        <v>7130</v>
      </c>
      <c r="I1744" s="224" t="s">
        <v>7131</v>
      </c>
      <c r="J1744" s="194"/>
      <c r="K1744" s="199" t="s">
        <v>2291</v>
      </c>
      <c r="L1744" s="199" t="s">
        <v>2184</v>
      </c>
      <c r="M1744" s="193"/>
      <c r="N1744" s="193"/>
      <c r="O1744" s="193"/>
      <c r="P1744" s="193"/>
      <c r="Q1744" s="218" t="s">
        <v>6766</v>
      </c>
      <c r="R1744" s="86"/>
      <c r="S1744" s="114">
        <f t="shared" ref="S1744:T1744" si="1746">A1744</f>
        <v>1744</v>
      </c>
      <c r="T1744" s="114" t="str">
        <f t="shared" si="1746"/>
        <v>شهلا میرزایی</v>
      </c>
      <c r="U1744" s="86" t="str">
        <f t="shared" si="3"/>
        <v>09127217935</v>
      </c>
      <c r="V1744" s="86" t="str">
        <f t="shared" si="4"/>
        <v>پیش‌وایی 16</v>
      </c>
      <c r="W1744" s="86"/>
      <c r="X1744" s="86"/>
    </row>
    <row r="1745">
      <c r="A1745" s="201">
        <v>1745.0</v>
      </c>
      <c r="B1745" s="202" t="s">
        <v>7132</v>
      </c>
      <c r="C1745" s="210" t="s">
        <v>7133</v>
      </c>
      <c r="D1745" s="204" t="str">
        <f>IFERROR(__xludf.DUMMYFUNCTION("ARRAYFORMULA(LET( converted, SUBSTITUTE( SUBSTITUTE( SUBSTITUTE( SUBSTITUTE( SUBSTITUTE( SUBSTITUTE( SUBSTITUTE( SUBSTITUTE( SUBSTITUTE( SUBSTITUTE( C1745, ""۰"", ""0""), ""۱"", ""1""), ""۲"", ""2""), ""۳"", ""3""), ""۴"", ""4""), ""۵"", ""5""), ""۶"", """&amp;"6""), ""۷"", ""7""), ""۸"", ""8""), ""۹"", ""9""), IF(LEFT(converted,3)=""+98"", ""0"" &amp; RIGHT(converted, LEN(converted)-3), IF(LEFT(converted,2)=""98"", ""0"" &amp; RIGHT(converted, LEN(converted)-2), IF(LEFT(converted,1)&lt;&gt;""0"", ""0"" &amp; converted, REGEXREPL"&amp;"ACE(converted , ""\s"", """")) ) ) ) )"),"09158859790")</f>
        <v>09158859790</v>
      </c>
      <c r="E1745" s="205" t="s">
        <v>17</v>
      </c>
      <c r="F1745" s="214">
        <v>16.0</v>
      </c>
      <c r="G1745" s="202"/>
      <c r="H1745" s="213" t="s">
        <v>7134</v>
      </c>
      <c r="I1745" s="210" t="s">
        <v>7135</v>
      </c>
      <c r="J1745" s="203"/>
      <c r="K1745" s="207" t="s">
        <v>1018</v>
      </c>
      <c r="L1745" s="207" t="s">
        <v>3923</v>
      </c>
      <c r="M1745" s="202"/>
      <c r="N1745" s="202"/>
      <c r="O1745" s="202"/>
      <c r="P1745" s="207" t="s">
        <v>7136</v>
      </c>
      <c r="Q1745" s="216" t="s">
        <v>6766</v>
      </c>
      <c r="R1745" s="86"/>
      <c r="S1745" s="114">
        <f t="shared" ref="S1745:T1745" si="1747">A1745</f>
        <v>1745</v>
      </c>
      <c r="T1745" s="114" t="str">
        <f t="shared" si="1747"/>
        <v>علی عسگری</v>
      </c>
      <c r="U1745" s="86" t="str">
        <f t="shared" si="3"/>
        <v>09158859790</v>
      </c>
      <c r="V1745" s="86" t="str">
        <f t="shared" si="4"/>
        <v>پیش‌وایی 16</v>
      </c>
      <c r="W1745" s="86"/>
      <c r="X1745" s="86"/>
    </row>
    <row r="1746">
      <c r="A1746" s="192">
        <v>1746.0</v>
      </c>
      <c r="B1746" s="193" t="s">
        <v>7137</v>
      </c>
      <c r="C1746" s="211" t="s">
        <v>7138</v>
      </c>
      <c r="D1746" s="195" t="str">
        <f>IFERROR(__xludf.DUMMYFUNCTION("ARRAYFORMULA(LET( converted, SUBSTITUTE( SUBSTITUTE( SUBSTITUTE( SUBSTITUTE( SUBSTITUTE( SUBSTITUTE( SUBSTITUTE( SUBSTITUTE( SUBSTITUTE( SUBSTITUTE( C1746, ""۰"", ""0""), ""۱"", ""1""), ""۲"", ""2""), ""۳"", ""3""), ""۴"", ""4""), ""۵"", ""5""), ""۶"", """&amp;"6""), ""۷"", ""7""), ""۸"", ""8""), ""۹"", ""9""), IF(LEFT(converted,3)=""+98"", ""0"" &amp; RIGHT(converted, LEN(converted)-3), IF(LEFT(converted,2)=""98"", ""0"" &amp; RIGHT(converted, LEN(converted)-2), IF(LEFT(converted,1)&lt;&gt;""0"", ""0"" &amp; converted, REGEXREPL"&amp;"ACE(converted , ""\s"", """")) ) ) ) )"),"09027223818")</f>
        <v>09027223818</v>
      </c>
      <c r="E1746" s="196" t="s">
        <v>17</v>
      </c>
      <c r="F1746" s="221">
        <v>16.0</v>
      </c>
      <c r="G1746" s="193"/>
      <c r="H1746" s="212" t="s">
        <v>7139</v>
      </c>
      <c r="I1746" s="211" t="s">
        <v>7140</v>
      </c>
      <c r="J1746" s="194"/>
      <c r="K1746" s="199" t="s">
        <v>1018</v>
      </c>
      <c r="L1746" s="199" t="s">
        <v>7141</v>
      </c>
      <c r="M1746" s="193"/>
      <c r="N1746" s="193"/>
      <c r="O1746" s="193"/>
      <c r="P1746" s="193"/>
      <c r="Q1746" s="218" t="s">
        <v>6766</v>
      </c>
      <c r="R1746" s="86"/>
      <c r="S1746" s="114">
        <f t="shared" ref="S1746:T1746" si="1748">A1746</f>
        <v>1746</v>
      </c>
      <c r="T1746" s="114" t="str">
        <f t="shared" si="1748"/>
        <v>علی ملک نسب</v>
      </c>
      <c r="U1746" s="86" t="str">
        <f t="shared" si="3"/>
        <v>09027223818</v>
      </c>
      <c r="V1746" s="86" t="str">
        <f t="shared" si="4"/>
        <v>پیش‌وایی 16</v>
      </c>
      <c r="W1746" s="86"/>
      <c r="X1746" s="86"/>
    </row>
    <row r="1747">
      <c r="A1747" s="201">
        <v>1747.0</v>
      </c>
      <c r="B1747" s="202" t="s">
        <v>7142</v>
      </c>
      <c r="C1747" s="210" t="s">
        <v>7143</v>
      </c>
      <c r="D1747" s="204" t="str">
        <f>IFERROR(__xludf.DUMMYFUNCTION("ARRAYFORMULA(LET( converted, SUBSTITUTE( SUBSTITUTE( SUBSTITUTE( SUBSTITUTE( SUBSTITUTE( SUBSTITUTE( SUBSTITUTE( SUBSTITUTE( SUBSTITUTE( SUBSTITUTE( C1747, ""۰"", ""0""), ""۱"", ""1""), ""۲"", ""2""), ""۳"", ""3""), ""۴"", ""4""), ""۵"", ""5""), ""۶"", """&amp;"6""), ""۷"", ""7""), ""۸"", ""8""), ""۹"", ""9""), IF(LEFT(converted,3)=""+98"", ""0"" &amp; RIGHT(converted, LEN(converted)-3), IF(LEFT(converted,2)=""98"", ""0"" &amp; RIGHT(converted, LEN(converted)-2), IF(LEFT(converted,1)&lt;&gt;""0"", ""0"" &amp; converted, REGEXREPL"&amp;"ACE(converted , ""\s"", """")) ) ) ) )"),"09905499046")</f>
        <v>09905499046</v>
      </c>
      <c r="E1747" s="205" t="s">
        <v>17</v>
      </c>
      <c r="F1747" s="214">
        <v>16.0</v>
      </c>
      <c r="G1747" s="202"/>
      <c r="H1747" s="202"/>
      <c r="I1747" s="210" t="s">
        <v>7144</v>
      </c>
      <c r="J1747" s="203"/>
      <c r="K1747" s="207" t="s">
        <v>1018</v>
      </c>
      <c r="L1747" s="207" t="s">
        <v>2816</v>
      </c>
      <c r="M1747" s="202"/>
      <c r="N1747" s="202"/>
      <c r="O1747" s="202"/>
      <c r="P1747" s="202"/>
      <c r="Q1747" s="216" t="s">
        <v>6910</v>
      </c>
      <c r="R1747" s="86"/>
      <c r="S1747" s="114">
        <f t="shared" ref="S1747:T1747" si="1749">A1747</f>
        <v>1747</v>
      </c>
      <c r="T1747" s="114" t="str">
        <f t="shared" si="1749"/>
        <v>علی رضایی</v>
      </c>
      <c r="U1747" s="86" t="str">
        <f t="shared" si="3"/>
        <v>09905499046</v>
      </c>
      <c r="V1747" s="86" t="str">
        <f t="shared" si="4"/>
        <v>پیش‌وایی 16</v>
      </c>
      <c r="W1747" s="86"/>
      <c r="X1747" s="86"/>
    </row>
    <row r="1748">
      <c r="A1748" s="192">
        <v>1748.0</v>
      </c>
      <c r="B1748" s="193" t="s">
        <v>2357</v>
      </c>
      <c r="C1748" s="211" t="s">
        <v>7145</v>
      </c>
      <c r="D1748" s="195" t="str">
        <f>IFERROR(__xludf.DUMMYFUNCTION("ARRAYFORMULA(LET( converted, SUBSTITUTE( SUBSTITUTE( SUBSTITUTE( SUBSTITUTE( SUBSTITUTE( SUBSTITUTE( SUBSTITUTE( SUBSTITUTE( SUBSTITUTE( SUBSTITUTE( C1748, ""۰"", ""0""), ""۱"", ""1""), ""۲"", ""2""), ""۳"", ""3""), ""۴"", ""4""), ""۵"", ""5""), ""۶"", """&amp;"6""), ""۷"", ""7""), ""۸"", ""8""), ""۹"", ""9""), IF(LEFT(converted,3)=""+98"", ""0"" &amp; RIGHT(converted, LEN(converted)-3), IF(LEFT(converted,2)=""98"", ""0"" &amp; RIGHT(converted, LEN(converted)-2), IF(LEFT(converted,1)&lt;&gt;""0"", ""0"" &amp; converted, REGEXREPL"&amp;"ACE(converted , ""\s"", """")) ) ) ) )"),"09193766293")</f>
        <v>09193766293</v>
      </c>
      <c r="E1748" s="196" t="s">
        <v>17</v>
      </c>
      <c r="F1748" s="221">
        <v>16.0</v>
      </c>
      <c r="G1748" s="193"/>
      <c r="H1748" s="212" t="s">
        <v>2359</v>
      </c>
      <c r="I1748" s="224" t="s">
        <v>7146</v>
      </c>
      <c r="J1748" s="194"/>
      <c r="K1748" s="199" t="s">
        <v>274</v>
      </c>
      <c r="L1748" s="199" t="s">
        <v>2360</v>
      </c>
      <c r="M1748" s="193"/>
      <c r="N1748" s="193"/>
      <c r="O1748" s="193"/>
      <c r="P1748" s="199" t="s">
        <v>5592</v>
      </c>
      <c r="Q1748" s="218" t="s">
        <v>6766</v>
      </c>
      <c r="R1748" s="86"/>
      <c r="S1748" s="114">
        <f t="shared" ref="S1748:T1748" si="1750">A1748</f>
        <v>1748</v>
      </c>
      <c r="T1748" s="114" t="str">
        <f t="shared" si="1750"/>
        <v>فاطمه حیدر</v>
      </c>
      <c r="U1748" s="86" t="str">
        <f t="shared" si="3"/>
        <v>09193766293</v>
      </c>
      <c r="V1748" s="86" t="str">
        <f t="shared" si="4"/>
        <v>پیش‌وایی 16</v>
      </c>
      <c r="W1748" s="86"/>
      <c r="X1748" s="86"/>
    </row>
    <row r="1749">
      <c r="A1749" s="201">
        <v>1749.0</v>
      </c>
      <c r="B1749" s="202" t="s">
        <v>7147</v>
      </c>
      <c r="C1749" s="210" t="s">
        <v>7148</v>
      </c>
      <c r="D1749" s="204" t="str">
        <f>IFERROR(__xludf.DUMMYFUNCTION("ARRAYFORMULA(LET( converted, SUBSTITUTE( SUBSTITUTE( SUBSTITUTE( SUBSTITUTE( SUBSTITUTE( SUBSTITUTE( SUBSTITUTE( SUBSTITUTE( SUBSTITUTE( SUBSTITUTE( C1749, ""۰"", ""0""), ""۱"", ""1""), ""۲"", ""2""), ""۳"", ""3""), ""۴"", ""4""), ""۵"", ""5""), ""۶"", """&amp;"6""), ""۷"", ""7""), ""۸"", ""8""), ""۹"", ""9""), IF(LEFT(converted,3)=""+98"", ""0"" &amp; RIGHT(converted, LEN(converted)-3), IF(LEFT(converted,2)=""98"", ""0"" &amp; RIGHT(converted, LEN(converted)-2), IF(LEFT(converted,1)&lt;&gt;""0"", ""0"" &amp; converted, REGEXREPL"&amp;"ACE(converted , ""\s"", """")) ) ) ) )"),"09919295108")</f>
        <v>09919295108</v>
      </c>
      <c r="E1749" s="205" t="s">
        <v>17</v>
      </c>
      <c r="F1749" s="214">
        <v>16.0</v>
      </c>
      <c r="G1749" s="202"/>
      <c r="H1749" s="213" t="s">
        <v>7149</v>
      </c>
      <c r="I1749" s="210" t="s">
        <v>7150</v>
      </c>
      <c r="J1749" s="203"/>
      <c r="K1749" s="207" t="s">
        <v>274</v>
      </c>
      <c r="L1749" s="207" t="s">
        <v>7151</v>
      </c>
      <c r="M1749" s="202"/>
      <c r="N1749" s="202"/>
      <c r="O1749" s="202"/>
      <c r="P1749" s="202"/>
      <c r="Q1749" s="216" t="s">
        <v>6766</v>
      </c>
      <c r="R1749" s="86"/>
      <c r="S1749" s="114">
        <f t="shared" ref="S1749:T1749" si="1751">A1749</f>
        <v>1749</v>
      </c>
      <c r="T1749" s="114" t="str">
        <f t="shared" si="1751"/>
        <v>فاطمه محمدرضا بیگی</v>
      </c>
      <c r="U1749" s="86" t="str">
        <f t="shared" si="3"/>
        <v>09919295108</v>
      </c>
      <c r="V1749" s="86" t="str">
        <f t="shared" si="4"/>
        <v>پیش‌وایی 16</v>
      </c>
      <c r="W1749" s="86"/>
      <c r="X1749" s="86"/>
    </row>
    <row r="1750">
      <c r="A1750" s="192">
        <v>1750.0</v>
      </c>
      <c r="B1750" s="193" t="s">
        <v>7152</v>
      </c>
      <c r="C1750" s="211" t="s">
        <v>6764</v>
      </c>
      <c r="D1750" s="195" t="str">
        <f>IFERROR(__xludf.DUMMYFUNCTION("ARRAYFORMULA(LET( converted, SUBSTITUTE( SUBSTITUTE( SUBSTITUTE( SUBSTITUTE( SUBSTITUTE( SUBSTITUTE( SUBSTITUTE( SUBSTITUTE( SUBSTITUTE( SUBSTITUTE( C1750, ""۰"", ""0""), ""۱"", ""1""), ""۲"", ""2""), ""۳"", ""3""), ""۴"", ""4""), ""۵"", ""5""), ""۶"", """&amp;"6""), ""۷"", ""7""), ""۸"", ""8""), ""۹"", ""9""), IF(LEFT(converted,3)=""+98"", ""0"" &amp; RIGHT(converted, LEN(converted)-3), IF(LEFT(converted,2)=""98"", ""0"" &amp; RIGHT(converted, LEN(converted)-2), IF(LEFT(converted,1)&lt;&gt;""0"", ""0"" &amp; converted, REGEXREPL"&amp;"ACE(converted , ""\s"", """")) ) ) ) )"),"09308438392")</f>
        <v>09308438392</v>
      </c>
      <c r="E1750" s="196" t="s">
        <v>17</v>
      </c>
      <c r="F1750" s="221">
        <v>16.0</v>
      </c>
      <c r="G1750" s="193"/>
      <c r="H1750" s="212" t="s">
        <v>282</v>
      </c>
      <c r="I1750" s="211" t="s">
        <v>7153</v>
      </c>
      <c r="J1750" s="194"/>
      <c r="K1750" s="199" t="s">
        <v>274</v>
      </c>
      <c r="L1750" s="199" t="s">
        <v>6270</v>
      </c>
      <c r="M1750" s="193"/>
      <c r="N1750" s="193"/>
      <c r="O1750" s="193"/>
      <c r="P1750" s="193"/>
      <c r="Q1750" s="218" t="s">
        <v>6766</v>
      </c>
      <c r="R1750" s="86"/>
      <c r="S1750" s="114">
        <f t="shared" ref="S1750:T1750" si="1752">A1750</f>
        <v>1750</v>
      </c>
      <c r="T1750" s="114" t="str">
        <f t="shared" si="1752"/>
        <v>فاطمه ولایتی پور</v>
      </c>
      <c r="U1750" s="86" t="str">
        <f t="shared" si="3"/>
        <v>09308438392</v>
      </c>
      <c r="V1750" s="86" t="str">
        <f t="shared" si="4"/>
        <v>پیش‌وایی 16</v>
      </c>
      <c r="W1750" s="86"/>
      <c r="X1750" s="86"/>
    </row>
    <row r="1751">
      <c r="A1751" s="201">
        <v>1751.0</v>
      </c>
      <c r="B1751" s="202" t="s">
        <v>7154</v>
      </c>
      <c r="C1751" s="210" t="s">
        <v>7155</v>
      </c>
      <c r="D1751" s="204" t="str">
        <f>IFERROR(__xludf.DUMMYFUNCTION("ARRAYFORMULA(LET( converted, SUBSTITUTE( SUBSTITUTE( SUBSTITUTE( SUBSTITUTE( SUBSTITUTE( SUBSTITUTE( SUBSTITUTE( SUBSTITUTE( SUBSTITUTE( SUBSTITUTE( C1751, ""۰"", ""0""), ""۱"", ""1""), ""۲"", ""2""), ""۳"", ""3""), ""۴"", ""4""), ""۵"", ""5""), ""۶"", """&amp;"6""), ""۷"", ""7""), ""۸"", ""8""), ""۹"", ""9""), IF(LEFT(converted,3)=""+98"", ""0"" &amp; RIGHT(converted, LEN(converted)-3), IF(LEFT(converted,2)=""98"", ""0"" &amp; RIGHT(converted, LEN(converted)-2), IF(LEFT(converted,1)&lt;&gt;""0"", ""0"" &amp; converted, REGEXREPL"&amp;"ACE(converted , ""\s"", """")) ) ) ) )"),"09125814011")</f>
        <v>09125814011</v>
      </c>
      <c r="E1751" s="205" t="s">
        <v>17</v>
      </c>
      <c r="F1751" s="214">
        <v>16.0</v>
      </c>
      <c r="G1751" s="202"/>
      <c r="H1751" s="202"/>
      <c r="I1751" s="210" t="s">
        <v>7156</v>
      </c>
      <c r="J1751" s="203"/>
      <c r="K1751" s="207" t="s">
        <v>274</v>
      </c>
      <c r="L1751" s="207" t="s">
        <v>7157</v>
      </c>
      <c r="M1751" s="202"/>
      <c r="N1751" s="202"/>
      <c r="O1751" s="202"/>
      <c r="P1751" s="202"/>
      <c r="Q1751" s="216" t="s">
        <v>6766</v>
      </c>
      <c r="R1751" s="86"/>
      <c r="S1751" s="114">
        <f t="shared" ref="S1751:T1751" si="1753">A1751</f>
        <v>1751</v>
      </c>
      <c r="T1751" s="114" t="str">
        <f t="shared" si="1753"/>
        <v>فاطمه توکل زاده</v>
      </c>
      <c r="U1751" s="86" t="str">
        <f t="shared" si="3"/>
        <v>09125814011</v>
      </c>
      <c r="V1751" s="86" t="str">
        <f t="shared" si="4"/>
        <v>پیش‌وایی 16</v>
      </c>
      <c r="W1751" s="86"/>
      <c r="X1751" s="86"/>
    </row>
    <row r="1752">
      <c r="A1752" s="192">
        <v>1752.0</v>
      </c>
      <c r="B1752" s="193" t="s">
        <v>7158</v>
      </c>
      <c r="C1752" s="211" t="s">
        <v>7159</v>
      </c>
      <c r="D1752" s="195" t="str">
        <f>IFERROR(__xludf.DUMMYFUNCTION("ARRAYFORMULA(LET( converted, SUBSTITUTE( SUBSTITUTE( SUBSTITUTE( SUBSTITUTE( SUBSTITUTE( SUBSTITUTE( SUBSTITUTE( SUBSTITUTE( SUBSTITUTE( SUBSTITUTE( C1752, ""۰"", ""0""), ""۱"", ""1""), ""۲"", ""2""), ""۳"", ""3""), ""۴"", ""4""), ""۵"", ""5""), ""۶"", """&amp;"6""), ""۷"", ""7""), ""۸"", ""8""), ""۹"", ""9""), IF(LEFT(converted,3)=""+98"", ""0"" &amp; RIGHT(converted, LEN(converted)-3), IF(LEFT(converted,2)=""98"", ""0"" &amp; RIGHT(converted, LEN(converted)-2), IF(LEFT(converted,1)&lt;&gt;""0"", ""0"" &amp; converted, REGEXREPL"&amp;"ACE(converted , ""\s"", """")) ) ) ) )"),"09125287738")</f>
        <v>09125287738</v>
      </c>
      <c r="E1752" s="196" t="s">
        <v>17</v>
      </c>
      <c r="F1752" s="221">
        <v>16.0</v>
      </c>
      <c r="G1752" s="193"/>
      <c r="H1752" s="193"/>
      <c r="I1752" s="211" t="s">
        <v>7160</v>
      </c>
      <c r="J1752" s="194"/>
      <c r="K1752" s="199" t="s">
        <v>2670</v>
      </c>
      <c r="L1752" s="199" t="s">
        <v>2184</v>
      </c>
      <c r="M1752" s="193"/>
      <c r="N1752" s="193"/>
      <c r="O1752" s="193"/>
      <c r="P1752" s="193"/>
      <c r="Q1752" s="218" t="s">
        <v>6766</v>
      </c>
      <c r="R1752" s="86"/>
      <c r="S1752" s="114">
        <f t="shared" ref="S1752:T1752" si="1754">A1752</f>
        <v>1752</v>
      </c>
      <c r="T1752" s="114" t="str">
        <f t="shared" si="1754"/>
        <v>فرزانه میرزایی</v>
      </c>
      <c r="U1752" s="86" t="str">
        <f t="shared" si="3"/>
        <v>09125287738</v>
      </c>
      <c r="V1752" s="86" t="str">
        <f t="shared" si="4"/>
        <v>پیش‌وایی 16</v>
      </c>
      <c r="W1752" s="86"/>
      <c r="X1752" s="86"/>
    </row>
    <row r="1753">
      <c r="A1753" s="201">
        <v>1753.0</v>
      </c>
      <c r="B1753" s="202" t="s">
        <v>2361</v>
      </c>
      <c r="C1753" s="210" t="s">
        <v>7161</v>
      </c>
      <c r="D1753" s="204" t="str">
        <f>IFERROR(__xludf.DUMMYFUNCTION("ARRAYFORMULA(LET( converted, SUBSTITUTE( SUBSTITUTE( SUBSTITUTE( SUBSTITUTE( SUBSTITUTE( SUBSTITUTE( SUBSTITUTE( SUBSTITUTE( SUBSTITUTE( SUBSTITUTE( C1753, ""۰"", ""0""), ""۱"", ""1""), ""۲"", ""2""), ""۳"", ""3""), ""۴"", ""4""), ""۵"", ""5""), ""۶"", """&amp;"6""), ""۷"", ""7""), ""۸"", ""8""), ""۹"", ""9""), IF(LEFT(converted,3)=""+98"", ""0"" &amp; RIGHT(converted, LEN(converted)-3), IF(LEFT(converted,2)=""98"", ""0"" &amp; RIGHT(converted, LEN(converted)-2), IF(LEFT(converted,1)&lt;&gt;""0"", ""0"" &amp; converted, REGEXREPL"&amp;"ACE(converted , ""\s"", """")) ) ) ) )"),"09963469872")</f>
        <v>09963469872</v>
      </c>
      <c r="E1753" s="205" t="s">
        <v>17</v>
      </c>
      <c r="F1753" s="214">
        <v>16.0</v>
      </c>
      <c r="G1753" s="202"/>
      <c r="H1753" s="213" t="s">
        <v>7162</v>
      </c>
      <c r="I1753" s="225" t="s">
        <v>7163</v>
      </c>
      <c r="J1753" s="203"/>
      <c r="K1753" s="207" t="s">
        <v>2364</v>
      </c>
      <c r="L1753" s="207" t="s">
        <v>2365</v>
      </c>
      <c r="M1753" s="202"/>
      <c r="N1753" s="202"/>
      <c r="O1753" s="202"/>
      <c r="P1753" s="207" t="s">
        <v>5592</v>
      </c>
      <c r="Q1753" s="216" t="s">
        <v>6766</v>
      </c>
      <c r="R1753" s="86"/>
      <c r="S1753" s="114">
        <f t="shared" ref="S1753:T1753" si="1755">A1753</f>
        <v>1753</v>
      </c>
      <c r="T1753" s="114" t="str">
        <f t="shared" si="1755"/>
        <v>فواد قمرزاد</v>
      </c>
      <c r="U1753" s="86" t="str">
        <f t="shared" si="3"/>
        <v>09963469872</v>
      </c>
      <c r="V1753" s="86" t="str">
        <f t="shared" si="4"/>
        <v>پیش‌وایی 16</v>
      </c>
      <c r="W1753" s="86"/>
      <c r="X1753" s="86"/>
    </row>
    <row r="1754">
      <c r="A1754" s="192">
        <v>1754.0</v>
      </c>
      <c r="B1754" s="193" t="s">
        <v>7164</v>
      </c>
      <c r="C1754" s="211" t="s">
        <v>7165</v>
      </c>
      <c r="D1754" s="195" t="str">
        <f>IFERROR(__xludf.DUMMYFUNCTION("ARRAYFORMULA(LET( converted, SUBSTITUTE( SUBSTITUTE( SUBSTITUTE( SUBSTITUTE( SUBSTITUTE( SUBSTITUTE( SUBSTITUTE( SUBSTITUTE( SUBSTITUTE( SUBSTITUTE( C1754, ""۰"", ""0""), ""۱"", ""1""), ""۲"", ""2""), ""۳"", ""3""), ""۴"", ""4""), ""۵"", ""5""), ""۶"", """&amp;"6""), ""۷"", ""7""), ""۸"", ""8""), ""۹"", ""9""), IF(LEFT(converted,3)=""+98"", ""0"" &amp; RIGHT(converted, LEN(converted)-3), IF(LEFT(converted,2)=""98"", ""0"" &amp; RIGHT(converted, LEN(converted)-2), IF(LEFT(converted,1)&lt;&gt;""0"", ""0"" &amp; converted, REGEXREPL"&amp;"ACE(converted , ""\s"", """")) ) ) ) )"),"09128756508")</f>
        <v>09128756508</v>
      </c>
      <c r="E1754" s="196" t="s">
        <v>17</v>
      </c>
      <c r="F1754" s="221">
        <v>16.0</v>
      </c>
      <c r="G1754" s="193"/>
      <c r="H1754" s="212" t="s">
        <v>7166</v>
      </c>
      <c r="I1754" s="211" t="s">
        <v>7167</v>
      </c>
      <c r="J1754" s="194"/>
      <c r="K1754" s="199" t="s">
        <v>5017</v>
      </c>
      <c r="L1754" s="199" t="s">
        <v>2470</v>
      </c>
      <c r="M1754" s="193"/>
      <c r="N1754" s="193"/>
      <c r="O1754" s="193"/>
      <c r="P1754" s="199" t="s">
        <v>7075</v>
      </c>
      <c r="Q1754" s="218" t="s">
        <v>6766</v>
      </c>
      <c r="R1754" s="86"/>
      <c r="S1754" s="114">
        <f t="shared" ref="S1754:T1754" si="1756">A1754</f>
        <v>1754</v>
      </c>
      <c r="T1754" s="114" t="str">
        <f t="shared" si="1756"/>
        <v>کیانا صمدی</v>
      </c>
      <c r="U1754" s="86" t="str">
        <f t="shared" si="3"/>
        <v>09128756508</v>
      </c>
      <c r="V1754" s="86" t="str">
        <f t="shared" si="4"/>
        <v>پیش‌وایی 16</v>
      </c>
      <c r="W1754" s="86"/>
      <c r="X1754" s="86"/>
    </row>
    <row r="1755">
      <c r="A1755" s="201">
        <v>1755.0</v>
      </c>
      <c r="B1755" s="202" t="s">
        <v>7168</v>
      </c>
      <c r="C1755" s="210" t="s">
        <v>7169</v>
      </c>
      <c r="D1755" s="204" t="str">
        <f>IFERROR(__xludf.DUMMYFUNCTION("ARRAYFORMULA(LET( converted, SUBSTITUTE( SUBSTITUTE( SUBSTITUTE( SUBSTITUTE( SUBSTITUTE( SUBSTITUTE( SUBSTITUTE( SUBSTITUTE( SUBSTITUTE( SUBSTITUTE( C1755, ""۰"", ""0""), ""۱"", ""1""), ""۲"", ""2""), ""۳"", ""3""), ""۴"", ""4""), ""۵"", ""5""), ""۶"", """&amp;"6""), ""۷"", ""7""), ""۸"", ""8""), ""۹"", ""9""), IF(LEFT(converted,3)=""+98"", ""0"" &amp; RIGHT(converted, LEN(converted)-3), IF(LEFT(converted,2)=""98"", ""0"" &amp; RIGHT(converted, LEN(converted)-2), IF(LEFT(converted,1)&lt;&gt;""0"", ""0"" &amp; converted, REGEXREPL"&amp;"ACE(converted , ""\s"", """")) ) ) ) )"),"09055221195")</f>
        <v>09055221195</v>
      </c>
      <c r="E1755" s="205" t="s">
        <v>17</v>
      </c>
      <c r="F1755" s="214">
        <v>16.0</v>
      </c>
      <c r="G1755" s="202"/>
      <c r="H1755" s="213" t="s">
        <v>7170</v>
      </c>
      <c r="I1755" s="210" t="s">
        <v>7171</v>
      </c>
      <c r="J1755" s="203"/>
      <c r="K1755" s="207" t="s">
        <v>5022</v>
      </c>
      <c r="L1755" s="207" t="s">
        <v>7172</v>
      </c>
      <c r="M1755" s="202"/>
      <c r="N1755" s="202"/>
      <c r="O1755" s="202"/>
      <c r="P1755" s="202"/>
      <c r="Q1755" s="216" t="s">
        <v>6766</v>
      </c>
      <c r="R1755" s="86"/>
      <c r="S1755" s="114">
        <f t="shared" ref="S1755:T1755" si="1757">A1755</f>
        <v>1755</v>
      </c>
      <c r="T1755" s="114" t="str">
        <f t="shared" si="1757"/>
        <v>مائده خزائی</v>
      </c>
      <c r="U1755" s="86" t="str">
        <f t="shared" si="3"/>
        <v>09055221195</v>
      </c>
      <c r="V1755" s="86" t="str">
        <f t="shared" si="4"/>
        <v>پیش‌وایی 16</v>
      </c>
      <c r="W1755" s="86"/>
      <c r="X1755" s="86"/>
    </row>
    <row r="1756">
      <c r="A1756" s="192">
        <v>1756.0</v>
      </c>
      <c r="B1756" s="193" t="s">
        <v>7173</v>
      </c>
      <c r="C1756" s="211" t="s">
        <v>7174</v>
      </c>
      <c r="D1756" s="195" t="str">
        <f>IFERROR(__xludf.DUMMYFUNCTION("ARRAYFORMULA(LET( converted, SUBSTITUTE( SUBSTITUTE( SUBSTITUTE( SUBSTITUTE( SUBSTITUTE( SUBSTITUTE( SUBSTITUTE( SUBSTITUTE( SUBSTITUTE( SUBSTITUTE( C1756, ""۰"", ""0""), ""۱"", ""1""), ""۲"", ""2""), ""۳"", ""3""), ""۴"", ""4""), ""۵"", ""5""), ""۶"", """&amp;"6""), ""۷"", ""7""), ""۸"", ""8""), ""۹"", ""9""), IF(LEFT(converted,3)=""+98"", ""0"" &amp; RIGHT(converted, LEN(converted)-3), IF(LEFT(converted,2)=""98"", ""0"" &amp; RIGHT(converted, LEN(converted)-2), IF(LEFT(converted,1)&lt;&gt;""0"", ""0"" &amp; converted, REGEXREPL"&amp;"ACE(converted , ""\s"", """")) ) ) ) )"),"09128177559")</f>
        <v>09128177559</v>
      </c>
      <c r="E1756" s="196" t="s">
        <v>17</v>
      </c>
      <c r="F1756" s="221">
        <v>16.0</v>
      </c>
      <c r="G1756" s="193"/>
      <c r="H1756" s="212" t="s">
        <v>7175</v>
      </c>
      <c r="I1756" s="211" t="s">
        <v>7176</v>
      </c>
      <c r="J1756" s="194"/>
      <c r="K1756" s="199" t="s">
        <v>7177</v>
      </c>
      <c r="L1756" s="199" t="s">
        <v>7178</v>
      </c>
      <c r="M1756" s="193"/>
      <c r="N1756" s="193"/>
      <c r="O1756" s="193"/>
      <c r="P1756" s="193"/>
      <c r="Q1756" s="218" t="s">
        <v>6766</v>
      </c>
      <c r="R1756" s="86"/>
      <c r="S1756" s="114">
        <f t="shared" ref="S1756:T1756" si="1758">A1756</f>
        <v>1756</v>
      </c>
      <c r="T1756" s="114" t="str">
        <f t="shared" si="1758"/>
        <v>متینه غدیری پور</v>
      </c>
      <c r="U1756" s="86" t="str">
        <f t="shared" si="3"/>
        <v>09128177559</v>
      </c>
      <c r="V1756" s="86" t="str">
        <f t="shared" si="4"/>
        <v>پیش‌وایی 16</v>
      </c>
      <c r="W1756" s="86"/>
      <c r="X1756" s="86"/>
    </row>
    <row r="1757">
      <c r="A1757" s="201">
        <v>1757.0</v>
      </c>
      <c r="B1757" s="202" t="s">
        <v>7179</v>
      </c>
      <c r="C1757" s="210" t="s">
        <v>7180</v>
      </c>
      <c r="D1757" s="204" t="str">
        <f>IFERROR(__xludf.DUMMYFUNCTION("ARRAYFORMULA(LET( converted, SUBSTITUTE( SUBSTITUTE( SUBSTITUTE( SUBSTITUTE( SUBSTITUTE( SUBSTITUTE( SUBSTITUTE( SUBSTITUTE( SUBSTITUTE( SUBSTITUTE( C1757, ""۰"", ""0""), ""۱"", ""1""), ""۲"", ""2""), ""۳"", ""3""), ""۴"", ""4""), ""۵"", ""5""), ""۶"", """&amp;"6""), ""۷"", ""7""), ""۸"", ""8""), ""۹"", ""9""), IF(LEFT(converted,3)=""+98"", ""0"" &amp; RIGHT(converted, LEN(converted)-3), IF(LEFT(converted,2)=""98"", ""0"" &amp; RIGHT(converted, LEN(converted)-2), IF(LEFT(converted,1)&lt;&gt;""0"", ""0"" &amp; converted, REGEXREPL"&amp;"ACE(converted , ""\s"", """")) ) ) ) )"),"09391209871")</f>
        <v>09391209871</v>
      </c>
      <c r="E1757" s="205" t="s">
        <v>17</v>
      </c>
      <c r="F1757" s="214">
        <v>16.0</v>
      </c>
      <c r="G1757" s="202"/>
      <c r="H1757" s="213" t="s">
        <v>7181</v>
      </c>
      <c r="I1757" s="210" t="s">
        <v>7182</v>
      </c>
      <c r="J1757" s="203"/>
      <c r="K1757" s="207" t="s">
        <v>311</v>
      </c>
      <c r="L1757" s="207" t="s">
        <v>2485</v>
      </c>
      <c r="M1757" s="202"/>
      <c r="N1757" s="202"/>
      <c r="O1757" s="202"/>
      <c r="P1757" s="202"/>
      <c r="Q1757" s="216" t="s">
        <v>6766</v>
      </c>
      <c r="R1757" s="86"/>
      <c r="S1757" s="114">
        <f t="shared" ref="S1757:T1757" si="1759">A1757</f>
        <v>1757</v>
      </c>
      <c r="T1757" s="114" t="str">
        <f t="shared" si="1759"/>
        <v>محسن اسماعیلی</v>
      </c>
      <c r="U1757" s="86" t="str">
        <f t="shared" si="3"/>
        <v>09391209871</v>
      </c>
      <c r="V1757" s="86" t="str">
        <f t="shared" si="4"/>
        <v>پیش‌وایی 16</v>
      </c>
      <c r="W1757" s="86"/>
      <c r="X1757" s="86"/>
    </row>
    <row r="1758">
      <c r="A1758" s="192">
        <v>1758.0</v>
      </c>
      <c r="B1758" s="193" t="s">
        <v>7183</v>
      </c>
      <c r="C1758" s="211" t="s">
        <v>7184</v>
      </c>
      <c r="D1758" s="195" t="str">
        <f>IFERROR(__xludf.DUMMYFUNCTION("ARRAYFORMULA(LET( converted, SUBSTITUTE( SUBSTITUTE( SUBSTITUTE( SUBSTITUTE( SUBSTITUTE( SUBSTITUTE( SUBSTITUTE( SUBSTITUTE( SUBSTITUTE( SUBSTITUTE( C1758, ""۰"", ""0""), ""۱"", ""1""), ""۲"", ""2""), ""۳"", ""3""), ""۴"", ""4""), ""۵"", ""5""), ""۶"", """&amp;"6""), ""۷"", ""7""), ""۸"", ""8""), ""۹"", ""9""), IF(LEFT(converted,3)=""+98"", ""0"" &amp; RIGHT(converted, LEN(converted)-3), IF(LEFT(converted,2)=""98"", ""0"" &amp; RIGHT(converted, LEN(converted)-2), IF(LEFT(converted,1)&lt;&gt;""0"", ""0"" &amp; converted, REGEXREPL"&amp;"ACE(converted , ""\s"", """")) ) ) ) )"),"09128397769")</f>
        <v>09128397769</v>
      </c>
      <c r="E1758" s="196" t="s">
        <v>17</v>
      </c>
      <c r="F1758" s="221">
        <v>16.0</v>
      </c>
      <c r="G1758" s="193"/>
      <c r="H1758" s="212" t="s">
        <v>7185</v>
      </c>
      <c r="I1758" s="211" t="s">
        <v>7186</v>
      </c>
      <c r="J1758" s="194"/>
      <c r="K1758" s="199" t="s">
        <v>303</v>
      </c>
      <c r="L1758" s="199" t="s">
        <v>7187</v>
      </c>
      <c r="M1758" s="193"/>
      <c r="N1758" s="193"/>
      <c r="O1758" s="193"/>
      <c r="P1758" s="199" t="s">
        <v>192</v>
      </c>
      <c r="Q1758" s="218" t="s">
        <v>6766</v>
      </c>
      <c r="R1758" s="86"/>
      <c r="S1758" s="114">
        <f t="shared" ref="S1758:T1758" si="1760">A1758</f>
        <v>1758</v>
      </c>
      <c r="T1758" s="114" t="str">
        <f t="shared" si="1760"/>
        <v>محمد رحیم زاده</v>
      </c>
      <c r="U1758" s="86" t="str">
        <f t="shared" si="3"/>
        <v>09128397769</v>
      </c>
      <c r="V1758" s="86" t="str">
        <f t="shared" si="4"/>
        <v>پیش‌وایی 16</v>
      </c>
      <c r="W1758" s="86"/>
      <c r="X1758" s="86"/>
    </row>
    <row r="1759">
      <c r="A1759" s="201">
        <v>1759.0</v>
      </c>
      <c r="B1759" s="202" t="s">
        <v>7188</v>
      </c>
      <c r="C1759" s="210" t="s">
        <v>6767</v>
      </c>
      <c r="D1759" s="204" t="str">
        <f>IFERROR(__xludf.DUMMYFUNCTION("ARRAYFORMULA(LET( converted, SUBSTITUTE( SUBSTITUTE( SUBSTITUTE( SUBSTITUTE( SUBSTITUTE( SUBSTITUTE( SUBSTITUTE( SUBSTITUTE( SUBSTITUTE( SUBSTITUTE( C1759, ""۰"", ""0""), ""۱"", ""1""), ""۲"", ""2""), ""۳"", ""3""), ""۴"", ""4""), ""۵"", ""5""), ""۶"", """&amp;"6""), ""۷"", ""7""), ""۸"", ""8""), ""۹"", ""9""), IF(LEFT(converted,3)=""+98"", ""0"" &amp; RIGHT(converted, LEN(converted)-3), IF(LEFT(converted,2)=""98"", ""0"" &amp; RIGHT(converted, LEN(converted)-2), IF(LEFT(converted,1)&lt;&gt;""0"", ""0"" &amp; converted, REGEXREPL"&amp;"ACE(converted , ""\s"", """")) ) ) ) )"),"09359338520")</f>
        <v>09359338520</v>
      </c>
      <c r="E1759" s="205" t="s">
        <v>17</v>
      </c>
      <c r="F1759" s="214">
        <v>16.0</v>
      </c>
      <c r="G1759" s="202"/>
      <c r="H1759" s="202"/>
      <c r="I1759" s="210" t="s">
        <v>7189</v>
      </c>
      <c r="J1759" s="203"/>
      <c r="K1759" s="207" t="s">
        <v>307</v>
      </c>
      <c r="L1759" s="207" t="s">
        <v>6217</v>
      </c>
      <c r="M1759" s="202"/>
      <c r="N1759" s="202"/>
      <c r="O1759" s="202"/>
      <c r="P1759" s="202"/>
      <c r="Q1759" s="216" t="s">
        <v>6766</v>
      </c>
      <c r="R1759" s="86"/>
      <c r="S1759" s="114">
        <f t="shared" ref="S1759:T1759" si="1761">A1759</f>
        <v>1759</v>
      </c>
      <c r="T1759" s="114" t="str">
        <f t="shared" si="1761"/>
        <v>محمد رضا اسپرغم</v>
      </c>
      <c r="U1759" s="86" t="str">
        <f t="shared" si="3"/>
        <v>09359338520</v>
      </c>
      <c r="V1759" s="86" t="str">
        <f t="shared" si="4"/>
        <v>پیش‌وایی 16</v>
      </c>
      <c r="W1759" s="86"/>
      <c r="X1759" s="86"/>
    </row>
    <row r="1760">
      <c r="A1760" s="192">
        <v>1760.0</v>
      </c>
      <c r="B1760" s="193" t="s">
        <v>7190</v>
      </c>
      <c r="C1760" s="211" t="s">
        <v>7191</v>
      </c>
      <c r="D1760" s="195" t="str">
        <f>IFERROR(__xludf.DUMMYFUNCTION("ARRAYFORMULA(LET( converted, SUBSTITUTE( SUBSTITUTE( SUBSTITUTE( SUBSTITUTE( SUBSTITUTE( SUBSTITUTE( SUBSTITUTE( SUBSTITUTE( SUBSTITUTE( SUBSTITUTE( C1760, ""۰"", ""0""), ""۱"", ""1""), ""۲"", ""2""), ""۳"", ""3""), ""۴"", ""4""), ""۵"", ""5""), ""۶"", """&amp;"6""), ""۷"", ""7""), ""۸"", ""8""), ""۹"", ""9""), IF(LEFT(converted,3)=""+98"", ""0"" &amp; RIGHT(converted, LEN(converted)-3), IF(LEFT(converted,2)=""98"", ""0"" &amp; RIGHT(converted, LEN(converted)-2), IF(LEFT(converted,1)&lt;&gt;""0"", ""0"" &amp; converted, REGEXREPL"&amp;"ACE(converted , ""\s"", """")) ) ) ) )"),"09381330233")</f>
        <v>09381330233</v>
      </c>
      <c r="E1760" s="196" t="s">
        <v>17</v>
      </c>
      <c r="F1760" s="221">
        <v>16.0</v>
      </c>
      <c r="G1760" s="193"/>
      <c r="H1760" s="212" t="s">
        <v>7192</v>
      </c>
      <c r="I1760" s="211" t="s">
        <v>7193</v>
      </c>
      <c r="J1760" s="194"/>
      <c r="K1760" s="199" t="s">
        <v>2306</v>
      </c>
      <c r="L1760" s="199" t="s">
        <v>6890</v>
      </c>
      <c r="M1760" s="193"/>
      <c r="N1760" s="193"/>
      <c r="O1760" s="193"/>
      <c r="P1760" s="193"/>
      <c r="Q1760" s="218" t="s">
        <v>6766</v>
      </c>
      <c r="R1760" s="86"/>
      <c r="S1760" s="114">
        <f t="shared" ref="S1760:T1760" si="1762">A1760</f>
        <v>1760</v>
      </c>
      <c r="T1760" s="114" t="str">
        <f t="shared" si="1762"/>
        <v>مرتضی سامی</v>
      </c>
      <c r="U1760" s="86" t="str">
        <f t="shared" si="3"/>
        <v>09381330233</v>
      </c>
      <c r="V1760" s="86" t="str">
        <f t="shared" si="4"/>
        <v>پیش‌وایی 16</v>
      </c>
      <c r="W1760" s="86"/>
      <c r="X1760" s="86"/>
    </row>
    <row r="1761">
      <c r="A1761" s="201">
        <v>1761.0</v>
      </c>
      <c r="B1761" s="202" t="s">
        <v>6126</v>
      </c>
      <c r="C1761" s="210" t="s">
        <v>7194</v>
      </c>
      <c r="D1761" s="204" t="str">
        <f>IFERROR(__xludf.DUMMYFUNCTION("ARRAYFORMULA(LET( converted, SUBSTITUTE( SUBSTITUTE( SUBSTITUTE( SUBSTITUTE( SUBSTITUTE( SUBSTITUTE( SUBSTITUTE( SUBSTITUTE( SUBSTITUTE( SUBSTITUTE( C1761, ""۰"", ""0""), ""۱"", ""1""), ""۲"", ""2""), ""۳"", ""3""), ""۴"", ""4""), ""۵"", ""5""), ""۶"", """&amp;"6""), ""۷"", ""7""), ""۸"", ""8""), ""۹"", ""9""), IF(LEFT(converted,3)=""+98"", ""0"" &amp; RIGHT(converted, LEN(converted)-3), IF(LEFT(converted,2)=""98"", ""0"" &amp; RIGHT(converted, LEN(converted)-2), IF(LEFT(converted,1)&lt;&gt;""0"", ""0"" &amp; converted, REGEXREPL"&amp;"ACE(converted , ""\s"", """")) ) ) ) )"),"09121633423")</f>
        <v>09121633423</v>
      </c>
      <c r="E1761" s="205" t="s">
        <v>17</v>
      </c>
      <c r="F1761" s="214">
        <v>16.0</v>
      </c>
      <c r="G1761" s="202"/>
      <c r="H1761" s="213" t="s">
        <v>7195</v>
      </c>
      <c r="I1761" s="210" t="s">
        <v>7196</v>
      </c>
      <c r="J1761" s="203"/>
      <c r="K1761" s="207" t="s">
        <v>381</v>
      </c>
      <c r="L1761" s="207" t="s">
        <v>6129</v>
      </c>
      <c r="M1761" s="202"/>
      <c r="N1761" s="202"/>
      <c r="O1761" s="202"/>
      <c r="P1761" s="202"/>
      <c r="Q1761" s="216" t="s">
        <v>6766</v>
      </c>
      <c r="R1761" s="86"/>
      <c r="S1761" s="114">
        <f t="shared" ref="S1761:T1761" si="1763">A1761</f>
        <v>1761</v>
      </c>
      <c r="T1761" s="114" t="str">
        <f t="shared" si="1763"/>
        <v>منصور علی آبادی</v>
      </c>
      <c r="U1761" s="86" t="str">
        <f t="shared" si="3"/>
        <v>09121633423</v>
      </c>
      <c r="V1761" s="86" t="str">
        <f t="shared" si="4"/>
        <v>پیش‌وایی 16</v>
      </c>
      <c r="W1761" s="86"/>
      <c r="X1761" s="86"/>
    </row>
    <row r="1762">
      <c r="A1762" s="192">
        <v>1762.0</v>
      </c>
      <c r="B1762" s="193" t="s">
        <v>5966</v>
      </c>
      <c r="C1762" s="211" t="s">
        <v>7042</v>
      </c>
      <c r="D1762" s="195" t="str">
        <f>IFERROR(__xludf.DUMMYFUNCTION("ARRAYFORMULA(LET( converted, SUBSTITUTE( SUBSTITUTE( SUBSTITUTE( SUBSTITUTE( SUBSTITUTE( SUBSTITUTE( SUBSTITUTE( SUBSTITUTE( SUBSTITUTE( SUBSTITUTE( C1762, ""۰"", ""0""), ""۱"", ""1""), ""۲"", ""2""), ""۳"", ""3""), ""۴"", ""4""), ""۵"", ""5""), ""۶"", """&amp;"6""), ""۷"", ""7""), ""۸"", ""8""), ""۹"", ""9""), IF(LEFT(converted,3)=""+98"", ""0"" &amp; RIGHT(converted, LEN(converted)-3), IF(LEFT(converted,2)=""98"", ""0"" &amp; RIGHT(converted, LEN(converted)-2), IF(LEFT(converted,1)&lt;&gt;""0"", ""0"" &amp; converted, REGEXREPL"&amp;"ACE(converted , ""\s"", """")) ) ) ) )"),"09127031008")</f>
        <v>09127031008</v>
      </c>
      <c r="E1762" s="196" t="s">
        <v>17</v>
      </c>
      <c r="F1762" s="221">
        <v>16.0</v>
      </c>
      <c r="G1762" s="193"/>
      <c r="H1762" s="212" t="s">
        <v>7043</v>
      </c>
      <c r="I1762" s="211" t="s">
        <v>7197</v>
      </c>
      <c r="J1762" s="194"/>
      <c r="K1762" s="199" t="s">
        <v>286</v>
      </c>
      <c r="L1762" s="199" t="s">
        <v>5968</v>
      </c>
      <c r="M1762" s="193"/>
      <c r="N1762" s="193"/>
      <c r="O1762" s="193"/>
      <c r="P1762" s="199" t="s">
        <v>102</v>
      </c>
      <c r="Q1762" s="218" t="s">
        <v>6766</v>
      </c>
      <c r="R1762" s="86"/>
      <c r="S1762" s="114">
        <f t="shared" ref="S1762:T1762" si="1764">A1762</f>
        <v>1762</v>
      </c>
      <c r="T1762" s="114" t="str">
        <f t="shared" si="1764"/>
        <v>مهدی قطبی</v>
      </c>
      <c r="U1762" s="86" t="str">
        <f t="shared" si="3"/>
        <v>09127031008</v>
      </c>
      <c r="V1762" s="86" t="str">
        <f t="shared" si="4"/>
        <v>پیش‌وایی 16</v>
      </c>
      <c r="W1762" s="86"/>
      <c r="X1762" s="86"/>
    </row>
    <row r="1763">
      <c r="A1763" s="201">
        <v>1763.0</v>
      </c>
      <c r="B1763" s="202" t="s">
        <v>7198</v>
      </c>
      <c r="C1763" s="210" t="s">
        <v>7199</v>
      </c>
      <c r="D1763" s="204" t="str">
        <f>IFERROR(__xludf.DUMMYFUNCTION("ARRAYFORMULA(LET( converted, SUBSTITUTE( SUBSTITUTE( SUBSTITUTE( SUBSTITUTE( SUBSTITUTE( SUBSTITUTE( SUBSTITUTE( SUBSTITUTE( SUBSTITUTE( SUBSTITUTE( C1763, ""۰"", ""0""), ""۱"", ""1""), ""۲"", ""2""), ""۳"", ""3""), ""۴"", ""4""), ""۵"", ""5""), ""۶"", """&amp;"6""), ""۷"", ""7""), ""۸"", ""8""), ""۹"", ""9""), IF(LEFT(converted,3)=""+98"", ""0"" &amp; RIGHT(converted, LEN(converted)-3), IF(LEFT(converted,2)=""98"", ""0"" &amp; RIGHT(converted, LEN(converted)-2), IF(LEFT(converted,1)&lt;&gt;""0"", ""0"" &amp; converted, REGEXREPL"&amp;"ACE(converted , ""\s"", """")) ) ) ) )"),"09157500024")</f>
        <v>09157500024</v>
      </c>
      <c r="E1763" s="205" t="s">
        <v>17</v>
      </c>
      <c r="F1763" s="214">
        <v>16.0</v>
      </c>
      <c r="G1763" s="202"/>
      <c r="H1763" s="202"/>
      <c r="I1763" s="210" t="s">
        <v>7200</v>
      </c>
      <c r="J1763" s="203"/>
      <c r="K1763" s="207" t="s">
        <v>353</v>
      </c>
      <c r="L1763" s="207" t="s">
        <v>1303</v>
      </c>
      <c r="M1763" s="202"/>
      <c r="N1763" s="202"/>
      <c r="O1763" s="202"/>
      <c r="P1763" s="202"/>
      <c r="Q1763" s="216" t="s">
        <v>6766</v>
      </c>
      <c r="R1763" s="86"/>
      <c r="S1763" s="114">
        <f t="shared" ref="S1763:T1763" si="1765">A1763</f>
        <v>1763</v>
      </c>
      <c r="T1763" s="114" t="str">
        <f t="shared" si="1765"/>
        <v>مهرداد حسینی</v>
      </c>
      <c r="U1763" s="86" t="str">
        <f t="shared" si="3"/>
        <v>09157500024</v>
      </c>
      <c r="V1763" s="86" t="str">
        <f t="shared" si="4"/>
        <v>پیش‌وایی 16</v>
      </c>
      <c r="W1763" s="86"/>
      <c r="X1763" s="86"/>
    </row>
    <row r="1764">
      <c r="A1764" s="192">
        <v>1764.0</v>
      </c>
      <c r="B1764" s="193" t="s">
        <v>7201</v>
      </c>
      <c r="C1764" s="211" t="s">
        <v>7202</v>
      </c>
      <c r="D1764" s="195" t="str">
        <f>IFERROR(__xludf.DUMMYFUNCTION("ARRAYFORMULA(LET( converted, SUBSTITUTE( SUBSTITUTE( SUBSTITUTE( SUBSTITUTE( SUBSTITUTE( SUBSTITUTE( SUBSTITUTE( SUBSTITUTE( SUBSTITUTE( SUBSTITUTE( C1764, ""۰"", ""0""), ""۱"", ""1""), ""۲"", ""2""), ""۳"", ""3""), ""۴"", ""4""), ""۵"", ""5""), ""۶"", """&amp;"6""), ""۷"", ""7""), ""۸"", ""8""), ""۹"", ""9""), IF(LEFT(converted,3)=""+98"", ""0"" &amp; RIGHT(converted, LEN(converted)-3), IF(LEFT(converted,2)=""98"", ""0"" &amp; RIGHT(converted, LEN(converted)-2), IF(LEFT(converted,1)&lt;&gt;""0"", ""0"" &amp; converted, REGEXREPL"&amp;"ACE(converted , ""\s"", """")) ) ) ) )"),"09125599532")</f>
        <v>09125599532</v>
      </c>
      <c r="E1764" s="196" t="s">
        <v>17</v>
      </c>
      <c r="F1764" s="221">
        <v>16.0</v>
      </c>
      <c r="G1764" s="193"/>
      <c r="H1764" s="212" t="s">
        <v>7203</v>
      </c>
      <c r="I1764" s="211" t="s">
        <v>7204</v>
      </c>
      <c r="J1764" s="194"/>
      <c r="K1764" s="199" t="s">
        <v>5640</v>
      </c>
      <c r="L1764" s="199" t="s">
        <v>7205</v>
      </c>
      <c r="M1764" s="193"/>
      <c r="N1764" s="193"/>
      <c r="O1764" s="193"/>
      <c r="P1764" s="193"/>
      <c r="Q1764" s="218" t="s">
        <v>6766</v>
      </c>
      <c r="R1764" s="86"/>
      <c r="S1764" s="114">
        <f t="shared" ref="S1764:T1764" si="1766">A1764</f>
        <v>1764</v>
      </c>
      <c r="T1764" s="114" t="str">
        <f t="shared" si="1766"/>
        <v>مهرنوش خوشنودی فر</v>
      </c>
      <c r="U1764" s="86" t="str">
        <f t="shared" si="3"/>
        <v>09125599532</v>
      </c>
      <c r="V1764" s="86" t="str">
        <f t="shared" si="4"/>
        <v>پیش‌وایی 16</v>
      </c>
      <c r="W1764" s="86"/>
      <c r="X1764" s="86"/>
    </row>
    <row r="1765">
      <c r="A1765" s="201">
        <v>1765.0</v>
      </c>
      <c r="B1765" s="202" t="s">
        <v>7206</v>
      </c>
      <c r="C1765" s="210" t="s">
        <v>7207</v>
      </c>
      <c r="D1765" s="204" t="str">
        <f>IFERROR(__xludf.DUMMYFUNCTION("ARRAYFORMULA(LET( converted, SUBSTITUTE( SUBSTITUTE( SUBSTITUTE( SUBSTITUTE( SUBSTITUTE( SUBSTITUTE( SUBSTITUTE( SUBSTITUTE( SUBSTITUTE( SUBSTITUTE( C1765, ""۰"", ""0""), ""۱"", ""1""), ""۲"", ""2""), ""۳"", ""3""), ""۴"", ""4""), ""۵"", ""5""), ""۶"", """&amp;"6""), ""۷"", ""7""), ""۸"", ""8""), ""۹"", ""9""), IF(LEFT(converted,3)=""+98"", ""0"" &amp; RIGHT(converted, LEN(converted)-3), IF(LEFT(converted,2)=""98"", ""0"" &amp; RIGHT(converted, LEN(converted)-2), IF(LEFT(converted,1)&lt;&gt;""0"", ""0"" &amp; converted, REGEXREPL"&amp;"ACE(converted , ""\s"", """")) ) ) ) )"),"09103908775")</f>
        <v>09103908775</v>
      </c>
      <c r="E1765" s="205" t="s">
        <v>17</v>
      </c>
      <c r="F1765" s="214">
        <v>16.0</v>
      </c>
      <c r="G1765" s="202"/>
      <c r="H1765" s="213" t="s">
        <v>7208</v>
      </c>
      <c r="I1765" s="210" t="s">
        <v>7209</v>
      </c>
      <c r="J1765" s="203"/>
      <c r="K1765" s="207" t="s">
        <v>7210</v>
      </c>
      <c r="L1765" s="207" t="s">
        <v>7211</v>
      </c>
      <c r="M1765" s="202"/>
      <c r="N1765" s="202"/>
      <c r="O1765" s="202"/>
      <c r="P1765" s="202"/>
      <c r="Q1765" s="216" t="s">
        <v>6766</v>
      </c>
      <c r="R1765" s="86"/>
      <c r="S1765" s="114">
        <f t="shared" ref="S1765:T1765" si="1767">A1765</f>
        <v>1765</v>
      </c>
      <c r="T1765" s="114" t="str">
        <f t="shared" si="1767"/>
        <v>مهیا غدیری‌پور</v>
      </c>
      <c r="U1765" s="86" t="str">
        <f t="shared" si="3"/>
        <v>09103908775</v>
      </c>
      <c r="V1765" s="86" t="str">
        <f t="shared" si="4"/>
        <v>پیش‌وایی 16</v>
      </c>
      <c r="W1765" s="86"/>
      <c r="X1765" s="86"/>
    </row>
    <row r="1766">
      <c r="A1766" s="192">
        <v>1766.0</v>
      </c>
      <c r="B1766" s="193" t="s">
        <v>7212</v>
      </c>
      <c r="C1766" s="211" t="s">
        <v>7213</v>
      </c>
      <c r="D1766" s="195" t="str">
        <f>IFERROR(__xludf.DUMMYFUNCTION("ARRAYFORMULA(LET( converted, SUBSTITUTE( SUBSTITUTE( SUBSTITUTE( SUBSTITUTE( SUBSTITUTE( SUBSTITUTE( SUBSTITUTE( SUBSTITUTE( SUBSTITUTE( SUBSTITUTE( C1766, ""۰"", ""0""), ""۱"", ""1""), ""۲"", ""2""), ""۳"", ""3""), ""۴"", ""4""), ""۵"", ""5""), ""۶"", """&amp;"6""), ""۷"", ""7""), ""۸"", ""8""), ""۹"", ""9""), IF(LEFT(converted,3)=""+98"", ""0"" &amp; RIGHT(converted, LEN(converted)-3), IF(LEFT(converted,2)=""98"", ""0"" &amp; RIGHT(converted, LEN(converted)-2), IF(LEFT(converted,1)&lt;&gt;""0"", ""0"" &amp; converted, REGEXREPL"&amp;"ACE(converted , ""\s"", """")) ) ) ) )"),"09124922268")</f>
        <v>09124922268</v>
      </c>
      <c r="E1766" s="196" t="s">
        <v>17</v>
      </c>
      <c r="F1766" s="221">
        <v>16.0</v>
      </c>
      <c r="G1766" s="193"/>
      <c r="H1766" s="212" t="s">
        <v>7214</v>
      </c>
      <c r="I1766" s="211" t="s">
        <v>7215</v>
      </c>
      <c r="J1766" s="194"/>
      <c r="K1766" s="199" t="s">
        <v>1289</v>
      </c>
      <c r="L1766" s="199" t="s">
        <v>7216</v>
      </c>
      <c r="M1766" s="193"/>
      <c r="N1766" s="193"/>
      <c r="O1766" s="193"/>
      <c r="P1766" s="193"/>
      <c r="Q1766" s="218" t="s">
        <v>6910</v>
      </c>
      <c r="R1766" s="86"/>
      <c r="S1766" s="114">
        <f t="shared" ref="S1766:T1766" si="1768">A1766</f>
        <v>1766</v>
      </c>
      <c r="T1766" s="114" t="str">
        <f t="shared" si="1768"/>
        <v>میلاد میرزا زاده</v>
      </c>
      <c r="U1766" s="86" t="str">
        <f t="shared" si="3"/>
        <v>09124922268</v>
      </c>
      <c r="V1766" s="86" t="str">
        <f t="shared" si="4"/>
        <v>پیش‌وایی 16</v>
      </c>
      <c r="W1766" s="86"/>
      <c r="X1766" s="86"/>
    </row>
    <row r="1767">
      <c r="A1767" s="201">
        <v>1767.0</v>
      </c>
      <c r="B1767" s="202" t="s">
        <v>7217</v>
      </c>
      <c r="C1767" s="210" t="s">
        <v>7218</v>
      </c>
      <c r="D1767" s="204" t="str">
        <f>IFERROR(__xludf.DUMMYFUNCTION("ARRAYFORMULA(LET( converted, SUBSTITUTE( SUBSTITUTE( SUBSTITUTE( SUBSTITUTE( SUBSTITUTE( SUBSTITUTE( SUBSTITUTE( SUBSTITUTE( SUBSTITUTE( SUBSTITUTE( C1767, ""۰"", ""0""), ""۱"", ""1""), ""۲"", ""2""), ""۳"", ""3""), ""۴"", ""4""), ""۵"", ""5""), ""۶"", """&amp;"6""), ""۷"", ""7""), ""۸"", ""8""), ""۹"", ""9""), IF(LEFT(converted,3)=""+98"", ""0"" &amp; RIGHT(converted, LEN(converted)-3), IF(LEFT(converted,2)=""98"", ""0"" &amp; RIGHT(converted, LEN(converted)-2), IF(LEFT(converted,1)&lt;&gt;""0"", ""0"" &amp; converted, REGEXREPL"&amp;"ACE(converted , ""\s"", """")) ) ) ) )"),"09126521405")</f>
        <v>09126521405</v>
      </c>
      <c r="E1767" s="205" t="s">
        <v>17</v>
      </c>
      <c r="F1767" s="214">
        <v>16.0</v>
      </c>
      <c r="G1767" s="202"/>
      <c r="H1767" s="213" t="s">
        <v>7219</v>
      </c>
      <c r="I1767" s="210" t="s">
        <v>7220</v>
      </c>
      <c r="J1767" s="203"/>
      <c r="K1767" s="207" t="s">
        <v>2603</v>
      </c>
      <c r="L1767" s="207" t="s">
        <v>1855</v>
      </c>
      <c r="M1767" s="202"/>
      <c r="N1767" s="202"/>
      <c r="O1767" s="202"/>
      <c r="P1767" s="202"/>
      <c r="Q1767" s="216" t="s">
        <v>6910</v>
      </c>
      <c r="R1767" s="86"/>
      <c r="S1767" s="114">
        <f t="shared" ref="S1767:T1767" si="1769">A1767</f>
        <v>1767</v>
      </c>
      <c r="T1767" s="114" t="str">
        <f t="shared" si="1769"/>
        <v>ناصر ذوالفقاری</v>
      </c>
      <c r="U1767" s="86" t="str">
        <f t="shared" si="3"/>
        <v>09126521405</v>
      </c>
      <c r="V1767" s="86" t="str">
        <f t="shared" si="4"/>
        <v>پیش‌وایی 16</v>
      </c>
      <c r="W1767" s="86"/>
      <c r="X1767" s="86"/>
    </row>
    <row r="1768">
      <c r="A1768" s="192">
        <v>1768.0</v>
      </c>
      <c r="B1768" s="193" t="s">
        <v>7221</v>
      </c>
      <c r="C1768" s="211" t="s">
        <v>7222</v>
      </c>
      <c r="D1768" s="195" t="str">
        <f>IFERROR(__xludf.DUMMYFUNCTION("ARRAYFORMULA(LET( converted, SUBSTITUTE( SUBSTITUTE( SUBSTITUTE( SUBSTITUTE( SUBSTITUTE( SUBSTITUTE( SUBSTITUTE( SUBSTITUTE( SUBSTITUTE( SUBSTITUTE( C1768, ""۰"", ""0""), ""۱"", ""1""), ""۲"", ""2""), ""۳"", ""3""), ""۴"", ""4""), ""۵"", ""5""), ""۶"", """&amp;"6""), ""۷"", ""7""), ""۸"", ""8""), ""۹"", ""9""), IF(LEFT(converted,3)=""+98"", ""0"" &amp; RIGHT(converted, LEN(converted)-3), IF(LEFT(converted,2)=""98"", ""0"" &amp; RIGHT(converted, LEN(converted)-2), IF(LEFT(converted,1)&lt;&gt;""0"", ""0"" &amp; converted, REGEXREPL"&amp;"ACE(converted , ""\s"", """")) ) ) ) )"),"09125391061")</f>
        <v>09125391061</v>
      </c>
      <c r="E1768" s="196" t="s">
        <v>17</v>
      </c>
      <c r="F1768" s="221">
        <v>16.0</v>
      </c>
      <c r="G1768" s="193"/>
      <c r="H1768" s="212" t="s">
        <v>7223</v>
      </c>
      <c r="I1768" s="211" t="s">
        <v>7224</v>
      </c>
      <c r="J1768" s="194"/>
      <c r="K1768" s="199" t="s">
        <v>7225</v>
      </c>
      <c r="L1768" s="199" t="s">
        <v>3194</v>
      </c>
      <c r="M1768" s="193"/>
      <c r="N1768" s="193"/>
      <c r="O1768" s="193"/>
      <c r="P1768" s="193"/>
      <c r="Q1768" s="218" t="s">
        <v>6766</v>
      </c>
      <c r="R1768" s="86"/>
      <c r="S1768" s="114">
        <f t="shared" ref="S1768:T1768" si="1770">A1768</f>
        <v>1768</v>
      </c>
      <c r="T1768" s="114" t="str">
        <f t="shared" si="1770"/>
        <v>وحید رضا امیری</v>
      </c>
      <c r="U1768" s="86" t="str">
        <f t="shared" si="3"/>
        <v>09125391061</v>
      </c>
      <c r="V1768" s="86" t="str">
        <f t="shared" si="4"/>
        <v>پیش‌وایی 16</v>
      </c>
      <c r="W1768" s="86"/>
      <c r="X1768" s="86"/>
    </row>
    <row r="1769">
      <c r="A1769" s="201">
        <v>1769.0</v>
      </c>
      <c r="B1769" s="202" t="s">
        <v>7226</v>
      </c>
      <c r="C1769" s="210" t="s">
        <v>7227</v>
      </c>
      <c r="D1769" s="204" t="str">
        <f>IFERROR(__xludf.DUMMYFUNCTION("ARRAYFORMULA(LET( converted, SUBSTITUTE( SUBSTITUTE( SUBSTITUTE( SUBSTITUTE( SUBSTITUTE( SUBSTITUTE( SUBSTITUTE( SUBSTITUTE( SUBSTITUTE( SUBSTITUTE( C1769, ""۰"", ""0""), ""۱"", ""1""), ""۲"", ""2""), ""۳"", ""3""), ""۴"", ""4""), ""۵"", ""5""), ""۶"", """&amp;"6""), ""۷"", ""7""), ""۸"", ""8""), ""۹"", ""9""), IF(LEFT(converted,3)=""+98"", ""0"" &amp; RIGHT(converted, LEN(converted)-3), IF(LEFT(converted,2)=""98"", ""0"" &amp; RIGHT(converted, LEN(converted)-2), IF(LEFT(converted,1)&lt;&gt;""0"", ""0"" &amp; converted, REGEXREPL"&amp;"ACE(converted , ""\s"", """")) ) ) ) )"),"09370604805")</f>
        <v>09370604805</v>
      </c>
      <c r="E1769" s="205" t="s">
        <v>17</v>
      </c>
      <c r="F1769" s="214">
        <v>16.0</v>
      </c>
      <c r="G1769" s="202"/>
      <c r="H1769" s="202"/>
      <c r="I1769" s="203"/>
      <c r="J1769" s="203"/>
      <c r="K1769" s="207" t="s">
        <v>852</v>
      </c>
      <c r="L1769" s="207" t="s">
        <v>6655</v>
      </c>
      <c r="M1769" s="202"/>
      <c r="N1769" s="202"/>
      <c r="O1769" s="202"/>
      <c r="P1769" s="207" t="s">
        <v>7228</v>
      </c>
      <c r="Q1769" s="226" t="s">
        <v>7229</v>
      </c>
      <c r="R1769" s="86"/>
      <c r="S1769" s="114">
        <f t="shared" ref="S1769:T1769" si="1771">A1769</f>
        <v>1769</v>
      </c>
      <c r="T1769" s="114" t="str">
        <f t="shared" si="1771"/>
        <v>زهره افخمی</v>
      </c>
      <c r="U1769" s="86" t="str">
        <f t="shared" si="3"/>
        <v>09370604805</v>
      </c>
      <c r="V1769" s="86" t="str">
        <f t="shared" si="4"/>
        <v>پیش‌وایی 16</v>
      </c>
      <c r="W1769" s="86"/>
      <c r="X1769" s="86"/>
    </row>
    <row r="1770">
      <c r="A1770" s="192">
        <v>1.0</v>
      </c>
      <c r="B1770" s="193" t="str">
        <f t="shared" ref="B1770:B1775" si="1773">K1770&amp;" "&amp;L1770</f>
        <v> </v>
      </c>
      <c r="C1770" s="194"/>
      <c r="D1770" s="195" t="str">
        <f>IFERROR(__xludf.DUMMYFUNCTION("ARRAYFORMULA(LET( converted, SUBSTITUTE( SUBSTITUTE( SUBSTITUTE( SUBSTITUTE( SUBSTITUTE( SUBSTITUTE( SUBSTITUTE( SUBSTITUTE( SUBSTITUTE( SUBSTITUTE( C1770, ""۰"", ""0""), ""۱"", ""1""), ""۲"", ""2""), ""۳"", ""3""), ""۴"", ""4""), ""۵"", ""5""), ""۶"", """&amp;"6""), ""۷"", ""7""), ""۸"", ""8""), ""۹"", ""9""), IF(LEFT(converted,3)=""+98"", ""0"" &amp; RIGHT(converted, LEN(converted)-3), IF(LEFT(converted,2)=""98"", ""0"" &amp; RIGHT(converted, LEN(converted)-2), IF(LEFT(converted,1)&lt;&gt;""0"", ""0"" &amp; converted, REGEXREPL"&amp;"ACE(converted , ""\s"", """")) ) ) ) )"),"0")</f>
        <v>0</v>
      </c>
      <c r="E1770" s="196"/>
      <c r="F1770" s="221"/>
      <c r="G1770" s="193"/>
      <c r="H1770" s="193"/>
      <c r="I1770" s="194"/>
      <c r="J1770" s="194"/>
      <c r="K1770" s="193"/>
      <c r="L1770" s="193"/>
      <c r="M1770" s="193"/>
      <c r="N1770" s="193"/>
      <c r="O1770" s="193"/>
      <c r="P1770" s="193"/>
      <c r="Q1770" s="200"/>
      <c r="R1770" s="86"/>
      <c r="S1770" s="114">
        <f t="shared" ref="S1770:T1770" si="1772">A1770</f>
        <v>1</v>
      </c>
      <c r="T1770" s="114" t="str">
        <f t="shared" si="1772"/>
        <v> </v>
      </c>
      <c r="U1770" s="86" t="str">
        <f t="shared" si="3"/>
        <v>0</v>
      </c>
      <c r="V1770" s="86" t="str">
        <f t="shared" si="4"/>
        <v> </v>
      </c>
      <c r="W1770" s="86"/>
      <c r="X1770" s="86"/>
    </row>
    <row r="1771">
      <c r="A1771" s="201">
        <v>1.0</v>
      </c>
      <c r="B1771" s="202" t="str">
        <f t="shared" si="1773"/>
        <v> </v>
      </c>
      <c r="C1771" s="203"/>
      <c r="D1771" s="204" t="str">
        <f>IFERROR(__xludf.DUMMYFUNCTION("ARRAYFORMULA(LET( converted, SUBSTITUTE( SUBSTITUTE( SUBSTITUTE( SUBSTITUTE( SUBSTITUTE( SUBSTITUTE( SUBSTITUTE( SUBSTITUTE( SUBSTITUTE( SUBSTITUTE( C1771, ""۰"", ""0""), ""۱"", ""1""), ""۲"", ""2""), ""۳"", ""3""), ""۴"", ""4""), ""۵"", ""5""), ""۶"", """&amp;"6""), ""۷"", ""7""), ""۸"", ""8""), ""۹"", ""9""), IF(LEFT(converted,3)=""+98"", ""0"" &amp; RIGHT(converted, LEN(converted)-3), IF(LEFT(converted,2)=""98"", ""0"" &amp; RIGHT(converted, LEN(converted)-2), IF(LEFT(converted,1)&lt;&gt;""0"", ""0"" &amp; converted, REGEXREPL"&amp;"ACE(converted , ""\s"", """")) ) ) ) )"),"0")</f>
        <v>0</v>
      </c>
      <c r="E1771" s="205"/>
      <c r="F1771" s="214"/>
      <c r="G1771" s="202"/>
      <c r="H1771" s="202"/>
      <c r="I1771" s="203"/>
      <c r="J1771" s="203"/>
      <c r="K1771" s="202"/>
      <c r="L1771" s="202"/>
      <c r="M1771" s="202"/>
      <c r="N1771" s="202"/>
      <c r="O1771" s="202"/>
      <c r="P1771" s="202"/>
      <c r="Q1771" s="208"/>
      <c r="R1771" s="86"/>
      <c r="S1771" s="114">
        <f t="shared" ref="S1771:T1771" si="1774">A1771</f>
        <v>1</v>
      </c>
      <c r="T1771" s="114" t="str">
        <f t="shared" si="1774"/>
        <v> </v>
      </c>
      <c r="U1771" s="86" t="str">
        <f t="shared" si="3"/>
        <v>0</v>
      </c>
      <c r="V1771" s="86" t="str">
        <f t="shared" si="4"/>
        <v> </v>
      </c>
      <c r="W1771" s="86"/>
      <c r="X1771" s="86"/>
    </row>
    <row r="1772">
      <c r="A1772" s="192">
        <v>1.0</v>
      </c>
      <c r="B1772" s="193" t="str">
        <f t="shared" si="1773"/>
        <v> </v>
      </c>
      <c r="C1772" s="194"/>
      <c r="D1772" s="195" t="str">
        <f>IFERROR(__xludf.DUMMYFUNCTION("ARRAYFORMULA(LET( converted, SUBSTITUTE( SUBSTITUTE( SUBSTITUTE( SUBSTITUTE( SUBSTITUTE( SUBSTITUTE( SUBSTITUTE( SUBSTITUTE( SUBSTITUTE( SUBSTITUTE( C1772, ""۰"", ""0""), ""۱"", ""1""), ""۲"", ""2""), ""۳"", ""3""), ""۴"", ""4""), ""۵"", ""5""), ""۶"", """&amp;"6""), ""۷"", ""7""), ""۸"", ""8""), ""۹"", ""9""), IF(LEFT(converted,3)=""+98"", ""0"" &amp; RIGHT(converted, LEN(converted)-3), IF(LEFT(converted,2)=""98"", ""0"" &amp; RIGHT(converted, LEN(converted)-2), IF(LEFT(converted,1)&lt;&gt;""0"", ""0"" &amp; converted, REGEXREPL"&amp;"ACE(converted , ""\s"", """")) ) ) ) )"),"0")</f>
        <v>0</v>
      </c>
      <c r="E1772" s="196"/>
      <c r="F1772" s="221"/>
      <c r="G1772" s="193"/>
      <c r="H1772" s="193"/>
      <c r="I1772" s="194"/>
      <c r="J1772" s="194"/>
      <c r="K1772" s="193"/>
      <c r="L1772" s="193"/>
      <c r="M1772" s="193"/>
      <c r="N1772" s="193"/>
      <c r="O1772" s="193"/>
      <c r="P1772" s="193"/>
      <c r="Q1772" s="200"/>
      <c r="R1772" s="86"/>
      <c r="S1772" s="114">
        <f t="shared" ref="S1772:T1772" si="1775">A1772</f>
        <v>1</v>
      </c>
      <c r="T1772" s="114" t="str">
        <f t="shared" si="1775"/>
        <v> </v>
      </c>
      <c r="U1772" s="86" t="str">
        <f t="shared" si="3"/>
        <v>0</v>
      </c>
      <c r="V1772" s="86" t="str">
        <f t="shared" si="4"/>
        <v> </v>
      </c>
      <c r="W1772" s="86"/>
      <c r="X1772" s="86"/>
    </row>
    <row r="1773">
      <c r="A1773" s="201">
        <v>1.0</v>
      </c>
      <c r="B1773" s="202" t="str">
        <f t="shared" si="1773"/>
        <v> </v>
      </c>
      <c r="C1773" s="203"/>
      <c r="D1773" s="204" t="str">
        <f>IFERROR(__xludf.DUMMYFUNCTION("ARRAYFORMULA(LET( converted, SUBSTITUTE( SUBSTITUTE( SUBSTITUTE( SUBSTITUTE( SUBSTITUTE( SUBSTITUTE( SUBSTITUTE( SUBSTITUTE( SUBSTITUTE( SUBSTITUTE( C1773, ""۰"", ""0""), ""۱"", ""1""), ""۲"", ""2""), ""۳"", ""3""), ""۴"", ""4""), ""۵"", ""5""), ""۶"", """&amp;"6""), ""۷"", ""7""), ""۸"", ""8""), ""۹"", ""9""), IF(LEFT(converted,3)=""+98"", ""0"" &amp; RIGHT(converted, LEN(converted)-3), IF(LEFT(converted,2)=""98"", ""0"" &amp; RIGHT(converted, LEN(converted)-2), IF(LEFT(converted,1)&lt;&gt;""0"", ""0"" &amp; converted, REGEXREPL"&amp;"ACE(converted , ""\s"", """")) ) ) ) )"),"0")</f>
        <v>0</v>
      </c>
      <c r="E1773" s="205"/>
      <c r="F1773" s="214"/>
      <c r="G1773" s="202"/>
      <c r="H1773" s="202"/>
      <c r="I1773" s="203"/>
      <c r="J1773" s="203"/>
      <c r="K1773" s="202"/>
      <c r="L1773" s="202"/>
      <c r="M1773" s="202"/>
      <c r="N1773" s="202"/>
      <c r="O1773" s="202"/>
      <c r="P1773" s="202"/>
      <c r="Q1773" s="208"/>
      <c r="R1773" s="86"/>
      <c r="S1773" s="114">
        <f t="shared" ref="S1773:T1773" si="1776">A1773</f>
        <v>1</v>
      </c>
      <c r="T1773" s="114" t="str">
        <f t="shared" si="1776"/>
        <v> </v>
      </c>
      <c r="U1773" s="86" t="str">
        <f t="shared" si="3"/>
        <v>0</v>
      </c>
      <c r="V1773" s="86" t="str">
        <f t="shared" si="4"/>
        <v> </v>
      </c>
      <c r="W1773" s="86"/>
      <c r="X1773" s="86"/>
    </row>
    <row r="1774">
      <c r="A1774" s="192">
        <v>1.0</v>
      </c>
      <c r="B1774" s="193" t="str">
        <f t="shared" si="1773"/>
        <v> </v>
      </c>
      <c r="C1774" s="194"/>
      <c r="D1774" s="195" t="str">
        <f>IFERROR(__xludf.DUMMYFUNCTION("ARRAYFORMULA(LET( converted, SUBSTITUTE( SUBSTITUTE( SUBSTITUTE( SUBSTITUTE( SUBSTITUTE( SUBSTITUTE( SUBSTITUTE( SUBSTITUTE( SUBSTITUTE( SUBSTITUTE( C1774, ""۰"", ""0""), ""۱"", ""1""), ""۲"", ""2""), ""۳"", ""3""), ""۴"", ""4""), ""۵"", ""5""), ""۶"", """&amp;"6""), ""۷"", ""7""), ""۸"", ""8""), ""۹"", ""9""), IF(LEFT(converted,3)=""+98"", ""0"" &amp; RIGHT(converted, LEN(converted)-3), IF(LEFT(converted,2)=""98"", ""0"" &amp; RIGHT(converted, LEN(converted)-2), IF(LEFT(converted,1)&lt;&gt;""0"", ""0"" &amp; converted, REGEXREPL"&amp;"ACE(converted , ""\s"", """")) ) ) ) )"),"0")</f>
        <v>0</v>
      </c>
      <c r="E1774" s="196"/>
      <c r="F1774" s="221"/>
      <c r="G1774" s="193"/>
      <c r="H1774" s="193"/>
      <c r="I1774" s="194"/>
      <c r="J1774" s="194"/>
      <c r="K1774" s="193"/>
      <c r="L1774" s="193"/>
      <c r="M1774" s="193"/>
      <c r="N1774" s="193"/>
      <c r="O1774" s="193"/>
      <c r="P1774" s="193"/>
      <c r="Q1774" s="200"/>
      <c r="R1774" s="86"/>
      <c r="S1774" s="114">
        <f t="shared" ref="S1774:T1774" si="1777">A1774</f>
        <v>1</v>
      </c>
      <c r="T1774" s="114" t="str">
        <f t="shared" si="1777"/>
        <v> </v>
      </c>
      <c r="U1774" s="86" t="str">
        <f t="shared" si="3"/>
        <v>0</v>
      </c>
      <c r="V1774" s="86" t="str">
        <f t="shared" si="4"/>
        <v> </v>
      </c>
      <c r="W1774" s="86"/>
      <c r="X1774" s="86"/>
    </row>
    <row r="1775">
      <c r="A1775" s="201">
        <v>1.0</v>
      </c>
      <c r="B1775" s="202" t="str">
        <f t="shared" si="1773"/>
        <v> </v>
      </c>
      <c r="C1775" s="203"/>
      <c r="D1775" s="204" t="str">
        <f>IFERROR(__xludf.DUMMYFUNCTION("ARRAYFORMULA(LET( converted, SUBSTITUTE( SUBSTITUTE( SUBSTITUTE( SUBSTITUTE( SUBSTITUTE( SUBSTITUTE( SUBSTITUTE( SUBSTITUTE( SUBSTITUTE( SUBSTITUTE( C1775, ""۰"", ""0""), ""۱"", ""1""), ""۲"", ""2""), ""۳"", ""3""), ""۴"", ""4""), ""۵"", ""5""), ""۶"", """&amp;"6""), ""۷"", ""7""), ""۸"", ""8""), ""۹"", ""9""), IF(LEFT(converted,3)=""+98"", ""0"" &amp; RIGHT(converted, LEN(converted)-3), IF(LEFT(converted,2)=""98"", ""0"" &amp; RIGHT(converted, LEN(converted)-2), IF(LEFT(converted,1)&lt;&gt;""0"", ""0"" &amp; converted, REGEXREPL"&amp;"ACE(converted , ""\s"", """")) ) ) ) )"),"0")</f>
        <v>0</v>
      </c>
      <c r="E1775" s="205"/>
      <c r="F1775" s="214"/>
      <c r="G1775" s="202"/>
      <c r="H1775" s="202"/>
      <c r="I1775" s="203"/>
      <c r="J1775" s="203"/>
      <c r="K1775" s="202"/>
      <c r="L1775" s="202"/>
      <c r="M1775" s="202"/>
      <c r="N1775" s="202"/>
      <c r="O1775" s="202"/>
      <c r="P1775" s="202"/>
      <c r="Q1775" s="208"/>
      <c r="R1775" s="86"/>
      <c r="S1775" s="114">
        <f t="shared" ref="S1775:T1775" si="1778">A1775</f>
        <v>1</v>
      </c>
      <c r="T1775" s="114" t="str">
        <f t="shared" si="1778"/>
        <v> </v>
      </c>
      <c r="U1775" s="86" t="str">
        <f t="shared" si="3"/>
        <v>0</v>
      </c>
      <c r="V1775" s="86" t="str">
        <f t="shared" si="4"/>
        <v> </v>
      </c>
      <c r="W1775" s="86"/>
      <c r="X1775" s="86"/>
    </row>
    <row r="1776">
      <c r="A1776" s="192">
        <v>1.0</v>
      </c>
      <c r="B1776" s="193"/>
      <c r="C1776" s="194"/>
      <c r="D1776" s="195" t="str">
        <f>IFERROR(__xludf.DUMMYFUNCTION("ARRAYFORMULA(LET( converted, SUBSTITUTE( SUBSTITUTE( SUBSTITUTE( SUBSTITUTE( SUBSTITUTE( SUBSTITUTE( SUBSTITUTE( SUBSTITUTE( SUBSTITUTE( SUBSTITUTE( C1776, ""۰"", ""0""), ""۱"", ""1""), ""۲"", ""2""), ""۳"", ""3""), ""۴"", ""4""), ""۵"", ""5""), ""۶"", """&amp;"6""), ""۷"", ""7""), ""۸"", ""8""), ""۹"", ""9""), IF(LEFT(converted,3)=""+98"", ""0"" &amp; RIGHT(converted, LEN(converted)-3), IF(LEFT(converted,2)=""98"", ""0"" &amp; RIGHT(converted, LEN(converted)-2), IF(LEFT(converted,1)&lt;&gt;""0"", ""0"" &amp; converted, REGEXREPL"&amp;"ACE(converted , ""\s"", """")) ) ) ) )"),"0")</f>
        <v>0</v>
      </c>
      <c r="E1776" s="196"/>
      <c r="F1776" s="221"/>
      <c r="G1776" s="193"/>
      <c r="H1776" s="193"/>
      <c r="I1776" s="194"/>
      <c r="J1776" s="194"/>
      <c r="K1776" s="193"/>
      <c r="L1776" s="193"/>
      <c r="M1776" s="193"/>
      <c r="N1776" s="193"/>
      <c r="O1776" s="193"/>
      <c r="P1776" s="193"/>
      <c r="Q1776" s="200"/>
      <c r="R1776" s="86"/>
      <c r="S1776" s="114">
        <f t="shared" ref="S1776:T1776" si="1779">A1776</f>
        <v>1</v>
      </c>
      <c r="T1776" s="114" t="str">
        <f t="shared" si="1779"/>
        <v/>
      </c>
      <c r="U1776" s="86" t="str">
        <f t="shared" si="3"/>
        <v>0</v>
      </c>
      <c r="V1776" s="86" t="str">
        <f t="shared" si="4"/>
        <v> </v>
      </c>
      <c r="W1776" s="86"/>
      <c r="X1776" s="86"/>
    </row>
    <row r="1777">
      <c r="A1777" s="201">
        <v>1.0</v>
      </c>
      <c r="B1777" s="202"/>
      <c r="C1777" s="203"/>
      <c r="D1777" s="204" t="str">
        <f>IFERROR(__xludf.DUMMYFUNCTION("ARRAYFORMULA(LET( converted, SUBSTITUTE( SUBSTITUTE( SUBSTITUTE( SUBSTITUTE( SUBSTITUTE( SUBSTITUTE( SUBSTITUTE( SUBSTITUTE( SUBSTITUTE( SUBSTITUTE( C1777, ""۰"", ""0""), ""۱"", ""1""), ""۲"", ""2""), ""۳"", ""3""), ""۴"", ""4""), ""۵"", ""5""), ""۶"", """&amp;"6""), ""۷"", ""7""), ""۸"", ""8""), ""۹"", ""9""), IF(LEFT(converted,3)=""+98"", ""0"" &amp; RIGHT(converted, LEN(converted)-3), IF(LEFT(converted,2)=""98"", ""0"" &amp; RIGHT(converted, LEN(converted)-2), IF(LEFT(converted,1)&lt;&gt;""0"", ""0"" &amp; converted, REGEXREPL"&amp;"ACE(converted , ""\s"", """")) ) ) ) )"),"0")</f>
        <v>0</v>
      </c>
      <c r="E1777" s="205"/>
      <c r="F1777" s="214"/>
      <c r="G1777" s="202"/>
      <c r="H1777" s="202"/>
      <c r="I1777" s="203"/>
      <c r="J1777" s="203"/>
      <c r="K1777" s="202"/>
      <c r="L1777" s="202"/>
      <c r="M1777" s="202"/>
      <c r="N1777" s="202"/>
      <c r="O1777" s="202"/>
      <c r="P1777" s="202"/>
      <c r="Q1777" s="208"/>
      <c r="R1777" s="86"/>
      <c r="S1777" s="114">
        <f t="shared" ref="S1777:T1777" si="1780">A1777</f>
        <v>1</v>
      </c>
      <c r="T1777" s="114" t="str">
        <f t="shared" si="1780"/>
        <v/>
      </c>
      <c r="U1777" s="86" t="str">
        <f t="shared" si="3"/>
        <v>0</v>
      </c>
      <c r="V1777" s="86" t="str">
        <f t="shared" si="4"/>
        <v> </v>
      </c>
      <c r="W1777" s="86"/>
      <c r="X1777" s="86"/>
    </row>
    <row r="1778">
      <c r="A1778" s="192">
        <v>1.0</v>
      </c>
      <c r="B1778" s="193"/>
      <c r="C1778" s="194"/>
      <c r="D1778" s="195" t="str">
        <f>IFERROR(__xludf.DUMMYFUNCTION("ARRAYFORMULA(LET( converted, SUBSTITUTE( SUBSTITUTE( SUBSTITUTE( SUBSTITUTE( SUBSTITUTE( SUBSTITUTE( SUBSTITUTE( SUBSTITUTE( SUBSTITUTE( SUBSTITUTE( C1778, ""۰"", ""0""), ""۱"", ""1""), ""۲"", ""2""), ""۳"", ""3""), ""۴"", ""4""), ""۵"", ""5""), ""۶"", """&amp;"6""), ""۷"", ""7""), ""۸"", ""8""), ""۹"", ""9""), IF(LEFT(converted,3)=""+98"", ""0"" &amp; RIGHT(converted, LEN(converted)-3), IF(LEFT(converted,2)=""98"", ""0"" &amp; RIGHT(converted, LEN(converted)-2), IF(LEFT(converted,1)&lt;&gt;""0"", ""0"" &amp; converted, REGEXREPL"&amp;"ACE(converted , ""\s"", """")) ) ) ) )"),"0")</f>
        <v>0</v>
      </c>
      <c r="E1778" s="196"/>
      <c r="F1778" s="221"/>
      <c r="G1778" s="193"/>
      <c r="H1778" s="193"/>
      <c r="I1778" s="194"/>
      <c r="J1778" s="194"/>
      <c r="K1778" s="193"/>
      <c r="L1778" s="193"/>
      <c r="M1778" s="193"/>
      <c r="N1778" s="193"/>
      <c r="O1778" s="193"/>
      <c r="P1778" s="193"/>
      <c r="Q1778" s="200"/>
      <c r="R1778" s="86"/>
      <c r="S1778" s="114">
        <f t="shared" ref="S1778:T1778" si="1781">A1778</f>
        <v>1</v>
      </c>
      <c r="T1778" s="114" t="str">
        <f t="shared" si="1781"/>
        <v/>
      </c>
      <c r="U1778" s="86" t="str">
        <f t="shared" si="3"/>
        <v>0</v>
      </c>
      <c r="V1778" s="86" t="str">
        <f t="shared" si="4"/>
        <v> </v>
      </c>
      <c r="W1778" s="86"/>
      <c r="X1778" s="86"/>
    </row>
    <row r="1779">
      <c r="A1779" s="201">
        <v>1.0</v>
      </c>
      <c r="B1779" s="202"/>
      <c r="C1779" s="203"/>
      <c r="D1779" s="204" t="str">
        <f>IFERROR(__xludf.DUMMYFUNCTION("ARRAYFORMULA(LET( converted, SUBSTITUTE( SUBSTITUTE( SUBSTITUTE( SUBSTITUTE( SUBSTITUTE( SUBSTITUTE( SUBSTITUTE( SUBSTITUTE( SUBSTITUTE( SUBSTITUTE( C1779, ""۰"", ""0""), ""۱"", ""1""), ""۲"", ""2""), ""۳"", ""3""), ""۴"", ""4""), ""۵"", ""5""), ""۶"", """&amp;"6""), ""۷"", ""7""), ""۸"", ""8""), ""۹"", ""9""), IF(LEFT(converted,3)=""+98"", ""0"" &amp; RIGHT(converted, LEN(converted)-3), IF(LEFT(converted,2)=""98"", ""0"" &amp; RIGHT(converted, LEN(converted)-2), IF(LEFT(converted,1)&lt;&gt;""0"", ""0"" &amp; converted, REGEXREPL"&amp;"ACE(converted , ""\s"", """")) ) ) ) )"),"0")</f>
        <v>0</v>
      </c>
      <c r="E1779" s="205"/>
      <c r="F1779" s="214"/>
      <c r="G1779" s="202"/>
      <c r="H1779" s="202"/>
      <c r="I1779" s="203"/>
      <c r="J1779" s="203"/>
      <c r="K1779" s="202"/>
      <c r="L1779" s="202"/>
      <c r="M1779" s="202"/>
      <c r="N1779" s="202"/>
      <c r="O1779" s="202"/>
      <c r="P1779" s="202"/>
      <c r="Q1779" s="208"/>
      <c r="R1779" s="86"/>
      <c r="S1779" s="114">
        <f t="shared" ref="S1779:T1779" si="1782">A1779</f>
        <v>1</v>
      </c>
      <c r="T1779" s="114" t="str">
        <f t="shared" si="1782"/>
        <v/>
      </c>
      <c r="U1779" s="86" t="str">
        <f t="shared" si="3"/>
        <v>0</v>
      </c>
      <c r="V1779" s="86" t="str">
        <f t="shared" si="4"/>
        <v> </v>
      </c>
      <c r="W1779" s="86"/>
      <c r="X1779" s="86"/>
    </row>
    <row r="1780">
      <c r="A1780" s="192">
        <v>1.0</v>
      </c>
      <c r="B1780" s="193"/>
      <c r="C1780" s="194"/>
      <c r="D1780" s="195" t="str">
        <f>IFERROR(__xludf.DUMMYFUNCTION("ARRAYFORMULA(LET( converted, SUBSTITUTE( SUBSTITUTE( SUBSTITUTE( SUBSTITUTE( SUBSTITUTE( SUBSTITUTE( SUBSTITUTE( SUBSTITUTE( SUBSTITUTE( SUBSTITUTE( C1780, ""۰"", ""0""), ""۱"", ""1""), ""۲"", ""2""), ""۳"", ""3""), ""۴"", ""4""), ""۵"", ""5""), ""۶"", """&amp;"6""), ""۷"", ""7""), ""۸"", ""8""), ""۹"", ""9""), IF(LEFT(converted,3)=""+98"", ""0"" &amp; RIGHT(converted, LEN(converted)-3), IF(LEFT(converted,2)=""98"", ""0"" &amp; RIGHT(converted, LEN(converted)-2), IF(LEFT(converted,1)&lt;&gt;""0"", ""0"" &amp; converted, REGEXREPL"&amp;"ACE(converted , ""\s"", """")) ) ) ) )"),"0")</f>
        <v>0</v>
      </c>
      <c r="E1780" s="196"/>
      <c r="F1780" s="221"/>
      <c r="G1780" s="193"/>
      <c r="H1780" s="193"/>
      <c r="I1780" s="194"/>
      <c r="J1780" s="194"/>
      <c r="K1780" s="193"/>
      <c r="L1780" s="193"/>
      <c r="M1780" s="193"/>
      <c r="N1780" s="193"/>
      <c r="O1780" s="193"/>
      <c r="P1780" s="193"/>
      <c r="Q1780" s="200"/>
      <c r="R1780" s="86"/>
      <c r="S1780" s="114">
        <f t="shared" ref="S1780:T1780" si="1783">A1780</f>
        <v>1</v>
      </c>
      <c r="T1780" s="114" t="str">
        <f t="shared" si="1783"/>
        <v/>
      </c>
      <c r="U1780" s="86" t="str">
        <f t="shared" si="3"/>
        <v>0</v>
      </c>
      <c r="V1780" s="86" t="str">
        <f t="shared" si="4"/>
        <v> </v>
      </c>
      <c r="W1780" s="86"/>
      <c r="X1780" s="86"/>
    </row>
    <row r="1781">
      <c r="A1781" s="201">
        <v>1.0</v>
      </c>
      <c r="B1781" s="202"/>
      <c r="C1781" s="203"/>
      <c r="D1781" s="204" t="str">
        <f>IFERROR(__xludf.DUMMYFUNCTION("ARRAYFORMULA(LET( converted, SUBSTITUTE( SUBSTITUTE( SUBSTITUTE( SUBSTITUTE( SUBSTITUTE( SUBSTITUTE( SUBSTITUTE( SUBSTITUTE( SUBSTITUTE( SUBSTITUTE( C1781, ""۰"", ""0""), ""۱"", ""1""), ""۲"", ""2""), ""۳"", ""3""), ""۴"", ""4""), ""۵"", ""5""), ""۶"", """&amp;"6""), ""۷"", ""7""), ""۸"", ""8""), ""۹"", ""9""), IF(LEFT(converted,3)=""+98"", ""0"" &amp; RIGHT(converted, LEN(converted)-3), IF(LEFT(converted,2)=""98"", ""0"" &amp; RIGHT(converted, LEN(converted)-2), IF(LEFT(converted,1)&lt;&gt;""0"", ""0"" &amp; converted, REGEXREPL"&amp;"ACE(converted , ""\s"", """")) ) ) ) )"),"0")</f>
        <v>0</v>
      </c>
      <c r="E1781" s="205"/>
      <c r="F1781" s="214"/>
      <c r="G1781" s="202"/>
      <c r="H1781" s="202"/>
      <c r="I1781" s="203"/>
      <c r="J1781" s="203"/>
      <c r="K1781" s="202"/>
      <c r="L1781" s="202"/>
      <c r="M1781" s="202"/>
      <c r="N1781" s="202"/>
      <c r="O1781" s="202"/>
      <c r="P1781" s="202"/>
      <c r="Q1781" s="208"/>
      <c r="R1781" s="86"/>
      <c r="S1781" s="114">
        <f t="shared" ref="S1781:T1781" si="1784">A1781</f>
        <v>1</v>
      </c>
      <c r="T1781" s="114" t="str">
        <f t="shared" si="1784"/>
        <v/>
      </c>
      <c r="U1781" s="86" t="str">
        <f t="shared" si="3"/>
        <v>0</v>
      </c>
      <c r="V1781" s="86" t="str">
        <f t="shared" si="4"/>
        <v> </v>
      </c>
      <c r="W1781" s="86"/>
      <c r="X1781" s="86"/>
    </row>
    <row r="1782">
      <c r="A1782" s="192">
        <v>1.0</v>
      </c>
      <c r="B1782" s="193"/>
      <c r="C1782" s="194"/>
      <c r="D1782" s="195" t="str">
        <f>IFERROR(__xludf.DUMMYFUNCTION("ARRAYFORMULA(LET( converted, SUBSTITUTE( SUBSTITUTE( SUBSTITUTE( SUBSTITUTE( SUBSTITUTE( SUBSTITUTE( SUBSTITUTE( SUBSTITUTE( SUBSTITUTE( SUBSTITUTE( C1782, ""۰"", ""0""), ""۱"", ""1""), ""۲"", ""2""), ""۳"", ""3""), ""۴"", ""4""), ""۵"", ""5""), ""۶"", """&amp;"6""), ""۷"", ""7""), ""۸"", ""8""), ""۹"", ""9""), IF(LEFT(converted,3)=""+98"", ""0"" &amp; RIGHT(converted, LEN(converted)-3), IF(LEFT(converted,2)=""98"", ""0"" &amp; RIGHT(converted, LEN(converted)-2), IF(LEFT(converted,1)&lt;&gt;""0"", ""0"" &amp; converted, REGEXREPL"&amp;"ACE(converted , ""\s"", """")) ) ) ) )"),"0")</f>
        <v>0</v>
      </c>
      <c r="E1782" s="196"/>
      <c r="F1782" s="221"/>
      <c r="G1782" s="193"/>
      <c r="H1782" s="193"/>
      <c r="I1782" s="194"/>
      <c r="J1782" s="194"/>
      <c r="K1782" s="193"/>
      <c r="L1782" s="193"/>
      <c r="M1782" s="193"/>
      <c r="N1782" s="193"/>
      <c r="O1782" s="193"/>
      <c r="P1782" s="193"/>
      <c r="Q1782" s="200"/>
      <c r="R1782" s="86"/>
      <c r="S1782" s="114">
        <f t="shared" ref="S1782:T1782" si="1785">A1782</f>
        <v>1</v>
      </c>
      <c r="T1782" s="114" t="str">
        <f t="shared" si="1785"/>
        <v/>
      </c>
      <c r="U1782" s="86" t="str">
        <f t="shared" si="3"/>
        <v>0</v>
      </c>
      <c r="V1782" s="86" t="str">
        <f t="shared" si="4"/>
        <v> </v>
      </c>
      <c r="W1782" s="86"/>
      <c r="X1782" s="86"/>
    </row>
    <row r="1783">
      <c r="A1783" s="201">
        <v>1.0</v>
      </c>
      <c r="B1783" s="202"/>
      <c r="C1783" s="203"/>
      <c r="D1783" s="204" t="str">
        <f>IFERROR(__xludf.DUMMYFUNCTION("ARRAYFORMULA(LET( converted, SUBSTITUTE( SUBSTITUTE( SUBSTITUTE( SUBSTITUTE( SUBSTITUTE( SUBSTITUTE( SUBSTITUTE( SUBSTITUTE( SUBSTITUTE( SUBSTITUTE( C1783, ""۰"", ""0""), ""۱"", ""1""), ""۲"", ""2""), ""۳"", ""3""), ""۴"", ""4""), ""۵"", ""5""), ""۶"", """&amp;"6""), ""۷"", ""7""), ""۸"", ""8""), ""۹"", ""9""), IF(LEFT(converted,3)=""+98"", ""0"" &amp; RIGHT(converted, LEN(converted)-3), IF(LEFT(converted,2)=""98"", ""0"" &amp; RIGHT(converted, LEN(converted)-2), IF(LEFT(converted,1)&lt;&gt;""0"", ""0"" &amp; converted, REGEXREPL"&amp;"ACE(converted , ""\s"", """")) ) ) ) )"),"0")</f>
        <v>0</v>
      </c>
      <c r="E1783" s="205"/>
      <c r="F1783" s="214"/>
      <c r="G1783" s="202"/>
      <c r="H1783" s="202"/>
      <c r="I1783" s="203"/>
      <c r="J1783" s="203"/>
      <c r="K1783" s="202"/>
      <c r="L1783" s="202"/>
      <c r="M1783" s="202"/>
      <c r="N1783" s="202"/>
      <c r="O1783" s="202"/>
      <c r="P1783" s="202"/>
      <c r="Q1783" s="208"/>
      <c r="R1783" s="86"/>
      <c r="S1783" s="114">
        <f t="shared" ref="S1783:T1783" si="1786">A1783</f>
        <v>1</v>
      </c>
      <c r="T1783" s="114" t="str">
        <f t="shared" si="1786"/>
        <v/>
      </c>
      <c r="U1783" s="86" t="str">
        <f t="shared" si="3"/>
        <v>0</v>
      </c>
      <c r="V1783" s="86" t="str">
        <f t="shared" si="4"/>
        <v> </v>
      </c>
      <c r="W1783" s="86"/>
      <c r="X1783" s="86"/>
    </row>
    <row r="1784">
      <c r="A1784" s="192">
        <v>1.0</v>
      </c>
      <c r="B1784" s="193"/>
      <c r="C1784" s="194"/>
      <c r="D1784" s="195" t="str">
        <f>IFERROR(__xludf.DUMMYFUNCTION("ARRAYFORMULA(LET( converted, SUBSTITUTE( SUBSTITUTE( SUBSTITUTE( SUBSTITUTE( SUBSTITUTE( SUBSTITUTE( SUBSTITUTE( SUBSTITUTE( SUBSTITUTE( SUBSTITUTE( C1784, ""۰"", ""0""), ""۱"", ""1""), ""۲"", ""2""), ""۳"", ""3""), ""۴"", ""4""), ""۵"", ""5""), ""۶"", """&amp;"6""), ""۷"", ""7""), ""۸"", ""8""), ""۹"", ""9""), IF(LEFT(converted,3)=""+98"", ""0"" &amp; RIGHT(converted, LEN(converted)-3), IF(LEFT(converted,2)=""98"", ""0"" &amp; RIGHT(converted, LEN(converted)-2), IF(LEFT(converted,1)&lt;&gt;""0"", ""0"" &amp; converted, REGEXREPL"&amp;"ACE(converted , ""\s"", """")) ) ) ) )"),"0")</f>
        <v>0</v>
      </c>
      <c r="E1784" s="196"/>
      <c r="F1784" s="221"/>
      <c r="G1784" s="193"/>
      <c r="H1784" s="193"/>
      <c r="I1784" s="194"/>
      <c r="J1784" s="194"/>
      <c r="K1784" s="193"/>
      <c r="L1784" s="193"/>
      <c r="M1784" s="193"/>
      <c r="N1784" s="193"/>
      <c r="O1784" s="193"/>
      <c r="P1784" s="193"/>
      <c r="Q1784" s="200"/>
      <c r="R1784" s="86"/>
      <c r="S1784" s="114">
        <f t="shared" ref="S1784:T1784" si="1787">A1784</f>
        <v>1</v>
      </c>
      <c r="T1784" s="114" t="str">
        <f t="shared" si="1787"/>
        <v/>
      </c>
      <c r="U1784" s="86" t="str">
        <f t="shared" si="3"/>
        <v>0</v>
      </c>
      <c r="V1784" s="86" t="str">
        <f t="shared" si="4"/>
        <v> </v>
      </c>
      <c r="W1784" s="86"/>
      <c r="X1784" s="86"/>
    </row>
    <row r="1785">
      <c r="A1785" s="201">
        <v>1.0</v>
      </c>
      <c r="B1785" s="202"/>
      <c r="C1785" s="203"/>
      <c r="D1785" s="204" t="str">
        <f>IFERROR(__xludf.DUMMYFUNCTION("ARRAYFORMULA(LET( converted, SUBSTITUTE( SUBSTITUTE( SUBSTITUTE( SUBSTITUTE( SUBSTITUTE( SUBSTITUTE( SUBSTITUTE( SUBSTITUTE( SUBSTITUTE( SUBSTITUTE( C1785, ""۰"", ""0""), ""۱"", ""1""), ""۲"", ""2""), ""۳"", ""3""), ""۴"", ""4""), ""۵"", ""5""), ""۶"", """&amp;"6""), ""۷"", ""7""), ""۸"", ""8""), ""۹"", ""9""), IF(LEFT(converted,3)=""+98"", ""0"" &amp; RIGHT(converted, LEN(converted)-3), IF(LEFT(converted,2)=""98"", ""0"" &amp; RIGHT(converted, LEN(converted)-2), IF(LEFT(converted,1)&lt;&gt;""0"", ""0"" &amp; converted, REGEXREPL"&amp;"ACE(converted , ""\s"", """")) ) ) ) )"),"0")</f>
        <v>0</v>
      </c>
      <c r="E1785" s="205"/>
      <c r="F1785" s="214"/>
      <c r="G1785" s="202"/>
      <c r="H1785" s="202"/>
      <c r="I1785" s="203"/>
      <c r="J1785" s="203"/>
      <c r="K1785" s="202"/>
      <c r="L1785" s="202"/>
      <c r="M1785" s="202"/>
      <c r="N1785" s="202"/>
      <c r="O1785" s="202"/>
      <c r="P1785" s="202"/>
      <c r="Q1785" s="208"/>
      <c r="R1785" s="86"/>
      <c r="S1785" s="114">
        <f t="shared" ref="S1785:T1785" si="1788">A1785</f>
        <v>1</v>
      </c>
      <c r="T1785" s="114" t="str">
        <f t="shared" si="1788"/>
        <v/>
      </c>
      <c r="U1785" s="86" t="str">
        <f t="shared" si="3"/>
        <v>0</v>
      </c>
      <c r="V1785" s="86" t="str">
        <f t="shared" si="4"/>
        <v> </v>
      </c>
      <c r="W1785" s="86"/>
      <c r="X1785" s="86"/>
    </row>
    <row r="1786">
      <c r="A1786" s="192">
        <v>1.0</v>
      </c>
      <c r="B1786" s="193"/>
      <c r="C1786" s="194"/>
      <c r="D1786" s="195" t="str">
        <f>IFERROR(__xludf.DUMMYFUNCTION("ARRAYFORMULA(LET( converted, SUBSTITUTE( SUBSTITUTE( SUBSTITUTE( SUBSTITUTE( SUBSTITUTE( SUBSTITUTE( SUBSTITUTE( SUBSTITUTE( SUBSTITUTE( SUBSTITUTE( C1786, ""۰"", ""0""), ""۱"", ""1""), ""۲"", ""2""), ""۳"", ""3""), ""۴"", ""4""), ""۵"", ""5""), ""۶"", """&amp;"6""), ""۷"", ""7""), ""۸"", ""8""), ""۹"", ""9""), IF(LEFT(converted,3)=""+98"", ""0"" &amp; RIGHT(converted, LEN(converted)-3), IF(LEFT(converted,2)=""98"", ""0"" &amp; RIGHT(converted, LEN(converted)-2), IF(LEFT(converted,1)&lt;&gt;""0"", ""0"" &amp; converted, REGEXREPL"&amp;"ACE(converted , ""\s"", """")) ) ) ) )"),"0")</f>
        <v>0</v>
      </c>
      <c r="E1786" s="196"/>
      <c r="F1786" s="221"/>
      <c r="G1786" s="193"/>
      <c r="H1786" s="193"/>
      <c r="I1786" s="194"/>
      <c r="J1786" s="194"/>
      <c r="K1786" s="193"/>
      <c r="L1786" s="193"/>
      <c r="M1786" s="193"/>
      <c r="N1786" s="193"/>
      <c r="O1786" s="193"/>
      <c r="P1786" s="193"/>
      <c r="Q1786" s="200"/>
      <c r="R1786" s="86"/>
      <c r="S1786" s="114">
        <f t="shared" ref="S1786:T1786" si="1789">A1786</f>
        <v>1</v>
      </c>
      <c r="T1786" s="114" t="str">
        <f t="shared" si="1789"/>
        <v/>
      </c>
      <c r="U1786" s="86" t="str">
        <f t="shared" si="3"/>
        <v>0</v>
      </c>
      <c r="V1786" s="86" t="str">
        <f t="shared" si="4"/>
        <v> </v>
      </c>
      <c r="W1786" s="86"/>
      <c r="X1786" s="86"/>
    </row>
    <row r="1787">
      <c r="A1787" s="201">
        <v>1.0</v>
      </c>
      <c r="B1787" s="202"/>
      <c r="C1787" s="203"/>
      <c r="D1787" s="204" t="str">
        <f>IFERROR(__xludf.DUMMYFUNCTION("ARRAYFORMULA(LET( converted, SUBSTITUTE( SUBSTITUTE( SUBSTITUTE( SUBSTITUTE( SUBSTITUTE( SUBSTITUTE( SUBSTITUTE( SUBSTITUTE( SUBSTITUTE( SUBSTITUTE( C1787, ""۰"", ""0""), ""۱"", ""1""), ""۲"", ""2""), ""۳"", ""3""), ""۴"", ""4""), ""۵"", ""5""), ""۶"", """&amp;"6""), ""۷"", ""7""), ""۸"", ""8""), ""۹"", ""9""), IF(LEFT(converted,3)=""+98"", ""0"" &amp; RIGHT(converted, LEN(converted)-3), IF(LEFT(converted,2)=""98"", ""0"" &amp; RIGHT(converted, LEN(converted)-2), IF(LEFT(converted,1)&lt;&gt;""0"", ""0"" &amp; converted, REGEXREPL"&amp;"ACE(converted , ""\s"", """")) ) ) ) )"),"0")</f>
        <v>0</v>
      </c>
      <c r="E1787" s="205"/>
      <c r="F1787" s="214"/>
      <c r="G1787" s="202"/>
      <c r="H1787" s="202"/>
      <c r="I1787" s="203"/>
      <c r="J1787" s="203"/>
      <c r="K1787" s="202"/>
      <c r="L1787" s="202"/>
      <c r="M1787" s="202"/>
      <c r="N1787" s="202"/>
      <c r="O1787" s="202"/>
      <c r="P1787" s="202"/>
      <c r="Q1787" s="208"/>
      <c r="R1787" s="86"/>
      <c r="S1787" s="114">
        <f t="shared" ref="S1787:T1787" si="1790">A1787</f>
        <v>1</v>
      </c>
      <c r="T1787" s="114" t="str">
        <f t="shared" si="1790"/>
        <v/>
      </c>
      <c r="U1787" s="86" t="str">
        <f t="shared" si="3"/>
        <v>0</v>
      </c>
      <c r="V1787" s="86" t="str">
        <f t="shared" si="4"/>
        <v> </v>
      </c>
      <c r="W1787" s="86"/>
      <c r="X1787" s="86"/>
    </row>
    <row r="1788">
      <c r="A1788" s="192">
        <v>1.0</v>
      </c>
      <c r="B1788" s="193"/>
      <c r="C1788" s="194"/>
      <c r="D1788" s="195" t="str">
        <f>IFERROR(__xludf.DUMMYFUNCTION("ARRAYFORMULA(LET( converted, SUBSTITUTE( SUBSTITUTE( SUBSTITUTE( SUBSTITUTE( SUBSTITUTE( SUBSTITUTE( SUBSTITUTE( SUBSTITUTE( SUBSTITUTE( SUBSTITUTE( C1788, ""۰"", ""0""), ""۱"", ""1""), ""۲"", ""2""), ""۳"", ""3""), ""۴"", ""4""), ""۵"", ""5""), ""۶"", """&amp;"6""), ""۷"", ""7""), ""۸"", ""8""), ""۹"", ""9""), IF(LEFT(converted,3)=""+98"", ""0"" &amp; RIGHT(converted, LEN(converted)-3), IF(LEFT(converted,2)=""98"", ""0"" &amp; RIGHT(converted, LEN(converted)-2), IF(LEFT(converted,1)&lt;&gt;""0"", ""0"" &amp; converted, REGEXREPL"&amp;"ACE(converted , ""\s"", """")) ) ) ) )"),"0")</f>
        <v>0</v>
      </c>
      <c r="E1788" s="196"/>
      <c r="F1788" s="221"/>
      <c r="G1788" s="193"/>
      <c r="H1788" s="193"/>
      <c r="I1788" s="194"/>
      <c r="J1788" s="194"/>
      <c r="K1788" s="193"/>
      <c r="L1788" s="193"/>
      <c r="M1788" s="193"/>
      <c r="N1788" s="193"/>
      <c r="O1788" s="193"/>
      <c r="P1788" s="193"/>
      <c r="Q1788" s="200"/>
      <c r="R1788" s="86"/>
      <c r="S1788" s="114">
        <f t="shared" ref="S1788:T1788" si="1791">A1788</f>
        <v>1</v>
      </c>
      <c r="T1788" s="114" t="str">
        <f t="shared" si="1791"/>
        <v/>
      </c>
      <c r="U1788" s="86" t="str">
        <f t="shared" si="3"/>
        <v>0</v>
      </c>
      <c r="V1788" s="86" t="str">
        <f t="shared" si="4"/>
        <v> </v>
      </c>
      <c r="W1788" s="86"/>
      <c r="X1788" s="86"/>
    </row>
    <row r="1789">
      <c r="A1789" s="201">
        <v>1.0</v>
      </c>
      <c r="B1789" s="202"/>
      <c r="C1789" s="203"/>
      <c r="D1789" s="204" t="str">
        <f>IFERROR(__xludf.DUMMYFUNCTION("ARRAYFORMULA(LET( converted, SUBSTITUTE( SUBSTITUTE( SUBSTITUTE( SUBSTITUTE( SUBSTITUTE( SUBSTITUTE( SUBSTITUTE( SUBSTITUTE( SUBSTITUTE( SUBSTITUTE( C1789, ""۰"", ""0""), ""۱"", ""1""), ""۲"", ""2""), ""۳"", ""3""), ""۴"", ""4""), ""۵"", ""5""), ""۶"", """&amp;"6""), ""۷"", ""7""), ""۸"", ""8""), ""۹"", ""9""), IF(LEFT(converted,3)=""+98"", ""0"" &amp; RIGHT(converted, LEN(converted)-3), IF(LEFT(converted,2)=""98"", ""0"" &amp; RIGHT(converted, LEN(converted)-2), IF(LEFT(converted,1)&lt;&gt;""0"", ""0"" &amp; converted, REGEXREPL"&amp;"ACE(converted , ""\s"", """")) ) ) ) )"),"0")</f>
        <v>0</v>
      </c>
      <c r="E1789" s="205"/>
      <c r="F1789" s="214"/>
      <c r="G1789" s="202"/>
      <c r="H1789" s="202"/>
      <c r="I1789" s="203"/>
      <c r="J1789" s="203"/>
      <c r="K1789" s="202"/>
      <c r="L1789" s="202"/>
      <c r="M1789" s="202"/>
      <c r="N1789" s="202"/>
      <c r="O1789" s="202"/>
      <c r="P1789" s="202"/>
      <c r="Q1789" s="208"/>
      <c r="R1789" s="86"/>
      <c r="S1789" s="114">
        <f t="shared" ref="S1789:T1789" si="1792">A1789</f>
        <v>1</v>
      </c>
      <c r="T1789" s="114" t="str">
        <f t="shared" si="1792"/>
        <v/>
      </c>
      <c r="U1789" s="86" t="str">
        <f t="shared" si="3"/>
        <v>0</v>
      </c>
      <c r="V1789" s="86" t="str">
        <f t="shared" si="4"/>
        <v> </v>
      </c>
      <c r="W1789" s="86"/>
      <c r="X1789" s="86"/>
    </row>
    <row r="1790">
      <c r="A1790" s="192">
        <v>1.0</v>
      </c>
      <c r="B1790" s="193"/>
      <c r="C1790" s="194"/>
      <c r="D1790" s="195" t="str">
        <f>IFERROR(__xludf.DUMMYFUNCTION("ARRAYFORMULA(LET( converted, SUBSTITUTE( SUBSTITUTE( SUBSTITUTE( SUBSTITUTE( SUBSTITUTE( SUBSTITUTE( SUBSTITUTE( SUBSTITUTE( SUBSTITUTE( SUBSTITUTE( C1790, ""۰"", ""0""), ""۱"", ""1""), ""۲"", ""2""), ""۳"", ""3""), ""۴"", ""4""), ""۵"", ""5""), ""۶"", """&amp;"6""), ""۷"", ""7""), ""۸"", ""8""), ""۹"", ""9""), IF(LEFT(converted,3)=""+98"", ""0"" &amp; RIGHT(converted, LEN(converted)-3), IF(LEFT(converted,2)=""98"", ""0"" &amp; RIGHT(converted, LEN(converted)-2), IF(LEFT(converted,1)&lt;&gt;""0"", ""0"" &amp; converted, REGEXREPL"&amp;"ACE(converted , ""\s"", """")) ) ) ) )"),"0")</f>
        <v>0</v>
      </c>
      <c r="E1790" s="196"/>
      <c r="F1790" s="221"/>
      <c r="G1790" s="193"/>
      <c r="H1790" s="193"/>
      <c r="I1790" s="194"/>
      <c r="J1790" s="194"/>
      <c r="K1790" s="193"/>
      <c r="L1790" s="193"/>
      <c r="M1790" s="193"/>
      <c r="N1790" s="193"/>
      <c r="O1790" s="193"/>
      <c r="P1790" s="193"/>
      <c r="Q1790" s="200"/>
      <c r="R1790" s="86"/>
      <c r="S1790" s="114">
        <f t="shared" ref="S1790:T1790" si="1793">A1790</f>
        <v>1</v>
      </c>
      <c r="T1790" s="114" t="str">
        <f t="shared" si="1793"/>
        <v/>
      </c>
      <c r="U1790" s="86" t="str">
        <f t="shared" si="3"/>
        <v>0</v>
      </c>
      <c r="V1790" s="86" t="str">
        <f t="shared" si="4"/>
        <v> </v>
      </c>
      <c r="W1790" s="86"/>
      <c r="X1790" s="86"/>
    </row>
    <row r="1791">
      <c r="A1791" s="201">
        <v>1.0</v>
      </c>
      <c r="B1791" s="202"/>
      <c r="C1791" s="203"/>
      <c r="D1791" s="204" t="str">
        <f>IFERROR(__xludf.DUMMYFUNCTION("ARRAYFORMULA(LET( converted, SUBSTITUTE( SUBSTITUTE( SUBSTITUTE( SUBSTITUTE( SUBSTITUTE( SUBSTITUTE( SUBSTITUTE( SUBSTITUTE( SUBSTITUTE( SUBSTITUTE( C1791, ""۰"", ""0""), ""۱"", ""1""), ""۲"", ""2""), ""۳"", ""3""), ""۴"", ""4""), ""۵"", ""5""), ""۶"", """&amp;"6""), ""۷"", ""7""), ""۸"", ""8""), ""۹"", ""9""), IF(LEFT(converted,3)=""+98"", ""0"" &amp; RIGHT(converted, LEN(converted)-3), IF(LEFT(converted,2)=""98"", ""0"" &amp; RIGHT(converted, LEN(converted)-2), IF(LEFT(converted,1)&lt;&gt;""0"", ""0"" &amp; converted, REGEXREPL"&amp;"ACE(converted , ""\s"", """")) ) ) ) )"),"0")</f>
        <v>0</v>
      </c>
      <c r="E1791" s="205"/>
      <c r="F1791" s="214"/>
      <c r="G1791" s="202"/>
      <c r="H1791" s="202"/>
      <c r="I1791" s="203"/>
      <c r="J1791" s="203"/>
      <c r="K1791" s="202"/>
      <c r="L1791" s="202"/>
      <c r="M1791" s="202"/>
      <c r="N1791" s="202"/>
      <c r="O1791" s="202"/>
      <c r="P1791" s="202"/>
      <c r="Q1791" s="208"/>
      <c r="R1791" s="86"/>
      <c r="S1791" s="114">
        <f t="shared" ref="S1791:T1791" si="1794">A1791</f>
        <v>1</v>
      </c>
      <c r="T1791" s="114" t="str">
        <f t="shared" si="1794"/>
        <v/>
      </c>
      <c r="U1791" s="86" t="str">
        <f t="shared" si="3"/>
        <v>0</v>
      </c>
      <c r="V1791" s="86" t="str">
        <f t="shared" si="4"/>
        <v> </v>
      </c>
      <c r="W1791" s="86"/>
      <c r="X1791" s="86"/>
    </row>
    <row r="1792">
      <c r="A1792" s="192">
        <v>1.0</v>
      </c>
      <c r="B1792" s="193"/>
      <c r="C1792" s="194"/>
      <c r="D1792" s="195" t="str">
        <f>IFERROR(__xludf.DUMMYFUNCTION("ARRAYFORMULA(LET( converted, SUBSTITUTE( SUBSTITUTE( SUBSTITUTE( SUBSTITUTE( SUBSTITUTE( SUBSTITUTE( SUBSTITUTE( SUBSTITUTE( SUBSTITUTE( SUBSTITUTE( C1792, ""۰"", ""0""), ""۱"", ""1""), ""۲"", ""2""), ""۳"", ""3""), ""۴"", ""4""), ""۵"", ""5""), ""۶"", """&amp;"6""), ""۷"", ""7""), ""۸"", ""8""), ""۹"", ""9""), IF(LEFT(converted,3)=""+98"", ""0"" &amp; RIGHT(converted, LEN(converted)-3), IF(LEFT(converted,2)=""98"", ""0"" &amp; RIGHT(converted, LEN(converted)-2), IF(LEFT(converted,1)&lt;&gt;""0"", ""0"" &amp; converted, REGEXREPL"&amp;"ACE(converted , ""\s"", """")) ) ) ) )"),"0")</f>
        <v>0</v>
      </c>
      <c r="E1792" s="196"/>
      <c r="F1792" s="221"/>
      <c r="G1792" s="193"/>
      <c r="H1792" s="193"/>
      <c r="I1792" s="194"/>
      <c r="J1792" s="194"/>
      <c r="K1792" s="193"/>
      <c r="L1792" s="193"/>
      <c r="M1792" s="193"/>
      <c r="N1792" s="193"/>
      <c r="O1792" s="193"/>
      <c r="P1792" s="193"/>
      <c r="Q1792" s="200"/>
      <c r="R1792" s="86"/>
      <c r="S1792" s="114">
        <f t="shared" ref="S1792:T1792" si="1795">A1792</f>
        <v>1</v>
      </c>
      <c r="T1792" s="114" t="str">
        <f t="shared" si="1795"/>
        <v/>
      </c>
      <c r="U1792" s="86" t="str">
        <f t="shared" si="3"/>
        <v>0</v>
      </c>
      <c r="V1792" s="86" t="str">
        <f t="shared" si="4"/>
        <v> </v>
      </c>
      <c r="W1792" s="86"/>
      <c r="X1792" s="86"/>
    </row>
    <row r="1793">
      <c r="A1793" s="201">
        <v>1.0</v>
      </c>
      <c r="B1793" s="202"/>
      <c r="C1793" s="203"/>
      <c r="D1793" s="204" t="str">
        <f>IFERROR(__xludf.DUMMYFUNCTION("ARRAYFORMULA(LET( converted, SUBSTITUTE( SUBSTITUTE( SUBSTITUTE( SUBSTITUTE( SUBSTITUTE( SUBSTITUTE( SUBSTITUTE( SUBSTITUTE( SUBSTITUTE( SUBSTITUTE( C1793, ""۰"", ""0""), ""۱"", ""1""), ""۲"", ""2""), ""۳"", ""3""), ""۴"", ""4""), ""۵"", ""5""), ""۶"", """&amp;"6""), ""۷"", ""7""), ""۸"", ""8""), ""۹"", ""9""), IF(LEFT(converted,3)=""+98"", ""0"" &amp; RIGHT(converted, LEN(converted)-3), IF(LEFT(converted,2)=""98"", ""0"" &amp; RIGHT(converted, LEN(converted)-2), IF(LEFT(converted,1)&lt;&gt;""0"", ""0"" &amp; converted, REGEXREPL"&amp;"ACE(converted , ""\s"", """")) ) ) ) )"),"0")</f>
        <v>0</v>
      </c>
      <c r="E1793" s="205"/>
      <c r="F1793" s="214"/>
      <c r="G1793" s="202"/>
      <c r="H1793" s="202"/>
      <c r="I1793" s="203"/>
      <c r="J1793" s="203"/>
      <c r="K1793" s="202"/>
      <c r="L1793" s="202"/>
      <c r="M1793" s="202"/>
      <c r="N1793" s="202"/>
      <c r="O1793" s="202"/>
      <c r="P1793" s="202"/>
      <c r="Q1793" s="208"/>
      <c r="R1793" s="86"/>
      <c r="S1793" s="114">
        <f t="shared" ref="S1793:T1793" si="1796">A1793</f>
        <v>1</v>
      </c>
      <c r="T1793" s="114" t="str">
        <f t="shared" si="1796"/>
        <v/>
      </c>
      <c r="U1793" s="86" t="str">
        <f t="shared" si="3"/>
        <v>0</v>
      </c>
      <c r="V1793" s="86" t="str">
        <f t="shared" si="4"/>
        <v> </v>
      </c>
      <c r="W1793" s="86"/>
      <c r="X1793" s="86"/>
    </row>
    <row r="1794">
      <c r="A1794" s="192">
        <v>1.0</v>
      </c>
      <c r="B1794" s="193"/>
      <c r="C1794" s="194"/>
      <c r="D1794" s="195" t="str">
        <f>IFERROR(__xludf.DUMMYFUNCTION("ARRAYFORMULA(LET( converted, SUBSTITUTE( SUBSTITUTE( SUBSTITUTE( SUBSTITUTE( SUBSTITUTE( SUBSTITUTE( SUBSTITUTE( SUBSTITUTE( SUBSTITUTE( SUBSTITUTE( C1794, ""۰"", ""0""), ""۱"", ""1""), ""۲"", ""2""), ""۳"", ""3""), ""۴"", ""4""), ""۵"", ""5""), ""۶"", """&amp;"6""), ""۷"", ""7""), ""۸"", ""8""), ""۹"", ""9""), IF(LEFT(converted,3)=""+98"", ""0"" &amp; RIGHT(converted, LEN(converted)-3), IF(LEFT(converted,2)=""98"", ""0"" &amp; RIGHT(converted, LEN(converted)-2), IF(LEFT(converted,1)&lt;&gt;""0"", ""0"" &amp; converted, REGEXREPL"&amp;"ACE(converted , ""\s"", """")) ) ) ) )"),"0")</f>
        <v>0</v>
      </c>
      <c r="E1794" s="196"/>
      <c r="F1794" s="221"/>
      <c r="G1794" s="193"/>
      <c r="H1794" s="193"/>
      <c r="I1794" s="194"/>
      <c r="J1794" s="194"/>
      <c r="K1794" s="193"/>
      <c r="L1794" s="193"/>
      <c r="M1794" s="193"/>
      <c r="N1794" s="193"/>
      <c r="O1794" s="193"/>
      <c r="P1794" s="193"/>
      <c r="Q1794" s="200"/>
      <c r="R1794" s="86"/>
      <c r="S1794" s="114">
        <f t="shared" ref="S1794:T1794" si="1797">A1794</f>
        <v>1</v>
      </c>
      <c r="T1794" s="114" t="str">
        <f t="shared" si="1797"/>
        <v/>
      </c>
      <c r="U1794" s="86" t="str">
        <f t="shared" si="3"/>
        <v>0</v>
      </c>
      <c r="V1794" s="86" t="str">
        <f t="shared" si="4"/>
        <v> </v>
      </c>
      <c r="W1794" s="86"/>
      <c r="X1794" s="86"/>
    </row>
    <row r="1795">
      <c r="A1795" s="201">
        <v>1.0</v>
      </c>
      <c r="B1795" s="202"/>
      <c r="C1795" s="203"/>
      <c r="D1795" s="204" t="str">
        <f>IFERROR(__xludf.DUMMYFUNCTION("ARRAYFORMULA(LET( converted, SUBSTITUTE( SUBSTITUTE( SUBSTITUTE( SUBSTITUTE( SUBSTITUTE( SUBSTITUTE( SUBSTITUTE( SUBSTITUTE( SUBSTITUTE( SUBSTITUTE( C1795, ""۰"", ""0""), ""۱"", ""1""), ""۲"", ""2""), ""۳"", ""3""), ""۴"", ""4""), ""۵"", ""5""), ""۶"", """&amp;"6""), ""۷"", ""7""), ""۸"", ""8""), ""۹"", ""9""), IF(LEFT(converted,3)=""+98"", ""0"" &amp; RIGHT(converted, LEN(converted)-3), IF(LEFT(converted,2)=""98"", ""0"" &amp; RIGHT(converted, LEN(converted)-2), IF(LEFT(converted,1)&lt;&gt;""0"", ""0"" &amp; converted, REGEXREPL"&amp;"ACE(converted , ""\s"", """")) ) ) ) )"),"0")</f>
        <v>0</v>
      </c>
      <c r="E1795" s="205"/>
      <c r="F1795" s="214"/>
      <c r="G1795" s="202"/>
      <c r="H1795" s="202"/>
      <c r="I1795" s="203"/>
      <c r="J1795" s="203"/>
      <c r="K1795" s="202"/>
      <c r="L1795" s="202"/>
      <c r="M1795" s="202"/>
      <c r="N1795" s="202"/>
      <c r="O1795" s="202"/>
      <c r="P1795" s="202"/>
      <c r="Q1795" s="208"/>
      <c r="R1795" s="86"/>
      <c r="S1795" s="114">
        <f t="shared" ref="S1795:T1795" si="1798">A1795</f>
        <v>1</v>
      </c>
      <c r="T1795" s="114" t="str">
        <f t="shared" si="1798"/>
        <v/>
      </c>
      <c r="U1795" s="86" t="str">
        <f t="shared" si="3"/>
        <v>0</v>
      </c>
      <c r="V1795" s="86" t="str">
        <f t="shared" si="4"/>
        <v> </v>
      </c>
      <c r="W1795" s="86"/>
      <c r="X1795" s="86"/>
    </row>
    <row r="1796">
      <c r="A1796" s="192">
        <v>1.0</v>
      </c>
      <c r="B1796" s="193"/>
      <c r="C1796" s="194"/>
      <c r="D1796" s="195" t="str">
        <f>IFERROR(__xludf.DUMMYFUNCTION("ARRAYFORMULA(LET( converted, SUBSTITUTE( SUBSTITUTE( SUBSTITUTE( SUBSTITUTE( SUBSTITUTE( SUBSTITUTE( SUBSTITUTE( SUBSTITUTE( SUBSTITUTE( SUBSTITUTE( C1796, ""۰"", ""0""), ""۱"", ""1""), ""۲"", ""2""), ""۳"", ""3""), ""۴"", ""4""), ""۵"", ""5""), ""۶"", """&amp;"6""), ""۷"", ""7""), ""۸"", ""8""), ""۹"", ""9""), IF(LEFT(converted,3)=""+98"", ""0"" &amp; RIGHT(converted, LEN(converted)-3), IF(LEFT(converted,2)=""98"", ""0"" &amp; RIGHT(converted, LEN(converted)-2), IF(LEFT(converted,1)&lt;&gt;""0"", ""0"" &amp; converted, REGEXREPL"&amp;"ACE(converted , ""\s"", """")) ) ) ) )"),"0")</f>
        <v>0</v>
      </c>
      <c r="E1796" s="196"/>
      <c r="F1796" s="221"/>
      <c r="G1796" s="193"/>
      <c r="H1796" s="193"/>
      <c r="I1796" s="194"/>
      <c r="J1796" s="194"/>
      <c r="K1796" s="193"/>
      <c r="L1796" s="193"/>
      <c r="M1796" s="193"/>
      <c r="N1796" s="193"/>
      <c r="O1796" s="193"/>
      <c r="P1796" s="193"/>
      <c r="Q1796" s="200"/>
      <c r="R1796" s="86"/>
      <c r="S1796" s="114">
        <f t="shared" ref="S1796:T1796" si="1799">A1796</f>
        <v>1</v>
      </c>
      <c r="T1796" s="114" t="str">
        <f t="shared" si="1799"/>
        <v/>
      </c>
      <c r="U1796" s="86" t="str">
        <f t="shared" si="3"/>
        <v>0</v>
      </c>
      <c r="V1796" s="86" t="str">
        <f t="shared" si="4"/>
        <v> </v>
      </c>
      <c r="W1796" s="86"/>
      <c r="X1796" s="86"/>
    </row>
    <row r="1797">
      <c r="A1797" s="201">
        <v>1.0</v>
      </c>
      <c r="B1797" s="202"/>
      <c r="C1797" s="203"/>
      <c r="D1797" s="204" t="str">
        <f>IFERROR(__xludf.DUMMYFUNCTION("ARRAYFORMULA(LET( converted, SUBSTITUTE( SUBSTITUTE( SUBSTITUTE( SUBSTITUTE( SUBSTITUTE( SUBSTITUTE( SUBSTITUTE( SUBSTITUTE( SUBSTITUTE( SUBSTITUTE( C1797, ""۰"", ""0""), ""۱"", ""1""), ""۲"", ""2""), ""۳"", ""3""), ""۴"", ""4""), ""۵"", ""5""), ""۶"", """&amp;"6""), ""۷"", ""7""), ""۸"", ""8""), ""۹"", ""9""), IF(LEFT(converted,3)=""+98"", ""0"" &amp; RIGHT(converted, LEN(converted)-3), IF(LEFT(converted,2)=""98"", ""0"" &amp; RIGHT(converted, LEN(converted)-2), IF(LEFT(converted,1)&lt;&gt;""0"", ""0"" &amp; converted, REGEXREPL"&amp;"ACE(converted , ""\s"", """")) ) ) ) )"),"0")</f>
        <v>0</v>
      </c>
      <c r="E1797" s="205"/>
      <c r="F1797" s="214"/>
      <c r="G1797" s="202"/>
      <c r="H1797" s="202"/>
      <c r="I1797" s="203"/>
      <c r="J1797" s="203"/>
      <c r="K1797" s="202"/>
      <c r="L1797" s="202"/>
      <c r="M1797" s="202"/>
      <c r="N1797" s="202"/>
      <c r="O1797" s="202"/>
      <c r="P1797" s="202"/>
      <c r="Q1797" s="208"/>
      <c r="R1797" s="86"/>
      <c r="S1797" s="114">
        <f t="shared" ref="S1797:T1797" si="1800">A1797</f>
        <v>1</v>
      </c>
      <c r="T1797" s="114" t="str">
        <f t="shared" si="1800"/>
        <v/>
      </c>
      <c r="U1797" s="86" t="str">
        <f t="shared" si="3"/>
        <v>0</v>
      </c>
      <c r="V1797" s="86" t="str">
        <f t="shared" si="4"/>
        <v> </v>
      </c>
      <c r="W1797" s="86"/>
      <c r="X1797" s="86"/>
    </row>
    <row r="1798">
      <c r="A1798" s="192">
        <v>1.0</v>
      </c>
      <c r="B1798" s="193"/>
      <c r="C1798" s="194"/>
      <c r="D1798" s="195" t="str">
        <f>IFERROR(__xludf.DUMMYFUNCTION("ARRAYFORMULA(LET( converted, SUBSTITUTE( SUBSTITUTE( SUBSTITUTE( SUBSTITUTE( SUBSTITUTE( SUBSTITUTE( SUBSTITUTE( SUBSTITUTE( SUBSTITUTE( SUBSTITUTE( C1798, ""۰"", ""0""), ""۱"", ""1""), ""۲"", ""2""), ""۳"", ""3""), ""۴"", ""4""), ""۵"", ""5""), ""۶"", """&amp;"6""), ""۷"", ""7""), ""۸"", ""8""), ""۹"", ""9""), IF(LEFT(converted,3)=""+98"", ""0"" &amp; RIGHT(converted, LEN(converted)-3), IF(LEFT(converted,2)=""98"", ""0"" &amp; RIGHT(converted, LEN(converted)-2), IF(LEFT(converted,1)&lt;&gt;""0"", ""0"" &amp; converted, REGEXREPL"&amp;"ACE(converted , ""\s"", """")) ) ) ) )"),"0")</f>
        <v>0</v>
      </c>
      <c r="E1798" s="196"/>
      <c r="F1798" s="221"/>
      <c r="G1798" s="193"/>
      <c r="H1798" s="193"/>
      <c r="I1798" s="194"/>
      <c r="J1798" s="194"/>
      <c r="K1798" s="193"/>
      <c r="L1798" s="193"/>
      <c r="M1798" s="193"/>
      <c r="N1798" s="193"/>
      <c r="O1798" s="193"/>
      <c r="P1798" s="193"/>
      <c r="Q1798" s="200"/>
      <c r="R1798" s="86"/>
      <c r="S1798" s="114">
        <f t="shared" ref="S1798:T1798" si="1801">A1798</f>
        <v>1</v>
      </c>
      <c r="T1798" s="114" t="str">
        <f t="shared" si="1801"/>
        <v/>
      </c>
      <c r="U1798" s="86" t="str">
        <f t="shared" si="3"/>
        <v>0</v>
      </c>
      <c r="V1798" s="86" t="str">
        <f t="shared" si="4"/>
        <v> </v>
      </c>
      <c r="W1798" s="86"/>
      <c r="X1798" s="86"/>
    </row>
    <row r="1799">
      <c r="A1799" s="201">
        <v>1.0</v>
      </c>
      <c r="B1799" s="202"/>
      <c r="C1799" s="203"/>
      <c r="D1799" s="204" t="str">
        <f>IFERROR(__xludf.DUMMYFUNCTION("ARRAYFORMULA(LET( converted, SUBSTITUTE( SUBSTITUTE( SUBSTITUTE( SUBSTITUTE( SUBSTITUTE( SUBSTITUTE( SUBSTITUTE( SUBSTITUTE( SUBSTITUTE( SUBSTITUTE( C1799, ""۰"", ""0""), ""۱"", ""1""), ""۲"", ""2""), ""۳"", ""3""), ""۴"", ""4""), ""۵"", ""5""), ""۶"", """&amp;"6""), ""۷"", ""7""), ""۸"", ""8""), ""۹"", ""9""), IF(LEFT(converted,3)=""+98"", ""0"" &amp; RIGHT(converted, LEN(converted)-3), IF(LEFT(converted,2)=""98"", ""0"" &amp; RIGHT(converted, LEN(converted)-2), IF(LEFT(converted,1)&lt;&gt;""0"", ""0"" &amp; converted, REGEXREPL"&amp;"ACE(converted , ""\s"", """")) ) ) ) )"),"0")</f>
        <v>0</v>
      </c>
      <c r="E1799" s="205"/>
      <c r="F1799" s="214"/>
      <c r="G1799" s="202"/>
      <c r="H1799" s="202"/>
      <c r="I1799" s="203"/>
      <c r="J1799" s="203"/>
      <c r="K1799" s="202"/>
      <c r="L1799" s="202"/>
      <c r="M1799" s="202"/>
      <c r="N1799" s="202"/>
      <c r="O1799" s="202"/>
      <c r="P1799" s="202"/>
      <c r="Q1799" s="208"/>
      <c r="R1799" s="86"/>
      <c r="S1799" s="114">
        <f t="shared" ref="S1799:T1799" si="1802">A1799</f>
        <v>1</v>
      </c>
      <c r="T1799" s="114" t="str">
        <f t="shared" si="1802"/>
        <v/>
      </c>
      <c r="U1799" s="86" t="str">
        <f t="shared" si="3"/>
        <v>0</v>
      </c>
      <c r="V1799" s="86" t="str">
        <f t="shared" si="4"/>
        <v> </v>
      </c>
      <c r="W1799" s="86"/>
      <c r="X1799" s="86"/>
    </row>
    <row r="1800">
      <c r="A1800" s="192">
        <v>1.0</v>
      </c>
      <c r="B1800" s="193"/>
      <c r="C1800" s="194"/>
      <c r="D1800" s="195" t="str">
        <f>IFERROR(__xludf.DUMMYFUNCTION("ARRAYFORMULA(LET( converted, SUBSTITUTE( SUBSTITUTE( SUBSTITUTE( SUBSTITUTE( SUBSTITUTE( SUBSTITUTE( SUBSTITUTE( SUBSTITUTE( SUBSTITUTE( SUBSTITUTE( C1800, ""۰"", ""0""), ""۱"", ""1""), ""۲"", ""2""), ""۳"", ""3""), ""۴"", ""4""), ""۵"", ""5""), ""۶"", """&amp;"6""), ""۷"", ""7""), ""۸"", ""8""), ""۹"", ""9""), IF(LEFT(converted,3)=""+98"", ""0"" &amp; RIGHT(converted, LEN(converted)-3), IF(LEFT(converted,2)=""98"", ""0"" &amp; RIGHT(converted, LEN(converted)-2), IF(LEFT(converted,1)&lt;&gt;""0"", ""0"" &amp; converted, REGEXREPL"&amp;"ACE(converted , ""\s"", """")) ) ) ) )"),"0")</f>
        <v>0</v>
      </c>
      <c r="E1800" s="196"/>
      <c r="F1800" s="221"/>
      <c r="G1800" s="193"/>
      <c r="H1800" s="193"/>
      <c r="I1800" s="194"/>
      <c r="J1800" s="194"/>
      <c r="K1800" s="193"/>
      <c r="L1800" s="193"/>
      <c r="M1800" s="193"/>
      <c r="N1800" s="193"/>
      <c r="O1800" s="193"/>
      <c r="P1800" s="193"/>
      <c r="Q1800" s="200"/>
      <c r="R1800" s="86"/>
      <c r="S1800" s="114">
        <f t="shared" ref="S1800:T1800" si="1803">A1800</f>
        <v>1</v>
      </c>
      <c r="T1800" s="114" t="str">
        <f t="shared" si="1803"/>
        <v/>
      </c>
      <c r="U1800" s="86" t="str">
        <f t="shared" si="3"/>
        <v>0</v>
      </c>
      <c r="V1800" s="86" t="str">
        <f t="shared" si="4"/>
        <v> </v>
      </c>
      <c r="W1800" s="86"/>
      <c r="X1800" s="86"/>
    </row>
    <row r="1801">
      <c r="A1801" s="201">
        <v>1.0</v>
      </c>
      <c r="B1801" s="202"/>
      <c r="C1801" s="203"/>
      <c r="D1801" s="204" t="str">
        <f>IFERROR(__xludf.DUMMYFUNCTION("ARRAYFORMULA(LET( converted, SUBSTITUTE( SUBSTITUTE( SUBSTITUTE( SUBSTITUTE( SUBSTITUTE( SUBSTITUTE( SUBSTITUTE( SUBSTITUTE( SUBSTITUTE( SUBSTITUTE( C1801, ""۰"", ""0""), ""۱"", ""1""), ""۲"", ""2""), ""۳"", ""3""), ""۴"", ""4""), ""۵"", ""5""), ""۶"", """&amp;"6""), ""۷"", ""7""), ""۸"", ""8""), ""۹"", ""9""), IF(LEFT(converted,3)=""+98"", ""0"" &amp; RIGHT(converted, LEN(converted)-3), IF(LEFT(converted,2)=""98"", ""0"" &amp; RIGHT(converted, LEN(converted)-2), IF(LEFT(converted,1)&lt;&gt;""0"", ""0"" &amp; converted, REGEXREPL"&amp;"ACE(converted , ""\s"", """")) ) ) ) )"),"0")</f>
        <v>0</v>
      </c>
      <c r="E1801" s="205"/>
      <c r="F1801" s="214"/>
      <c r="G1801" s="202"/>
      <c r="H1801" s="202"/>
      <c r="I1801" s="203"/>
      <c r="J1801" s="203"/>
      <c r="K1801" s="202"/>
      <c r="L1801" s="202"/>
      <c r="M1801" s="202"/>
      <c r="N1801" s="202"/>
      <c r="O1801" s="202"/>
      <c r="P1801" s="202"/>
      <c r="Q1801" s="208"/>
      <c r="R1801" s="86"/>
      <c r="S1801" s="114">
        <f t="shared" ref="S1801:T1801" si="1804">A1801</f>
        <v>1</v>
      </c>
      <c r="T1801" s="114" t="str">
        <f t="shared" si="1804"/>
        <v/>
      </c>
      <c r="U1801" s="86" t="str">
        <f t="shared" si="3"/>
        <v>0</v>
      </c>
      <c r="V1801" s="86" t="str">
        <f t="shared" si="4"/>
        <v> </v>
      </c>
      <c r="W1801" s="86"/>
      <c r="X1801" s="86"/>
    </row>
    <row r="1802">
      <c r="A1802" s="192">
        <v>1.0</v>
      </c>
      <c r="B1802" s="193"/>
      <c r="C1802" s="194"/>
      <c r="D1802" s="195" t="str">
        <f>IFERROR(__xludf.DUMMYFUNCTION("ARRAYFORMULA(LET( converted, SUBSTITUTE( SUBSTITUTE( SUBSTITUTE( SUBSTITUTE( SUBSTITUTE( SUBSTITUTE( SUBSTITUTE( SUBSTITUTE( SUBSTITUTE( SUBSTITUTE( C1802, ""۰"", ""0""), ""۱"", ""1""), ""۲"", ""2""), ""۳"", ""3""), ""۴"", ""4""), ""۵"", ""5""), ""۶"", """&amp;"6""), ""۷"", ""7""), ""۸"", ""8""), ""۹"", ""9""), IF(LEFT(converted,3)=""+98"", ""0"" &amp; RIGHT(converted, LEN(converted)-3), IF(LEFT(converted,2)=""98"", ""0"" &amp; RIGHT(converted, LEN(converted)-2), IF(LEFT(converted,1)&lt;&gt;""0"", ""0"" &amp; converted, REGEXREPL"&amp;"ACE(converted , ""\s"", """")) ) ) ) )"),"0")</f>
        <v>0</v>
      </c>
      <c r="E1802" s="196"/>
      <c r="F1802" s="221"/>
      <c r="G1802" s="193"/>
      <c r="H1802" s="193"/>
      <c r="I1802" s="194"/>
      <c r="J1802" s="194"/>
      <c r="K1802" s="193"/>
      <c r="L1802" s="193"/>
      <c r="M1802" s="193"/>
      <c r="N1802" s="193"/>
      <c r="O1802" s="193"/>
      <c r="P1802" s="193"/>
      <c r="Q1802" s="200"/>
      <c r="R1802" s="86"/>
      <c r="S1802" s="114">
        <f t="shared" ref="S1802:T1802" si="1805">A1802</f>
        <v>1</v>
      </c>
      <c r="T1802" s="114" t="str">
        <f t="shared" si="1805"/>
        <v/>
      </c>
      <c r="U1802" s="86" t="str">
        <f t="shared" si="3"/>
        <v>0</v>
      </c>
      <c r="V1802" s="86" t="str">
        <f t="shared" si="4"/>
        <v> </v>
      </c>
      <c r="W1802" s="86"/>
      <c r="X1802" s="86"/>
    </row>
    <row r="1803">
      <c r="A1803" s="201">
        <v>1.0</v>
      </c>
      <c r="B1803" s="202"/>
      <c r="C1803" s="203"/>
      <c r="D1803" s="204" t="str">
        <f>IFERROR(__xludf.DUMMYFUNCTION("ARRAYFORMULA(LET( converted, SUBSTITUTE( SUBSTITUTE( SUBSTITUTE( SUBSTITUTE( SUBSTITUTE( SUBSTITUTE( SUBSTITUTE( SUBSTITUTE( SUBSTITUTE( SUBSTITUTE( C1803, ""۰"", ""0""), ""۱"", ""1""), ""۲"", ""2""), ""۳"", ""3""), ""۴"", ""4""), ""۵"", ""5""), ""۶"", """&amp;"6""), ""۷"", ""7""), ""۸"", ""8""), ""۹"", ""9""), IF(LEFT(converted,3)=""+98"", ""0"" &amp; RIGHT(converted, LEN(converted)-3), IF(LEFT(converted,2)=""98"", ""0"" &amp; RIGHT(converted, LEN(converted)-2), IF(LEFT(converted,1)&lt;&gt;""0"", ""0"" &amp; converted, REGEXREPL"&amp;"ACE(converted , ""\s"", """")) ) ) ) )"),"0")</f>
        <v>0</v>
      </c>
      <c r="E1803" s="205"/>
      <c r="F1803" s="214"/>
      <c r="G1803" s="202"/>
      <c r="H1803" s="202"/>
      <c r="I1803" s="203"/>
      <c r="J1803" s="203"/>
      <c r="K1803" s="202"/>
      <c r="L1803" s="202"/>
      <c r="M1803" s="202"/>
      <c r="N1803" s="202"/>
      <c r="O1803" s="202"/>
      <c r="P1803" s="202"/>
      <c r="Q1803" s="208"/>
      <c r="R1803" s="86"/>
      <c r="S1803" s="114">
        <f t="shared" ref="S1803:T1803" si="1806">A1803</f>
        <v>1</v>
      </c>
      <c r="T1803" s="114" t="str">
        <f t="shared" si="1806"/>
        <v/>
      </c>
      <c r="U1803" s="86" t="str">
        <f t="shared" si="3"/>
        <v>0</v>
      </c>
      <c r="V1803" s="86" t="str">
        <f t="shared" si="4"/>
        <v> </v>
      </c>
      <c r="W1803" s="86"/>
      <c r="X1803" s="86"/>
    </row>
    <row r="1804">
      <c r="A1804" s="192">
        <v>1.0</v>
      </c>
      <c r="B1804" s="193"/>
      <c r="C1804" s="194"/>
      <c r="D1804" s="195" t="str">
        <f>IFERROR(__xludf.DUMMYFUNCTION("ARRAYFORMULA(LET( converted, SUBSTITUTE( SUBSTITUTE( SUBSTITUTE( SUBSTITUTE( SUBSTITUTE( SUBSTITUTE( SUBSTITUTE( SUBSTITUTE( SUBSTITUTE( SUBSTITUTE( C1804, ""۰"", ""0""), ""۱"", ""1""), ""۲"", ""2""), ""۳"", ""3""), ""۴"", ""4""), ""۵"", ""5""), ""۶"", """&amp;"6""), ""۷"", ""7""), ""۸"", ""8""), ""۹"", ""9""), IF(LEFT(converted,3)=""+98"", ""0"" &amp; RIGHT(converted, LEN(converted)-3), IF(LEFT(converted,2)=""98"", ""0"" &amp; RIGHT(converted, LEN(converted)-2), IF(LEFT(converted,1)&lt;&gt;""0"", ""0"" &amp; converted, REGEXREPL"&amp;"ACE(converted , ""\s"", """")) ) ) ) )"),"0")</f>
        <v>0</v>
      </c>
      <c r="E1804" s="196"/>
      <c r="F1804" s="221"/>
      <c r="G1804" s="193"/>
      <c r="H1804" s="193"/>
      <c r="I1804" s="194"/>
      <c r="J1804" s="194"/>
      <c r="K1804" s="193"/>
      <c r="L1804" s="193"/>
      <c r="M1804" s="193"/>
      <c r="N1804" s="193"/>
      <c r="O1804" s="193"/>
      <c r="P1804" s="193"/>
      <c r="Q1804" s="200"/>
      <c r="R1804" s="86"/>
      <c r="S1804" s="114">
        <f t="shared" ref="S1804:T1804" si="1807">A1804</f>
        <v>1</v>
      </c>
      <c r="T1804" s="114" t="str">
        <f t="shared" si="1807"/>
        <v/>
      </c>
      <c r="U1804" s="86" t="str">
        <f t="shared" si="3"/>
        <v>0</v>
      </c>
      <c r="V1804" s="86" t="str">
        <f t="shared" si="4"/>
        <v> </v>
      </c>
      <c r="W1804" s="86"/>
      <c r="X1804" s="86"/>
    </row>
    <row r="1805">
      <c r="A1805" s="201">
        <v>1.0</v>
      </c>
      <c r="B1805" s="202"/>
      <c r="C1805" s="203"/>
      <c r="D1805" s="204" t="str">
        <f>IFERROR(__xludf.DUMMYFUNCTION("ARRAYFORMULA(LET( converted, SUBSTITUTE( SUBSTITUTE( SUBSTITUTE( SUBSTITUTE( SUBSTITUTE( SUBSTITUTE( SUBSTITUTE( SUBSTITUTE( SUBSTITUTE( SUBSTITUTE( C1805, ""۰"", ""0""), ""۱"", ""1""), ""۲"", ""2""), ""۳"", ""3""), ""۴"", ""4""), ""۵"", ""5""), ""۶"", """&amp;"6""), ""۷"", ""7""), ""۸"", ""8""), ""۹"", ""9""), IF(LEFT(converted,3)=""+98"", ""0"" &amp; RIGHT(converted, LEN(converted)-3), IF(LEFT(converted,2)=""98"", ""0"" &amp; RIGHT(converted, LEN(converted)-2), IF(LEFT(converted,1)&lt;&gt;""0"", ""0"" &amp; converted, REGEXREPL"&amp;"ACE(converted , ""\s"", """")) ) ) ) )"),"0")</f>
        <v>0</v>
      </c>
      <c r="E1805" s="205"/>
      <c r="F1805" s="214"/>
      <c r="G1805" s="202"/>
      <c r="H1805" s="202"/>
      <c r="I1805" s="203"/>
      <c r="J1805" s="203"/>
      <c r="K1805" s="202"/>
      <c r="L1805" s="202"/>
      <c r="M1805" s="202"/>
      <c r="N1805" s="202"/>
      <c r="O1805" s="202"/>
      <c r="P1805" s="202"/>
      <c r="Q1805" s="208"/>
      <c r="R1805" s="86"/>
      <c r="S1805" s="114">
        <f t="shared" ref="S1805:T1805" si="1808">A1805</f>
        <v>1</v>
      </c>
      <c r="T1805" s="114" t="str">
        <f t="shared" si="1808"/>
        <v/>
      </c>
      <c r="U1805" s="86" t="str">
        <f t="shared" si="3"/>
        <v>0</v>
      </c>
      <c r="V1805" s="86" t="str">
        <f t="shared" si="4"/>
        <v> </v>
      </c>
      <c r="W1805" s="86"/>
      <c r="X1805" s="86"/>
    </row>
    <row r="1806">
      <c r="A1806" s="192">
        <v>1.0</v>
      </c>
      <c r="B1806" s="193"/>
      <c r="C1806" s="194"/>
      <c r="D1806" s="195" t="str">
        <f>IFERROR(__xludf.DUMMYFUNCTION("ARRAYFORMULA(LET( converted, SUBSTITUTE( SUBSTITUTE( SUBSTITUTE( SUBSTITUTE( SUBSTITUTE( SUBSTITUTE( SUBSTITUTE( SUBSTITUTE( SUBSTITUTE( SUBSTITUTE( C1806, ""۰"", ""0""), ""۱"", ""1""), ""۲"", ""2""), ""۳"", ""3""), ""۴"", ""4""), ""۵"", ""5""), ""۶"", """&amp;"6""), ""۷"", ""7""), ""۸"", ""8""), ""۹"", ""9""), IF(LEFT(converted,3)=""+98"", ""0"" &amp; RIGHT(converted, LEN(converted)-3), IF(LEFT(converted,2)=""98"", ""0"" &amp; RIGHT(converted, LEN(converted)-2), IF(LEFT(converted,1)&lt;&gt;""0"", ""0"" &amp; converted, REGEXREPL"&amp;"ACE(converted , ""\s"", """")) ) ) ) )"),"0")</f>
        <v>0</v>
      </c>
      <c r="E1806" s="196"/>
      <c r="F1806" s="221"/>
      <c r="G1806" s="193"/>
      <c r="H1806" s="193"/>
      <c r="I1806" s="194"/>
      <c r="J1806" s="194"/>
      <c r="K1806" s="193"/>
      <c r="L1806" s="193"/>
      <c r="M1806" s="193"/>
      <c r="N1806" s="193"/>
      <c r="O1806" s="193"/>
      <c r="P1806" s="193"/>
      <c r="Q1806" s="200"/>
      <c r="R1806" s="86"/>
      <c r="S1806" s="114">
        <f t="shared" ref="S1806:T1806" si="1809">A1806</f>
        <v>1</v>
      </c>
      <c r="T1806" s="114" t="str">
        <f t="shared" si="1809"/>
        <v/>
      </c>
      <c r="U1806" s="86" t="str">
        <f t="shared" si="3"/>
        <v>0</v>
      </c>
      <c r="V1806" s="86" t="str">
        <f t="shared" si="4"/>
        <v> </v>
      </c>
      <c r="W1806" s="86"/>
      <c r="X1806" s="86"/>
    </row>
    <row r="1807">
      <c r="A1807" s="201">
        <v>1.0</v>
      </c>
      <c r="B1807" s="202"/>
      <c r="C1807" s="203"/>
      <c r="D1807" s="204" t="str">
        <f>IFERROR(__xludf.DUMMYFUNCTION("ARRAYFORMULA(LET( converted, SUBSTITUTE( SUBSTITUTE( SUBSTITUTE( SUBSTITUTE( SUBSTITUTE( SUBSTITUTE( SUBSTITUTE( SUBSTITUTE( SUBSTITUTE( SUBSTITUTE( C1807, ""۰"", ""0""), ""۱"", ""1""), ""۲"", ""2""), ""۳"", ""3""), ""۴"", ""4""), ""۵"", ""5""), ""۶"", """&amp;"6""), ""۷"", ""7""), ""۸"", ""8""), ""۹"", ""9""), IF(LEFT(converted,3)=""+98"", ""0"" &amp; RIGHT(converted, LEN(converted)-3), IF(LEFT(converted,2)=""98"", ""0"" &amp; RIGHT(converted, LEN(converted)-2), IF(LEFT(converted,1)&lt;&gt;""0"", ""0"" &amp; converted, REGEXREPL"&amp;"ACE(converted , ""\s"", """")) ) ) ) )"),"0")</f>
        <v>0</v>
      </c>
      <c r="E1807" s="205"/>
      <c r="F1807" s="214"/>
      <c r="G1807" s="202"/>
      <c r="H1807" s="202"/>
      <c r="I1807" s="203"/>
      <c r="J1807" s="203"/>
      <c r="K1807" s="202"/>
      <c r="L1807" s="202"/>
      <c r="M1807" s="202"/>
      <c r="N1807" s="202"/>
      <c r="O1807" s="202"/>
      <c r="P1807" s="202"/>
      <c r="Q1807" s="208"/>
      <c r="R1807" s="86"/>
      <c r="S1807" s="114">
        <f t="shared" ref="S1807:T1807" si="1810">A1807</f>
        <v>1</v>
      </c>
      <c r="T1807" s="114" t="str">
        <f t="shared" si="1810"/>
        <v/>
      </c>
      <c r="U1807" s="86" t="str">
        <f t="shared" si="3"/>
        <v>0</v>
      </c>
      <c r="V1807" s="86" t="str">
        <f t="shared" si="4"/>
        <v> </v>
      </c>
      <c r="W1807" s="86"/>
      <c r="X1807" s="86"/>
    </row>
    <row r="1808">
      <c r="A1808" s="192">
        <v>1.0</v>
      </c>
      <c r="B1808" s="193"/>
      <c r="C1808" s="194"/>
      <c r="D1808" s="195" t="str">
        <f>IFERROR(__xludf.DUMMYFUNCTION("ARRAYFORMULA(LET( converted, SUBSTITUTE( SUBSTITUTE( SUBSTITUTE( SUBSTITUTE( SUBSTITUTE( SUBSTITUTE( SUBSTITUTE( SUBSTITUTE( SUBSTITUTE( SUBSTITUTE( C1808, ""۰"", ""0""), ""۱"", ""1""), ""۲"", ""2""), ""۳"", ""3""), ""۴"", ""4""), ""۵"", ""5""), ""۶"", """&amp;"6""), ""۷"", ""7""), ""۸"", ""8""), ""۹"", ""9""), IF(LEFT(converted,3)=""+98"", ""0"" &amp; RIGHT(converted, LEN(converted)-3), IF(LEFT(converted,2)=""98"", ""0"" &amp; RIGHT(converted, LEN(converted)-2), IF(LEFT(converted,1)&lt;&gt;""0"", ""0"" &amp; converted, REGEXREPL"&amp;"ACE(converted , ""\s"", """")) ) ) ) )"),"0")</f>
        <v>0</v>
      </c>
      <c r="E1808" s="196"/>
      <c r="F1808" s="221"/>
      <c r="G1808" s="193"/>
      <c r="H1808" s="193"/>
      <c r="I1808" s="194"/>
      <c r="J1808" s="194"/>
      <c r="K1808" s="193"/>
      <c r="L1808" s="193"/>
      <c r="M1808" s="193"/>
      <c r="N1808" s="193"/>
      <c r="O1808" s="193"/>
      <c r="P1808" s="193"/>
      <c r="Q1808" s="200"/>
      <c r="R1808" s="86"/>
      <c r="S1808" s="114">
        <f t="shared" ref="S1808:T1808" si="1811">A1808</f>
        <v>1</v>
      </c>
      <c r="T1808" s="114" t="str">
        <f t="shared" si="1811"/>
        <v/>
      </c>
      <c r="U1808" s="86" t="str">
        <f t="shared" si="3"/>
        <v>0</v>
      </c>
      <c r="V1808" s="86" t="str">
        <f t="shared" si="4"/>
        <v> </v>
      </c>
      <c r="W1808" s="86"/>
      <c r="X1808" s="86"/>
    </row>
    <row r="1809">
      <c r="A1809" s="201">
        <v>1.0</v>
      </c>
      <c r="B1809" s="202"/>
      <c r="C1809" s="203"/>
      <c r="D1809" s="204" t="str">
        <f>IFERROR(__xludf.DUMMYFUNCTION("ARRAYFORMULA(LET( converted, SUBSTITUTE( SUBSTITUTE( SUBSTITUTE( SUBSTITUTE( SUBSTITUTE( SUBSTITUTE( SUBSTITUTE( SUBSTITUTE( SUBSTITUTE( SUBSTITUTE( C1809, ""۰"", ""0""), ""۱"", ""1""), ""۲"", ""2""), ""۳"", ""3""), ""۴"", ""4""), ""۵"", ""5""), ""۶"", """&amp;"6""), ""۷"", ""7""), ""۸"", ""8""), ""۹"", ""9""), IF(LEFT(converted,3)=""+98"", ""0"" &amp; RIGHT(converted, LEN(converted)-3), IF(LEFT(converted,2)=""98"", ""0"" &amp; RIGHT(converted, LEN(converted)-2), IF(LEFT(converted,1)&lt;&gt;""0"", ""0"" &amp; converted, REGEXREPL"&amp;"ACE(converted , ""\s"", """")) ) ) ) )"),"0")</f>
        <v>0</v>
      </c>
      <c r="E1809" s="205"/>
      <c r="F1809" s="214"/>
      <c r="G1809" s="202"/>
      <c r="H1809" s="202"/>
      <c r="I1809" s="203"/>
      <c r="J1809" s="203"/>
      <c r="K1809" s="202"/>
      <c r="L1809" s="202"/>
      <c r="M1809" s="202"/>
      <c r="N1809" s="202"/>
      <c r="O1809" s="202"/>
      <c r="P1809" s="202"/>
      <c r="Q1809" s="208"/>
      <c r="R1809" s="86"/>
      <c r="S1809" s="114">
        <f t="shared" ref="S1809:T1809" si="1812">A1809</f>
        <v>1</v>
      </c>
      <c r="T1809" s="114" t="str">
        <f t="shared" si="1812"/>
        <v/>
      </c>
      <c r="U1809" s="86" t="str">
        <f t="shared" si="3"/>
        <v>0</v>
      </c>
      <c r="V1809" s="86" t="str">
        <f t="shared" si="4"/>
        <v> </v>
      </c>
      <c r="W1809" s="86"/>
      <c r="X1809" s="86"/>
    </row>
    <row r="1810">
      <c r="A1810" s="192">
        <v>1.0</v>
      </c>
      <c r="B1810" s="193"/>
      <c r="C1810" s="194"/>
      <c r="D1810" s="195" t="str">
        <f>IFERROR(__xludf.DUMMYFUNCTION("ARRAYFORMULA(LET( converted, SUBSTITUTE( SUBSTITUTE( SUBSTITUTE( SUBSTITUTE( SUBSTITUTE( SUBSTITUTE( SUBSTITUTE( SUBSTITUTE( SUBSTITUTE( SUBSTITUTE( C1810, ""۰"", ""0""), ""۱"", ""1""), ""۲"", ""2""), ""۳"", ""3""), ""۴"", ""4""), ""۵"", ""5""), ""۶"", """&amp;"6""), ""۷"", ""7""), ""۸"", ""8""), ""۹"", ""9""), IF(LEFT(converted,3)=""+98"", ""0"" &amp; RIGHT(converted, LEN(converted)-3), IF(LEFT(converted,2)=""98"", ""0"" &amp; RIGHT(converted, LEN(converted)-2), IF(LEFT(converted,1)&lt;&gt;""0"", ""0"" &amp; converted, REGEXREPL"&amp;"ACE(converted , ""\s"", """")) ) ) ) )"),"0")</f>
        <v>0</v>
      </c>
      <c r="E1810" s="196"/>
      <c r="F1810" s="221"/>
      <c r="G1810" s="193"/>
      <c r="H1810" s="193"/>
      <c r="I1810" s="194"/>
      <c r="J1810" s="194"/>
      <c r="K1810" s="193"/>
      <c r="L1810" s="193"/>
      <c r="M1810" s="193"/>
      <c r="N1810" s="193"/>
      <c r="O1810" s="193"/>
      <c r="P1810" s="193"/>
      <c r="Q1810" s="200"/>
      <c r="R1810" s="86"/>
      <c r="S1810" s="114">
        <f t="shared" ref="S1810:T1810" si="1813">A1810</f>
        <v>1</v>
      </c>
      <c r="T1810" s="114" t="str">
        <f t="shared" si="1813"/>
        <v/>
      </c>
      <c r="U1810" s="86" t="str">
        <f t="shared" si="3"/>
        <v>0</v>
      </c>
      <c r="V1810" s="86" t="str">
        <f t="shared" si="4"/>
        <v> </v>
      </c>
      <c r="W1810" s="86"/>
      <c r="X1810" s="86"/>
    </row>
    <row r="1811">
      <c r="A1811" s="201">
        <v>1.0</v>
      </c>
      <c r="B1811" s="202"/>
      <c r="C1811" s="203"/>
      <c r="D1811" s="204" t="str">
        <f>IFERROR(__xludf.DUMMYFUNCTION("ARRAYFORMULA(LET( converted, SUBSTITUTE( SUBSTITUTE( SUBSTITUTE( SUBSTITUTE( SUBSTITUTE( SUBSTITUTE( SUBSTITUTE( SUBSTITUTE( SUBSTITUTE( SUBSTITUTE( C1811, ""۰"", ""0""), ""۱"", ""1""), ""۲"", ""2""), ""۳"", ""3""), ""۴"", ""4""), ""۵"", ""5""), ""۶"", """&amp;"6""), ""۷"", ""7""), ""۸"", ""8""), ""۹"", ""9""), IF(LEFT(converted,3)=""+98"", ""0"" &amp; RIGHT(converted, LEN(converted)-3), IF(LEFT(converted,2)=""98"", ""0"" &amp; RIGHT(converted, LEN(converted)-2), IF(LEFT(converted,1)&lt;&gt;""0"", ""0"" &amp; converted, REGEXREPL"&amp;"ACE(converted , ""\s"", """")) ) ) ) )"),"0")</f>
        <v>0</v>
      </c>
      <c r="E1811" s="205"/>
      <c r="F1811" s="214"/>
      <c r="G1811" s="202"/>
      <c r="H1811" s="202"/>
      <c r="I1811" s="203"/>
      <c r="J1811" s="203"/>
      <c r="K1811" s="202"/>
      <c r="L1811" s="202"/>
      <c r="M1811" s="202"/>
      <c r="N1811" s="202"/>
      <c r="O1811" s="202"/>
      <c r="P1811" s="202"/>
      <c r="Q1811" s="208"/>
      <c r="R1811" s="86"/>
      <c r="S1811" s="114">
        <f t="shared" ref="S1811:T1811" si="1814">A1811</f>
        <v>1</v>
      </c>
      <c r="T1811" s="114" t="str">
        <f t="shared" si="1814"/>
        <v/>
      </c>
      <c r="U1811" s="86" t="str">
        <f t="shared" si="3"/>
        <v>0</v>
      </c>
      <c r="V1811" s="86" t="str">
        <f t="shared" si="4"/>
        <v> </v>
      </c>
      <c r="W1811" s="86"/>
      <c r="X1811" s="86"/>
    </row>
    <row r="1812">
      <c r="A1812" s="192">
        <v>1.0</v>
      </c>
      <c r="B1812" s="193"/>
      <c r="C1812" s="194"/>
      <c r="D1812" s="195" t="str">
        <f>IFERROR(__xludf.DUMMYFUNCTION("ARRAYFORMULA(LET( converted, SUBSTITUTE( SUBSTITUTE( SUBSTITUTE( SUBSTITUTE( SUBSTITUTE( SUBSTITUTE( SUBSTITUTE( SUBSTITUTE( SUBSTITUTE( SUBSTITUTE( C1812, ""۰"", ""0""), ""۱"", ""1""), ""۲"", ""2""), ""۳"", ""3""), ""۴"", ""4""), ""۵"", ""5""), ""۶"", """&amp;"6""), ""۷"", ""7""), ""۸"", ""8""), ""۹"", ""9""), IF(LEFT(converted,3)=""+98"", ""0"" &amp; RIGHT(converted, LEN(converted)-3), IF(LEFT(converted,2)=""98"", ""0"" &amp; RIGHT(converted, LEN(converted)-2), IF(LEFT(converted,1)&lt;&gt;""0"", ""0"" &amp; converted, REGEXREPL"&amp;"ACE(converted , ""\s"", """")) ) ) ) )"),"0")</f>
        <v>0</v>
      </c>
      <c r="E1812" s="196"/>
      <c r="F1812" s="221"/>
      <c r="G1812" s="193"/>
      <c r="H1812" s="193"/>
      <c r="I1812" s="194"/>
      <c r="J1812" s="194"/>
      <c r="K1812" s="193"/>
      <c r="L1812" s="193"/>
      <c r="M1812" s="193"/>
      <c r="N1812" s="193"/>
      <c r="O1812" s="193"/>
      <c r="P1812" s="193"/>
      <c r="Q1812" s="200"/>
      <c r="R1812" s="86"/>
      <c r="S1812" s="114">
        <f t="shared" ref="S1812:T1812" si="1815">A1812</f>
        <v>1</v>
      </c>
      <c r="T1812" s="114" t="str">
        <f t="shared" si="1815"/>
        <v/>
      </c>
      <c r="U1812" s="86" t="str">
        <f t="shared" si="3"/>
        <v>0</v>
      </c>
      <c r="V1812" s="86" t="str">
        <f t="shared" si="4"/>
        <v> </v>
      </c>
      <c r="W1812" s="86"/>
      <c r="X1812" s="86"/>
    </row>
    <row r="1813">
      <c r="A1813" s="201">
        <v>1.0</v>
      </c>
      <c r="B1813" s="202"/>
      <c r="C1813" s="203"/>
      <c r="D1813" s="204" t="str">
        <f>IFERROR(__xludf.DUMMYFUNCTION("ARRAYFORMULA(LET( converted, SUBSTITUTE( SUBSTITUTE( SUBSTITUTE( SUBSTITUTE( SUBSTITUTE( SUBSTITUTE( SUBSTITUTE( SUBSTITUTE( SUBSTITUTE( SUBSTITUTE( C1813, ""۰"", ""0""), ""۱"", ""1""), ""۲"", ""2""), ""۳"", ""3""), ""۴"", ""4""), ""۵"", ""5""), ""۶"", """&amp;"6""), ""۷"", ""7""), ""۸"", ""8""), ""۹"", ""9""), IF(LEFT(converted,3)=""+98"", ""0"" &amp; RIGHT(converted, LEN(converted)-3), IF(LEFT(converted,2)=""98"", ""0"" &amp; RIGHT(converted, LEN(converted)-2), IF(LEFT(converted,1)&lt;&gt;""0"", ""0"" &amp; converted, REGEXREPL"&amp;"ACE(converted , ""\s"", """")) ) ) ) )"),"0")</f>
        <v>0</v>
      </c>
      <c r="E1813" s="205"/>
      <c r="F1813" s="214"/>
      <c r="G1813" s="202"/>
      <c r="H1813" s="202"/>
      <c r="I1813" s="203"/>
      <c r="J1813" s="203"/>
      <c r="K1813" s="202"/>
      <c r="L1813" s="202"/>
      <c r="M1813" s="202"/>
      <c r="N1813" s="202"/>
      <c r="O1813" s="202"/>
      <c r="P1813" s="202"/>
      <c r="Q1813" s="208"/>
      <c r="R1813" s="86"/>
      <c r="S1813" s="114">
        <f t="shared" ref="S1813:T1813" si="1816">A1813</f>
        <v>1</v>
      </c>
      <c r="T1813" s="114" t="str">
        <f t="shared" si="1816"/>
        <v/>
      </c>
      <c r="U1813" s="86" t="str">
        <f t="shared" si="3"/>
        <v>0</v>
      </c>
      <c r="V1813" s="86" t="str">
        <f t="shared" si="4"/>
        <v> </v>
      </c>
      <c r="W1813" s="86"/>
      <c r="X1813" s="86"/>
    </row>
    <row r="1814">
      <c r="A1814" s="192">
        <v>1.0</v>
      </c>
      <c r="B1814" s="193"/>
      <c r="C1814" s="194"/>
      <c r="D1814" s="195" t="str">
        <f>IFERROR(__xludf.DUMMYFUNCTION("ARRAYFORMULA(LET( converted, SUBSTITUTE( SUBSTITUTE( SUBSTITUTE( SUBSTITUTE( SUBSTITUTE( SUBSTITUTE( SUBSTITUTE( SUBSTITUTE( SUBSTITUTE( SUBSTITUTE( C1814, ""۰"", ""0""), ""۱"", ""1""), ""۲"", ""2""), ""۳"", ""3""), ""۴"", ""4""), ""۵"", ""5""), ""۶"", """&amp;"6""), ""۷"", ""7""), ""۸"", ""8""), ""۹"", ""9""), IF(LEFT(converted,3)=""+98"", ""0"" &amp; RIGHT(converted, LEN(converted)-3), IF(LEFT(converted,2)=""98"", ""0"" &amp; RIGHT(converted, LEN(converted)-2), IF(LEFT(converted,1)&lt;&gt;""0"", ""0"" &amp; converted, REGEXREPL"&amp;"ACE(converted , ""\s"", """")) ) ) ) )"),"0")</f>
        <v>0</v>
      </c>
      <c r="E1814" s="196"/>
      <c r="F1814" s="221"/>
      <c r="G1814" s="193"/>
      <c r="H1814" s="193"/>
      <c r="I1814" s="194"/>
      <c r="J1814" s="194"/>
      <c r="K1814" s="193"/>
      <c r="L1814" s="193"/>
      <c r="M1814" s="193"/>
      <c r="N1814" s="193"/>
      <c r="O1814" s="193"/>
      <c r="P1814" s="193"/>
      <c r="Q1814" s="200"/>
      <c r="R1814" s="86"/>
      <c r="S1814" s="114">
        <f t="shared" ref="S1814:T1814" si="1817">A1814</f>
        <v>1</v>
      </c>
      <c r="T1814" s="114" t="str">
        <f t="shared" si="1817"/>
        <v/>
      </c>
      <c r="U1814" s="86" t="str">
        <f t="shared" si="3"/>
        <v>0</v>
      </c>
      <c r="V1814" s="86" t="str">
        <f t="shared" si="4"/>
        <v> </v>
      </c>
      <c r="W1814" s="86"/>
      <c r="X1814" s="86"/>
    </row>
    <row r="1815">
      <c r="A1815" s="201">
        <v>1.0</v>
      </c>
      <c r="B1815" s="202"/>
      <c r="C1815" s="203"/>
      <c r="D1815" s="204" t="str">
        <f>IFERROR(__xludf.DUMMYFUNCTION("ARRAYFORMULA(LET( converted, SUBSTITUTE( SUBSTITUTE( SUBSTITUTE( SUBSTITUTE( SUBSTITUTE( SUBSTITUTE( SUBSTITUTE( SUBSTITUTE( SUBSTITUTE( SUBSTITUTE( C1815, ""۰"", ""0""), ""۱"", ""1""), ""۲"", ""2""), ""۳"", ""3""), ""۴"", ""4""), ""۵"", ""5""), ""۶"", """&amp;"6""), ""۷"", ""7""), ""۸"", ""8""), ""۹"", ""9""), IF(LEFT(converted,3)=""+98"", ""0"" &amp; RIGHT(converted, LEN(converted)-3), IF(LEFT(converted,2)=""98"", ""0"" &amp; RIGHT(converted, LEN(converted)-2), IF(LEFT(converted,1)&lt;&gt;""0"", ""0"" &amp; converted, REGEXREPL"&amp;"ACE(converted , ""\s"", """")) ) ) ) )"),"0")</f>
        <v>0</v>
      </c>
      <c r="E1815" s="205"/>
      <c r="F1815" s="214"/>
      <c r="G1815" s="202"/>
      <c r="H1815" s="202"/>
      <c r="I1815" s="203"/>
      <c r="J1815" s="203"/>
      <c r="K1815" s="202"/>
      <c r="L1815" s="202"/>
      <c r="M1815" s="202"/>
      <c r="N1815" s="202"/>
      <c r="O1815" s="202"/>
      <c r="P1815" s="202"/>
      <c r="Q1815" s="208"/>
      <c r="R1815" s="86"/>
      <c r="S1815" s="114">
        <f t="shared" ref="S1815:T1815" si="1818">A1815</f>
        <v>1</v>
      </c>
      <c r="T1815" s="114" t="str">
        <f t="shared" si="1818"/>
        <v/>
      </c>
      <c r="U1815" s="86" t="str">
        <f t="shared" si="3"/>
        <v>0</v>
      </c>
      <c r="V1815" s="86" t="str">
        <f t="shared" si="4"/>
        <v> </v>
      </c>
      <c r="W1815" s="86"/>
      <c r="X1815" s="86"/>
    </row>
    <row r="1816">
      <c r="A1816" s="192">
        <v>1.0</v>
      </c>
      <c r="B1816" s="193"/>
      <c r="C1816" s="194"/>
      <c r="D1816" s="195" t="str">
        <f>IFERROR(__xludf.DUMMYFUNCTION("ARRAYFORMULA(LET( converted, SUBSTITUTE( SUBSTITUTE( SUBSTITUTE( SUBSTITUTE( SUBSTITUTE( SUBSTITUTE( SUBSTITUTE( SUBSTITUTE( SUBSTITUTE( SUBSTITUTE( C1816, ""۰"", ""0""), ""۱"", ""1""), ""۲"", ""2""), ""۳"", ""3""), ""۴"", ""4""), ""۵"", ""5""), ""۶"", """&amp;"6""), ""۷"", ""7""), ""۸"", ""8""), ""۹"", ""9""), IF(LEFT(converted,3)=""+98"", ""0"" &amp; RIGHT(converted, LEN(converted)-3), IF(LEFT(converted,2)=""98"", ""0"" &amp; RIGHT(converted, LEN(converted)-2), IF(LEFT(converted,1)&lt;&gt;""0"", ""0"" &amp; converted, REGEXREPL"&amp;"ACE(converted , ""\s"", """")) ) ) ) )"),"0")</f>
        <v>0</v>
      </c>
      <c r="E1816" s="196"/>
      <c r="F1816" s="221"/>
      <c r="G1816" s="193"/>
      <c r="H1816" s="193"/>
      <c r="I1816" s="194"/>
      <c r="J1816" s="194"/>
      <c r="K1816" s="193"/>
      <c r="L1816" s="193"/>
      <c r="M1816" s="193"/>
      <c r="N1816" s="193"/>
      <c r="O1816" s="193"/>
      <c r="P1816" s="193"/>
      <c r="Q1816" s="200"/>
      <c r="R1816" s="86"/>
      <c r="S1816" s="114">
        <f t="shared" ref="S1816:T1816" si="1819">A1816</f>
        <v>1</v>
      </c>
      <c r="T1816" s="114" t="str">
        <f t="shared" si="1819"/>
        <v/>
      </c>
      <c r="U1816" s="86" t="str">
        <f t="shared" si="3"/>
        <v>0</v>
      </c>
      <c r="V1816" s="86" t="str">
        <f t="shared" si="4"/>
        <v> </v>
      </c>
      <c r="W1816" s="86"/>
      <c r="X1816" s="86"/>
    </row>
    <row r="1817">
      <c r="A1817" s="201">
        <v>1.0</v>
      </c>
      <c r="B1817" s="202"/>
      <c r="C1817" s="203"/>
      <c r="D1817" s="204" t="str">
        <f>IFERROR(__xludf.DUMMYFUNCTION("ARRAYFORMULA(LET( converted, SUBSTITUTE( SUBSTITUTE( SUBSTITUTE( SUBSTITUTE( SUBSTITUTE( SUBSTITUTE( SUBSTITUTE( SUBSTITUTE( SUBSTITUTE( SUBSTITUTE( C1817, ""۰"", ""0""), ""۱"", ""1""), ""۲"", ""2""), ""۳"", ""3""), ""۴"", ""4""), ""۵"", ""5""), ""۶"", """&amp;"6""), ""۷"", ""7""), ""۸"", ""8""), ""۹"", ""9""), IF(LEFT(converted,3)=""+98"", ""0"" &amp; RIGHT(converted, LEN(converted)-3), IF(LEFT(converted,2)=""98"", ""0"" &amp; RIGHT(converted, LEN(converted)-2), IF(LEFT(converted,1)&lt;&gt;""0"", ""0"" &amp; converted, REGEXREPL"&amp;"ACE(converted , ""\s"", """")) ) ) ) )"),"0")</f>
        <v>0</v>
      </c>
      <c r="E1817" s="205"/>
      <c r="F1817" s="214"/>
      <c r="G1817" s="202"/>
      <c r="H1817" s="202"/>
      <c r="I1817" s="203"/>
      <c r="J1817" s="203"/>
      <c r="K1817" s="202"/>
      <c r="L1817" s="202"/>
      <c r="M1817" s="202"/>
      <c r="N1817" s="202"/>
      <c r="O1817" s="202"/>
      <c r="P1817" s="202"/>
      <c r="Q1817" s="208"/>
      <c r="R1817" s="86"/>
      <c r="S1817" s="114">
        <f t="shared" ref="S1817:T1817" si="1820">A1817</f>
        <v>1</v>
      </c>
      <c r="T1817" s="114" t="str">
        <f t="shared" si="1820"/>
        <v/>
      </c>
      <c r="U1817" s="86" t="str">
        <f t="shared" si="3"/>
        <v>0</v>
      </c>
      <c r="V1817" s="86" t="str">
        <f t="shared" si="4"/>
        <v> </v>
      </c>
      <c r="W1817" s="86"/>
      <c r="X1817" s="86"/>
    </row>
    <row r="1818">
      <c r="A1818" s="192">
        <v>1.0</v>
      </c>
      <c r="B1818" s="193"/>
      <c r="C1818" s="194"/>
      <c r="D1818" s="195" t="str">
        <f>IFERROR(__xludf.DUMMYFUNCTION("ARRAYFORMULA(LET( converted, SUBSTITUTE( SUBSTITUTE( SUBSTITUTE( SUBSTITUTE( SUBSTITUTE( SUBSTITUTE( SUBSTITUTE( SUBSTITUTE( SUBSTITUTE( SUBSTITUTE( C1818, ""۰"", ""0""), ""۱"", ""1""), ""۲"", ""2""), ""۳"", ""3""), ""۴"", ""4""), ""۵"", ""5""), ""۶"", """&amp;"6""), ""۷"", ""7""), ""۸"", ""8""), ""۹"", ""9""), IF(LEFT(converted,3)=""+98"", ""0"" &amp; RIGHT(converted, LEN(converted)-3), IF(LEFT(converted,2)=""98"", ""0"" &amp; RIGHT(converted, LEN(converted)-2), IF(LEFT(converted,1)&lt;&gt;""0"", ""0"" &amp; converted, REGEXREPL"&amp;"ACE(converted , ""\s"", """")) ) ) ) )"),"0")</f>
        <v>0</v>
      </c>
      <c r="E1818" s="196"/>
      <c r="F1818" s="221"/>
      <c r="G1818" s="193"/>
      <c r="H1818" s="193"/>
      <c r="I1818" s="194"/>
      <c r="J1818" s="194"/>
      <c r="K1818" s="193"/>
      <c r="L1818" s="193"/>
      <c r="M1818" s="193"/>
      <c r="N1818" s="193"/>
      <c r="O1818" s="193"/>
      <c r="P1818" s="193"/>
      <c r="Q1818" s="200"/>
      <c r="R1818" s="86"/>
      <c r="S1818" s="114">
        <f t="shared" ref="S1818:T1818" si="1821">A1818</f>
        <v>1</v>
      </c>
      <c r="T1818" s="114" t="str">
        <f t="shared" si="1821"/>
        <v/>
      </c>
      <c r="U1818" s="86" t="str">
        <f t="shared" si="3"/>
        <v>0</v>
      </c>
      <c r="V1818" s="86" t="str">
        <f t="shared" si="4"/>
        <v> </v>
      </c>
      <c r="W1818" s="86"/>
      <c r="X1818" s="86"/>
    </row>
    <row r="1819">
      <c r="A1819" s="201">
        <v>1.0</v>
      </c>
      <c r="B1819" s="202"/>
      <c r="C1819" s="203"/>
      <c r="D1819" s="204" t="str">
        <f>IFERROR(__xludf.DUMMYFUNCTION("ARRAYFORMULA(LET( converted, SUBSTITUTE( SUBSTITUTE( SUBSTITUTE( SUBSTITUTE( SUBSTITUTE( SUBSTITUTE( SUBSTITUTE( SUBSTITUTE( SUBSTITUTE( SUBSTITUTE( C1819, ""۰"", ""0""), ""۱"", ""1""), ""۲"", ""2""), ""۳"", ""3""), ""۴"", ""4""), ""۵"", ""5""), ""۶"", """&amp;"6""), ""۷"", ""7""), ""۸"", ""8""), ""۹"", ""9""), IF(LEFT(converted,3)=""+98"", ""0"" &amp; RIGHT(converted, LEN(converted)-3), IF(LEFT(converted,2)=""98"", ""0"" &amp; RIGHT(converted, LEN(converted)-2), IF(LEFT(converted,1)&lt;&gt;""0"", ""0"" &amp; converted, REGEXREPL"&amp;"ACE(converted , ""\s"", """")) ) ) ) )"),"0")</f>
        <v>0</v>
      </c>
      <c r="E1819" s="205"/>
      <c r="F1819" s="214"/>
      <c r="G1819" s="202"/>
      <c r="H1819" s="202"/>
      <c r="I1819" s="203"/>
      <c r="J1819" s="203"/>
      <c r="K1819" s="202"/>
      <c r="L1819" s="202"/>
      <c r="M1819" s="202"/>
      <c r="N1819" s="202"/>
      <c r="O1819" s="202"/>
      <c r="P1819" s="202"/>
      <c r="Q1819" s="208"/>
      <c r="R1819" s="86"/>
      <c r="S1819" s="114">
        <f t="shared" ref="S1819:T1819" si="1822">A1819</f>
        <v>1</v>
      </c>
      <c r="T1819" s="114" t="str">
        <f t="shared" si="1822"/>
        <v/>
      </c>
      <c r="U1819" s="86" t="str">
        <f t="shared" si="3"/>
        <v>0</v>
      </c>
      <c r="V1819" s="86" t="str">
        <f t="shared" si="4"/>
        <v> </v>
      </c>
      <c r="W1819" s="86"/>
      <c r="X1819" s="86"/>
    </row>
    <row r="1820">
      <c r="A1820" s="192">
        <v>1.0</v>
      </c>
      <c r="B1820" s="193"/>
      <c r="C1820" s="194"/>
      <c r="D1820" s="195" t="str">
        <f>IFERROR(__xludf.DUMMYFUNCTION("ARRAYFORMULA(LET( converted, SUBSTITUTE( SUBSTITUTE( SUBSTITUTE( SUBSTITUTE( SUBSTITUTE( SUBSTITUTE( SUBSTITUTE( SUBSTITUTE( SUBSTITUTE( SUBSTITUTE( C1820, ""۰"", ""0""), ""۱"", ""1""), ""۲"", ""2""), ""۳"", ""3""), ""۴"", ""4""), ""۵"", ""5""), ""۶"", """&amp;"6""), ""۷"", ""7""), ""۸"", ""8""), ""۹"", ""9""), IF(LEFT(converted,3)=""+98"", ""0"" &amp; RIGHT(converted, LEN(converted)-3), IF(LEFT(converted,2)=""98"", ""0"" &amp; RIGHT(converted, LEN(converted)-2), IF(LEFT(converted,1)&lt;&gt;""0"", ""0"" &amp; converted, REGEXREPL"&amp;"ACE(converted , ""\s"", """")) ) ) ) )"),"0")</f>
        <v>0</v>
      </c>
      <c r="E1820" s="196"/>
      <c r="F1820" s="221"/>
      <c r="G1820" s="193"/>
      <c r="H1820" s="193"/>
      <c r="I1820" s="194"/>
      <c r="J1820" s="194"/>
      <c r="K1820" s="193"/>
      <c r="L1820" s="193"/>
      <c r="M1820" s="193"/>
      <c r="N1820" s="193"/>
      <c r="O1820" s="193"/>
      <c r="P1820" s="193"/>
      <c r="Q1820" s="200"/>
      <c r="R1820" s="86"/>
      <c r="S1820" s="114">
        <f t="shared" ref="S1820:T1820" si="1823">A1820</f>
        <v>1</v>
      </c>
      <c r="T1820" s="114" t="str">
        <f t="shared" si="1823"/>
        <v/>
      </c>
      <c r="U1820" s="86" t="str">
        <f t="shared" si="3"/>
        <v>0</v>
      </c>
      <c r="V1820" s="86" t="str">
        <f t="shared" si="4"/>
        <v> </v>
      </c>
      <c r="W1820" s="86"/>
      <c r="X1820" s="86"/>
    </row>
    <row r="1821">
      <c r="A1821" s="201">
        <v>1.0</v>
      </c>
      <c r="B1821" s="202"/>
      <c r="C1821" s="203"/>
      <c r="D1821" s="204" t="str">
        <f>IFERROR(__xludf.DUMMYFUNCTION("ARRAYFORMULA(LET( converted, SUBSTITUTE( SUBSTITUTE( SUBSTITUTE( SUBSTITUTE( SUBSTITUTE( SUBSTITUTE( SUBSTITUTE( SUBSTITUTE( SUBSTITUTE( SUBSTITUTE( C1821, ""۰"", ""0""), ""۱"", ""1""), ""۲"", ""2""), ""۳"", ""3""), ""۴"", ""4""), ""۵"", ""5""), ""۶"", """&amp;"6""), ""۷"", ""7""), ""۸"", ""8""), ""۹"", ""9""), IF(LEFT(converted,3)=""+98"", ""0"" &amp; RIGHT(converted, LEN(converted)-3), IF(LEFT(converted,2)=""98"", ""0"" &amp; RIGHT(converted, LEN(converted)-2), IF(LEFT(converted,1)&lt;&gt;""0"", ""0"" &amp; converted, REGEXREPL"&amp;"ACE(converted , ""\s"", """")) ) ) ) )"),"0")</f>
        <v>0</v>
      </c>
      <c r="E1821" s="205"/>
      <c r="F1821" s="214"/>
      <c r="G1821" s="202"/>
      <c r="H1821" s="202"/>
      <c r="I1821" s="203"/>
      <c r="J1821" s="203"/>
      <c r="K1821" s="202"/>
      <c r="L1821" s="202"/>
      <c r="M1821" s="202"/>
      <c r="N1821" s="202"/>
      <c r="O1821" s="202"/>
      <c r="P1821" s="202"/>
      <c r="Q1821" s="208"/>
      <c r="R1821" s="86"/>
      <c r="S1821" s="114">
        <f t="shared" ref="S1821:T1821" si="1824">A1821</f>
        <v>1</v>
      </c>
      <c r="T1821" s="114" t="str">
        <f t="shared" si="1824"/>
        <v/>
      </c>
      <c r="U1821" s="86" t="str">
        <f t="shared" si="3"/>
        <v>0</v>
      </c>
      <c r="V1821" s="86" t="str">
        <f t="shared" si="4"/>
        <v> </v>
      </c>
      <c r="W1821" s="86"/>
      <c r="X1821" s="86"/>
    </row>
    <row r="1822">
      <c r="A1822" s="192">
        <v>1.0</v>
      </c>
      <c r="B1822" s="193"/>
      <c r="C1822" s="194"/>
      <c r="D1822" s="195" t="str">
        <f>IFERROR(__xludf.DUMMYFUNCTION("ARRAYFORMULA(LET( converted, SUBSTITUTE( SUBSTITUTE( SUBSTITUTE( SUBSTITUTE( SUBSTITUTE( SUBSTITUTE( SUBSTITUTE( SUBSTITUTE( SUBSTITUTE( SUBSTITUTE( C1822, ""۰"", ""0""), ""۱"", ""1""), ""۲"", ""2""), ""۳"", ""3""), ""۴"", ""4""), ""۵"", ""5""), ""۶"", """&amp;"6""), ""۷"", ""7""), ""۸"", ""8""), ""۹"", ""9""), IF(LEFT(converted,3)=""+98"", ""0"" &amp; RIGHT(converted, LEN(converted)-3), IF(LEFT(converted,2)=""98"", ""0"" &amp; RIGHT(converted, LEN(converted)-2), IF(LEFT(converted,1)&lt;&gt;""0"", ""0"" &amp; converted, REGEXREPL"&amp;"ACE(converted , ""\s"", """")) ) ) ) )"),"0")</f>
        <v>0</v>
      </c>
      <c r="E1822" s="196"/>
      <c r="F1822" s="221"/>
      <c r="G1822" s="193"/>
      <c r="H1822" s="193"/>
      <c r="I1822" s="194"/>
      <c r="J1822" s="194"/>
      <c r="K1822" s="193"/>
      <c r="L1822" s="193"/>
      <c r="M1822" s="193"/>
      <c r="N1822" s="193"/>
      <c r="O1822" s="193"/>
      <c r="P1822" s="193"/>
      <c r="Q1822" s="200"/>
      <c r="R1822" s="86"/>
      <c r="S1822" s="114">
        <f t="shared" ref="S1822:T1822" si="1825">A1822</f>
        <v>1</v>
      </c>
      <c r="T1822" s="114" t="str">
        <f t="shared" si="1825"/>
        <v/>
      </c>
      <c r="U1822" s="86" t="str">
        <f t="shared" si="3"/>
        <v>0</v>
      </c>
      <c r="V1822" s="86" t="str">
        <f t="shared" si="4"/>
        <v> </v>
      </c>
      <c r="W1822" s="86"/>
      <c r="X1822" s="86"/>
    </row>
    <row r="1823">
      <c r="A1823" s="201">
        <v>1.0</v>
      </c>
      <c r="B1823" s="202"/>
      <c r="C1823" s="203"/>
      <c r="D1823" s="204" t="str">
        <f>IFERROR(__xludf.DUMMYFUNCTION("ARRAYFORMULA(LET( converted, SUBSTITUTE( SUBSTITUTE( SUBSTITUTE( SUBSTITUTE( SUBSTITUTE( SUBSTITUTE( SUBSTITUTE( SUBSTITUTE( SUBSTITUTE( SUBSTITUTE( C1823, ""۰"", ""0""), ""۱"", ""1""), ""۲"", ""2""), ""۳"", ""3""), ""۴"", ""4""), ""۵"", ""5""), ""۶"", """&amp;"6""), ""۷"", ""7""), ""۸"", ""8""), ""۹"", ""9""), IF(LEFT(converted,3)=""+98"", ""0"" &amp; RIGHT(converted, LEN(converted)-3), IF(LEFT(converted,2)=""98"", ""0"" &amp; RIGHT(converted, LEN(converted)-2), IF(LEFT(converted,1)&lt;&gt;""0"", ""0"" &amp; converted, REGEXREPL"&amp;"ACE(converted , ""\s"", """")) ) ) ) )"),"0")</f>
        <v>0</v>
      </c>
      <c r="E1823" s="205"/>
      <c r="F1823" s="214"/>
      <c r="G1823" s="202"/>
      <c r="H1823" s="202"/>
      <c r="I1823" s="203"/>
      <c r="J1823" s="203"/>
      <c r="K1823" s="202"/>
      <c r="L1823" s="202"/>
      <c r="M1823" s="202"/>
      <c r="N1823" s="202"/>
      <c r="O1823" s="202"/>
      <c r="P1823" s="202"/>
      <c r="Q1823" s="208"/>
      <c r="R1823" s="86"/>
      <c r="S1823" s="114">
        <f t="shared" ref="S1823:T1823" si="1826">A1823</f>
        <v>1</v>
      </c>
      <c r="T1823" s="114" t="str">
        <f t="shared" si="1826"/>
        <v/>
      </c>
      <c r="U1823" s="86" t="str">
        <f t="shared" si="3"/>
        <v>0</v>
      </c>
      <c r="V1823" s="86" t="str">
        <f t="shared" si="4"/>
        <v> </v>
      </c>
      <c r="W1823" s="86"/>
      <c r="X1823" s="86"/>
    </row>
    <row r="1824">
      <c r="A1824" s="192">
        <v>1.0</v>
      </c>
      <c r="B1824" s="193"/>
      <c r="C1824" s="194"/>
      <c r="D1824" s="195" t="str">
        <f>IFERROR(__xludf.DUMMYFUNCTION("ARRAYFORMULA(LET( converted, SUBSTITUTE( SUBSTITUTE( SUBSTITUTE( SUBSTITUTE( SUBSTITUTE( SUBSTITUTE( SUBSTITUTE( SUBSTITUTE( SUBSTITUTE( SUBSTITUTE( C1824, ""۰"", ""0""), ""۱"", ""1""), ""۲"", ""2""), ""۳"", ""3""), ""۴"", ""4""), ""۵"", ""5""), ""۶"", """&amp;"6""), ""۷"", ""7""), ""۸"", ""8""), ""۹"", ""9""), IF(LEFT(converted,3)=""+98"", ""0"" &amp; RIGHT(converted, LEN(converted)-3), IF(LEFT(converted,2)=""98"", ""0"" &amp; RIGHT(converted, LEN(converted)-2), IF(LEFT(converted,1)&lt;&gt;""0"", ""0"" &amp; converted, REGEXREPL"&amp;"ACE(converted , ""\s"", """")) ) ) ) )"),"0")</f>
        <v>0</v>
      </c>
      <c r="E1824" s="196"/>
      <c r="F1824" s="221"/>
      <c r="G1824" s="193"/>
      <c r="H1824" s="193"/>
      <c r="I1824" s="194"/>
      <c r="J1824" s="194"/>
      <c r="K1824" s="193"/>
      <c r="L1824" s="193"/>
      <c r="M1824" s="193"/>
      <c r="N1824" s="193"/>
      <c r="O1824" s="193"/>
      <c r="P1824" s="193"/>
      <c r="Q1824" s="200"/>
      <c r="R1824" s="86"/>
      <c r="S1824" s="114">
        <f t="shared" ref="S1824:T1824" si="1827">A1824</f>
        <v>1</v>
      </c>
      <c r="T1824" s="114" t="str">
        <f t="shared" si="1827"/>
        <v/>
      </c>
      <c r="U1824" s="86" t="str">
        <f t="shared" si="3"/>
        <v>0</v>
      </c>
      <c r="V1824" s="86" t="str">
        <f t="shared" si="4"/>
        <v> </v>
      </c>
      <c r="W1824" s="86"/>
      <c r="X1824" s="86"/>
    </row>
    <row r="1825">
      <c r="A1825" s="201">
        <v>1.0</v>
      </c>
      <c r="B1825" s="202"/>
      <c r="C1825" s="203"/>
      <c r="D1825" s="204" t="str">
        <f>IFERROR(__xludf.DUMMYFUNCTION("ARRAYFORMULA(LET( converted, SUBSTITUTE( SUBSTITUTE( SUBSTITUTE( SUBSTITUTE( SUBSTITUTE( SUBSTITUTE( SUBSTITUTE( SUBSTITUTE( SUBSTITUTE( SUBSTITUTE( C1825, ""۰"", ""0""), ""۱"", ""1""), ""۲"", ""2""), ""۳"", ""3""), ""۴"", ""4""), ""۵"", ""5""), ""۶"", """&amp;"6""), ""۷"", ""7""), ""۸"", ""8""), ""۹"", ""9""), IF(LEFT(converted,3)=""+98"", ""0"" &amp; RIGHT(converted, LEN(converted)-3), IF(LEFT(converted,2)=""98"", ""0"" &amp; RIGHT(converted, LEN(converted)-2), IF(LEFT(converted,1)&lt;&gt;""0"", ""0"" &amp; converted, REGEXREPL"&amp;"ACE(converted , ""\s"", """")) ) ) ) )"),"0")</f>
        <v>0</v>
      </c>
      <c r="E1825" s="205"/>
      <c r="F1825" s="214"/>
      <c r="G1825" s="202"/>
      <c r="H1825" s="202"/>
      <c r="I1825" s="203"/>
      <c r="J1825" s="203"/>
      <c r="K1825" s="202"/>
      <c r="L1825" s="202"/>
      <c r="M1825" s="202"/>
      <c r="N1825" s="202"/>
      <c r="O1825" s="202"/>
      <c r="P1825" s="202"/>
      <c r="Q1825" s="208"/>
      <c r="R1825" s="86"/>
      <c r="S1825" s="114">
        <f t="shared" ref="S1825:T1825" si="1828">A1825</f>
        <v>1</v>
      </c>
      <c r="T1825" s="114" t="str">
        <f t="shared" si="1828"/>
        <v/>
      </c>
      <c r="U1825" s="86" t="str">
        <f t="shared" si="3"/>
        <v>0</v>
      </c>
      <c r="V1825" s="86" t="str">
        <f t="shared" si="4"/>
        <v> </v>
      </c>
      <c r="W1825" s="86"/>
      <c r="X1825" s="86"/>
    </row>
    <row r="1826">
      <c r="A1826" s="192">
        <v>1.0</v>
      </c>
      <c r="B1826" s="193"/>
      <c r="C1826" s="194"/>
      <c r="D1826" s="195" t="str">
        <f>IFERROR(__xludf.DUMMYFUNCTION("ARRAYFORMULA(LET( converted, SUBSTITUTE( SUBSTITUTE( SUBSTITUTE( SUBSTITUTE( SUBSTITUTE( SUBSTITUTE( SUBSTITUTE( SUBSTITUTE( SUBSTITUTE( SUBSTITUTE( C1826, ""۰"", ""0""), ""۱"", ""1""), ""۲"", ""2""), ""۳"", ""3""), ""۴"", ""4""), ""۵"", ""5""), ""۶"", """&amp;"6""), ""۷"", ""7""), ""۸"", ""8""), ""۹"", ""9""), IF(LEFT(converted,3)=""+98"", ""0"" &amp; RIGHT(converted, LEN(converted)-3), IF(LEFT(converted,2)=""98"", ""0"" &amp; RIGHT(converted, LEN(converted)-2), IF(LEFT(converted,1)&lt;&gt;""0"", ""0"" &amp; converted, REGEXREPL"&amp;"ACE(converted , ""\s"", """")) ) ) ) )"),"0")</f>
        <v>0</v>
      </c>
      <c r="E1826" s="196"/>
      <c r="F1826" s="221"/>
      <c r="G1826" s="193"/>
      <c r="H1826" s="193"/>
      <c r="I1826" s="194"/>
      <c r="J1826" s="194"/>
      <c r="K1826" s="193"/>
      <c r="L1826" s="193"/>
      <c r="M1826" s="193"/>
      <c r="N1826" s="193"/>
      <c r="O1826" s="193"/>
      <c r="P1826" s="193"/>
      <c r="Q1826" s="200"/>
      <c r="R1826" s="86"/>
      <c r="S1826" s="114">
        <f t="shared" ref="S1826:T1826" si="1829">A1826</f>
        <v>1</v>
      </c>
      <c r="T1826" s="114" t="str">
        <f t="shared" si="1829"/>
        <v/>
      </c>
      <c r="U1826" s="86" t="str">
        <f t="shared" si="3"/>
        <v>0</v>
      </c>
      <c r="V1826" s="86" t="str">
        <f t="shared" si="4"/>
        <v> </v>
      </c>
      <c r="W1826" s="86"/>
      <c r="X1826" s="86"/>
    </row>
    <row r="1827">
      <c r="A1827" s="201">
        <v>1.0</v>
      </c>
      <c r="B1827" s="202"/>
      <c r="C1827" s="203"/>
      <c r="D1827" s="204" t="str">
        <f>IFERROR(__xludf.DUMMYFUNCTION("ARRAYFORMULA(LET( converted, SUBSTITUTE( SUBSTITUTE( SUBSTITUTE( SUBSTITUTE( SUBSTITUTE( SUBSTITUTE( SUBSTITUTE( SUBSTITUTE( SUBSTITUTE( SUBSTITUTE( C1827, ""۰"", ""0""), ""۱"", ""1""), ""۲"", ""2""), ""۳"", ""3""), ""۴"", ""4""), ""۵"", ""5""), ""۶"", """&amp;"6""), ""۷"", ""7""), ""۸"", ""8""), ""۹"", ""9""), IF(LEFT(converted,3)=""+98"", ""0"" &amp; RIGHT(converted, LEN(converted)-3), IF(LEFT(converted,2)=""98"", ""0"" &amp; RIGHT(converted, LEN(converted)-2), IF(LEFT(converted,1)&lt;&gt;""0"", ""0"" &amp; converted, REGEXREPL"&amp;"ACE(converted , ""\s"", """")) ) ) ) )"),"0")</f>
        <v>0</v>
      </c>
      <c r="E1827" s="205"/>
      <c r="F1827" s="214"/>
      <c r="G1827" s="202"/>
      <c r="H1827" s="202"/>
      <c r="I1827" s="203"/>
      <c r="J1827" s="203"/>
      <c r="K1827" s="202"/>
      <c r="L1827" s="202"/>
      <c r="M1827" s="202"/>
      <c r="N1827" s="202"/>
      <c r="O1827" s="202"/>
      <c r="P1827" s="202"/>
      <c r="Q1827" s="208"/>
      <c r="R1827" s="86"/>
      <c r="S1827" s="114">
        <f t="shared" ref="S1827:T1827" si="1830">A1827</f>
        <v>1</v>
      </c>
      <c r="T1827" s="114" t="str">
        <f t="shared" si="1830"/>
        <v/>
      </c>
      <c r="U1827" s="86" t="str">
        <f t="shared" si="3"/>
        <v>0</v>
      </c>
      <c r="V1827" s="86" t="str">
        <f t="shared" si="4"/>
        <v> </v>
      </c>
      <c r="W1827" s="86"/>
      <c r="X1827" s="86"/>
    </row>
    <row r="1828">
      <c r="A1828" s="192">
        <v>1.0</v>
      </c>
      <c r="B1828" s="193"/>
      <c r="C1828" s="194"/>
      <c r="D1828" s="195" t="str">
        <f>IFERROR(__xludf.DUMMYFUNCTION("ARRAYFORMULA(LET( converted, SUBSTITUTE( SUBSTITUTE( SUBSTITUTE( SUBSTITUTE( SUBSTITUTE( SUBSTITUTE( SUBSTITUTE( SUBSTITUTE( SUBSTITUTE( SUBSTITUTE( C1828, ""۰"", ""0""), ""۱"", ""1""), ""۲"", ""2""), ""۳"", ""3""), ""۴"", ""4""), ""۵"", ""5""), ""۶"", """&amp;"6""), ""۷"", ""7""), ""۸"", ""8""), ""۹"", ""9""), IF(LEFT(converted,3)=""+98"", ""0"" &amp; RIGHT(converted, LEN(converted)-3), IF(LEFT(converted,2)=""98"", ""0"" &amp; RIGHT(converted, LEN(converted)-2), IF(LEFT(converted,1)&lt;&gt;""0"", ""0"" &amp; converted, REGEXREPL"&amp;"ACE(converted , ""\s"", """")) ) ) ) )"),"0")</f>
        <v>0</v>
      </c>
      <c r="E1828" s="196"/>
      <c r="F1828" s="221"/>
      <c r="G1828" s="193"/>
      <c r="H1828" s="193"/>
      <c r="I1828" s="194"/>
      <c r="J1828" s="194"/>
      <c r="K1828" s="193"/>
      <c r="L1828" s="193"/>
      <c r="M1828" s="193"/>
      <c r="N1828" s="193"/>
      <c r="O1828" s="193"/>
      <c r="P1828" s="193"/>
      <c r="Q1828" s="200"/>
      <c r="R1828" s="86"/>
      <c r="S1828" s="114">
        <f t="shared" ref="S1828:T1828" si="1831">A1828</f>
        <v>1</v>
      </c>
      <c r="T1828" s="114" t="str">
        <f t="shared" si="1831"/>
        <v/>
      </c>
      <c r="U1828" s="86" t="str">
        <f t="shared" si="3"/>
        <v>0</v>
      </c>
      <c r="V1828" s="86" t="str">
        <f t="shared" si="4"/>
        <v> </v>
      </c>
      <c r="W1828" s="86"/>
      <c r="X1828" s="86"/>
    </row>
    <row r="1829">
      <c r="A1829" s="201">
        <v>1.0</v>
      </c>
      <c r="B1829" s="202"/>
      <c r="C1829" s="203"/>
      <c r="D1829" s="204" t="str">
        <f>IFERROR(__xludf.DUMMYFUNCTION("ARRAYFORMULA(LET( converted, SUBSTITUTE( SUBSTITUTE( SUBSTITUTE( SUBSTITUTE( SUBSTITUTE( SUBSTITUTE( SUBSTITUTE( SUBSTITUTE( SUBSTITUTE( SUBSTITUTE( C1829, ""۰"", ""0""), ""۱"", ""1""), ""۲"", ""2""), ""۳"", ""3""), ""۴"", ""4""), ""۵"", ""5""), ""۶"", """&amp;"6""), ""۷"", ""7""), ""۸"", ""8""), ""۹"", ""9""), IF(LEFT(converted,3)=""+98"", ""0"" &amp; RIGHT(converted, LEN(converted)-3), IF(LEFT(converted,2)=""98"", ""0"" &amp; RIGHT(converted, LEN(converted)-2), IF(LEFT(converted,1)&lt;&gt;""0"", ""0"" &amp; converted, REGEXREPL"&amp;"ACE(converted , ""\s"", """")) ) ) ) )"),"0")</f>
        <v>0</v>
      </c>
      <c r="E1829" s="205"/>
      <c r="F1829" s="214"/>
      <c r="G1829" s="202"/>
      <c r="H1829" s="202"/>
      <c r="I1829" s="203"/>
      <c r="J1829" s="203"/>
      <c r="K1829" s="202"/>
      <c r="L1829" s="202"/>
      <c r="M1829" s="202"/>
      <c r="N1829" s="202"/>
      <c r="O1829" s="202"/>
      <c r="P1829" s="202"/>
      <c r="Q1829" s="208"/>
      <c r="R1829" s="86"/>
      <c r="S1829" s="114">
        <f t="shared" ref="S1829:T1829" si="1832">A1829</f>
        <v>1</v>
      </c>
      <c r="T1829" s="114" t="str">
        <f t="shared" si="1832"/>
        <v/>
      </c>
      <c r="U1829" s="86" t="str">
        <f t="shared" si="3"/>
        <v>0</v>
      </c>
      <c r="V1829" s="86" t="str">
        <f t="shared" si="4"/>
        <v> </v>
      </c>
      <c r="W1829" s="86"/>
      <c r="X1829" s="86"/>
    </row>
    <row r="1830">
      <c r="A1830" s="192">
        <v>1.0</v>
      </c>
      <c r="B1830" s="193"/>
      <c r="C1830" s="194"/>
      <c r="D1830" s="195" t="str">
        <f>IFERROR(__xludf.DUMMYFUNCTION("ARRAYFORMULA(LET( converted, SUBSTITUTE( SUBSTITUTE( SUBSTITUTE( SUBSTITUTE( SUBSTITUTE( SUBSTITUTE( SUBSTITUTE( SUBSTITUTE( SUBSTITUTE( SUBSTITUTE( C1830, ""۰"", ""0""), ""۱"", ""1""), ""۲"", ""2""), ""۳"", ""3""), ""۴"", ""4""), ""۵"", ""5""), ""۶"", """&amp;"6""), ""۷"", ""7""), ""۸"", ""8""), ""۹"", ""9""), IF(LEFT(converted,3)=""+98"", ""0"" &amp; RIGHT(converted, LEN(converted)-3), IF(LEFT(converted,2)=""98"", ""0"" &amp; RIGHT(converted, LEN(converted)-2), IF(LEFT(converted,1)&lt;&gt;""0"", ""0"" &amp; converted, REGEXREPL"&amp;"ACE(converted , ""\s"", """")) ) ) ) )"),"0")</f>
        <v>0</v>
      </c>
      <c r="E1830" s="196"/>
      <c r="F1830" s="221"/>
      <c r="G1830" s="193"/>
      <c r="H1830" s="193"/>
      <c r="I1830" s="194"/>
      <c r="J1830" s="194"/>
      <c r="K1830" s="193"/>
      <c r="L1830" s="193"/>
      <c r="M1830" s="193"/>
      <c r="N1830" s="193"/>
      <c r="O1830" s="193"/>
      <c r="P1830" s="193"/>
      <c r="Q1830" s="200"/>
      <c r="R1830" s="86"/>
      <c r="S1830" s="114">
        <f t="shared" ref="S1830:T1830" si="1833">A1830</f>
        <v>1</v>
      </c>
      <c r="T1830" s="114" t="str">
        <f t="shared" si="1833"/>
        <v/>
      </c>
      <c r="U1830" s="86" t="str">
        <f t="shared" si="3"/>
        <v>0</v>
      </c>
      <c r="V1830" s="86" t="str">
        <f t="shared" si="4"/>
        <v> </v>
      </c>
      <c r="W1830" s="86"/>
      <c r="X1830" s="86"/>
    </row>
    <row r="1831">
      <c r="A1831" s="201">
        <v>1.0</v>
      </c>
      <c r="B1831" s="202"/>
      <c r="C1831" s="203"/>
      <c r="D1831" s="204" t="str">
        <f>IFERROR(__xludf.DUMMYFUNCTION("ARRAYFORMULA(LET( converted, SUBSTITUTE( SUBSTITUTE( SUBSTITUTE( SUBSTITUTE( SUBSTITUTE( SUBSTITUTE( SUBSTITUTE( SUBSTITUTE( SUBSTITUTE( SUBSTITUTE( C1831, ""۰"", ""0""), ""۱"", ""1""), ""۲"", ""2""), ""۳"", ""3""), ""۴"", ""4""), ""۵"", ""5""), ""۶"", """&amp;"6""), ""۷"", ""7""), ""۸"", ""8""), ""۹"", ""9""), IF(LEFT(converted,3)=""+98"", ""0"" &amp; RIGHT(converted, LEN(converted)-3), IF(LEFT(converted,2)=""98"", ""0"" &amp; RIGHT(converted, LEN(converted)-2), IF(LEFT(converted,1)&lt;&gt;""0"", ""0"" &amp; converted, REGEXREPL"&amp;"ACE(converted , ""\s"", """")) ) ) ) )"),"0")</f>
        <v>0</v>
      </c>
      <c r="E1831" s="205"/>
      <c r="F1831" s="214"/>
      <c r="G1831" s="202"/>
      <c r="H1831" s="202"/>
      <c r="I1831" s="203"/>
      <c r="J1831" s="203"/>
      <c r="K1831" s="202"/>
      <c r="L1831" s="202"/>
      <c r="M1831" s="202"/>
      <c r="N1831" s="202"/>
      <c r="O1831" s="202"/>
      <c r="P1831" s="202"/>
      <c r="Q1831" s="208"/>
      <c r="R1831" s="86"/>
      <c r="S1831" s="114">
        <f t="shared" ref="S1831:T1831" si="1834">A1831</f>
        <v>1</v>
      </c>
      <c r="T1831" s="114" t="str">
        <f t="shared" si="1834"/>
        <v/>
      </c>
      <c r="U1831" s="86" t="str">
        <f t="shared" si="3"/>
        <v>0</v>
      </c>
      <c r="V1831" s="86" t="str">
        <f t="shared" si="4"/>
        <v> </v>
      </c>
      <c r="W1831" s="86"/>
      <c r="X1831" s="86"/>
    </row>
    <row r="1832">
      <c r="A1832" s="192">
        <v>1.0</v>
      </c>
      <c r="B1832" s="193"/>
      <c r="C1832" s="194"/>
      <c r="D1832" s="195" t="str">
        <f>IFERROR(__xludf.DUMMYFUNCTION("ARRAYFORMULA(LET( converted, SUBSTITUTE( SUBSTITUTE( SUBSTITUTE( SUBSTITUTE( SUBSTITUTE( SUBSTITUTE( SUBSTITUTE( SUBSTITUTE( SUBSTITUTE( SUBSTITUTE( C1832, ""۰"", ""0""), ""۱"", ""1""), ""۲"", ""2""), ""۳"", ""3""), ""۴"", ""4""), ""۵"", ""5""), ""۶"", """&amp;"6""), ""۷"", ""7""), ""۸"", ""8""), ""۹"", ""9""), IF(LEFT(converted,3)=""+98"", ""0"" &amp; RIGHT(converted, LEN(converted)-3), IF(LEFT(converted,2)=""98"", ""0"" &amp; RIGHT(converted, LEN(converted)-2), IF(LEFT(converted,1)&lt;&gt;""0"", ""0"" &amp; converted, REGEXREPL"&amp;"ACE(converted , ""\s"", """")) ) ) ) )"),"0")</f>
        <v>0</v>
      </c>
      <c r="E1832" s="196"/>
      <c r="F1832" s="221"/>
      <c r="G1832" s="193"/>
      <c r="H1832" s="193"/>
      <c r="I1832" s="194"/>
      <c r="J1832" s="194"/>
      <c r="K1832" s="193"/>
      <c r="L1832" s="193"/>
      <c r="M1832" s="193"/>
      <c r="N1832" s="193"/>
      <c r="O1832" s="193"/>
      <c r="P1832" s="193"/>
      <c r="Q1832" s="200"/>
      <c r="R1832" s="86"/>
      <c r="S1832" s="114">
        <f t="shared" ref="S1832:T1832" si="1835">A1832</f>
        <v>1</v>
      </c>
      <c r="T1832" s="114" t="str">
        <f t="shared" si="1835"/>
        <v/>
      </c>
      <c r="U1832" s="86" t="str">
        <f t="shared" si="3"/>
        <v>0</v>
      </c>
      <c r="V1832" s="86" t="str">
        <f t="shared" si="4"/>
        <v> </v>
      </c>
      <c r="W1832" s="86"/>
      <c r="X1832" s="86"/>
    </row>
    <row r="1833">
      <c r="A1833" s="201">
        <v>1.0</v>
      </c>
      <c r="B1833" s="202"/>
      <c r="C1833" s="203"/>
      <c r="D1833" s="204" t="str">
        <f>IFERROR(__xludf.DUMMYFUNCTION("ARRAYFORMULA(LET( converted, SUBSTITUTE( SUBSTITUTE( SUBSTITUTE( SUBSTITUTE( SUBSTITUTE( SUBSTITUTE( SUBSTITUTE( SUBSTITUTE( SUBSTITUTE( SUBSTITUTE( C1833, ""۰"", ""0""), ""۱"", ""1""), ""۲"", ""2""), ""۳"", ""3""), ""۴"", ""4""), ""۵"", ""5""), ""۶"", """&amp;"6""), ""۷"", ""7""), ""۸"", ""8""), ""۹"", ""9""), IF(LEFT(converted,3)=""+98"", ""0"" &amp; RIGHT(converted, LEN(converted)-3), IF(LEFT(converted,2)=""98"", ""0"" &amp; RIGHT(converted, LEN(converted)-2), IF(LEFT(converted,1)&lt;&gt;""0"", ""0"" &amp; converted, REGEXREPL"&amp;"ACE(converted , ""\s"", """")) ) ) ) )"),"0")</f>
        <v>0</v>
      </c>
      <c r="E1833" s="205"/>
      <c r="F1833" s="214"/>
      <c r="G1833" s="202"/>
      <c r="H1833" s="202"/>
      <c r="I1833" s="203"/>
      <c r="J1833" s="203"/>
      <c r="K1833" s="202"/>
      <c r="L1833" s="202"/>
      <c r="M1833" s="202"/>
      <c r="N1833" s="202"/>
      <c r="O1833" s="202"/>
      <c r="P1833" s="202"/>
      <c r="Q1833" s="208"/>
      <c r="R1833" s="86"/>
      <c r="S1833" s="114">
        <f t="shared" ref="S1833:T1833" si="1836">A1833</f>
        <v>1</v>
      </c>
      <c r="T1833" s="114" t="str">
        <f t="shared" si="1836"/>
        <v/>
      </c>
      <c r="U1833" s="86" t="str">
        <f t="shared" si="3"/>
        <v>0</v>
      </c>
      <c r="V1833" s="86" t="str">
        <f t="shared" si="4"/>
        <v> </v>
      </c>
      <c r="W1833" s="86"/>
      <c r="X1833" s="86"/>
    </row>
    <row r="1834">
      <c r="A1834" s="192">
        <v>1.0</v>
      </c>
      <c r="B1834" s="193"/>
      <c r="C1834" s="194"/>
      <c r="D1834" s="195" t="str">
        <f>IFERROR(__xludf.DUMMYFUNCTION("ARRAYFORMULA(LET( converted, SUBSTITUTE( SUBSTITUTE( SUBSTITUTE( SUBSTITUTE( SUBSTITUTE( SUBSTITUTE( SUBSTITUTE( SUBSTITUTE( SUBSTITUTE( SUBSTITUTE( C1834, ""۰"", ""0""), ""۱"", ""1""), ""۲"", ""2""), ""۳"", ""3""), ""۴"", ""4""), ""۵"", ""5""), ""۶"", """&amp;"6""), ""۷"", ""7""), ""۸"", ""8""), ""۹"", ""9""), IF(LEFT(converted,3)=""+98"", ""0"" &amp; RIGHT(converted, LEN(converted)-3), IF(LEFT(converted,2)=""98"", ""0"" &amp; RIGHT(converted, LEN(converted)-2), IF(LEFT(converted,1)&lt;&gt;""0"", ""0"" &amp; converted, REGEXREPL"&amp;"ACE(converted , ""\s"", """")) ) ) ) )"),"0")</f>
        <v>0</v>
      </c>
      <c r="E1834" s="196"/>
      <c r="F1834" s="221"/>
      <c r="G1834" s="193"/>
      <c r="H1834" s="193"/>
      <c r="I1834" s="194"/>
      <c r="J1834" s="194"/>
      <c r="K1834" s="193"/>
      <c r="L1834" s="193"/>
      <c r="M1834" s="193"/>
      <c r="N1834" s="193"/>
      <c r="O1834" s="193"/>
      <c r="P1834" s="193"/>
      <c r="Q1834" s="200"/>
      <c r="R1834" s="86"/>
      <c r="S1834" s="114">
        <f t="shared" ref="S1834:T1834" si="1837">A1834</f>
        <v>1</v>
      </c>
      <c r="T1834" s="114" t="str">
        <f t="shared" si="1837"/>
        <v/>
      </c>
      <c r="U1834" s="86" t="str">
        <f t="shared" si="3"/>
        <v>0</v>
      </c>
      <c r="V1834" s="86" t="str">
        <f t="shared" si="4"/>
        <v> </v>
      </c>
      <c r="W1834" s="86"/>
      <c r="X1834" s="86"/>
    </row>
    <row r="1835">
      <c r="A1835" s="201">
        <v>1.0</v>
      </c>
      <c r="B1835" s="202"/>
      <c r="C1835" s="203"/>
      <c r="D1835" s="204" t="str">
        <f>IFERROR(__xludf.DUMMYFUNCTION("ARRAYFORMULA(LET( converted, SUBSTITUTE( SUBSTITUTE( SUBSTITUTE( SUBSTITUTE( SUBSTITUTE( SUBSTITUTE( SUBSTITUTE( SUBSTITUTE( SUBSTITUTE( SUBSTITUTE( C1835, ""۰"", ""0""), ""۱"", ""1""), ""۲"", ""2""), ""۳"", ""3""), ""۴"", ""4""), ""۵"", ""5""), ""۶"", """&amp;"6""), ""۷"", ""7""), ""۸"", ""8""), ""۹"", ""9""), IF(LEFT(converted,3)=""+98"", ""0"" &amp; RIGHT(converted, LEN(converted)-3), IF(LEFT(converted,2)=""98"", ""0"" &amp; RIGHT(converted, LEN(converted)-2), IF(LEFT(converted,1)&lt;&gt;""0"", ""0"" &amp; converted, REGEXREPL"&amp;"ACE(converted , ""\s"", """")) ) ) ) )"),"0")</f>
        <v>0</v>
      </c>
      <c r="E1835" s="205"/>
      <c r="F1835" s="214"/>
      <c r="G1835" s="202"/>
      <c r="H1835" s="202"/>
      <c r="I1835" s="203"/>
      <c r="J1835" s="203"/>
      <c r="K1835" s="202"/>
      <c r="L1835" s="202"/>
      <c r="M1835" s="202"/>
      <c r="N1835" s="202"/>
      <c r="O1835" s="202"/>
      <c r="P1835" s="202"/>
      <c r="Q1835" s="208"/>
      <c r="R1835" s="86"/>
      <c r="S1835" s="114">
        <f t="shared" ref="S1835:T1835" si="1838">A1835</f>
        <v>1</v>
      </c>
      <c r="T1835" s="114" t="str">
        <f t="shared" si="1838"/>
        <v/>
      </c>
      <c r="U1835" s="86" t="str">
        <f t="shared" si="3"/>
        <v>0</v>
      </c>
      <c r="V1835" s="86" t="str">
        <f t="shared" si="4"/>
        <v> </v>
      </c>
      <c r="W1835" s="86"/>
      <c r="X1835" s="86"/>
    </row>
    <row r="1836">
      <c r="A1836" s="192">
        <v>1.0</v>
      </c>
      <c r="B1836" s="193"/>
      <c r="C1836" s="194"/>
      <c r="D1836" s="195" t="str">
        <f>IFERROR(__xludf.DUMMYFUNCTION("ARRAYFORMULA(LET( converted, SUBSTITUTE( SUBSTITUTE( SUBSTITUTE( SUBSTITUTE( SUBSTITUTE( SUBSTITUTE( SUBSTITUTE( SUBSTITUTE( SUBSTITUTE( SUBSTITUTE( C1836, ""۰"", ""0""), ""۱"", ""1""), ""۲"", ""2""), ""۳"", ""3""), ""۴"", ""4""), ""۵"", ""5""), ""۶"", """&amp;"6""), ""۷"", ""7""), ""۸"", ""8""), ""۹"", ""9""), IF(LEFT(converted,3)=""+98"", ""0"" &amp; RIGHT(converted, LEN(converted)-3), IF(LEFT(converted,2)=""98"", ""0"" &amp; RIGHT(converted, LEN(converted)-2), IF(LEFT(converted,1)&lt;&gt;""0"", ""0"" &amp; converted, REGEXREPL"&amp;"ACE(converted , ""\s"", """")) ) ) ) )"),"0")</f>
        <v>0</v>
      </c>
      <c r="E1836" s="196"/>
      <c r="F1836" s="221"/>
      <c r="G1836" s="193"/>
      <c r="H1836" s="193"/>
      <c r="I1836" s="194"/>
      <c r="J1836" s="194"/>
      <c r="K1836" s="193"/>
      <c r="L1836" s="193"/>
      <c r="M1836" s="193"/>
      <c r="N1836" s="193"/>
      <c r="O1836" s="193"/>
      <c r="P1836" s="193"/>
      <c r="Q1836" s="200"/>
      <c r="R1836" s="86"/>
      <c r="S1836" s="114">
        <f t="shared" ref="S1836:T1836" si="1839">A1836</f>
        <v>1</v>
      </c>
      <c r="T1836" s="114" t="str">
        <f t="shared" si="1839"/>
        <v/>
      </c>
      <c r="U1836" s="86" t="str">
        <f t="shared" si="3"/>
        <v>0</v>
      </c>
      <c r="V1836" s="86" t="str">
        <f t="shared" si="4"/>
        <v> </v>
      </c>
      <c r="W1836" s="86"/>
      <c r="X1836" s="86"/>
    </row>
    <row r="1837">
      <c r="A1837" s="201">
        <v>1.0</v>
      </c>
      <c r="B1837" s="202"/>
      <c r="C1837" s="203"/>
      <c r="D1837" s="204" t="str">
        <f>IFERROR(__xludf.DUMMYFUNCTION("ARRAYFORMULA(LET( converted, SUBSTITUTE( SUBSTITUTE( SUBSTITUTE( SUBSTITUTE( SUBSTITUTE( SUBSTITUTE( SUBSTITUTE( SUBSTITUTE( SUBSTITUTE( SUBSTITUTE( C1837, ""۰"", ""0""), ""۱"", ""1""), ""۲"", ""2""), ""۳"", ""3""), ""۴"", ""4""), ""۵"", ""5""), ""۶"", """&amp;"6""), ""۷"", ""7""), ""۸"", ""8""), ""۹"", ""9""), IF(LEFT(converted,3)=""+98"", ""0"" &amp; RIGHT(converted, LEN(converted)-3), IF(LEFT(converted,2)=""98"", ""0"" &amp; RIGHT(converted, LEN(converted)-2), IF(LEFT(converted,1)&lt;&gt;""0"", ""0"" &amp; converted, REGEXREPL"&amp;"ACE(converted , ""\s"", """")) ) ) ) )"),"0")</f>
        <v>0</v>
      </c>
      <c r="E1837" s="205"/>
      <c r="F1837" s="214"/>
      <c r="G1837" s="202"/>
      <c r="H1837" s="202"/>
      <c r="I1837" s="203"/>
      <c r="J1837" s="203"/>
      <c r="K1837" s="202"/>
      <c r="L1837" s="202"/>
      <c r="M1837" s="202"/>
      <c r="N1837" s="202"/>
      <c r="O1837" s="202"/>
      <c r="P1837" s="202"/>
      <c r="Q1837" s="208"/>
      <c r="R1837" s="86"/>
      <c r="S1837" s="114">
        <f t="shared" ref="S1837:T1837" si="1840">A1837</f>
        <v>1</v>
      </c>
      <c r="T1837" s="114" t="str">
        <f t="shared" si="1840"/>
        <v/>
      </c>
      <c r="U1837" s="86" t="str">
        <f t="shared" si="3"/>
        <v>0</v>
      </c>
      <c r="V1837" s="86" t="str">
        <f t="shared" si="4"/>
        <v> </v>
      </c>
      <c r="W1837" s="86"/>
      <c r="X1837" s="86"/>
    </row>
    <row r="1838">
      <c r="A1838" s="192">
        <v>1.0</v>
      </c>
      <c r="B1838" s="193"/>
      <c r="C1838" s="194"/>
      <c r="D1838" s="195" t="str">
        <f>IFERROR(__xludf.DUMMYFUNCTION("ARRAYFORMULA(LET( converted, SUBSTITUTE( SUBSTITUTE( SUBSTITUTE( SUBSTITUTE( SUBSTITUTE( SUBSTITUTE( SUBSTITUTE( SUBSTITUTE( SUBSTITUTE( SUBSTITUTE( C1838, ""۰"", ""0""), ""۱"", ""1""), ""۲"", ""2""), ""۳"", ""3""), ""۴"", ""4""), ""۵"", ""5""), ""۶"", """&amp;"6""), ""۷"", ""7""), ""۸"", ""8""), ""۹"", ""9""), IF(LEFT(converted,3)=""+98"", ""0"" &amp; RIGHT(converted, LEN(converted)-3), IF(LEFT(converted,2)=""98"", ""0"" &amp; RIGHT(converted, LEN(converted)-2), IF(LEFT(converted,1)&lt;&gt;""0"", ""0"" &amp; converted, REGEXREPL"&amp;"ACE(converted , ""\s"", """")) ) ) ) )"),"0")</f>
        <v>0</v>
      </c>
      <c r="E1838" s="196"/>
      <c r="F1838" s="221"/>
      <c r="G1838" s="193"/>
      <c r="H1838" s="193"/>
      <c r="I1838" s="194"/>
      <c r="J1838" s="194"/>
      <c r="K1838" s="193"/>
      <c r="L1838" s="193"/>
      <c r="M1838" s="193"/>
      <c r="N1838" s="193"/>
      <c r="O1838" s="193"/>
      <c r="P1838" s="193"/>
      <c r="Q1838" s="200"/>
      <c r="R1838" s="86"/>
      <c r="S1838" s="114">
        <f t="shared" ref="S1838:T1838" si="1841">A1838</f>
        <v>1</v>
      </c>
      <c r="T1838" s="114" t="str">
        <f t="shared" si="1841"/>
        <v/>
      </c>
      <c r="U1838" s="86" t="str">
        <f t="shared" si="3"/>
        <v>0</v>
      </c>
      <c r="V1838" s="86" t="str">
        <f t="shared" si="4"/>
        <v> </v>
      </c>
      <c r="W1838" s="86"/>
      <c r="X1838" s="86"/>
    </row>
    <row r="1839">
      <c r="A1839" s="201">
        <v>1.0</v>
      </c>
      <c r="B1839" s="202"/>
      <c r="C1839" s="203"/>
      <c r="D1839" s="204" t="str">
        <f>IFERROR(__xludf.DUMMYFUNCTION("ARRAYFORMULA(LET( converted, SUBSTITUTE( SUBSTITUTE( SUBSTITUTE( SUBSTITUTE( SUBSTITUTE( SUBSTITUTE( SUBSTITUTE( SUBSTITUTE( SUBSTITUTE( SUBSTITUTE( C1839, ""۰"", ""0""), ""۱"", ""1""), ""۲"", ""2""), ""۳"", ""3""), ""۴"", ""4""), ""۵"", ""5""), ""۶"", """&amp;"6""), ""۷"", ""7""), ""۸"", ""8""), ""۹"", ""9""), IF(LEFT(converted,3)=""+98"", ""0"" &amp; RIGHT(converted, LEN(converted)-3), IF(LEFT(converted,2)=""98"", ""0"" &amp; RIGHT(converted, LEN(converted)-2), IF(LEFT(converted,1)&lt;&gt;""0"", ""0"" &amp; converted, REGEXREPL"&amp;"ACE(converted , ""\s"", """")) ) ) ) )"),"0")</f>
        <v>0</v>
      </c>
      <c r="E1839" s="205"/>
      <c r="F1839" s="214"/>
      <c r="G1839" s="202"/>
      <c r="H1839" s="202"/>
      <c r="I1839" s="203"/>
      <c r="J1839" s="203"/>
      <c r="K1839" s="202"/>
      <c r="L1839" s="202"/>
      <c r="M1839" s="202"/>
      <c r="N1839" s="202"/>
      <c r="O1839" s="202"/>
      <c r="P1839" s="202"/>
      <c r="Q1839" s="208"/>
      <c r="R1839" s="86"/>
      <c r="S1839" s="114">
        <f t="shared" ref="S1839:T1839" si="1842">A1839</f>
        <v>1</v>
      </c>
      <c r="T1839" s="114" t="str">
        <f t="shared" si="1842"/>
        <v/>
      </c>
      <c r="U1839" s="86" t="str">
        <f t="shared" si="3"/>
        <v>0</v>
      </c>
      <c r="V1839" s="86" t="str">
        <f t="shared" si="4"/>
        <v> </v>
      </c>
      <c r="W1839" s="86"/>
      <c r="X1839" s="86"/>
    </row>
    <row r="1840">
      <c r="A1840" s="192">
        <v>1.0</v>
      </c>
      <c r="B1840" s="193"/>
      <c r="C1840" s="194"/>
      <c r="D1840" s="195" t="str">
        <f>IFERROR(__xludf.DUMMYFUNCTION("ARRAYFORMULA(LET( converted, SUBSTITUTE( SUBSTITUTE( SUBSTITUTE( SUBSTITUTE( SUBSTITUTE( SUBSTITUTE( SUBSTITUTE( SUBSTITUTE( SUBSTITUTE( SUBSTITUTE( C1840, ""۰"", ""0""), ""۱"", ""1""), ""۲"", ""2""), ""۳"", ""3""), ""۴"", ""4""), ""۵"", ""5""), ""۶"", """&amp;"6""), ""۷"", ""7""), ""۸"", ""8""), ""۹"", ""9""), IF(LEFT(converted,3)=""+98"", ""0"" &amp; RIGHT(converted, LEN(converted)-3), IF(LEFT(converted,2)=""98"", ""0"" &amp; RIGHT(converted, LEN(converted)-2), IF(LEFT(converted,1)&lt;&gt;""0"", ""0"" &amp; converted, REGEXREPL"&amp;"ACE(converted , ""\s"", """")) ) ) ) )"),"0")</f>
        <v>0</v>
      </c>
      <c r="E1840" s="196"/>
      <c r="F1840" s="221"/>
      <c r="G1840" s="193"/>
      <c r="H1840" s="193"/>
      <c r="I1840" s="194"/>
      <c r="J1840" s="194"/>
      <c r="K1840" s="193"/>
      <c r="L1840" s="193"/>
      <c r="M1840" s="193"/>
      <c r="N1840" s="193"/>
      <c r="O1840" s="193"/>
      <c r="P1840" s="193"/>
      <c r="Q1840" s="200"/>
      <c r="R1840" s="86"/>
      <c r="S1840" s="114">
        <f t="shared" ref="S1840:T1840" si="1843">A1840</f>
        <v>1</v>
      </c>
      <c r="T1840" s="114" t="str">
        <f t="shared" si="1843"/>
        <v/>
      </c>
      <c r="U1840" s="86" t="str">
        <f t="shared" si="3"/>
        <v>0</v>
      </c>
      <c r="V1840" s="86" t="str">
        <f t="shared" si="4"/>
        <v> </v>
      </c>
      <c r="W1840" s="86"/>
      <c r="X1840" s="86"/>
    </row>
    <row r="1841">
      <c r="A1841" s="201">
        <v>1.0</v>
      </c>
      <c r="B1841" s="202"/>
      <c r="C1841" s="203"/>
      <c r="D1841" s="204" t="str">
        <f>IFERROR(__xludf.DUMMYFUNCTION("ARRAYFORMULA(LET( converted, SUBSTITUTE( SUBSTITUTE( SUBSTITUTE( SUBSTITUTE( SUBSTITUTE( SUBSTITUTE( SUBSTITUTE( SUBSTITUTE( SUBSTITUTE( SUBSTITUTE( C1841, ""۰"", ""0""), ""۱"", ""1""), ""۲"", ""2""), ""۳"", ""3""), ""۴"", ""4""), ""۵"", ""5""), ""۶"", """&amp;"6""), ""۷"", ""7""), ""۸"", ""8""), ""۹"", ""9""), IF(LEFT(converted,3)=""+98"", ""0"" &amp; RIGHT(converted, LEN(converted)-3), IF(LEFT(converted,2)=""98"", ""0"" &amp; RIGHT(converted, LEN(converted)-2), IF(LEFT(converted,1)&lt;&gt;""0"", ""0"" &amp; converted, REGEXREPL"&amp;"ACE(converted , ""\s"", """")) ) ) ) )"),"0")</f>
        <v>0</v>
      </c>
      <c r="E1841" s="205"/>
      <c r="F1841" s="214"/>
      <c r="G1841" s="202"/>
      <c r="H1841" s="202"/>
      <c r="I1841" s="203"/>
      <c r="J1841" s="203"/>
      <c r="K1841" s="202"/>
      <c r="L1841" s="202"/>
      <c r="M1841" s="202"/>
      <c r="N1841" s="202"/>
      <c r="O1841" s="202"/>
      <c r="P1841" s="202"/>
      <c r="Q1841" s="208"/>
      <c r="R1841" s="86"/>
      <c r="S1841" s="114">
        <f t="shared" ref="S1841:T1841" si="1844">A1841</f>
        <v>1</v>
      </c>
      <c r="T1841" s="114" t="str">
        <f t="shared" si="1844"/>
        <v/>
      </c>
      <c r="U1841" s="86" t="str">
        <f t="shared" si="3"/>
        <v>0</v>
      </c>
      <c r="V1841" s="86" t="str">
        <f t="shared" si="4"/>
        <v> </v>
      </c>
      <c r="W1841" s="86"/>
      <c r="X1841" s="86"/>
    </row>
    <row r="1842">
      <c r="A1842" s="192">
        <v>1.0</v>
      </c>
      <c r="B1842" s="193"/>
      <c r="C1842" s="194"/>
      <c r="D1842" s="195" t="str">
        <f>IFERROR(__xludf.DUMMYFUNCTION("ARRAYFORMULA(LET( converted, SUBSTITUTE( SUBSTITUTE( SUBSTITUTE( SUBSTITUTE( SUBSTITUTE( SUBSTITUTE( SUBSTITUTE( SUBSTITUTE( SUBSTITUTE( SUBSTITUTE( C1842, ""۰"", ""0""), ""۱"", ""1""), ""۲"", ""2""), ""۳"", ""3""), ""۴"", ""4""), ""۵"", ""5""), ""۶"", """&amp;"6""), ""۷"", ""7""), ""۸"", ""8""), ""۹"", ""9""), IF(LEFT(converted,3)=""+98"", ""0"" &amp; RIGHT(converted, LEN(converted)-3), IF(LEFT(converted,2)=""98"", ""0"" &amp; RIGHT(converted, LEN(converted)-2), IF(LEFT(converted,1)&lt;&gt;""0"", ""0"" &amp; converted, REGEXREPL"&amp;"ACE(converted , ""\s"", """")) ) ) ) )"),"0")</f>
        <v>0</v>
      </c>
      <c r="E1842" s="196"/>
      <c r="F1842" s="221"/>
      <c r="G1842" s="193"/>
      <c r="H1842" s="193"/>
      <c r="I1842" s="194"/>
      <c r="J1842" s="194"/>
      <c r="K1842" s="193"/>
      <c r="L1842" s="193"/>
      <c r="M1842" s="193"/>
      <c r="N1842" s="193"/>
      <c r="O1842" s="193"/>
      <c r="P1842" s="193"/>
      <c r="Q1842" s="200"/>
      <c r="R1842" s="86"/>
      <c r="S1842" s="114">
        <f t="shared" ref="S1842:T1842" si="1845">A1842</f>
        <v>1</v>
      </c>
      <c r="T1842" s="114" t="str">
        <f t="shared" si="1845"/>
        <v/>
      </c>
      <c r="U1842" s="86" t="str">
        <f t="shared" si="3"/>
        <v>0</v>
      </c>
      <c r="V1842" s="86" t="str">
        <f t="shared" si="4"/>
        <v> </v>
      </c>
      <c r="W1842" s="86"/>
      <c r="X1842" s="86"/>
    </row>
    <row r="1843">
      <c r="A1843" s="201">
        <v>1.0</v>
      </c>
      <c r="B1843" s="202"/>
      <c r="C1843" s="203"/>
      <c r="D1843" s="204" t="str">
        <f>IFERROR(__xludf.DUMMYFUNCTION("ARRAYFORMULA(LET( converted, SUBSTITUTE( SUBSTITUTE( SUBSTITUTE( SUBSTITUTE( SUBSTITUTE( SUBSTITUTE( SUBSTITUTE( SUBSTITUTE( SUBSTITUTE( SUBSTITUTE( C1843, ""۰"", ""0""), ""۱"", ""1""), ""۲"", ""2""), ""۳"", ""3""), ""۴"", ""4""), ""۵"", ""5""), ""۶"", """&amp;"6""), ""۷"", ""7""), ""۸"", ""8""), ""۹"", ""9""), IF(LEFT(converted,3)=""+98"", ""0"" &amp; RIGHT(converted, LEN(converted)-3), IF(LEFT(converted,2)=""98"", ""0"" &amp; RIGHT(converted, LEN(converted)-2), IF(LEFT(converted,1)&lt;&gt;""0"", ""0"" &amp; converted, REGEXREPL"&amp;"ACE(converted , ""\s"", """")) ) ) ) )"),"0")</f>
        <v>0</v>
      </c>
      <c r="E1843" s="205"/>
      <c r="F1843" s="214"/>
      <c r="G1843" s="202"/>
      <c r="H1843" s="202"/>
      <c r="I1843" s="203"/>
      <c r="J1843" s="203"/>
      <c r="K1843" s="202"/>
      <c r="L1843" s="202"/>
      <c r="M1843" s="202"/>
      <c r="N1843" s="202"/>
      <c r="O1843" s="202"/>
      <c r="P1843" s="202"/>
      <c r="Q1843" s="208"/>
      <c r="R1843" s="86"/>
      <c r="S1843" s="114">
        <f t="shared" ref="S1843:T1843" si="1846">A1843</f>
        <v>1</v>
      </c>
      <c r="T1843" s="114" t="str">
        <f t="shared" si="1846"/>
        <v/>
      </c>
      <c r="U1843" s="86" t="str">
        <f t="shared" si="3"/>
        <v>0</v>
      </c>
      <c r="V1843" s="86" t="str">
        <f t="shared" si="4"/>
        <v> </v>
      </c>
      <c r="W1843" s="86"/>
      <c r="X1843" s="86"/>
    </row>
    <row r="1844">
      <c r="A1844" s="192">
        <v>1.0</v>
      </c>
      <c r="B1844" s="193"/>
      <c r="C1844" s="194"/>
      <c r="D1844" s="195" t="str">
        <f>IFERROR(__xludf.DUMMYFUNCTION("ARRAYFORMULA(LET( converted, SUBSTITUTE( SUBSTITUTE( SUBSTITUTE( SUBSTITUTE( SUBSTITUTE( SUBSTITUTE( SUBSTITUTE( SUBSTITUTE( SUBSTITUTE( SUBSTITUTE( C1844, ""۰"", ""0""), ""۱"", ""1""), ""۲"", ""2""), ""۳"", ""3""), ""۴"", ""4""), ""۵"", ""5""), ""۶"", """&amp;"6""), ""۷"", ""7""), ""۸"", ""8""), ""۹"", ""9""), IF(LEFT(converted,3)=""+98"", ""0"" &amp; RIGHT(converted, LEN(converted)-3), IF(LEFT(converted,2)=""98"", ""0"" &amp; RIGHT(converted, LEN(converted)-2), IF(LEFT(converted,1)&lt;&gt;""0"", ""0"" &amp; converted, REGEXREPL"&amp;"ACE(converted , ""\s"", """")) ) ) ) )"),"0")</f>
        <v>0</v>
      </c>
      <c r="E1844" s="196"/>
      <c r="F1844" s="221"/>
      <c r="G1844" s="193"/>
      <c r="H1844" s="193"/>
      <c r="I1844" s="194"/>
      <c r="J1844" s="194"/>
      <c r="K1844" s="193"/>
      <c r="L1844" s="193"/>
      <c r="M1844" s="193"/>
      <c r="N1844" s="193"/>
      <c r="O1844" s="193"/>
      <c r="P1844" s="193"/>
      <c r="Q1844" s="200"/>
      <c r="R1844" s="86"/>
      <c r="S1844" s="114">
        <f t="shared" ref="S1844:T1844" si="1847">A1844</f>
        <v>1</v>
      </c>
      <c r="T1844" s="114" t="str">
        <f t="shared" si="1847"/>
        <v/>
      </c>
      <c r="U1844" s="86" t="str">
        <f t="shared" si="3"/>
        <v>0</v>
      </c>
      <c r="V1844" s="86" t="str">
        <f t="shared" si="4"/>
        <v> </v>
      </c>
      <c r="W1844" s="86"/>
      <c r="X1844" s="86"/>
    </row>
    <row r="1845">
      <c r="A1845" s="201">
        <v>1.0</v>
      </c>
      <c r="B1845" s="202"/>
      <c r="C1845" s="203"/>
      <c r="D1845" s="204" t="str">
        <f>IFERROR(__xludf.DUMMYFUNCTION("ARRAYFORMULA(LET( converted, SUBSTITUTE( SUBSTITUTE( SUBSTITUTE( SUBSTITUTE( SUBSTITUTE( SUBSTITUTE( SUBSTITUTE( SUBSTITUTE( SUBSTITUTE( SUBSTITUTE( C1845, ""۰"", ""0""), ""۱"", ""1""), ""۲"", ""2""), ""۳"", ""3""), ""۴"", ""4""), ""۵"", ""5""), ""۶"", """&amp;"6""), ""۷"", ""7""), ""۸"", ""8""), ""۹"", ""9""), IF(LEFT(converted,3)=""+98"", ""0"" &amp; RIGHT(converted, LEN(converted)-3), IF(LEFT(converted,2)=""98"", ""0"" &amp; RIGHT(converted, LEN(converted)-2), IF(LEFT(converted,1)&lt;&gt;""0"", ""0"" &amp; converted, REGEXREPL"&amp;"ACE(converted , ""\s"", """")) ) ) ) )"),"0")</f>
        <v>0</v>
      </c>
      <c r="E1845" s="205"/>
      <c r="F1845" s="214"/>
      <c r="G1845" s="202"/>
      <c r="H1845" s="202"/>
      <c r="I1845" s="203"/>
      <c r="J1845" s="203"/>
      <c r="K1845" s="202"/>
      <c r="L1845" s="202"/>
      <c r="M1845" s="202"/>
      <c r="N1845" s="202"/>
      <c r="O1845" s="202"/>
      <c r="P1845" s="202"/>
      <c r="Q1845" s="208"/>
      <c r="R1845" s="86"/>
      <c r="S1845" s="114">
        <f t="shared" ref="S1845:T1845" si="1848">A1845</f>
        <v>1</v>
      </c>
      <c r="T1845" s="114" t="str">
        <f t="shared" si="1848"/>
        <v/>
      </c>
      <c r="U1845" s="86" t="str">
        <f t="shared" si="3"/>
        <v>0</v>
      </c>
      <c r="V1845" s="86" t="str">
        <f t="shared" si="4"/>
        <v> </v>
      </c>
      <c r="W1845" s="86"/>
      <c r="X1845" s="86"/>
    </row>
    <row r="1846">
      <c r="A1846" s="192">
        <v>1.0</v>
      </c>
      <c r="B1846" s="193"/>
      <c r="C1846" s="194"/>
      <c r="D1846" s="195" t="str">
        <f>IFERROR(__xludf.DUMMYFUNCTION("ARRAYFORMULA(LET( converted, SUBSTITUTE( SUBSTITUTE( SUBSTITUTE( SUBSTITUTE( SUBSTITUTE( SUBSTITUTE( SUBSTITUTE( SUBSTITUTE( SUBSTITUTE( SUBSTITUTE( C1846, ""۰"", ""0""), ""۱"", ""1""), ""۲"", ""2""), ""۳"", ""3""), ""۴"", ""4""), ""۵"", ""5""), ""۶"", """&amp;"6""), ""۷"", ""7""), ""۸"", ""8""), ""۹"", ""9""), IF(LEFT(converted,3)=""+98"", ""0"" &amp; RIGHT(converted, LEN(converted)-3), IF(LEFT(converted,2)=""98"", ""0"" &amp; RIGHT(converted, LEN(converted)-2), IF(LEFT(converted,1)&lt;&gt;""0"", ""0"" &amp; converted, REGEXREPL"&amp;"ACE(converted , ""\s"", """")) ) ) ) )"),"0")</f>
        <v>0</v>
      </c>
      <c r="E1846" s="196"/>
      <c r="F1846" s="221"/>
      <c r="G1846" s="193"/>
      <c r="H1846" s="193"/>
      <c r="I1846" s="194"/>
      <c r="J1846" s="194"/>
      <c r="K1846" s="193"/>
      <c r="L1846" s="193"/>
      <c r="M1846" s="193"/>
      <c r="N1846" s="193"/>
      <c r="O1846" s="193"/>
      <c r="P1846" s="193"/>
      <c r="Q1846" s="200"/>
      <c r="R1846" s="86"/>
      <c r="S1846" s="114">
        <f t="shared" ref="S1846:T1846" si="1849">A1846</f>
        <v>1</v>
      </c>
      <c r="T1846" s="114" t="str">
        <f t="shared" si="1849"/>
        <v/>
      </c>
      <c r="U1846" s="86" t="str">
        <f t="shared" si="3"/>
        <v>0</v>
      </c>
      <c r="V1846" s="86" t="str">
        <f t="shared" si="4"/>
        <v> </v>
      </c>
      <c r="W1846" s="86"/>
      <c r="X1846" s="86"/>
    </row>
    <row r="1847">
      <c r="A1847" s="201">
        <v>1.0</v>
      </c>
      <c r="B1847" s="202"/>
      <c r="C1847" s="203"/>
      <c r="D1847" s="204" t="str">
        <f>IFERROR(__xludf.DUMMYFUNCTION("ARRAYFORMULA(LET( converted, SUBSTITUTE( SUBSTITUTE( SUBSTITUTE( SUBSTITUTE( SUBSTITUTE( SUBSTITUTE( SUBSTITUTE( SUBSTITUTE( SUBSTITUTE( SUBSTITUTE( C1847, ""۰"", ""0""), ""۱"", ""1""), ""۲"", ""2""), ""۳"", ""3""), ""۴"", ""4""), ""۵"", ""5""), ""۶"", """&amp;"6""), ""۷"", ""7""), ""۸"", ""8""), ""۹"", ""9""), IF(LEFT(converted,3)=""+98"", ""0"" &amp; RIGHT(converted, LEN(converted)-3), IF(LEFT(converted,2)=""98"", ""0"" &amp; RIGHT(converted, LEN(converted)-2), IF(LEFT(converted,1)&lt;&gt;""0"", ""0"" &amp; converted, REGEXREPL"&amp;"ACE(converted , ""\s"", """")) ) ) ) )"),"0")</f>
        <v>0</v>
      </c>
      <c r="E1847" s="205"/>
      <c r="F1847" s="214"/>
      <c r="G1847" s="202"/>
      <c r="H1847" s="202"/>
      <c r="I1847" s="203"/>
      <c r="J1847" s="203"/>
      <c r="K1847" s="202"/>
      <c r="L1847" s="202"/>
      <c r="M1847" s="202"/>
      <c r="N1847" s="202"/>
      <c r="O1847" s="202"/>
      <c r="P1847" s="202"/>
      <c r="Q1847" s="208"/>
      <c r="R1847" s="86"/>
      <c r="S1847" s="114">
        <f t="shared" ref="S1847:T1847" si="1850">A1847</f>
        <v>1</v>
      </c>
      <c r="T1847" s="114" t="str">
        <f t="shared" si="1850"/>
        <v/>
      </c>
      <c r="U1847" s="86" t="str">
        <f t="shared" si="3"/>
        <v>0</v>
      </c>
      <c r="V1847" s="86" t="str">
        <f t="shared" si="4"/>
        <v> </v>
      </c>
      <c r="W1847" s="86"/>
      <c r="X1847" s="86"/>
    </row>
    <row r="1848">
      <c r="A1848" s="192">
        <v>1.0</v>
      </c>
      <c r="B1848" s="193"/>
      <c r="C1848" s="194"/>
      <c r="D1848" s="195" t="str">
        <f>IFERROR(__xludf.DUMMYFUNCTION("ARRAYFORMULA(LET( converted, SUBSTITUTE( SUBSTITUTE( SUBSTITUTE( SUBSTITUTE( SUBSTITUTE( SUBSTITUTE( SUBSTITUTE( SUBSTITUTE( SUBSTITUTE( SUBSTITUTE( C1848, ""۰"", ""0""), ""۱"", ""1""), ""۲"", ""2""), ""۳"", ""3""), ""۴"", ""4""), ""۵"", ""5""), ""۶"", """&amp;"6""), ""۷"", ""7""), ""۸"", ""8""), ""۹"", ""9""), IF(LEFT(converted,3)=""+98"", ""0"" &amp; RIGHT(converted, LEN(converted)-3), IF(LEFT(converted,2)=""98"", ""0"" &amp; RIGHT(converted, LEN(converted)-2), IF(LEFT(converted,1)&lt;&gt;""0"", ""0"" &amp; converted, REGEXREPL"&amp;"ACE(converted , ""\s"", """")) ) ) ) )"),"0")</f>
        <v>0</v>
      </c>
      <c r="E1848" s="196"/>
      <c r="F1848" s="221"/>
      <c r="G1848" s="193"/>
      <c r="H1848" s="193"/>
      <c r="I1848" s="194"/>
      <c r="J1848" s="194"/>
      <c r="K1848" s="193"/>
      <c r="L1848" s="193"/>
      <c r="M1848" s="193"/>
      <c r="N1848" s="193"/>
      <c r="O1848" s="193"/>
      <c r="P1848" s="193"/>
      <c r="Q1848" s="200"/>
      <c r="R1848" s="86"/>
      <c r="S1848" s="114">
        <f t="shared" ref="S1848:T1848" si="1851">A1848</f>
        <v>1</v>
      </c>
      <c r="T1848" s="114" t="str">
        <f t="shared" si="1851"/>
        <v/>
      </c>
      <c r="U1848" s="86" t="str">
        <f t="shared" si="3"/>
        <v>0</v>
      </c>
      <c r="V1848" s="86" t="str">
        <f t="shared" si="4"/>
        <v> </v>
      </c>
      <c r="W1848" s="86"/>
      <c r="X1848" s="86"/>
    </row>
    <row r="1849">
      <c r="A1849" s="201">
        <v>1.0</v>
      </c>
      <c r="B1849" s="202"/>
      <c r="C1849" s="203"/>
      <c r="D1849" s="204" t="str">
        <f>IFERROR(__xludf.DUMMYFUNCTION("ARRAYFORMULA(LET( converted, SUBSTITUTE( SUBSTITUTE( SUBSTITUTE( SUBSTITUTE( SUBSTITUTE( SUBSTITUTE( SUBSTITUTE( SUBSTITUTE( SUBSTITUTE( SUBSTITUTE( C1849, ""۰"", ""0""), ""۱"", ""1""), ""۲"", ""2""), ""۳"", ""3""), ""۴"", ""4""), ""۵"", ""5""), ""۶"", """&amp;"6""), ""۷"", ""7""), ""۸"", ""8""), ""۹"", ""9""), IF(LEFT(converted,3)=""+98"", ""0"" &amp; RIGHT(converted, LEN(converted)-3), IF(LEFT(converted,2)=""98"", ""0"" &amp; RIGHT(converted, LEN(converted)-2), IF(LEFT(converted,1)&lt;&gt;""0"", ""0"" &amp; converted, REGEXREPL"&amp;"ACE(converted , ""\s"", """")) ) ) ) )"),"0")</f>
        <v>0</v>
      </c>
      <c r="E1849" s="205"/>
      <c r="F1849" s="214"/>
      <c r="G1849" s="202"/>
      <c r="H1849" s="202"/>
      <c r="I1849" s="203"/>
      <c r="J1849" s="203"/>
      <c r="K1849" s="202"/>
      <c r="L1849" s="202"/>
      <c r="M1849" s="202"/>
      <c r="N1849" s="202"/>
      <c r="O1849" s="202"/>
      <c r="P1849" s="202"/>
      <c r="Q1849" s="208"/>
      <c r="R1849" s="86"/>
      <c r="S1849" s="114">
        <f t="shared" ref="S1849:T1849" si="1852">A1849</f>
        <v>1</v>
      </c>
      <c r="T1849" s="114" t="str">
        <f t="shared" si="1852"/>
        <v/>
      </c>
      <c r="U1849" s="86" t="str">
        <f t="shared" si="3"/>
        <v>0</v>
      </c>
      <c r="V1849" s="86" t="str">
        <f t="shared" si="4"/>
        <v> </v>
      </c>
      <c r="W1849" s="86"/>
      <c r="X1849" s="86"/>
    </row>
    <row r="1850">
      <c r="A1850" s="192">
        <v>1.0</v>
      </c>
      <c r="B1850" s="193"/>
      <c r="C1850" s="194"/>
      <c r="D1850" s="195" t="str">
        <f>IFERROR(__xludf.DUMMYFUNCTION("ARRAYFORMULA(LET( converted, SUBSTITUTE( SUBSTITUTE( SUBSTITUTE( SUBSTITUTE( SUBSTITUTE( SUBSTITUTE( SUBSTITUTE( SUBSTITUTE( SUBSTITUTE( SUBSTITUTE( C1850, ""۰"", ""0""), ""۱"", ""1""), ""۲"", ""2""), ""۳"", ""3""), ""۴"", ""4""), ""۵"", ""5""), ""۶"", """&amp;"6""), ""۷"", ""7""), ""۸"", ""8""), ""۹"", ""9""), IF(LEFT(converted,3)=""+98"", ""0"" &amp; RIGHT(converted, LEN(converted)-3), IF(LEFT(converted,2)=""98"", ""0"" &amp; RIGHT(converted, LEN(converted)-2), IF(LEFT(converted,1)&lt;&gt;""0"", ""0"" &amp; converted, REGEXREPL"&amp;"ACE(converted , ""\s"", """")) ) ) ) )"),"0")</f>
        <v>0</v>
      </c>
      <c r="E1850" s="196"/>
      <c r="F1850" s="221"/>
      <c r="G1850" s="193"/>
      <c r="H1850" s="193"/>
      <c r="I1850" s="194"/>
      <c r="J1850" s="194"/>
      <c r="K1850" s="193"/>
      <c r="L1850" s="193"/>
      <c r="M1850" s="193"/>
      <c r="N1850" s="193"/>
      <c r="O1850" s="193"/>
      <c r="P1850" s="193"/>
      <c r="Q1850" s="200"/>
      <c r="R1850" s="86"/>
      <c r="S1850" s="114">
        <f t="shared" ref="S1850:T1850" si="1853">A1850</f>
        <v>1</v>
      </c>
      <c r="T1850" s="114" t="str">
        <f t="shared" si="1853"/>
        <v/>
      </c>
      <c r="U1850" s="86" t="str">
        <f t="shared" si="3"/>
        <v>0</v>
      </c>
      <c r="V1850" s="86" t="str">
        <f t="shared" si="4"/>
        <v> </v>
      </c>
      <c r="W1850" s="86"/>
      <c r="X1850" s="86"/>
    </row>
    <row r="1851">
      <c r="A1851" s="201">
        <v>1.0</v>
      </c>
      <c r="B1851" s="202"/>
      <c r="C1851" s="203"/>
      <c r="D1851" s="204" t="str">
        <f>IFERROR(__xludf.DUMMYFUNCTION("ARRAYFORMULA(LET( converted, SUBSTITUTE( SUBSTITUTE( SUBSTITUTE( SUBSTITUTE( SUBSTITUTE( SUBSTITUTE( SUBSTITUTE( SUBSTITUTE( SUBSTITUTE( SUBSTITUTE( C1851, ""۰"", ""0""), ""۱"", ""1""), ""۲"", ""2""), ""۳"", ""3""), ""۴"", ""4""), ""۵"", ""5""), ""۶"", """&amp;"6""), ""۷"", ""7""), ""۸"", ""8""), ""۹"", ""9""), IF(LEFT(converted,3)=""+98"", ""0"" &amp; RIGHT(converted, LEN(converted)-3), IF(LEFT(converted,2)=""98"", ""0"" &amp; RIGHT(converted, LEN(converted)-2), IF(LEFT(converted,1)&lt;&gt;""0"", ""0"" &amp; converted, REGEXREPL"&amp;"ACE(converted , ""\s"", """")) ) ) ) )"),"0")</f>
        <v>0</v>
      </c>
      <c r="E1851" s="205"/>
      <c r="F1851" s="214"/>
      <c r="G1851" s="202"/>
      <c r="H1851" s="202"/>
      <c r="I1851" s="203"/>
      <c r="J1851" s="203"/>
      <c r="K1851" s="202"/>
      <c r="L1851" s="202"/>
      <c r="M1851" s="202"/>
      <c r="N1851" s="202"/>
      <c r="O1851" s="202"/>
      <c r="P1851" s="202"/>
      <c r="Q1851" s="208"/>
      <c r="R1851" s="86"/>
      <c r="S1851" s="114">
        <f t="shared" ref="S1851:T1851" si="1854">A1851</f>
        <v>1</v>
      </c>
      <c r="T1851" s="114" t="str">
        <f t="shared" si="1854"/>
        <v/>
      </c>
      <c r="U1851" s="86" t="str">
        <f t="shared" si="3"/>
        <v>0</v>
      </c>
      <c r="V1851" s="86" t="str">
        <f t="shared" si="4"/>
        <v> </v>
      </c>
      <c r="W1851" s="86"/>
      <c r="X1851" s="86"/>
    </row>
    <row r="1852">
      <c r="A1852" s="192">
        <v>1.0</v>
      </c>
      <c r="B1852" s="193"/>
      <c r="C1852" s="194"/>
      <c r="D1852" s="195" t="str">
        <f>IFERROR(__xludf.DUMMYFUNCTION("ARRAYFORMULA(LET( converted, SUBSTITUTE( SUBSTITUTE( SUBSTITUTE( SUBSTITUTE( SUBSTITUTE( SUBSTITUTE( SUBSTITUTE( SUBSTITUTE( SUBSTITUTE( SUBSTITUTE( C1852, ""۰"", ""0""), ""۱"", ""1""), ""۲"", ""2""), ""۳"", ""3""), ""۴"", ""4""), ""۵"", ""5""), ""۶"", """&amp;"6""), ""۷"", ""7""), ""۸"", ""8""), ""۹"", ""9""), IF(LEFT(converted,3)=""+98"", ""0"" &amp; RIGHT(converted, LEN(converted)-3), IF(LEFT(converted,2)=""98"", ""0"" &amp; RIGHT(converted, LEN(converted)-2), IF(LEFT(converted,1)&lt;&gt;""0"", ""0"" &amp; converted, REGEXREPL"&amp;"ACE(converted , ""\s"", """")) ) ) ) )"),"0")</f>
        <v>0</v>
      </c>
      <c r="E1852" s="196"/>
      <c r="F1852" s="221"/>
      <c r="G1852" s="193"/>
      <c r="H1852" s="193"/>
      <c r="I1852" s="194"/>
      <c r="J1852" s="194"/>
      <c r="K1852" s="193"/>
      <c r="L1852" s="193"/>
      <c r="M1852" s="193"/>
      <c r="N1852" s="193"/>
      <c r="O1852" s="193"/>
      <c r="P1852" s="193"/>
      <c r="Q1852" s="200"/>
      <c r="R1852" s="86"/>
      <c r="S1852" s="114">
        <f t="shared" ref="S1852:T1852" si="1855">A1852</f>
        <v>1</v>
      </c>
      <c r="T1852" s="114" t="str">
        <f t="shared" si="1855"/>
        <v/>
      </c>
      <c r="U1852" s="86" t="str">
        <f t="shared" si="3"/>
        <v>0</v>
      </c>
      <c r="V1852" s="86" t="str">
        <f t="shared" si="4"/>
        <v> </v>
      </c>
      <c r="W1852" s="86"/>
      <c r="X1852" s="86"/>
    </row>
    <row r="1853">
      <c r="A1853" s="201">
        <v>1.0</v>
      </c>
      <c r="B1853" s="202"/>
      <c r="C1853" s="203"/>
      <c r="D1853" s="204" t="str">
        <f>IFERROR(__xludf.DUMMYFUNCTION("ARRAYFORMULA(LET( converted, SUBSTITUTE( SUBSTITUTE( SUBSTITUTE( SUBSTITUTE( SUBSTITUTE( SUBSTITUTE( SUBSTITUTE( SUBSTITUTE( SUBSTITUTE( SUBSTITUTE( C1853, ""۰"", ""0""), ""۱"", ""1""), ""۲"", ""2""), ""۳"", ""3""), ""۴"", ""4""), ""۵"", ""5""), ""۶"", """&amp;"6""), ""۷"", ""7""), ""۸"", ""8""), ""۹"", ""9""), IF(LEFT(converted,3)=""+98"", ""0"" &amp; RIGHT(converted, LEN(converted)-3), IF(LEFT(converted,2)=""98"", ""0"" &amp; RIGHT(converted, LEN(converted)-2), IF(LEFT(converted,1)&lt;&gt;""0"", ""0"" &amp; converted, REGEXREPL"&amp;"ACE(converted , ""\s"", """")) ) ) ) )"),"0")</f>
        <v>0</v>
      </c>
      <c r="E1853" s="205"/>
      <c r="F1853" s="214"/>
      <c r="G1853" s="202"/>
      <c r="H1853" s="202"/>
      <c r="I1853" s="203"/>
      <c r="J1853" s="203"/>
      <c r="K1853" s="202"/>
      <c r="L1853" s="202"/>
      <c r="M1853" s="202"/>
      <c r="N1853" s="202"/>
      <c r="O1853" s="202"/>
      <c r="P1853" s="202"/>
      <c r="Q1853" s="208"/>
      <c r="R1853" s="86"/>
      <c r="S1853" s="114">
        <f t="shared" ref="S1853:T1853" si="1856">A1853</f>
        <v>1</v>
      </c>
      <c r="T1853" s="114" t="str">
        <f t="shared" si="1856"/>
        <v/>
      </c>
      <c r="U1853" s="86" t="str">
        <f t="shared" si="3"/>
        <v>0</v>
      </c>
      <c r="V1853" s="86" t="str">
        <f t="shared" si="4"/>
        <v> </v>
      </c>
      <c r="W1853" s="86"/>
      <c r="X1853" s="86"/>
    </row>
    <row r="1854">
      <c r="A1854" s="192">
        <v>1.0</v>
      </c>
      <c r="B1854" s="193"/>
      <c r="C1854" s="194"/>
      <c r="D1854" s="195" t="str">
        <f>IFERROR(__xludf.DUMMYFUNCTION("ARRAYFORMULA(LET( converted, SUBSTITUTE( SUBSTITUTE( SUBSTITUTE( SUBSTITUTE( SUBSTITUTE( SUBSTITUTE( SUBSTITUTE( SUBSTITUTE( SUBSTITUTE( SUBSTITUTE( C1854, ""۰"", ""0""), ""۱"", ""1""), ""۲"", ""2""), ""۳"", ""3""), ""۴"", ""4""), ""۵"", ""5""), ""۶"", """&amp;"6""), ""۷"", ""7""), ""۸"", ""8""), ""۹"", ""9""), IF(LEFT(converted,3)=""+98"", ""0"" &amp; RIGHT(converted, LEN(converted)-3), IF(LEFT(converted,2)=""98"", ""0"" &amp; RIGHT(converted, LEN(converted)-2), IF(LEFT(converted,1)&lt;&gt;""0"", ""0"" &amp; converted, REGEXREPL"&amp;"ACE(converted , ""\s"", """")) ) ) ) )"),"0")</f>
        <v>0</v>
      </c>
      <c r="E1854" s="196"/>
      <c r="F1854" s="221"/>
      <c r="G1854" s="193"/>
      <c r="H1854" s="193"/>
      <c r="I1854" s="194"/>
      <c r="J1854" s="194"/>
      <c r="K1854" s="193"/>
      <c r="L1854" s="193"/>
      <c r="M1854" s="193"/>
      <c r="N1854" s="193"/>
      <c r="O1854" s="193"/>
      <c r="P1854" s="193"/>
      <c r="Q1854" s="200"/>
      <c r="R1854" s="86"/>
      <c r="S1854" s="114">
        <f t="shared" ref="S1854:T1854" si="1857">A1854</f>
        <v>1</v>
      </c>
      <c r="T1854" s="114" t="str">
        <f t="shared" si="1857"/>
        <v/>
      </c>
      <c r="U1854" s="86" t="str">
        <f t="shared" si="3"/>
        <v>0</v>
      </c>
      <c r="V1854" s="86" t="str">
        <f t="shared" si="4"/>
        <v> </v>
      </c>
      <c r="W1854" s="86"/>
      <c r="X1854" s="86"/>
    </row>
    <row r="1855">
      <c r="A1855" s="201">
        <v>1.0</v>
      </c>
      <c r="B1855" s="202"/>
      <c r="C1855" s="203"/>
      <c r="D1855" s="204" t="str">
        <f>IFERROR(__xludf.DUMMYFUNCTION("ARRAYFORMULA(LET( converted, SUBSTITUTE( SUBSTITUTE( SUBSTITUTE( SUBSTITUTE( SUBSTITUTE( SUBSTITUTE( SUBSTITUTE( SUBSTITUTE( SUBSTITUTE( SUBSTITUTE( C1855, ""۰"", ""0""), ""۱"", ""1""), ""۲"", ""2""), ""۳"", ""3""), ""۴"", ""4""), ""۵"", ""5""), ""۶"", """&amp;"6""), ""۷"", ""7""), ""۸"", ""8""), ""۹"", ""9""), IF(LEFT(converted,3)=""+98"", ""0"" &amp; RIGHT(converted, LEN(converted)-3), IF(LEFT(converted,2)=""98"", ""0"" &amp; RIGHT(converted, LEN(converted)-2), IF(LEFT(converted,1)&lt;&gt;""0"", ""0"" &amp; converted, REGEXREPL"&amp;"ACE(converted , ""\s"", """")) ) ) ) )"),"0")</f>
        <v>0</v>
      </c>
      <c r="E1855" s="205"/>
      <c r="F1855" s="214"/>
      <c r="G1855" s="202"/>
      <c r="H1855" s="202"/>
      <c r="I1855" s="203"/>
      <c r="J1855" s="203"/>
      <c r="K1855" s="202"/>
      <c r="L1855" s="202"/>
      <c r="M1855" s="202"/>
      <c r="N1855" s="202"/>
      <c r="O1855" s="202"/>
      <c r="P1855" s="202"/>
      <c r="Q1855" s="208"/>
      <c r="R1855" s="86"/>
      <c r="S1855" s="114">
        <f t="shared" ref="S1855:T1855" si="1858">A1855</f>
        <v>1</v>
      </c>
      <c r="T1855" s="114" t="str">
        <f t="shared" si="1858"/>
        <v/>
      </c>
      <c r="U1855" s="86" t="str">
        <f t="shared" si="3"/>
        <v>0</v>
      </c>
      <c r="V1855" s="86" t="str">
        <f t="shared" si="4"/>
        <v> </v>
      </c>
      <c r="W1855" s="86"/>
      <c r="X1855" s="86"/>
    </row>
    <row r="1856">
      <c r="A1856" s="192">
        <v>1.0</v>
      </c>
      <c r="B1856" s="193"/>
      <c r="C1856" s="194"/>
      <c r="D1856" s="195" t="str">
        <f>IFERROR(__xludf.DUMMYFUNCTION("ARRAYFORMULA(LET( converted, SUBSTITUTE( SUBSTITUTE( SUBSTITUTE( SUBSTITUTE( SUBSTITUTE( SUBSTITUTE( SUBSTITUTE( SUBSTITUTE( SUBSTITUTE( SUBSTITUTE( C1856, ""۰"", ""0""), ""۱"", ""1""), ""۲"", ""2""), ""۳"", ""3""), ""۴"", ""4""), ""۵"", ""5""), ""۶"", """&amp;"6""), ""۷"", ""7""), ""۸"", ""8""), ""۹"", ""9""), IF(LEFT(converted,3)=""+98"", ""0"" &amp; RIGHT(converted, LEN(converted)-3), IF(LEFT(converted,2)=""98"", ""0"" &amp; RIGHT(converted, LEN(converted)-2), IF(LEFT(converted,1)&lt;&gt;""0"", ""0"" &amp; converted, REGEXREPL"&amp;"ACE(converted , ""\s"", """")) ) ) ) )"),"0")</f>
        <v>0</v>
      </c>
      <c r="E1856" s="196"/>
      <c r="F1856" s="221"/>
      <c r="G1856" s="193"/>
      <c r="H1856" s="193"/>
      <c r="I1856" s="194"/>
      <c r="J1856" s="194"/>
      <c r="K1856" s="193"/>
      <c r="L1856" s="193"/>
      <c r="M1856" s="193"/>
      <c r="N1856" s="193"/>
      <c r="O1856" s="193"/>
      <c r="P1856" s="193"/>
      <c r="Q1856" s="200"/>
      <c r="R1856" s="86"/>
      <c r="S1856" s="114">
        <f t="shared" ref="S1856:T1856" si="1859">A1856</f>
        <v>1</v>
      </c>
      <c r="T1856" s="114" t="str">
        <f t="shared" si="1859"/>
        <v/>
      </c>
      <c r="U1856" s="86" t="str">
        <f t="shared" si="3"/>
        <v>0</v>
      </c>
      <c r="V1856" s="86" t="str">
        <f t="shared" si="4"/>
        <v> </v>
      </c>
      <c r="W1856" s="86"/>
      <c r="X1856" s="86"/>
    </row>
    <row r="1857">
      <c r="A1857" s="201">
        <v>1.0</v>
      </c>
      <c r="B1857" s="202"/>
      <c r="C1857" s="203"/>
      <c r="D1857" s="204" t="str">
        <f>IFERROR(__xludf.DUMMYFUNCTION("ARRAYFORMULA(LET( converted, SUBSTITUTE( SUBSTITUTE( SUBSTITUTE( SUBSTITUTE( SUBSTITUTE( SUBSTITUTE( SUBSTITUTE( SUBSTITUTE( SUBSTITUTE( SUBSTITUTE( C1857, ""۰"", ""0""), ""۱"", ""1""), ""۲"", ""2""), ""۳"", ""3""), ""۴"", ""4""), ""۵"", ""5""), ""۶"", """&amp;"6""), ""۷"", ""7""), ""۸"", ""8""), ""۹"", ""9""), IF(LEFT(converted,3)=""+98"", ""0"" &amp; RIGHT(converted, LEN(converted)-3), IF(LEFT(converted,2)=""98"", ""0"" &amp; RIGHT(converted, LEN(converted)-2), IF(LEFT(converted,1)&lt;&gt;""0"", ""0"" &amp; converted, REGEXREPL"&amp;"ACE(converted , ""\s"", """")) ) ) ) )"),"0")</f>
        <v>0</v>
      </c>
      <c r="E1857" s="205"/>
      <c r="F1857" s="214"/>
      <c r="G1857" s="202"/>
      <c r="H1857" s="202"/>
      <c r="I1857" s="203"/>
      <c r="J1857" s="203"/>
      <c r="K1857" s="202"/>
      <c r="L1857" s="202"/>
      <c r="M1857" s="202"/>
      <c r="N1857" s="202"/>
      <c r="O1857" s="202"/>
      <c r="P1857" s="202"/>
      <c r="Q1857" s="208"/>
      <c r="R1857" s="86"/>
      <c r="S1857" s="114">
        <f t="shared" ref="S1857:T1857" si="1860">A1857</f>
        <v>1</v>
      </c>
      <c r="T1857" s="114" t="str">
        <f t="shared" si="1860"/>
        <v/>
      </c>
      <c r="U1857" s="86" t="str">
        <f t="shared" si="3"/>
        <v>0</v>
      </c>
      <c r="V1857" s="86" t="str">
        <f t="shared" si="4"/>
        <v> </v>
      </c>
      <c r="W1857" s="86"/>
      <c r="X1857" s="86"/>
    </row>
    <row r="1858">
      <c r="A1858" s="192">
        <v>1.0</v>
      </c>
      <c r="B1858" s="193"/>
      <c r="C1858" s="194"/>
      <c r="D1858" s="195" t="str">
        <f>IFERROR(__xludf.DUMMYFUNCTION("ARRAYFORMULA(LET( converted, SUBSTITUTE( SUBSTITUTE( SUBSTITUTE( SUBSTITUTE( SUBSTITUTE( SUBSTITUTE( SUBSTITUTE( SUBSTITUTE( SUBSTITUTE( SUBSTITUTE( C1858, ""۰"", ""0""), ""۱"", ""1""), ""۲"", ""2""), ""۳"", ""3""), ""۴"", ""4""), ""۵"", ""5""), ""۶"", """&amp;"6""), ""۷"", ""7""), ""۸"", ""8""), ""۹"", ""9""), IF(LEFT(converted,3)=""+98"", ""0"" &amp; RIGHT(converted, LEN(converted)-3), IF(LEFT(converted,2)=""98"", ""0"" &amp; RIGHT(converted, LEN(converted)-2), IF(LEFT(converted,1)&lt;&gt;""0"", ""0"" &amp; converted, REGEXREPL"&amp;"ACE(converted , ""\s"", """")) ) ) ) )"),"0")</f>
        <v>0</v>
      </c>
      <c r="E1858" s="196"/>
      <c r="F1858" s="221"/>
      <c r="G1858" s="193"/>
      <c r="H1858" s="193"/>
      <c r="I1858" s="194"/>
      <c r="J1858" s="194"/>
      <c r="K1858" s="193"/>
      <c r="L1858" s="193"/>
      <c r="M1858" s="193"/>
      <c r="N1858" s="193"/>
      <c r="O1858" s="193"/>
      <c r="P1858" s="193"/>
      <c r="Q1858" s="200"/>
      <c r="R1858" s="86"/>
      <c r="S1858" s="114">
        <f t="shared" ref="S1858:T1858" si="1861">A1858</f>
        <v>1</v>
      </c>
      <c r="T1858" s="114" t="str">
        <f t="shared" si="1861"/>
        <v/>
      </c>
      <c r="U1858" s="86" t="str">
        <f t="shared" si="3"/>
        <v>0</v>
      </c>
      <c r="V1858" s="86" t="str">
        <f t="shared" si="4"/>
        <v> </v>
      </c>
      <c r="W1858" s="86"/>
      <c r="X1858" s="86"/>
    </row>
    <row r="1859">
      <c r="A1859" s="201">
        <v>1.0</v>
      </c>
      <c r="B1859" s="202"/>
      <c r="C1859" s="203"/>
      <c r="D1859" s="204" t="str">
        <f>IFERROR(__xludf.DUMMYFUNCTION("ARRAYFORMULA(LET( converted, SUBSTITUTE( SUBSTITUTE( SUBSTITUTE( SUBSTITUTE( SUBSTITUTE( SUBSTITUTE( SUBSTITUTE( SUBSTITUTE( SUBSTITUTE( SUBSTITUTE( C1859, ""۰"", ""0""), ""۱"", ""1""), ""۲"", ""2""), ""۳"", ""3""), ""۴"", ""4""), ""۵"", ""5""), ""۶"", """&amp;"6""), ""۷"", ""7""), ""۸"", ""8""), ""۹"", ""9""), IF(LEFT(converted,3)=""+98"", ""0"" &amp; RIGHT(converted, LEN(converted)-3), IF(LEFT(converted,2)=""98"", ""0"" &amp; RIGHT(converted, LEN(converted)-2), IF(LEFT(converted,1)&lt;&gt;""0"", ""0"" &amp; converted, REGEXREPL"&amp;"ACE(converted , ""\s"", """")) ) ) ) )"),"0")</f>
        <v>0</v>
      </c>
      <c r="E1859" s="205"/>
      <c r="F1859" s="214"/>
      <c r="G1859" s="202"/>
      <c r="H1859" s="202"/>
      <c r="I1859" s="203"/>
      <c r="J1859" s="203"/>
      <c r="K1859" s="202"/>
      <c r="L1859" s="202"/>
      <c r="M1859" s="202"/>
      <c r="N1859" s="202"/>
      <c r="O1859" s="202"/>
      <c r="P1859" s="202"/>
      <c r="Q1859" s="208"/>
      <c r="R1859" s="86"/>
      <c r="S1859" s="114">
        <f t="shared" ref="S1859:T1859" si="1862">A1859</f>
        <v>1</v>
      </c>
      <c r="T1859" s="114" t="str">
        <f t="shared" si="1862"/>
        <v/>
      </c>
      <c r="U1859" s="86" t="str">
        <f t="shared" si="3"/>
        <v>0</v>
      </c>
      <c r="V1859" s="86" t="str">
        <f t="shared" si="4"/>
        <v> </v>
      </c>
      <c r="W1859" s="86"/>
      <c r="X1859" s="86"/>
    </row>
    <row r="1860">
      <c r="A1860" s="192">
        <v>1.0</v>
      </c>
      <c r="B1860" s="193"/>
      <c r="C1860" s="194"/>
      <c r="D1860" s="195" t="str">
        <f>IFERROR(__xludf.DUMMYFUNCTION("ARRAYFORMULA(LET( converted, SUBSTITUTE( SUBSTITUTE( SUBSTITUTE( SUBSTITUTE( SUBSTITUTE( SUBSTITUTE( SUBSTITUTE( SUBSTITUTE( SUBSTITUTE( SUBSTITUTE( C1860, ""۰"", ""0""), ""۱"", ""1""), ""۲"", ""2""), ""۳"", ""3""), ""۴"", ""4""), ""۵"", ""5""), ""۶"", """&amp;"6""), ""۷"", ""7""), ""۸"", ""8""), ""۹"", ""9""), IF(LEFT(converted,3)=""+98"", ""0"" &amp; RIGHT(converted, LEN(converted)-3), IF(LEFT(converted,2)=""98"", ""0"" &amp; RIGHT(converted, LEN(converted)-2), IF(LEFT(converted,1)&lt;&gt;""0"", ""0"" &amp; converted, REGEXREPL"&amp;"ACE(converted , ""\s"", """")) ) ) ) )"),"0")</f>
        <v>0</v>
      </c>
      <c r="E1860" s="196"/>
      <c r="F1860" s="221"/>
      <c r="G1860" s="193"/>
      <c r="H1860" s="193"/>
      <c r="I1860" s="194"/>
      <c r="J1860" s="194"/>
      <c r="K1860" s="193"/>
      <c r="L1860" s="193"/>
      <c r="M1860" s="193"/>
      <c r="N1860" s="193"/>
      <c r="O1860" s="193"/>
      <c r="P1860" s="193"/>
      <c r="Q1860" s="200"/>
      <c r="R1860" s="86"/>
      <c r="S1860" s="114">
        <f t="shared" ref="S1860:T1860" si="1863">A1860</f>
        <v>1</v>
      </c>
      <c r="T1860" s="114" t="str">
        <f t="shared" si="1863"/>
        <v/>
      </c>
      <c r="U1860" s="86" t="str">
        <f t="shared" si="3"/>
        <v>0</v>
      </c>
      <c r="V1860" s="86" t="str">
        <f t="shared" si="4"/>
        <v> </v>
      </c>
      <c r="W1860" s="86"/>
      <c r="X1860" s="86"/>
    </row>
    <row r="1861">
      <c r="A1861" s="201">
        <v>1.0</v>
      </c>
      <c r="B1861" s="202"/>
      <c r="C1861" s="203"/>
      <c r="D1861" s="204" t="str">
        <f>IFERROR(__xludf.DUMMYFUNCTION("ARRAYFORMULA(LET( converted, SUBSTITUTE( SUBSTITUTE( SUBSTITUTE( SUBSTITUTE( SUBSTITUTE( SUBSTITUTE( SUBSTITUTE( SUBSTITUTE( SUBSTITUTE( SUBSTITUTE( C1861, ""۰"", ""0""), ""۱"", ""1""), ""۲"", ""2""), ""۳"", ""3""), ""۴"", ""4""), ""۵"", ""5""), ""۶"", """&amp;"6""), ""۷"", ""7""), ""۸"", ""8""), ""۹"", ""9""), IF(LEFT(converted,3)=""+98"", ""0"" &amp; RIGHT(converted, LEN(converted)-3), IF(LEFT(converted,2)=""98"", ""0"" &amp; RIGHT(converted, LEN(converted)-2), IF(LEFT(converted,1)&lt;&gt;""0"", ""0"" &amp; converted, REGEXREPL"&amp;"ACE(converted , ""\s"", """")) ) ) ) )"),"0")</f>
        <v>0</v>
      </c>
      <c r="E1861" s="205"/>
      <c r="F1861" s="214"/>
      <c r="G1861" s="202"/>
      <c r="H1861" s="202"/>
      <c r="I1861" s="203"/>
      <c r="J1861" s="203"/>
      <c r="K1861" s="202"/>
      <c r="L1861" s="202"/>
      <c r="M1861" s="202"/>
      <c r="N1861" s="202"/>
      <c r="O1861" s="202"/>
      <c r="P1861" s="202"/>
      <c r="Q1861" s="208"/>
      <c r="R1861" s="86"/>
      <c r="S1861" s="114">
        <f t="shared" ref="S1861:T1861" si="1864">A1861</f>
        <v>1</v>
      </c>
      <c r="T1861" s="114" t="str">
        <f t="shared" si="1864"/>
        <v/>
      </c>
      <c r="U1861" s="86" t="str">
        <f t="shared" si="3"/>
        <v>0</v>
      </c>
      <c r="V1861" s="86" t="str">
        <f t="shared" si="4"/>
        <v> </v>
      </c>
      <c r="W1861" s="86"/>
      <c r="X1861" s="86"/>
    </row>
    <row r="1862">
      <c r="A1862" s="192">
        <v>1.0</v>
      </c>
      <c r="B1862" s="193"/>
      <c r="C1862" s="194"/>
      <c r="D1862" s="195" t="str">
        <f>IFERROR(__xludf.DUMMYFUNCTION("ARRAYFORMULA(LET( converted, SUBSTITUTE( SUBSTITUTE( SUBSTITUTE( SUBSTITUTE( SUBSTITUTE( SUBSTITUTE( SUBSTITUTE( SUBSTITUTE( SUBSTITUTE( SUBSTITUTE( C1862, ""۰"", ""0""), ""۱"", ""1""), ""۲"", ""2""), ""۳"", ""3""), ""۴"", ""4""), ""۵"", ""5""), ""۶"", """&amp;"6""), ""۷"", ""7""), ""۸"", ""8""), ""۹"", ""9""), IF(LEFT(converted,3)=""+98"", ""0"" &amp; RIGHT(converted, LEN(converted)-3), IF(LEFT(converted,2)=""98"", ""0"" &amp; RIGHT(converted, LEN(converted)-2), IF(LEFT(converted,1)&lt;&gt;""0"", ""0"" &amp; converted, REGEXREPL"&amp;"ACE(converted , ""\s"", """")) ) ) ) )"),"0")</f>
        <v>0</v>
      </c>
      <c r="E1862" s="196"/>
      <c r="F1862" s="221"/>
      <c r="G1862" s="193"/>
      <c r="H1862" s="193"/>
      <c r="I1862" s="194"/>
      <c r="J1862" s="194"/>
      <c r="K1862" s="193"/>
      <c r="L1862" s="193"/>
      <c r="M1862" s="193"/>
      <c r="N1862" s="193"/>
      <c r="O1862" s="193"/>
      <c r="P1862" s="193"/>
      <c r="Q1862" s="200"/>
      <c r="R1862" s="86"/>
      <c r="S1862" s="114">
        <f t="shared" ref="S1862:T1862" si="1865">A1862</f>
        <v>1</v>
      </c>
      <c r="T1862" s="114" t="str">
        <f t="shared" si="1865"/>
        <v/>
      </c>
      <c r="U1862" s="86" t="str">
        <f t="shared" si="3"/>
        <v>0</v>
      </c>
      <c r="V1862" s="86" t="str">
        <f t="shared" si="4"/>
        <v> </v>
      </c>
      <c r="W1862" s="86"/>
      <c r="X1862" s="86"/>
    </row>
    <row r="1863">
      <c r="A1863" s="201">
        <v>1.0</v>
      </c>
      <c r="B1863" s="202"/>
      <c r="C1863" s="203"/>
      <c r="D1863" s="204" t="str">
        <f>IFERROR(__xludf.DUMMYFUNCTION("ARRAYFORMULA(LET( converted, SUBSTITUTE( SUBSTITUTE( SUBSTITUTE( SUBSTITUTE( SUBSTITUTE( SUBSTITUTE( SUBSTITUTE( SUBSTITUTE( SUBSTITUTE( SUBSTITUTE( C1863, ""۰"", ""0""), ""۱"", ""1""), ""۲"", ""2""), ""۳"", ""3""), ""۴"", ""4""), ""۵"", ""5""), ""۶"", """&amp;"6""), ""۷"", ""7""), ""۸"", ""8""), ""۹"", ""9""), IF(LEFT(converted,3)=""+98"", ""0"" &amp; RIGHT(converted, LEN(converted)-3), IF(LEFT(converted,2)=""98"", ""0"" &amp; RIGHT(converted, LEN(converted)-2), IF(LEFT(converted,1)&lt;&gt;""0"", ""0"" &amp; converted, REGEXREPL"&amp;"ACE(converted , ""\s"", """")) ) ) ) )"),"0")</f>
        <v>0</v>
      </c>
      <c r="E1863" s="205"/>
      <c r="F1863" s="214"/>
      <c r="G1863" s="202"/>
      <c r="H1863" s="202"/>
      <c r="I1863" s="203"/>
      <c r="J1863" s="203"/>
      <c r="K1863" s="202"/>
      <c r="L1863" s="202"/>
      <c r="M1863" s="202"/>
      <c r="N1863" s="202"/>
      <c r="O1863" s="202"/>
      <c r="P1863" s="202"/>
      <c r="Q1863" s="208"/>
      <c r="R1863" s="86"/>
      <c r="S1863" s="114">
        <f t="shared" ref="S1863:T1863" si="1866">A1863</f>
        <v>1</v>
      </c>
      <c r="T1863" s="114" t="str">
        <f t="shared" si="1866"/>
        <v/>
      </c>
      <c r="U1863" s="86" t="str">
        <f t="shared" si="3"/>
        <v>0</v>
      </c>
      <c r="V1863" s="86" t="str">
        <f t="shared" si="4"/>
        <v> </v>
      </c>
      <c r="W1863" s="86"/>
      <c r="X1863" s="86"/>
    </row>
    <row r="1864">
      <c r="A1864" s="192">
        <v>1.0</v>
      </c>
      <c r="B1864" s="193"/>
      <c r="C1864" s="194"/>
      <c r="D1864" s="195" t="str">
        <f>IFERROR(__xludf.DUMMYFUNCTION("ARRAYFORMULA(LET( converted, SUBSTITUTE( SUBSTITUTE( SUBSTITUTE( SUBSTITUTE( SUBSTITUTE( SUBSTITUTE( SUBSTITUTE( SUBSTITUTE( SUBSTITUTE( SUBSTITUTE( C1864, ""۰"", ""0""), ""۱"", ""1""), ""۲"", ""2""), ""۳"", ""3""), ""۴"", ""4""), ""۵"", ""5""), ""۶"", """&amp;"6""), ""۷"", ""7""), ""۸"", ""8""), ""۹"", ""9""), IF(LEFT(converted,3)=""+98"", ""0"" &amp; RIGHT(converted, LEN(converted)-3), IF(LEFT(converted,2)=""98"", ""0"" &amp; RIGHT(converted, LEN(converted)-2), IF(LEFT(converted,1)&lt;&gt;""0"", ""0"" &amp; converted, REGEXREPL"&amp;"ACE(converted , ""\s"", """")) ) ) ) )"),"0")</f>
        <v>0</v>
      </c>
      <c r="E1864" s="196"/>
      <c r="F1864" s="221"/>
      <c r="G1864" s="193"/>
      <c r="H1864" s="193"/>
      <c r="I1864" s="194"/>
      <c r="J1864" s="194"/>
      <c r="K1864" s="193"/>
      <c r="L1864" s="193"/>
      <c r="M1864" s="193"/>
      <c r="N1864" s="193"/>
      <c r="O1864" s="193"/>
      <c r="P1864" s="193"/>
      <c r="Q1864" s="200"/>
      <c r="R1864" s="86"/>
      <c r="S1864" s="114">
        <f t="shared" ref="S1864:T1864" si="1867">A1864</f>
        <v>1</v>
      </c>
      <c r="T1864" s="114" t="str">
        <f t="shared" si="1867"/>
        <v/>
      </c>
      <c r="U1864" s="86" t="str">
        <f t="shared" si="3"/>
        <v>0</v>
      </c>
      <c r="V1864" s="86" t="str">
        <f t="shared" si="4"/>
        <v> </v>
      </c>
      <c r="W1864" s="86"/>
      <c r="X1864" s="86"/>
    </row>
    <row r="1865">
      <c r="A1865" s="201">
        <v>1.0</v>
      </c>
      <c r="B1865" s="202"/>
      <c r="C1865" s="203"/>
      <c r="D1865" s="204" t="str">
        <f>IFERROR(__xludf.DUMMYFUNCTION("ARRAYFORMULA(LET( converted, SUBSTITUTE( SUBSTITUTE( SUBSTITUTE( SUBSTITUTE( SUBSTITUTE( SUBSTITUTE( SUBSTITUTE( SUBSTITUTE( SUBSTITUTE( SUBSTITUTE( C1865, ""۰"", ""0""), ""۱"", ""1""), ""۲"", ""2""), ""۳"", ""3""), ""۴"", ""4""), ""۵"", ""5""), ""۶"", """&amp;"6""), ""۷"", ""7""), ""۸"", ""8""), ""۹"", ""9""), IF(LEFT(converted,3)=""+98"", ""0"" &amp; RIGHT(converted, LEN(converted)-3), IF(LEFT(converted,2)=""98"", ""0"" &amp; RIGHT(converted, LEN(converted)-2), IF(LEFT(converted,1)&lt;&gt;""0"", ""0"" &amp; converted, REGEXREPL"&amp;"ACE(converted , ""\s"", """")) ) ) ) )"),"0")</f>
        <v>0</v>
      </c>
      <c r="E1865" s="205"/>
      <c r="F1865" s="214"/>
      <c r="G1865" s="202"/>
      <c r="H1865" s="202"/>
      <c r="I1865" s="203"/>
      <c r="J1865" s="203"/>
      <c r="K1865" s="202"/>
      <c r="L1865" s="202"/>
      <c r="M1865" s="202"/>
      <c r="N1865" s="202"/>
      <c r="O1865" s="202"/>
      <c r="P1865" s="202"/>
      <c r="Q1865" s="208"/>
      <c r="R1865" s="86"/>
      <c r="S1865" s="114">
        <f t="shared" ref="S1865:T1865" si="1868">A1865</f>
        <v>1</v>
      </c>
      <c r="T1865" s="114" t="str">
        <f t="shared" si="1868"/>
        <v/>
      </c>
      <c r="U1865" s="86" t="str">
        <f t="shared" si="3"/>
        <v>0</v>
      </c>
      <c r="V1865" s="86" t="str">
        <f t="shared" si="4"/>
        <v> </v>
      </c>
      <c r="W1865" s="86"/>
      <c r="X1865" s="86"/>
    </row>
    <row r="1866">
      <c r="A1866" s="192">
        <v>1.0</v>
      </c>
      <c r="B1866" s="193"/>
      <c r="C1866" s="194"/>
      <c r="D1866" s="195" t="str">
        <f>IFERROR(__xludf.DUMMYFUNCTION("ARRAYFORMULA(LET( converted, SUBSTITUTE( SUBSTITUTE( SUBSTITUTE( SUBSTITUTE( SUBSTITUTE( SUBSTITUTE( SUBSTITUTE( SUBSTITUTE( SUBSTITUTE( SUBSTITUTE( C1866, ""۰"", ""0""), ""۱"", ""1""), ""۲"", ""2""), ""۳"", ""3""), ""۴"", ""4""), ""۵"", ""5""), ""۶"", """&amp;"6""), ""۷"", ""7""), ""۸"", ""8""), ""۹"", ""9""), IF(LEFT(converted,3)=""+98"", ""0"" &amp; RIGHT(converted, LEN(converted)-3), IF(LEFT(converted,2)=""98"", ""0"" &amp; RIGHT(converted, LEN(converted)-2), IF(LEFT(converted,1)&lt;&gt;""0"", ""0"" &amp; converted, REGEXREPL"&amp;"ACE(converted , ""\s"", """")) ) ) ) )"),"0")</f>
        <v>0</v>
      </c>
      <c r="E1866" s="196"/>
      <c r="F1866" s="221"/>
      <c r="G1866" s="193"/>
      <c r="H1866" s="193"/>
      <c r="I1866" s="194"/>
      <c r="J1866" s="194"/>
      <c r="K1866" s="193"/>
      <c r="L1866" s="193"/>
      <c r="M1866" s="193"/>
      <c r="N1866" s="193"/>
      <c r="O1866" s="193"/>
      <c r="P1866" s="193"/>
      <c r="Q1866" s="200"/>
      <c r="R1866" s="86"/>
      <c r="S1866" s="114">
        <f t="shared" ref="S1866:T1866" si="1869">A1866</f>
        <v>1</v>
      </c>
      <c r="T1866" s="114" t="str">
        <f t="shared" si="1869"/>
        <v/>
      </c>
      <c r="U1866" s="86" t="str">
        <f t="shared" si="3"/>
        <v>0</v>
      </c>
      <c r="V1866" s="86" t="str">
        <f t="shared" si="4"/>
        <v> </v>
      </c>
      <c r="W1866" s="86"/>
      <c r="X1866" s="86"/>
    </row>
    <row r="1867">
      <c r="A1867" s="201">
        <v>1.0</v>
      </c>
      <c r="B1867" s="202"/>
      <c r="C1867" s="203"/>
      <c r="D1867" s="204" t="str">
        <f>IFERROR(__xludf.DUMMYFUNCTION("ARRAYFORMULA(LET( converted, SUBSTITUTE( SUBSTITUTE( SUBSTITUTE( SUBSTITUTE( SUBSTITUTE( SUBSTITUTE( SUBSTITUTE( SUBSTITUTE( SUBSTITUTE( SUBSTITUTE( C1867, ""۰"", ""0""), ""۱"", ""1""), ""۲"", ""2""), ""۳"", ""3""), ""۴"", ""4""), ""۵"", ""5""), ""۶"", """&amp;"6""), ""۷"", ""7""), ""۸"", ""8""), ""۹"", ""9""), IF(LEFT(converted,3)=""+98"", ""0"" &amp; RIGHT(converted, LEN(converted)-3), IF(LEFT(converted,2)=""98"", ""0"" &amp; RIGHT(converted, LEN(converted)-2), IF(LEFT(converted,1)&lt;&gt;""0"", ""0"" &amp; converted, REGEXREPL"&amp;"ACE(converted , ""\s"", """")) ) ) ) )"),"0")</f>
        <v>0</v>
      </c>
      <c r="E1867" s="205"/>
      <c r="F1867" s="214"/>
      <c r="G1867" s="202"/>
      <c r="H1867" s="202"/>
      <c r="I1867" s="203"/>
      <c r="J1867" s="203"/>
      <c r="K1867" s="202"/>
      <c r="L1867" s="202"/>
      <c r="M1867" s="202"/>
      <c r="N1867" s="202"/>
      <c r="O1867" s="202"/>
      <c r="P1867" s="202"/>
      <c r="Q1867" s="208"/>
      <c r="R1867" s="86"/>
      <c r="S1867" s="114">
        <f t="shared" ref="S1867:T1867" si="1870">A1867</f>
        <v>1</v>
      </c>
      <c r="T1867" s="114" t="str">
        <f t="shared" si="1870"/>
        <v/>
      </c>
      <c r="U1867" s="86" t="str">
        <f t="shared" si="3"/>
        <v>0</v>
      </c>
      <c r="V1867" s="86" t="str">
        <f t="shared" si="4"/>
        <v> </v>
      </c>
      <c r="W1867" s="86"/>
      <c r="X1867" s="86"/>
    </row>
    <row r="1868">
      <c r="A1868" s="192">
        <v>1.0</v>
      </c>
      <c r="B1868" s="193"/>
      <c r="C1868" s="194"/>
      <c r="D1868" s="195" t="str">
        <f>IFERROR(__xludf.DUMMYFUNCTION("ARRAYFORMULA(LET( converted, SUBSTITUTE( SUBSTITUTE( SUBSTITUTE( SUBSTITUTE( SUBSTITUTE( SUBSTITUTE( SUBSTITUTE( SUBSTITUTE( SUBSTITUTE( SUBSTITUTE( C1868, ""۰"", ""0""), ""۱"", ""1""), ""۲"", ""2""), ""۳"", ""3""), ""۴"", ""4""), ""۵"", ""5""), ""۶"", """&amp;"6""), ""۷"", ""7""), ""۸"", ""8""), ""۹"", ""9""), IF(LEFT(converted,3)=""+98"", ""0"" &amp; RIGHT(converted, LEN(converted)-3), IF(LEFT(converted,2)=""98"", ""0"" &amp; RIGHT(converted, LEN(converted)-2), IF(LEFT(converted,1)&lt;&gt;""0"", ""0"" &amp; converted, REGEXREPL"&amp;"ACE(converted , ""\s"", """")) ) ) ) )"),"0")</f>
        <v>0</v>
      </c>
      <c r="E1868" s="196"/>
      <c r="F1868" s="221"/>
      <c r="G1868" s="193"/>
      <c r="H1868" s="193"/>
      <c r="I1868" s="194"/>
      <c r="J1868" s="194"/>
      <c r="K1868" s="193"/>
      <c r="L1868" s="193"/>
      <c r="M1868" s="193"/>
      <c r="N1868" s="193"/>
      <c r="O1868" s="193"/>
      <c r="P1868" s="193"/>
      <c r="Q1868" s="200"/>
      <c r="R1868" s="86"/>
      <c r="S1868" s="114">
        <f t="shared" ref="S1868:T1868" si="1871">A1868</f>
        <v>1</v>
      </c>
      <c r="T1868" s="114" t="str">
        <f t="shared" si="1871"/>
        <v/>
      </c>
      <c r="U1868" s="86" t="str">
        <f t="shared" si="3"/>
        <v>0</v>
      </c>
      <c r="V1868" s="86" t="str">
        <f t="shared" si="4"/>
        <v> </v>
      </c>
      <c r="W1868" s="86"/>
      <c r="X1868" s="86"/>
    </row>
    <row r="1869">
      <c r="A1869" s="201">
        <v>1.0</v>
      </c>
      <c r="B1869" s="202"/>
      <c r="C1869" s="203"/>
      <c r="D1869" s="204" t="str">
        <f>IFERROR(__xludf.DUMMYFUNCTION("ARRAYFORMULA(LET( converted, SUBSTITUTE( SUBSTITUTE( SUBSTITUTE( SUBSTITUTE( SUBSTITUTE( SUBSTITUTE( SUBSTITUTE( SUBSTITUTE( SUBSTITUTE( SUBSTITUTE( C1869, ""۰"", ""0""), ""۱"", ""1""), ""۲"", ""2""), ""۳"", ""3""), ""۴"", ""4""), ""۵"", ""5""), ""۶"", """&amp;"6""), ""۷"", ""7""), ""۸"", ""8""), ""۹"", ""9""), IF(LEFT(converted,3)=""+98"", ""0"" &amp; RIGHT(converted, LEN(converted)-3), IF(LEFT(converted,2)=""98"", ""0"" &amp; RIGHT(converted, LEN(converted)-2), IF(LEFT(converted,1)&lt;&gt;""0"", ""0"" &amp; converted, REGEXREPL"&amp;"ACE(converted , ""\s"", """")) ) ) ) )"),"0")</f>
        <v>0</v>
      </c>
      <c r="E1869" s="205"/>
      <c r="F1869" s="214"/>
      <c r="G1869" s="202"/>
      <c r="H1869" s="202"/>
      <c r="I1869" s="203"/>
      <c r="J1869" s="203"/>
      <c r="K1869" s="202"/>
      <c r="L1869" s="202"/>
      <c r="M1869" s="202"/>
      <c r="N1869" s="202"/>
      <c r="O1869" s="202"/>
      <c r="P1869" s="202"/>
      <c r="Q1869" s="208"/>
      <c r="R1869" s="86"/>
      <c r="S1869" s="114">
        <f t="shared" ref="S1869:T1869" si="1872">A1869</f>
        <v>1</v>
      </c>
      <c r="T1869" s="114" t="str">
        <f t="shared" si="1872"/>
        <v/>
      </c>
      <c r="U1869" s="86" t="str">
        <f t="shared" si="3"/>
        <v>0</v>
      </c>
      <c r="V1869" s="86" t="str">
        <f t="shared" si="4"/>
        <v> </v>
      </c>
      <c r="W1869" s="86"/>
      <c r="X1869" s="86"/>
    </row>
    <row r="1870">
      <c r="A1870" s="192">
        <v>1.0</v>
      </c>
      <c r="B1870" s="193"/>
      <c r="C1870" s="194"/>
      <c r="D1870" s="195" t="str">
        <f>IFERROR(__xludf.DUMMYFUNCTION("ARRAYFORMULA(LET( converted, SUBSTITUTE( SUBSTITUTE( SUBSTITUTE( SUBSTITUTE( SUBSTITUTE( SUBSTITUTE( SUBSTITUTE( SUBSTITUTE( SUBSTITUTE( SUBSTITUTE( C1870, ""۰"", ""0""), ""۱"", ""1""), ""۲"", ""2""), ""۳"", ""3""), ""۴"", ""4""), ""۵"", ""5""), ""۶"", """&amp;"6""), ""۷"", ""7""), ""۸"", ""8""), ""۹"", ""9""), IF(LEFT(converted,3)=""+98"", ""0"" &amp; RIGHT(converted, LEN(converted)-3), IF(LEFT(converted,2)=""98"", ""0"" &amp; RIGHT(converted, LEN(converted)-2), IF(LEFT(converted,1)&lt;&gt;""0"", ""0"" &amp; converted, REGEXREPL"&amp;"ACE(converted , ""\s"", """")) ) ) ) )"),"0")</f>
        <v>0</v>
      </c>
      <c r="E1870" s="196"/>
      <c r="F1870" s="221"/>
      <c r="G1870" s="193"/>
      <c r="H1870" s="193"/>
      <c r="I1870" s="194"/>
      <c r="J1870" s="194"/>
      <c r="K1870" s="193"/>
      <c r="L1870" s="193"/>
      <c r="M1870" s="193"/>
      <c r="N1870" s="193"/>
      <c r="O1870" s="193"/>
      <c r="P1870" s="193"/>
      <c r="Q1870" s="200"/>
      <c r="R1870" s="86"/>
      <c r="S1870" s="114">
        <f t="shared" ref="S1870:T1870" si="1873">A1870</f>
        <v>1</v>
      </c>
      <c r="T1870" s="114" t="str">
        <f t="shared" si="1873"/>
        <v/>
      </c>
      <c r="U1870" s="86" t="str">
        <f t="shared" si="3"/>
        <v>0</v>
      </c>
      <c r="V1870" s="86" t="str">
        <f t="shared" si="4"/>
        <v> </v>
      </c>
      <c r="W1870" s="86"/>
      <c r="X1870" s="86"/>
    </row>
    <row r="1871">
      <c r="A1871" s="201">
        <v>1.0</v>
      </c>
      <c r="B1871" s="202"/>
      <c r="C1871" s="203"/>
      <c r="D1871" s="204" t="str">
        <f>IFERROR(__xludf.DUMMYFUNCTION("ARRAYFORMULA(LET( converted, SUBSTITUTE( SUBSTITUTE( SUBSTITUTE( SUBSTITUTE( SUBSTITUTE( SUBSTITUTE( SUBSTITUTE( SUBSTITUTE( SUBSTITUTE( SUBSTITUTE( C1871, ""۰"", ""0""), ""۱"", ""1""), ""۲"", ""2""), ""۳"", ""3""), ""۴"", ""4""), ""۵"", ""5""), ""۶"", """&amp;"6""), ""۷"", ""7""), ""۸"", ""8""), ""۹"", ""9""), IF(LEFT(converted,3)=""+98"", ""0"" &amp; RIGHT(converted, LEN(converted)-3), IF(LEFT(converted,2)=""98"", ""0"" &amp; RIGHT(converted, LEN(converted)-2), IF(LEFT(converted,1)&lt;&gt;""0"", ""0"" &amp; converted, REGEXREPL"&amp;"ACE(converted , ""\s"", """")) ) ) ) )"),"0")</f>
        <v>0</v>
      </c>
      <c r="E1871" s="205"/>
      <c r="F1871" s="214"/>
      <c r="G1871" s="202"/>
      <c r="H1871" s="202"/>
      <c r="I1871" s="203"/>
      <c r="J1871" s="203"/>
      <c r="K1871" s="202"/>
      <c r="L1871" s="202"/>
      <c r="M1871" s="202"/>
      <c r="N1871" s="202"/>
      <c r="O1871" s="202"/>
      <c r="P1871" s="202"/>
      <c r="Q1871" s="208"/>
      <c r="R1871" s="86"/>
      <c r="S1871" s="114">
        <f t="shared" ref="S1871:T1871" si="1874">A1871</f>
        <v>1</v>
      </c>
      <c r="T1871" s="114" t="str">
        <f t="shared" si="1874"/>
        <v/>
      </c>
      <c r="U1871" s="86" t="str">
        <f t="shared" si="3"/>
        <v>0</v>
      </c>
      <c r="V1871" s="86" t="str">
        <f t="shared" si="4"/>
        <v> </v>
      </c>
      <c r="W1871" s="86"/>
      <c r="X1871" s="86"/>
    </row>
    <row r="1872">
      <c r="A1872" s="192">
        <v>1.0</v>
      </c>
      <c r="B1872" s="193"/>
      <c r="C1872" s="194"/>
      <c r="D1872" s="195" t="str">
        <f>IFERROR(__xludf.DUMMYFUNCTION("ARRAYFORMULA(LET( converted, SUBSTITUTE( SUBSTITUTE( SUBSTITUTE( SUBSTITUTE( SUBSTITUTE( SUBSTITUTE( SUBSTITUTE( SUBSTITUTE( SUBSTITUTE( SUBSTITUTE( C1872, ""۰"", ""0""), ""۱"", ""1""), ""۲"", ""2""), ""۳"", ""3""), ""۴"", ""4""), ""۵"", ""5""), ""۶"", """&amp;"6""), ""۷"", ""7""), ""۸"", ""8""), ""۹"", ""9""), IF(LEFT(converted,3)=""+98"", ""0"" &amp; RIGHT(converted, LEN(converted)-3), IF(LEFT(converted,2)=""98"", ""0"" &amp; RIGHT(converted, LEN(converted)-2), IF(LEFT(converted,1)&lt;&gt;""0"", ""0"" &amp; converted, REGEXREPL"&amp;"ACE(converted , ""\s"", """")) ) ) ) )"),"0")</f>
        <v>0</v>
      </c>
      <c r="E1872" s="196"/>
      <c r="F1872" s="221"/>
      <c r="G1872" s="193"/>
      <c r="H1872" s="193"/>
      <c r="I1872" s="194"/>
      <c r="J1872" s="194"/>
      <c r="K1872" s="193"/>
      <c r="L1872" s="193"/>
      <c r="M1872" s="193"/>
      <c r="N1872" s="193"/>
      <c r="O1872" s="193"/>
      <c r="P1872" s="193"/>
      <c r="Q1872" s="200"/>
      <c r="R1872" s="86"/>
      <c r="S1872" s="114">
        <f t="shared" ref="S1872:T1872" si="1875">A1872</f>
        <v>1</v>
      </c>
      <c r="T1872" s="114" t="str">
        <f t="shared" si="1875"/>
        <v/>
      </c>
      <c r="U1872" s="86" t="str">
        <f t="shared" si="3"/>
        <v>0</v>
      </c>
      <c r="V1872" s="86" t="str">
        <f t="shared" si="4"/>
        <v> </v>
      </c>
      <c r="W1872" s="86"/>
      <c r="X1872" s="86"/>
    </row>
    <row r="1873">
      <c r="A1873" s="201">
        <v>1.0</v>
      </c>
      <c r="B1873" s="202"/>
      <c r="C1873" s="203"/>
      <c r="D1873" s="204" t="str">
        <f>IFERROR(__xludf.DUMMYFUNCTION("ARRAYFORMULA(LET( converted, SUBSTITUTE( SUBSTITUTE( SUBSTITUTE( SUBSTITUTE( SUBSTITUTE( SUBSTITUTE( SUBSTITUTE( SUBSTITUTE( SUBSTITUTE( SUBSTITUTE( C1873, ""۰"", ""0""), ""۱"", ""1""), ""۲"", ""2""), ""۳"", ""3""), ""۴"", ""4""), ""۵"", ""5""), ""۶"", """&amp;"6""), ""۷"", ""7""), ""۸"", ""8""), ""۹"", ""9""), IF(LEFT(converted,3)=""+98"", ""0"" &amp; RIGHT(converted, LEN(converted)-3), IF(LEFT(converted,2)=""98"", ""0"" &amp; RIGHT(converted, LEN(converted)-2), IF(LEFT(converted,1)&lt;&gt;""0"", ""0"" &amp; converted, REGEXREPL"&amp;"ACE(converted , ""\s"", """")) ) ) ) )"),"0")</f>
        <v>0</v>
      </c>
      <c r="E1873" s="205"/>
      <c r="F1873" s="214"/>
      <c r="G1873" s="202"/>
      <c r="H1873" s="202"/>
      <c r="I1873" s="203"/>
      <c r="J1873" s="203"/>
      <c r="K1873" s="202"/>
      <c r="L1873" s="202"/>
      <c r="M1873" s="202"/>
      <c r="N1873" s="202"/>
      <c r="O1873" s="202"/>
      <c r="P1873" s="202"/>
      <c r="Q1873" s="208"/>
      <c r="R1873" s="86"/>
      <c r="S1873" s="114">
        <f t="shared" ref="S1873:T1873" si="1876">A1873</f>
        <v>1</v>
      </c>
      <c r="T1873" s="114" t="str">
        <f t="shared" si="1876"/>
        <v/>
      </c>
      <c r="U1873" s="86" t="str">
        <f t="shared" si="3"/>
        <v>0</v>
      </c>
      <c r="V1873" s="86" t="str">
        <f t="shared" si="4"/>
        <v> </v>
      </c>
      <c r="W1873" s="86"/>
      <c r="X1873" s="86"/>
    </row>
    <row r="1874">
      <c r="A1874" s="192">
        <v>1.0</v>
      </c>
      <c r="B1874" s="193"/>
      <c r="C1874" s="194"/>
      <c r="D1874" s="195" t="str">
        <f>IFERROR(__xludf.DUMMYFUNCTION("ARRAYFORMULA(LET( converted, SUBSTITUTE( SUBSTITUTE( SUBSTITUTE( SUBSTITUTE( SUBSTITUTE( SUBSTITUTE( SUBSTITUTE( SUBSTITUTE( SUBSTITUTE( SUBSTITUTE( C1874, ""۰"", ""0""), ""۱"", ""1""), ""۲"", ""2""), ""۳"", ""3""), ""۴"", ""4""), ""۵"", ""5""), ""۶"", """&amp;"6""), ""۷"", ""7""), ""۸"", ""8""), ""۹"", ""9""), IF(LEFT(converted,3)=""+98"", ""0"" &amp; RIGHT(converted, LEN(converted)-3), IF(LEFT(converted,2)=""98"", ""0"" &amp; RIGHT(converted, LEN(converted)-2), IF(LEFT(converted,1)&lt;&gt;""0"", ""0"" &amp; converted, REGEXREPL"&amp;"ACE(converted , ""\s"", """")) ) ) ) )"),"0")</f>
        <v>0</v>
      </c>
      <c r="E1874" s="196"/>
      <c r="F1874" s="221"/>
      <c r="G1874" s="193"/>
      <c r="H1874" s="193"/>
      <c r="I1874" s="194"/>
      <c r="J1874" s="194"/>
      <c r="K1874" s="193"/>
      <c r="L1874" s="193"/>
      <c r="M1874" s="193"/>
      <c r="N1874" s="193"/>
      <c r="O1874" s="193"/>
      <c r="P1874" s="193"/>
      <c r="Q1874" s="200"/>
      <c r="R1874" s="86"/>
      <c r="S1874" s="114">
        <f t="shared" ref="S1874:T1874" si="1877">A1874</f>
        <v>1</v>
      </c>
      <c r="T1874" s="114" t="str">
        <f t="shared" si="1877"/>
        <v/>
      </c>
      <c r="U1874" s="86" t="str">
        <f t="shared" si="3"/>
        <v>0</v>
      </c>
      <c r="V1874" s="86" t="str">
        <f t="shared" si="4"/>
        <v> </v>
      </c>
      <c r="W1874" s="86"/>
      <c r="X1874" s="86"/>
    </row>
    <row r="1875">
      <c r="A1875" s="201">
        <v>1.0</v>
      </c>
      <c r="B1875" s="202"/>
      <c r="C1875" s="203"/>
      <c r="D1875" s="204" t="str">
        <f>IFERROR(__xludf.DUMMYFUNCTION("ARRAYFORMULA(LET( converted, SUBSTITUTE( SUBSTITUTE( SUBSTITUTE( SUBSTITUTE( SUBSTITUTE( SUBSTITUTE( SUBSTITUTE( SUBSTITUTE( SUBSTITUTE( SUBSTITUTE( C1875, ""۰"", ""0""), ""۱"", ""1""), ""۲"", ""2""), ""۳"", ""3""), ""۴"", ""4""), ""۵"", ""5""), ""۶"", """&amp;"6""), ""۷"", ""7""), ""۸"", ""8""), ""۹"", ""9""), IF(LEFT(converted,3)=""+98"", ""0"" &amp; RIGHT(converted, LEN(converted)-3), IF(LEFT(converted,2)=""98"", ""0"" &amp; RIGHT(converted, LEN(converted)-2), IF(LEFT(converted,1)&lt;&gt;""0"", ""0"" &amp; converted, REGEXREPL"&amp;"ACE(converted , ""\s"", """")) ) ) ) )"),"0")</f>
        <v>0</v>
      </c>
      <c r="E1875" s="205"/>
      <c r="F1875" s="214"/>
      <c r="G1875" s="202"/>
      <c r="H1875" s="202"/>
      <c r="I1875" s="203"/>
      <c r="J1875" s="203"/>
      <c r="K1875" s="202"/>
      <c r="L1875" s="202"/>
      <c r="M1875" s="202"/>
      <c r="N1875" s="202"/>
      <c r="O1875" s="202"/>
      <c r="P1875" s="202"/>
      <c r="Q1875" s="208"/>
      <c r="R1875" s="86"/>
      <c r="S1875" s="114">
        <f t="shared" ref="S1875:T1875" si="1878">A1875</f>
        <v>1</v>
      </c>
      <c r="T1875" s="114" t="str">
        <f t="shared" si="1878"/>
        <v/>
      </c>
      <c r="U1875" s="86" t="str">
        <f t="shared" si="3"/>
        <v>0</v>
      </c>
      <c r="V1875" s="86" t="str">
        <f t="shared" si="4"/>
        <v> </v>
      </c>
      <c r="W1875" s="86"/>
      <c r="X1875" s="86"/>
    </row>
    <row r="1876">
      <c r="A1876" s="192">
        <v>1.0</v>
      </c>
      <c r="B1876" s="193"/>
      <c r="C1876" s="194"/>
      <c r="D1876" s="195" t="str">
        <f>IFERROR(__xludf.DUMMYFUNCTION("ARRAYFORMULA(LET( converted, SUBSTITUTE( SUBSTITUTE( SUBSTITUTE( SUBSTITUTE( SUBSTITUTE( SUBSTITUTE( SUBSTITUTE( SUBSTITUTE( SUBSTITUTE( SUBSTITUTE( C1876, ""۰"", ""0""), ""۱"", ""1""), ""۲"", ""2""), ""۳"", ""3""), ""۴"", ""4""), ""۵"", ""5""), ""۶"", """&amp;"6""), ""۷"", ""7""), ""۸"", ""8""), ""۹"", ""9""), IF(LEFT(converted,3)=""+98"", ""0"" &amp; RIGHT(converted, LEN(converted)-3), IF(LEFT(converted,2)=""98"", ""0"" &amp; RIGHT(converted, LEN(converted)-2), IF(LEFT(converted,1)&lt;&gt;""0"", ""0"" &amp; converted, REGEXREPL"&amp;"ACE(converted , ""\s"", """")) ) ) ) )"),"0")</f>
        <v>0</v>
      </c>
      <c r="E1876" s="196"/>
      <c r="F1876" s="221"/>
      <c r="G1876" s="193"/>
      <c r="H1876" s="193"/>
      <c r="I1876" s="194"/>
      <c r="J1876" s="194"/>
      <c r="K1876" s="193"/>
      <c r="L1876" s="193"/>
      <c r="M1876" s="193"/>
      <c r="N1876" s="193"/>
      <c r="O1876" s="193"/>
      <c r="P1876" s="193"/>
      <c r="Q1876" s="200"/>
      <c r="R1876" s="86"/>
      <c r="S1876" s="114">
        <f t="shared" ref="S1876:T1876" si="1879">A1876</f>
        <v>1</v>
      </c>
      <c r="T1876" s="114" t="str">
        <f t="shared" si="1879"/>
        <v/>
      </c>
      <c r="U1876" s="86" t="str">
        <f t="shared" si="3"/>
        <v>0</v>
      </c>
      <c r="V1876" s="86" t="str">
        <f t="shared" si="4"/>
        <v> </v>
      </c>
      <c r="W1876" s="86"/>
      <c r="X1876" s="86"/>
    </row>
    <row r="1877">
      <c r="A1877" s="201">
        <v>1.0</v>
      </c>
      <c r="B1877" s="202"/>
      <c r="C1877" s="203"/>
      <c r="D1877" s="204" t="str">
        <f>IFERROR(__xludf.DUMMYFUNCTION("ARRAYFORMULA(LET( converted, SUBSTITUTE( SUBSTITUTE( SUBSTITUTE( SUBSTITUTE( SUBSTITUTE( SUBSTITUTE( SUBSTITUTE( SUBSTITUTE( SUBSTITUTE( SUBSTITUTE( C1877, ""۰"", ""0""), ""۱"", ""1""), ""۲"", ""2""), ""۳"", ""3""), ""۴"", ""4""), ""۵"", ""5""), ""۶"", """&amp;"6""), ""۷"", ""7""), ""۸"", ""8""), ""۹"", ""9""), IF(LEFT(converted,3)=""+98"", ""0"" &amp; RIGHT(converted, LEN(converted)-3), IF(LEFT(converted,2)=""98"", ""0"" &amp; RIGHT(converted, LEN(converted)-2), IF(LEFT(converted,1)&lt;&gt;""0"", ""0"" &amp; converted, REGEXREPL"&amp;"ACE(converted , ""\s"", """")) ) ) ) )"),"0")</f>
        <v>0</v>
      </c>
      <c r="E1877" s="205"/>
      <c r="F1877" s="214"/>
      <c r="G1877" s="202"/>
      <c r="H1877" s="202"/>
      <c r="I1877" s="203"/>
      <c r="J1877" s="203"/>
      <c r="K1877" s="202"/>
      <c r="L1877" s="202"/>
      <c r="M1877" s="202"/>
      <c r="N1877" s="202"/>
      <c r="O1877" s="202"/>
      <c r="P1877" s="202"/>
      <c r="Q1877" s="208"/>
      <c r="R1877" s="86"/>
      <c r="S1877" s="114">
        <f t="shared" ref="S1877:T1877" si="1880">A1877</f>
        <v>1</v>
      </c>
      <c r="T1877" s="114" t="str">
        <f t="shared" si="1880"/>
        <v/>
      </c>
      <c r="U1877" s="86" t="str">
        <f t="shared" si="3"/>
        <v>0</v>
      </c>
      <c r="V1877" s="86" t="str">
        <f t="shared" si="4"/>
        <v> </v>
      </c>
      <c r="W1877" s="86"/>
      <c r="X1877" s="86"/>
    </row>
    <row r="1878">
      <c r="A1878" s="192">
        <v>1.0</v>
      </c>
      <c r="B1878" s="193"/>
      <c r="C1878" s="194"/>
      <c r="D1878" s="195" t="str">
        <f>IFERROR(__xludf.DUMMYFUNCTION("ARRAYFORMULA(LET( converted, SUBSTITUTE( SUBSTITUTE( SUBSTITUTE( SUBSTITUTE( SUBSTITUTE( SUBSTITUTE( SUBSTITUTE( SUBSTITUTE( SUBSTITUTE( SUBSTITUTE( C1878, ""۰"", ""0""), ""۱"", ""1""), ""۲"", ""2""), ""۳"", ""3""), ""۴"", ""4""), ""۵"", ""5""), ""۶"", """&amp;"6""), ""۷"", ""7""), ""۸"", ""8""), ""۹"", ""9""), IF(LEFT(converted,3)=""+98"", ""0"" &amp; RIGHT(converted, LEN(converted)-3), IF(LEFT(converted,2)=""98"", ""0"" &amp; RIGHT(converted, LEN(converted)-2), IF(LEFT(converted,1)&lt;&gt;""0"", ""0"" &amp; converted, REGEXREPL"&amp;"ACE(converted , ""\s"", """")) ) ) ) )"),"0")</f>
        <v>0</v>
      </c>
      <c r="E1878" s="196"/>
      <c r="F1878" s="221"/>
      <c r="G1878" s="193"/>
      <c r="H1878" s="193"/>
      <c r="I1878" s="194"/>
      <c r="J1878" s="194"/>
      <c r="K1878" s="193"/>
      <c r="L1878" s="193"/>
      <c r="M1878" s="193"/>
      <c r="N1878" s="193"/>
      <c r="O1878" s="193"/>
      <c r="P1878" s="193"/>
      <c r="Q1878" s="200"/>
      <c r="R1878" s="86"/>
      <c r="S1878" s="114">
        <f t="shared" ref="S1878:T1878" si="1881">A1878</f>
        <v>1</v>
      </c>
      <c r="T1878" s="114" t="str">
        <f t="shared" si="1881"/>
        <v/>
      </c>
      <c r="U1878" s="86" t="str">
        <f t="shared" si="3"/>
        <v>0</v>
      </c>
      <c r="V1878" s="86" t="str">
        <f t="shared" si="4"/>
        <v> </v>
      </c>
      <c r="W1878" s="86"/>
      <c r="X1878" s="86"/>
    </row>
    <row r="1879">
      <c r="A1879" s="201">
        <v>1.0</v>
      </c>
      <c r="B1879" s="202"/>
      <c r="C1879" s="203"/>
      <c r="D1879" s="204" t="str">
        <f>IFERROR(__xludf.DUMMYFUNCTION("ARRAYFORMULA(LET( converted, SUBSTITUTE( SUBSTITUTE( SUBSTITUTE( SUBSTITUTE( SUBSTITUTE( SUBSTITUTE( SUBSTITUTE( SUBSTITUTE( SUBSTITUTE( SUBSTITUTE( C1879, ""۰"", ""0""), ""۱"", ""1""), ""۲"", ""2""), ""۳"", ""3""), ""۴"", ""4""), ""۵"", ""5""), ""۶"", """&amp;"6""), ""۷"", ""7""), ""۸"", ""8""), ""۹"", ""9""), IF(LEFT(converted,3)=""+98"", ""0"" &amp; RIGHT(converted, LEN(converted)-3), IF(LEFT(converted,2)=""98"", ""0"" &amp; RIGHT(converted, LEN(converted)-2), IF(LEFT(converted,1)&lt;&gt;""0"", ""0"" &amp; converted, REGEXREPL"&amp;"ACE(converted , ""\s"", """")) ) ) ) )"),"0")</f>
        <v>0</v>
      </c>
      <c r="E1879" s="205"/>
      <c r="F1879" s="214"/>
      <c r="G1879" s="202"/>
      <c r="H1879" s="202"/>
      <c r="I1879" s="203"/>
      <c r="J1879" s="203"/>
      <c r="K1879" s="202"/>
      <c r="L1879" s="202"/>
      <c r="M1879" s="202"/>
      <c r="N1879" s="202"/>
      <c r="O1879" s="202"/>
      <c r="P1879" s="202"/>
      <c r="Q1879" s="208"/>
      <c r="R1879" s="86"/>
      <c r="S1879" s="114">
        <f t="shared" ref="S1879:T1879" si="1882">A1879</f>
        <v>1</v>
      </c>
      <c r="T1879" s="114" t="str">
        <f t="shared" si="1882"/>
        <v/>
      </c>
      <c r="U1879" s="86" t="str">
        <f t="shared" si="3"/>
        <v>0</v>
      </c>
      <c r="V1879" s="86" t="str">
        <f t="shared" si="4"/>
        <v> </v>
      </c>
      <c r="W1879" s="86"/>
      <c r="X1879" s="86"/>
    </row>
    <row r="1880">
      <c r="A1880" s="192">
        <v>1.0</v>
      </c>
      <c r="B1880" s="193"/>
      <c r="C1880" s="194"/>
      <c r="D1880" s="195" t="str">
        <f>IFERROR(__xludf.DUMMYFUNCTION("ARRAYFORMULA(LET( converted, SUBSTITUTE( SUBSTITUTE( SUBSTITUTE( SUBSTITUTE( SUBSTITUTE( SUBSTITUTE( SUBSTITUTE( SUBSTITUTE( SUBSTITUTE( SUBSTITUTE( C1880, ""۰"", ""0""), ""۱"", ""1""), ""۲"", ""2""), ""۳"", ""3""), ""۴"", ""4""), ""۵"", ""5""), ""۶"", """&amp;"6""), ""۷"", ""7""), ""۸"", ""8""), ""۹"", ""9""), IF(LEFT(converted,3)=""+98"", ""0"" &amp; RIGHT(converted, LEN(converted)-3), IF(LEFT(converted,2)=""98"", ""0"" &amp; RIGHT(converted, LEN(converted)-2), IF(LEFT(converted,1)&lt;&gt;""0"", ""0"" &amp; converted, REGEXREPL"&amp;"ACE(converted , ""\s"", """")) ) ) ) )"),"0")</f>
        <v>0</v>
      </c>
      <c r="E1880" s="196"/>
      <c r="F1880" s="221"/>
      <c r="G1880" s="193"/>
      <c r="H1880" s="193"/>
      <c r="I1880" s="194"/>
      <c r="J1880" s="194"/>
      <c r="K1880" s="193"/>
      <c r="L1880" s="193"/>
      <c r="M1880" s="193"/>
      <c r="N1880" s="193"/>
      <c r="O1880" s="193"/>
      <c r="P1880" s="193"/>
      <c r="Q1880" s="200"/>
      <c r="R1880" s="86"/>
      <c r="S1880" s="114">
        <f t="shared" ref="S1880:T1880" si="1883">A1880</f>
        <v>1</v>
      </c>
      <c r="T1880" s="114" t="str">
        <f t="shared" si="1883"/>
        <v/>
      </c>
      <c r="U1880" s="86" t="str">
        <f t="shared" si="3"/>
        <v>0</v>
      </c>
      <c r="V1880" s="86" t="str">
        <f t="shared" si="4"/>
        <v> </v>
      </c>
      <c r="W1880" s="86"/>
      <c r="X1880" s="86"/>
    </row>
    <row r="1881">
      <c r="A1881" s="201">
        <v>1.0</v>
      </c>
      <c r="B1881" s="202"/>
      <c r="C1881" s="203"/>
      <c r="D1881" s="204" t="str">
        <f>IFERROR(__xludf.DUMMYFUNCTION("ARRAYFORMULA(LET( converted, SUBSTITUTE( SUBSTITUTE( SUBSTITUTE( SUBSTITUTE( SUBSTITUTE( SUBSTITUTE( SUBSTITUTE( SUBSTITUTE( SUBSTITUTE( SUBSTITUTE( C1881, ""۰"", ""0""), ""۱"", ""1""), ""۲"", ""2""), ""۳"", ""3""), ""۴"", ""4""), ""۵"", ""5""), ""۶"", """&amp;"6""), ""۷"", ""7""), ""۸"", ""8""), ""۹"", ""9""), IF(LEFT(converted,3)=""+98"", ""0"" &amp; RIGHT(converted, LEN(converted)-3), IF(LEFT(converted,2)=""98"", ""0"" &amp; RIGHT(converted, LEN(converted)-2), IF(LEFT(converted,1)&lt;&gt;""0"", ""0"" &amp; converted, REGEXREPL"&amp;"ACE(converted , ""\s"", """")) ) ) ) )"),"0")</f>
        <v>0</v>
      </c>
      <c r="E1881" s="205"/>
      <c r="F1881" s="214"/>
      <c r="G1881" s="202"/>
      <c r="H1881" s="202"/>
      <c r="I1881" s="203"/>
      <c r="J1881" s="203"/>
      <c r="K1881" s="202"/>
      <c r="L1881" s="202"/>
      <c r="M1881" s="202"/>
      <c r="N1881" s="202"/>
      <c r="O1881" s="202"/>
      <c r="P1881" s="202"/>
      <c r="Q1881" s="208"/>
      <c r="R1881" s="86"/>
      <c r="S1881" s="114">
        <f t="shared" ref="S1881:T1881" si="1884">A1881</f>
        <v>1</v>
      </c>
      <c r="T1881" s="114" t="str">
        <f t="shared" si="1884"/>
        <v/>
      </c>
      <c r="U1881" s="86" t="str">
        <f t="shared" si="3"/>
        <v>0</v>
      </c>
      <c r="V1881" s="86" t="str">
        <f t="shared" si="4"/>
        <v> </v>
      </c>
      <c r="W1881" s="86"/>
      <c r="X1881" s="86"/>
    </row>
    <row r="1882">
      <c r="A1882" s="192">
        <v>1.0</v>
      </c>
      <c r="B1882" s="193"/>
      <c r="C1882" s="194"/>
      <c r="D1882" s="195" t="str">
        <f>IFERROR(__xludf.DUMMYFUNCTION("ARRAYFORMULA(LET( converted, SUBSTITUTE( SUBSTITUTE( SUBSTITUTE( SUBSTITUTE( SUBSTITUTE( SUBSTITUTE( SUBSTITUTE( SUBSTITUTE( SUBSTITUTE( SUBSTITUTE( C1882, ""۰"", ""0""), ""۱"", ""1""), ""۲"", ""2""), ""۳"", ""3""), ""۴"", ""4""), ""۵"", ""5""), ""۶"", """&amp;"6""), ""۷"", ""7""), ""۸"", ""8""), ""۹"", ""9""), IF(LEFT(converted,3)=""+98"", ""0"" &amp; RIGHT(converted, LEN(converted)-3), IF(LEFT(converted,2)=""98"", ""0"" &amp; RIGHT(converted, LEN(converted)-2), IF(LEFT(converted,1)&lt;&gt;""0"", ""0"" &amp; converted, REGEXREPL"&amp;"ACE(converted , ""\s"", """")) ) ) ) )"),"0")</f>
        <v>0</v>
      </c>
      <c r="E1882" s="196"/>
      <c r="F1882" s="221"/>
      <c r="G1882" s="193"/>
      <c r="H1882" s="193"/>
      <c r="I1882" s="194"/>
      <c r="J1882" s="194"/>
      <c r="K1882" s="193"/>
      <c r="L1882" s="193"/>
      <c r="M1882" s="193"/>
      <c r="N1882" s="193"/>
      <c r="O1882" s="193"/>
      <c r="P1882" s="193"/>
      <c r="Q1882" s="200"/>
      <c r="R1882" s="86"/>
      <c r="S1882" s="114">
        <f t="shared" ref="S1882:T1882" si="1885">A1882</f>
        <v>1</v>
      </c>
      <c r="T1882" s="114" t="str">
        <f t="shared" si="1885"/>
        <v/>
      </c>
      <c r="U1882" s="86" t="str">
        <f t="shared" si="3"/>
        <v>0</v>
      </c>
      <c r="V1882" s="86" t="str">
        <f t="shared" si="4"/>
        <v> </v>
      </c>
      <c r="W1882" s="86"/>
      <c r="X1882" s="86"/>
    </row>
    <row r="1883">
      <c r="A1883" s="201">
        <v>1.0</v>
      </c>
      <c r="B1883" s="202"/>
      <c r="C1883" s="203"/>
      <c r="D1883" s="204" t="str">
        <f>IFERROR(__xludf.DUMMYFUNCTION("ARRAYFORMULA(LET( converted, SUBSTITUTE( SUBSTITUTE( SUBSTITUTE( SUBSTITUTE( SUBSTITUTE( SUBSTITUTE( SUBSTITUTE( SUBSTITUTE( SUBSTITUTE( SUBSTITUTE( C1883, ""۰"", ""0""), ""۱"", ""1""), ""۲"", ""2""), ""۳"", ""3""), ""۴"", ""4""), ""۵"", ""5""), ""۶"", """&amp;"6""), ""۷"", ""7""), ""۸"", ""8""), ""۹"", ""9""), IF(LEFT(converted,3)=""+98"", ""0"" &amp; RIGHT(converted, LEN(converted)-3), IF(LEFT(converted,2)=""98"", ""0"" &amp; RIGHT(converted, LEN(converted)-2), IF(LEFT(converted,1)&lt;&gt;""0"", ""0"" &amp; converted, REGEXREPL"&amp;"ACE(converted , ""\s"", """")) ) ) ) )"),"0")</f>
        <v>0</v>
      </c>
      <c r="E1883" s="205"/>
      <c r="F1883" s="214"/>
      <c r="G1883" s="202"/>
      <c r="H1883" s="202"/>
      <c r="I1883" s="203"/>
      <c r="J1883" s="203"/>
      <c r="K1883" s="202"/>
      <c r="L1883" s="202"/>
      <c r="M1883" s="202"/>
      <c r="N1883" s="202"/>
      <c r="O1883" s="202"/>
      <c r="P1883" s="202"/>
      <c r="Q1883" s="208"/>
      <c r="R1883" s="86"/>
      <c r="S1883" s="114">
        <f t="shared" ref="S1883:T1883" si="1886">A1883</f>
        <v>1</v>
      </c>
      <c r="T1883" s="114" t="str">
        <f t="shared" si="1886"/>
        <v/>
      </c>
      <c r="U1883" s="86" t="str">
        <f t="shared" si="3"/>
        <v>0</v>
      </c>
      <c r="V1883" s="86" t="str">
        <f t="shared" si="4"/>
        <v> </v>
      </c>
      <c r="W1883" s="86"/>
      <c r="X1883" s="86"/>
    </row>
    <row r="1884">
      <c r="A1884" s="192">
        <v>1.0</v>
      </c>
      <c r="B1884" s="193"/>
      <c r="C1884" s="194"/>
      <c r="D1884" s="195" t="str">
        <f>IFERROR(__xludf.DUMMYFUNCTION("ARRAYFORMULA(LET( converted, SUBSTITUTE( SUBSTITUTE( SUBSTITUTE( SUBSTITUTE( SUBSTITUTE( SUBSTITUTE( SUBSTITUTE( SUBSTITUTE( SUBSTITUTE( SUBSTITUTE( C1884, ""۰"", ""0""), ""۱"", ""1""), ""۲"", ""2""), ""۳"", ""3""), ""۴"", ""4""), ""۵"", ""5""), ""۶"", """&amp;"6""), ""۷"", ""7""), ""۸"", ""8""), ""۹"", ""9""), IF(LEFT(converted,3)=""+98"", ""0"" &amp; RIGHT(converted, LEN(converted)-3), IF(LEFT(converted,2)=""98"", ""0"" &amp; RIGHT(converted, LEN(converted)-2), IF(LEFT(converted,1)&lt;&gt;""0"", ""0"" &amp; converted, REGEXREPL"&amp;"ACE(converted , ""\s"", """")) ) ) ) )"),"0")</f>
        <v>0</v>
      </c>
      <c r="E1884" s="196"/>
      <c r="F1884" s="221"/>
      <c r="G1884" s="193"/>
      <c r="H1884" s="193"/>
      <c r="I1884" s="194"/>
      <c r="J1884" s="194"/>
      <c r="K1884" s="193"/>
      <c r="L1884" s="193"/>
      <c r="M1884" s="193"/>
      <c r="N1884" s="193"/>
      <c r="O1884" s="193"/>
      <c r="P1884" s="193"/>
      <c r="Q1884" s="200"/>
      <c r="R1884" s="86"/>
      <c r="S1884" s="114">
        <f t="shared" ref="S1884:T1884" si="1887">A1884</f>
        <v>1</v>
      </c>
      <c r="T1884" s="114" t="str">
        <f t="shared" si="1887"/>
        <v/>
      </c>
      <c r="U1884" s="86" t="str">
        <f t="shared" si="3"/>
        <v>0</v>
      </c>
      <c r="V1884" s="86" t="str">
        <f t="shared" si="4"/>
        <v> </v>
      </c>
      <c r="W1884" s="86"/>
      <c r="X1884" s="86"/>
    </row>
    <row r="1885">
      <c r="A1885" s="201">
        <v>1.0</v>
      </c>
      <c r="B1885" s="202"/>
      <c r="C1885" s="203"/>
      <c r="D1885" s="204" t="str">
        <f>IFERROR(__xludf.DUMMYFUNCTION("ARRAYFORMULA(LET( converted, SUBSTITUTE( SUBSTITUTE( SUBSTITUTE( SUBSTITUTE( SUBSTITUTE( SUBSTITUTE( SUBSTITUTE( SUBSTITUTE( SUBSTITUTE( SUBSTITUTE( C1885, ""۰"", ""0""), ""۱"", ""1""), ""۲"", ""2""), ""۳"", ""3""), ""۴"", ""4""), ""۵"", ""5""), ""۶"", """&amp;"6""), ""۷"", ""7""), ""۸"", ""8""), ""۹"", ""9""), IF(LEFT(converted,3)=""+98"", ""0"" &amp; RIGHT(converted, LEN(converted)-3), IF(LEFT(converted,2)=""98"", ""0"" &amp; RIGHT(converted, LEN(converted)-2), IF(LEFT(converted,1)&lt;&gt;""0"", ""0"" &amp; converted, REGEXREPL"&amp;"ACE(converted , ""\s"", """")) ) ) ) )"),"0")</f>
        <v>0</v>
      </c>
      <c r="E1885" s="205"/>
      <c r="F1885" s="214"/>
      <c r="G1885" s="202"/>
      <c r="H1885" s="202"/>
      <c r="I1885" s="203"/>
      <c r="J1885" s="203"/>
      <c r="K1885" s="202"/>
      <c r="L1885" s="202"/>
      <c r="M1885" s="202"/>
      <c r="N1885" s="202"/>
      <c r="O1885" s="202"/>
      <c r="P1885" s="202"/>
      <c r="Q1885" s="208"/>
      <c r="R1885" s="86"/>
      <c r="S1885" s="114">
        <f t="shared" ref="S1885:T1885" si="1888">A1885</f>
        <v>1</v>
      </c>
      <c r="T1885" s="114" t="str">
        <f t="shared" si="1888"/>
        <v/>
      </c>
      <c r="U1885" s="86" t="str">
        <f t="shared" si="3"/>
        <v>0</v>
      </c>
      <c r="V1885" s="86" t="str">
        <f t="shared" si="4"/>
        <v> </v>
      </c>
      <c r="W1885" s="86"/>
      <c r="X1885" s="86"/>
    </row>
    <row r="1886">
      <c r="A1886" s="192">
        <v>1.0</v>
      </c>
      <c r="B1886" s="193"/>
      <c r="C1886" s="194"/>
      <c r="D1886" s="195" t="str">
        <f>IFERROR(__xludf.DUMMYFUNCTION("ARRAYFORMULA(LET( converted, SUBSTITUTE( SUBSTITUTE( SUBSTITUTE( SUBSTITUTE( SUBSTITUTE( SUBSTITUTE( SUBSTITUTE( SUBSTITUTE( SUBSTITUTE( SUBSTITUTE( C1886, ""۰"", ""0""), ""۱"", ""1""), ""۲"", ""2""), ""۳"", ""3""), ""۴"", ""4""), ""۵"", ""5""), ""۶"", """&amp;"6""), ""۷"", ""7""), ""۸"", ""8""), ""۹"", ""9""), IF(LEFT(converted,3)=""+98"", ""0"" &amp; RIGHT(converted, LEN(converted)-3), IF(LEFT(converted,2)=""98"", ""0"" &amp; RIGHT(converted, LEN(converted)-2), IF(LEFT(converted,1)&lt;&gt;""0"", ""0"" &amp; converted, REGEXREPL"&amp;"ACE(converted , ""\s"", """")) ) ) ) )"),"0")</f>
        <v>0</v>
      </c>
      <c r="E1886" s="196"/>
      <c r="F1886" s="221"/>
      <c r="G1886" s="193"/>
      <c r="H1886" s="193"/>
      <c r="I1886" s="194"/>
      <c r="J1886" s="194"/>
      <c r="K1886" s="193"/>
      <c r="L1886" s="193"/>
      <c r="M1886" s="193"/>
      <c r="N1886" s="193"/>
      <c r="O1886" s="193"/>
      <c r="P1886" s="193"/>
      <c r="Q1886" s="200"/>
      <c r="R1886" s="86"/>
      <c r="S1886" s="114">
        <f t="shared" ref="S1886:T1886" si="1889">A1886</f>
        <v>1</v>
      </c>
      <c r="T1886" s="114" t="str">
        <f t="shared" si="1889"/>
        <v/>
      </c>
      <c r="U1886" s="86" t="str">
        <f t="shared" si="3"/>
        <v>0</v>
      </c>
      <c r="V1886" s="86" t="str">
        <f t="shared" si="4"/>
        <v> </v>
      </c>
      <c r="W1886" s="86"/>
      <c r="X1886" s="86"/>
    </row>
    <row r="1887">
      <c r="A1887" s="201">
        <v>1.0</v>
      </c>
      <c r="B1887" s="202"/>
      <c r="C1887" s="203"/>
      <c r="D1887" s="204" t="str">
        <f>IFERROR(__xludf.DUMMYFUNCTION("ARRAYFORMULA(LET( converted, SUBSTITUTE( SUBSTITUTE( SUBSTITUTE( SUBSTITUTE( SUBSTITUTE( SUBSTITUTE( SUBSTITUTE( SUBSTITUTE( SUBSTITUTE( SUBSTITUTE( C1887, ""۰"", ""0""), ""۱"", ""1""), ""۲"", ""2""), ""۳"", ""3""), ""۴"", ""4""), ""۵"", ""5""), ""۶"", """&amp;"6""), ""۷"", ""7""), ""۸"", ""8""), ""۹"", ""9""), IF(LEFT(converted,3)=""+98"", ""0"" &amp; RIGHT(converted, LEN(converted)-3), IF(LEFT(converted,2)=""98"", ""0"" &amp; RIGHT(converted, LEN(converted)-2), IF(LEFT(converted,1)&lt;&gt;""0"", ""0"" &amp; converted, REGEXREPL"&amp;"ACE(converted , ""\s"", """")) ) ) ) )"),"0")</f>
        <v>0</v>
      </c>
      <c r="E1887" s="205"/>
      <c r="F1887" s="214"/>
      <c r="G1887" s="202"/>
      <c r="H1887" s="202"/>
      <c r="I1887" s="203"/>
      <c r="J1887" s="203"/>
      <c r="K1887" s="202"/>
      <c r="L1887" s="202"/>
      <c r="M1887" s="202"/>
      <c r="N1887" s="202"/>
      <c r="O1887" s="202"/>
      <c r="P1887" s="202"/>
      <c r="Q1887" s="208"/>
      <c r="R1887" s="86"/>
      <c r="S1887" s="114">
        <f t="shared" ref="S1887:T1887" si="1890">A1887</f>
        <v>1</v>
      </c>
      <c r="T1887" s="114" t="str">
        <f t="shared" si="1890"/>
        <v/>
      </c>
      <c r="U1887" s="86" t="str">
        <f t="shared" si="3"/>
        <v>0</v>
      </c>
      <c r="V1887" s="86" t="str">
        <f t="shared" si="4"/>
        <v> </v>
      </c>
      <c r="W1887" s="86"/>
      <c r="X1887" s="86"/>
    </row>
    <row r="1888">
      <c r="A1888" s="192">
        <v>1.0</v>
      </c>
      <c r="B1888" s="193"/>
      <c r="C1888" s="194"/>
      <c r="D1888" s="195" t="str">
        <f>IFERROR(__xludf.DUMMYFUNCTION("ARRAYFORMULA(LET( converted, SUBSTITUTE( SUBSTITUTE( SUBSTITUTE( SUBSTITUTE( SUBSTITUTE( SUBSTITUTE( SUBSTITUTE( SUBSTITUTE( SUBSTITUTE( SUBSTITUTE( C1888, ""۰"", ""0""), ""۱"", ""1""), ""۲"", ""2""), ""۳"", ""3""), ""۴"", ""4""), ""۵"", ""5""), ""۶"", """&amp;"6""), ""۷"", ""7""), ""۸"", ""8""), ""۹"", ""9""), IF(LEFT(converted,3)=""+98"", ""0"" &amp; RIGHT(converted, LEN(converted)-3), IF(LEFT(converted,2)=""98"", ""0"" &amp; RIGHT(converted, LEN(converted)-2), IF(LEFT(converted,1)&lt;&gt;""0"", ""0"" &amp; converted, REGEXREPL"&amp;"ACE(converted , ""\s"", """")) ) ) ) )"),"0")</f>
        <v>0</v>
      </c>
      <c r="E1888" s="196"/>
      <c r="F1888" s="221"/>
      <c r="G1888" s="193"/>
      <c r="H1888" s="193"/>
      <c r="I1888" s="194"/>
      <c r="J1888" s="194"/>
      <c r="K1888" s="193"/>
      <c r="L1888" s="193"/>
      <c r="M1888" s="193"/>
      <c r="N1888" s="193"/>
      <c r="O1888" s="193"/>
      <c r="P1888" s="193"/>
      <c r="Q1888" s="200"/>
      <c r="R1888" s="86"/>
      <c r="S1888" s="114">
        <f t="shared" ref="S1888:T1888" si="1891">A1888</f>
        <v>1</v>
      </c>
      <c r="T1888" s="114" t="str">
        <f t="shared" si="1891"/>
        <v/>
      </c>
      <c r="U1888" s="86" t="str">
        <f t="shared" si="3"/>
        <v>0</v>
      </c>
      <c r="V1888" s="86" t="str">
        <f t="shared" si="4"/>
        <v> </v>
      </c>
      <c r="W1888" s="86"/>
      <c r="X1888" s="86"/>
    </row>
    <row r="1889">
      <c r="A1889" s="201">
        <v>1.0</v>
      </c>
      <c r="B1889" s="202"/>
      <c r="C1889" s="203"/>
      <c r="D1889" s="204" t="str">
        <f>IFERROR(__xludf.DUMMYFUNCTION("ARRAYFORMULA(LET( converted, SUBSTITUTE( SUBSTITUTE( SUBSTITUTE( SUBSTITUTE( SUBSTITUTE( SUBSTITUTE( SUBSTITUTE( SUBSTITUTE( SUBSTITUTE( SUBSTITUTE( C1889, ""۰"", ""0""), ""۱"", ""1""), ""۲"", ""2""), ""۳"", ""3""), ""۴"", ""4""), ""۵"", ""5""), ""۶"", """&amp;"6""), ""۷"", ""7""), ""۸"", ""8""), ""۹"", ""9""), IF(LEFT(converted,3)=""+98"", ""0"" &amp; RIGHT(converted, LEN(converted)-3), IF(LEFT(converted,2)=""98"", ""0"" &amp; RIGHT(converted, LEN(converted)-2), IF(LEFT(converted,1)&lt;&gt;""0"", ""0"" &amp; converted, REGEXREPL"&amp;"ACE(converted , ""\s"", """")) ) ) ) )"),"0")</f>
        <v>0</v>
      </c>
      <c r="E1889" s="205"/>
      <c r="F1889" s="214"/>
      <c r="G1889" s="202"/>
      <c r="H1889" s="202"/>
      <c r="I1889" s="203"/>
      <c r="J1889" s="203"/>
      <c r="K1889" s="202"/>
      <c r="L1889" s="202"/>
      <c r="M1889" s="202"/>
      <c r="N1889" s="202"/>
      <c r="O1889" s="202"/>
      <c r="P1889" s="202"/>
      <c r="Q1889" s="208"/>
      <c r="R1889" s="86"/>
      <c r="S1889" s="114">
        <f t="shared" ref="S1889:T1889" si="1892">A1889</f>
        <v>1</v>
      </c>
      <c r="T1889" s="114" t="str">
        <f t="shared" si="1892"/>
        <v/>
      </c>
      <c r="U1889" s="86" t="str">
        <f t="shared" si="3"/>
        <v>0</v>
      </c>
      <c r="V1889" s="86" t="str">
        <f t="shared" si="4"/>
        <v> </v>
      </c>
      <c r="W1889" s="86"/>
      <c r="X1889" s="86"/>
    </row>
    <row r="1890">
      <c r="A1890" s="192">
        <v>1.0</v>
      </c>
      <c r="B1890" s="193"/>
      <c r="C1890" s="194"/>
      <c r="D1890" s="195" t="str">
        <f>IFERROR(__xludf.DUMMYFUNCTION("ARRAYFORMULA(LET( converted, SUBSTITUTE( SUBSTITUTE( SUBSTITUTE( SUBSTITUTE( SUBSTITUTE( SUBSTITUTE( SUBSTITUTE( SUBSTITUTE( SUBSTITUTE( SUBSTITUTE( C1890, ""۰"", ""0""), ""۱"", ""1""), ""۲"", ""2""), ""۳"", ""3""), ""۴"", ""4""), ""۵"", ""5""), ""۶"", """&amp;"6""), ""۷"", ""7""), ""۸"", ""8""), ""۹"", ""9""), IF(LEFT(converted,3)=""+98"", ""0"" &amp; RIGHT(converted, LEN(converted)-3), IF(LEFT(converted,2)=""98"", ""0"" &amp; RIGHT(converted, LEN(converted)-2), IF(LEFT(converted,1)&lt;&gt;""0"", ""0"" &amp; converted, REGEXREPL"&amp;"ACE(converted , ""\s"", """")) ) ) ) )"),"0")</f>
        <v>0</v>
      </c>
      <c r="E1890" s="196"/>
      <c r="F1890" s="221"/>
      <c r="G1890" s="193"/>
      <c r="H1890" s="193"/>
      <c r="I1890" s="194"/>
      <c r="J1890" s="194"/>
      <c r="K1890" s="193"/>
      <c r="L1890" s="193"/>
      <c r="M1890" s="193"/>
      <c r="N1890" s="193"/>
      <c r="O1890" s="193"/>
      <c r="P1890" s="193"/>
      <c r="Q1890" s="200"/>
      <c r="R1890" s="86"/>
      <c r="S1890" s="114">
        <f t="shared" ref="S1890:T1890" si="1893">A1890</f>
        <v>1</v>
      </c>
      <c r="T1890" s="114" t="str">
        <f t="shared" si="1893"/>
        <v/>
      </c>
      <c r="U1890" s="86" t="str">
        <f t="shared" si="3"/>
        <v>0</v>
      </c>
      <c r="V1890" s="86" t="str">
        <f t="shared" si="4"/>
        <v> </v>
      </c>
      <c r="W1890" s="86"/>
      <c r="X1890" s="86"/>
    </row>
    <row r="1891">
      <c r="A1891" s="201">
        <v>1.0</v>
      </c>
      <c r="B1891" s="202"/>
      <c r="C1891" s="203"/>
      <c r="D1891" s="204" t="str">
        <f>IFERROR(__xludf.DUMMYFUNCTION("ARRAYFORMULA(LET( converted, SUBSTITUTE( SUBSTITUTE( SUBSTITUTE( SUBSTITUTE( SUBSTITUTE( SUBSTITUTE( SUBSTITUTE( SUBSTITUTE( SUBSTITUTE( SUBSTITUTE( C1891, ""۰"", ""0""), ""۱"", ""1""), ""۲"", ""2""), ""۳"", ""3""), ""۴"", ""4""), ""۵"", ""5""), ""۶"", """&amp;"6""), ""۷"", ""7""), ""۸"", ""8""), ""۹"", ""9""), IF(LEFT(converted,3)=""+98"", ""0"" &amp; RIGHT(converted, LEN(converted)-3), IF(LEFT(converted,2)=""98"", ""0"" &amp; RIGHT(converted, LEN(converted)-2), IF(LEFT(converted,1)&lt;&gt;""0"", ""0"" &amp; converted, REGEXREPL"&amp;"ACE(converted , ""\s"", """")) ) ) ) )"),"0")</f>
        <v>0</v>
      </c>
      <c r="E1891" s="205"/>
      <c r="F1891" s="214"/>
      <c r="G1891" s="202"/>
      <c r="H1891" s="202"/>
      <c r="I1891" s="203"/>
      <c r="J1891" s="203"/>
      <c r="K1891" s="202"/>
      <c r="L1891" s="202"/>
      <c r="M1891" s="202"/>
      <c r="N1891" s="202"/>
      <c r="O1891" s="202"/>
      <c r="P1891" s="202"/>
      <c r="Q1891" s="208"/>
      <c r="R1891" s="86"/>
      <c r="S1891" s="114">
        <f t="shared" ref="S1891:T1891" si="1894">A1891</f>
        <v>1</v>
      </c>
      <c r="T1891" s="114" t="str">
        <f t="shared" si="1894"/>
        <v/>
      </c>
      <c r="U1891" s="86" t="str">
        <f t="shared" si="3"/>
        <v>0</v>
      </c>
      <c r="V1891" s="86" t="str">
        <f t="shared" si="4"/>
        <v> </v>
      </c>
      <c r="W1891" s="86"/>
      <c r="X1891" s="86"/>
    </row>
    <row r="1892">
      <c r="A1892" s="192">
        <v>1.0</v>
      </c>
      <c r="B1892" s="193"/>
      <c r="C1892" s="194"/>
      <c r="D1892" s="195" t="str">
        <f>IFERROR(__xludf.DUMMYFUNCTION("ARRAYFORMULA(LET( converted, SUBSTITUTE( SUBSTITUTE( SUBSTITUTE( SUBSTITUTE( SUBSTITUTE( SUBSTITUTE( SUBSTITUTE( SUBSTITUTE( SUBSTITUTE( SUBSTITUTE( C1892, ""۰"", ""0""), ""۱"", ""1""), ""۲"", ""2""), ""۳"", ""3""), ""۴"", ""4""), ""۵"", ""5""), ""۶"", """&amp;"6""), ""۷"", ""7""), ""۸"", ""8""), ""۹"", ""9""), IF(LEFT(converted,3)=""+98"", ""0"" &amp; RIGHT(converted, LEN(converted)-3), IF(LEFT(converted,2)=""98"", ""0"" &amp; RIGHT(converted, LEN(converted)-2), IF(LEFT(converted,1)&lt;&gt;""0"", ""0"" &amp; converted, REGEXREPL"&amp;"ACE(converted , ""\s"", """")) ) ) ) )"),"0")</f>
        <v>0</v>
      </c>
      <c r="E1892" s="196"/>
      <c r="F1892" s="221"/>
      <c r="G1892" s="193"/>
      <c r="H1892" s="193"/>
      <c r="I1892" s="194"/>
      <c r="J1892" s="194"/>
      <c r="K1892" s="193"/>
      <c r="L1892" s="193"/>
      <c r="M1892" s="193"/>
      <c r="N1892" s="193"/>
      <c r="O1892" s="193"/>
      <c r="P1892" s="193"/>
      <c r="Q1892" s="200"/>
      <c r="R1892" s="86"/>
      <c r="S1892" s="114">
        <f t="shared" ref="S1892:T1892" si="1895">A1892</f>
        <v>1</v>
      </c>
      <c r="T1892" s="114" t="str">
        <f t="shared" si="1895"/>
        <v/>
      </c>
      <c r="U1892" s="86" t="str">
        <f t="shared" si="3"/>
        <v>0</v>
      </c>
      <c r="V1892" s="86" t="str">
        <f t="shared" si="4"/>
        <v> </v>
      </c>
      <c r="W1892" s="86"/>
      <c r="X1892" s="86"/>
    </row>
    <row r="1893">
      <c r="A1893" s="201">
        <v>1.0</v>
      </c>
      <c r="B1893" s="202"/>
      <c r="C1893" s="203"/>
      <c r="D1893" s="204" t="str">
        <f>IFERROR(__xludf.DUMMYFUNCTION("ARRAYFORMULA(LET( converted, SUBSTITUTE( SUBSTITUTE( SUBSTITUTE( SUBSTITUTE( SUBSTITUTE( SUBSTITUTE( SUBSTITUTE( SUBSTITUTE( SUBSTITUTE( SUBSTITUTE( C1893, ""۰"", ""0""), ""۱"", ""1""), ""۲"", ""2""), ""۳"", ""3""), ""۴"", ""4""), ""۵"", ""5""), ""۶"", """&amp;"6""), ""۷"", ""7""), ""۸"", ""8""), ""۹"", ""9""), IF(LEFT(converted,3)=""+98"", ""0"" &amp; RIGHT(converted, LEN(converted)-3), IF(LEFT(converted,2)=""98"", ""0"" &amp; RIGHT(converted, LEN(converted)-2), IF(LEFT(converted,1)&lt;&gt;""0"", ""0"" &amp; converted, REGEXREPL"&amp;"ACE(converted , ""\s"", """")) ) ) ) )"),"0")</f>
        <v>0</v>
      </c>
      <c r="E1893" s="205"/>
      <c r="F1893" s="214"/>
      <c r="G1893" s="202"/>
      <c r="H1893" s="202"/>
      <c r="I1893" s="203"/>
      <c r="J1893" s="203"/>
      <c r="K1893" s="202"/>
      <c r="L1893" s="202"/>
      <c r="M1893" s="202"/>
      <c r="N1893" s="202"/>
      <c r="O1893" s="202"/>
      <c r="P1893" s="202"/>
      <c r="Q1893" s="208"/>
      <c r="R1893" s="86"/>
      <c r="S1893" s="114">
        <f t="shared" ref="S1893:T1893" si="1896">A1893</f>
        <v>1</v>
      </c>
      <c r="T1893" s="114" t="str">
        <f t="shared" si="1896"/>
        <v/>
      </c>
      <c r="U1893" s="86" t="str">
        <f t="shared" si="3"/>
        <v>0</v>
      </c>
      <c r="V1893" s="86" t="str">
        <f t="shared" si="4"/>
        <v> </v>
      </c>
      <c r="W1893" s="86"/>
      <c r="X1893" s="86"/>
    </row>
    <row r="1894">
      <c r="A1894" s="192">
        <v>1.0</v>
      </c>
      <c r="B1894" s="193"/>
      <c r="C1894" s="194"/>
      <c r="D1894" s="195" t="str">
        <f>IFERROR(__xludf.DUMMYFUNCTION("ARRAYFORMULA(LET( converted, SUBSTITUTE( SUBSTITUTE( SUBSTITUTE( SUBSTITUTE( SUBSTITUTE( SUBSTITUTE( SUBSTITUTE( SUBSTITUTE( SUBSTITUTE( SUBSTITUTE( C1894, ""۰"", ""0""), ""۱"", ""1""), ""۲"", ""2""), ""۳"", ""3""), ""۴"", ""4""), ""۵"", ""5""), ""۶"", """&amp;"6""), ""۷"", ""7""), ""۸"", ""8""), ""۹"", ""9""), IF(LEFT(converted,3)=""+98"", ""0"" &amp; RIGHT(converted, LEN(converted)-3), IF(LEFT(converted,2)=""98"", ""0"" &amp; RIGHT(converted, LEN(converted)-2), IF(LEFT(converted,1)&lt;&gt;""0"", ""0"" &amp; converted, REGEXREPL"&amp;"ACE(converted , ""\s"", """")) ) ) ) )"),"0")</f>
        <v>0</v>
      </c>
      <c r="E1894" s="196"/>
      <c r="F1894" s="221"/>
      <c r="G1894" s="193"/>
      <c r="H1894" s="193"/>
      <c r="I1894" s="194"/>
      <c r="J1894" s="194"/>
      <c r="K1894" s="193"/>
      <c r="L1894" s="193"/>
      <c r="M1894" s="193"/>
      <c r="N1894" s="193"/>
      <c r="O1894" s="193"/>
      <c r="P1894" s="193"/>
      <c r="Q1894" s="200"/>
      <c r="R1894" s="86"/>
      <c r="S1894" s="114">
        <f t="shared" ref="S1894:T1894" si="1897">A1894</f>
        <v>1</v>
      </c>
      <c r="T1894" s="114" t="str">
        <f t="shared" si="1897"/>
        <v/>
      </c>
      <c r="U1894" s="86" t="str">
        <f t="shared" si="3"/>
        <v>0</v>
      </c>
      <c r="V1894" s="86" t="str">
        <f t="shared" si="4"/>
        <v> </v>
      </c>
      <c r="W1894" s="86"/>
      <c r="X1894" s="86"/>
    </row>
    <row r="1895">
      <c r="A1895" s="201">
        <v>1.0</v>
      </c>
      <c r="B1895" s="202"/>
      <c r="C1895" s="203"/>
      <c r="D1895" s="204" t="str">
        <f>IFERROR(__xludf.DUMMYFUNCTION("ARRAYFORMULA(LET( converted, SUBSTITUTE( SUBSTITUTE( SUBSTITUTE( SUBSTITUTE( SUBSTITUTE( SUBSTITUTE( SUBSTITUTE( SUBSTITUTE( SUBSTITUTE( SUBSTITUTE( C1895, ""۰"", ""0""), ""۱"", ""1""), ""۲"", ""2""), ""۳"", ""3""), ""۴"", ""4""), ""۵"", ""5""), ""۶"", """&amp;"6""), ""۷"", ""7""), ""۸"", ""8""), ""۹"", ""9""), IF(LEFT(converted,3)=""+98"", ""0"" &amp; RIGHT(converted, LEN(converted)-3), IF(LEFT(converted,2)=""98"", ""0"" &amp; RIGHT(converted, LEN(converted)-2), IF(LEFT(converted,1)&lt;&gt;""0"", ""0"" &amp; converted, REGEXREPL"&amp;"ACE(converted , ""\s"", """")) ) ) ) )"),"0")</f>
        <v>0</v>
      </c>
      <c r="E1895" s="205"/>
      <c r="F1895" s="214"/>
      <c r="G1895" s="202"/>
      <c r="H1895" s="202"/>
      <c r="I1895" s="203"/>
      <c r="J1895" s="203"/>
      <c r="K1895" s="202"/>
      <c r="L1895" s="202"/>
      <c r="M1895" s="202"/>
      <c r="N1895" s="202"/>
      <c r="O1895" s="202"/>
      <c r="P1895" s="202"/>
      <c r="Q1895" s="208"/>
      <c r="R1895" s="86"/>
      <c r="S1895" s="114">
        <f t="shared" ref="S1895:T1895" si="1898">A1895</f>
        <v>1</v>
      </c>
      <c r="T1895" s="114" t="str">
        <f t="shared" si="1898"/>
        <v/>
      </c>
      <c r="U1895" s="86" t="str">
        <f t="shared" si="3"/>
        <v>0</v>
      </c>
      <c r="V1895" s="86" t="str">
        <f t="shared" si="4"/>
        <v> </v>
      </c>
      <c r="W1895" s="86"/>
      <c r="X1895" s="86"/>
    </row>
    <row r="1896">
      <c r="A1896" s="192">
        <v>1.0</v>
      </c>
      <c r="B1896" s="193"/>
      <c r="C1896" s="194"/>
      <c r="D1896" s="195" t="str">
        <f>IFERROR(__xludf.DUMMYFUNCTION("ARRAYFORMULA(LET( converted, SUBSTITUTE( SUBSTITUTE( SUBSTITUTE( SUBSTITUTE( SUBSTITUTE( SUBSTITUTE( SUBSTITUTE( SUBSTITUTE( SUBSTITUTE( SUBSTITUTE( C1896, ""۰"", ""0""), ""۱"", ""1""), ""۲"", ""2""), ""۳"", ""3""), ""۴"", ""4""), ""۵"", ""5""), ""۶"", """&amp;"6""), ""۷"", ""7""), ""۸"", ""8""), ""۹"", ""9""), IF(LEFT(converted,3)=""+98"", ""0"" &amp; RIGHT(converted, LEN(converted)-3), IF(LEFT(converted,2)=""98"", ""0"" &amp; RIGHT(converted, LEN(converted)-2), IF(LEFT(converted,1)&lt;&gt;""0"", ""0"" &amp; converted, REGEXREPL"&amp;"ACE(converted , ""\s"", """")) ) ) ) )"),"0")</f>
        <v>0</v>
      </c>
      <c r="E1896" s="196"/>
      <c r="F1896" s="221"/>
      <c r="G1896" s="193"/>
      <c r="H1896" s="193"/>
      <c r="I1896" s="194"/>
      <c r="J1896" s="194"/>
      <c r="K1896" s="193"/>
      <c r="L1896" s="193"/>
      <c r="M1896" s="193"/>
      <c r="N1896" s="193"/>
      <c r="O1896" s="193"/>
      <c r="P1896" s="193"/>
      <c r="Q1896" s="200"/>
      <c r="R1896" s="86"/>
      <c r="S1896" s="114">
        <f t="shared" ref="S1896:T1896" si="1899">A1896</f>
        <v>1</v>
      </c>
      <c r="T1896" s="114" t="str">
        <f t="shared" si="1899"/>
        <v/>
      </c>
      <c r="U1896" s="86" t="str">
        <f t="shared" si="3"/>
        <v>0</v>
      </c>
      <c r="V1896" s="86" t="str">
        <f t="shared" si="4"/>
        <v> </v>
      </c>
      <c r="W1896" s="86"/>
      <c r="X1896" s="86"/>
    </row>
    <row r="1897">
      <c r="A1897" s="201">
        <v>1.0</v>
      </c>
      <c r="B1897" s="202"/>
      <c r="C1897" s="203"/>
      <c r="D1897" s="204" t="str">
        <f>IFERROR(__xludf.DUMMYFUNCTION("ARRAYFORMULA(LET( converted, SUBSTITUTE( SUBSTITUTE( SUBSTITUTE( SUBSTITUTE( SUBSTITUTE( SUBSTITUTE( SUBSTITUTE( SUBSTITUTE( SUBSTITUTE( SUBSTITUTE( C1897, ""۰"", ""0""), ""۱"", ""1""), ""۲"", ""2""), ""۳"", ""3""), ""۴"", ""4""), ""۵"", ""5""), ""۶"", """&amp;"6""), ""۷"", ""7""), ""۸"", ""8""), ""۹"", ""9""), IF(LEFT(converted,3)=""+98"", ""0"" &amp; RIGHT(converted, LEN(converted)-3), IF(LEFT(converted,2)=""98"", ""0"" &amp; RIGHT(converted, LEN(converted)-2), IF(LEFT(converted,1)&lt;&gt;""0"", ""0"" &amp; converted, REGEXREPL"&amp;"ACE(converted , ""\s"", """")) ) ) ) )"),"0")</f>
        <v>0</v>
      </c>
      <c r="E1897" s="205"/>
      <c r="F1897" s="214"/>
      <c r="G1897" s="202"/>
      <c r="H1897" s="202"/>
      <c r="I1897" s="203"/>
      <c r="J1897" s="203"/>
      <c r="K1897" s="202"/>
      <c r="L1897" s="202"/>
      <c r="M1897" s="202"/>
      <c r="N1897" s="202"/>
      <c r="O1897" s="202"/>
      <c r="P1897" s="202"/>
      <c r="Q1897" s="208"/>
      <c r="R1897" s="86"/>
      <c r="S1897" s="114">
        <f t="shared" ref="S1897:T1897" si="1900">A1897</f>
        <v>1</v>
      </c>
      <c r="T1897" s="114" t="str">
        <f t="shared" si="1900"/>
        <v/>
      </c>
      <c r="U1897" s="86" t="str">
        <f t="shared" si="3"/>
        <v>0</v>
      </c>
      <c r="V1897" s="86" t="str">
        <f t="shared" si="4"/>
        <v> </v>
      </c>
      <c r="W1897" s="86"/>
      <c r="X1897" s="86"/>
    </row>
    <row r="1898">
      <c r="A1898" s="192">
        <v>1.0</v>
      </c>
      <c r="B1898" s="193"/>
      <c r="C1898" s="194"/>
      <c r="D1898" s="195" t="str">
        <f>IFERROR(__xludf.DUMMYFUNCTION("ARRAYFORMULA(LET( converted, SUBSTITUTE( SUBSTITUTE( SUBSTITUTE( SUBSTITUTE( SUBSTITUTE( SUBSTITUTE( SUBSTITUTE( SUBSTITUTE( SUBSTITUTE( SUBSTITUTE( C1898, ""۰"", ""0""), ""۱"", ""1""), ""۲"", ""2""), ""۳"", ""3""), ""۴"", ""4""), ""۵"", ""5""), ""۶"", """&amp;"6""), ""۷"", ""7""), ""۸"", ""8""), ""۹"", ""9""), IF(LEFT(converted,3)=""+98"", ""0"" &amp; RIGHT(converted, LEN(converted)-3), IF(LEFT(converted,2)=""98"", ""0"" &amp; RIGHT(converted, LEN(converted)-2), IF(LEFT(converted,1)&lt;&gt;""0"", ""0"" &amp; converted, REGEXREPL"&amp;"ACE(converted , ""\s"", """")) ) ) ) )"),"0")</f>
        <v>0</v>
      </c>
      <c r="E1898" s="196"/>
      <c r="F1898" s="221"/>
      <c r="G1898" s="193"/>
      <c r="H1898" s="193"/>
      <c r="I1898" s="194"/>
      <c r="J1898" s="194"/>
      <c r="K1898" s="193"/>
      <c r="L1898" s="193"/>
      <c r="M1898" s="193"/>
      <c r="N1898" s="193"/>
      <c r="O1898" s="193"/>
      <c r="P1898" s="193"/>
      <c r="Q1898" s="200"/>
      <c r="R1898" s="86"/>
      <c r="S1898" s="114">
        <f t="shared" ref="S1898:T1898" si="1901">A1898</f>
        <v>1</v>
      </c>
      <c r="T1898" s="114" t="str">
        <f t="shared" si="1901"/>
        <v/>
      </c>
      <c r="U1898" s="86" t="str">
        <f t="shared" si="3"/>
        <v>0</v>
      </c>
      <c r="V1898" s="86" t="str">
        <f t="shared" si="4"/>
        <v> </v>
      </c>
      <c r="W1898" s="86"/>
      <c r="X1898" s="86"/>
    </row>
    <row r="1899">
      <c r="A1899" s="201">
        <v>1.0</v>
      </c>
      <c r="B1899" s="202"/>
      <c r="C1899" s="203"/>
      <c r="D1899" s="204" t="str">
        <f>IFERROR(__xludf.DUMMYFUNCTION("ARRAYFORMULA(LET( converted, SUBSTITUTE( SUBSTITUTE( SUBSTITUTE( SUBSTITUTE( SUBSTITUTE( SUBSTITUTE( SUBSTITUTE( SUBSTITUTE( SUBSTITUTE( SUBSTITUTE( C1899, ""۰"", ""0""), ""۱"", ""1""), ""۲"", ""2""), ""۳"", ""3""), ""۴"", ""4""), ""۵"", ""5""), ""۶"", """&amp;"6""), ""۷"", ""7""), ""۸"", ""8""), ""۹"", ""9""), IF(LEFT(converted,3)=""+98"", ""0"" &amp; RIGHT(converted, LEN(converted)-3), IF(LEFT(converted,2)=""98"", ""0"" &amp; RIGHT(converted, LEN(converted)-2), IF(LEFT(converted,1)&lt;&gt;""0"", ""0"" &amp; converted, REGEXREPL"&amp;"ACE(converted , ""\s"", """")) ) ) ) )"),"0")</f>
        <v>0</v>
      </c>
      <c r="E1899" s="205"/>
      <c r="F1899" s="214"/>
      <c r="G1899" s="202"/>
      <c r="H1899" s="202"/>
      <c r="I1899" s="203"/>
      <c r="J1899" s="203"/>
      <c r="K1899" s="202"/>
      <c r="L1899" s="202"/>
      <c r="M1899" s="202"/>
      <c r="N1899" s="202"/>
      <c r="O1899" s="202"/>
      <c r="P1899" s="202"/>
      <c r="Q1899" s="208"/>
      <c r="R1899" s="86"/>
      <c r="S1899" s="114">
        <f t="shared" ref="S1899:T1899" si="1902">A1899</f>
        <v>1</v>
      </c>
      <c r="T1899" s="114" t="str">
        <f t="shared" si="1902"/>
        <v/>
      </c>
      <c r="U1899" s="86" t="str">
        <f t="shared" si="3"/>
        <v>0</v>
      </c>
      <c r="V1899" s="86" t="str">
        <f t="shared" si="4"/>
        <v> </v>
      </c>
      <c r="W1899" s="86"/>
      <c r="X1899" s="86"/>
    </row>
    <row r="1900">
      <c r="A1900" s="192">
        <v>1.0</v>
      </c>
      <c r="B1900" s="193"/>
      <c r="C1900" s="194"/>
      <c r="D1900" s="195" t="str">
        <f>IFERROR(__xludf.DUMMYFUNCTION("ARRAYFORMULA(LET( converted, SUBSTITUTE( SUBSTITUTE( SUBSTITUTE( SUBSTITUTE( SUBSTITUTE( SUBSTITUTE( SUBSTITUTE( SUBSTITUTE( SUBSTITUTE( SUBSTITUTE( C1900, ""۰"", ""0""), ""۱"", ""1""), ""۲"", ""2""), ""۳"", ""3""), ""۴"", ""4""), ""۵"", ""5""), ""۶"", """&amp;"6""), ""۷"", ""7""), ""۸"", ""8""), ""۹"", ""9""), IF(LEFT(converted,3)=""+98"", ""0"" &amp; RIGHT(converted, LEN(converted)-3), IF(LEFT(converted,2)=""98"", ""0"" &amp; RIGHT(converted, LEN(converted)-2), IF(LEFT(converted,1)&lt;&gt;""0"", ""0"" &amp; converted, REGEXREPL"&amp;"ACE(converted , ""\s"", """")) ) ) ) )"),"0")</f>
        <v>0</v>
      </c>
      <c r="E1900" s="196"/>
      <c r="F1900" s="221"/>
      <c r="G1900" s="193"/>
      <c r="H1900" s="193"/>
      <c r="I1900" s="194"/>
      <c r="J1900" s="194"/>
      <c r="K1900" s="193"/>
      <c r="L1900" s="193"/>
      <c r="M1900" s="193"/>
      <c r="N1900" s="193"/>
      <c r="O1900" s="193"/>
      <c r="P1900" s="193"/>
      <c r="Q1900" s="200"/>
      <c r="R1900" s="86"/>
      <c r="S1900" s="114">
        <f t="shared" ref="S1900:T1900" si="1903">A1900</f>
        <v>1</v>
      </c>
      <c r="T1900" s="114" t="str">
        <f t="shared" si="1903"/>
        <v/>
      </c>
      <c r="U1900" s="86" t="str">
        <f t="shared" si="3"/>
        <v>0</v>
      </c>
      <c r="V1900" s="86" t="str">
        <f t="shared" si="4"/>
        <v> </v>
      </c>
      <c r="W1900" s="86"/>
      <c r="X1900" s="86"/>
    </row>
    <row r="1901">
      <c r="A1901" s="201">
        <v>1.0</v>
      </c>
      <c r="B1901" s="202"/>
      <c r="C1901" s="203"/>
      <c r="D1901" s="204" t="str">
        <f>IFERROR(__xludf.DUMMYFUNCTION("ARRAYFORMULA(LET( converted, SUBSTITUTE( SUBSTITUTE( SUBSTITUTE( SUBSTITUTE( SUBSTITUTE( SUBSTITUTE( SUBSTITUTE( SUBSTITUTE( SUBSTITUTE( SUBSTITUTE( C1901, ""۰"", ""0""), ""۱"", ""1""), ""۲"", ""2""), ""۳"", ""3""), ""۴"", ""4""), ""۵"", ""5""), ""۶"", """&amp;"6""), ""۷"", ""7""), ""۸"", ""8""), ""۹"", ""9""), IF(LEFT(converted,3)=""+98"", ""0"" &amp; RIGHT(converted, LEN(converted)-3), IF(LEFT(converted,2)=""98"", ""0"" &amp; RIGHT(converted, LEN(converted)-2), IF(LEFT(converted,1)&lt;&gt;""0"", ""0"" &amp; converted, REGEXREPL"&amp;"ACE(converted , ""\s"", """")) ) ) ) )"),"0")</f>
        <v>0</v>
      </c>
      <c r="E1901" s="205"/>
      <c r="F1901" s="214"/>
      <c r="G1901" s="202"/>
      <c r="H1901" s="202"/>
      <c r="I1901" s="203"/>
      <c r="J1901" s="203"/>
      <c r="K1901" s="202"/>
      <c r="L1901" s="202"/>
      <c r="M1901" s="202"/>
      <c r="N1901" s="202"/>
      <c r="O1901" s="202"/>
      <c r="P1901" s="202"/>
      <c r="Q1901" s="208"/>
      <c r="R1901" s="86"/>
      <c r="S1901" s="114">
        <f t="shared" ref="S1901:T1901" si="1904">A1901</f>
        <v>1</v>
      </c>
      <c r="T1901" s="114" t="str">
        <f t="shared" si="1904"/>
        <v/>
      </c>
      <c r="U1901" s="86" t="str">
        <f t="shared" si="3"/>
        <v>0</v>
      </c>
      <c r="V1901" s="86" t="str">
        <f t="shared" si="4"/>
        <v> </v>
      </c>
      <c r="W1901" s="86"/>
      <c r="X1901" s="86"/>
    </row>
    <row r="1902">
      <c r="A1902" s="192">
        <v>1.0</v>
      </c>
      <c r="B1902" s="193"/>
      <c r="C1902" s="194"/>
      <c r="D1902" s="195" t="str">
        <f>IFERROR(__xludf.DUMMYFUNCTION("ARRAYFORMULA(LET( converted, SUBSTITUTE( SUBSTITUTE( SUBSTITUTE( SUBSTITUTE( SUBSTITUTE( SUBSTITUTE( SUBSTITUTE( SUBSTITUTE( SUBSTITUTE( SUBSTITUTE( C1902, ""۰"", ""0""), ""۱"", ""1""), ""۲"", ""2""), ""۳"", ""3""), ""۴"", ""4""), ""۵"", ""5""), ""۶"", """&amp;"6""), ""۷"", ""7""), ""۸"", ""8""), ""۹"", ""9""), IF(LEFT(converted,3)=""+98"", ""0"" &amp; RIGHT(converted, LEN(converted)-3), IF(LEFT(converted,2)=""98"", ""0"" &amp; RIGHT(converted, LEN(converted)-2), IF(LEFT(converted,1)&lt;&gt;""0"", ""0"" &amp; converted, REGEXREPL"&amp;"ACE(converted , ""\s"", """")) ) ) ) )"),"0")</f>
        <v>0</v>
      </c>
      <c r="E1902" s="196"/>
      <c r="F1902" s="221"/>
      <c r="G1902" s="193"/>
      <c r="H1902" s="193"/>
      <c r="I1902" s="194"/>
      <c r="J1902" s="194"/>
      <c r="K1902" s="193"/>
      <c r="L1902" s="193"/>
      <c r="M1902" s="193"/>
      <c r="N1902" s="193"/>
      <c r="O1902" s="193"/>
      <c r="P1902" s="193"/>
      <c r="Q1902" s="200"/>
      <c r="R1902" s="86"/>
      <c r="S1902" s="114">
        <f t="shared" ref="S1902:T1902" si="1905">A1902</f>
        <v>1</v>
      </c>
      <c r="T1902" s="114" t="str">
        <f t="shared" si="1905"/>
        <v/>
      </c>
      <c r="U1902" s="86" t="str">
        <f t="shared" si="3"/>
        <v>0</v>
      </c>
      <c r="V1902" s="86" t="str">
        <f t="shared" si="4"/>
        <v> </v>
      </c>
      <c r="W1902" s="86"/>
      <c r="X1902" s="86"/>
    </row>
    <row r="1903">
      <c r="A1903" s="201">
        <v>1.0</v>
      </c>
      <c r="B1903" s="202"/>
      <c r="C1903" s="203"/>
      <c r="D1903" s="204" t="str">
        <f>IFERROR(__xludf.DUMMYFUNCTION("ARRAYFORMULA(LET( converted, SUBSTITUTE( SUBSTITUTE( SUBSTITUTE( SUBSTITUTE( SUBSTITUTE( SUBSTITUTE( SUBSTITUTE( SUBSTITUTE( SUBSTITUTE( SUBSTITUTE( C1903, ""۰"", ""0""), ""۱"", ""1""), ""۲"", ""2""), ""۳"", ""3""), ""۴"", ""4""), ""۵"", ""5""), ""۶"", """&amp;"6""), ""۷"", ""7""), ""۸"", ""8""), ""۹"", ""9""), IF(LEFT(converted,3)=""+98"", ""0"" &amp; RIGHT(converted, LEN(converted)-3), IF(LEFT(converted,2)=""98"", ""0"" &amp; RIGHT(converted, LEN(converted)-2), IF(LEFT(converted,1)&lt;&gt;""0"", ""0"" &amp; converted, REGEXREPL"&amp;"ACE(converted , ""\s"", """")) ) ) ) )"),"0")</f>
        <v>0</v>
      </c>
      <c r="E1903" s="205"/>
      <c r="F1903" s="214"/>
      <c r="G1903" s="202"/>
      <c r="H1903" s="202"/>
      <c r="I1903" s="203"/>
      <c r="J1903" s="203"/>
      <c r="K1903" s="202"/>
      <c r="L1903" s="202"/>
      <c r="M1903" s="202"/>
      <c r="N1903" s="202"/>
      <c r="O1903" s="202"/>
      <c r="P1903" s="202"/>
      <c r="Q1903" s="208"/>
      <c r="R1903" s="86"/>
      <c r="S1903" s="114">
        <f t="shared" ref="S1903:T1903" si="1906">A1903</f>
        <v>1</v>
      </c>
      <c r="T1903" s="114" t="str">
        <f t="shared" si="1906"/>
        <v/>
      </c>
      <c r="U1903" s="86" t="str">
        <f t="shared" si="3"/>
        <v>0</v>
      </c>
      <c r="V1903" s="86" t="str">
        <f t="shared" si="4"/>
        <v> </v>
      </c>
      <c r="W1903" s="86"/>
      <c r="X1903" s="86"/>
    </row>
    <row r="1904">
      <c r="A1904" s="192">
        <v>1.0</v>
      </c>
      <c r="B1904" s="193"/>
      <c r="C1904" s="194"/>
      <c r="D1904" s="195" t="str">
        <f>IFERROR(__xludf.DUMMYFUNCTION("ARRAYFORMULA(LET( converted, SUBSTITUTE( SUBSTITUTE( SUBSTITUTE( SUBSTITUTE( SUBSTITUTE( SUBSTITUTE( SUBSTITUTE( SUBSTITUTE( SUBSTITUTE( SUBSTITUTE( C1904, ""۰"", ""0""), ""۱"", ""1""), ""۲"", ""2""), ""۳"", ""3""), ""۴"", ""4""), ""۵"", ""5""), ""۶"", """&amp;"6""), ""۷"", ""7""), ""۸"", ""8""), ""۹"", ""9""), IF(LEFT(converted,3)=""+98"", ""0"" &amp; RIGHT(converted, LEN(converted)-3), IF(LEFT(converted,2)=""98"", ""0"" &amp; RIGHT(converted, LEN(converted)-2), IF(LEFT(converted,1)&lt;&gt;""0"", ""0"" &amp; converted, REGEXREPL"&amp;"ACE(converted , ""\s"", """")) ) ) ) )"),"0")</f>
        <v>0</v>
      </c>
      <c r="E1904" s="196"/>
      <c r="F1904" s="221"/>
      <c r="G1904" s="193"/>
      <c r="H1904" s="193"/>
      <c r="I1904" s="194"/>
      <c r="J1904" s="194"/>
      <c r="K1904" s="193"/>
      <c r="L1904" s="193"/>
      <c r="M1904" s="193"/>
      <c r="N1904" s="193"/>
      <c r="O1904" s="193"/>
      <c r="P1904" s="193"/>
      <c r="Q1904" s="200"/>
      <c r="R1904" s="86"/>
      <c r="S1904" s="114">
        <f t="shared" ref="S1904:T1904" si="1907">A1904</f>
        <v>1</v>
      </c>
      <c r="T1904" s="114" t="str">
        <f t="shared" si="1907"/>
        <v/>
      </c>
      <c r="U1904" s="86" t="str">
        <f t="shared" si="3"/>
        <v>0</v>
      </c>
      <c r="V1904" s="86" t="str">
        <f t="shared" si="4"/>
        <v> </v>
      </c>
      <c r="W1904" s="86"/>
      <c r="X1904" s="86"/>
    </row>
    <row r="1905">
      <c r="A1905" s="201">
        <v>1.0</v>
      </c>
      <c r="B1905" s="202"/>
      <c r="C1905" s="203"/>
      <c r="D1905" s="204" t="str">
        <f>IFERROR(__xludf.DUMMYFUNCTION("ARRAYFORMULA(LET( converted, SUBSTITUTE( SUBSTITUTE( SUBSTITUTE( SUBSTITUTE( SUBSTITUTE( SUBSTITUTE( SUBSTITUTE( SUBSTITUTE( SUBSTITUTE( SUBSTITUTE( C1905, ""۰"", ""0""), ""۱"", ""1""), ""۲"", ""2""), ""۳"", ""3""), ""۴"", ""4""), ""۵"", ""5""), ""۶"", """&amp;"6""), ""۷"", ""7""), ""۸"", ""8""), ""۹"", ""9""), IF(LEFT(converted,3)=""+98"", ""0"" &amp; RIGHT(converted, LEN(converted)-3), IF(LEFT(converted,2)=""98"", ""0"" &amp; RIGHT(converted, LEN(converted)-2), IF(LEFT(converted,1)&lt;&gt;""0"", ""0"" &amp; converted, REGEXREPL"&amp;"ACE(converted , ""\s"", """")) ) ) ) )"),"0")</f>
        <v>0</v>
      </c>
      <c r="E1905" s="205"/>
      <c r="F1905" s="214"/>
      <c r="G1905" s="202"/>
      <c r="H1905" s="202"/>
      <c r="I1905" s="203"/>
      <c r="J1905" s="203"/>
      <c r="K1905" s="202"/>
      <c r="L1905" s="202"/>
      <c r="M1905" s="202"/>
      <c r="N1905" s="202"/>
      <c r="O1905" s="202"/>
      <c r="P1905" s="202"/>
      <c r="Q1905" s="208"/>
      <c r="R1905" s="86"/>
      <c r="S1905" s="114">
        <f t="shared" ref="S1905:T1905" si="1908">A1905</f>
        <v>1</v>
      </c>
      <c r="T1905" s="114" t="str">
        <f t="shared" si="1908"/>
        <v/>
      </c>
      <c r="U1905" s="86" t="str">
        <f t="shared" si="3"/>
        <v>0</v>
      </c>
      <c r="V1905" s="86" t="str">
        <f t="shared" si="4"/>
        <v> </v>
      </c>
      <c r="W1905" s="86"/>
      <c r="X1905" s="86"/>
    </row>
    <row r="1906">
      <c r="A1906" s="192">
        <v>1.0</v>
      </c>
      <c r="B1906" s="193"/>
      <c r="C1906" s="194"/>
      <c r="D1906" s="195" t="str">
        <f>IFERROR(__xludf.DUMMYFUNCTION("ARRAYFORMULA(LET( converted, SUBSTITUTE( SUBSTITUTE( SUBSTITUTE( SUBSTITUTE( SUBSTITUTE( SUBSTITUTE( SUBSTITUTE( SUBSTITUTE( SUBSTITUTE( SUBSTITUTE( C1906, ""۰"", ""0""), ""۱"", ""1""), ""۲"", ""2""), ""۳"", ""3""), ""۴"", ""4""), ""۵"", ""5""), ""۶"", """&amp;"6""), ""۷"", ""7""), ""۸"", ""8""), ""۹"", ""9""), IF(LEFT(converted,3)=""+98"", ""0"" &amp; RIGHT(converted, LEN(converted)-3), IF(LEFT(converted,2)=""98"", ""0"" &amp; RIGHT(converted, LEN(converted)-2), IF(LEFT(converted,1)&lt;&gt;""0"", ""0"" &amp; converted, REGEXREPL"&amp;"ACE(converted , ""\s"", """")) ) ) ) )"),"0")</f>
        <v>0</v>
      </c>
      <c r="E1906" s="196"/>
      <c r="F1906" s="221"/>
      <c r="G1906" s="193"/>
      <c r="H1906" s="193"/>
      <c r="I1906" s="194"/>
      <c r="J1906" s="194"/>
      <c r="K1906" s="193"/>
      <c r="L1906" s="193"/>
      <c r="M1906" s="193"/>
      <c r="N1906" s="193"/>
      <c r="O1906" s="193"/>
      <c r="P1906" s="193"/>
      <c r="Q1906" s="200"/>
      <c r="R1906" s="86"/>
      <c r="S1906" s="114">
        <f t="shared" ref="S1906:T1906" si="1909">A1906</f>
        <v>1</v>
      </c>
      <c r="T1906" s="114" t="str">
        <f t="shared" si="1909"/>
        <v/>
      </c>
      <c r="U1906" s="86" t="str">
        <f t="shared" si="3"/>
        <v>0</v>
      </c>
      <c r="V1906" s="86" t="str">
        <f t="shared" si="4"/>
        <v> </v>
      </c>
      <c r="W1906" s="86"/>
      <c r="X1906" s="86"/>
    </row>
    <row r="1907">
      <c r="A1907" s="201">
        <v>1.0</v>
      </c>
      <c r="B1907" s="202"/>
      <c r="C1907" s="203"/>
      <c r="D1907" s="204" t="str">
        <f>IFERROR(__xludf.DUMMYFUNCTION("ARRAYFORMULA(LET( converted, SUBSTITUTE( SUBSTITUTE( SUBSTITUTE( SUBSTITUTE( SUBSTITUTE( SUBSTITUTE( SUBSTITUTE( SUBSTITUTE( SUBSTITUTE( SUBSTITUTE( C1907, ""۰"", ""0""), ""۱"", ""1""), ""۲"", ""2""), ""۳"", ""3""), ""۴"", ""4""), ""۵"", ""5""), ""۶"", """&amp;"6""), ""۷"", ""7""), ""۸"", ""8""), ""۹"", ""9""), IF(LEFT(converted,3)=""+98"", ""0"" &amp; RIGHT(converted, LEN(converted)-3), IF(LEFT(converted,2)=""98"", ""0"" &amp; RIGHT(converted, LEN(converted)-2), IF(LEFT(converted,1)&lt;&gt;""0"", ""0"" &amp; converted, REGEXREPL"&amp;"ACE(converted , ""\s"", """")) ) ) ) )"),"0")</f>
        <v>0</v>
      </c>
      <c r="E1907" s="205"/>
      <c r="F1907" s="214"/>
      <c r="G1907" s="202"/>
      <c r="H1907" s="202"/>
      <c r="I1907" s="203"/>
      <c r="J1907" s="203"/>
      <c r="K1907" s="202"/>
      <c r="L1907" s="202"/>
      <c r="M1907" s="202"/>
      <c r="N1907" s="202"/>
      <c r="O1907" s="202"/>
      <c r="P1907" s="202"/>
      <c r="Q1907" s="208"/>
      <c r="R1907" s="86"/>
      <c r="S1907" s="114">
        <f t="shared" ref="S1907:T1907" si="1910">A1907</f>
        <v>1</v>
      </c>
      <c r="T1907" s="114" t="str">
        <f t="shared" si="1910"/>
        <v/>
      </c>
      <c r="U1907" s="86" t="str">
        <f t="shared" si="3"/>
        <v>0</v>
      </c>
      <c r="V1907" s="86" t="str">
        <f t="shared" si="4"/>
        <v> </v>
      </c>
      <c r="W1907" s="86"/>
      <c r="X1907" s="86"/>
    </row>
    <row r="1908">
      <c r="A1908" s="192">
        <v>1.0</v>
      </c>
      <c r="B1908" s="193"/>
      <c r="C1908" s="194"/>
      <c r="D1908" s="195" t="str">
        <f>IFERROR(__xludf.DUMMYFUNCTION("ARRAYFORMULA(LET( converted, SUBSTITUTE( SUBSTITUTE( SUBSTITUTE( SUBSTITUTE( SUBSTITUTE( SUBSTITUTE( SUBSTITUTE( SUBSTITUTE( SUBSTITUTE( SUBSTITUTE( C1908, ""۰"", ""0""), ""۱"", ""1""), ""۲"", ""2""), ""۳"", ""3""), ""۴"", ""4""), ""۵"", ""5""), ""۶"", """&amp;"6""), ""۷"", ""7""), ""۸"", ""8""), ""۹"", ""9""), IF(LEFT(converted,3)=""+98"", ""0"" &amp; RIGHT(converted, LEN(converted)-3), IF(LEFT(converted,2)=""98"", ""0"" &amp; RIGHT(converted, LEN(converted)-2), IF(LEFT(converted,1)&lt;&gt;""0"", ""0"" &amp; converted, REGEXREPL"&amp;"ACE(converted , ""\s"", """")) ) ) ) )"),"0")</f>
        <v>0</v>
      </c>
      <c r="E1908" s="196"/>
      <c r="F1908" s="221"/>
      <c r="G1908" s="193"/>
      <c r="H1908" s="193"/>
      <c r="I1908" s="194"/>
      <c r="J1908" s="194"/>
      <c r="K1908" s="193"/>
      <c r="L1908" s="193"/>
      <c r="M1908" s="193"/>
      <c r="N1908" s="193"/>
      <c r="O1908" s="193"/>
      <c r="P1908" s="193"/>
      <c r="Q1908" s="200"/>
      <c r="R1908" s="86"/>
      <c r="S1908" s="114">
        <f t="shared" ref="S1908:T1908" si="1911">A1908</f>
        <v>1</v>
      </c>
      <c r="T1908" s="114" t="str">
        <f t="shared" si="1911"/>
        <v/>
      </c>
      <c r="U1908" s="86" t="str">
        <f t="shared" si="3"/>
        <v>0</v>
      </c>
      <c r="V1908" s="86" t="str">
        <f t="shared" si="4"/>
        <v> </v>
      </c>
      <c r="W1908" s="86"/>
      <c r="X1908" s="86"/>
    </row>
    <row r="1909">
      <c r="A1909" s="201">
        <v>1.0</v>
      </c>
      <c r="B1909" s="202"/>
      <c r="C1909" s="203"/>
      <c r="D1909" s="204" t="str">
        <f>IFERROR(__xludf.DUMMYFUNCTION("ARRAYFORMULA(LET( converted, SUBSTITUTE( SUBSTITUTE( SUBSTITUTE( SUBSTITUTE( SUBSTITUTE( SUBSTITUTE( SUBSTITUTE( SUBSTITUTE( SUBSTITUTE( SUBSTITUTE( C1909, ""۰"", ""0""), ""۱"", ""1""), ""۲"", ""2""), ""۳"", ""3""), ""۴"", ""4""), ""۵"", ""5""), ""۶"", """&amp;"6""), ""۷"", ""7""), ""۸"", ""8""), ""۹"", ""9""), IF(LEFT(converted,3)=""+98"", ""0"" &amp; RIGHT(converted, LEN(converted)-3), IF(LEFT(converted,2)=""98"", ""0"" &amp; RIGHT(converted, LEN(converted)-2), IF(LEFT(converted,1)&lt;&gt;""0"", ""0"" &amp; converted, REGEXREPL"&amp;"ACE(converted , ""\s"", """")) ) ) ) )"),"0")</f>
        <v>0</v>
      </c>
      <c r="E1909" s="205"/>
      <c r="F1909" s="214"/>
      <c r="G1909" s="202"/>
      <c r="H1909" s="202"/>
      <c r="I1909" s="203"/>
      <c r="J1909" s="203"/>
      <c r="K1909" s="202"/>
      <c r="L1909" s="202"/>
      <c r="M1909" s="202"/>
      <c r="N1909" s="202"/>
      <c r="O1909" s="202"/>
      <c r="P1909" s="202"/>
      <c r="Q1909" s="208"/>
      <c r="R1909" s="86"/>
      <c r="S1909" s="114">
        <f t="shared" ref="S1909:T1909" si="1912">A1909</f>
        <v>1</v>
      </c>
      <c r="T1909" s="114" t="str">
        <f t="shared" si="1912"/>
        <v/>
      </c>
      <c r="U1909" s="86" t="str">
        <f t="shared" si="3"/>
        <v>0</v>
      </c>
      <c r="V1909" s="86" t="str">
        <f t="shared" si="4"/>
        <v> </v>
      </c>
      <c r="W1909" s="86"/>
      <c r="X1909" s="86"/>
    </row>
    <row r="1910">
      <c r="A1910" s="192">
        <v>1.0</v>
      </c>
      <c r="B1910" s="193"/>
      <c r="C1910" s="194"/>
      <c r="D1910" s="195" t="str">
        <f>IFERROR(__xludf.DUMMYFUNCTION("ARRAYFORMULA(LET( converted, SUBSTITUTE( SUBSTITUTE( SUBSTITUTE( SUBSTITUTE( SUBSTITUTE( SUBSTITUTE( SUBSTITUTE( SUBSTITUTE( SUBSTITUTE( SUBSTITUTE( C1910, ""۰"", ""0""), ""۱"", ""1""), ""۲"", ""2""), ""۳"", ""3""), ""۴"", ""4""), ""۵"", ""5""), ""۶"", """&amp;"6""), ""۷"", ""7""), ""۸"", ""8""), ""۹"", ""9""), IF(LEFT(converted,3)=""+98"", ""0"" &amp; RIGHT(converted, LEN(converted)-3), IF(LEFT(converted,2)=""98"", ""0"" &amp; RIGHT(converted, LEN(converted)-2), IF(LEFT(converted,1)&lt;&gt;""0"", ""0"" &amp; converted, REGEXREPL"&amp;"ACE(converted , ""\s"", """")) ) ) ) )"),"0")</f>
        <v>0</v>
      </c>
      <c r="E1910" s="196"/>
      <c r="F1910" s="221"/>
      <c r="G1910" s="193"/>
      <c r="H1910" s="193"/>
      <c r="I1910" s="194"/>
      <c r="J1910" s="194"/>
      <c r="K1910" s="193"/>
      <c r="L1910" s="193"/>
      <c r="M1910" s="193"/>
      <c r="N1910" s="193"/>
      <c r="O1910" s="193"/>
      <c r="P1910" s="193"/>
      <c r="Q1910" s="200"/>
      <c r="R1910" s="86"/>
      <c r="S1910" s="114">
        <f t="shared" ref="S1910:T1910" si="1913">A1910</f>
        <v>1</v>
      </c>
      <c r="T1910" s="114" t="str">
        <f t="shared" si="1913"/>
        <v/>
      </c>
      <c r="U1910" s="86" t="str">
        <f t="shared" si="3"/>
        <v>0</v>
      </c>
      <c r="V1910" s="86" t="str">
        <f t="shared" si="4"/>
        <v> </v>
      </c>
      <c r="W1910" s="86"/>
      <c r="X1910" s="86"/>
    </row>
    <row r="1911">
      <c r="A1911" s="201">
        <v>1.0</v>
      </c>
      <c r="B1911" s="202"/>
      <c r="C1911" s="203"/>
      <c r="D1911" s="204" t="str">
        <f>IFERROR(__xludf.DUMMYFUNCTION("ARRAYFORMULA(LET( converted, SUBSTITUTE( SUBSTITUTE( SUBSTITUTE( SUBSTITUTE( SUBSTITUTE( SUBSTITUTE( SUBSTITUTE( SUBSTITUTE( SUBSTITUTE( SUBSTITUTE( C1911, ""۰"", ""0""), ""۱"", ""1""), ""۲"", ""2""), ""۳"", ""3""), ""۴"", ""4""), ""۵"", ""5""), ""۶"", """&amp;"6""), ""۷"", ""7""), ""۸"", ""8""), ""۹"", ""9""), IF(LEFT(converted,3)=""+98"", ""0"" &amp; RIGHT(converted, LEN(converted)-3), IF(LEFT(converted,2)=""98"", ""0"" &amp; RIGHT(converted, LEN(converted)-2), IF(LEFT(converted,1)&lt;&gt;""0"", ""0"" &amp; converted, REGEXREPL"&amp;"ACE(converted , ""\s"", """")) ) ) ) )"),"0")</f>
        <v>0</v>
      </c>
      <c r="E1911" s="205"/>
      <c r="F1911" s="214"/>
      <c r="G1911" s="202"/>
      <c r="H1911" s="202"/>
      <c r="I1911" s="203"/>
      <c r="J1911" s="203"/>
      <c r="K1911" s="202"/>
      <c r="L1911" s="202"/>
      <c r="M1911" s="202"/>
      <c r="N1911" s="202"/>
      <c r="O1911" s="202"/>
      <c r="P1911" s="202"/>
      <c r="Q1911" s="208"/>
      <c r="R1911" s="86"/>
      <c r="S1911" s="114">
        <f t="shared" ref="S1911:T1911" si="1914">A1911</f>
        <v>1</v>
      </c>
      <c r="T1911" s="114" t="str">
        <f t="shared" si="1914"/>
        <v/>
      </c>
      <c r="U1911" s="86" t="str">
        <f t="shared" si="3"/>
        <v>0</v>
      </c>
      <c r="V1911" s="86" t="str">
        <f t="shared" si="4"/>
        <v> </v>
      </c>
      <c r="W1911" s="86"/>
      <c r="X1911" s="86"/>
    </row>
    <row r="1912">
      <c r="A1912" s="192">
        <v>1.0</v>
      </c>
      <c r="B1912" s="193"/>
      <c r="C1912" s="194"/>
      <c r="D1912" s="195" t="str">
        <f>IFERROR(__xludf.DUMMYFUNCTION("ARRAYFORMULA(LET( converted, SUBSTITUTE( SUBSTITUTE( SUBSTITUTE( SUBSTITUTE( SUBSTITUTE( SUBSTITUTE( SUBSTITUTE( SUBSTITUTE( SUBSTITUTE( SUBSTITUTE( C1912, ""۰"", ""0""), ""۱"", ""1""), ""۲"", ""2""), ""۳"", ""3""), ""۴"", ""4""), ""۵"", ""5""), ""۶"", """&amp;"6""), ""۷"", ""7""), ""۸"", ""8""), ""۹"", ""9""), IF(LEFT(converted,3)=""+98"", ""0"" &amp; RIGHT(converted, LEN(converted)-3), IF(LEFT(converted,2)=""98"", ""0"" &amp; RIGHT(converted, LEN(converted)-2), IF(LEFT(converted,1)&lt;&gt;""0"", ""0"" &amp; converted, REGEXREPL"&amp;"ACE(converted , ""\s"", """")) ) ) ) )"),"0")</f>
        <v>0</v>
      </c>
      <c r="E1912" s="196"/>
      <c r="F1912" s="221"/>
      <c r="G1912" s="193"/>
      <c r="H1912" s="193"/>
      <c r="I1912" s="194"/>
      <c r="J1912" s="194"/>
      <c r="K1912" s="193"/>
      <c r="L1912" s="193"/>
      <c r="M1912" s="193"/>
      <c r="N1912" s="193"/>
      <c r="O1912" s="193"/>
      <c r="P1912" s="193"/>
      <c r="Q1912" s="200"/>
      <c r="R1912" s="86"/>
      <c r="S1912" s="114">
        <f t="shared" ref="S1912:T1912" si="1915">A1912</f>
        <v>1</v>
      </c>
      <c r="T1912" s="114" t="str">
        <f t="shared" si="1915"/>
        <v/>
      </c>
      <c r="U1912" s="86" t="str">
        <f t="shared" si="3"/>
        <v>0</v>
      </c>
      <c r="V1912" s="86" t="str">
        <f t="shared" si="4"/>
        <v> </v>
      </c>
      <c r="W1912" s="86"/>
      <c r="X1912" s="86"/>
    </row>
    <row r="1913">
      <c r="A1913" s="201">
        <v>1.0</v>
      </c>
      <c r="B1913" s="202"/>
      <c r="C1913" s="203"/>
      <c r="D1913" s="204" t="str">
        <f>IFERROR(__xludf.DUMMYFUNCTION("ARRAYFORMULA(LET( converted, SUBSTITUTE( SUBSTITUTE( SUBSTITUTE( SUBSTITUTE( SUBSTITUTE( SUBSTITUTE( SUBSTITUTE( SUBSTITUTE( SUBSTITUTE( SUBSTITUTE( C1913, ""۰"", ""0""), ""۱"", ""1""), ""۲"", ""2""), ""۳"", ""3""), ""۴"", ""4""), ""۵"", ""5""), ""۶"", """&amp;"6""), ""۷"", ""7""), ""۸"", ""8""), ""۹"", ""9""), IF(LEFT(converted,3)=""+98"", ""0"" &amp; RIGHT(converted, LEN(converted)-3), IF(LEFT(converted,2)=""98"", ""0"" &amp; RIGHT(converted, LEN(converted)-2), IF(LEFT(converted,1)&lt;&gt;""0"", ""0"" &amp; converted, REGEXREPL"&amp;"ACE(converted , ""\s"", """")) ) ) ) )"),"0")</f>
        <v>0</v>
      </c>
      <c r="E1913" s="205"/>
      <c r="F1913" s="214"/>
      <c r="G1913" s="202"/>
      <c r="H1913" s="202"/>
      <c r="I1913" s="203"/>
      <c r="J1913" s="203"/>
      <c r="K1913" s="202"/>
      <c r="L1913" s="202"/>
      <c r="M1913" s="202"/>
      <c r="N1913" s="202"/>
      <c r="O1913" s="202"/>
      <c r="P1913" s="202"/>
      <c r="Q1913" s="208"/>
      <c r="R1913" s="86"/>
      <c r="S1913" s="114">
        <f t="shared" ref="S1913:T1913" si="1916">A1913</f>
        <v>1</v>
      </c>
      <c r="T1913" s="114" t="str">
        <f t="shared" si="1916"/>
        <v/>
      </c>
      <c r="U1913" s="86" t="str">
        <f t="shared" si="3"/>
        <v>0</v>
      </c>
      <c r="V1913" s="86" t="str">
        <f t="shared" si="4"/>
        <v> </v>
      </c>
      <c r="W1913" s="86"/>
      <c r="X1913" s="86"/>
    </row>
    <row r="1914">
      <c r="A1914" s="192">
        <v>1.0</v>
      </c>
      <c r="B1914" s="193"/>
      <c r="C1914" s="194"/>
      <c r="D1914" s="195" t="str">
        <f>IFERROR(__xludf.DUMMYFUNCTION("ARRAYFORMULA(LET( converted, SUBSTITUTE( SUBSTITUTE( SUBSTITUTE( SUBSTITUTE( SUBSTITUTE( SUBSTITUTE( SUBSTITUTE( SUBSTITUTE( SUBSTITUTE( SUBSTITUTE( C1914, ""۰"", ""0""), ""۱"", ""1""), ""۲"", ""2""), ""۳"", ""3""), ""۴"", ""4""), ""۵"", ""5""), ""۶"", """&amp;"6""), ""۷"", ""7""), ""۸"", ""8""), ""۹"", ""9""), IF(LEFT(converted,3)=""+98"", ""0"" &amp; RIGHT(converted, LEN(converted)-3), IF(LEFT(converted,2)=""98"", ""0"" &amp; RIGHT(converted, LEN(converted)-2), IF(LEFT(converted,1)&lt;&gt;""0"", ""0"" &amp; converted, REGEXREPL"&amp;"ACE(converted , ""\s"", """")) ) ) ) )"),"0")</f>
        <v>0</v>
      </c>
      <c r="E1914" s="196"/>
      <c r="F1914" s="221"/>
      <c r="G1914" s="193"/>
      <c r="H1914" s="193"/>
      <c r="I1914" s="194"/>
      <c r="J1914" s="194"/>
      <c r="K1914" s="193"/>
      <c r="L1914" s="193"/>
      <c r="M1914" s="193"/>
      <c r="N1914" s="193"/>
      <c r="O1914" s="193"/>
      <c r="P1914" s="193"/>
      <c r="Q1914" s="200"/>
      <c r="R1914" s="86"/>
      <c r="S1914" s="114">
        <f t="shared" ref="S1914:T1914" si="1917">A1914</f>
        <v>1</v>
      </c>
      <c r="T1914" s="114" t="str">
        <f t="shared" si="1917"/>
        <v/>
      </c>
      <c r="U1914" s="86" t="str">
        <f t="shared" si="3"/>
        <v>0</v>
      </c>
      <c r="V1914" s="86" t="str">
        <f t="shared" si="4"/>
        <v> </v>
      </c>
      <c r="W1914" s="86"/>
      <c r="X1914" s="86"/>
    </row>
    <row r="1915">
      <c r="A1915" s="201">
        <v>1.0</v>
      </c>
      <c r="B1915" s="202"/>
      <c r="C1915" s="203"/>
      <c r="D1915" s="204" t="str">
        <f>IFERROR(__xludf.DUMMYFUNCTION("ARRAYFORMULA(LET( converted, SUBSTITUTE( SUBSTITUTE( SUBSTITUTE( SUBSTITUTE( SUBSTITUTE( SUBSTITUTE( SUBSTITUTE( SUBSTITUTE( SUBSTITUTE( SUBSTITUTE( C1915, ""۰"", ""0""), ""۱"", ""1""), ""۲"", ""2""), ""۳"", ""3""), ""۴"", ""4""), ""۵"", ""5""), ""۶"", """&amp;"6""), ""۷"", ""7""), ""۸"", ""8""), ""۹"", ""9""), IF(LEFT(converted,3)=""+98"", ""0"" &amp; RIGHT(converted, LEN(converted)-3), IF(LEFT(converted,2)=""98"", ""0"" &amp; RIGHT(converted, LEN(converted)-2), IF(LEFT(converted,1)&lt;&gt;""0"", ""0"" &amp; converted, REGEXREPL"&amp;"ACE(converted , ""\s"", """")) ) ) ) )"),"0")</f>
        <v>0</v>
      </c>
      <c r="E1915" s="205"/>
      <c r="F1915" s="214"/>
      <c r="G1915" s="202"/>
      <c r="H1915" s="202"/>
      <c r="I1915" s="203"/>
      <c r="J1915" s="203"/>
      <c r="K1915" s="202"/>
      <c r="L1915" s="202"/>
      <c r="M1915" s="202"/>
      <c r="N1915" s="202"/>
      <c r="O1915" s="202"/>
      <c r="P1915" s="202"/>
      <c r="Q1915" s="208"/>
      <c r="R1915" s="86"/>
      <c r="S1915" s="114">
        <f t="shared" ref="S1915:T1915" si="1918">A1915</f>
        <v>1</v>
      </c>
      <c r="T1915" s="114" t="str">
        <f t="shared" si="1918"/>
        <v/>
      </c>
      <c r="U1915" s="86" t="str">
        <f t="shared" si="3"/>
        <v>0</v>
      </c>
      <c r="V1915" s="86" t="str">
        <f t="shared" si="4"/>
        <v> </v>
      </c>
      <c r="W1915" s="86"/>
      <c r="X1915" s="86"/>
    </row>
    <row r="1916">
      <c r="A1916" s="192">
        <v>1.0</v>
      </c>
      <c r="B1916" s="193"/>
      <c r="C1916" s="194"/>
      <c r="D1916" s="195" t="str">
        <f>IFERROR(__xludf.DUMMYFUNCTION("ARRAYFORMULA(LET( converted, SUBSTITUTE( SUBSTITUTE( SUBSTITUTE( SUBSTITUTE( SUBSTITUTE( SUBSTITUTE( SUBSTITUTE( SUBSTITUTE( SUBSTITUTE( SUBSTITUTE( C1916, ""۰"", ""0""), ""۱"", ""1""), ""۲"", ""2""), ""۳"", ""3""), ""۴"", ""4""), ""۵"", ""5""), ""۶"", """&amp;"6""), ""۷"", ""7""), ""۸"", ""8""), ""۹"", ""9""), IF(LEFT(converted,3)=""+98"", ""0"" &amp; RIGHT(converted, LEN(converted)-3), IF(LEFT(converted,2)=""98"", ""0"" &amp; RIGHT(converted, LEN(converted)-2), IF(LEFT(converted,1)&lt;&gt;""0"", ""0"" &amp; converted, REGEXREPL"&amp;"ACE(converted , ""\s"", """")) ) ) ) )"),"0")</f>
        <v>0</v>
      </c>
      <c r="E1916" s="196"/>
      <c r="F1916" s="221"/>
      <c r="G1916" s="193"/>
      <c r="H1916" s="193"/>
      <c r="I1916" s="194"/>
      <c r="J1916" s="194"/>
      <c r="K1916" s="193"/>
      <c r="L1916" s="193"/>
      <c r="M1916" s="193"/>
      <c r="N1916" s="193"/>
      <c r="O1916" s="193"/>
      <c r="P1916" s="193"/>
      <c r="Q1916" s="200"/>
      <c r="R1916" s="86"/>
      <c r="S1916" s="114">
        <f t="shared" ref="S1916:T1916" si="1919">A1916</f>
        <v>1</v>
      </c>
      <c r="T1916" s="114" t="str">
        <f t="shared" si="1919"/>
        <v/>
      </c>
      <c r="U1916" s="86" t="str">
        <f t="shared" si="3"/>
        <v>0</v>
      </c>
      <c r="V1916" s="86" t="str">
        <f t="shared" si="4"/>
        <v> </v>
      </c>
      <c r="W1916" s="86"/>
      <c r="X1916" s="86"/>
    </row>
    <row r="1917">
      <c r="A1917" s="201">
        <v>1.0</v>
      </c>
      <c r="B1917" s="202"/>
      <c r="C1917" s="203"/>
      <c r="D1917" s="204" t="str">
        <f>IFERROR(__xludf.DUMMYFUNCTION("ARRAYFORMULA(LET( converted, SUBSTITUTE( SUBSTITUTE( SUBSTITUTE( SUBSTITUTE( SUBSTITUTE( SUBSTITUTE( SUBSTITUTE( SUBSTITUTE( SUBSTITUTE( SUBSTITUTE( C1917, ""۰"", ""0""), ""۱"", ""1""), ""۲"", ""2""), ""۳"", ""3""), ""۴"", ""4""), ""۵"", ""5""), ""۶"", """&amp;"6""), ""۷"", ""7""), ""۸"", ""8""), ""۹"", ""9""), IF(LEFT(converted,3)=""+98"", ""0"" &amp; RIGHT(converted, LEN(converted)-3), IF(LEFT(converted,2)=""98"", ""0"" &amp; RIGHT(converted, LEN(converted)-2), IF(LEFT(converted,1)&lt;&gt;""0"", ""0"" &amp; converted, REGEXREPL"&amp;"ACE(converted , ""\s"", """")) ) ) ) )"),"0")</f>
        <v>0</v>
      </c>
      <c r="E1917" s="205"/>
      <c r="F1917" s="214"/>
      <c r="G1917" s="202"/>
      <c r="H1917" s="202"/>
      <c r="I1917" s="203"/>
      <c r="J1917" s="203"/>
      <c r="K1917" s="202"/>
      <c r="L1917" s="202"/>
      <c r="M1917" s="202"/>
      <c r="N1917" s="202"/>
      <c r="O1917" s="202"/>
      <c r="P1917" s="202"/>
      <c r="Q1917" s="208"/>
      <c r="R1917" s="86"/>
      <c r="S1917" s="114">
        <f t="shared" ref="S1917:T1917" si="1920">A1917</f>
        <v>1</v>
      </c>
      <c r="T1917" s="114" t="str">
        <f t="shared" si="1920"/>
        <v/>
      </c>
      <c r="U1917" s="86" t="str">
        <f t="shared" si="3"/>
        <v>0</v>
      </c>
      <c r="V1917" s="86" t="str">
        <f t="shared" si="4"/>
        <v> </v>
      </c>
      <c r="W1917" s="86"/>
      <c r="X1917" s="86"/>
    </row>
    <row r="1918">
      <c r="A1918" s="192">
        <v>1.0</v>
      </c>
      <c r="B1918" s="193"/>
      <c r="C1918" s="194"/>
      <c r="D1918" s="195" t="str">
        <f>IFERROR(__xludf.DUMMYFUNCTION("ARRAYFORMULA(LET( converted, SUBSTITUTE( SUBSTITUTE( SUBSTITUTE( SUBSTITUTE( SUBSTITUTE( SUBSTITUTE( SUBSTITUTE( SUBSTITUTE( SUBSTITUTE( SUBSTITUTE( C1918, ""۰"", ""0""), ""۱"", ""1""), ""۲"", ""2""), ""۳"", ""3""), ""۴"", ""4""), ""۵"", ""5""), ""۶"", """&amp;"6""), ""۷"", ""7""), ""۸"", ""8""), ""۹"", ""9""), IF(LEFT(converted,3)=""+98"", ""0"" &amp; RIGHT(converted, LEN(converted)-3), IF(LEFT(converted,2)=""98"", ""0"" &amp; RIGHT(converted, LEN(converted)-2), IF(LEFT(converted,1)&lt;&gt;""0"", ""0"" &amp; converted, REGEXREPL"&amp;"ACE(converted , ""\s"", """")) ) ) ) )"),"0")</f>
        <v>0</v>
      </c>
      <c r="E1918" s="196"/>
      <c r="F1918" s="221"/>
      <c r="G1918" s="193"/>
      <c r="H1918" s="193"/>
      <c r="I1918" s="194"/>
      <c r="J1918" s="194"/>
      <c r="K1918" s="193"/>
      <c r="L1918" s="193"/>
      <c r="M1918" s="193"/>
      <c r="N1918" s="193"/>
      <c r="O1918" s="193"/>
      <c r="P1918" s="193"/>
      <c r="Q1918" s="200"/>
      <c r="R1918" s="86"/>
      <c r="S1918" s="114">
        <f t="shared" ref="S1918:T1918" si="1921">A1918</f>
        <v>1</v>
      </c>
      <c r="T1918" s="114" t="str">
        <f t="shared" si="1921"/>
        <v/>
      </c>
      <c r="U1918" s="86" t="str">
        <f t="shared" si="3"/>
        <v>0</v>
      </c>
      <c r="V1918" s="86" t="str">
        <f t="shared" si="4"/>
        <v> </v>
      </c>
      <c r="W1918" s="86"/>
      <c r="X1918" s="86"/>
    </row>
    <row r="1919">
      <c r="A1919" s="201">
        <v>1.0</v>
      </c>
      <c r="B1919" s="202"/>
      <c r="C1919" s="203"/>
      <c r="D1919" s="204" t="str">
        <f>IFERROR(__xludf.DUMMYFUNCTION("ARRAYFORMULA(LET( converted, SUBSTITUTE( SUBSTITUTE( SUBSTITUTE( SUBSTITUTE( SUBSTITUTE( SUBSTITUTE( SUBSTITUTE( SUBSTITUTE( SUBSTITUTE( SUBSTITUTE( C1919, ""۰"", ""0""), ""۱"", ""1""), ""۲"", ""2""), ""۳"", ""3""), ""۴"", ""4""), ""۵"", ""5""), ""۶"", """&amp;"6""), ""۷"", ""7""), ""۸"", ""8""), ""۹"", ""9""), IF(LEFT(converted,3)=""+98"", ""0"" &amp; RIGHT(converted, LEN(converted)-3), IF(LEFT(converted,2)=""98"", ""0"" &amp; RIGHT(converted, LEN(converted)-2), IF(LEFT(converted,1)&lt;&gt;""0"", ""0"" &amp; converted, REGEXREPL"&amp;"ACE(converted , ""\s"", """")) ) ) ) )"),"0")</f>
        <v>0</v>
      </c>
      <c r="E1919" s="205"/>
      <c r="F1919" s="214"/>
      <c r="G1919" s="202"/>
      <c r="H1919" s="202"/>
      <c r="I1919" s="203"/>
      <c r="J1919" s="203"/>
      <c r="K1919" s="202"/>
      <c r="L1919" s="202"/>
      <c r="M1919" s="202"/>
      <c r="N1919" s="202"/>
      <c r="O1919" s="202"/>
      <c r="P1919" s="202"/>
      <c r="Q1919" s="208"/>
      <c r="R1919" s="86"/>
      <c r="S1919" s="114">
        <f t="shared" ref="S1919:T1919" si="1922">A1919</f>
        <v>1</v>
      </c>
      <c r="T1919" s="114" t="str">
        <f t="shared" si="1922"/>
        <v/>
      </c>
      <c r="U1919" s="86" t="str">
        <f t="shared" si="3"/>
        <v>0</v>
      </c>
      <c r="V1919" s="86" t="str">
        <f t="shared" si="4"/>
        <v> </v>
      </c>
      <c r="W1919" s="86"/>
      <c r="X1919" s="86"/>
    </row>
    <row r="1920">
      <c r="A1920" s="192">
        <v>1.0</v>
      </c>
      <c r="B1920" s="193"/>
      <c r="C1920" s="194"/>
      <c r="D1920" s="195" t="str">
        <f>IFERROR(__xludf.DUMMYFUNCTION("ARRAYFORMULA(LET( converted, SUBSTITUTE( SUBSTITUTE( SUBSTITUTE( SUBSTITUTE( SUBSTITUTE( SUBSTITUTE( SUBSTITUTE( SUBSTITUTE( SUBSTITUTE( SUBSTITUTE( C1920, ""۰"", ""0""), ""۱"", ""1""), ""۲"", ""2""), ""۳"", ""3""), ""۴"", ""4""), ""۵"", ""5""), ""۶"", """&amp;"6""), ""۷"", ""7""), ""۸"", ""8""), ""۹"", ""9""), IF(LEFT(converted,3)=""+98"", ""0"" &amp; RIGHT(converted, LEN(converted)-3), IF(LEFT(converted,2)=""98"", ""0"" &amp; RIGHT(converted, LEN(converted)-2), IF(LEFT(converted,1)&lt;&gt;""0"", ""0"" &amp; converted, REGEXREPL"&amp;"ACE(converted , ""\s"", """")) ) ) ) )"),"0")</f>
        <v>0</v>
      </c>
      <c r="E1920" s="196"/>
      <c r="F1920" s="221"/>
      <c r="G1920" s="193"/>
      <c r="H1920" s="193"/>
      <c r="I1920" s="194"/>
      <c r="J1920" s="194"/>
      <c r="K1920" s="193"/>
      <c r="L1920" s="193"/>
      <c r="M1920" s="193"/>
      <c r="N1920" s="193"/>
      <c r="O1920" s="193"/>
      <c r="P1920" s="193"/>
      <c r="Q1920" s="200"/>
      <c r="R1920" s="86"/>
      <c r="S1920" s="114">
        <f t="shared" ref="S1920:T1920" si="1923">A1920</f>
        <v>1</v>
      </c>
      <c r="T1920" s="114" t="str">
        <f t="shared" si="1923"/>
        <v/>
      </c>
      <c r="U1920" s="86" t="str">
        <f t="shared" si="3"/>
        <v>0</v>
      </c>
      <c r="V1920" s="86" t="str">
        <f t="shared" si="4"/>
        <v> </v>
      </c>
      <c r="W1920" s="86"/>
      <c r="X1920" s="86"/>
    </row>
    <row r="1921">
      <c r="A1921" s="201">
        <v>1.0</v>
      </c>
      <c r="B1921" s="202"/>
      <c r="C1921" s="203"/>
      <c r="D1921" s="204" t="str">
        <f>IFERROR(__xludf.DUMMYFUNCTION("ARRAYFORMULA(LET( converted, SUBSTITUTE( SUBSTITUTE( SUBSTITUTE( SUBSTITUTE( SUBSTITUTE( SUBSTITUTE( SUBSTITUTE( SUBSTITUTE( SUBSTITUTE( SUBSTITUTE( C1921, ""۰"", ""0""), ""۱"", ""1""), ""۲"", ""2""), ""۳"", ""3""), ""۴"", ""4""), ""۵"", ""5""), ""۶"", """&amp;"6""), ""۷"", ""7""), ""۸"", ""8""), ""۹"", ""9""), IF(LEFT(converted,3)=""+98"", ""0"" &amp; RIGHT(converted, LEN(converted)-3), IF(LEFT(converted,2)=""98"", ""0"" &amp; RIGHT(converted, LEN(converted)-2), IF(LEFT(converted,1)&lt;&gt;""0"", ""0"" &amp; converted, REGEXREPL"&amp;"ACE(converted , ""\s"", """")) ) ) ) )"),"0")</f>
        <v>0</v>
      </c>
      <c r="E1921" s="205"/>
      <c r="F1921" s="214"/>
      <c r="G1921" s="202"/>
      <c r="H1921" s="202"/>
      <c r="I1921" s="203"/>
      <c r="J1921" s="203"/>
      <c r="K1921" s="202"/>
      <c r="L1921" s="202"/>
      <c r="M1921" s="202"/>
      <c r="N1921" s="202"/>
      <c r="O1921" s="202"/>
      <c r="P1921" s="202"/>
      <c r="Q1921" s="208"/>
      <c r="R1921" s="86"/>
      <c r="S1921" s="114">
        <f t="shared" ref="S1921:T1921" si="1924">A1921</f>
        <v>1</v>
      </c>
      <c r="T1921" s="114" t="str">
        <f t="shared" si="1924"/>
        <v/>
      </c>
      <c r="U1921" s="86" t="str">
        <f t="shared" si="3"/>
        <v>0</v>
      </c>
      <c r="V1921" s="86" t="str">
        <f t="shared" si="4"/>
        <v> </v>
      </c>
      <c r="W1921" s="86"/>
      <c r="X1921" s="86"/>
    </row>
    <row r="1922">
      <c r="A1922" s="192">
        <v>1.0</v>
      </c>
      <c r="B1922" s="193"/>
      <c r="C1922" s="194"/>
      <c r="D1922" s="195" t="str">
        <f>IFERROR(__xludf.DUMMYFUNCTION("ARRAYFORMULA(LET( converted, SUBSTITUTE( SUBSTITUTE( SUBSTITUTE( SUBSTITUTE( SUBSTITUTE( SUBSTITUTE( SUBSTITUTE( SUBSTITUTE( SUBSTITUTE( SUBSTITUTE( C1922, ""۰"", ""0""), ""۱"", ""1""), ""۲"", ""2""), ""۳"", ""3""), ""۴"", ""4""), ""۵"", ""5""), ""۶"", """&amp;"6""), ""۷"", ""7""), ""۸"", ""8""), ""۹"", ""9""), IF(LEFT(converted,3)=""+98"", ""0"" &amp; RIGHT(converted, LEN(converted)-3), IF(LEFT(converted,2)=""98"", ""0"" &amp; RIGHT(converted, LEN(converted)-2), IF(LEFT(converted,1)&lt;&gt;""0"", ""0"" &amp; converted, REGEXREPL"&amp;"ACE(converted , ""\s"", """")) ) ) ) )"),"0")</f>
        <v>0</v>
      </c>
      <c r="E1922" s="196"/>
      <c r="F1922" s="221"/>
      <c r="G1922" s="193"/>
      <c r="H1922" s="193"/>
      <c r="I1922" s="194"/>
      <c r="J1922" s="194"/>
      <c r="K1922" s="193"/>
      <c r="L1922" s="193"/>
      <c r="M1922" s="193"/>
      <c r="N1922" s="193"/>
      <c r="O1922" s="193"/>
      <c r="P1922" s="193"/>
      <c r="Q1922" s="200"/>
      <c r="R1922" s="86"/>
      <c r="S1922" s="114">
        <f t="shared" ref="S1922:T1922" si="1925">A1922</f>
        <v>1</v>
      </c>
      <c r="T1922" s="114" t="str">
        <f t="shared" si="1925"/>
        <v/>
      </c>
      <c r="U1922" s="86" t="str">
        <f t="shared" si="3"/>
        <v>0</v>
      </c>
      <c r="V1922" s="86" t="str">
        <f t="shared" si="4"/>
        <v> </v>
      </c>
      <c r="W1922" s="86"/>
      <c r="X1922" s="86"/>
    </row>
    <row r="1923">
      <c r="A1923" s="201">
        <v>1.0</v>
      </c>
      <c r="B1923" s="202"/>
      <c r="C1923" s="203"/>
      <c r="D1923" s="204" t="str">
        <f>IFERROR(__xludf.DUMMYFUNCTION("ARRAYFORMULA(LET( converted, SUBSTITUTE( SUBSTITUTE( SUBSTITUTE( SUBSTITUTE( SUBSTITUTE( SUBSTITUTE( SUBSTITUTE( SUBSTITUTE( SUBSTITUTE( SUBSTITUTE( C1923, ""۰"", ""0""), ""۱"", ""1""), ""۲"", ""2""), ""۳"", ""3""), ""۴"", ""4""), ""۵"", ""5""), ""۶"", """&amp;"6""), ""۷"", ""7""), ""۸"", ""8""), ""۹"", ""9""), IF(LEFT(converted,3)=""+98"", ""0"" &amp; RIGHT(converted, LEN(converted)-3), IF(LEFT(converted,2)=""98"", ""0"" &amp; RIGHT(converted, LEN(converted)-2), IF(LEFT(converted,1)&lt;&gt;""0"", ""0"" &amp; converted, REGEXREPL"&amp;"ACE(converted , ""\s"", """")) ) ) ) )"),"0")</f>
        <v>0</v>
      </c>
      <c r="E1923" s="205"/>
      <c r="F1923" s="214"/>
      <c r="G1923" s="202"/>
      <c r="H1923" s="202"/>
      <c r="I1923" s="203"/>
      <c r="J1923" s="203"/>
      <c r="K1923" s="202"/>
      <c r="L1923" s="202"/>
      <c r="M1923" s="202"/>
      <c r="N1923" s="202"/>
      <c r="O1923" s="202"/>
      <c r="P1923" s="202"/>
      <c r="Q1923" s="208"/>
      <c r="R1923" s="86"/>
      <c r="S1923" s="114">
        <f t="shared" ref="S1923:T1923" si="1926">A1923</f>
        <v>1</v>
      </c>
      <c r="T1923" s="114" t="str">
        <f t="shared" si="1926"/>
        <v/>
      </c>
      <c r="U1923" s="86" t="str">
        <f t="shared" si="3"/>
        <v>0</v>
      </c>
      <c r="V1923" s="86" t="str">
        <f t="shared" si="4"/>
        <v> </v>
      </c>
      <c r="W1923" s="86"/>
      <c r="X1923" s="86"/>
    </row>
    <row r="1924">
      <c r="A1924" s="192">
        <v>1.0</v>
      </c>
      <c r="B1924" s="193"/>
      <c r="C1924" s="194"/>
      <c r="D1924" s="195" t="str">
        <f>IFERROR(__xludf.DUMMYFUNCTION("ARRAYFORMULA(LET( converted, SUBSTITUTE( SUBSTITUTE( SUBSTITUTE( SUBSTITUTE( SUBSTITUTE( SUBSTITUTE( SUBSTITUTE( SUBSTITUTE( SUBSTITUTE( SUBSTITUTE( C1924, ""۰"", ""0""), ""۱"", ""1""), ""۲"", ""2""), ""۳"", ""3""), ""۴"", ""4""), ""۵"", ""5""), ""۶"", """&amp;"6""), ""۷"", ""7""), ""۸"", ""8""), ""۹"", ""9""), IF(LEFT(converted,3)=""+98"", ""0"" &amp; RIGHT(converted, LEN(converted)-3), IF(LEFT(converted,2)=""98"", ""0"" &amp; RIGHT(converted, LEN(converted)-2), IF(LEFT(converted,1)&lt;&gt;""0"", ""0"" &amp; converted, REGEXREPL"&amp;"ACE(converted , ""\s"", """")) ) ) ) )"),"0")</f>
        <v>0</v>
      </c>
      <c r="E1924" s="196"/>
      <c r="F1924" s="221"/>
      <c r="G1924" s="193"/>
      <c r="H1924" s="193"/>
      <c r="I1924" s="194"/>
      <c r="J1924" s="194"/>
      <c r="K1924" s="193"/>
      <c r="L1924" s="193"/>
      <c r="M1924" s="193"/>
      <c r="N1924" s="193"/>
      <c r="O1924" s="193"/>
      <c r="P1924" s="193"/>
      <c r="Q1924" s="200"/>
      <c r="R1924" s="86"/>
      <c r="S1924" s="114">
        <f t="shared" ref="S1924:T1924" si="1927">A1924</f>
        <v>1</v>
      </c>
      <c r="T1924" s="114" t="str">
        <f t="shared" si="1927"/>
        <v/>
      </c>
      <c r="U1924" s="86" t="str">
        <f t="shared" si="3"/>
        <v>0</v>
      </c>
      <c r="V1924" s="86" t="str">
        <f t="shared" si="4"/>
        <v> </v>
      </c>
      <c r="W1924" s="86"/>
      <c r="X1924" s="86"/>
    </row>
    <row r="1925">
      <c r="A1925" s="201">
        <v>1.0</v>
      </c>
      <c r="B1925" s="202"/>
      <c r="C1925" s="203"/>
      <c r="D1925" s="204" t="str">
        <f>IFERROR(__xludf.DUMMYFUNCTION("ARRAYFORMULA(LET( converted, SUBSTITUTE( SUBSTITUTE( SUBSTITUTE( SUBSTITUTE( SUBSTITUTE( SUBSTITUTE( SUBSTITUTE( SUBSTITUTE( SUBSTITUTE( SUBSTITUTE( C1925, ""۰"", ""0""), ""۱"", ""1""), ""۲"", ""2""), ""۳"", ""3""), ""۴"", ""4""), ""۵"", ""5""), ""۶"", """&amp;"6""), ""۷"", ""7""), ""۸"", ""8""), ""۹"", ""9""), IF(LEFT(converted,3)=""+98"", ""0"" &amp; RIGHT(converted, LEN(converted)-3), IF(LEFT(converted,2)=""98"", ""0"" &amp; RIGHT(converted, LEN(converted)-2), IF(LEFT(converted,1)&lt;&gt;""0"", ""0"" &amp; converted, REGEXREPL"&amp;"ACE(converted , ""\s"", """")) ) ) ) )"),"0")</f>
        <v>0</v>
      </c>
      <c r="E1925" s="205"/>
      <c r="F1925" s="214"/>
      <c r="G1925" s="202"/>
      <c r="H1925" s="202"/>
      <c r="I1925" s="203"/>
      <c r="J1925" s="203"/>
      <c r="K1925" s="202"/>
      <c r="L1925" s="202"/>
      <c r="M1925" s="202"/>
      <c r="N1925" s="202"/>
      <c r="O1925" s="202"/>
      <c r="P1925" s="202"/>
      <c r="Q1925" s="208"/>
      <c r="R1925" s="86"/>
      <c r="S1925" s="114">
        <f t="shared" ref="S1925:T1925" si="1928">A1925</f>
        <v>1</v>
      </c>
      <c r="T1925" s="114" t="str">
        <f t="shared" si="1928"/>
        <v/>
      </c>
      <c r="U1925" s="86" t="str">
        <f t="shared" si="3"/>
        <v>0</v>
      </c>
      <c r="V1925" s="86" t="str">
        <f t="shared" si="4"/>
        <v> </v>
      </c>
      <c r="W1925" s="86"/>
      <c r="X1925" s="86"/>
    </row>
    <row r="1926">
      <c r="A1926" s="192">
        <v>1.0</v>
      </c>
      <c r="B1926" s="193"/>
      <c r="C1926" s="194"/>
      <c r="D1926" s="195" t="str">
        <f>IFERROR(__xludf.DUMMYFUNCTION("ARRAYFORMULA(LET( converted, SUBSTITUTE( SUBSTITUTE( SUBSTITUTE( SUBSTITUTE( SUBSTITUTE( SUBSTITUTE( SUBSTITUTE( SUBSTITUTE( SUBSTITUTE( SUBSTITUTE( C1926, ""۰"", ""0""), ""۱"", ""1""), ""۲"", ""2""), ""۳"", ""3""), ""۴"", ""4""), ""۵"", ""5""), ""۶"", """&amp;"6""), ""۷"", ""7""), ""۸"", ""8""), ""۹"", ""9""), IF(LEFT(converted,3)=""+98"", ""0"" &amp; RIGHT(converted, LEN(converted)-3), IF(LEFT(converted,2)=""98"", ""0"" &amp; RIGHT(converted, LEN(converted)-2), IF(LEFT(converted,1)&lt;&gt;""0"", ""0"" &amp; converted, REGEXREPL"&amp;"ACE(converted , ""\s"", """")) ) ) ) )"),"0")</f>
        <v>0</v>
      </c>
      <c r="E1926" s="196"/>
      <c r="F1926" s="221"/>
      <c r="G1926" s="193"/>
      <c r="H1926" s="193"/>
      <c r="I1926" s="194"/>
      <c r="J1926" s="194"/>
      <c r="K1926" s="193"/>
      <c r="L1926" s="193"/>
      <c r="M1926" s="193"/>
      <c r="N1926" s="193"/>
      <c r="O1926" s="193"/>
      <c r="P1926" s="193"/>
      <c r="Q1926" s="200"/>
      <c r="R1926" s="86"/>
      <c r="S1926" s="114">
        <f t="shared" ref="S1926:T1926" si="1929">A1926</f>
        <v>1</v>
      </c>
      <c r="T1926" s="114" t="str">
        <f t="shared" si="1929"/>
        <v/>
      </c>
      <c r="U1926" s="86" t="str">
        <f t="shared" si="3"/>
        <v>0</v>
      </c>
      <c r="V1926" s="86" t="str">
        <f t="shared" si="4"/>
        <v> </v>
      </c>
      <c r="W1926" s="86"/>
      <c r="X1926" s="86"/>
    </row>
    <row r="1927">
      <c r="A1927" s="201">
        <v>1.0</v>
      </c>
      <c r="B1927" s="202"/>
      <c r="C1927" s="203"/>
      <c r="D1927" s="204" t="str">
        <f>IFERROR(__xludf.DUMMYFUNCTION("ARRAYFORMULA(LET( converted, SUBSTITUTE( SUBSTITUTE( SUBSTITUTE( SUBSTITUTE( SUBSTITUTE( SUBSTITUTE( SUBSTITUTE( SUBSTITUTE( SUBSTITUTE( SUBSTITUTE( C1927, ""۰"", ""0""), ""۱"", ""1""), ""۲"", ""2""), ""۳"", ""3""), ""۴"", ""4""), ""۵"", ""5""), ""۶"", """&amp;"6""), ""۷"", ""7""), ""۸"", ""8""), ""۹"", ""9""), IF(LEFT(converted,3)=""+98"", ""0"" &amp; RIGHT(converted, LEN(converted)-3), IF(LEFT(converted,2)=""98"", ""0"" &amp; RIGHT(converted, LEN(converted)-2), IF(LEFT(converted,1)&lt;&gt;""0"", ""0"" &amp; converted, REGEXREPL"&amp;"ACE(converted , ""\s"", """")) ) ) ) )"),"0")</f>
        <v>0</v>
      </c>
      <c r="E1927" s="205"/>
      <c r="F1927" s="214"/>
      <c r="G1927" s="202"/>
      <c r="H1927" s="202"/>
      <c r="I1927" s="203"/>
      <c r="J1927" s="203"/>
      <c r="K1927" s="202"/>
      <c r="L1927" s="202"/>
      <c r="M1927" s="202"/>
      <c r="N1927" s="202"/>
      <c r="O1927" s="202"/>
      <c r="P1927" s="202"/>
      <c r="Q1927" s="208"/>
      <c r="R1927" s="86"/>
      <c r="S1927" s="114">
        <f t="shared" ref="S1927:T1927" si="1930">A1927</f>
        <v>1</v>
      </c>
      <c r="T1927" s="114" t="str">
        <f t="shared" si="1930"/>
        <v/>
      </c>
      <c r="U1927" s="86" t="str">
        <f t="shared" si="3"/>
        <v>0</v>
      </c>
      <c r="V1927" s="86" t="str">
        <f t="shared" si="4"/>
        <v> </v>
      </c>
      <c r="W1927" s="86"/>
      <c r="X1927" s="86"/>
    </row>
    <row r="1928">
      <c r="A1928" s="192">
        <v>1.0</v>
      </c>
      <c r="B1928" s="193"/>
      <c r="C1928" s="194"/>
      <c r="D1928" s="195" t="str">
        <f>IFERROR(__xludf.DUMMYFUNCTION("ARRAYFORMULA(LET( converted, SUBSTITUTE( SUBSTITUTE( SUBSTITUTE( SUBSTITUTE( SUBSTITUTE( SUBSTITUTE( SUBSTITUTE( SUBSTITUTE( SUBSTITUTE( SUBSTITUTE( C1928, ""۰"", ""0""), ""۱"", ""1""), ""۲"", ""2""), ""۳"", ""3""), ""۴"", ""4""), ""۵"", ""5""), ""۶"", """&amp;"6""), ""۷"", ""7""), ""۸"", ""8""), ""۹"", ""9""), IF(LEFT(converted,3)=""+98"", ""0"" &amp; RIGHT(converted, LEN(converted)-3), IF(LEFT(converted,2)=""98"", ""0"" &amp; RIGHT(converted, LEN(converted)-2), IF(LEFT(converted,1)&lt;&gt;""0"", ""0"" &amp; converted, REGEXREPL"&amp;"ACE(converted , ""\s"", """")) ) ) ) )"),"0")</f>
        <v>0</v>
      </c>
      <c r="E1928" s="196"/>
      <c r="F1928" s="221"/>
      <c r="G1928" s="193"/>
      <c r="H1928" s="193"/>
      <c r="I1928" s="194"/>
      <c r="J1928" s="194"/>
      <c r="K1928" s="193"/>
      <c r="L1928" s="193"/>
      <c r="M1928" s="193"/>
      <c r="N1928" s="193"/>
      <c r="O1928" s="193"/>
      <c r="P1928" s="193"/>
      <c r="Q1928" s="200"/>
      <c r="R1928" s="86"/>
      <c r="S1928" s="114">
        <f t="shared" ref="S1928:T1928" si="1931">A1928</f>
        <v>1</v>
      </c>
      <c r="T1928" s="114" t="str">
        <f t="shared" si="1931"/>
        <v/>
      </c>
      <c r="U1928" s="86" t="str">
        <f t="shared" si="3"/>
        <v>0</v>
      </c>
      <c r="V1928" s="86" t="str">
        <f t="shared" si="4"/>
        <v> </v>
      </c>
      <c r="W1928" s="86"/>
      <c r="X1928" s="86"/>
    </row>
    <row r="1929">
      <c r="A1929" s="201">
        <v>1.0</v>
      </c>
      <c r="B1929" s="202"/>
      <c r="C1929" s="203"/>
      <c r="D1929" s="204" t="str">
        <f>IFERROR(__xludf.DUMMYFUNCTION("ARRAYFORMULA(LET( converted, SUBSTITUTE( SUBSTITUTE( SUBSTITUTE( SUBSTITUTE( SUBSTITUTE( SUBSTITUTE( SUBSTITUTE( SUBSTITUTE( SUBSTITUTE( SUBSTITUTE( C1929, ""۰"", ""0""), ""۱"", ""1""), ""۲"", ""2""), ""۳"", ""3""), ""۴"", ""4""), ""۵"", ""5""), ""۶"", """&amp;"6""), ""۷"", ""7""), ""۸"", ""8""), ""۹"", ""9""), IF(LEFT(converted,3)=""+98"", ""0"" &amp; RIGHT(converted, LEN(converted)-3), IF(LEFT(converted,2)=""98"", ""0"" &amp; RIGHT(converted, LEN(converted)-2), IF(LEFT(converted,1)&lt;&gt;""0"", ""0"" &amp; converted, REGEXREPL"&amp;"ACE(converted , ""\s"", """")) ) ) ) )"),"0")</f>
        <v>0</v>
      </c>
      <c r="E1929" s="205"/>
      <c r="F1929" s="214"/>
      <c r="G1929" s="202"/>
      <c r="H1929" s="202"/>
      <c r="I1929" s="203"/>
      <c r="J1929" s="203"/>
      <c r="K1929" s="202"/>
      <c r="L1929" s="202"/>
      <c r="M1929" s="202"/>
      <c r="N1929" s="202"/>
      <c r="O1929" s="202"/>
      <c r="P1929" s="202"/>
      <c r="Q1929" s="208"/>
      <c r="R1929" s="86"/>
      <c r="S1929" s="114">
        <f t="shared" ref="S1929:T1929" si="1932">A1929</f>
        <v>1</v>
      </c>
      <c r="T1929" s="114" t="str">
        <f t="shared" si="1932"/>
        <v/>
      </c>
      <c r="U1929" s="86" t="str">
        <f t="shared" si="3"/>
        <v>0</v>
      </c>
      <c r="V1929" s="86" t="str">
        <f t="shared" si="4"/>
        <v> </v>
      </c>
      <c r="W1929" s="86"/>
      <c r="X1929" s="86"/>
    </row>
    <row r="1930">
      <c r="A1930" s="192">
        <v>1.0</v>
      </c>
      <c r="B1930" s="193"/>
      <c r="C1930" s="194"/>
      <c r="D1930" s="195" t="str">
        <f>IFERROR(__xludf.DUMMYFUNCTION("ARRAYFORMULA(LET( converted, SUBSTITUTE( SUBSTITUTE( SUBSTITUTE( SUBSTITUTE( SUBSTITUTE( SUBSTITUTE( SUBSTITUTE( SUBSTITUTE( SUBSTITUTE( SUBSTITUTE( C1930, ""۰"", ""0""), ""۱"", ""1""), ""۲"", ""2""), ""۳"", ""3""), ""۴"", ""4""), ""۵"", ""5""), ""۶"", """&amp;"6""), ""۷"", ""7""), ""۸"", ""8""), ""۹"", ""9""), IF(LEFT(converted,3)=""+98"", ""0"" &amp; RIGHT(converted, LEN(converted)-3), IF(LEFT(converted,2)=""98"", ""0"" &amp; RIGHT(converted, LEN(converted)-2), IF(LEFT(converted,1)&lt;&gt;""0"", ""0"" &amp; converted, REGEXREPL"&amp;"ACE(converted , ""\s"", """")) ) ) ) )"),"0")</f>
        <v>0</v>
      </c>
      <c r="E1930" s="196"/>
      <c r="F1930" s="221"/>
      <c r="G1930" s="193"/>
      <c r="H1930" s="193"/>
      <c r="I1930" s="194"/>
      <c r="J1930" s="194"/>
      <c r="K1930" s="193"/>
      <c r="L1930" s="193"/>
      <c r="M1930" s="193"/>
      <c r="N1930" s="193"/>
      <c r="O1930" s="193"/>
      <c r="P1930" s="193"/>
      <c r="Q1930" s="200"/>
      <c r="R1930" s="86"/>
      <c r="S1930" s="114">
        <f t="shared" ref="S1930:T1930" si="1933">A1930</f>
        <v>1</v>
      </c>
      <c r="T1930" s="114" t="str">
        <f t="shared" si="1933"/>
        <v/>
      </c>
      <c r="U1930" s="86" t="str">
        <f t="shared" si="3"/>
        <v>0</v>
      </c>
      <c r="V1930" s="86" t="str">
        <f t="shared" si="4"/>
        <v> </v>
      </c>
      <c r="W1930" s="86"/>
      <c r="X1930" s="86"/>
    </row>
    <row r="1931">
      <c r="A1931" s="201">
        <v>1.0</v>
      </c>
      <c r="B1931" s="202"/>
      <c r="C1931" s="203"/>
      <c r="D1931" s="204" t="str">
        <f>IFERROR(__xludf.DUMMYFUNCTION("ARRAYFORMULA(LET( converted, SUBSTITUTE( SUBSTITUTE( SUBSTITUTE( SUBSTITUTE( SUBSTITUTE( SUBSTITUTE( SUBSTITUTE( SUBSTITUTE( SUBSTITUTE( SUBSTITUTE( C1931, ""۰"", ""0""), ""۱"", ""1""), ""۲"", ""2""), ""۳"", ""3""), ""۴"", ""4""), ""۵"", ""5""), ""۶"", """&amp;"6""), ""۷"", ""7""), ""۸"", ""8""), ""۹"", ""9""), IF(LEFT(converted,3)=""+98"", ""0"" &amp; RIGHT(converted, LEN(converted)-3), IF(LEFT(converted,2)=""98"", ""0"" &amp; RIGHT(converted, LEN(converted)-2), IF(LEFT(converted,1)&lt;&gt;""0"", ""0"" &amp; converted, REGEXREPL"&amp;"ACE(converted , ""\s"", """")) ) ) ) )"),"0")</f>
        <v>0</v>
      </c>
      <c r="E1931" s="205"/>
      <c r="F1931" s="214"/>
      <c r="G1931" s="202"/>
      <c r="H1931" s="202"/>
      <c r="I1931" s="203"/>
      <c r="J1931" s="203"/>
      <c r="K1931" s="202"/>
      <c r="L1931" s="202"/>
      <c r="M1931" s="202"/>
      <c r="N1931" s="202"/>
      <c r="O1931" s="202"/>
      <c r="P1931" s="202"/>
      <c r="Q1931" s="208"/>
      <c r="R1931" s="86"/>
      <c r="S1931" s="114">
        <f t="shared" ref="S1931:T1931" si="1934">A1931</f>
        <v>1</v>
      </c>
      <c r="T1931" s="114" t="str">
        <f t="shared" si="1934"/>
        <v/>
      </c>
      <c r="U1931" s="86" t="str">
        <f t="shared" si="3"/>
        <v>0</v>
      </c>
      <c r="V1931" s="86" t="str">
        <f t="shared" si="4"/>
        <v> </v>
      </c>
      <c r="W1931" s="86"/>
      <c r="X1931" s="86"/>
    </row>
    <row r="1932">
      <c r="A1932" s="192">
        <v>1.0</v>
      </c>
      <c r="B1932" s="193"/>
      <c r="C1932" s="194"/>
      <c r="D1932" s="195" t="str">
        <f>IFERROR(__xludf.DUMMYFUNCTION("ARRAYFORMULA(LET( converted, SUBSTITUTE( SUBSTITUTE( SUBSTITUTE( SUBSTITUTE( SUBSTITUTE( SUBSTITUTE( SUBSTITUTE( SUBSTITUTE( SUBSTITUTE( SUBSTITUTE( C1932, ""۰"", ""0""), ""۱"", ""1""), ""۲"", ""2""), ""۳"", ""3""), ""۴"", ""4""), ""۵"", ""5""), ""۶"", """&amp;"6""), ""۷"", ""7""), ""۸"", ""8""), ""۹"", ""9""), IF(LEFT(converted,3)=""+98"", ""0"" &amp; RIGHT(converted, LEN(converted)-3), IF(LEFT(converted,2)=""98"", ""0"" &amp; RIGHT(converted, LEN(converted)-2), IF(LEFT(converted,1)&lt;&gt;""0"", ""0"" &amp; converted, REGEXREPL"&amp;"ACE(converted , ""\s"", """")) ) ) ) )"),"0")</f>
        <v>0</v>
      </c>
      <c r="E1932" s="196"/>
      <c r="F1932" s="221"/>
      <c r="G1932" s="193"/>
      <c r="H1932" s="193"/>
      <c r="I1932" s="194"/>
      <c r="J1932" s="194"/>
      <c r="K1932" s="193"/>
      <c r="L1932" s="193"/>
      <c r="M1932" s="193"/>
      <c r="N1932" s="193"/>
      <c r="O1932" s="193"/>
      <c r="P1932" s="193"/>
      <c r="Q1932" s="200"/>
      <c r="R1932" s="86"/>
      <c r="S1932" s="114">
        <f t="shared" ref="S1932:T1932" si="1935">A1932</f>
        <v>1</v>
      </c>
      <c r="T1932" s="114" t="str">
        <f t="shared" si="1935"/>
        <v/>
      </c>
      <c r="U1932" s="86" t="str">
        <f t="shared" si="3"/>
        <v>0</v>
      </c>
      <c r="V1932" s="86" t="str">
        <f t="shared" si="4"/>
        <v> </v>
      </c>
      <c r="W1932" s="86"/>
      <c r="X1932" s="86"/>
    </row>
    <row r="1933">
      <c r="A1933" s="201">
        <v>1.0</v>
      </c>
      <c r="B1933" s="202"/>
      <c r="C1933" s="203"/>
      <c r="D1933" s="204" t="str">
        <f>IFERROR(__xludf.DUMMYFUNCTION("ARRAYFORMULA(LET( converted, SUBSTITUTE( SUBSTITUTE( SUBSTITUTE( SUBSTITUTE( SUBSTITUTE( SUBSTITUTE( SUBSTITUTE( SUBSTITUTE( SUBSTITUTE( SUBSTITUTE( C1933, ""۰"", ""0""), ""۱"", ""1""), ""۲"", ""2""), ""۳"", ""3""), ""۴"", ""4""), ""۵"", ""5""), ""۶"", """&amp;"6""), ""۷"", ""7""), ""۸"", ""8""), ""۹"", ""9""), IF(LEFT(converted,3)=""+98"", ""0"" &amp; RIGHT(converted, LEN(converted)-3), IF(LEFT(converted,2)=""98"", ""0"" &amp; RIGHT(converted, LEN(converted)-2), IF(LEFT(converted,1)&lt;&gt;""0"", ""0"" &amp; converted, REGEXREPL"&amp;"ACE(converted , ""\s"", """")) ) ) ) )"),"0")</f>
        <v>0</v>
      </c>
      <c r="E1933" s="205"/>
      <c r="F1933" s="214"/>
      <c r="G1933" s="202"/>
      <c r="H1933" s="202"/>
      <c r="I1933" s="203"/>
      <c r="J1933" s="203"/>
      <c r="K1933" s="202"/>
      <c r="L1933" s="202"/>
      <c r="M1933" s="202"/>
      <c r="N1933" s="202"/>
      <c r="O1933" s="202"/>
      <c r="P1933" s="202"/>
      <c r="Q1933" s="208"/>
      <c r="R1933" s="86"/>
      <c r="S1933" s="114">
        <f t="shared" ref="S1933:T1933" si="1936">A1933</f>
        <v>1</v>
      </c>
      <c r="T1933" s="114" t="str">
        <f t="shared" si="1936"/>
        <v/>
      </c>
      <c r="U1933" s="86" t="str">
        <f t="shared" si="3"/>
        <v>0</v>
      </c>
      <c r="V1933" s="86" t="str">
        <f t="shared" si="4"/>
        <v> </v>
      </c>
      <c r="W1933" s="86"/>
      <c r="X1933" s="86"/>
    </row>
    <row r="1934">
      <c r="A1934" s="192">
        <v>1.0</v>
      </c>
      <c r="B1934" s="193"/>
      <c r="C1934" s="194"/>
      <c r="D1934" s="195" t="str">
        <f>IFERROR(__xludf.DUMMYFUNCTION("ARRAYFORMULA(LET( converted, SUBSTITUTE( SUBSTITUTE( SUBSTITUTE( SUBSTITUTE( SUBSTITUTE( SUBSTITUTE( SUBSTITUTE( SUBSTITUTE( SUBSTITUTE( SUBSTITUTE( C1934, ""۰"", ""0""), ""۱"", ""1""), ""۲"", ""2""), ""۳"", ""3""), ""۴"", ""4""), ""۵"", ""5""), ""۶"", """&amp;"6""), ""۷"", ""7""), ""۸"", ""8""), ""۹"", ""9""), IF(LEFT(converted,3)=""+98"", ""0"" &amp; RIGHT(converted, LEN(converted)-3), IF(LEFT(converted,2)=""98"", ""0"" &amp; RIGHT(converted, LEN(converted)-2), IF(LEFT(converted,1)&lt;&gt;""0"", ""0"" &amp; converted, REGEXREPL"&amp;"ACE(converted , ""\s"", """")) ) ) ) )"),"0")</f>
        <v>0</v>
      </c>
      <c r="E1934" s="196"/>
      <c r="F1934" s="221"/>
      <c r="G1934" s="193"/>
      <c r="H1934" s="193"/>
      <c r="I1934" s="194"/>
      <c r="J1934" s="194"/>
      <c r="K1934" s="193"/>
      <c r="L1934" s="193"/>
      <c r="M1934" s="193"/>
      <c r="N1934" s="193"/>
      <c r="O1934" s="193"/>
      <c r="P1934" s="193"/>
      <c r="Q1934" s="200"/>
      <c r="R1934" s="86"/>
      <c r="S1934" s="114">
        <f t="shared" ref="S1934:T1934" si="1937">A1934</f>
        <v>1</v>
      </c>
      <c r="T1934" s="114" t="str">
        <f t="shared" si="1937"/>
        <v/>
      </c>
      <c r="U1934" s="86" t="str">
        <f t="shared" si="3"/>
        <v>0</v>
      </c>
      <c r="V1934" s="86" t="str">
        <f t="shared" si="4"/>
        <v> </v>
      </c>
      <c r="W1934" s="86"/>
      <c r="X1934" s="86"/>
    </row>
    <row r="1935">
      <c r="A1935" s="201">
        <v>1.0</v>
      </c>
      <c r="B1935" s="202"/>
      <c r="C1935" s="203"/>
      <c r="D1935" s="204" t="str">
        <f>IFERROR(__xludf.DUMMYFUNCTION("ARRAYFORMULA(LET( converted, SUBSTITUTE( SUBSTITUTE( SUBSTITUTE( SUBSTITUTE( SUBSTITUTE( SUBSTITUTE( SUBSTITUTE( SUBSTITUTE( SUBSTITUTE( SUBSTITUTE( C1935, ""۰"", ""0""), ""۱"", ""1""), ""۲"", ""2""), ""۳"", ""3""), ""۴"", ""4""), ""۵"", ""5""), ""۶"", """&amp;"6""), ""۷"", ""7""), ""۸"", ""8""), ""۹"", ""9""), IF(LEFT(converted,3)=""+98"", ""0"" &amp; RIGHT(converted, LEN(converted)-3), IF(LEFT(converted,2)=""98"", ""0"" &amp; RIGHT(converted, LEN(converted)-2), IF(LEFT(converted,1)&lt;&gt;""0"", ""0"" &amp; converted, REGEXREPL"&amp;"ACE(converted , ""\s"", """")) ) ) ) )"),"0")</f>
        <v>0</v>
      </c>
      <c r="E1935" s="205"/>
      <c r="F1935" s="214"/>
      <c r="G1935" s="202"/>
      <c r="H1935" s="202"/>
      <c r="I1935" s="203"/>
      <c r="J1935" s="203"/>
      <c r="K1935" s="202"/>
      <c r="L1935" s="202"/>
      <c r="M1935" s="202"/>
      <c r="N1935" s="202"/>
      <c r="O1935" s="202"/>
      <c r="P1935" s="202"/>
      <c r="Q1935" s="208"/>
      <c r="R1935" s="86"/>
      <c r="S1935" s="114">
        <f t="shared" ref="S1935:T1935" si="1938">A1935</f>
        <v>1</v>
      </c>
      <c r="T1935" s="114" t="str">
        <f t="shared" si="1938"/>
        <v/>
      </c>
      <c r="U1935" s="86" t="str">
        <f t="shared" si="3"/>
        <v>0</v>
      </c>
      <c r="V1935" s="86" t="str">
        <f t="shared" si="4"/>
        <v> </v>
      </c>
      <c r="W1935" s="86"/>
      <c r="X1935" s="86"/>
    </row>
    <row r="1936">
      <c r="A1936" s="192">
        <v>1.0</v>
      </c>
      <c r="B1936" s="193"/>
      <c r="C1936" s="194"/>
      <c r="D1936" s="195" t="str">
        <f>IFERROR(__xludf.DUMMYFUNCTION("ARRAYFORMULA(LET( converted, SUBSTITUTE( SUBSTITUTE( SUBSTITUTE( SUBSTITUTE( SUBSTITUTE( SUBSTITUTE( SUBSTITUTE( SUBSTITUTE( SUBSTITUTE( SUBSTITUTE( C1936, ""۰"", ""0""), ""۱"", ""1""), ""۲"", ""2""), ""۳"", ""3""), ""۴"", ""4""), ""۵"", ""5""), ""۶"", """&amp;"6""), ""۷"", ""7""), ""۸"", ""8""), ""۹"", ""9""), IF(LEFT(converted,3)=""+98"", ""0"" &amp; RIGHT(converted, LEN(converted)-3), IF(LEFT(converted,2)=""98"", ""0"" &amp; RIGHT(converted, LEN(converted)-2), IF(LEFT(converted,1)&lt;&gt;""0"", ""0"" &amp; converted, REGEXREPL"&amp;"ACE(converted , ""\s"", """")) ) ) ) )"),"0")</f>
        <v>0</v>
      </c>
      <c r="E1936" s="196"/>
      <c r="F1936" s="221"/>
      <c r="G1936" s="193"/>
      <c r="H1936" s="193"/>
      <c r="I1936" s="194"/>
      <c r="J1936" s="194"/>
      <c r="K1936" s="193"/>
      <c r="L1936" s="193"/>
      <c r="M1936" s="193"/>
      <c r="N1936" s="193"/>
      <c r="O1936" s="193"/>
      <c r="P1936" s="193"/>
      <c r="Q1936" s="200"/>
      <c r="R1936" s="86"/>
      <c r="S1936" s="114">
        <f t="shared" ref="S1936:T1936" si="1939">A1936</f>
        <v>1</v>
      </c>
      <c r="T1936" s="114" t="str">
        <f t="shared" si="1939"/>
        <v/>
      </c>
      <c r="U1936" s="86" t="str">
        <f t="shared" si="3"/>
        <v>0</v>
      </c>
      <c r="V1936" s="86" t="str">
        <f t="shared" si="4"/>
        <v> </v>
      </c>
      <c r="W1936" s="86"/>
      <c r="X1936" s="86"/>
    </row>
    <row r="1937">
      <c r="A1937" s="201">
        <v>1.0</v>
      </c>
      <c r="B1937" s="202"/>
      <c r="C1937" s="203"/>
      <c r="D1937" s="204" t="str">
        <f>IFERROR(__xludf.DUMMYFUNCTION("ARRAYFORMULA(LET( converted, SUBSTITUTE( SUBSTITUTE( SUBSTITUTE( SUBSTITUTE( SUBSTITUTE( SUBSTITUTE( SUBSTITUTE( SUBSTITUTE( SUBSTITUTE( SUBSTITUTE( C1937, ""۰"", ""0""), ""۱"", ""1""), ""۲"", ""2""), ""۳"", ""3""), ""۴"", ""4""), ""۵"", ""5""), ""۶"", """&amp;"6""), ""۷"", ""7""), ""۸"", ""8""), ""۹"", ""9""), IF(LEFT(converted,3)=""+98"", ""0"" &amp; RIGHT(converted, LEN(converted)-3), IF(LEFT(converted,2)=""98"", ""0"" &amp; RIGHT(converted, LEN(converted)-2), IF(LEFT(converted,1)&lt;&gt;""0"", ""0"" &amp; converted, REGEXREPL"&amp;"ACE(converted , ""\s"", """")) ) ) ) )"),"0")</f>
        <v>0</v>
      </c>
      <c r="E1937" s="205"/>
      <c r="F1937" s="214"/>
      <c r="G1937" s="202"/>
      <c r="H1937" s="202"/>
      <c r="I1937" s="203"/>
      <c r="J1937" s="203"/>
      <c r="K1937" s="202"/>
      <c r="L1937" s="202"/>
      <c r="M1937" s="202"/>
      <c r="N1937" s="202"/>
      <c r="O1937" s="202"/>
      <c r="P1937" s="202"/>
      <c r="Q1937" s="208"/>
      <c r="R1937" s="86"/>
      <c r="S1937" s="114">
        <f t="shared" ref="S1937:T1937" si="1940">A1937</f>
        <v>1</v>
      </c>
      <c r="T1937" s="114" t="str">
        <f t="shared" si="1940"/>
        <v/>
      </c>
      <c r="U1937" s="86" t="str">
        <f t="shared" si="3"/>
        <v>0</v>
      </c>
      <c r="V1937" s="86" t="str">
        <f t="shared" si="4"/>
        <v> </v>
      </c>
      <c r="W1937" s="86"/>
      <c r="X1937" s="86"/>
    </row>
    <row r="1938">
      <c r="A1938" s="192">
        <v>1.0</v>
      </c>
      <c r="B1938" s="193"/>
      <c r="C1938" s="194"/>
      <c r="D1938" s="195" t="str">
        <f>IFERROR(__xludf.DUMMYFUNCTION("ARRAYFORMULA(LET( converted, SUBSTITUTE( SUBSTITUTE( SUBSTITUTE( SUBSTITUTE( SUBSTITUTE( SUBSTITUTE( SUBSTITUTE( SUBSTITUTE( SUBSTITUTE( SUBSTITUTE( C1938, ""۰"", ""0""), ""۱"", ""1""), ""۲"", ""2""), ""۳"", ""3""), ""۴"", ""4""), ""۵"", ""5""), ""۶"", """&amp;"6""), ""۷"", ""7""), ""۸"", ""8""), ""۹"", ""9""), IF(LEFT(converted,3)=""+98"", ""0"" &amp; RIGHT(converted, LEN(converted)-3), IF(LEFT(converted,2)=""98"", ""0"" &amp; RIGHT(converted, LEN(converted)-2), IF(LEFT(converted,1)&lt;&gt;""0"", ""0"" &amp; converted, REGEXREPL"&amp;"ACE(converted , ""\s"", """")) ) ) ) )"),"0")</f>
        <v>0</v>
      </c>
      <c r="E1938" s="196"/>
      <c r="F1938" s="221"/>
      <c r="G1938" s="193"/>
      <c r="H1938" s="193"/>
      <c r="I1938" s="194"/>
      <c r="J1938" s="194"/>
      <c r="K1938" s="193"/>
      <c r="L1938" s="193"/>
      <c r="M1938" s="193"/>
      <c r="N1938" s="193"/>
      <c r="O1938" s="193"/>
      <c r="P1938" s="193"/>
      <c r="Q1938" s="200"/>
      <c r="R1938" s="86"/>
      <c r="S1938" s="114">
        <f t="shared" ref="S1938:T1938" si="1941">A1938</f>
        <v>1</v>
      </c>
      <c r="T1938" s="114" t="str">
        <f t="shared" si="1941"/>
        <v/>
      </c>
      <c r="U1938" s="86" t="str">
        <f t="shared" si="3"/>
        <v>0</v>
      </c>
      <c r="V1938" s="86" t="str">
        <f t="shared" si="4"/>
        <v> </v>
      </c>
      <c r="W1938" s="86"/>
      <c r="X1938" s="86"/>
    </row>
    <row r="1939">
      <c r="A1939" s="201">
        <v>1.0</v>
      </c>
      <c r="B1939" s="202"/>
      <c r="C1939" s="203"/>
      <c r="D1939" s="204" t="str">
        <f>IFERROR(__xludf.DUMMYFUNCTION("ARRAYFORMULA(LET( converted, SUBSTITUTE( SUBSTITUTE( SUBSTITUTE( SUBSTITUTE( SUBSTITUTE( SUBSTITUTE( SUBSTITUTE( SUBSTITUTE( SUBSTITUTE( SUBSTITUTE( C1939, ""۰"", ""0""), ""۱"", ""1""), ""۲"", ""2""), ""۳"", ""3""), ""۴"", ""4""), ""۵"", ""5""), ""۶"", """&amp;"6""), ""۷"", ""7""), ""۸"", ""8""), ""۹"", ""9""), IF(LEFT(converted,3)=""+98"", ""0"" &amp; RIGHT(converted, LEN(converted)-3), IF(LEFT(converted,2)=""98"", ""0"" &amp; RIGHT(converted, LEN(converted)-2), IF(LEFT(converted,1)&lt;&gt;""0"", ""0"" &amp; converted, REGEXREPL"&amp;"ACE(converted , ""\s"", """")) ) ) ) )"),"0")</f>
        <v>0</v>
      </c>
      <c r="E1939" s="205"/>
      <c r="F1939" s="214"/>
      <c r="G1939" s="202"/>
      <c r="H1939" s="202"/>
      <c r="I1939" s="203"/>
      <c r="J1939" s="203"/>
      <c r="K1939" s="202"/>
      <c r="L1939" s="202"/>
      <c r="M1939" s="202"/>
      <c r="N1939" s="202"/>
      <c r="O1939" s="202"/>
      <c r="P1939" s="202"/>
      <c r="Q1939" s="208"/>
      <c r="R1939" s="86"/>
      <c r="S1939" s="114">
        <f t="shared" ref="S1939:T1939" si="1942">A1939</f>
        <v>1</v>
      </c>
      <c r="T1939" s="114" t="str">
        <f t="shared" si="1942"/>
        <v/>
      </c>
      <c r="U1939" s="86" t="str">
        <f t="shared" si="3"/>
        <v>0</v>
      </c>
      <c r="V1939" s="86" t="str">
        <f t="shared" si="4"/>
        <v> </v>
      </c>
      <c r="W1939" s="86"/>
      <c r="X1939" s="86"/>
    </row>
    <row r="1940">
      <c r="A1940" s="192">
        <v>1.0</v>
      </c>
      <c r="B1940" s="193"/>
      <c r="C1940" s="194"/>
      <c r="D1940" s="195" t="str">
        <f>IFERROR(__xludf.DUMMYFUNCTION("ARRAYFORMULA(LET( converted, SUBSTITUTE( SUBSTITUTE( SUBSTITUTE( SUBSTITUTE( SUBSTITUTE( SUBSTITUTE( SUBSTITUTE( SUBSTITUTE( SUBSTITUTE( SUBSTITUTE( C1940, ""۰"", ""0""), ""۱"", ""1""), ""۲"", ""2""), ""۳"", ""3""), ""۴"", ""4""), ""۵"", ""5""), ""۶"", """&amp;"6""), ""۷"", ""7""), ""۸"", ""8""), ""۹"", ""9""), IF(LEFT(converted,3)=""+98"", ""0"" &amp; RIGHT(converted, LEN(converted)-3), IF(LEFT(converted,2)=""98"", ""0"" &amp; RIGHT(converted, LEN(converted)-2), IF(LEFT(converted,1)&lt;&gt;""0"", ""0"" &amp; converted, REGEXREPL"&amp;"ACE(converted , ""\s"", """")) ) ) ) )"),"0")</f>
        <v>0</v>
      </c>
      <c r="E1940" s="196"/>
      <c r="F1940" s="221"/>
      <c r="G1940" s="193"/>
      <c r="H1940" s="193"/>
      <c r="I1940" s="194"/>
      <c r="J1940" s="194"/>
      <c r="K1940" s="193"/>
      <c r="L1940" s="193"/>
      <c r="M1940" s="193"/>
      <c r="N1940" s="193"/>
      <c r="O1940" s="193"/>
      <c r="P1940" s="193"/>
      <c r="Q1940" s="200"/>
      <c r="R1940" s="86"/>
      <c r="S1940" s="114">
        <f t="shared" ref="S1940:T1940" si="1943">A1940</f>
        <v>1</v>
      </c>
      <c r="T1940" s="114" t="str">
        <f t="shared" si="1943"/>
        <v/>
      </c>
      <c r="U1940" s="86" t="str">
        <f t="shared" si="3"/>
        <v>0</v>
      </c>
      <c r="V1940" s="86" t="str">
        <f t="shared" si="4"/>
        <v> </v>
      </c>
      <c r="W1940" s="86"/>
      <c r="X1940" s="86"/>
    </row>
    <row r="1941">
      <c r="A1941" s="201">
        <v>1.0</v>
      </c>
      <c r="B1941" s="202"/>
      <c r="C1941" s="203"/>
      <c r="D1941" s="204" t="str">
        <f>IFERROR(__xludf.DUMMYFUNCTION("ARRAYFORMULA(LET( converted, SUBSTITUTE( SUBSTITUTE( SUBSTITUTE( SUBSTITUTE( SUBSTITUTE( SUBSTITUTE( SUBSTITUTE( SUBSTITUTE( SUBSTITUTE( SUBSTITUTE( C1941, ""۰"", ""0""), ""۱"", ""1""), ""۲"", ""2""), ""۳"", ""3""), ""۴"", ""4""), ""۵"", ""5""), ""۶"", """&amp;"6""), ""۷"", ""7""), ""۸"", ""8""), ""۹"", ""9""), IF(LEFT(converted,3)=""+98"", ""0"" &amp; RIGHT(converted, LEN(converted)-3), IF(LEFT(converted,2)=""98"", ""0"" &amp; RIGHT(converted, LEN(converted)-2), IF(LEFT(converted,1)&lt;&gt;""0"", ""0"" &amp; converted, REGEXREPL"&amp;"ACE(converted , ""\s"", """")) ) ) ) )"),"0")</f>
        <v>0</v>
      </c>
      <c r="E1941" s="205"/>
      <c r="F1941" s="214"/>
      <c r="G1941" s="202"/>
      <c r="H1941" s="202"/>
      <c r="I1941" s="203"/>
      <c r="J1941" s="203"/>
      <c r="K1941" s="202"/>
      <c r="L1941" s="202"/>
      <c r="M1941" s="202"/>
      <c r="N1941" s="202"/>
      <c r="O1941" s="202"/>
      <c r="P1941" s="202"/>
      <c r="Q1941" s="208"/>
      <c r="R1941" s="86"/>
      <c r="S1941" s="114">
        <f t="shared" ref="S1941:T1941" si="1944">A1941</f>
        <v>1</v>
      </c>
      <c r="T1941" s="114" t="str">
        <f t="shared" si="1944"/>
        <v/>
      </c>
      <c r="U1941" s="86" t="str">
        <f t="shared" si="3"/>
        <v>0</v>
      </c>
      <c r="V1941" s="86" t="str">
        <f t="shared" si="4"/>
        <v> </v>
      </c>
      <c r="W1941" s="86"/>
      <c r="X1941" s="86"/>
    </row>
    <row r="1942">
      <c r="A1942" s="192">
        <v>1.0</v>
      </c>
      <c r="B1942" s="193"/>
      <c r="C1942" s="194"/>
      <c r="D1942" s="195" t="str">
        <f>IFERROR(__xludf.DUMMYFUNCTION("ARRAYFORMULA(LET( converted, SUBSTITUTE( SUBSTITUTE( SUBSTITUTE( SUBSTITUTE( SUBSTITUTE( SUBSTITUTE( SUBSTITUTE( SUBSTITUTE( SUBSTITUTE( SUBSTITUTE( C1942, ""۰"", ""0""), ""۱"", ""1""), ""۲"", ""2""), ""۳"", ""3""), ""۴"", ""4""), ""۵"", ""5""), ""۶"", """&amp;"6""), ""۷"", ""7""), ""۸"", ""8""), ""۹"", ""9""), IF(LEFT(converted,3)=""+98"", ""0"" &amp; RIGHT(converted, LEN(converted)-3), IF(LEFT(converted,2)=""98"", ""0"" &amp; RIGHT(converted, LEN(converted)-2), IF(LEFT(converted,1)&lt;&gt;""0"", ""0"" &amp; converted, REGEXREPL"&amp;"ACE(converted , ""\s"", """")) ) ) ) )"),"0")</f>
        <v>0</v>
      </c>
      <c r="E1942" s="196"/>
      <c r="F1942" s="221"/>
      <c r="G1942" s="193"/>
      <c r="H1942" s="193"/>
      <c r="I1942" s="194"/>
      <c r="J1942" s="194"/>
      <c r="K1942" s="193"/>
      <c r="L1942" s="193"/>
      <c r="M1942" s="193"/>
      <c r="N1942" s="193"/>
      <c r="O1942" s="193"/>
      <c r="P1942" s="193"/>
      <c r="Q1942" s="200"/>
      <c r="R1942" s="86"/>
      <c r="S1942" s="114">
        <f t="shared" ref="S1942:T1942" si="1945">A1942</f>
        <v>1</v>
      </c>
      <c r="T1942" s="114" t="str">
        <f t="shared" si="1945"/>
        <v/>
      </c>
      <c r="U1942" s="86" t="str">
        <f t="shared" si="3"/>
        <v>0</v>
      </c>
      <c r="V1942" s="86" t="str">
        <f t="shared" si="4"/>
        <v> </v>
      </c>
      <c r="W1942" s="86"/>
      <c r="X1942" s="86"/>
    </row>
    <row r="1943">
      <c r="A1943" s="201">
        <v>1.0</v>
      </c>
      <c r="B1943" s="202"/>
      <c r="C1943" s="203"/>
      <c r="D1943" s="204" t="str">
        <f>IFERROR(__xludf.DUMMYFUNCTION("ARRAYFORMULA(LET( converted, SUBSTITUTE( SUBSTITUTE( SUBSTITUTE( SUBSTITUTE( SUBSTITUTE( SUBSTITUTE( SUBSTITUTE( SUBSTITUTE( SUBSTITUTE( SUBSTITUTE( C1943, ""۰"", ""0""), ""۱"", ""1""), ""۲"", ""2""), ""۳"", ""3""), ""۴"", ""4""), ""۵"", ""5""), ""۶"", """&amp;"6""), ""۷"", ""7""), ""۸"", ""8""), ""۹"", ""9""), IF(LEFT(converted,3)=""+98"", ""0"" &amp; RIGHT(converted, LEN(converted)-3), IF(LEFT(converted,2)=""98"", ""0"" &amp; RIGHT(converted, LEN(converted)-2), IF(LEFT(converted,1)&lt;&gt;""0"", ""0"" &amp; converted, REGEXREPL"&amp;"ACE(converted , ""\s"", """")) ) ) ) )"),"0")</f>
        <v>0</v>
      </c>
      <c r="E1943" s="205"/>
      <c r="F1943" s="214"/>
      <c r="G1943" s="202"/>
      <c r="H1943" s="202"/>
      <c r="I1943" s="203"/>
      <c r="J1943" s="203"/>
      <c r="K1943" s="202"/>
      <c r="L1943" s="202"/>
      <c r="M1943" s="202"/>
      <c r="N1943" s="202"/>
      <c r="O1943" s="202"/>
      <c r="P1943" s="202"/>
      <c r="Q1943" s="208"/>
      <c r="R1943" s="86"/>
      <c r="S1943" s="114">
        <f t="shared" ref="S1943:T1943" si="1946">A1943</f>
        <v>1</v>
      </c>
      <c r="T1943" s="114" t="str">
        <f t="shared" si="1946"/>
        <v/>
      </c>
      <c r="U1943" s="86" t="str">
        <f t="shared" si="3"/>
        <v>0</v>
      </c>
      <c r="V1943" s="86" t="str">
        <f t="shared" si="4"/>
        <v> </v>
      </c>
      <c r="W1943" s="86"/>
      <c r="X1943" s="86"/>
    </row>
    <row r="1944">
      <c r="A1944" s="192">
        <v>1.0</v>
      </c>
      <c r="B1944" s="193"/>
      <c r="C1944" s="194"/>
      <c r="D1944" s="195" t="str">
        <f>IFERROR(__xludf.DUMMYFUNCTION("ARRAYFORMULA(LET( converted, SUBSTITUTE( SUBSTITUTE( SUBSTITUTE( SUBSTITUTE( SUBSTITUTE( SUBSTITUTE( SUBSTITUTE( SUBSTITUTE( SUBSTITUTE( SUBSTITUTE( C1944, ""۰"", ""0""), ""۱"", ""1""), ""۲"", ""2""), ""۳"", ""3""), ""۴"", ""4""), ""۵"", ""5""), ""۶"", """&amp;"6""), ""۷"", ""7""), ""۸"", ""8""), ""۹"", ""9""), IF(LEFT(converted,3)=""+98"", ""0"" &amp; RIGHT(converted, LEN(converted)-3), IF(LEFT(converted,2)=""98"", ""0"" &amp; RIGHT(converted, LEN(converted)-2), IF(LEFT(converted,1)&lt;&gt;""0"", ""0"" &amp; converted, REGEXREPL"&amp;"ACE(converted , ""\s"", """")) ) ) ) )"),"0")</f>
        <v>0</v>
      </c>
      <c r="E1944" s="196"/>
      <c r="F1944" s="221"/>
      <c r="G1944" s="193"/>
      <c r="H1944" s="193"/>
      <c r="I1944" s="194"/>
      <c r="J1944" s="194"/>
      <c r="K1944" s="193"/>
      <c r="L1944" s="193"/>
      <c r="M1944" s="193"/>
      <c r="N1944" s="193"/>
      <c r="O1944" s="193"/>
      <c r="P1944" s="193"/>
      <c r="Q1944" s="200"/>
      <c r="R1944" s="86"/>
      <c r="S1944" s="114">
        <f t="shared" ref="S1944:T1944" si="1947">A1944</f>
        <v>1</v>
      </c>
      <c r="T1944" s="114" t="str">
        <f t="shared" si="1947"/>
        <v/>
      </c>
      <c r="U1944" s="86" t="str">
        <f t="shared" si="3"/>
        <v>0</v>
      </c>
      <c r="V1944" s="86" t="str">
        <f t="shared" si="4"/>
        <v> </v>
      </c>
      <c r="W1944" s="86"/>
      <c r="X1944" s="86"/>
    </row>
    <row r="1945">
      <c r="A1945" s="201">
        <v>1.0</v>
      </c>
      <c r="B1945" s="202"/>
      <c r="C1945" s="203"/>
      <c r="D1945" s="204" t="str">
        <f>IFERROR(__xludf.DUMMYFUNCTION("ARRAYFORMULA(LET( converted, SUBSTITUTE( SUBSTITUTE( SUBSTITUTE( SUBSTITUTE( SUBSTITUTE( SUBSTITUTE( SUBSTITUTE( SUBSTITUTE( SUBSTITUTE( SUBSTITUTE( C1945, ""۰"", ""0""), ""۱"", ""1""), ""۲"", ""2""), ""۳"", ""3""), ""۴"", ""4""), ""۵"", ""5""), ""۶"", """&amp;"6""), ""۷"", ""7""), ""۸"", ""8""), ""۹"", ""9""), IF(LEFT(converted,3)=""+98"", ""0"" &amp; RIGHT(converted, LEN(converted)-3), IF(LEFT(converted,2)=""98"", ""0"" &amp; RIGHT(converted, LEN(converted)-2), IF(LEFT(converted,1)&lt;&gt;""0"", ""0"" &amp; converted, REGEXREPL"&amp;"ACE(converted , ""\s"", """")) ) ) ) )"),"0")</f>
        <v>0</v>
      </c>
      <c r="E1945" s="205"/>
      <c r="F1945" s="214"/>
      <c r="G1945" s="202"/>
      <c r="H1945" s="202"/>
      <c r="I1945" s="203"/>
      <c r="J1945" s="203"/>
      <c r="K1945" s="202"/>
      <c r="L1945" s="202"/>
      <c r="M1945" s="202"/>
      <c r="N1945" s="202"/>
      <c r="O1945" s="202"/>
      <c r="P1945" s="202"/>
      <c r="Q1945" s="208"/>
      <c r="R1945" s="86"/>
      <c r="S1945" s="114">
        <f t="shared" ref="S1945:T1945" si="1948">A1945</f>
        <v>1</v>
      </c>
      <c r="T1945" s="114" t="str">
        <f t="shared" si="1948"/>
        <v/>
      </c>
      <c r="U1945" s="86" t="str">
        <f t="shared" si="3"/>
        <v>0</v>
      </c>
      <c r="V1945" s="86" t="str">
        <f t="shared" si="4"/>
        <v> </v>
      </c>
      <c r="W1945" s="86"/>
      <c r="X1945" s="86"/>
    </row>
    <row r="1946">
      <c r="A1946" s="192">
        <v>1.0</v>
      </c>
      <c r="B1946" s="193"/>
      <c r="C1946" s="194"/>
      <c r="D1946" s="195" t="str">
        <f>IFERROR(__xludf.DUMMYFUNCTION("ARRAYFORMULA(LET( converted, SUBSTITUTE( SUBSTITUTE( SUBSTITUTE( SUBSTITUTE( SUBSTITUTE( SUBSTITUTE( SUBSTITUTE( SUBSTITUTE( SUBSTITUTE( SUBSTITUTE( C1946, ""۰"", ""0""), ""۱"", ""1""), ""۲"", ""2""), ""۳"", ""3""), ""۴"", ""4""), ""۵"", ""5""), ""۶"", """&amp;"6""), ""۷"", ""7""), ""۸"", ""8""), ""۹"", ""9""), IF(LEFT(converted,3)=""+98"", ""0"" &amp; RIGHT(converted, LEN(converted)-3), IF(LEFT(converted,2)=""98"", ""0"" &amp; RIGHT(converted, LEN(converted)-2), IF(LEFT(converted,1)&lt;&gt;""0"", ""0"" &amp; converted, REGEXREPL"&amp;"ACE(converted , ""\s"", """")) ) ) ) )"),"0")</f>
        <v>0</v>
      </c>
      <c r="E1946" s="196"/>
      <c r="F1946" s="221"/>
      <c r="G1946" s="193"/>
      <c r="H1946" s="193"/>
      <c r="I1946" s="194"/>
      <c r="J1946" s="194"/>
      <c r="K1946" s="193"/>
      <c r="L1946" s="193"/>
      <c r="M1946" s="193"/>
      <c r="N1946" s="193"/>
      <c r="O1946" s="193"/>
      <c r="P1946" s="193"/>
      <c r="Q1946" s="200"/>
      <c r="R1946" s="86"/>
      <c r="S1946" s="114">
        <f t="shared" ref="S1946:T1946" si="1949">A1946</f>
        <v>1</v>
      </c>
      <c r="T1946" s="114" t="str">
        <f t="shared" si="1949"/>
        <v/>
      </c>
      <c r="U1946" s="86" t="str">
        <f t="shared" si="3"/>
        <v>0</v>
      </c>
      <c r="V1946" s="86" t="str">
        <f t="shared" si="4"/>
        <v> </v>
      </c>
      <c r="W1946" s="86"/>
      <c r="X1946" s="86"/>
    </row>
    <row r="1947">
      <c r="A1947" s="201">
        <v>1.0</v>
      </c>
      <c r="B1947" s="202"/>
      <c r="C1947" s="203"/>
      <c r="D1947" s="204" t="str">
        <f>IFERROR(__xludf.DUMMYFUNCTION("ARRAYFORMULA(LET( converted, SUBSTITUTE( SUBSTITUTE( SUBSTITUTE( SUBSTITUTE( SUBSTITUTE( SUBSTITUTE( SUBSTITUTE( SUBSTITUTE( SUBSTITUTE( SUBSTITUTE( C1947, ""۰"", ""0""), ""۱"", ""1""), ""۲"", ""2""), ""۳"", ""3""), ""۴"", ""4""), ""۵"", ""5""), ""۶"", """&amp;"6""), ""۷"", ""7""), ""۸"", ""8""), ""۹"", ""9""), IF(LEFT(converted,3)=""+98"", ""0"" &amp; RIGHT(converted, LEN(converted)-3), IF(LEFT(converted,2)=""98"", ""0"" &amp; RIGHT(converted, LEN(converted)-2), IF(LEFT(converted,1)&lt;&gt;""0"", ""0"" &amp; converted, REGEXREPL"&amp;"ACE(converted , ""\s"", """")) ) ) ) )"),"0")</f>
        <v>0</v>
      </c>
      <c r="E1947" s="205"/>
      <c r="F1947" s="214"/>
      <c r="G1947" s="202"/>
      <c r="H1947" s="202"/>
      <c r="I1947" s="203"/>
      <c r="J1947" s="203"/>
      <c r="K1947" s="202"/>
      <c r="L1947" s="202"/>
      <c r="M1947" s="202"/>
      <c r="N1947" s="202"/>
      <c r="O1947" s="202"/>
      <c r="P1947" s="202"/>
      <c r="Q1947" s="208"/>
      <c r="R1947" s="86"/>
      <c r="S1947" s="114">
        <f t="shared" ref="S1947:T1947" si="1950">A1947</f>
        <v>1</v>
      </c>
      <c r="T1947" s="114" t="str">
        <f t="shared" si="1950"/>
        <v/>
      </c>
      <c r="U1947" s="86" t="str">
        <f t="shared" si="3"/>
        <v>0</v>
      </c>
      <c r="V1947" s="86" t="str">
        <f t="shared" si="4"/>
        <v> </v>
      </c>
      <c r="W1947" s="86"/>
      <c r="X1947" s="86"/>
    </row>
    <row r="1948">
      <c r="A1948" s="192">
        <v>1.0</v>
      </c>
      <c r="B1948" s="193"/>
      <c r="C1948" s="194"/>
      <c r="D1948" s="195" t="str">
        <f>IFERROR(__xludf.DUMMYFUNCTION("ARRAYFORMULA(LET( converted, SUBSTITUTE( SUBSTITUTE( SUBSTITUTE( SUBSTITUTE( SUBSTITUTE( SUBSTITUTE( SUBSTITUTE( SUBSTITUTE( SUBSTITUTE( SUBSTITUTE( C1948, ""۰"", ""0""), ""۱"", ""1""), ""۲"", ""2""), ""۳"", ""3""), ""۴"", ""4""), ""۵"", ""5""), ""۶"", """&amp;"6""), ""۷"", ""7""), ""۸"", ""8""), ""۹"", ""9""), IF(LEFT(converted,3)=""+98"", ""0"" &amp; RIGHT(converted, LEN(converted)-3), IF(LEFT(converted,2)=""98"", ""0"" &amp; RIGHT(converted, LEN(converted)-2), IF(LEFT(converted,1)&lt;&gt;""0"", ""0"" &amp; converted, REGEXREPL"&amp;"ACE(converted , ""\s"", """")) ) ) ) )"),"0")</f>
        <v>0</v>
      </c>
      <c r="E1948" s="196"/>
      <c r="F1948" s="221"/>
      <c r="G1948" s="193"/>
      <c r="H1948" s="193"/>
      <c r="I1948" s="194"/>
      <c r="J1948" s="194"/>
      <c r="K1948" s="193"/>
      <c r="L1948" s="193"/>
      <c r="M1948" s="193"/>
      <c r="N1948" s="193"/>
      <c r="O1948" s="193"/>
      <c r="P1948" s="193"/>
      <c r="Q1948" s="200"/>
      <c r="R1948" s="86"/>
      <c r="S1948" s="114">
        <f t="shared" ref="S1948:T1948" si="1951">A1948</f>
        <v>1</v>
      </c>
      <c r="T1948" s="114" t="str">
        <f t="shared" si="1951"/>
        <v/>
      </c>
      <c r="U1948" s="86" t="str">
        <f t="shared" si="3"/>
        <v>0</v>
      </c>
      <c r="V1948" s="86" t="str">
        <f t="shared" si="4"/>
        <v> </v>
      </c>
      <c r="W1948" s="86"/>
      <c r="X1948" s="86"/>
    </row>
    <row r="1949">
      <c r="A1949" s="201">
        <v>1.0</v>
      </c>
      <c r="B1949" s="202"/>
      <c r="C1949" s="203"/>
      <c r="D1949" s="204" t="str">
        <f>IFERROR(__xludf.DUMMYFUNCTION("ARRAYFORMULA(LET( converted, SUBSTITUTE( SUBSTITUTE( SUBSTITUTE( SUBSTITUTE( SUBSTITUTE( SUBSTITUTE( SUBSTITUTE( SUBSTITUTE( SUBSTITUTE( SUBSTITUTE( C1949, ""۰"", ""0""), ""۱"", ""1""), ""۲"", ""2""), ""۳"", ""3""), ""۴"", ""4""), ""۵"", ""5""), ""۶"", """&amp;"6""), ""۷"", ""7""), ""۸"", ""8""), ""۹"", ""9""), IF(LEFT(converted,3)=""+98"", ""0"" &amp; RIGHT(converted, LEN(converted)-3), IF(LEFT(converted,2)=""98"", ""0"" &amp; RIGHT(converted, LEN(converted)-2), IF(LEFT(converted,1)&lt;&gt;""0"", ""0"" &amp; converted, REGEXREPL"&amp;"ACE(converted , ""\s"", """")) ) ) ) )"),"0")</f>
        <v>0</v>
      </c>
      <c r="E1949" s="205"/>
      <c r="F1949" s="214"/>
      <c r="G1949" s="202"/>
      <c r="H1949" s="202"/>
      <c r="I1949" s="203"/>
      <c r="J1949" s="203"/>
      <c r="K1949" s="202"/>
      <c r="L1949" s="202"/>
      <c r="M1949" s="202"/>
      <c r="N1949" s="202"/>
      <c r="O1949" s="202"/>
      <c r="P1949" s="202"/>
      <c r="Q1949" s="208"/>
      <c r="R1949" s="86"/>
      <c r="S1949" s="114">
        <f t="shared" ref="S1949:T1949" si="1952">A1949</f>
        <v>1</v>
      </c>
      <c r="T1949" s="114" t="str">
        <f t="shared" si="1952"/>
        <v/>
      </c>
      <c r="U1949" s="86" t="str">
        <f t="shared" si="3"/>
        <v>0</v>
      </c>
      <c r="V1949" s="86" t="str">
        <f t="shared" si="4"/>
        <v> </v>
      </c>
      <c r="W1949" s="86"/>
      <c r="X1949" s="86"/>
    </row>
    <row r="1950">
      <c r="A1950" s="192">
        <v>1.0</v>
      </c>
      <c r="B1950" s="193"/>
      <c r="C1950" s="194"/>
      <c r="D1950" s="195" t="str">
        <f>IFERROR(__xludf.DUMMYFUNCTION("ARRAYFORMULA(LET( converted, SUBSTITUTE( SUBSTITUTE( SUBSTITUTE( SUBSTITUTE( SUBSTITUTE( SUBSTITUTE( SUBSTITUTE( SUBSTITUTE( SUBSTITUTE( SUBSTITUTE( C1950, ""۰"", ""0""), ""۱"", ""1""), ""۲"", ""2""), ""۳"", ""3""), ""۴"", ""4""), ""۵"", ""5""), ""۶"", """&amp;"6""), ""۷"", ""7""), ""۸"", ""8""), ""۹"", ""9""), IF(LEFT(converted,3)=""+98"", ""0"" &amp; RIGHT(converted, LEN(converted)-3), IF(LEFT(converted,2)=""98"", ""0"" &amp; RIGHT(converted, LEN(converted)-2), IF(LEFT(converted,1)&lt;&gt;""0"", ""0"" &amp; converted, REGEXREPL"&amp;"ACE(converted , ""\s"", """")) ) ) ) )"),"0")</f>
        <v>0</v>
      </c>
      <c r="E1950" s="196"/>
      <c r="F1950" s="221"/>
      <c r="G1950" s="193"/>
      <c r="H1950" s="193"/>
      <c r="I1950" s="194"/>
      <c r="J1950" s="194"/>
      <c r="K1950" s="193"/>
      <c r="L1950" s="193"/>
      <c r="M1950" s="193"/>
      <c r="N1950" s="193"/>
      <c r="O1950" s="193"/>
      <c r="P1950" s="193"/>
      <c r="Q1950" s="200"/>
      <c r="R1950" s="86"/>
      <c r="S1950" s="114">
        <f t="shared" ref="S1950:T1950" si="1953">A1950</f>
        <v>1</v>
      </c>
      <c r="T1950" s="114" t="str">
        <f t="shared" si="1953"/>
        <v/>
      </c>
      <c r="U1950" s="86" t="str">
        <f t="shared" si="3"/>
        <v>0</v>
      </c>
      <c r="V1950" s="86" t="str">
        <f t="shared" si="4"/>
        <v> </v>
      </c>
      <c r="W1950" s="86"/>
      <c r="X1950" s="86"/>
    </row>
    <row r="1951">
      <c r="A1951" s="201">
        <v>1.0</v>
      </c>
      <c r="B1951" s="202"/>
      <c r="C1951" s="203"/>
      <c r="D1951" s="204" t="str">
        <f>IFERROR(__xludf.DUMMYFUNCTION("ARRAYFORMULA(LET( converted, SUBSTITUTE( SUBSTITUTE( SUBSTITUTE( SUBSTITUTE( SUBSTITUTE( SUBSTITUTE( SUBSTITUTE( SUBSTITUTE( SUBSTITUTE( SUBSTITUTE( C1951, ""۰"", ""0""), ""۱"", ""1""), ""۲"", ""2""), ""۳"", ""3""), ""۴"", ""4""), ""۵"", ""5""), ""۶"", """&amp;"6""), ""۷"", ""7""), ""۸"", ""8""), ""۹"", ""9""), IF(LEFT(converted,3)=""+98"", ""0"" &amp; RIGHT(converted, LEN(converted)-3), IF(LEFT(converted,2)=""98"", ""0"" &amp; RIGHT(converted, LEN(converted)-2), IF(LEFT(converted,1)&lt;&gt;""0"", ""0"" &amp; converted, REGEXREPL"&amp;"ACE(converted , ""\s"", """")) ) ) ) )"),"0")</f>
        <v>0</v>
      </c>
      <c r="E1951" s="205"/>
      <c r="F1951" s="214"/>
      <c r="G1951" s="202"/>
      <c r="H1951" s="202"/>
      <c r="I1951" s="203"/>
      <c r="J1951" s="203"/>
      <c r="K1951" s="202"/>
      <c r="L1951" s="202"/>
      <c r="M1951" s="202"/>
      <c r="N1951" s="202"/>
      <c r="O1951" s="202"/>
      <c r="P1951" s="202"/>
      <c r="Q1951" s="208"/>
      <c r="R1951" s="86"/>
      <c r="S1951" s="114">
        <f t="shared" ref="S1951:T1951" si="1954">A1951</f>
        <v>1</v>
      </c>
      <c r="T1951" s="114" t="str">
        <f t="shared" si="1954"/>
        <v/>
      </c>
      <c r="U1951" s="86" t="str">
        <f t="shared" si="3"/>
        <v>0</v>
      </c>
      <c r="V1951" s="86" t="str">
        <f t="shared" si="4"/>
        <v> </v>
      </c>
      <c r="W1951" s="86"/>
      <c r="X1951" s="86"/>
    </row>
    <row r="1952">
      <c r="A1952" s="192">
        <v>1.0</v>
      </c>
      <c r="B1952" s="193"/>
      <c r="C1952" s="194"/>
      <c r="D1952" s="195" t="str">
        <f>IFERROR(__xludf.DUMMYFUNCTION("ARRAYFORMULA(LET( converted, SUBSTITUTE( SUBSTITUTE( SUBSTITUTE( SUBSTITUTE( SUBSTITUTE( SUBSTITUTE( SUBSTITUTE( SUBSTITUTE( SUBSTITUTE( SUBSTITUTE( C1952, ""۰"", ""0""), ""۱"", ""1""), ""۲"", ""2""), ""۳"", ""3""), ""۴"", ""4""), ""۵"", ""5""), ""۶"", """&amp;"6""), ""۷"", ""7""), ""۸"", ""8""), ""۹"", ""9""), IF(LEFT(converted,3)=""+98"", ""0"" &amp; RIGHT(converted, LEN(converted)-3), IF(LEFT(converted,2)=""98"", ""0"" &amp; RIGHT(converted, LEN(converted)-2), IF(LEFT(converted,1)&lt;&gt;""0"", ""0"" &amp; converted, REGEXREPL"&amp;"ACE(converted , ""\s"", """")) ) ) ) )"),"0")</f>
        <v>0</v>
      </c>
      <c r="E1952" s="196"/>
      <c r="F1952" s="221"/>
      <c r="G1952" s="193"/>
      <c r="H1952" s="193"/>
      <c r="I1952" s="194"/>
      <c r="J1952" s="194"/>
      <c r="K1952" s="193"/>
      <c r="L1952" s="193"/>
      <c r="M1952" s="193"/>
      <c r="N1952" s="193"/>
      <c r="O1952" s="193"/>
      <c r="P1952" s="193"/>
      <c r="Q1952" s="200"/>
      <c r="R1952" s="86"/>
      <c r="S1952" s="114">
        <f t="shared" ref="S1952:T1952" si="1955">A1952</f>
        <v>1</v>
      </c>
      <c r="T1952" s="114" t="str">
        <f t="shared" si="1955"/>
        <v/>
      </c>
      <c r="U1952" s="86" t="str">
        <f t="shared" si="3"/>
        <v>0</v>
      </c>
      <c r="V1952" s="86" t="str">
        <f t="shared" si="4"/>
        <v> </v>
      </c>
      <c r="W1952" s="86"/>
      <c r="X1952" s="86"/>
    </row>
    <row r="1953">
      <c r="A1953" s="201">
        <v>1.0</v>
      </c>
      <c r="B1953" s="202"/>
      <c r="C1953" s="203"/>
      <c r="D1953" s="204" t="str">
        <f>IFERROR(__xludf.DUMMYFUNCTION("ARRAYFORMULA(LET( converted, SUBSTITUTE( SUBSTITUTE( SUBSTITUTE( SUBSTITUTE( SUBSTITUTE( SUBSTITUTE( SUBSTITUTE( SUBSTITUTE( SUBSTITUTE( SUBSTITUTE( C1953, ""۰"", ""0""), ""۱"", ""1""), ""۲"", ""2""), ""۳"", ""3""), ""۴"", ""4""), ""۵"", ""5""), ""۶"", """&amp;"6""), ""۷"", ""7""), ""۸"", ""8""), ""۹"", ""9""), IF(LEFT(converted,3)=""+98"", ""0"" &amp; RIGHT(converted, LEN(converted)-3), IF(LEFT(converted,2)=""98"", ""0"" &amp; RIGHT(converted, LEN(converted)-2), IF(LEFT(converted,1)&lt;&gt;""0"", ""0"" &amp; converted, REGEXREPL"&amp;"ACE(converted , ""\s"", """")) ) ) ) )"),"0")</f>
        <v>0</v>
      </c>
      <c r="E1953" s="205"/>
      <c r="F1953" s="214"/>
      <c r="G1953" s="202"/>
      <c r="H1953" s="202"/>
      <c r="I1953" s="203"/>
      <c r="J1953" s="203"/>
      <c r="K1953" s="202"/>
      <c r="L1953" s="202"/>
      <c r="M1953" s="202"/>
      <c r="N1953" s="202"/>
      <c r="O1953" s="202"/>
      <c r="P1953" s="202"/>
      <c r="Q1953" s="208"/>
      <c r="R1953" s="86"/>
      <c r="S1953" s="114">
        <f t="shared" ref="S1953:T1953" si="1956">A1953</f>
        <v>1</v>
      </c>
      <c r="T1953" s="114" t="str">
        <f t="shared" si="1956"/>
        <v/>
      </c>
      <c r="U1953" s="86" t="str">
        <f t="shared" si="3"/>
        <v>0</v>
      </c>
      <c r="V1953" s="86" t="str">
        <f t="shared" si="4"/>
        <v> </v>
      </c>
      <c r="W1953" s="86"/>
      <c r="X1953" s="86"/>
    </row>
    <row r="1954">
      <c r="A1954" s="192">
        <v>1.0</v>
      </c>
      <c r="B1954" s="193"/>
      <c r="C1954" s="194"/>
      <c r="D1954" s="195" t="str">
        <f>IFERROR(__xludf.DUMMYFUNCTION("ARRAYFORMULA(LET( converted, SUBSTITUTE( SUBSTITUTE( SUBSTITUTE( SUBSTITUTE( SUBSTITUTE( SUBSTITUTE( SUBSTITUTE( SUBSTITUTE( SUBSTITUTE( SUBSTITUTE( C1954, ""۰"", ""0""), ""۱"", ""1""), ""۲"", ""2""), ""۳"", ""3""), ""۴"", ""4""), ""۵"", ""5""), ""۶"", """&amp;"6""), ""۷"", ""7""), ""۸"", ""8""), ""۹"", ""9""), IF(LEFT(converted,3)=""+98"", ""0"" &amp; RIGHT(converted, LEN(converted)-3), IF(LEFT(converted,2)=""98"", ""0"" &amp; RIGHT(converted, LEN(converted)-2), IF(LEFT(converted,1)&lt;&gt;""0"", ""0"" &amp; converted, REGEXREPL"&amp;"ACE(converted , ""\s"", """")) ) ) ) )"),"0")</f>
        <v>0</v>
      </c>
      <c r="E1954" s="196"/>
      <c r="F1954" s="221"/>
      <c r="G1954" s="193"/>
      <c r="H1954" s="193"/>
      <c r="I1954" s="194"/>
      <c r="J1954" s="194"/>
      <c r="K1954" s="193"/>
      <c r="L1954" s="193"/>
      <c r="M1954" s="193"/>
      <c r="N1954" s="193"/>
      <c r="O1954" s="193"/>
      <c r="P1954" s="193"/>
      <c r="Q1954" s="200"/>
      <c r="R1954" s="86"/>
      <c r="S1954" s="114">
        <f t="shared" ref="S1954:T1954" si="1957">A1954</f>
        <v>1</v>
      </c>
      <c r="T1954" s="114" t="str">
        <f t="shared" si="1957"/>
        <v/>
      </c>
      <c r="U1954" s="86" t="str">
        <f t="shared" si="3"/>
        <v>0</v>
      </c>
      <c r="V1954" s="86" t="str">
        <f t="shared" si="4"/>
        <v> </v>
      </c>
      <c r="W1954" s="86"/>
      <c r="X1954" s="86"/>
    </row>
    <row r="1955">
      <c r="A1955" s="201">
        <v>1.0</v>
      </c>
      <c r="B1955" s="202"/>
      <c r="C1955" s="203"/>
      <c r="D1955" s="204" t="str">
        <f>IFERROR(__xludf.DUMMYFUNCTION("ARRAYFORMULA(LET( converted, SUBSTITUTE( SUBSTITUTE( SUBSTITUTE( SUBSTITUTE( SUBSTITUTE( SUBSTITUTE( SUBSTITUTE( SUBSTITUTE( SUBSTITUTE( SUBSTITUTE( C1955, ""۰"", ""0""), ""۱"", ""1""), ""۲"", ""2""), ""۳"", ""3""), ""۴"", ""4""), ""۵"", ""5""), ""۶"", """&amp;"6""), ""۷"", ""7""), ""۸"", ""8""), ""۹"", ""9""), IF(LEFT(converted,3)=""+98"", ""0"" &amp; RIGHT(converted, LEN(converted)-3), IF(LEFT(converted,2)=""98"", ""0"" &amp; RIGHT(converted, LEN(converted)-2), IF(LEFT(converted,1)&lt;&gt;""0"", ""0"" &amp; converted, REGEXREPL"&amp;"ACE(converted , ""\s"", """")) ) ) ) )"),"0")</f>
        <v>0</v>
      </c>
      <c r="E1955" s="205"/>
      <c r="F1955" s="214"/>
      <c r="G1955" s="202"/>
      <c r="H1955" s="202"/>
      <c r="I1955" s="203"/>
      <c r="J1955" s="203"/>
      <c r="K1955" s="202"/>
      <c r="L1955" s="202"/>
      <c r="M1955" s="202"/>
      <c r="N1955" s="202"/>
      <c r="O1955" s="202"/>
      <c r="P1955" s="202"/>
      <c r="Q1955" s="208"/>
      <c r="R1955" s="86"/>
      <c r="S1955" s="114">
        <f t="shared" ref="S1955:T1955" si="1958">A1955</f>
        <v>1</v>
      </c>
      <c r="T1955" s="114" t="str">
        <f t="shared" si="1958"/>
        <v/>
      </c>
      <c r="U1955" s="86" t="str">
        <f t="shared" si="3"/>
        <v>0</v>
      </c>
      <c r="V1955" s="86" t="str">
        <f t="shared" si="4"/>
        <v> </v>
      </c>
      <c r="W1955" s="86"/>
      <c r="X1955" s="86"/>
    </row>
    <row r="1956">
      <c r="A1956" s="192">
        <v>1.0</v>
      </c>
      <c r="B1956" s="193"/>
      <c r="C1956" s="194"/>
      <c r="D1956" s="195" t="str">
        <f>IFERROR(__xludf.DUMMYFUNCTION("ARRAYFORMULA(LET( converted, SUBSTITUTE( SUBSTITUTE( SUBSTITUTE( SUBSTITUTE( SUBSTITUTE( SUBSTITUTE( SUBSTITUTE( SUBSTITUTE( SUBSTITUTE( SUBSTITUTE( C1956, ""۰"", ""0""), ""۱"", ""1""), ""۲"", ""2""), ""۳"", ""3""), ""۴"", ""4""), ""۵"", ""5""), ""۶"", """&amp;"6""), ""۷"", ""7""), ""۸"", ""8""), ""۹"", ""9""), IF(LEFT(converted,3)=""+98"", ""0"" &amp; RIGHT(converted, LEN(converted)-3), IF(LEFT(converted,2)=""98"", ""0"" &amp; RIGHT(converted, LEN(converted)-2), IF(LEFT(converted,1)&lt;&gt;""0"", ""0"" &amp; converted, REGEXREPL"&amp;"ACE(converted , ""\s"", """")) ) ) ) )"),"0")</f>
        <v>0</v>
      </c>
      <c r="E1956" s="196"/>
      <c r="F1956" s="221"/>
      <c r="G1956" s="193"/>
      <c r="H1956" s="193"/>
      <c r="I1956" s="194"/>
      <c r="J1956" s="194"/>
      <c r="K1956" s="193"/>
      <c r="L1956" s="193"/>
      <c r="M1956" s="193"/>
      <c r="N1956" s="193"/>
      <c r="O1956" s="193"/>
      <c r="P1956" s="193"/>
      <c r="Q1956" s="200"/>
      <c r="R1956" s="86"/>
      <c r="S1956" s="114">
        <f t="shared" ref="S1956:T1956" si="1959">A1956</f>
        <v>1</v>
      </c>
      <c r="T1956" s="114" t="str">
        <f t="shared" si="1959"/>
        <v/>
      </c>
      <c r="U1956" s="86" t="str">
        <f t="shared" si="3"/>
        <v>0</v>
      </c>
      <c r="V1956" s="86" t="str">
        <f t="shared" si="4"/>
        <v> </v>
      </c>
      <c r="W1956" s="86"/>
      <c r="X1956" s="86"/>
    </row>
    <row r="1957">
      <c r="A1957" s="201">
        <v>1.0</v>
      </c>
      <c r="B1957" s="202"/>
      <c r="C1957" s="203"/>
      <c r="D1957" s="204" t="str">
        <f>IFERROR(__xludf.DUMMYFUNCTION("ARRAYFORMULA(LET( converted, SUBSTITUTE( SUBSTITUTE( SUBSTITUTE( SUBSTITUTE( SUBSTITUTE( SUBSTITUTE( SUBSTITUTE( SUBSTITUTE( SUBSTITUTE( SUBSTITUTE( C1957, ""۰"", ""0""), ""۱"", ""1""), ""۲"", ""2""), ""۳"", ""3""), ""۴"", ""4""), ""۵"", ""5""), ""۶"", """&amp;"6""), ""۷"", ""7""), ""۸"", ""8""), ""۹"", ""9""), IF(LEFT(converted,3)=""+98"", ""0"" &amp; RIGHT(converted, LEN(converted)-3), IF(LEFT(converted,2)=""98"", ""0"" &amp; RIGHT(converted, LEN(converted)-2), IF(LEFT(converted,1)&lt;&gt;""0"", ""0"" &amp; converted, REGEXREPL"&amp;"ACE(converted , ""\s"", """")) ) ) ) )"),"0")</f>
        <v>0</v>
      </c>
      <c r="E1957" s="205"/>
      <c r="F1957" s="214"/>
      <c r="G1957" s="202"/>
      <c r="H1957" s="202"/>
      <c r="I1957" s="203"/>
      <c r="J1957" s="203"/>
      <c r="K1957" s="202"/>
      <c r="L1957" s="202"/>
      <c r="M1957" s="202"/>
      <c r="N1957" s="202"/>
      <c r="O1957" s="202"/>
      <c r="P1957" s="202"/>
      <c r="Q1957" s="208"/>
      <c r="R1957" s="86"/>
      <c r="S1957" s="114">
        <f t="shared" ref="S1957:T1957" si="1960">A1957</f>
        <v>1</v>
      </c>
      <c r="T1957" s="114" t="str">
        <f t="shared" si="1960"/>
        <v/>
      </c>
      <c r="U1957" s="86" t="str">
        <f t="shared" si="3"/>
        <v>0</v>
      </c>
      <c r="V1957" s="86" t="str">
        <f t="shared" si="4"/>
        <v> </v>
      </c>
      <c r="W1957" s="86"/>
      <c r="X1957" s="86"/>
    </row>
    <row r="1958">
      <c r="A1958" s="192">
        <v>1.0</v>
      </c>
      <c r="B1958" s="193"/>
      <c r="C1958" s="194"/>
      <c r="D1958" s="195" t="str">
        <f>IFERROR(__xludf.DUMMYFUNCTION("ARRAYFORMULA(LET( converted, SUBSTITUTE( SUBSTITUTE( SUBSTITUTE( SUBSTITUTE( SUBSTITUTE( SUBSTITUTE( SUBSTITUTE( SUBSTITUTE( SUBSTITUTE( SUBSTITUTE( C1958, ""۰"", ""0""), ""۱"", ""1""), ""۲"", ""2""), ""۳"", ""3""), ""۴"", ""4""), ""۵"", ""5""), ""۶"", """&amp;"6""), ""۷"", ""7""), ""۸"", ""8""), ""۹"", ""9""), IF(LEFT(converted,3)=""+98"", ""0"" &amp; RIGHT(converted, LEN(converted)-3), IF(LEFT(converted,2)=""98"", ""0"" &amp; RIGHT(converted, LEN(converted)-2), IF(LEFT(converted,1)&lt;&gt;""0"", ""0"" &amp; converted, REGEXREPL"&amp;"ACE(converted , ""\s"", """")) ) ) ) )"),"0")</f>
        <v>0</v>
      </c>
      <c r="E1958" s="196"/>
      <c r="F1958" s="221"/>
      <c r="G1958" s="193"/>
      <c r="H1958" s="193"/>
      <c r="I1958" s="194"/>
      <c r="J1958" s="194"/>
      <c r="K1958" s="193"/>
      <c r="L1958" s="193"/>
      <c r="M1958" s="193"/>
      <c r="N1958" s="193"/>
      <c r="O1958" s="193"/>
      <c r="P1958" s="193"/>
      <c r="Q1958" s="200"/>
      <c r="R1958" s="86"/>
      <c r="S1958" s="114">
        <f t="shared" ref="S1958:T1958" si="1961">A1958</f>
        <v>1</v>
      </c>
      <c r="T1958" s="114" t="str">
        <f t="shared" si="1961"/>
        <v/>
      </c>
      <c r="U1958" s="86" t="str">
        <f t="shared" si="3"/>
        <v>0</v>
      </c>
      <c r="V1958" s="86" t="str">
        <f t="shared" si="4"/>
        <v> </v>
      </c>
      <c r="W1958" s="86"/>
      <c r="X1958" s="86"/>
    </row>
    <row r="1959">
      <c r="A1959" s="201">
        <v>1.0</v>
      </c>
      <c r="B1959" s="202"/>
      <c r="C1959" s="203"/>
      <c r="D1959" s="204" t="str">
        <f>IFERROR(__xludf.DUMMYFUNCTION("ARRAYFORMULA(LET( converted, SUBSTITUTE( SUBSTITUTE( SUBSTITUTE( SUBSTITUTE( SUBSTITUTE( SUBSTITUTE( SUBSTITUTE( SUBSTITUTE( SUBSTITUTE( SUBSTITUTE( C1959, ""۰"", ""0""), ""۱"", ""1""), ""۲"", ""2""), ""۳"", ""3""), ""۴"", ""4""), ""۵"", ""5""), ""۶"", """&amp;"6""), ""۷"", ""7""), ""۸"", ""8""), ""۹"", ""9""), IF(LEFT(converted,3)=""+98"", ""0"" &amp; RIGHT(converted, LEN(converted)-3), IF(LEFT(converted,2)=""98"", ""0"" &amp; RIGHT(converted, LEN(converted)-2), IF(LEFT(converted,1)&lt;&gt;""0"", ""0"" &amp; converted, REGEXREPL"&amp;"ACE(converted , ""\s"", """")) ) ) ) )"),"0")</f>
        <v>0</v>
      </c>
      <c r="E1959" s="205"/>
      <c r="F1959" s="214"/>
      <c r="G1959" s="202"/>
      <c r="H1959" s="202"/>
      <c r="I1959" s="203"/>
      <c r="J1959" s="203"/>
      <c r="K1959" s="202"/>
      <c r="L1959" s="202"/>
      <c r="M1959" s="202"/>
      <c r="N1959" s="202"/>
      <c r="O1959" s="202"/>
      <c r="P1959" s="202"/>
      <c r="Q1959" s="208"/>
      <c r="R1959" s="86"/>
      <c r="S1959" s="114">
        <f t="shared" ref="S1959:T1959" si="1962">A1959</f>
        <v>1</v>
      </c>
      <c r="T1959" s="114" t="str">
        <f t="shared" si="1962"/>
        <v/>
      </c>
      <c r="U1959" s="86" t="str">
        <f t="shared" si="3"/>
        <v>0</v>
      </c>
      <c r="V1959" s="86" t="str">
        <f t="shared" si="4"/>
        <v> </v>
      </c>
      <c r="W1959" s="86"/>
      <c r="X1959" s="86"/>
    </row>
    <row r="1960">
      <c r="A1960" s="192">
        <v>1.0</v>
      </c>
      <c r="B1960" s="193"/>
      <c r="C1960" s="194"/>
      <c r="D1960" s="195" t="str">
        <f>IFERROR(__xludf.DUMMYFUNCTION("ARRAYFORMULA(LET( converted, SUBSTITUTE( SUBSTITUTE( SUBSTITUTE( SUBSTITUTE( SUBSTITUTE( SUBSTITUTE( SUBSTITUTE( SUBSTITUTE( SUBSTITUTE( SUBSTITUTE( C1960, ""۰"", ""0""), ""۱"", ""1""), ""۲"", ""2""), ""۳"", ""3""), ""۴"", ""4""), ""۵"", ""5""), ""۶"", """&amp;"6""), ""۷"", ""7""), ""۸"", ""8""), ""۹"", ""9""), IF(LEFT(converted,3)=""+98"", ""0"" &amp; RIGHT(converted, LEN(converted)-3), IF(LEFT(converted,2)=""98"", ""0"" &amp; RIGHT(converted, LEN(converted)-2), IF(LEFT(converted,1)&lt;&gt;""0"", ""0"" &amp; converted, REGEXREPL"&amp;"ACE(converted , ""\s"", """")) ) ) ) )"),"0")</f>
        <v>0</v>
      </c>
      <c r="E1960" s="196"/>
      <c r="F1960" s="221"/>
      <c r="G1960" s="193"/>
      <c r="H1960" s="193"/>
      <c r="I1960" s="194"/>
      <c r="J1960" s="194"/>
      <c r="K1960" s="193"/>
      <c r="L1960" s="193"/>
      <c r="M1960" s="193"/>
      <c r="N1960" s="193"/>
      <c r="O1960" s="193"/>
      <c r="P1960" s="193"/>
      <c r="Q1960" s="200"/>
      <c r="R1960" s="86"/>
      <c r="S1960" s="114">
        <f t="shared" ref="S1960:T1960" si="1963">A1960</f>
        <v>1</v>
      </c>
      <c r="T1960" s="114" t="str">
        <f t="shared" si="1963"/>
        <v/>
      </c>
      <c r="U1960" s="86" t="str">
        <f t="shared" si="3"/>
        <v>0</v>
      </c>
      <c r="V1960" s="86" t="str">
        <f t="shared" si="4"/>
        <v> </v>
      </c>
      <c r="W1960" s="86"/>
      <c r="X1960" s="86"/>
    </row>
    <row r="1961">
      <c r="A1961" s="201">
        <v>1.0</v>
      </c>
      <c r="B1961" s="202"/>
      <c r="C1961" s="203"/>
      <c r="D1961" s="204" t="str">
        <f>IFERROR(__xludf.DUMMYFUNCTION("ARRAYFORMULA(LET( converted, SUBSTITUTE( SUBSTITUTE( SUBSTITUTE( SUBSTITUTE( SUBSTITUTE( SUBSTITUTE( SUBSTITUTE( SUBSTITUTE( SUBSTITUTE( SUBSTITUTE( C1961, ""۰"", ""0""), ""۱"", ""1""), ""۲"", ""2""), ""۳"", ""3""), ""۴"", ""4""), ""۵"", ""5""), ""۶"", """&amp;"6""), ""۷"", ""7""), ""۸"", ""8""), ""۹"", ""9""), IF(LEFT(converted,3)=""+98"", ""0"" &amp; RIGHT(converted, LEN(converted)-3), IF(LEFT(converted,2)=""98"", ""0"" &amp; RIGHT(converted, LEN(converted)-2), IF(LEFT(converted,1)&lt;&gt;""0"", ""0"" &amp; converted, REGEXREPL"&amp;"ACE(converted , ""\s"", """")) ) ) ) )"),"0")</f>
        <v>0</v>
      </c>
      <c r="E1961" s="205"/>
      <c r="F1961" s="214"/>
      <c r="G1961" s="202"/>
      <c r="H1961" s="202"/>
      <c r="I1961" s="203"/>
      <c r="J1961" s="203"/>
      <c r="K1961" s="202"/>
      <c r="L1961" s="202"/>
      <c r="M1961" s="202"/>
      <c r="N1961" s="202"/>
      <c r="O1961" s="202"/>
      <c r="P1961" s="202"/>
      <c r="Q1961" s="208"/>
      <c r="R1961" s="86"/>
      <c r="S1961" s="114">
        <f t="shared" ref="S1961:T1961" si="1964">A1961</f>
        <v>1</v>
      </c>
      <c r="T1961" s="114" t="str">
        <f t="shared" si="1964"/>
        <v/>
      </c>
      <c r="U1961" s="86" t="str">
        <f t="shared" si="3"/>
        <v>0</v>
      </c>
      <c r="V1961" s="86" t="str">
        <f t="shared" si="4"/>
        <v> </v>
      </c>
      <c r="W1961" s="86"/>
      <c r="X1961" s="86"/>
    </row>
    <row r="1962">
      <c r="A1962" s="192">
        <v>1.0</v>
      </c>
      <c r="B1962" s="193"/>
      <c r="C1962" s="194"/>
      <c r="D1962" s="195" t="str">
        <f>IFERROR(__xludf.DUMMYFUNCTION("ARRAYFORMULA(LET( converted, SUBSTITUTE( SUBSTITUTE( SUBSTITUTE( SUBSTITUTE( SUBSTITUTE( SUBSTITUTE( SUBSTITUTE( SUBSTITUTE( SUBSTITUTE( SUBSTITUTE( C1962, ""۰"", ""0""), ""۱"", ""1""), ""۲"", ""2""), ""۳"", ""3""), ""۴"", ""4""), ""۵"", ""5""), ""۶"", """&amp;"6""), ""۷"", ""7""), ""۸"", ""8""), ""۹"", ""9""), IF(LEFT(converted,3)=""+98"", ""0"" &amp; RIGHT(converted, LEN(converted)-3), IF(LEFT(converted,2)=""98"", ""0"" &amp; RIGHT(converted, LEN(converted)-2), IF(LEFT(converted,1)&lt;&gt;""0"", ""0"" &amp; converted, REGEXREPL"&amp;"ACE(converted , ""\s"", """")) ) ) ) )"),"0")</f>
        <v>0</v>
      </c>
      <c r="E1962" s="196"/>
      <c r="F1962" s="221"/>
      <c r="G1962" s="193"/>
      <c r="H1962" s="193"/>
      <c r="I1962" s="194"/>
      <c r="J1962" s="194"/>
      <c r="K1962" s="193"/>
      <c r="L1962" s="193"/>
      <c r="M1962" s="193"/>
      <c r="N1962" s="193"/>
      <c r="O1962" s="193"/>
      <c r="P1962" s="193"/>
      <c r="Q1962" s="200"/>
      <c r="R1962" s="86"/>
      <c r="S1962" s="114">
        <f t="shared" ref="S1962:T1962" si="1965">A1962</f>
        <v>1</v>
      </c>
      <c r="T1962" s="114" t="str">
        <f t="shared" si="1965"/>
        <v/>
      </c>
      <c r="U1962" s="86" t="str">
        <f t="shared" si="3"/>
        <v>0</v>
      </c>
      <c r="V1962" s="86" t="str">
        <f t="shared" si="4"/>
        <v> </v>
      </c>
      <c r="W1962" s="86"/>
      <c r="X1962" s="86"/>
    </row>
    <row r="1963">
      <c r="A1963" s="201">
        <v>1.0</v>
      </c>
      <c r="B1963" s="202"/>
      <c r="C1963" s="203"/>
      <c r="D1963" s="204" t="str">
        <f>IFERROR(__xludf.DUMMYFUNCTION("ARRAYFORMULA(LET( converted, SUBSTITUTE( SUBSTITUTE( SUBSTITUTE( SUBSTITUTE( SUBSTITUTE( SUBSTITUTE( SUBSTITUTE( SUBSTITUTE( SUBSTITUTE( SUBSTITUTE( C1963, ""۰"", ""0""), ""۱"", ""1""), ""۲"", ""2""), ""۳"", ""3""), ""۴"", ""4""), ""۵"", ""5""), ""۶"", """&amp;"6""), ""۷"", ""7""), ""۸"", ""8""), ""۹"", ""9""), IF(LEFT(converted,3)=""+98"", ""0"" &amp; RIGHT(converted, LEN(converted)-3), IF(LEFT(converted,2)=""98"", ""0"" &amp; RIGHT(converted, LEN(converted)-2), IF(LEFT(converted,1)&lt;&gt;""0"", ""0"" &amp; converted, REGEXREPL"&amp;"ACE(converted , ""\s"", """")) ) ) ) )"),"0")</f>
        <v>0</v>
      </c>
      <c r="E1963" s="205"/>
      <c r="F1963" s="214"/>
      <c r="G1963" s="202"/>
      <c r="H1963" s="202"/>
      <c r="I1963" s="203"/>
      <c r="J1963" s="203"/>
      <c r="K1963" s="202"/>
      <c r="L1963" s="202"/>
      <c r="M1963" s="202"/>
      <c r="N1963" s="202"/>
      <c r="O1963" s="202"/>
      <c r="P1963" s="202"/>
      <c r="Q1963" s="208"/>
      <c r="R1963" s="86"/>
      <c r="S1963" s="114">
        <f t="shared" ref="S1963:T1963" si="1966">A1963</f>
        <v>1</v>
      </c>
      <c r="T1963" s="114" t="str">
        <f t="shared" si="1966"/>
        <v/>
      </c>
      <c r="U1963" s="86" t="str">
        <f t="shared" si="3"/>
        <v>0</v>
      </c>
      <c r="V1963" s="86" t="str">
        <f t="shared" si="4"/>
        <v> </v>
      </c>
      <c r="W1963" s="86"/>
      <c r="X1963" s="86"/>
    </row>
    <row r="1964">
      <c r="A1964" s="192">
        <v>1.0</v>
      </c>
      <c r="B1964" s="193"/>
      <c r="C1964" s="194"/>
      <c r="D1964" s="195" t="str">
        <f>IFERROR(__xludf.DUMMYFUNCTION("ARRAYFORMULA(LET( converted, SUBSTITUTE( SUBSTITUTE( SUBSTITUTE( SUBSTITUTE( SUBSTITUTE( SUBSTITUTE( SUBSTITUTE( SUBSTITUTE( SUBSTITUTE( SUBSTITUTE( C1964, ""۰"", ""0""), ""۱"", ""1""), ""۲"", ""2""), ""۳"", ""3""), ""۴"", ""4""), ""۵"", ""5""), ""۶"", """&amp;"6""), ""۷"", ""7""), ""۸"", ""8""), ""۹"", ""9""), IF(LEFT(converted,3)=""+98"", ""0"" &amp; RIGHT(converted, LEN(converted)-3), IF(LEFT(converted,2)=""98"", ""0"" &amp; RIGHT(converted, LEN(converted)-2), IF(LEFT(converted,1)&lt;&gt;""0"", ""0"" &amp; converted, REGEXREPL"&amp;"ACE(converted , ""\s"", """")) ) ) ) )"),"0")</f>
        <v>0</v>
      </c>
      <c r="E1964" s="196"/>
      <c r="F1964" s="221"/>
      <c r="G1964" s="193"/>
      <c r="H1964" s="193"/>
      <c r="I1964" s="194"/>
      <c r="J1964" s="194"/>
      <c r="K1964" s="193"/>
      <c r="L1964" s="193"/>
      <c r="M1964" s="193"/>
      <c r="N1964" s="193"/>
      <c r="O1964" s="193"/>
      <c r="P1964" s="193"/>
      <c r="Q1964" s="200"/>
      <c r="R1964" s="86"/>
      <c r="S1964" s="114">
        <f t="shared" ref="S1964:T1964" si="1967">A1964</f>
        <v>1</v>
      </c>
      <c r="T1964" s="114" t="str">
        <f t="shared" si="1967"/>
        <v/>
      </c>
      <c r="U1964" s="86" t="str">
        <f t="shared" si="3"/>
        <v>0</v>
      </c>
      <c r="V1964" s="86" t="str">
        <f t="shared" si="4"/>
        <v> </v>
      </c>
      <c r="W1964" s="86"/>
      <c r="X1964" s="86"/>
    </row>
    <row r="1965">
      <c r="A1965" s="201">
        <v>1.0</v>
      </c>
      <c r="B1965" s="202"/>
      <c r="C1965" s="203"/>
      <c r="D1965" s="204" t="str">
        <f>IFERROR(__xludf.DUMMYFUNCTION("ARRAYFORMULA(LET( converted, SUBSTITUTE( SUBSTITUTE( SUBSTITUTE( SUBSTITUTE( SUBSTITUTE( SUBSTITUTE( SUBSTITUTE( SUBSTITUTE( SUBSTITUTE( SUBSTITUTE( C1965, ""۰"", ""0""), ""۱"", ""1""), ""۲"", ""2""), ""۳"", ""3""), ""۴"", ""4""), ""۵"", ""5""), ""۶"", """&amp;"6""), ""۷"", ""7""), ""۸"", ""8""), ""۹"", ""9""), IF(LEFT(converted,3)=""+98"", ""0"" &amp; RIGHT(converted, LEN(converted)-3), IF(LEFT(converted,2)=""98"", ""0"" &amp; RIGHT(converted, LEN(converted)-2), IF(LEFT(converted,1)&lt;&gt;""0"", ""0"" &amp; converted, REGEXREPL"&amp;"ACE(converted , ""\s"", """")) ) ) ) )"),"0")</f>
        <v>0</v>
      </c>
      <c r="E1965" s="205"/>
      <c r="F1965" s="214"/>
      <c r="G1965" s="202"/>
      <c r="H1965" s="202"/>
      <c r="I1965" s="203"/>
      <c r="J1965" s="203"/>
      <c r="K1965" s="202"/>
      <c r="L1965" s="202"/>
      <c r="M1965" s="202"/>
      <c r="N1965" s="202"/>
      <c r="O1965" s="202"/>
      <c r="P1965" s="202"/>
      <c r="Q1965" s="208"/>
      <c r="R1965" s="86"/>
      <c r="S1965" s="114">
        <f t="shared" ref="S1965:T1965" si="1968">A1965</f>
        <v>1</v>
      </c>
      <c r="T1965" s="114" t="str">
        <f t="shared" si="1968"/>
        <v/>
      </c>
      <c r="U1965" s="86" t="str">
        <f t="shared" si="3"/>
        <v>0</v>
      </c>
      <c r="V1965" s="86" t="str">
        <f t="shared" si="4"/>
        <v> </v>
      </c>
      <c r="W1965" s="86"/>
      <c r="X1965" s="86"/>
    </row>
    <row r="1966">
      <c r="A1966" s="192">
        <v>1.0</v>
      </c>
      <c r="B1966" s="193"/>
      <c r="C1966" s="194"/>
      <c r="D1966" s="195" t="str">
        <f>IFERROR(__xludf.DUMMYFUNCTION("ARRAYFORMULA(LET( converted, SUBSTITUTE( SUBSTITUTE( SUBSTITUTE( SUBSTITUTE( SUBSTITUTE( SUBSTITUTE( SUBSTITUTE( SUBSTITUTE( SUBSTITUTE( SUBSTITUTE( C1966, ""۰"", ""0""), ""۱"", ""1""), ""۲"", ""2""), ""۳"", ""3""), ""۴"", ""4""), ""۵"", ""5""), ""۶"", """&amp;"6""), ""۷"", ""7""), ""۸"", ""8""), ""۹"", ""9""), IF(LEFT(converted,3)=""+98"", ""0"" &amp; RIGHT(converted, LEN(converted)-3), IF(LEFT(converted,2)=""98"", ""0"" &amp; RIGHT(converted, LEN(converted)-2), IF(LEFT(converted,1)&lt;&gt;""0"", ""0"" &amp; converted, REGEXREPL"&amp;"ACE(converted , ""\s"", """")) ) ) ) )"),"0")</f>
        <v>0</v>
      </c>
      <c r="E1966" s="196"/>
      <c r="F1966" s="221"/>
      <c r="G1966" s="193"/>
      <c r="H1966" s="193"/>
      <c r="I1966" s="194"/>
      <c r="J1966" s="194"/>
      <c r="K1966" s="193"/>
      <c r="L1966" s="193"/>
      <c r="M1966" s="193"/>
      <c r="N1966" s="193"/>
      <c r="O1966" s="193"/>
      <c r="P1966" s="193"/>
      <c r="Q1966" s="200"/>
      <c r="R1966" s="86"/>
      <c r="S1966" s="114">
        <f t="shared" ref="S1966:T1966" si="1969">A1966</f>
        <v>1</v>
      </c>
      <c r="T1966" s="114" t="str">
        <f t="shared" si="1969"/>
        <v/>
      </c>
      <c r="U1966" s="86" t="str">
        <f t="shared" si="3"/>
        <v>0</v>
      </c>
      <c r="V1966" s="86" t="str">
        <f t="shared" si="4"/>
        <v> </v>
      </c>
      <c r="W1966" s="86"/>
      <c r="X1966" s="86"/>
    </row>
    <row r="1967">
      <c r="A1967" s="201">
        <v>1.0</v>
      </c>
      <c r="B1967" s="202"/>
      <c r="C1967" s="203"/>
      <c r="D1967" s="204" t="str">
        <f>IFERROR(__xludf.DUMMYFUNCTION("ARRAYFORMULA(LET( converted, SUBSTITUTE( SUBSTITUTE( SUBSTITUTE( SUBSTITUTE( SUBSTITUTE( SUBSTITUTE( SUBSTITUTE( SUBSTITUTE( SUBSTITUTE( SUBSTITUTE( C1967, ""۰"", ""0""), ""۱"", ""1""), ""۲"", ""2""), ""۳"", ""3""), ""۴"", ""4""), ""۵"", ""5""), ""۶"", """&amp;"6""), ""۷"", ""7""), ""۸"", ""8""), ""۹"", ""9""), IF(LEFT(converted,3)=""+98"", ""0"" &amp; RIGHT(converted, LEN(converted)-3), IF(LEFT(converted,2)=""98"", ""0"" &amp; RIGHT(converted, LEN(converted)-2), IF(LEFT(converted,1)&lt;&gt;""0"", ""0"" &amp; converted, REGEXREPL"&amp;"ACE(converted , ""\s"", """")) ) ) ) )"),"0")</f>
        <v>0</v>
      </c>
      <c r="E1967" s="205"/>
      <c r="F1967" s="214"/>
      <c r="G1967" s="202"/>
      <c r="H1967" s="202"/>
      <c r="I1967" s="203"/>
      <c r="J1967" s="203"/>
      <c r="K1967" s="202"/>
      <c r="L1967" s="202"/>
      <c r="M1967" s="202"/>
      <c r="N1967" s="202"/>
      <c r="O1967" s="202"/>
      <c r="P1967" s="202"/>
      <c r="Q1967" s="208"/>
      <c r="R1967" s="86"/>
      <c r="S1967" s="114">
        <f t="shared" ref="S1967:T1967" si="1970">A1967</f>
        <v>1</v>
      </c>
      <c r="T1967" s="114" t="str">
        <f t="shared" si="1970"/>
        <v/>
      </c>
      <c r="U1967" s="86" t="str">
        <f t="shared" si="3"/>
        <v>0</v>
      </c>
      <c r="V1967" s="86" t="str">
        <f t="shared" si="4"/>
        <v> </v>
      </c>
      <c r="W1967" s="86"/>
      <c r="X1967" s="86"/>
    </row>
    <row r="1968">
      <c r="A1968" s="192">
        <v>1.0</v>
      </c>
      <c r="B1968" s="193"/>
      <c r="C1968" s="194"/>
      <c r="D1968" s="195" t="str">
        <f>IFERROR(__xludf.DUMMYFUNCTION("ARRAYFORMULA(LET( converted, SUBSTITUTE( SUBSTITUTE( SUBSTITUTE( SUBSTITUTE( SUBSTITUTE( SUBSTITUTE( SUBSTITUTE( SUBSTITUTE( SUBSTITUTE( SUBSTITUTE( C1968, ""۰"", ""0""), ""۱"", ""1""), ""۲"", ""2""), ""۳"", ""3""), ""۴"", ""4""), ""۵"", ""5""), ""۶"", """&amp;"6""), ""۷"", ""7""), ""۸"", ""8""), ""۹"", ""9""), IF(LEFT(converted,3)=""+98"", ""0"" &amp; RIGHT(converted, LEN(converted)-3), IF(LEFT(converted,2)=""98"", ""0"" &amp; RIGHT(converted, LEN(converted)-2), IF(LEFT(converted,1)&lt;&gt;""0"", ""0"" &amp; converted, REGEXREPL"&amp;"ACE(converted , ""\s"", """")) ) ) ) )"),"0")</f>
        <v>0</v>
      </c>
      <c r="E1968" s="196"/>
      <c r="F1968" s="221"/>
      <c r="G1968" s="193"/>
      <c r="H1968" s="193"/>
      <c r="I1968" s="194"/>
      <c r="J1968" s="194"/>
      <c r="K1968" s="193"/>
      <c r="L1968" s="193"/>
      <c r="M1968" s="193"/>
      <c r="N1968" s="193"/>
      <c r="O1968" s="193"/>
      <c r="P1968" s="193"/>
      <c r="Q1968" s="200"/>
      <c r="R1968" s="86"/>
      <c r="S1968" s="114">
        <f t="shared" ref="S1968:T1968" si="1971">A1968</f>
        <v>1</v>
      </c>
      <c r="T1968" s="114" t="str">
        <f t="shared" si="1971"/>
        <v/>
      </c>
      <c r="U1968" s="86" t="str">
        <f t="shared" si="3"/>
        <v>0</v>
      </c>
      <c r="V1968" s="86" t="str">
        <f t="shared" si="4"/>
        <v> </v>
      </c>
      <c r="W1968" s="86"/>
      <c r="X1968" s="86"/>
    </row>
    <row r="1969">
      <c r="A1969" s="201">
        <v>1.0</v>
      </c>
      <c r="B1969" s="202"/>
      <c r="C1969" s="203"/>
      <c r="D1969" s="204" t="str">
        <f>IFERROR(__xludf.DUMMYFUNCTION("ARRAYFORMULA(LET( converted, SUBSTITUTE( SUBSTITUTE( SUBSTITUTE( SUBSTITUTE( SUBSTITUTE( SUBSTITUTE( SUBSTITUTE( SUBSTITUTE( SUBSTITUTE( SUBSTITUTE( C1969, ""۰"", ""0""), ""۱"", ""1""), ""۲"", ""2""), ""۳"", ""3""), ""۴"", ""4""), ""۵"", ""5""), ""۶"", """&amp;"6""), ""۷"", ""7""), ""۸"", ""8""), ""۹"", ""9""), IF(LEFT(converted,3)=""+98"", ""0"" &amp; RIGHT(converted, LEN(converted)-3), IF(LEFT(converted,2)=""98"", ""0"" &amp; RIGHT(converted, LEN(converted)-2), IF(LEFT(converted,1)&lt;&gt;""0"", ""0"" &amp; converted, REGEXREPL"&amp;"ACE(converted , ""\s"", """")) ) ) ) )"),"0")</f>
        <v>0</v>
      </c>
      <c r="E1969" s="205"/>
      <c r="F1969" s="214"/>
      <c r="G1969" s="202"/>
      <c r="H1969" s="202"/>
      <c r="I1969" s="203"/>
      <c r="J1969" s="203"/>
      <c r="K1969" s="202"/>
      <c r="L1969" s="202"/>
      <c r="M1969" s="202"/>
      <c r="N1969" s="202"/>
      <c r="O1969" s="202"/>
      <c r="P1969" s="202"/>
      <c r="Q1969" s="208"/>
      <c r="R1969" s="86"/>
      <c r="S1969" s="114">
        <f t="shared" ref="S1969:T1969" si="1972">A1969</f>
        <v>1</v>
      </c>
      <c r="T1969" s="114" t="str">
        <f t="shared" si="1972"/>
        <v/>
      </c>
      <c r="U1969" s="86" t="str">
        <f t="shared" si="3"/>
        <v>0</v>
      </c>
      <c r="V1969" s="86" t="str">
        <f t="shared" si="4"/>
        <v> </v>
      </c>
      <c r="W1969" s="86"/>
      <c r="X1969" s="86"/>
    </row>
    <row r="1970">
      <c r="A1970" s="192">
        <v>1.0</v>
      </c>
      <c r="B1970" s="193"/>
      <c r="C1970" s="194"/>
      <c r="D1970" s="195" t="str">
        <f>IFERROR(__xludf.DUMMYFUNCTION("ARRAYFORMULA(LET( converted, SUBSTITUTE( SUBSTITUTE( SUBSTITUTE( SUBSTITUTE( SUBSTITUTE( SUBSTITUTE( SUBSTITUTE( SUBSTITUTE( SUBSTITUTE( SUBSTITUTE( C1970, ""۰"", ""0""), ""۱"", ""1""), ""۲"", ""2""), ""۳"", ""3""), ""۴"", ""4""), ""۵"", ""5""), ""۶"", """&amp;"6""), ""۷"", ""7""), ""۸"", ""8""), ""۹"", ""9""), IF(LEFT(converted,3)=""+98"", ""0"" &amp; RIGHT(converted, LEN(converted)-3), IF(LEFT(converted,2)=""98"", ""0"" &amp; RIGHT(converted, LEN(converted)-2), IF(LEFT(converted,1)&lt;&gt;""0"", ""0"" &amp; converted, REGEXREPL"&amp;"ACE(converted , ""\s"", """")) ) ) ) )"),"0")</f>
        <v>0</v>
      </c>
      <c r="E1970" s="196"/>
      <c r="F1970" s="221"/>
      <c r="G1970" s="193"/>
      <c r="H1970" s="193"/>
      <c r="I1970" s="194"/>
      <c r="J1970" s="194"/>
      <c r="K1970" s="193"/>
      <c r="L1970" s="193"/>
      <c r="M1970" s="193"/>
      <c r="N1970" s="193"/>
      <c r="O1970" s="193"/>
      <c r="P1970" s="193"/>
      <c r="Q1970" s="200"/>
      <c r="R1970" s="86"/>
      <c r="S1970" s="114">
        <f t="shared" ref="S1970:T1970" si="1973">A1970</f>
        <v>1</v>
      </c>
      <c r="T1970" s="114" t="str">
        <f t="shared" si="1973"/>
        <v/>
      </c>
      <c r="U1970" s="86" t="str">
        <f t="shared" si="3"/>
        <v>0</v>
      </c>
      <c r="V1970" s="86" t="str">
        <f t="shared" si="4"/>
        <v> </v>
      </c>
      <c r="W1970" s="86"/>
      <c r="X1970" s="86"/>
    </row>
    <row r="1971">
      <c r="A1971" s="201">
        <v>1.0</v>
      </c>
      <c r="B1971" s="202"/>
      <c r="C1971" s="203"/>
      <c r="D1971" s="204" t="str">
        <f>IFERROR(__xludf.DUMMYFUNCTION("ARRAYFORMULA(LET( converted, SUBSTITUTE( SUBSTITUTE( SUBSTITUTE( SUBSTITUTE( SUBSTITUTE( SUBSTITUTE( SUBSTITUTE( SUBSTITUTE( SUBSTITUTE( SUBSTITUTE( C1971, ""۰"", ""0""), ""۱"", ""1""), ""۲"", ""2""), ""۳"", ""3""), ""۴"", ""4""), ""۵"", ""5""), ""۶"", """&amp;"6""), ""۷"", ""7""), ""۸"", ""8""), ""۹"", ""9""), IF(LEFT(converted,3)=""+98"", ""0"" &amp; RIGHT(converted, LEN(converted)-3), IF(LEFT(converted,2)=""98"", ""0"" &amp; RIGHT(converted, LEN(converted)-2), IF(LEFT(converted,1)&lt;&gt;""0"", ""0"" &amp; converted, REGEXREPL"&amp;"ACE(converted , ""\s"", """")) ) ) ) )"),"0")</f>
        <v>0</v>
      </c>
      <c r="E1971" s="205"/>
      <c r="F1971" s="214"/>
      <c r="G1971" s="202"/>
      <c r="H1971" s="202"/>
      <c r="I1971" s="203"/>
      <c r="J1971" s="203"/>
      <c r="K1971" s="202"/>
      <c r="L1971" s="202"/>
      <c r="M1971" s="202"/>
      <c r="N1971" s="202"/>
      <c r="O1971" s="202"/>
      <c r="P1971" s="202"/>
      <c r="Q1971" s="208"/>
      <c r="R1971" s="86"/>
      <c r="S1971" s="114">
        <f t="shared" ref="S1971:T1971" si="1974">A1971</f>
        <v>1</v>
      </c>
      <c r="T1971" s="114" t="str">
        <f t="shared" si="1974"/>
        <v/>
      </c>
      <c r="U1971" s="86" t="str">
        <f t="shared" si="3"/>
        <v>0</v>
      </c>
      <c r="V1971" s="86" t="str">
        <f t="shared" si="4"/>
        <v> </v>
      </c>
      <c r="W1971" s="86"/>
      <c r="X1971" s="86"/>
    </row>
    <row r="1972">
      <c r="A1972" s="192">
        <v>1.0</v>
      </c>
      <c r="B1972" s="193"/>
      <c r="C1972" s="194"/>
      <c r="D1972" s="195" t="str">
        <f>IFERROR(__xludf.DUMMYFUNCTION("ARRAYFORMULA(LET( converted, SUBSTITUTE( SUBSTITUTE( SUBSTITUTE( SUBSTITUTE( SUBSTITUTE( SUBSTITUTE( SUBSTITUTE( SUBSTITUTE( SUBSTITUTE( SUBSTITUTE( C1972, ""۰"", ""0""), ""۱"", ""1""), ""۲"", ""2""), ""۳"", ""3""), ""۴"", ""4""), ""۵"", ""5""), ""۶"", """&amp;"6""), ""۷"", ""7""), ""۸"", ""8""), ""۹"", ""9""), IF(LEFT(converted,3)=""+98"", ""0"" &amp; RIGHT(converted, LEN(converted)-3), IF(LEFT(converted,2)=""98"", ""0"" &amp; RIGHT(converted, LEN(converted)-2), IF(LEFT(converted,1)&lt;&gt;""0"", ""0"" &amp; converted, REGEXREPL"&amp;"ACE(converted , ""\s"", """")) ) ) ) )"),"0")</f>
        <v>0</v>
      </c>
      <c r="E1972" s="196"/>
      <c r="F1972" s="221"/>
      <c r="G1972" s="193"/>
      <c r="H1972" s="193"/>
      <c r="I1972" s="194"/>
      <c r="J1972" s="194"/>
      <c r="K1972" s="193"/>
      <c r="L1972" s="193"/>
      <c r="M1972" s="193"/>
      <c r="N1972" s="193"/>
      <c r="O1972" s="193"/>
      <c r="P1972" s="193"/>
      <c r="Q1972" s="200"/>
      <c r="R1972" s="86"/>
      <c r="S1972" s="114">
        <f t="shared" ref="S1972:T1972" si="1975">A1972</f>
        <v>1</v>
      </c>
      <c r="T1972" s="114" t="str">
        <f t="shared" si="1975"/>
        <v/>
      </c>
      <c r="U1972" s="86" t="str">
        <f t="shared" si="3"/>
        <v>0</v>
      </c>
      <c r="V1972" s="86" t="str">
        <f t="shared" si="4"/>
        <v> </v>
      </c>
      <c r="W1972" s="86"/>
      <c r="X1972" s="86"/>
    </row>
    <row r="1973">
      <c r="A1973" s="201">
        <v>1.0</v>
      </c>
      <c r="B1973" s="202"/>
      <c r="C1973" s="203"/>
      <c r="D1973" s="204" t="str">
        <f>IFERROR(__xludf.DUMMYFUNCTION("ARRAYFORMULA(LET( converted, SUBSTITUTE( SUBSTITUTE( SUBSTITUTE( SUBSTITUTE( SUBSTITUTE( SUBSTITUTE( SUBSTITUTE( SUBSTITUTE( SUBSTITUTE( SUBSTITUTE( C1973, ""۰"", ""0""), ""۱"", ""1""), ""۲"", ""2""), ""۳"", ""3""), ""۴"", ""4""), ""۵"", ""5""), ""۶"", """&amp;"6""), ""۷"", ""7""), ""۸"", ""8""), ""۹"", ""9""), IF(LEFT(converted,3)=""+98"", ""0"" &amp; RIGHT(converted, LEN(converted)-3), IF(LEFT(converted,2)=""98"", ""0"" &amp; RIGHT(converted, LEN(converted)-2), IF(LEFT(converted,1)&lt;&gt;""0"", ""0"" &amp; converted, REGEXREPL"&amp;"ACE(converted , ""\s"", """")) ) ) ) )"),"0")</f>
        <v>0</v>
      </c>
      <c r="E1973" s="205"/>
      <c r="F1973" s="214"/>
      <c r="G1973" s="202"/>
      <c r="H1973" s="202"/>
      <c r="I1973" s="203"/>
      <c r="J1973" s="203"/>
      <c r="K1973" s="202"/>
      <c r="L1973" s="202"/>
      <c r="M1973" s="202"/>
      <c r="N1973" s="202"/>
      <c r="O1973" s="202"/>
      <c r="P1973" s="202"/>
      <c r="Q1973" s="208"/>
      <c r="R1973" s="86"/>
      <c r="S1973" s="114">
        <f t="shared" ref="S1973:T1973" si="1976">A1973</f>
        <v>1</v>
      </c>
      <c r="T1973" s="114" t="str">
        <f t="shared" si="1976"/>
        <v/>
      </c>
      <c r="U1973" s="86" t="str">
        <f t="shared" si="3"/>
        <v>0</v>
      </c>
      <c r="V1973" s="86" t="str">
        <f t="shared" si="4"/>
        <v> </v>
      </c>
      <c r="W1973" s="86"/>
      <c r="X1973" s="86"/>
    </row>
    <row r="1974">
      <c r="A1974" s="192">
        <v>1.0</v>
      </c>
      <c r="B1974" s="193"/>
      <c r="C1974" s="194"/>
      <c r="D1974" s="195" t="str">
        <f>IFERROR(__xludf.DUMMYFUNCTION("ARRAYFORMULA(LET( converted, SUBSTITUTE( SUBSTITUTE( SUBSTITUTE( SUBSTITUTE( SUBSTITUTE( SUBSTITUTE( SUBSTITUTE( SUBSTITUTE( SUBSTITUTE( SUBSTITUTE( C1974, ""۰"", ""0""), ""۱"", ""1""), ""۲"", ""2""), ""۳"", ""3""), ""۴"", ""4""), ""۵"", ""5""), ""۶"", """&amp;"6""), ""۷"", ""7""), ""۸"", ""8""), ""۹"", ""9""), IF(LEFT(converted,3)=""+98"", ""0"" &amp; RIGHT(converted, LEN(converted)-3), IF(LEFT(converted,2)=""98"", ""0"" &amp; RIGHT(converted, LEN(converted)-2), IF(LEFT(converted,1)&lt;&gt;""0"", ""0"" &amp; converted, REGEXREPL"&amp;"ACE(converted , ""\s"", """")) ) ) ) )"),"0")</f>
        <v>0</v>
      </c>
      <c r="E1974" s="196"/>
      <c r="F1974" s="221"/>
      <c r="G1974" s="193"/>
      <c r="H1974" s="193"/>
      <c r="I1974" s="194"/>
      <c r="J1974" s="194"/>
      <c r="K1974" s="193"/>
      <c r="L1974" s="193"/>
      <c r="M1974" s="193"/>
      <c r="N1974" s="193"/>
      <c r="O1974" s="193"/>
      <c r="P1974" s="193"/>
      <c r="Q1974" s="200"/>
      <c r="R1974" s="86"/>
      <c r="S1974" s="114">
        <f t="shared" ref="S1974:T1974" si="1977">A1974</f>
        <v>1</v>
      </c>
      <c r="T1974" s="114" t="str">
        <f t="shared" si="1977"/>
        <v/>
      </c>
      <c r="U1974" s="86" t="str">
        <f t="shared" si="3"/>
        <v>0</v>
      </c>
      <c r="V1974" s="86" t="str">
        <f t="shared" si="4"/>
        <v> </v>
      </c>
      <c r="W1974" s="86"/>
      <c r="X1974" s="86"/>
    </row>
    <row r="1975">
      <c r="A1975" s="201">
        <v>1.0</v>
      </c>
      <c r="B1975" s="202"/>
      <c r="C1975" s="203"/>
      <c r="D1975" s="204" t="str">
        <f>IFERROR(__xludf.DUMMYFUNCTION("ARRAYFORMULA(LET( converted, SUBSTITUTE( SUBSTITUTE( SUBSTITUTE( SUBSTITUTE( SUBSTITUTE( SUBSTITUTE( SUBSTITUTE( SUBSTITUTE( SUBSTITUTE( SUBSTITUTE( C1975, ""۰"", ""0""), ""۱"", ""1""), ""۲"", ""2""), ""۳"", ""3""), ""۴"", ""4""), ""۵"", ""5""), ""۶"", """&amp;"6""), ""۷"", ""7""), ""۸"", ""8""), ""۹"", ""9""), IF(LEFT(converted,3)=""+98"", ""0"" &amp; RIGHT(converted, LEN(converted)-3), IF(LEFT(converted,2)=""98"", ""0"" &amp; RIGHT(converted, LEN(converted)-2), IF(LEFT(converted,1)&lt;&gt;""0"", ""0"" &amp; converted, REGEXREPL"&amp;"ACE(converted , ""\s"", """")) ) ) ) )"),"0")</f>
        <v>0</v>
      </c>
      <c r="E1975" s="205"/>
      <c r="F1975" s="214"/>
      <c r="G1975" s="202"/>
      <c r="H1975" s="202"/>
      <c r="I1975" s="203"/>
      <c r="J1975" s="203"/>
      <c r="K1975" s="202"/>
      <c r="L1975" s="202"/>
      <c r="M1975" s="202"/>
      <c r="N1975" s="202"/>
      <c r="O1975" s="202"/>
      <c r="P1975" s="202"/>
      <c r="Q1975" s="208"/>
      <c r="R1975" s="86"/>
      <c r="S1975" s="114">
        <f t="shared" ref="S1975:T1975" si="1978">A1975</f>
        <v>1</v>
      </c>
      <c r="T1975" s="114" t="str">
        <f t="shared" si="1978"/>
        <v/>
      </c>
      <c r="U1975" s="86" t="str">
        <f t="shared" si="3"/>
        <v>0</v>
      </c>
      <c r="V1975" s="86" t="str">
        <f t="shared" si="4"/>
        <v> </v>
      </c>
      <c r="W1975" s="86"/>
      <c r="X1975" s="86"/>
    </row>
    <row r="1976">
      <c r="A1976" s="192">
        <v>1.0</v>
      </c>
      <c r="B1976" s="193"/>
      <c r="C1976" s="194"/>
      <c r="D1976" s="195" t="str">
        <f>IFERROR(__xludf.DUMMYFUNCTION("ARRAYFORMULA(LET( converted, SUBSTITUTE( SUBSTITUTE( SUBSTITUTE( SUBSTITUTE( SUBSTITUTE( SUBSTITUTE( SUBSTITUTE( SUBSTITUTE( SUBSTITUTE( SUBSTITUTE( C1976, ""۰"", ""0""), ""۱"", ""1""), ""۲"", ""2""), ""۳"", ""3""), ""۴"", ""4""), ""۵"", ""5""), ""۶"", """&amp;"6""), ""۷"", ""7""), ""۸"", ""8""), ""۹"", ""9""), IF(LEFT(converted,3)=""+98"", ""0"" &amp; RIGHT(converted, LEN(converted)-3), IF(LEFT(converted,2)=""98"", ""0"" &amp; RIGHT(converted, LEN(converted)-2), IF(LEFT(converted,1)&lt;&gt;""0"", ""0"" &amp; converted, REGEXREPL"&amp;"ACE(converted , ""\s"", """")) ) ) ) )"),"0")</f>
        <v>0</v>
      </c>
      <c r="E1976" s="196"/>
      <c r="F1976" s="221"/>
      <c r="G1976" s="193"/>
      <c r="H1976" s="193"/>
      <c r="I1976" s="194"/>
      <c r="J1976" s="194"/>
      <c r="K1976" s="193"/>
      <c r="L1976" s="193"/>
      <c r="M1976" s="193"/>
      <c r="N1976" s="193"/>
      <c r="O1976" s="193"/>
      <c r="P1976" s="193"/>
      <c r="Q1976" s="200"/>
      <c r="R1976" s="86"/>
      <c r="S1976" s="114">
        <f t="shared" ref="S1976:T1976" si="1979">A1976</f>
        <v>1</v>
      </c>
      <c r="T1976" s="114" t="str">
        <f t="shared" si="1979"/>
        <v/>
      </c>
      <c r="U1976" s="86" t="str">
        <f t="shared" si="3"/>
        <v>0</v>
      </c>
      <c r="V1976" s="86" t="str">
        <f t="shared" si="4"/>
        <v> </v>
      </c>
      <c r="W1976" s="86"/>
      <c r="X1976" s="86"/>
    </row>
    <row r="1977">
      <c r="A1977" s="201">
        <v>1.0</v>
      </c>
      <c r="B1977" s="202"/>
      <c r="C1977" s="203"/>
      <c r="D1977" s="204" t="str">
        <f>IFERROR(__xludf.DUMMYFUNCTION("ARRAYFORMULA(LET( converted, SUBSTITUTE( SUBSTITUTE( SUBSTITUTE( SUBSTITUTE( SUBSTITUTE( SUBSTITUTE( SUBSTITUTE( SUBSTITUTE( SUBSTITUTE( SUBSTITUTE( C1977, ""۰"", ""0""), ""۱"", ""1""), ""۲"", ""2""), ""۳"", ""3""), ""۴"", ""4""), ""۵"", ""5""), ""۶"", """&amp;"6""), ""۷"", ""7""), ""۸"", ""8""), ""۹"", ""9""), IF(LEFT(converted,3)=""+98"", ""0"" &amp; RIGHT(converted, LEN(converted)-3), IF(LEFT(converted,2)=""98"", ""0"" &amp; RIGHT(converted, LEN(converted)-2), IF(LEFT(converted,1)&lt;&gt;""0"", ""0"" &amp; converted, REGEXREPL"&amp;"ACE(converted , ""\s"", """")) ) ) ) )"),"0")</f>
        <v>0</v>
      </c>
      <c r="E1977" s="205"/>
      <c r="F1977" s="214"/>
      <c r="G1977" s="202"/>
      <c r="H1977" s="202"/>
      <c r="I1977" s="203"/>
      <c r="J1977" s="203"/>
      <c r="K1977" s="202"/>
      <c r="L1977" s="202"/>
      <c r="M1977" s="202"/>
      <c r="N1977" s="202"/>
      <c r="O1977" s="202"/>
      <c r="P1977" s="202"/>
      <c r="Q1977" s="208"/>
      <c r="R1977" s="86"/>
      <c r="S1977" s="114">
        <f t="shared" ref="S1977:T1977" si="1980">A1977</f>
        <v>1</v>
      </c>
      <c r="T1977" s="114" t="str">
        <f t="shared" si="1980"/>
        <v/>
      </c>
      <c r="U1977" s="86" t="str">
        <f t="shared" si="3"/>
        <v>0</v>
      </c>
      <c r="V1977" s="86" t="str">
        <f t="shared" si="4"/>
        <v> </v>
      </c>
      <c r="W1977" s="86"/>
      <c r="X1977" s="86"/>
    </row>
    <row r="1978">
      <c r="A1978" s="192">
        <v>1.0</v>
      </c>
      <c r="B1978" s="193"/>
      <c r="C1978" s="194"/>
      <c r="D1978" s="195" t="str">
        <f>IFERROR(__xludf.DUMMYFUNCTION("ARRAYFORMULA(LET( converted, SUBSTITUTE( SUBSTITUTE( SUBSTITUTE( SUBSTITUTE( SUBSTITUTE( SUBSTITUTE( SUBSTITUTE( SUBSTITUTE( SUBSTITUTE( SUBSTITUTE( C1978, ""۰"", ""0""), ""۱"", ""1""), ""۲"", ""2""), ""۳"", ""3""), ""۴"", ""4""), ""۵"", ""5""), ""۶"", """&amp;"6""), ""۷"", ""7""), ""۸"", ""8""), ""۹"", ""9""), IF(LEFT(converted,3)=""+98"", ""0"" &amp; RIGHT(converted, LEN(converted)-3), IF(LEFT(converted,2)=""98"", ""0"" &amp; RIGHT(converted, LEN(converted)-2), IF(LEFT(converted,1)&lt;&gt;""0"", ""0"" &amp; converted, REGEXREPL"&amp;"ACE(converted , ""\s"", """")) ) ) ) )"),"0")</f>
        <v>0</v>
      </c>
      <c r="E1978" s="196"/>
      <c r="F1978" s="221"/>
      <c r="G1978" s="193"/>
      <c r="H1978" s="193"/>
      <c r="I1978" s="194"/>
      <c r="J1978" s="194"/>
      <c r="K1978" s="193"/>
      <c r="L1978" s="193"/>
      <c r="M1978" s="193"/>
      <c r="N1978" s="193"/>
      <c r="O1978" s="193"/>
      <c r="P1978" s="193"/>
      <c r="Q1978" s="200"/>
      <c r="R1978" s="86"/>
      <c r="S1978" s="114">
        <f t="shared" ref="S1978:T1978" si="1981">A1978</f>
        <v>1</v>
      </c>
      <c r="T1978" s="114" t="str">
        <f t="shared" si="1981"/>
        <v/>
      </c>
      <c r="U1978" s="86" t="str">
        <f t="shared" si="3"/>
        <v>0</v>
      </c>
      <c r="V1978" s="86" t="str">
        <f t="shared" si="4"/>
        <v> </v>
      </c>
      <c r="W1978" s="86"/>
      <c r="X1978" s="86"/>
    </row>
    <row r="1979">
      <c r="A1979" s="201">
        <v>1.0</v>
      </c>
      <c r="B1979" s="202"/>
      <c r="C1979" s="203"/>
      <c r="D1979" s="204" t="str">
        <f>IFERROR(__xludf.DUMMYFUNCTION("ARRAYFORMULA(LET( converted, SUBSTITUTE( SUBSTITUTE( SUBSTITUTE( SUBSTITUTE( SUBSTITUTE( SUBSTITUTE( SUBSTITUTE( SUBSTITUTE( SUBSTITUTE( SUBSTITUTE( C1979, ""۰"", ""0""), ""۱"", ""1""), ""۲"", ""2""), ""۳"", ""3""), ""۴"", ""4""), ""۵"", ""5""), ""۶"", """&amp;"6""), ""۷"", ""7""), ""۸"", ""8""), ""۹"", ""9""), IF(LEFT(converted,3)=""+98"", ""0"" &amp; RIGHT(converted, LEN(converted)-3), IF(LEFT(converted,2)=""98"", ""0"" &amp; RIGHT(converted, LEN(converted)-2), IF(LEFT(converted,1)&lt;&gt;""0"", ""0"" &amp; converted, REGEXREPL"&amp;"ACE(converted , ""\s"", """")) ) ) ) )"),"0")</f>
        <v>0</v>
      </c>
      <c r="E1979" s="205"/>
      <c r="F1979" s="214"/>
      <c r="G1979" s="202"/>
      <c r="H1979" s="202"/>
      <c r="I1979" s="203"/>
      <c r="J1979" s="203"/>
      <c r="K1979" s="202"/>
      <c r="L1979" s="202"/>
      <c r="M1979" s="202"/>
      <c r="N1979" s="202"/>
      <c r="O1979" s="202"/>
      <c r="P1979" s="202"/>
      <c r="Q1979" s="208"/>
      <c r="R1979" s="86"/>
      <c r="S1979" s="114">
        <f t="shared" ref="S1979:T1979" si="1982">A1979</f>
        <v>1</v>
      </c>
      <c r="T1979" s="114" t="str">
        <f t="shared" si="1982"/>
        <v/>
      </c>
      <c r="U1979" s="86" t="str">
        <f t="shared" si="3"/>
        <v>0</v>
      </c>
      <c r="V1979" s="86" t="str">
        <f t="shared" si="4"/>
        <v> </v>
      </c>
      <c r="W1979" s="86"/>
      <c r="X1979" s="86"/>
    </row>
    <row r="1980">
      <c r="A1980" s="192">
        <v>1.0</v>
      </c>
      <c r="B1980" s="193"/>
      <c r="C1980" s="194"/>
      <c r="D1980" s="195" t="str">
        <f>IFERROR(__xludf.DUMMYFUNCTION("ARRAYFORMULA(LET( converted, SUBSTITUTE( SUBSTITUTE( SUBSTITUTE( SUBSTITUTE( SUBSTITUTE( SUBSTITUTE( SUBSTITUTE( SUBSTITUTE( SUBSTITUTE( SUBSTITUTE( C1980, ""۰"", ""0""), ""۱"", ""1""), ""۲"", ""2""), ""۳"", ""3""), ""۴"", ""4""), ""۵"", ""5""), ""۶"", """&amp;"6""), ""۷"", ""7""), ""۸"", ""8""), ""۹"", ""9""), IF(LEFT(converted,3)=""+98"", ""0"" &amp; RIGHT(converted, LEN(converted)-3), IF(LEFT(converted,2)=""98"", ""0"" &amp; RIGHT(converted, LEN(converted)-2), IF(LEFT(converted,1)&lt;&gt;""0"", ""0"" &amp; converted, REGEXREPL"&amp;"ACE(converted , ""\s"", """")) ) ) ) )"),"0")</f>
        <v>0</v>
      </c>
      <c r="E1980" s="196"/>
      <c r="F1980" s="221"/>
      <c r="G1980" s="193"/>
      <c r="H1980" s="193"/>
      <c r="I1980" s="194"/>
      <c r="J1980" s="194"/>
      <c r="K1980" s="193"/>
      <c r="L1980" s="193"/>
      <c r="M1980" s="193"/>
      <c r="N1980" s="193"/>
      <c r="O1980" s="193"/>
      <c r="P1980" s="193"/>
      <c r="Q1980" s="200"/>
      <c r="R1980" s="86"/>
      <c r="S1980" s="114">
        <f t="shared" ref="S1980:T1980" si="1983">A1980</f>
        <v>1</v>
      </c>
      <c r="T1980" s="114" t="str">
        <f t="shared" si="1983"/>
        <v/>
      </c>
      <c r="U1980" s="86" t="str">
        <f t="shared" si="3"/>
        <v>0</v>
      </c>
      <c r="V1980" s="86" t="str">
        <f t="shared" si="4"/>
        <v> </v>
      </c>
      <c r="W1980" s="86"/>
      <c r="X1980" s="86"/>
    </row>
    <row r="1981">
      <c r="A1981" s="201">
        <v>1.0</v>
      </c>
      <c r="B1981" s="202"/>
      <c r="C1981" s="203"/>
      <c r="D1981" s="204" t="str">
        <f>IFERROR(__xludf.DUMMYFUNCTION("ARRAYFORMULA(LET( converted, SUBSTITUTE( SUBSTITUTE( SUBSTITUTE( SUBSTITUTE( SUBSTITUTE( SUBSTITUTE( SUBSTITUTE( SUBSTITUTE( SUBSTITUTE( SUBSTITUTE( C1981, ""۰"", ""0""), ""۱"", ""1""), ""۲"", ""2""), ""۳"", ""3""), ""۴"", ""4""), ""۵"", ""5""), ""۶"", """&amp;"6""), ""۷"", ""7""), ""۸"", ""8""), ""۹"", ""9""), IF(LEFT(converted,3)=""+98"", ""0"" &amp; RIGHT(converted, LEN(converted)-3), IF(LEFT(converted,2)=""98"", ""0"" &amp; RIGHT(converted, LEN(converted)-2), IF(LEFT(converted,1)&lt;&gt;""0"", ""0"" &amp; converted, REGEXREPL"&amp;"ACE(converted , ""\s"", """")) ) ) ) )"),"0")</f>
        <v>0</v>
      </c>
      <c r="E1981" s="205"/>
      <c r="F1981" s="214"/>
      <c r="G1981" s="202"/>
      <c r="H1981" s="202"/>
      <c r="I1981" s="203"/>
      <c r="J1981" s="203"/>
      <c r="K1981" s="202"/>
      <c r="L1981" s="202"/>
      <c r="M1981" s="202"/>
      <c r="N1981" s="202"/>
      <c r="O1981" s="202"/>
      <c r="P1981" s="202"/>
      <c r="Q1981" s="208"/>
      <c r="R1981" s="86"/>
      <c r="S1981" s="114">
        <f t="shared" ref="S1981:T1981" si="1984">A1981</f>
        <v>1</v>
      </c>
      <c r="T1981" s="114" t="str">
        <f t="shared" si="1984"/>
        <v/>
      </c>
      <c r="U1981" s="86" t="str">
        <f t="shared" si="3"/>
        <v>0</v>
      </c>
      <c r="V1981" s="86" t="str">
        <f t="shared" si="4"/>
        <v> </v>
      </c>
      <c r="W1981" s="86"/>
      <c r="X1981" s="86"/>
    </row>
    <row r="1982">
      <c r="A1982" s="192">
        <v>1.0</v>
      </c>
      <c r="B1982" s="193"/>
      <c r="C1982" s="194"/>
      <c r="D1982" s="195" t="str">
        <f>IFERROR(__xludf.DUMMYFUNCTION("ARRAYFORMULA(LET( converted, SUBSTITUTE( SUBSTITUTE( SUBSTITUTE( SUBSTITUTE( SUBSTITUTE( SUBSTITUTE( SUBSTITUTE( SUBSTITUTE( SUBSTITUTE( SUBSTITUTE( C1982, ""۰"", ""0""), ""۱"", ""1""), ""۲"", ""2""), ""۳"", ""3""), ""۴"", ""4""), ""۵"", ""5""), ""۶"", """&amp;"6""), ""۷"", ""7""), ""۸"", ""8""), ""۹"", ""9""), IF(LEFT(converted,3)=""+98"", ""0"" &amp; RIGHT(converted, LEN(converted)-3), IF(LEFT(converted,2)=""98"", ""0"" &amp; RIGHT(converted, LEN(converted)-2), IF(LEFT(converted,1)&lt;&gt;""0"", ""0"" &amp; converted, REGEXREPL"&amp;"ACE(converted , ""\s"", """")) ) ) ) )"),"0")</f>
        <v>0</v>
      </c>
      <c r="E1982" s="196"/>
      <c r="F1982" s="221"/>
      <c r="G1982" s="193"/>
      <c r="H1982" s="193"/>
      <c r="I1982" s="194"/>
      <c r="J1982" s="194"/>
      <c r="K1982" s="193"/>
      <c r="L1982" s="193"/>
      <c r="M1982" s="193"/>
      <c r="N1982" s="193"/>
      <c r="O1982" s="193"/>
      <c r="P1982" s="193"/>
      <c r="Q1982" s="200"/>
      <c r="R1982" s="86"/>
      <c r="S1982" s="114">
        <f t="shared" ref="S1982:T1982" si="1985">A1982</f>
        <v>1</v>
      </c>
      <c r="T1982" s="114" t="str">
        <f t="shared" si="1985"/>
        <v/>
      </c>
      <c r="U1982" s="86" t="str">
        <f t="shared" si="3"/>
        <v>0</v>
      </c>
      <c r="V1982" s="86" t="str">
        <f t="shared" si="4"/>
        <v> </v>
      </c>
      <c r="W1982" s="86"/>
      <c r="X1982" s="86"/>
    </row>
    <row r="1983">
      <c r="A1983" s="201">
        <v>1.0</v>
      </c>
      <c r="B1983" s="202"/>
      <c r="C1983" s="203"/>
      <c r="D1983" s="204" t="str">
        <f>IFERROR(__xludf.DUMMYFUNCTION("ARRAYFORMULA(LET( converted, SUBSTITUTE( SUBSTITUTE( SUBSTITUTE( SUBSTITUTE( SUBSTITUTE( SUBSTITUTE( SUBSTITUTE( SUBSTITUTE( SUBSTITUTE( SUBSTITUTE( C1983, ""۰"", ""0""), ""۱"", ""1""), ""۲"", ""2""), ""۳"", ""3""), ""۴"", ""4""), ""۵"", ""5""), ""۶"", """&amp;"6""), ""۷"", ""7""), ""۸"", ""8""), ""۹"", ""9""), IF(LEFT(converted,3)=""+98"", ""0"" &amp; RIGHT(converted, LEN(converted)-3), IF(LEFT(converted,2)=""98"", ""0"" &amp; RIGHT(converted, LEN(converted)-2), IF(LEFT(converted,1)&lt;&gt;""0"", ""0"" &amp; converted, REGEXREPL"&amp;"ACE(converted , ""\s"", """")) ) ) ) )"),"0")</f>
        <v>0</v>
      </c>
      <c r="E1983" s="205"/>
      <c r="F1983" s="214"/>
      <c r="G1983" s="202"/>
      <c r="H1983" s="202"/>
      <c r="I1983" s="203"/>
      <c r="J1983" s="203"/>
      <c r="K1983" s="202"/>
      <c r="L1983" s="202"/>
      <c r="M1983" s="202"/>
      <c r="N1983" s="202"/>
      <c r="O1983" s="202"/>
      <c r="P1983" s="202"/>
      <c r="Q1983" s="208"/>
      <c r="R1983" s="86"/>
      <c r="S1983" s="114">
        <f t="shared" ref="S1983:T1983" si="1986">A1983</f>
        <v>1</v>
      </c>
      <c r="T1983" s="114" t="str">
        <f t="shared" si="1986"/>
        <v/>
      </c>
      <c r="U1983" s="86" t="str">
        <f t="shared" si="3"/>
        <v>0</v>
      </c>
      <c r="V1983" s="86" t="str">
        <f t="shared" si="4"/>
        <v> </v>
      </c>
      <c r="W1983" s="86"/>
      <c r="X1983" s="86"/>
    </row>
    <row r="1984">
      <c r="A1984" s="192">
        <v>1.0</v>
      </c>
      <c r="B1984" s="193"/>
      <c r="C1984" s="194"/>
      <c r="D1984" s="195" t="str">
        <f>IFERROR(__xludf.DUMMYFUNCTION("ARRAYFORMULA(LET( converted, SUBSTITUTE( SUBSTITUTE( SUBSTITUTE( SUBSTITUTE( SUBSTITUTE( SUBSTITUTE( SUBSTITUTE( SUBSTITUTE( SUBSTITUTE( SUBSTITUTE( C1984, ""۰"", ""0""), ""۱"", ""1""), ""۲"", ""2""), ""۳"", ""3""), ""۴"", ""4""), ""۵"", ""5""), ""۶"", """&amp;"6""), ""۷"", ""7""), ""۸"", ""8""), ""۹"", ""9""), IF(LEFT(converted,3)=""+98"", ""0"" &amp; RIGHT(converted, LEN(converted)-3), IF(LEFT(converted,2)=""98"", ""0"" &amp; RIGHT(converted, LEN(converted)-2), IF(LEFT(converted,1)&lt;&gt;""0"", ""0"" &amp; converted, REGEXREPL"&amp;"ACE(converted , ""\s"", """")) ) ) ) )"),"0")</f>
        <v>0</v>
      </c>
      <c r="E1984" s="196"/>
      <c r="F1984" s="221"/>
      <c r="G1984" s="193"/>
      <c r="H1984" s="193"/>
      <c r="I1984" s="194"/>
      <c r="J1984" s="194"/>
      <c r="K1984" s="193"/>
      <c r="L1984" s="193"/>
      <c r="M1984" s="193"/>
      <c r="N1984" s="193"/>
      <c r="O1984" s="193"/>
      <c r="P1984" s="193"/>
      <c r="Q1984" s="200"/>
      <c r="R1984" s="86"/>
      <c r="S1984" s="114">
        <f t="shared" ref="S1984:T1984" si="1987">A1984</f>
        <v>1</v>
      </c>
      <c r="T1984" s="114" t="str">
        <f t="shared" si="1987"/>
        <v/>
      </c>
      <c r="U1984" s="86" t="str">
        <f t="shared" si="3"/>
        <v>0</v>
      </c>
      <c r="V1984" s="86" t="str">
        <f t="shared" si="4"/>
        <v> </v>
      </c>
      <c r="W1984" s="86"/>
      <c r="X1984" s="86"/>
    </row>
    <row r="1985">
      <c r="A1985" s="201">
        <v>1.0</v>
      </c>
      <c r="B1985" s="202"/>
      <c r="C1985" s="203"/>
      <c r="D1985" s="204" t="str">
        <f>IFERROR(__xludf.DUMMYFUNCTION("ARRAYFORMULA(LET( converted, SUBSTITUTE( SUBSTITUTE( SUBSTITUTE( SUBSTITUTE( SUBSTITUTE( SUBSTITUTE( SUBSTITUTE( SUBSTITUTE( SUBSTITUTE( SUBSTITUTE( C1985, ""۰"", ""0""), ""۱"", ""1""), ""۲"", ""2""), ""۳"", ""3""), ""۴"", ""4""), ""۵"", ""5""), ""۶"", """&amp;"6""), ""۷"", ""7""), ""۸"", ""8""), ""۹"", ""9""), IF(LEFT(converted,3)=""+98"", ""0"" &amp; RIGHT(converted, LEN(converted)-3), IF(LEFT(converted,2)=""98"", ""0"" &amp; RIGHT(converted, LEN(converted)-2), IF(LEFT(converted,1)&lt;&gt;""0"", ""0"" &amp; converted, REGEXREPL"&amp;"ACE(converted , ""\s"", """")) ) ) ) )"),"0")</f>
        <v>0</v>
      </c>
      <c r="E1985" s="205"/>
      <c r="F1985" s="214"/>
      <c r="G1985" s="202"/>
      <c r="H1985" s="202"/>
      <c r="I1985" s="203"/>
      <c r="J1985" s="203"/>
      <c r="K1985" s="202"/>
      <c r="L1985" s="202"/>
      <c r="M1985" s="202"/>
      <c r="N1985" s="202"/>
      <c r="O1985" s="202"/>
      <c r="P1985" s="202"/>
      <c r="Q1985" s="208"/>
      <c r="R1985" s="86"/>
      <c r="S1985" s="114">
        <f t="shared" ref="S1985:T1985" si="1988">A1985</f>
        <v>1</v>
      </c>
      <c r="T1985" s="114" t="str">
        <f t="shared" si="1988"/>
        <v/>
      </c>
      <c r="U1985" s="86" t="str">
        <f t="shared" si="3"/>
        <v>0</v>
      </c>
      <c r="V1985" s="86" t="str">
        <f t="shared" si="4"/>
        <v> </v>
      </c>
      <c r="W1985" s="86"/>
      <c r="X1985" s="86"/>
    </row>
    <row r="1986">
      <c r="A1986" s="192">
        <v>1.0</v>
      </c>
      <c r="B1986" s="193"/>
      <c r="C1986" s="194"/>
      <c r="D1986" s="195" t="str">
        <f>IFERROR(__xludf.DUMMYFUNCTION("ARRAYFORMULA(LET( converted, SUBSTITUTE( SUBSTITUTE( SUBSTITUTE( SUBSTITUTE( SUBSTITUTE( SUBSTITUTE( SUBSTITUTE( SUBSTITUTE( SUBSTITUTE( SUBSTITUTE( C1986, ""۰"", ""0""), ""۱"", ""1""), ""۲"", ""2""), ""۳"", ""3""), ""۴"", ""4""), ""۵"", ""5""), ""۶"", """&amp;"6""), ""۷"", ""7""), ""۸"", ""8""), ""۹"", ""9""), IF(LEFT(converted,3)=""+98"", ""0"" &amp; RIGHT(converted, LEN(converted)-3), IF(LEFT(converted,2)=""98"", ""0"" &amp; RIGHT(converted, LEN(converted)-2), IF(LEFT(converted,1)&lt;&gt;""0"", ""0"" &amp; converted, REGEXREPL"&amp;"ACE(converted , ""\s"", """")) ) ) ) )"),"0")</f>
        <v>0</v>
      </c>
      <c r="E1986" s="196"/>
      <c r="F1986" s="221"/>
      <c r="G1986" s="193"/>
      <c r="H1986" s="193"/>
      <c r="I1986" s="194"/>
      <c r="J1986" s="194"/>
      <c r="K1986" s="193"/>
      <c r="L1986" s="193"/>
      <c r="M1986" s="193"/>
      <c r="N1986" s="193"/>
      <c r="O1986" s="193"/>
      <c r="P1986" s="193"/>
      <c r="Q1986" s="200"/>
      <c r="R1986" s="86"/>
      <c r="S1986" s="114">
        <f t="shared" ref="S1986:T1986" si="1989">A1986</f>
        <v>1</v>
      </c>
      <c r="T1986" s="114" t="str">
        <f t="shared" si="1989"/>
        <v/>
      </c>
      <c r="U1986" s="86" t="str">
        <f t="shared" si="3"/>
        <v>0</v>
      </c>
      <c r="V1986" s="86" t="str">
        <f t="shared" si="4"/>
        <v> </v>
      </c>
      <c r="W1986" s="86"/>
      <c r="X1986" s="86"/>
    </row>
    <row r="1987">
      <c r="A1987" s="201">
        <v>1.0</v>
      </c>
      <c r="B1987" s="202"/>
      <c r="C1987" s="203"/>
      <c r="D1987" s="204" t="str">
        <f>IFERROR(__xludf.DUMMYFUNCTION("ARRAYFORMULA(LET( converted, SUBSTITUTE( SUBSTITUTE( SUBSTITUTE( SUBSTITUTE( SUBSTITUTE( SUBSTITUTE( SUBSTITUTE( SUBSTITUTE( SUBSTITUTE( SUBSTITUTE( C1987, ""۰"", ""0""), ""۱"", ""1""), ""۲"", ""2""), ""۳"", ""3""), ""۴"", ""4""), ""۵"", ""5""), ""۶"", """&amp;"6""), ""۷"", ""7""), ""۸"", ""8""), ""۹"", ""9""), IF(LEFT(converted,3)=""+98"", ""0"" &amp; RIGHT(converted, LEN(converted)-3), IF(LEFT(converted,2)=""98"", ""0"" &amp; RIGHT(converted, LEN(converted)-2), IF(LEFT(converted,1)&lt;&gt;""0"", ""0"" &amp; converted, REGEXREPL"&amp;"ACE(converted , ""\s"", """")) ) ) ) )"),"0")</f>
        <v>0</v>
      </c>
      <c r="E1987" s="205"/>
      <c r="F1987" s="214"/>
      <c r="G1987" s="202"/>
      <c r="H1987" s="202"/>
      <c r="I1987" s="203"/>
      <c r="J1987" s="203"/>
      <c r="K1987" s="202"/>
      <c r="L1987" s="202"/>
      <c r="M1987" s="202"/>
      <c r="N1987" s="202"/>
      <c r="O1987" s="202"/>
      <c r="P1987" s="202"/>
      <c r="Q1987" s="208"/>
      <c r="R1987" s="86"/>
      <c r="S1987" s="114">
        <f t="shared" ref="S1987:T1987" si="1990">A1987</f>
        <v>1</v>
      </c>
      <c r="T1987" s="114" t="str">
        <f t="shared" si="1990"/>
        <v/>
      </c>
      <c r="U1987" s="86" t="str">
        <f t="shared" si="3"/>
        <v>0</v>
      </c>
      <c r="V1987" s="86" t="str">
        <f t="shared" si="4"/>
        <v> </v>
      </c>
      <c r="W1987" s="86"/>
      <c r="X1987" s="86"/>
    </row>
    <row r="1988">
      <c r="A1988" s="192">
        <v>1.0</v>
      </c>
      <c r="B1988" s="193"/>
      <c r="C1988" s="194"/>
      <c r="D1988" s="195" t="str">
        <f>IFERROR(__xludf.DUMMYFUNCTION("ARRAYFORMULA(LET( converted, SUBSTITUTE( SUBSTITUTE( SUBSTITUTE( SUBSTITUTE( SUBSTITUTE( SUBSTITUTE( SUBSTITUTE( SUBSTITUTE( SUBSTITUTE( SUBSTITUTE( C1988, ""۰"", ""0""), ""۱"", ""1""), ""۲"", ""2""), ""۳"", ""3""), ""۴"", ""4""), ""۵"", ""5""), ""۶"", """&amp;"6""), ""۷"", ""7""), ""۸"", ""8""), ""۹"", ""9""), IF(LEFT(converted,3)=""+98"", ""0"" &amp; RIGHT(converted, LEN(converted)-3), IF(LEFT(converted,2)=""98"", ""0"" &amp; RIGHT(converted, LEN(converted)-2), IF(LEFT(converted,1)&lt;&gt;""0"", ""0"" &amp; converted, REGEXREPL"&amp;"ACE(converted , ""\s"", """")) ) ) ) )"),"0")</f>
        <v>0</v>
      </c>
      <c r="E1988" s="196"/>
      <c r="F1988" s="221"/>
      <c r="G1988" s="193"/>
      <c r="H1988" s="193"/>
      <c r="I1988" s="194"/>
      <c r="J1988" s="194"/>
      <c r="K1988" s="193"/>
      <c r="L1988" s="193"/>
      <c r="M1988" s="193"/>
      <c r="N1988" s="193"/>
      <c r="O1988" s="193"/>
      <c r="P1988" s="193"/>
      <c r="Q1988" s="200"/>
      <c r="R1988" s="86"/>
      <c r="S1988" s="114">
        <f t="shared" ref="S1988:T1988" si="1991">A1988</f>
        <v>1</v>
      </c>
      <c r="T1988" s="114" t="str">
        <f t="shared" si="1991"/>
        <v/>
      </c>
      <c r="U1988" s="86" t="str">
        <f t="shared" si="3"/>
        <v>0</v>
      </c>
      <c r="V1988" s="86" t="str">
        <f t="shared" si="4"/>
        <v> </v>
      </c>
      <c r="W1988" s="86"/>
      <c r="X1988" s="86"/>
    </row>
    <row r="1989">
      <c r="A1989" s="201">
        <v>1.0</v>
      </c>
      <c r="B1989" s="202"/>
      <c r="C1989" s="203"/>
      <c r="D1989" s="204" t="str">
        <f>IFERROR(__xludf.DUMMYFUNCTION("ARRAYFORMULA(LET( converted, SUBSTITUTE( SUBSTITUTE( SUBSTITUTE( SUBSTITUTE( SUBSTITUTE( SUBSTITUTE( SUBSTITUTE( SUBSTITUTE( SUBSTITUTE( SUBSTITUTE( C1989, ""۰"", ""0""), ""۱"", ""1""), ""۲"", ""2""), ""۳"", ""3""), ""۴"", ""4""), ""۵"", ""5""), ""۶"", """&amp;"6""), ""۷"", ""7""), ""۸"", ""8""), ""۹"", ""9""), IF(LEFT(converted,3)=""+98"", ""0"" &amp; RIGHT(converted, LEN(converted)-3), IF(LEFT(converted,2)=""98"", ""0"" &amp; RIGHT(converted, LEN(converted)-2), IF(LEFT(converted,1)&lt;&gt;""0"", ""0"" &amp; converted, REGEXREPL"&amp;"ACE(converted , ""\s"", """")) ) ) ) )"),"0")</f>
        <v>0</v>
      </c>
      <c r="E1989" s="205"/>
      <c r="F1989" s="214"/>
      <c r="G1989" s="202"/>
      <c r="H1989" s="202"/>
      <c r="I1989" s="203"/>
      <c r="J1989" s="203"/>
      <c r="K1989" s="202"/>
      <c r="L1989" s="202"/>
      <c r="M1989" s="202"/>
      <c r="N1989" s="202"/>
      <c r="O1989" s="202"/>
      <c r="P1989" s="202"/>
      <c r="Q1989" s="208"/>
      <c r="R1989" s="86"/>
      <c r="S1989" s="114">
        <f t="shared" ref="S1989:T1989" si="1992">A1989</f>
        <v>1</v>
      </c>
      <c r="T1989" s="114" t="str">
        <f t="shared" si="1992"/>
        <v/>
      </c>
      <c r="U1989" s="86" t="str">
        <f t="shared" si="3"/>
        <v>0</v>
      </c>
      <c r="V1989" s="86" t="str">
        <f t="shared" si="4"/>
        <v> </v>
      </c>
      <c r="W1989" s="86"/>
      <c r="X1989" s="86"/>
    </row>
    <row r="1990">
      <c r="A1990" s="192">
        <v>1.0</v>
      </c>
      <c r="B1990" s="193"/>
      <c r="C1990" s="194"/>
      <c r="D1990" s="195" t="str">
        <f>IFERROR(__xludf.DUMMYFUNCTION("ARRAYFORMULA(LET( converted, SUBSTITUTE( SUBSTITUTE( SUBSTITUTE( SUBSTITUTE( SUBSTITUTE( SUBSTITUTE( SUBSTITUTE( SUBSTITUTE( SUBSTITUTE( SUBSTITUTE( C1990, ""۰"", ""0""), ""۱"", ""1""), ""۲"", ""2""), ""۳"", ""3""), ""۴"", ""4""), ""۵"", ""5""), ""۶"", """&amp;"6""), ""۷"", ""7""), ""۸"", ""8""), ""۹"", ""9""), IF(LEFT(converted,3)=""+98"", ""0"" &amp; RIGHT(converted, LEN(converted)-3), IF(LEFT(converted,2)=""98"", ""0"" &amp; RIGHT(converted, LEN(converted)-2), IF(LEFT(converted,1)&lt;&gt;""0"", ""0"" &amp; converted, REGEXREPL"&amp;"ACE(converted , ""\s"", """")) ) ) ) )"),"0")</f>
        <v>0</v>
      </c>
      <c r="E1990" s="196"/>
      <c r="F1990" s="221"/>
      <c r="G1990" s="193"/>
      <c r="H1990" s="193"/>
      <c r="I1990" s="194"/>
      <c r="J1990" s="194"/>
      <c r="K1990" s="193"/>
      <c r="L1990" s="193"/>
      <c r="M1990" s="193"/>
      <c r="N1990" s="193"/>
      <c r="O1990" s="193"/>
      <c r="P1990" s="193"/>
      <c r="Q1990" s="200"/>
      <c r="R1990" s="86"/>
      <c r="S1990" s="114">
        <f t="shared" ref="S1990:T1990" si="1993">A1990</f>
        <v>1</v>
      </c>
      <c r="T1990" s="114" t="str">
        <f t="shared" si="1993"/>
        <v/>
      </c>
      <c r="U1990" s="86" t="str">
        <f t="shared" si="3"/>
        <v>0</v>
      </c>
      <c r="V1990" s="86" t="str">
        <f t="shared" si="4"/>
        <v> </v>
      </c>
      <c r="W1990" s="86"/>
      <c r="X1990" s="86"/>
    </row>
    <row r="1991">
      <c r="A1991" s="201">
        <v>1.0</v>
      </c>
      <c r="B1991" s="202"/>
      <c r="C1991" s="203"/>
      <c r="D1991" s="204" t="str">
        <f>IFERROR(__xludf.DUMMYFUNCTION("ARRAYFORMULA(LET( converted, SUBSTITUTE( SUBSTITUTE( SUBSTITUTE( SUBSTITUTE( SUBSTITUTE( SUBSTITUTE( SUBSTITUTE( SUBSTITUTE( SUBSTITUTE( SUBSTITUTE( C1991, ""۰"", ""0""), ""۱"", ""1""), ""۲"", ""2""), ""۳"", ""3""), ""۴"", ""4""), ""۵"", ""5""), ""۶"", """&amp;"6""), ""۷"", ""7""), ""۸"", ""8""), ""۹"", ""9""), IF(LEFT(converted,3)=""+98"", ""0"" &amp; RIGHT(converted, LEN(converted)-3), IF(LEFT(converted,2)=""98"", ""0"" &amp; RIGHT(converted, LEN(converted)-2), IF(LEFT(converted,1)&lt;&gt;""0"", ""0"" &amp; converted, REGEXREPL"&amp;"ACE(converted , ""\s"", """")) ) ) ) )"),"0")</f>
        <v>0</v>
      </c>
      <c r="E1991" s="205"/>
      <c r="F1991" s="214"/>
      <c r="G1991" s="202"/>
      <c r="H1991" s="202"/>
      <c r="I1991" s="203"/>
      <c r="J1991" s="203"/>
      <c r="K1991" s="202"/>
      <c r="L1991" s="202"/>
      <c r="M1991" s="202"/>
      <c r="N1991" s="202"/>
      <c r="O1991" s="202"/>
      <c r="P1991" s="202"/>
      <c r="Q1991" s="208"/>
      <c r="R1991" s="86"/>
      <c r="S1991" s="114">
        <f t="shared" ref="S1991:T1991" si="1994">A1991</f>
        <v>1</v>
      </c>
      <c r="T1991" s="114" t="str">
        <f t="shared" si="1994"/>
        <v/>
      </c>
      <c r="U1991" s="86" t="str">
        <f t="shared" si="3"/>
        <v>0</v>
      </c>
      <c r="V1991" s="86" t="str">
        <f t="shared" si="4"/>
        <v> </v>
      </c>
      <c r="W1991" s="86"/>
      <c r="X1991" s="86"/>
    </row>
    <row r="1992">
      <c r="A1992" s="192">
        <v>1.0</v>
      </c>
      <c r="B1992" s="193"/>
      <c r="C1992" s="194"/>
      <c r="D1992" s="195" t="str">
        <f>IFERROR(__xludf.DUMMYFUNCTION("ARRAYFORMULA(LET( converted, SUBSTITUTE( SUBSTITUTE( SUBSTITUTE( SUBSTITUTE( SUBSTITUTE( SUBSTITUTE( SUBSTITUTE( SUBSTITUTE( SUBSTITUTE( SUBSTITUTE( C1992, ""۰"", ""0""), ""۱"", ""1""), ""۲"", ""2""), ""۳"", ""3""), ""۴"", ""4""), ""۵"", ""5""), ""۶"", """&amp;"6""), ""۷"", ""7""), ""۸"", ""8""), ""۹"", ""9""), IF(LEFT(converted,3)=""+98"", ""0"" &amp; RIGHT(converted, LEN(converted)-3), IF(LEFT(converted,2)=""98"", ""0"" &amp; RIGHT(converted, LEN(converted)-2), IF(LEFT(converted,1)&lt;&gt;""0"", ""0"" &amp; converted, REGEXREPL"&amp;"ACE(converted , ""\s"", """")) ) ) ) )"),"0")</f>
        <v>0</v>
      </c>
      <c r="E1992" s="196"/>
      <c r="F1992" s="221"/>
      <c r="G1992" s="193"/>
      <c r="H1992" s="193"/>
      <c r="I1992" s="194"/>
      <c r="J1992" s="194"/>
      <c r="K1992" s="193"/>
      <c r="L1992" s="193"/>
      <c r="M1992" s="193"/>
      <c r="N1992" s="193"/>
      <c r="O1992" s="193"/>
      <c r="P1992" s="193"/>
      <c r="Q1992" s="200"/>
      <c r="R1992" s="86"/>
      <c r="S1992" s="114">
        <f t="shared" ref="S1992:T1992" si="1995">A1992</f>
        <v>1</v>
      </c>
      <c r="T1992" s="114" t="str">
        <f t="shared" si="1995"/>
        <v/>
      </c>
      <c r="U1992" s="86" t="str">
        <f t="shared" si="3"/>
        <v>0</v>
      </c>
      <c r="V1992" s="86" t="str">
        <f t="shared" si="4"/>
        <v> </v>
      </c>
      <c r="W1992" s="86"/>
      <c r="X1992" s="86"/>
    </row>
    <row r="1993">
      <c r="A1993" s="201">
        <v>1.0</v>
      </c>
      <c r="B1993" s="202"/>
      <c r="C1993" s="203"/>
      <c r="D1993" s="204" t="str">
        <f>IFERROR(__xludf.DUMMYFUNCTION("ARRAYFORMULA(LET( converted, SUBSTITUTE( SUBSTITUTE( SUBSTITUTE( SUBSTITUTE( SUBSTITUTE( SUBSTITUTE( SUBSTITUTE( SUBSTITUTE( SUBSTITUTE( SUBSTITUTE( C1993, ""۰"", ""0""), ""۱"", ""1""), ""۲"", ""2""), ""۳"", ""3""), ""۴"", ""4""), ""۵"", ""5""), ""۶"", """&amp;"6""), ""۷"", ""7""), ""۸"", ""8""), ""۹"", ""9""), IF(LEFT(converted,3)=""+98"", ""0"" &amp; RIGHT(converted, LEN(converted)-3), IF(LEFT(converted,2)=""98"", ""0"" &amp; RIGHT(converted, LEN(converted)-2), IF(LEFT(converted,1)&lt;&gt;""0"", ""0"" &amp; converted, REGEXREPL"&amp;"ACE(converted , ""\s"", """")) ) ) ) )"),"0")</f>
        <v>0</v>
      </c>
      <c r="E1993" s="205"/>
      <c r="F1993" s="214"/>
      <c r="G1993" s="202"/>
      <c r="H1993" s="202"/>
      <c r="I1993" s="203"/>
      <c r="J1993" s="203"/>
      <c r="K1993" s="202"/>
      <c r="L1993" s="202"/>
      <c r="M1993" s="202"/>
      <c r="N1993" s="202"/>
      <c r="O1993" s="202"/>
      <c r="P1993" s="202"/>
      <c r="Q1993" s="208"/>
      <c r="R1993" s="86"/>
      <c r="S1993" s="114">
        <f t="shared" ref="S1993:T1993" si="1996">A1993</f>
        <v>1</v>
      </c>
      <c r="T1993" s="114" t="str">
        <f t="shared" si="1996"/>
        <v/>
      </c>
      <c r="U1993" s="86" t="str">
        <f t="shared" si="3"/>
        <v>0</v>
      </c>
      <c r="V1993" s="86" t="str">
        <f t="shared" si="4"/>
        <v> </v>
      </c>
      <c r="W1993" s="86"/>
      <c r="X1993" s="86"/>
    </row>
    <row r="1994">
      <c r="A1994" s="192">
        <v>1.0</v>
      </c>
      <c r="B1994" s="193"/>
      <c r="C1994" s="194"/>
      <c r="D1994" s="195" t="str">
        <f>IFERROR(__xludf.DUMMYFUNCTION("ARRAYFORMULA(LET( converted, SUBSTITUTE( SUBSTITUTE( SUBSTITUTE( SUBSTITUTE( SUBSTITUTE( SUBSTITUTE( SUBSTITUTE( SUBSTITUTE( SUBSTITUTE( SUBSTITUTE( C1994, ""۰"", ""0""), ""۱"", ""1""), ""۲"", ""2""), ""۳"", ""3""), ""۴"", ""4""), ""۵"", ""5""), ""۶"", """&amp;"6""), ""۷"", ""7""), ""۸"", ""8""), ""۹"", ""9""), IF(LEFT(converted,3)=""+98"", ""0"" &amp; RIGHT(converted, LEN(converted)-3), IF(LEFT(converted,2)=""98"", ""0"" &amp; RIGHT(converted, LEN(converted)-2), IF(LEFT(converted,1)&lt;&gt;""0"", ""0"" &amp; converted, REGEXREPL"&amp;"ACE(converted , ""\s"", """")) ) ) ) )"),"0")</f>
        <v>0</v>
      </c>
      <c r="E1994" s="196"/>
      <c r="F1994" s="221"/>
      <c r="G1994" s="193"/>
      <c r="H1994" s="193"/>
      <c r="I1994" s="194"/>
      <c r="J1994" s="194"/>
      <c r="K1994" s="193"/>
      <c r="L1994" s="193"/>
      <c r="M1994" s="193"/>
      <c r="N1994" s="193"/>
      <c r="O1994" s="193"/>
      <c r="P1994" s="193"/>
      <c r="Q1994" s="200"/>
      <c r="R1994" s="86"/>
      <c r="S1994" s="114">
        <f t="shared" ref="S1994:T1994" si="1997">A1994</f>
        <v>1</v>
      </c>
      <c r="T1994" s="114" t="str">
        <f t="shared" si="1997"/>
        <v/>
      </c>
      <c r="U1994" s="86" t="str">
        <f t="shared" si="3"/>
        <v>0</v>
      </c>
      <c r="V1994" s="86" t="str">
        <f t="shared" si="4"/>
        <v> </v>
      </c>
      <c r="W1994" s="86"/>
      <c r="X1994" s="86"/>
    </row>
    <row r="1995">
      <c r="A1995" s="201">
        <v>1.0</v>
      </c>
      <c r="B1995" s="202"/>
      <c r="C1995" s="203"/>
      <c r="D1995" s="204" t="str">
        <f>IFERROR(__xludf.DUMMYFUNCTION("ARRAYFORMULA(LET( converted, SUBSTITUTE( SUBSTITUTE( SUBSTITUTE( SUBSTITUTE( SUBSTITUTE( SUBSTITUTE( SUBSTITUTE( SUBSTITUTE( SUBSTITUTE( SUBSTITUTE( C1995, ""۰"", ""0""), ""۱"", ""1""), ""۲"", ""2""), ""۳"", ""3""), ""۴"", ""4""), ""۵"", ""5""), ""۶"", """&amp;"6""), ""۷"", ""7""), ""۸"", ""8""), ""۹"", ""9""), IF(LEFT(converted,3)=""+98"", ""0"" &amp; RIGHT(converted, LEN(converted)-3), IF(LEFT(converted,2)=""98"", ""0"" &amp; RIGHT(converted, LEN(converted)-2), IF(LEFT(converted,1)&lt;&gt;""0"", ""0"" &amp; converted, REGEXREPL"&amp;"ACE(converted , ""\s"", """")) ) ) ) )"),"0")</f>
        <v>0</v>
      </c>
      <c r="E1995" s="205"/>
      <c r="F1995" s="214"/>
      <c r="G1995" s="202"/>
      <c r="H1995" s="202"/>
      <c r="I1995" s="203"/>
      <c r="J1995" s="203"/>
      <c r="K1995" s="202"/>
      <c r="L1995" s="202"/>
      <c r="M1995" s="202"/>
      <c r="N1995" s="202"/>
      <c r="O1995" s="202"/>
      <c r="P1995" s="202"/>
      <c r="Q1995" s="208"/>
      <c r="R1995" s="86"/>
      <c r="S1995" s="114">
        <f t="shared" ref="S1995:T1995" si="1998">A1995</f>
        <v>1</v>
      </c>
      <c r="T1995" s="114" t="str">
        <f t="shared" si="1998"/>
        <v/>
      </c>
      <c r="U1995" s="86" t="str">
        <f t="shared" si="3"/>
        <v>0</v>
      </c>
      <c r="V1995" s="86" t="str">
        <f t="shared" si="4"/>
        <v> </v>
      </c>
      <c r="W1995" s="86"/>
      <c r="X1995" s="86"/>
    </row>
    <row r="1996">
      <c r="A1996" s="192">
        <v>1.0</v>
      </c>
      <c r="B1996" s="193"/>
      <c r="C1996" s="194"/>
      <c r="D1996" s="194"/>
      <c r="E1996" s="196"/>
      <c r="F1996" s="221"/>
      <c r="G1996" s="193"/>
      <c r="H1996" s="193"/>
      <c r="I1996" s="194"/>
      <c r="J1996" s="194"/>
      <c r="K1996" s="193"/>
      <c r="L1996" s="193"/>
      <c r="M1996" s="193"/>
      <c r="N1996" s="193"/>
      <c r="O1996" s="193"/>
      <c r="P1996" s="193"/>
      <c r="Q1996" s="200"/>
      <c r="R1996" s="86"/>
      <c r="S1996" s="114">
        <f t="shared" ref="S1996:T1996" si="1999">A1996</f>
        <v>1</v>
      </c>
      <c r="T1996" s="114" t="str">
        <f t="shared" si="1999"/>
        <v/>
      </c>
      <c r="U1996" s="227" t="str">
        <f t="shared" si="3"/>
        <v/>
      </c>
      <c r="V1996" s="86" t="str">
        <f t="shared" si="4"/>
        <v> </v>
      </c>
      <c r="W1996" s="86"/>
      <c r="X1996" s="86"/>
    </row>
    <row r="1997">
      <c r="A1997" s="201">
        <v>1.0</v>
      </c>
      <c r="B1997" s="202"/>
      <c r="C1997" s="203"/>
      <c r="D1997" s="203"/>
      <c r="E1997" s="205"/>
      <c r="F1997" s="214"/>
      <c r="G1997" s="202"/>
      <c r="H1997" s="202"/>
      <c r="I1997" s="203"/>
      <c r="J1997" s="203"/>
      <c r="K1997" s="202"/>
      <c r="L1997" s="202"/>
      <c r="M1997" s="202"/>
      <c r="N1997" s="202"/>
      <c r="O1997" s="202"/>
      <c r="P1997" s="202"/>
      <c r="Q1997" s="208"/>
      <c r="R1997" s="86"/>
      <c r="S1997" s="114">
        <f t="shared" ref="S1997:T1997" si="2000">A1997</f>
        <v>1</v>
      </c>
      <c r="T1997" s="114" t="str">
        <f t="shared" si="2000"/>
        <v/>
      </c>
      <c r="U1997" s="227" t="str">
        <f t="shared" si="3"/>
        <v/>
      </c>
      <c r="V1997" s="86" t="str">
        <f t="shared" si="4"/>
        <v> </v>
      </c>
      <c r="W1997" s="86"/>
      <c r="X1997" s="86"/>
    </row>
    <row r="1998">
      <c r="A1998" s="192">
        <v>1.0</v>
      </c>
      <c r="B1998" s="193"/>
      <c r="C1998" s="194"/>
      <c r="D1998" s="194"/>
      <c r="E1998" s="196"/>
      <c r="F1998" s="221"/>
      <c r="G1998" s="193"/>
      <c r="H1998" s="193"/>
      <c r="I1998" s="194"/>
      <c r="J1998" s="194"/>
      <c r="K1998" s="193"/>
      <c r="L1998" s="193"/>
      <c r="M1998" s="193"/>
      <c r="N1998" s="193"/>
      <c r="O1998" s="193"/>
      <c r="P1998" s="193"/>
      <c r="Q1998" s="200"/>
      <c r="R1998" s="86"/>
      <c r="S1998" s="114">
        <f t="shared" ref="S1998:T1998" si="2001">A1998</f>
        <v>1</v>
      </c>
      <c r="T1998" s="114" t="str">
        <f t="shared" si="2001"/>
        <v/>
      </c>
      <c r="U1998" s="227" t="str">
        <f t="shared" si="3"/>
        <v/>
      </c>
      <c r="V1998" s="86" t="str">
        <f t="shared" si="4"/>
        <v> </v>
      </c>
      <c r="W1998" s="86"/>
      <c r="X1998" s="86"/>
    </row>
    <row r="1999">
      <c r="A1999" s="201">
        <v>1.0</v>
      </c>
      <c r="B1999" s="202"/>
      <c r="C1999" s="203"/>
      <c r="D1999" s="203"/>
      <c r="E1999" s="205"/>
      <c r="F1999" s="214"/>
      <c r="G1999" s="202"/>
      <c r="H1999" s="202"/>
      <c r="I1999" s="203"/>
      <c r="J1999" s="203"/>
      <c r="K1999" s="202"/>
      <c r="L1999" s="202"/>
      <c r="M1999" s="202"/>
      <c r="N1999" s="202"/>
      <c r="O1999" s="202"/>
      <c r="P1999" s="202"/>
      <c r="Q1999" s="208"/>
      <c r="R1999" s="86"/>
      <c r="S1999" s="114">
        <f t="shared" ref="S1999:T1999" si="2002">A1999</f>
        <v>1</v>
      </c>
      <c r="T1999" s="114" t="str">
        <f t="shared" si="2002"/>
        <v/>
      </c>
      <c r="U1999" s="227" t="str">
        <f t="shared" si="3"/>
        <v/>
      </c>
      <c r="V1999" s="86" t="str">
        <f t="shared" si="4"/>
        <v> </v>
      </c>
      <c r="W1999" s="86"/>
      <c r="X1999" s="86"/>
    </row>
    <row r="2000">
      <c r="A2000" s="192">
        <v>1.0</v>
      </c>
      <c r="B2000" s="193"/>
      <c r="C2000" s="194"/>
      <c r="D2000" s="194"/>
      <c r="E2000" s="196"/>
      <c r="F2000" s="221"/>
      <c r="G2000" s="193"/>
      <c r="H2000" s="193"/>
      <c r="I2000" s="194"/>
      <c r="J2000" s="194"/>
      <c r="K2000" s="193"/>
      <c r="L2000" s="193"/>
      <c r="M2000" s="193"/>
      <c r="N2000" s="193"/>
      <c r="O2000" s="193"/>
      <c r="P2000" s="193"/>
      <c r="Q2000" s="200"/>
      <c r="R2000" s="86"/>
      <c r="S2000" s="114">
        <f t="shared" ref="S2000:T2000" si="2003">A2000</f>
        <v>1</v>
      </c>
      <c r="T2000" s="114" t="str">
        <f t="shared" si="2003"/>
        <v/>
      </c>
      <c r="U2000" s="227" t="str">
        <f t="shared" si="3"/>
        <v/>
      </c>
      <c r="V2000" s="86" t="str">
        <f t="shared" si="4"/>
        <v> </v>
      </c>
      <c r="W2000" s="86"/>
      <c r="X2000" s="86"/>
    </row>
    <row r="2001">
      <c r="A2001" s="201">
        <v>1.0</v>
      </c>
      <c r="B2001" s="202"/>
      <c r="C2001" s="203"/>
      <c r="D2001" s="203"/>
      <c r="E2001" s="205"/>
      <c r="F2001" s="214"/>
      <c r="G2001" s="202"/>
      <c r="H2001" s="202"/>
      <c r="I2001" s="203"/>
      <c r="J2001" s="203"/>
      <c r="K2001" s="202"/>
      <c r="L2001" s="202"/>
      <c r="M2001" s="202"/>
      <c r="N2001" s="202"/>
      <c r="O2001" s="202"/>
      <c r="P2001" s="202"/>
      <c r="Q2001" s="208"/>
      <c r="R2001" s="86"/>
      <c r="S2001" s="114">
        <f t="shared" ref="S2001:T2001" si="2004">A2001</f>
        <v>1</v>
      </c>
      <c r="T2001" s="114" t="str">
        <f t="shared" si="2004"/>
        <v/>
      </c>
      <c r="U2001" s="227" t="str">
        <f t="shared" si="3"/>
        <v/>
      </c>
      <c r="V2001" s="86" t="str">
        <f t="shared" si="4"/>
        <v> </v>
      </c>
      <c r="W2001" s="86"/>
      <c r="X2001" s="86"/>
    </row>
    <row r="2002">
      <c r="A2002" s="192">
        <v>1.0</v>
      </c>
      <c r="B2002" s="193"/>
      <c r="C2002" s="194"/>
      <c r="D2002" s="194"/>
      <c r="E2002" s="196"/>
      <c r="F2002" s="221"/>
      <c r="G2002" s="193"/>
      <c r="H2002" s="193"/>
      <c r="I2002" s="194"/>
      <c r="J2002" s="194"/>
      <c r="K2002" s="193"/>
      <c r="L2002" s="193"/>
      <c r="M2002" s="193"/>
      <c r="N2002" s="193"/>
      <c r="O2002" s="193"/>
      <c r="P2002" s="193"/>
      <c r="Q2002" s="200"/>
      <c r="R2002" s="86"/>
      <c r="S2002" s="114">
        <f t="shared" ref="S2002:T2002" si="2005">A2002</f>
        <v>1</v>
      </c>
      <c r="T2002" s="114" t="str">
        <f t="shared" si="2005"/>
        <v/>
      </c>
      <c r="U2002" s="227" t="str">
        <f t="shared" si="3"/>
        <v/>
      </c>
      <c r="V2002" s="86" t="str">
        <f t="shared" si="4"/>
        <v> </v>
      </c>
      <c r="W2002" s="86"/>
      <c r="X2002" s="86"/>
    </row>
    <row r="2003">
      <c r="A2003" s="201">
        <v>1.0</v>
      </c>
      <c r="B2003" s="202"/>
      <c r="C2003" s="203"/>
      <c r="D2003" s="203"/>
      <c r="E2003" s="205"/>
      <c r="F2003" s="214"/>
      <c r="G2003" s="202"/>
      <c r="H2003" s="202"/>
      <c r="I2003" s="203"/>
      <c r="J2003" s="203"/>
      <c r="K2003" s="202"/>
      <c r="L2003" s="202"/>
      <c r="M2003" s="202"/>
      <c r="N2003" s="202"/>
      <c r="O2003" s="202"/>
      <c r="P2003" s="202"/>
      <c r="Q2003" s="208"/>
      <c r="R2003" s="86"/>
      <c r="S2003" s="114">
        <f t="shared" ref="S2003:T2003" si="2006">A2003</f>
        <v>1</v>
      </c>
      <c r="T2003" s="114" t="str">
        <f t="shared" si="2006"/>
        <v/>
      </c>
      <c r="U2003" s="227" t="str">
        <f t="shared" si="3"/>
        <v/>
      </c>
      <c r="V2003" s="86" t="str">
        <f t="shared" si="4"/>
        <v> </v>
      </c>
      <c r="W2003" s="86"/>
      <c r="X2003" s="86"/>
    </row>
    <row r="2004">
      <c r="A2004" s="192">
        <v>1.0</v>
      </c>
      <c r="B2004" s="193"/>
      <c r="C2004" s="194"/>
      <c r="D2004" s="194"/>
      <c r="E2004" s="196"/>
      <c r="F2004" s="221"/>
      <c r="G2004" s="193"/>
      <c r="H2004" s="193"/>
      <c r="I2004" s="194"/>
      <c r="J2004" s="194"/>
      <c r="K2004" s="193"/>
      <c r="L2004" s="193"/>
      <c r="M2004" s="193"/>
      <c r="N2004" s="193"/>
      <c r="O2004" s="193"/>
      <c r="P2004" s="193"/>
      <c r="Q2004" s="200"/>
      <c r="R2004" s="86"/>
      <c r="S2004" s="114">
        <f t="shared" ref="S2004:T2004" si="2007">A2004</f>
        <v>1</v>
      </c>
      <c r="T2004" s="114" t="str">
        <f t="shared" si="2007"/>
        <v/>
      </c>
      <c r="U2004" s="227" t="str">
        <f t="shared" si="3"/>
        <v/>
      </c>
      <c r="V2004" s="86" t="str">
        <f t="shared" si="4"/>
        <v> </v>
      </c>
      <c r="W2004" s="86"/>
      <c r="X2004" s="86"/>
    </row>
    <row r="2005">
      <c r="A2005" s="201">
        <v>1.0</v>
      </c>
      <c r="B2005" s="202"/>
      <c r="C2005" s="203"/>
      <c r="D2005" s="203"/>
      <c r="E2005" s="205"/>
      <c r="F2005" s="214"/>
      <c r="G2005" s="202"/>
      <c r="H2005" s="202"/>
      <c r="I2005" s="203"/>
      <c r="J2005" s="203"/>
      <c r="K2005" s="202"/>
      <c r="L2005" s="202"/>
      <c r="M2005" s="202"/>
      <c r="N2005" s="202"/>
      <c r="O2005" s="202"/>
      <c r="P2005" s="202"/>
      <c r="Q2005" s="208"/>
      <c r="R2005" s="86"/>
      <c r="S2005" s="114">
        <f t="shared" ref="S2005:T2005" si="2008">A2005</f>
        <v>1</v>
      </c>
      <c r="T2005" s="114" t="str">
        <f t="shared" si="2008"/>
        <v/>
      </c>
      <c r="U2005" s="227" t="str">
        <f t="shared" si="3"/>
        <v/>
      </c>
      <c r="V2005" s="86" t="str">
        <f t="shared" si="4"/>
        <v> </v>
      </c>
      <c r="W2005" s="86"/>
      <c r="X2005" s="86"/>
    </row>
    <row r="2006">
      <c r="A2006" s="192">
        <v>1.0</v>
      </c>
      <c r="B2006" s="193"/>
      <c r="C2006" s="194"/>
      <c r="D2006" s="194"/>
      <c r="E2006" s="196"/>
      <c r="F2006" s="221"/>
      <c r="G2006" s="193"/>
      <c r="H2006" s="193"/>
      <c r="I2006" s="194"/>
      <c r="J2006" s="194"/>
      <c r="K2006" s="193"/>
      <c r="L2006" s="193"/>
      <c r="M2006" s="193"/>
      <c r="N2006" s="193"/>
      <c r="O2006" s="193"/>
      <c r="P2006" s="193"/>
      <c r="Q2006" s="200"/>
      <c r="R2006" s="86"/>
      <c r="S2006" s="114">
        <f t="shared" ref="S2006:T2006" si="2009">A2006</f>
        <v>1</v>
      </c>
      <c r="T2006" s="114" t="str">
        <f t="shared" si="2009"/>
        <v/>
      </c>
      <c r="U2006" s="227" t="str">
        <f t="shared" si="3"/>
        <v/>
      </c>
      <c r="V2006" s="86" t="str">
        <f t="shared" si="4"/>
        <v> </v>
      </c>
      <c r="W2006" s="86"/>
      <c r="X2006" s="86"/>
    </row>
    <row r="2007">
      <c r="A2007" s="201">
        <v>1.0</v>
      </c>
      <c r="B2007" s="202"/>
      <c r="C2007" s="203"/>
      <c r="D2007" s="203"/>
      <c r="E2007" s="205"/>
      <c r="F2007" s="214"/>
      <c r="G2007" s="202"/>
      <c r="H2007" s="202"/>
      <c r="I2007" s="203"/>
      <c r="J2007" s="203"/>
      <c r="K2007" s="202"/>
      <c r="L2007" s="202"/>
      <c r="M2007" s="202"/>
      <c r="N2007" s="202"/>
      <c r="O2007" s="202"/>
      <c r="P2007" s="202"/>
      <c r="Q2007" s="208"/>
      <c r="R2007" s="86"/>
      <c r="S2007" s="114">
        <f t="shared" ref="S2007:T2007" si="2010">A2007</f>
        <v>1</v>
      </c>
      <c r="T2007" s="114" t="str">
        <f t="shared" si="2010"/>
        <v/>
      </c>
      <c r="U2007" s="227" t="str">
        <f t="shared" si="3"/>
        <v/>
      </c>
      <c r="V2007" s="86" t="str">
        <f t="shared" si="4"/>
        <v> </v>
      </c>
      <c r="W2007" s="86"/>
      <c r="X2007" s="86"/>
    </row>
    <row r="2008">
      <c r="A2008" s="192">
        <v>1.0</v>
      </c>
      <c r="B2008" s="193"/>
      <c r="C2008" s="194"/>
      <c r="D2008" s="194"/>
      <c r="E2008" s="196"/>
      <c r="F2008" s="221"/>
      <c r="G2008" s="193"/>
      <c r="H2008" s="193"/>
      <c r="I2008" s="194"/>
      <c r="J2008" s="194"/>
      <c r="K2008" s="193"/>
      <c r="L2008" s="193"/>
      <c r="M2008" s="193"/>
      <c r="N2008" s="193"/>
      <c r="O2008" s="193"/>
      <c r="P2008" s="193"/>
      <c r="Q2008" s="200"/>
      <c r="R2008" s="86"/>
      <c r="S2008" s="114">
        <f t="shared" ref="S2008:T2008" si="2011">A2008</f>
        <v>1</v>
      </c>
      <c r="T2008" s="114" t="str">
        <f t="shared" si="2011"/>
        <v/>
      </c>
      <c r="U2008" s="227" t="str">
        <f t="shared" si="3"/>
        <v/>
      </c>
      <c r="V2008" s="86" t="str">
        <f t="shared" si="4"/>
        <v> </v>
      </c>
      <c r="W2008" s="86"/>
      <c r="X2008" s="86"/>
    </row>
    <row r="2009">
      <c r="A2009" s="201">
        <v>1.0</v>
      </c>
      <c r="B2009" s="202"/>
      <c r="C2009" s="203"/>
      <c r="D2009" s="203"/>
      <c r="E2009" s="205"/>
      <c r="F2009" s="214"/>
      <c r="G2009" s="202"/>
      <c r="H2009" s="202"/>
      <c r="I2009" s="203"/>
      <c r="J2009" s="203"/>
      <c r="K2009" s="202"/>
      <c r="L2009" s="202"/>
      <c r="M2009" s="202"/>
      <c r="N2009" s="202"/>
      <c r="O2009" s="202"/>
      <c r="P2009" s="202"/>
      <c r="Q2009" s="208"/>
      <c r="R2009" s="86"/>
      <c r="S2009" s="114">
        <f t="shared" ref="S2009:T2009" si="2012">A2009</f>
        <v>1</v>
      </c>
      <c r="T2009" s="114" t="str">
        <f t="shared" si="2012"/>
        <v/>
      </c>
      <c r="U2009" s="227" t="str">
        <f t="shared" si="3"/>
        <v/>
      </c>
      <c r="V2009" s="86" t="str">
        <f t="shared" si="4"/>
        <v> </v>
      </c>
      <c r="W2009" s="86"/>
      <c r="X2009" s="86"/>
    </row>
    <row r="2010">
      <c r="A2010" s="192">
        <v>1.0</v>
      </c>
      <c r="B2010" s="193"/>
      <c r="C2010" s="194"/>
      <c r="D2010" s="194"/>
      <c r="E2010" s="196"/>
      <c r="F2010" s="221"/>
      <c r="G2010" s="193"/>
      <c r="H2010" s="193"/>
      <c r="I2010" s="194"/>
      <c r="J2010" s="194"/>
      <c r="K2010" s="193"/>
      <c r="L2010" s="193"/>
      <c r="M2010" s="193"/>
      <c r="N2010" s="193"/>
      <c r="O2010" s="193"/>
      <c r="P2010" s="193"/>
      <c r="Q2010" s="200"/>
      <c r="R2010" s="86"/>
      <c r="S2010" s="114">
        <f t="shared" ref="S2010:T2010" si="2013">A2010</f>
        <v>1</v>
      </c>
      <c r="T2010" s="114" t="str">
        <f t="shared" si="2013"/>
        <v/>
      </c>
      <c r="U2010" s="227" t="str">
        <f t="shared" si="3"/>
        <v/>
      </c>
      <c r="V2010" s="86" t="str">
        <f t="shared" si="4"/>
        <v> </v>
      </c>
      <c r="W2010" s="86"/>
      <c r="X2010" s="86"/>
    </row>
    <row r="2011">
      <c r="A2011" s="201">
        <v>1.0</v>
      </c>
      <c r="B2011" s="202"/>
      <c r="C2011" s="203"/>
      <c r="D2011" s="203"/>
      <c r="E2011" s="205"/>
      <c r="F2011" s="214"/>
      <c r="G2011" s="202"/>
      <c r="H2011" s="202"/>
      <c r="I2011" s="203"/>
      <c r="J2011" s="203"/>
      <c r="K2011" s="202"/>
      <c r="L2011" s="202"/>
      <c r="M2011" s="202"/>
      <c r="N2011" s="202"/>
      <c r="O2011" s="202"/>
      <c r="P2011" s="202"/>
      <c r="Q2011" s="208"/>
      <c r="R2011" s="86"/>
      <c r="S2011" s="114">
        <f t="shared" ref="S2011:T2011" si="2014">A2011</f>
        <v>1</v>
      </c>
      <c r="T2011" s="114" t="str">
        <f t="shared" si="2014"/>
        <v/>
      </c>
      <c r="U2011" s="227" t="str">
        <f t="shared" si="3"/>
        <v/>
      </c>
      <c r="V2011" s="86" t="str">
        <f t="shared" si="4"/>
        <v> </v>
      </c>
      <c r="W2011" s="86"/>
      <c r="X2011" s="86"/>
    </row>
    <row r="2012">
      <c r="A2012" s="192">
        <v>1.0</v>
      </c>
      <c r="B2012" s="193"/>
      <c r="C2012" s="194"/>
      <c r="D2012" s="194"/>
      <c r="E2012" s="196"/>
      <c r="F2012" s="221"/>
      <c r="G2012" s="193"/>
      <c r="H2012" s="193"/>
      <c r="I2012" s="194"/>
      <c r="J2012" s="194"/>
      <c r="K2012" s="193"/>
      <c r="L2012" s="193"/>
      <c r="M2012" s="193"/>
      <c r="N2012" s="193"/>
      <c r="O2012" s="193"/>
      <c r="P2012" s="193"/>
      <c r="Q2012" s="200"/>
      <c r="R2012" s="86"/>
      <c r="S2012" s="114">
        <f t="shared" ref="S2012:T2012" si="2015">A2012</f>
        <v>1</v>
      </c>
      <c r="T2012" s="114" t="str">
        <f t="shared" si="2015"/>
        <v/>
      </c>
      <c r="U2012" s="227" t="str">
        <f t="shared" si="3"/>
        <v/>
      </c>
      <c r="V2012" s="86" t="str">
        <f t="shared" si="4"/>
        <v> </v>
      </c>
      <c r="W2012" s="86"/>
      <c r="X2012" s="86"/>
    </row>
    <row r="2013">
      <c r="A2013" s="201">
        <v>1.0</v>
      </c>
      <c r="B2013" s="202"/>
      <c r="C2013" s="203"/>
      <c r="D2013" s="203"/>
      <c r="E2013" s="205"/>
      <c r="F2013" s="214"/>
      <c r="G2013" s="202"/>
      <c r="H2013" s="202"/>
      <c r="I2013" s="203"/>
      <c r="J2013" s="203"/>
      <c r="K2013" s="202"/>
      <c r="L2013" s="202"/>
      <c r="M2013" s="202"/>
      <c r="N2013" s="202"/>
      <c r="O2013" s="202"/>
      <c r="P2013" s="202"/>
      <c r="Q2013" s="208"/>
      <c r="R2013" s="86"/>
      <c r="S2013" s="114">
        <f t="shared" ref="S2013:T2013" si="2016">A2013</f>
        <v>1</v>
      </c>
      <c r="T2013" s="114" t="str">
        <f t="shared" si="2016"/>
        <v/>
      </c>
      <c r="U2013" s="227" t="str">
        <f t="shared" si="3"/>
        <v/>
      </c>
      <c r="V2013" s="86" t="str">
        <f t="shared" si="4"/>
        <v> </v>
      </c>
      <c r="W2013" s="86"/>
      <c r="X2013" s="86"/>
    </row>
    <row r="2014">
      <c r="A2014" s="192">
        <v>1.0</v>
      </c>
      <c r="B2014" s="193"/>
      <c r="C2014" s="194"/>
      <c r="D2014" s="194"/>
      <c r="E2014" s="196"/>
      <c r="F2014" s="221"/>
      <c r="G2014" s="193"/>
      <c r="H2014" s="193"/>
      <c r="I2014" s="194"/>
      <c r="J2014" s="194"/>
      <c r="K2014" s="193"/>
      <c r="L2014" s="193"/>
      <c r="M2014" s="193"/>
      <c r="N2014" s="193"/>
      <c r="O2014" s="193"/>
      <c r="P2014" s="193"/>
      <c r="Q2014" s="200"/>
      <c r="R2014" s="86"/>
      <c r="S2014" s="114">
        <f t="shared" ref="S2014:T2014" si="2017">A2014</f>
        <v>1</v>
      </c>
      <c r="T2014" s="114" t="str">
        <f t="shared" si="2017"/>
        <v/>
      </c>
      <c r="U2014" s="227" t="str">
        <f t="shared" si="3"/>
        <v/>
      </c>
      <c r="V2014" s="86" t="str">
        <f t="shared" si="4"/>
        <v> </v>
      </c>
      <c r="W2014" s="86"/>
      <c r="X2014" s="86"/>
    </row>
    <row r="2015">
      <c r="A2015" s="201">
        <v>1.0</v>
      </c>
      <c r="B2015" s="202"/>
      <c r="C2015" s="203"/>
      <c r="D2015" s="203"/>
      <c r="E2015" s="205"/>
      <c r="F2015" s="214"/>
      <c r="G2015" s="202"/>
      <c r="H2015" s="202"/>
      <c r="I2015" s="203"/>
      <c r="J2015" s="203"/>
      <c r="K2015" s="202"/>
      <c r="L2015" s="202"/>
      <c r="M2015" s="202"/>
      <c r="N2015" s="202"/>
      <c r="O2015" s="202"/>
      <c r="P2015" s="202"/>
      <c r="Q2015" s="208"/>
      <c r="R2015" s="86"/>
      <c r="S2015" s="114">
        <f t="shared" ref="S2015:T2015" si="2018">A2015</f>
        <v>1</v>
      </c>
      <c r="T2015" s="114" t="str">
        <f t="shared" si="2018"/>
        <v/>
      </c>
      <c r="U2015" s="227" t="str">
        <f t="shared" si="3"/>
        <v/>
      </c>
      <c r="V2015" s="86" t="str">
        <f t="shared" si="4"/>
        <v> </v>
      </c>
      <c r="W2015" s="86"/>
      <c r="X2015" s="86"/>
    </row>
    <row r="2016">
      <c r="A2016" s="192">
        <v>1.0</v>
      </c>
      <c r="B2016" s="193"/>
      <c r="C2016" s="194"/>
      <c r="D2016" s="194"/>
      <c r="E2016" s="196"/>
      <c r="F2016" s="221"/>
      <c r="G2016" s="193"/>
      <c r="H2016" s="193"/>
      <c r="I2016" s="194"/>
      <c r="J2016" s="194"/>
      <c r="K2016" s="193"/>
      <c r="L2016" s="193"/>
      <c r="M2016" s="193"/>
      <c r="N2016" s="193"/>
      <c r="O2016" s="193"/>
      <c r="P2016" s="193"/>
      <c r="Q2016" s="200"/>
      <c r="R2016" s="86"/>
      <c r="S2016" s="114">
        <f t="shared" ref="S2016:T2016" si="2019">A2016</f>
        <v>1</v>
      </c>
      <c r="T2016" s="114" t="str">
        <f t="shared" si="2019"/>
        <v/>
      </c>
      <c r="U2016" s="227" t="str">
        <f t="shared" si="3"/>
        <v/>
      </c>
      <c r="V2016" s="86" t="str">
        <f t="shared" si="4"/>
        <v> </v>
      </c>
      <c r="W2016" s="86"/>
      <c r="X2016" s="86"/>
    </row>
    <row r="2017">
      <c r="A2017" s="201">
        <v>1.0</v>
      </c>
      <c r="B2017" s="202"/>
      <c r="C2017" s="203"/>
      <c r="D2017" s="203"/>
      <c r="E2017" s="205"/>
      <c r="F2017" s="214"/>
      <c r="G2017" s="202"/>
      <c r="H2017" s="202"/>
      <c r="I2017" s="203"/>
      <c r="J2017" s="203"/>
      <c r="K2017" s="202"/>
      <c r="L2017" s="202"/>
      <c r="M2017" s="202"/>
      <c r="N2017" s="202"/>
      <c r="O2017" s="202"/>
      <c r="P2017" s="202"/>
      <c r="Q2017" s="208"/>
      <c r="R2017" s="86"/>
      <c r="S2017" s="114">
        <f t="shared" ref="S2017:T2017" si="2020">A2017</f>
        <v>1</v>
      </c>
      <c r="T2017" s="114" t="str">
        <f t="shared" si="2020"/>
        <v/>
      </c>
      <c r="U2017" s="227" t="str">
        <f t="shared" si="3"/>
        <v/>
      </c>
      <c r="V2017" s="86" t="str">
        <f t="shared" si="4"/>
        <v> </v>
      </c>
      <c r="W2017" s="86"/>
      <c r="X2017" s="86"/>
    </row>
    <row r="2018">
      <c r="A2018" s="192">
        <v>1.0</v>
      </c>
      <c r="B2018" s="193"/>
      <c r="C2018" s="194"/>
      <c r="D2018" s="194"/>
      <c r="E2018" s="196"/>
      <c r="F2018" s="221"/>
      <c r="G2018" s="193"/>
      <c r="H2018" s="193"/>
      <c r="I2018" s="194"/>
      <c r="J2018" s="194"/>
      <c r="K2018" s="193"/>
      <c r="L2018" s="193"/>
      <c r="M2018" s="193"/>
      <c r="N2018" s="193"/>
      <c r="O2018" s="193"/>
      <c r="P2018" s="193"/>
      <c r="Q2018" s="200"/>
      <c r="R2018" s="86"/>
      <c r="S2018" s="114">
        <f t="shared" ref="S2018:T2018" si="2021">A2018</f>
        <v>1</v>
      </c>
      <c r="T2018" s="114" t="str">
        <f t="shared" si="2021"/>
        <v/>
      </c>
      <c r="U2018" s="227" t="str">
        <f t="shared" si="3"/>
        <v/>
      </c>
      <c r="V2018" s="86" t="str">
        <f t="shared" si="4"/>
        <v> </v>
      </c>
      <c r="W2018" s="86"/>
      <c r="X2018" s="86"/>
    </row>
    <row r="2019">
      <c r="A2019" s="201">
        <v>1.0</v>
      </c>
      <c r="B2019" s="202"/>
      <c r="C2019" s="203"/>
      <c r="D2019" s="203"/>
      <c r="E2019" s="205"/>
      <c r="F2019" s="214"/>
      <c r="G2019" s="202"/>
      <c r="H2019" s="202"/>
      <c r="I2019" s="203"/>
      <c r="J2019" s="203"/>
      <c r="K2019" s="202"/>
      <c r="L2019" s="202"/>
      <c r="M2019" s="202"/>
      <c r="N2019" s="202"/>
      <c r="O2019" s="202"/>
      <c r="P2019" s="202"/>
      <c r="Q2019" s="208"/>
      <c r="R2019" s="86"/>
      <c r="S2019" s="114">
        <f t="shared" ref="S2019:T2019" si="2022">A2019</f>
        <v>1</v>
      </c>
      <c r="T2019" s="114" t="str">
        <f t="shared" si="2022"/>
        <v/>
      </c>
      <c r="U2019" s="227" t="str">
        <f t="shared" si="3"/>
        <v/>
      </c>
      <c r="V2019" s="86" t="str">
        <f t="shared" si="4"/>
        <v> </v>
      </c>
      <c r="W2019" s="86"/>
      <c r="X2019" s="86"/>
    </row>
    <row r="2020">
      <c r="A2020" s="192">
        <v>1.0</v>
      </c>
      <c r="B2020" s="193"/>
      <c r="C2020" s="194"/>
      <c r="D2020" s="194"/>
      <c r="E2020" s="196"/>
      <c r="F2020" s="221"/>
      <c r="G2020" s="193"/>
      <c r="H2020" s="193"/>
      <c r="I2020" s="194"/>
      <c r="J2020" s="194"/>
      <c r="K2020" s="193"/>
      <c r="L2020" s="193"/>
      <c r="M2020" s="193"/>
      <c r="N2020" s="193"/>
      <c r="O2020" s="193"/>
      <c r="P2020" s="193"/>
      <c r="Q2020" s="200"/>
      <c r="R2020" s="86"/>
      <c r="S2020" s="114">
        <f t="shared" ref="S2020:T2020" si="2023">A2020</f>
        <v>1</v>
      </c>
      <c r="T2020" s="114" t="str">
        <f t="shared" si="2023"/>
        <v/>
      </c>
      <c r="U2020" s="227" t="str">
        <f t="shared" si="3"/>
        <v/>
      </c>
      <c r="V2020" s="86" t="str">
        <f t="shared" si="4"/>
        <v> </v>
      </c>
      <c r="W2020" s="86"/>
      <c r="X2020" s="86"/>
    </row>
    <row r="2021">
      <c r="A2021" s="201">
        <v>1.0</v>
      </c>
      <c r="B2021" s="202"/>
      <c r="C2021" s="203"/>
      <c r="D2021" s="203"/>
      <c r="E2021" s="205"/>
      <c r="F2021" s="214"/>
      <c r="G2021" s="202"/>
      <c r="H2021" s="202"/>
      <c r="I2021" s="203"/>
      <c r="J2021" s="203"/>
      <c r="K2021" s="202"/>
      <c r="L2021" s="202"/>
      <c r="M2021" s="202"/>
      <c r="N2021" s="202"/>
      <c r="O2021" s="202"/>
      <c r="P2021" s="202"/>
      <c r="Q2021" s="208"/>
      <c r="R2021" s="86"/>
      <c r="S2021" s="114">
        <f t="shared" ref="S2021:T2021" si="2024">A2021</f>
        <v>1</v>
      </c>
      <c r="T2021" s="114" t="str">
        <f t="shared" si="2024"/>
        <v/>
      </c>
      <c r="U2021" s="227" t="str">
        <f t="shared" si="3"/>
        <v/>
      </c>
      <c r="V2021" s="86" t="str">
        <f t="shared" si="4"/>
        <v> </v>
      </c>
      <c r="W2021" s="86"/>
      <c r="X2021" s="86"/>
    </row>
    <row r="2022">
      <c r="A2022" s="192">
        <v>1.0</v>
      </c>
      <c r="B2022" s="193"/>
      <c r="C2022" s="194"/>
      <c r="D2022" s="194"/>
      <c r="E2022" s="196"/>
      <c r="F2022" s="221"/>
      <c r="G2022" s="193"/>
      <c r="H2022" s="193"/>
      <c r="I2022" s="194"/>
      <c r="J2022" s="194"/>
      <c r="K2022" s="193"/>
      <c r="L2022" s="193"/>
      <c r="M2022" s="193"/>
      <c r="N2022" s="193"/>
      <c r="O2022" s="193"/>
      <c r="P2022" s="193"/>
      <c r="Q2022" s="200"/>
      <c r="R2022" s="86"/>
      <c r="S2022" s="114">
        <f t="shared" ref="S2022:T2022" si="2025">A2022</f>
        <v>1</v>
      </c>
      <c r="T2022" s="114" t="str">
        <f t="shared" si="2025"/>
        <v/>
      </c>
      <c r="U2022" s="227" t="str">
        <f t="shared" si="3"/>
        <v/>
      </c>
      <c r="V2022" s="86" t="str">
        <f t="shared" si="4"/>
        <v> </v>
      </c>
      <c r="W2022" s="86"/>
      <c r="X2022" s="86"/>
    </row>
    <row r="2023">
      <c r="A2023" s="201">
        <v>1.0</v>
      </c>
      <c r="B2023" s="202"/>
      <c r="C2023" s="203"/>
      <c r="D2023" s="203"/>
      <c r="E2023" s="205"/>
      <c r="F2023" s="214"/>
      <c r="G2023" s="202"/>
      <c r="H2023" s="202"/>
      <c r="I2023" s="203"/>
      <c r="J2023" s="203"/>
      <c r="K2023" s="202"/>
      <c r="L2023" s="202"/>
      <c r="M2023" s="202"/>
      <c r="N2023" s="202"/>
      <c r="O2023" s="202"/>
      <c r="P2023" s="202"/>
      <c r="Q2023" s="208"/>
      <c r="R2023" s="86"/>
      <c r="S2023" s="114">
        <f t="shared" ref="S2023:T2023" si="2026">A2023</f>
        <v>1</v>
      </c>
      <c r="T2023" s="114" t="str">
        <f t="shared" si="2026"/>
        <v/>
      </c>
      <c r="U2023" s="227" t="str">
        <f t="shared" si="3"/>
        <v/>
      </c>
      <c r="V2023" s="86" t="str">
        <f t="shared" si="4"/>
        <v> </v>
      </c>
      <c r="W2023" s="86"/>
      <c r="X2023" s="86"/>
    </row>
    <row r="2024">
      <c r="A2024" s="192">
        <v>1.0</v>
      </c>
      <c r="B2024" s="193"/>
      <c r="C2024" s="194"/>
      <c r="D2024" s="194"/>
      <c r="E2024" s="196"/>
      <c r="F2024" s="221"/>
      <c r="G2024" s="193"/>
      <c r="H2024" s="193"/>
      <c r="I2024" s="194"/>
      <c r="J2024" s="194"/>
      <c r="K2024" s="193"/>
      <c r="L2024" s="193"/>
      <c r="M2024" s="193"/>
      <c r="N2024" s="193"/>
      <c r="O2024" s="193"/>
      <c r="P2024" s="193"/>
      <c r="Q2024" s="200"/>
      <c r="R2024" s="86"/>
      <c r="S2024" s="114">
        <f t="shared" ref="S2024:T2024" si="2027">A2024</f>
        <v>1</v>
      </c>
      <c r="T2024" s="114" t="str">
        <f t="shared" si="2027"/>
        <v/>
      </c>
      <c r="U2024" s="227" t="str">
        <f t="shared" si="3"/>
        <v/>
      </c>
      <c r="V2024" s="86" t="str">
        <f t="shared" si="4"/>
        <v> </v>
      </c>
      <c r="W2024" s="86"/>
      <c r="X2024" s="86"/>
    </row>
    <row r="2025">
      <c r="A2025" s="201">
        <v>1.0</v>
      </c>
      <c r="B2025" s="202"/>
      <c r="C2025" s="203"/>
      <c r="D2025" s="203"/>
      <c r="E2025" s="205"/>
      <c r="F2025" s="214"/>
      <c r="G2025" s="202"/>
      <c r="H2025" s="202"/>
      <c r="I2025" s="203"/>
      <c r="J2025" s="203"/>
      <c r="K2025" s="202"/>
      <c r="L2025" s="202"/>
      <c r="M2025" s="202"/>
      <c r="N2025" s="202"/>
      <c r="O2025" s="202"/>
      <c r="P2025" s="202"/>
      <c r="Q2025" s="208"/>
      <c r="R2025" s="86"/>
      <c r="S2025" s="114">
        <f t="shared" ref="S2025:T2025" si="2028">A2025</f>
        <v>1</v>
      </c>
      <c r="T2025" s="114" t="str">
        <f t="shared" si="2028"/>
        <v/>
      </c>
      <c r="U2025" s="227" t="str">
        <f t="shared" si="3"/>
        <v/>
      </c>
      <c r="V2025" s="86" t="str">
        <f t="shared" si="4"/>
        <v> </v>
      </c>
      <c r="W2025" s="86"/>
      <c r="X2025" s="86"/>
    </row>
    <row r="2026">
      <c r="A2026" s="192">
        <v>1.0</v>
      </c>
      <c r="B2026" s="193"/>
      <c r="C2026" s="194"/>
      <c r="D2026" s="194"/>
      <c r="E2026" s="196"/>
      <c r="F2026" s="221"/>
      <c r="G2026" s="193"/>
      <c r="H2026" s="193"/>
      <c r="I2026" s="194"/>
      <c r="J2026" s="194"/>
      <c r="K2026" s="193"/>
      <c r="L2026" s="193"/>
      <c r="M2026" s="193"/>
      <c r="N2026" s="193"/>
      <c r="O2026" s="193"/>
      <c r="P2026" s="193"/>
      <c r="Q2026" s="200"/>
      <c r="R2026" s="86"/>
      <c r="S2026" s="114">
        <f t="shared" ref="S2026:T2026" si="2029">A2026</f>
        <v>1</v>
      </c>
      <c r="T2026" s="114" t="str">
        <f t="shared" si="2029"/>
        <v/>
      </c>
      <c r="U2026" s="227" t="str">
        <f t="shared" si="3"/>
        <v/>
      </c>
      <c r="V2026" s="86" t="str">
        <f t="shared" si="4"/>
        <v> </v>
      </c>
      <c r="W2026" s="86"/>
      <c r="X2026" s="86"/>
    </row>
    <row r="2027">
      <c r="A2027" s="201">
        <v>1.0</v>
      </c>
      <c r="B2027" s="202"/>
      <c r="C2027" s="203"/>
      <c r="D2027" s="203"/>
      <c r="E2027" s="205"/>
      <c r="F2027" s="214"/>
      <c r="G2027" s="202"/>
      <c r="H2027" s="202"/>
      <c r="I2027" s="203"/>
      <c r="J2027" s="203"/>
      <c r="K2027" s="202"/>
      <c r="L2027" s="202"/>
      <c r="M2027" s="202"/>
      <c r="N2027" s="202"/>
      <c r="O2027" s="202"/>
      <c r="P2027" s="202"/>
      <c r="Q2027" s="208"/>
      <c r="R2027" s="86"/>
      <c r="S2027" s="114">
        <f t="shared" ref="S2027:T2027" si="2030">A2027</f>
        <v>1</v>
      </c>
      <c r="T2027" s="114" t="str">
        <f t="shared" si="2030"/>
        <v/>
      </c>
      <c r="U2027" s="227" t="str">
        <f t="shared" si="3"/>
        <v/>
      </c>
      <c r="V2027" s="86" t="str">
        <f t="shared" si="4"/>
        <v> </v>
      </c>
      <c r="W2027" s="86"/>
      <c r="X2027" s="86"/>
    </row>
    <row r="2028">
      <c r="A2028" s="192">
        <v>1.0</v>
      </c>
      <c r="B2028" s="193"/>
      <c r="C2028" s="194"/>
      <c r="D2028" s="194"/>
      <c r="E2028" s="196"/>
      <c r="F2028" s="221"/>
      <c r="G2028" s="193"/>
      <c r="H2028" s="193"/>
      <c r="I2028" s="194"/>
      <c r="J2028" s="194"/>
      <c r="K2028" s="193"/>
      <c r="L2028" s="193"/>
      <c r="M2028" s="193"/>
      <c r="N2028" s="193"/>
      <c r="O2028" s="193"/>
      <c r="P2028" s="193"/>
      <c r="Q2028" s="200"/>
      <c r="R2028" s="86"/>
      <c r="S2028" s="114">
        <f t="shared" ref="S2028:T2028" si="2031">A2028</f>
        <v>1</v>
      </c>
      <c r="T2028" s="114" t="str">
        <f t="shared" si="2031"/>
        <v/>
      </c>
      <c r="U2028" s="227" t="str">
        <f t="shared" si="3"/>
        <v/>
      </c>
      <c r="V2028" s="86" t="str">
        <f t="shared" si="4"/>
        <v> </v>
      </c>
      <c r="W2028" s="86"/>
      <c r="X2028" s="86"/>
    </row>
    <row r="2029">
      <c r="A2029" s="201">
        <v>1.0</v>
      </c>
      <c r="B2029" s="202"/>
      <c r="C2029" s="203"/>
      <c r="D2029" s="203"/>
      <c r="E2029" s="205"/>
      <c r="F2029" s="214"/>
      <c r="G2029" s="202"/>
      <c r="H2029" s="202"/>
      <c r="I2029" s="203"/>
      <c r="J2029" s="203"/>
      <c r="K2029" s="202"/>
      <c r="L2029" s="202"/>
      <c r="M2029" s="202"/>
      <c r="N2029" s="202"/>
      <c r="O2029" s="202"/>
      <c r="P2029" s="202"/>
      <c r="Q2029" s="208"/>
      <c r="R2029" s="86"/>
      <c r="S2029" s="114">
        <f t="shared" ref="S2029:T2029" si="2032">A2029</f>
        <v>1</v>
      </c>
      <c r="T2029" s="114" t="str">
        <f t="shared" si="2032"/>
        <v/>
      </c>
      <c r="U2029" s="227" t="str">
        <f t="shared" si="3"/>
        <v/>
      </c>
      <c r="V2029" s="86" t="str">
        <f t="shared" si="4"/>
        <v> </v>
      </c>
      <c r="W2029" s="86"/>
      <c r="X2029" s="86"/>
    </row>
    <row r="2030">
      <c r="A2030" s="192">
        <v>1.0</v>
      </c>
      <c r="B2030" s="193"/>
      <c r="C2030" s="194"/>
      <c r="D2030" s="194"/>
      <c r="E2030" s="196"/>
      <c r="F2030" s="221"/>
      <c r="G2030" s="193"/>
      <c r="H2030" s="193"/>
      <c r="I2030" s="194"/>
      <c r="J2030" s="194"/>
      <c r="K2030" s="193"/>
      <c r="L2030" s="193"/>
      <c r="M2030" s="193"/>
      <c r="N2030" s="193"/>
      <c r="O2030" s="193"/>
      <c r="P2030" s="193"/>
      <c r="Q2030" s="200"/>
      <c r="R2030" s="86"/>
      <c r="S2030" s="114">
        <f t="shared" ref="S2030:T2030" si="2033">A2030</f>
        <v>1</v>
      </c>
      <c r="T2030" s="114" t="str">
        <f t="shared" si="2033"/>
        <v/>
      </c>
      <c r="U2030" s="227" t="str">
        <f t="shared" si="3"/>
        <v/>
      </c>
      <c r="V2030" s="86" t="str">
        <f t="shared" si="4"/>
        <v> </v>
      </c>
      <c r="W2030" s="86"/>
      <c r="X2030" s="86"/>
    </row>
    <row r="2031">
      <c r="A2031" s="201">
        <v>1.0</v>
      </c>
      <c r="B2031" s="202"/>
      <c r="C2031" s="203"/>
      <c r="D2031" s="203"/>
      <c r="E2031" s="205"/>
      <c r="F2031" s="214"/>
      <c r="G2031" s="202"/>
      <c r="H2031" s="202"/>
      <c r="I2031" s="203"/>
      <c r="J2031" s="203"/>
      <c r="K2031" s="202"/>
      <c r="L2031" s="202"/>
      <c r="M2031" s="202"/>
      <c r="N2031" s="202"/>
      <c r="O2031" s="202"/>
      <c r="P2031" s="202"/>
      <c r="Q2031" s="208"/>
      <c r="R2031" s="86"/>
      <c r="S2031" s="114">
        <f t="shared" ref="S2031:T2031" si="2034">A2031</f>
        <v>1</v>
      </c>
      <c r="T2031" s="114" t="str">
        <f t="shared" si="2034"/>
        <v/>
      </c>
      <c r="U2031" s="227" t="str">
        <f t="shared" si="3"/>
        <v/>
      </c>
      <c r="V2031" s="86" t="str">
        <f t="shared" si="4"/>
        <v> </v>
      </c>
      <c r="W2031" s="86"/>
      <c r="X2031" s="86"/>
    </row>
    <row r="2032">
      <c r="A2032" s="192">
        <v>1.0</v>
      </c>
      <c r="B2032" s="193"/>
      <c r="C2032" s="194"/>
      <c r="D2032" s="194"/>
      <c r="E2032" s="196"/>
      <c r="F2032" s="221"/>
      <c r="G2032" s="193"/>
      <c r="H2032" s="193"/>
      <c r="I2032" s="194"/>
      <c r="J2032" s="194"/>
      <c r="K2032" s="193"/>
      <c r="L2032" s="193"/>
      <c r="M2032" s="193"/>
      <c r="N2032" s="193"/>
      <c r="O2032" s="193"/>
      <c r="P2032" s="193"/>
      <c r="Q2032" s="200"/>
      <c r="R2032" s="86"/>
      <c r="S2032" s="114">
        <f t="shared" ref="S2032:T2032" si="2035">A2032</f>
        <v>1</v>
      </c>
      <c r="T2032" s="114" t="str">
        <f t="shared" si="2035"/>
        <v/>
      </c>
      <c r="U2032" s="227" t="str">
        <f t="shared" si="3"/>
        <v/>
      </c>
      <c r="V2032" s="86" t="str">
        <f t="shared" si="4"/>
        <v> </v>
      </c>
      <c r="W2032" s="86"/>
      <c r="X2032" s="86"/>
    </row>
    <row r="2033">
      <c r="A2033" s="201">
        <v>1.0</v>
      </c>
      <c r="B2033" s="202"/>
      <c r="C2033" s="203"/>
      <c r="D2033" s="203"/>
      <c r="E2033" s="205"/>
      <c r="F2033" s="214"/>
      <c r="G2033" s="202"/>
      <c r="H2033" s="202"/>
      <c r="I2033" s="203"/>
      <c r="J2033" s="203"/>
      <c r="K2033" s="202"/>
      <c r="L2033" s="202"/>
      <c r="M2033" s="202"/>
      <c r="N2033" s="202"/>
      <c r="O2033" s="202"/>
      <c r="P2033" s="202"/>
      <c r="Q2033" s="208"/>
      <c r="R2033" s="86"/>
      <c r="S2033" s="114">
        <f t="shared" ref="S2033:T2033" si="2036">A2033</f>
        <v>1</v>
      </c>
      <c r="T2033" s="114" t="str">
        <f t="shared" si="2036"/>
        <v/>
      </c>
      <c r="U2033" s="227" t="str">
        <f t="shared" si="3"/>
        <v/>
      </c>
      <c r="V2033" s="86" t="str">
        <f t="shared" si="4"/>
        <v> </v>
      </c>
      <c r="W2033" s="86"/>
      <c r="X2033" s="86"/>
    </row>
    <row r="2034">
      <c r="A2034" s="192">
        <v>1.0</v>
      </c>
      <c r="B2034" s="193"/>
      <c r="C2034" s="194"/>
      <c r="D2034" s="194"/>
      <c r="E2034" s="196"/>
      <c r="F2034" s="221"/>
      <c r="G2034" s="193"/>
      <c r="H2034" s="193"/>
      <c r="I2034" s="194"/>
      <c r="J2034" s="194"/>
      <c r="K2034" s="193"/>
      <c r="L2034" s="193"/>
      <c r="M2034" s="193"/>
      <c r="N2034" s="193"/>
      <c r="O2034" s="193"/>
      <c r="P2034" s="193"/>
      <c r="Q2034" s="200"/>
      <c r="R2034" s="86"/>
      <c r="S2034" s="114">
        <f t="shared" ref="S2034:T2034" si="2037">A2034</f>
        <v>1</v>
      </c>
      <c r="T2034" s="114" t="str">
        <f t="shared" si="2037"/>
        <v/>
      </c>
      <c r="U2034" s="227" t="str">
        <f t="shared" si="3"/>
        <v/>
      </c>
      <c r="V2034" s="86" t="str">
        <f t="shared" si="4"/>
        <v> </v>
      </c>
      <c r="W2034" s="86"/>
      <c r="X2034" s="86"/>
    </row>
    <row r="2035">
      <c r="A2035" s="201">
        <v>1.0</v>
      </c>
      <c r="B2035" s="202"/>
      <c r="C2035" s="203"/>
      <c r="D2035" s="203"/>
      <c r="E2035" s="205"/>
      <c r="F2035" s="214"/>
      <c r="G2035" s="202"/>
      <c r="H2035" s="202"/>
      <c r="I2035" s="203"/>
      <c r="J2035" s="203"/>
      <c r="K2035" s="202"/>
      <c r="L2035" s="202"/>
      <c r="M2035" s="202"/>
      <c r="N2035" s="202"/>
      <c r="O2035" s="202"/>
      <c r="P2035" s="202"/>
      <c r="Q2035" s="208"/>
      <c r="R2035" s="86"/>
      <c r="S2035" s="114">
        <f t="shared" ref="S2035:T2035" si="2038">A2035</f>
        <v>1</v>
      </c>
      <c r="T2035" s="114" t="str">
        <f t="shared" si="2038"/>
        <v/>
      </c>
      <c r="U2035" s="227" t="str">
        <f t="shared" si="3"/>
        <v/>
      </c>
      <c r="V2035" s="86" t="str">
        <f t="shared" si="4"/>
        <v> </v>
      </c>
      <c r="W2035" s="86"/>
      <c r="X2035" s="86"/>
    </row>
    <row r="2036">
      <c r="A2036" s="192">
        <v>1.0</v>
      </c>
      <c r="B2036" s="193"/>
      <c r="C2036" s="194"/>
      <c r="D2036" s="194"/>
      <c r="E2036" s="196"/>
      <c r="F2036" s="221"/>
      <c r="G2036" s="193"/>
      <c r="H2036" s="193"/>
      <c r="I2036" s="194"/>
      <c r="J2036" s="194"/>
      <c r="K2036" s="193"/>
      <c r="L2036" s="193"/>
      <c r="M2036" s="193"/>
      <c r="N2036" s="193"/>
      <c r="O2036" s="193"/>
      <c r="P2036" s="193"/>
      <c r="Q2036" s="200"/>
      <c r="R2036" s="86"/>
      <c r="S2036" s="114">
        <f t="shared" ref="S2036:T2036" si="2039">A2036</f>
        <v>1</v>
      </c>
      <c r="T2036" s="114" t="str">
        <f t="shared" si="2039"/>
        <v/>
      </c>
      <c r="U2036" s="227" t="str">
        <f t="shared" si="3"/>
        <v/>
      </c>
      <c r="V2036" s="86" t="str">
        <f t="shared" si="4"/>
        <v> </v>
      </c>
      <c r="W2036" s="86"/>
      <c r="X2036" s="86"/>
    </row>
    <row r="2037">
      <c r="A2037" s="201">
        <v>1.0</v>
      </c>
      <c r="B2037" s="202"/>
      <c r="C2037" s="203"/>
      <c r="D2037" s="203"/>
      <c r="E2037" s="205"/>
      <c r="F2037" s="214"/>
      <c r="G2037" s="202"/>
      <c r="H2037" s="202"/>
      <c r="I2037" s="203"/>
      <c r="J2037" s="203"/>
      <c r="K2037" s="202"/>
      <c r="L2037" s="202"/>
      <c r="M2037" s="202"/>
      <c r="N2037" s="202"/>
      <c r="O2037" s="202"/>
      <c r="P2037" s="202"/>
      <c r="Q2037" s="208"/>
      <c r="R2037" s="86"/>
      <c r="S2037" s="114">
        <f t="shared" ref="S2037:T2037" si="2040">A2037</f>
        <v>1</v>
      </c>
      <c r="T2037" s="114" t="str">
        <f t="shared" si="2040"/>
        <v/>
      </c>
      <c r="U2037" s="227" t="str">
        <f t="shared" si="3"/>
        <v/>
      </c>
      <c r="V2037" s="86" t="str">
        <f t="shared" si="4"/>
        <v> </v>
      </c>
      <c r="W2037" s="86"/>
      <c r="X2037" s="86"/>
    </row>
    <row r="2038">
      <c r="A2038" s="192">
        <v>1.0</v>
      </c>
      <c r="B2038" s="193"/>
      <c r="C2038" s="194"/>
      <c r="D2038" s="194"/>
      <c r="E2038" s="196"/>
      <c r="F2038" s="221"/>
      <c r="G2038" s="193"/>
      <c r="H2038" s="193"/>
      <c r="I2038" s="194"/>
      <c r="J2038" s="194"/>
      <c r="K2038" s="193"/>
      <c r="L2038" s="193"/>
      <c r="M2038" s="193"/>
      <c r="N2038" s="193"/>
      <c r="O2038" s="193"/>
      <c r="P2038" s="193"/>
      <c r="Q2038" s="200"/>
      <c r="R2038" s="86"/>
      <c r="S2038" s="114">
        <f t="shared" ref="S2038:T2038" si="2041">A2038</f>
        <v>1</v>
      </c>
      <c r="T2038" s="114" t="str">
        <f t="shared" si="2041"/>
        <v/>
      </c>
      <c r="U2038" s="227" t="str">
        <f t="shared" si="3"/>
        <v/>
      </c>
      <c r="V2038" s="86" t="str">
        <f t="shared" si="4"/>
        <v> </v>
      </c>
      <c r="W2038" s="86"/>
      <c r="X2038" s="86"/>
    </row>
    <row r="2039">
      <c r="A2039" s="201">
        <v>1.0</v>
      </c>
      <c r="B2039" s="202"/>
      <c r="C2039" s="203"/>
      <c r="D2039" s="203"/>
      <c r="E2039" s="205"/>
      <c r="F2039" s="214"/>
      <c r="G2039" s="202"/>
      <c r="H2039" s="202"/>
      <c r="I2039" s="203"/>
      <c r="J2039" s="203"/>
      <c r="K2039" s="202"/>
      <c r="L2039" s="202"/>
      <c r="M2039" s="202"/>
      <c r="N2039" s="202"/>
      <c r="O2039" s="202"/>
      <c r="P2039" s="202"/>
      <c r="Q2039" s="208"/>
      <c r="R2039" s="86"/>
      <c r="S2039" s="114">
        <f t="shared" ref="S2039:T2039" si="2042">A2039</f>
        <v>1</v>
      </c>
      <c r="T2039" s="114" t="str">
        <f t="shared" si="2042"/>
        <v/>
      </c>
      <c r="U2039" s="227" t="str">
        <f t="shared" si="3"/>
        <v/>
      </c>
      <c r="V2039" s="86" t="str">
        <f t="shared" si="4"/>
        <v> </v>
      </c>
      <c r="W2039" s="86"/>
      <c r="X2039" s="86"/>
    </row>
    <row r="2040">
      <c r="A2040" s="192">
        <v>1.0</v>
      </c>
      <c r="B2040" s="193"/>
      <c r="C2040" s="194"/>
      <c r="D2040" s="194"/>
      <c r="E2040" s="196"/>
      <c r="F2040" s="221"/>
      <c r="G2040" s="193"/>
      <c r="H2040" s="193"/>
      <c r="I2040" s="194"/>
      <c r="J2040" s="194"/>
      <c r="K2040" s="193"/>
      <c r="L2040" s="193"/>
      <c r="M2040" s="193"/>
      <c r="N2040" s="193"/>
      <c r="O2040" s="193"/>
      <c r="P2040" s="193"/>
      <c r="Q2040" s="200"/>
      <c r="R2040" s="86"/>
      <c r="S2040" s="114">
        <f t="shared" ref="S2040:T2040" si="2043">A2040</f>
        <v>1</v>
      </c>
      <c r="T2040" s="114" t="str">
        <f t="shared" si="2043"/>
        <v/>
      </c>
      <c r="U2040" s="227" t="str">
        <f t="shared" si="3"/>
        <v/>
      </c>
      <c r="V2040" s="86" t="str">
        <f t="shared" si="4"/>
        <v> </v>
      </c>
      <c r="W2040" s="86"/>
      <c r="X2040" s="86"/>
    </row>
    <row r="2041">
      <c r="A2041" s="201">
        <v>1.0</v>
      </c>
      <c r="B2041" s="202"/>
      <c r="C2041" s="203"/>
      <c r="D2041" s="203"/>
      <c r="E2041" s="205"/>
      <c r="F2041" s="214"/>
      <c r="G2041" s="202"/>
      <c r="H2041" s="202"/>
      <c r="I2041" s="203"/>
      <c r="J2041" s="203"/>
      <c r="K2041" s="202"/>
      <c r="L2041" s="202"/>
      <c r="M2041" s="202"/>
      <c r="N2041" s="202"/>
      <c r="O2041" s="202"/>
      <c r="P2041" s="202"/>
      <c r="Q2041" s="208"/>
      <c r="R2041" s="86"/>
      <c r="S2041" s="114">
        <f t="shared" ref="S2041:T2041" si="2044">A2041</f>
        <v>1</v>
      </c>
      <c r="T2041" s="114" t="str">
        <f t="shared" si="2044"/>
        <v/>
      </c>
      <c r="U2041" s="227" t="str">
        <f t="shared" si="3"/>
        <v/>
      </c>
      <c r="V2041" s="86" t="str">
        <f t="shared" si="4"/>
        <v> </v>
      </c>
      <c r="W2041" s="86"/>
      <c r="X2041" s="86"/>
    </row>
    <row r="2042">
      <c r="A2042" s="192">
        <v>1.0</v>
      </c>
      <c r="B2042" s="193"/>
      <c r="C2042" s="194"/>
      <c r="D2042" s="194"/>
      <c r="E2042" s="196"/>
      <c r="F2042" s="221"/>
      <c r="G2042" s="193"/>
      <c r="H2042" s="193"/>
      <c r="I2042" s="194"/>
      <c r="J2042" s="194"/>
      <c r="K2042" s="193"/>
      <c r="L2042" s="193"/>
      <c r="M2042" s="193"/>
      <c r="N2042" s="193"/>
      <c r="O2042" s="193"/>
      <c r="P2042" s="193"/>
      <c r="Q2042" s="200"/>
      <c r="R2042" s="86"/>
      <c r="S2042" s="114">
        <f t="shared" ref="S2042:T2042" si="2045">A2042</f>
        <v>1</v>
      </c>
      <c r="T2042" s="114" t="str">
        <f t="shared" si="2045"/>
        <v/>
      </c>
      <c r="U2042" s="227" t="str">
        <f t="shared" si="3"/>
        <v/>
      </c>
      <c r="V2042" s="86" t="str">
        <f t="shared" si="4"/>
        <v> </v>
      </c>
      <c r="W2042" s="86"/>
      <c r="X2042" s="86"/>
    </row>
    <row r="2043">
      <c r="A2043" s="201">
        <v>1.0</v>
      </c>
      <c r="B2043" s="202"/>
      <c r="C2043" s="203"/>
      <c r="D2043" s="203"/>
      <c r="E2043" s="205"/>
      <c r="F2043" s="214"/>
      <c r="G2043" s="202"/>
      <c r="H2043" s="202"/>
      <c r="I2043" s="203"/>
      <c r="J2043" s="203"/>
      <c r="K2043" s="202"/>
      <c r="L2043" s="202"/>
      <c r="M2043" s="202"/>
      <c r="N2043" s="202"/>
      <c r="O2043" s="202"/>
      <c r="P2043" s="202"/>
      <c r="Q2043" s="208"/>
      <c r="R2043" s="86"/>
      <c r="S2043" s="114">
        <f t="shared" ref="S2043:T2043" si="2046">A2043</f>
        <v>1</v>
      </c>
      <c r="T2043" s="114" t="str">
        <f t="shared" si="2046"/>
        <v/>
      </c>
      <c r="U2043" s="227" t="str">
        <f t="shared" si="3"/>
        <v/>
      </c>
      <c r="V2043" s="86" t="str">
        <f t="shared" si="4"/>
        <v> </v>
      </c>
      <c r="W2043" s="86"/>
      <c r="X2043" s="86"/>
    </row>
    <row r="2044">
      <c r="A2044" s="192">
        <v>1.0</v>
      </c>
      <c r="B2044" s="193"/>
      <c r="C2044" s="194"/>
      <c r="D2044" s="194"/>
      <c r="E2044" s="196"/>
      <c r="F2044" s="221"/>
      <c r="G2044" s="193"/>
      <c r="H2044" s="193"/>
      <c r="I2044" s="194"/>
      <c r="J2044" s="194"/>
      <c r="K2044" s="193"/>
      <c r="L2044" s="193"/>
      <c r="M2044" s="193"/>
      <c r="N2044" s="193"/>
      <c r="O2044" s="193"/>
      <c r="P2044" s="193"/>
      <c r="Q2044" s="200"/>
      <c r="R2044" s="86"/>
      <c r="S2044" s="114">
        <f t="shared" ref="S2044:T2044" si="2047">A2044</f>
        <v>1</v>
      </c>
      <c r="T2044" s="114" t="str">
        <f t="shared" si="2047"/>
        <v/>
      </c>
      <c r="U2044" s="227" t="str">
        <f t="shared" si="3"/>
        <v/>
      </c>
      <c r="V2044" s="86" t="str">
        <f t="shared" si="4"/>
        <v> </v>
      </c>
      <c r="W2044" s="86"/>
      <c r="X2044" s="86"/>
    </row>
    <row r="2045">
      <c r="A2045" s="201">
        <v>1.0</v>
      </c>
      <c r="B2045" s="202"/>
      <c r="C2045" s="203"/>
      <c r="D2045" s="203"/>
      <c r="E2045" s="205"/>
      <c r="F2045" s="214"/>
      <c r="G2045" s="202"/>
      <c r="H2045" s="202"/>
      <c r="I2045" s="203"/>
      <c r="J2045" s="203"/>
      <c r="K2045" s="202"/>
      <c r="L2045" s="202"/>
      <c r="M2045" s="202"/>
      <c r="N2045" s="202"/>
      <c r="O2045" s="202"/>
      <c r="P2045" s="202"/>
      <c r="Q2045" s="208"/>
      <c r="R2045" s="86"/>
      <c r="S2045" s="114">
        <f t="shared" ref="S2045:T2045" si="2048">A2045</f>
        <v>1</v>
      </c>
      <c r="T2045" s="114" t="str">
        <f t="shared" si="2048"/>
        <v/>
      </c>
      <c r="U2045" s="227" t="str">
        <f t="shared" si="3"/>
        <v/>
      </c>
      <c r="V2045" s="86" t="str">
        <f t="shared" si="4"/>
        <v> </v>
      </c>
      <c r="W2045" s="86"/>
      <c r="X2045" s="86"/>
    </row>
    <row r="2046">
      <c r="A2046" s="192">
        <v>1.0</v>
      </c>
      <c r="B2046" s="193"/>
      <c r="C2046" s="194"/>
      <c r="D2046" s="194"/>
      <c r="E2046" s="196"/>
      <c r="F2046" s="221"/>
      <c r="G2046" s="193"/>
      <c r="H2046" s="193"/>
      <c r="I2046" s="194"/>
      <c r="J2046" s="194"/>
      <c r="K2046" s="193"/>
      <c r="L2046" s="193"/>
      <c r="M2046" s="193"/>
      <c r="N2046" s="193"/>
      <c r="O2046" s="193"/>
      <c r="P2046" s="193"/>
      <c r="Q2046" s="200"/>
      <c r="R2046" s="86"/>
      <c r="S2046" s="114">
        <f t="shared" ref="S2046:T2046" si="2049">A2046</f>
        <v>1</v>
      </c>
      <c r="T2046" s="114" t="str">
        <f t="shared" si="2049"/>
        <v/>
      </c>
      <c r="U2046" s="227" t="str">
        <f t="shared" si="3"/>
        <v/>
      </c>
      <c r="V2046" s="86" t="str">
        <f t="shared" si="4"/>
        <v> </v>
      </c>
      <c r="W2046" s="86"/>
      <c r="X2046" s="86"/>
    </row>
    <row r="2047">
      <c r="A2047" s="201">
        <v>1.0</v>
      </c>
      <c r="B2047" s="202"/>
      <c r="C2047" s="203"/>
      <c r="D2047" s="203"/>
      <c r="E2047" s="205"/>
      <c r="F2047" s="214"/>
      <c r="G2047" s="202"/>
      <c r="H2047" s="202"/>
      <c r="I2047" s="203"/>
      <c r="J2047" s="203"/>
      <c r="K2047" s="202"/>
      <c r="L2047" s="202"/>
      <c r="M2047" s="202"/>
      <c r="N2047" s="202"/>
      <c r="O2047" s="202"/>
      <c r="P2047" s="202"/>
      <c r="Q2047" s="208"/>
      <c r="R2047" s="86"/>
      <c r="S2047" s="114">
        <f t="shared" ref="S2047:T2047" si="2050">A2047</f>
        <v>1</v>
      </c>
      <c r="T2047" s="114" t="str">
        <f t="shared" si="2050"/>
        <v/>
      </c>
      <c r="U2047" s="227" t="str">
        <f t="shared" si="3"/>
        <v/>
      </c>
      <c r="V2047" s="86" t="str">
        <f t="shared" si="4"/>
        <v> </v>
      </c>
      <c r="W2047" s="86"/>
      <c r="X2047" s="86"/>
    </row>
    <row r="2048">
      <c r="A2048" s="192">
        <v>1.0</v>
      </c>
      <c r="B2048" s="193"/>
      <c r="C2048" s="194"/>
      <c r="D2048" s="194"/>
      <c r="E2048" s="196"/>
      <c r="F2048" s="221"/>
      <c r="G2048" s="193"/>
      <c r="H2048" s="193"/>
      <c r="I2048" s="194"/>
      <c r="J2048" s="194"/>
      <c r="K2048" s="193"/>
      <c r="L2048" s="193"/>
      <c r="M2048" s="193"/>
      <c r="N2048" s="193"/>
      <c r="O2048" s="193"/>
      <c r="P2048" s="193"/>
      <c r="Q2048" s="200"/>
      <c r="R2048" s="86"/>
      <c r="S2048" s="114">
        <f t="shared" ref="S2048:T2048" si="2051">A2048</f>
        <v>1</v>
      </c>
      <c r="T2048" s="114" t="str">
        <f t="shared" si="2051"/>
        <v/>
      </c>
      <c r="U2048" s="227" t="str">
        <f t="shared" si="3"/>
        <v/>
      </c>
      <c r="V2048" s="86" t="str">
        <f t="shared" si="4"/>
        <v> </v>
      </c>
      <c r="W2048" s="86"/>
      <c r="X2048" s="86"/>
    </row>
    <row r="2049">
      <c r="A2049" s="228">
        <v>1.0</v>
      </c>
      <c r="B2049" s="229"/>
      <c r="C2049" s="230"/>
      <c r="D2049" s="230"/>
      <c r="E2049" s="231"/>
      <c r="F2049" s="232"/>
      <c r="G2049" s="229"/>
      <c r="H2049" s="229"/>
      <c r="I2049" s="230"/>
      <c r="J2049" s="230"/>
      <c r="K2049" s="229"/>
      <c r="L2049" s="229"/>
      <c r="M2049" s="229"/>
      <c r="N2049" s="229"/>
      <c r="O2049" s="229"/>
      <c r="P2049" s="229"/>
      <c r="Q2049" s="233"/>
      <c r="R2049" s="86"/>
      <c r="S2049" s="114">
        <f t="shared" ref="S2049:T2049" si="2052">A2049</f>
        <v>1</v>
      </c>
      <c r="T2049" s="114" t="str">
        <f t="shared" si="2052"/>
        <v/>
      </c>
      <c r="U2049" s="227" t="str">
        <f t="shared" si="3"/>
        <v/>
      </c>
      <c r="V2049" s="86" t="str">
        <f t="shared" si="4"/>
        <v> </v>
      </c>
      <c r="W2049" s="86"/>
      <c r="X2049" s="86"/>
    </row>
  </sheetData>
  <dataValidations>
    <dataValidation type="list" allowBlank="1" showErrorMessage="1" sqref="E2:E2049">
      <formula1>"پیش‌وایی,مواجهه,جان کلام,رابطه"</formula1>
    </dataValidation>
    <dataValidation type="list" allowBlank="1" showErrorMessage="1" sqref="Q1700:Q1769">
      <formula1>"حاضر در دوره,انصراف پیش از دوره,انتخاب نماندن,ترک دوره,ثبت‌نام"</formula1>
    </dataValidation>
    <dataValidation type="list" allowBlank="1" showErrorMessage="1" sqref="Q1614:Q1699">
      <formula1>"حاضر در دوره,انصراف پیش از دوره,انتخاب نماندن,ترک دوره"</formula1>
    </dataValidation>
    <dataValidation type="list" allowBlank="1" showErrorMessage="1" sqref="F2:F2049">
      <formula1>"1,10,11,12,13,2,3,4,5,6,7,8,9,14,15,16,17"</formula1>
    </dataValidation>
    <dataValidation allowBlank="1" showDropDown="1" sqref="C2:C2049 J2:J2049"/>
    <dataValidation type="list" allowBlank="1" showErrorMessage="1" sqref="Q1401:Q1613">
      <formula1>"شرکت کننده,انصراف روز اول,انصراف قبل از دوره,غایب,انتقالی به آنلاین,مهمان,انصراف روز اول - غایب,انتقال به دوره های بعد,اجرایی"</formula1>
    </dataValidation>
  </dataValidations>
  <hyperlinks>
    <hyperlink r:id="rId1" ref="H2"/>
    <hyperlink r:id="rId2" ref="H11"/>
    <hyperlink r:id="rId3" ref="H19"/>
    <hyperlink r:id="rId4" ref="H20"/>
    <hyperlink r:id="rId5" ref="H21"/>
    <hyperlink r:id="rId6" ref="H26"/>
    <hyperlink r:id="rId7" ref="H27"/>
    <hyperlink r:id="rId8" ref="H30"/>
    <hyperlink r:id="rId9" ref="H34"/>
    <hyperlink r:id="rId10" ref="H35"/>
    <hyperlink r:id="rId11" ref="H36"/>
    <hyperlink r:id="rId12" ref="H39"/>
    <hyperlink r:id="rId13" ref="H40"/>
    <hyperlink r:id="rId14" ref="H41"/>
    <hyperlink r:id="rId15" ref="H47"/>
    <hyperlink r:id="rId16" ref="H50"/>
    <hyperlink r:id="rId17" ref="H51"/>
    <hyperlink r:id="rId18" ref="H54"/>
    <hyperlink r:id="rId19" ref="H56"/>
    <hyperlink r:id="rId20" ref="H80"/>
    <hyperlink r:id="rId21" ref="H88"/>
    <hyperlink r:id="rId22" ref="H89"/>
    <hyperlink r:id="rId23" ref="H90"/>
    <hyperlink r:id="rId24" ref="H92"/>
    <hyperlink r:id="rId25" ref="H93"/>
    <hyperlink r:id="rId26" ref="H95"/>
    <hyperlink r:id="rId27" ref="H96"/>
    <hyperlink r:id="rId28" ref="H99"/>
    <hyperlink r:id="rId29" ref="H100"/>
    <hyperlink r:id="rId30" ref="H101"/>
    <hyperlink r:id="rId31" ref="H103"/>
    <hyperlink r:id="rId32" ref="H104"/>
    <hyperlink r:id="rId33" ref="H105"/>
    <hyperlink r:id="rId34" ref="H120"/>
    <hyperlink r:id="rId35" ref="H121"/>
    <hyperlink r:id="rId36" ref="H122"/>
    <hyperlink r:id="rId37" ref="H155"/>
    <hyperlink r:id="rId38" ref="H190"/>
    <hyperlink r:id="rId39" ref="H200"/>
    <hyperlink r:id="rId40" ref="H217"/>
    <hyperlink r:id="rId41" ref="H221"/>
    <hyperlink r:id="rId42" ref="H223"/>
    <hyperlink r:id="rId43" ref="H229"/>
    <hyperlink r:id="rId44" ref="H282"/>
    <hyperlink r:id="rId45" ref="H290"/>
    <hyperlink r:id="rId46" ref="H353"/>
    <hyperlink r:id="rId47" ref="H354"/>
    <hyperlink r:id="rId48" ref="H367"/>
    <hyperlink r:id="rId49" ref="H368"/>
    <hyperlink r:id="rId50" ref="H375"/>
    <hyperlink r:id="rId51" ref="H420"/>
    <hyperlink r:id="rId52" ref="H422"/>
    <hyperlink r:id="rId53" ref="H424"/>
    <hyperlink r:id="rId54" ref="H425"/>
    <hyperlink r:id="rId55" ref="H426"/>
    <hyperlink r:id="rId56" ref="H430"/>
    <hyperlink r:id="rId57" ref="H434"/>
    <hyperlink r:id="rId58" ref="H435"/>
    <hyperlink r:id="rId59" ref="H436"/>
    <hyperlink r:id="rId60" ref="H438"/>
    <hyperlink r:id="rId61" ref="H440"/>
    <hyperlink r:id="rId62" ref="H599"/>
    <hyperlink r:id="rId63" ref="H600"/>
    <hyperlink r:id="rId64" ref="H602"/>
    <hyperlink r:id="rId65" ref="H604"/>
    <hyperlink r:id="rId66" ref="H605"/>
    <hyperlink r:id="rId67" ref="H610"/>
    <hyperlink r:id="rId68" ref="H611"/>
    <hyperlink r:id="rId69" ref="H612"/>
    <hyperlink r:id="rId70" ref="H614"/>
    <hyperlink r:id="rId71" ref="H618"/>
    <hyperlink r:id="rId72" ref="H620"/>
    <hyperlink r:id="rId73" ref="H621"/>
    <hyperlink r:id="rId74" ref="H622"/>
    <hyperlink r:id="rId75" ref="H623"/>
    <hyperlink r:id="rId76" ref="H624"/>
    <hyperlink r:id="rId77" ref="H625"/>
    <hyperlink r:id="rId78" ref="H626"/>
    <hyperlink r:id="rId79" ref="H633"/>
    <hyperlink r:id="rId80" ref="H644"/>
    <hyperlink r:id="rId81" ref="H653"/>
    <hyperlink r:id="rId82" ref="H762"/>
    <hyperlink r:id="rId83" ref="H882"/>
    <hyperlink r:id="rId84" ref="H887"/>
    <hyperlink r:id="rId85" ref="H894"/>
    <hyperlink r:id="rId86" ref="H908"/>
    <hyperlink r:id="rId87" ref="H920"/>
    <hyperlink r:id="rId88" ref="H942"/>
    <hyperlink r:id="rId89" ref="H974"/>
    <hyperlink r:id="rId90" ref="H979"/>
    <hyperlink r:id="rId91" ref="H982"/>
    <hyperlink r:id="rId92" ref="H986"/>
    <hyperlink r:id="rId93" ref="H988"/>
    <hyperlink r:id="rId94" ref="H998"/>
    <hyperlink r:id="rId95" ref="H1001"/>
    <hyperlink r:id="rId96" ref="H1014"/>
    <hyperlink r:id="rId97" ref="H1015"/>
    <hyperlink r:id="rId98" ref="H1016"/>
    <hyperlink r:id="rId99" ref="H1017"/>
    <hyperlink r:id="rId100" ref="H1019"/>
    <hyperlink r:id="rId101" ref="H1024"/>
    <hyperlink r:id="rId102" ref="H1026"/>
    <hyperlink r:id="rId103" ref="H1029"/>
    <hyperlink r:id="rId104" ref="H1041"/>
    <hyperlink r:id="rId105" ref="H1042"/>
    <hyperlink r:id="rId106" ref="I1742"/>
    <hyperlink r:id="rId107" ref="I1744"/>
    <hyperlink r:id="rId108" ref="I1748"/>
    <hyperlink r:id="rId109" ref="I1753"/>
  </hyperlinks>
  <drawing r:id="rId110"/>
  <tableParts count="1">
    <tablePart r:id="rId11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9.5"/>
  </cols>
  <sheetData>
    <row r="1">
      <c r="A1" s="234"/>
    </row>
    <row r="2">
      <c r="A2" s="234"/>
      <c r="B2" s="234">
        <v>9.195258134E9</v>
      </c>
      <c r="C2" s="235" t="str">
        <f>IFERROR(__xludf.DUMMYFUNCTION("ARRAYFORMULA(LET( converted, SUBSTITUTE( SUBSTITUTE( SUBSTITUTE( SUBSTITUTE( SUBSTITUTE( SUBSTITUTE( SUBSTITUTE( SUBSTITUTE( SUBSTITUTE( SUBSTITUTE( B2, ""۰"", ""0""), ""۱"", ""1""), ""۲"", ""2""), ""۳"", ""3""), ""۴"", ""4""), ""۵"", ""5""), ""۶"", ""6"""&amp;"), ""۷"", ""7""), ""۸"", ""8""), ""۹"", ""9""), IF(LEFT(converted,3)=""+98"", ""0"" &amp; RIGHT(converted, LEN(converted)-3), IF(LEFT(converted,2)=""98"", ""0"" &amp; RIGHT(converted, LEN(converted)-2), IF(LEFT(converted,1)&lt;&gt;""0"", ""0"" &amp; converted, REGEXREPLACE"&amp;"(converted , ""\s"", """")) ) ) ) )"),"09195258134")</f>
        <v>09195258134</v>
      </c>
      <c r="D2" s="235" t="str">
        <f>VLOOKUP(C2, 'تجربه‌گرها'!D2:H1769, 4, False)</f>
        <v/>
      </c>
      <c r="E2" s="234" t="s">
        <v>3115</v>
      </c>
      <c r="F2" s="235" t="str">
        <f t="shared" ref="F2:F165" si="1">IF(ISBLANK(E2), D2, E2)</f>
        <v>michael12sco@gmail.com</v>
      </c>
    </row>
    <row r="3">
      <c r="A3" s="234"/>
      <c r="B3" s="234">
        <v>9.355344963E9</v>
      </c>
      <c r="C3" s="235" t="str">
        <f>IFERROR(__xludf.DUMMYFUNCTION("ARRAYFORMULA(LET( converted, SUBSTITUTE( SUBSTITUTE( SUBSTITUTE( SUBSTITUTE( SUBSTITUTE( SUBSTITUTE( SUBSTITUTE( SUBSTITUTE( SUBSTITUTE( SUBSTITUTE( B3, ""۰"", ""0""), ""۱"", ""1""), ""۲"", ""2""), ""۳"", ""3""), ""۴"", ""4""), ""۵"", ""5""), ""۶"", ""6"""&amp;"), ""۷"", ""7""), ""۸"", ""8""), ""۹"", ""9""), IF(LEFT(converted,3)=""+98"", ""0"" &amp; RIGHT(converted, LEN(converted)-3), IF(LEFT(converted,2)=""98"", ""0"" &amp; RIGHT(converted, LEN(converted)-2), IF(LEFT(converted,1)&lt;&gt;""0"", ""0"" &amp; converted, REGEXREPLACE"&amp;"(converted , ""\s"", """")) ) ) ) )"),"09355344963")</f>
        <v>09355344963</v>
      </c>
      <c r="D3" s="235" t="str">
        <f>VLOOKUP(C3, 'تجربه‌گرها'!D3:H1770, 4, False)</f>
        <v/>
      </c>
      <c r="E3" s="234" t="s">
        <v>239</v>
      </c>
      <c r="F3" s="235" t="str">
        <f t="shared" si="1"/>
        <v>r.farhadiasl@gmail.com</v>
      </c>
    </row>
    <row r="4">
      <c r="A4" s="234"/>
      <c r="B4" s="234">
        <v>9.12587095E9</v>
      </c>
      <c r="C4" s="235" t="str">
        <f>IFERROR(__xludf.DUMMYFUNCTION("ARRAYFORMULA(LET( converted, SUBSTITUTE( SUBSTITUTE( SUBSTITUTE( SUBSTITUTE( SUBSTITUTE( SUBSTITUTE( SUBSTITUTE( SUBSTITUTE( SUBSTITUTE( SUBSTITUTE( B4, ""۰"", ""0""), ""۱"", ""1""), ""۲"", ""2""), ""۳"", ""3""), ""۴"", ""4""), ""۵"", ""5""), ""۶"", ""6"""&amp;"), ""۷"", ""7""), ""۸"", ""8""), ""۹"", ""9""), IF(LEFT(converted,3)=""+98"", ""0"" &amp; RIGHT(converted, LEN(converted)-3), IF(LEFT(converted,2)=""98"", ""0"" &amp; RIGHT(converted, LEN(converted)-2), IF(LEFT(converted,1)&lt;&gt;""0"", ""0"" &amp; converted, REGEXREPLACE"&amp;"(converted , ""\s"", """")) ) ) ) )"),"09125870950")</f>
        <v>09125870950</v>
      </c>
      <c r="D4" s="235" t="str">
        <f>VLOOKUP(C4, 'تجربه‌گرها'!D4:H1771, 4, False)</f>
        <v>F</v>
      </c>
      <c r="E4" s="234" t="s">
        <v>7230</v>
      </c>
      <c r="F4" s="235" t="str">
        <f t="shared" si="1"/>
        <v>Zohreh.azizie@gmail.com</v>
      </c>
    </row>
    <row r="5">
      <c r="A5" s="234"/>
      <c r="B5" s="234">
        <v>9.384154314E9</v>
      </c>
      <c r="C5" s="235" t="str">
        <f>IFERROR(__xludf.DUMMYFUNCTION("ARRAYFORMULA(LET( converted, SUBSTITUTE( SUBSTITUTE( SUBSTITUTE( SUBSTITUTE( SUBSTITUTE( SUBSTITUTE( SUBSTITUTE( SUBSTITUTE( SUBSTITUTE( SUBSTITUTE( B5, ""۰"", ""0""), ""۱"", ""1""), ""۲"", ""2""), ""۳"", ""3""), ""۴"", ""4""), ""۵"", ""5""), ""۶"", ""6"""&amp;"), ""۷"", ""7""), ""۸"", ""8""), ""۹"", ""9""), IF(LEFT(converted,3)=""+98"", ""0"" &amp; RIGHT(converted, LEN(converted)-3), IF(LEFT(converted,2)=""98"", ""0"" &amp; RIGHT(converted, LEN(converted)-2), IF(LEFT(converted,1)&lt;&gt;""0"", ""0"" &amp; converted, REGEXREPLACE"&amp;"(converted , ""\s"", """")) ) ) ) )"),"09384154314")</f>
        <v>09384154314</v>
      </c>
      <c r="D5" s="235" t="str">
        <f>VLOOKUP(C5, 'تجربه‌گرها'!D5:H1772, 4, False)</f>
        <v/>
      </c>
      <c r="E5" s="24"/>
      <c r="F5" s="235" t="str">
        <f t="shared" si="1"/>
        <v/>
      </c>
    </row>
    <row r="6">
      <c r="A6" s="234"/>
      <c r="B6" s="234">
        <v>9.198197842E9</v>
      </c>
      <c r="C6" s="235" t="str">
        <f>IFERROR(__xludf.DUMMYFUNCTION("ARRAYFORMULA(LET( converted, SUBSTITUTE( SUBSTITUTE( SUBSTITUTE( SUBSTITUTE( SUBSTITUTE( SUBSTITUTE( SUBSTITUTE( SUBSTITUTE( SUBSTITUTE( SUBSTITUTE( B6, ""۰"", ""0""), ""۱"", ""1""), ""۲"", ""2""), ""۳"", ""3""), ""۴"", ""4""), ""۵"", ""5""), ""۶"", ""6"""&amp;"), ""۷"", ""7""), ""۸"", ""8""), ""۹"", ""9""), IF(LEFT(converted,3)=""+98"", ""0"" &amp; RIGHT(converted, LEN(converted)-3), IF(LEFT(converted,2)=""98"", ""0"" &amp; RIGHT(converted, LEN(converted)-2), IF(LEFT(converted,1)&lt;&gt;""0"", ""0"" &amp; converted, REGEXREPLACE"&amp;"(converted , ""\s"", """")) ) ) ) )"),"09198197842")</f>
        <v>09198197842</v>
      </c>
      <c r="D6" s="235" t="str">
        <f>VLOOKUP(C6, 'تجربه‌گرها'!D6:H1773, 4, False)</f>
        <v>F</v>
      </c>
      <c r="E6" s="234" t="s">
        <v>7231</v>
      </c>
      <c r="F6" s="235" t="str">
        <f t="shared" si="1"/>
        <v>mari.kabiri612@gmail.com</v>
      </c>
    </row>
    <row r="7">
      <c r="A7" s="234"/>
      <c r="B7" s="234">
        <v>9.143159445E9</v>
      </c>
      <c r="C7" s="235" t="str">
        <f>IFERROR(__xludf.DUMMYFUNCTION("ARRAYFORMULA(LET( converted, SUBSTITUTE( SUBSTITUTE( SUBSTITUTE( SUBSTITUTE( SUBSTITUTE( SUBSTITUTE( SUBSTITUTE( SUBSTITUTE( SUBSTITUTE( SUBSTITUTE( B7, ""۰"", ""0""), ""۱"", ""1""), ""۲"", ""2""), ""۳"", ""3""), ""۴"", ""4""), ""۵"", ""5""), ""۶"", ""6"""&amp;"), ""۷"", ""7""), ""۸"", ""8""), ""۹"", ""9""), IF(LEFT(converted,3)=""+98"", ""0"" &amp; RIGHT(converted, LEN(converted)-3), IF(LEFT(converted,2)=""98"", ""0"" &amp; RIGHT(converted, LEN(converted)-2), IF(LEFT(converted,1)&lt;&gt;""0"", ""0"" &amp; converted, REGEXREPLACE"&amp;"(converted , ""\s"", """")) ) ) ) )"),"09143159445")</f>
        <v>09143159445</v>
      </c>
      <c r="D7" s="235" t="str">
        <f>VLOOKUP(C7, 'تجربه‌گرها'!D7:H1774, 4, False)</f>
        <v>M</v>
      </c>
      <c r="E7" s="234" t="s">
        <v>7232</v>
      </c>
      <c r="F7" s="235" t="str">
        <f t="shared" si="1"/>
        <v>Arash.sarvi@gmail.com</v>
      </c>
    </row>
    <row r="8">
      <c r="A8" s="234"/>
      <c r="B8" s="234">
        <v>9.122046602E9</v>
      </c>
      <c r="C8" s="235" t="str">
        <f>IFERROR(__xludf.DUMMYFUNCTION("ARRAYFORMULA(LET( converted, SUBSTITUTE( SUBSTITUTE( SUBSTITUTE( SUBSTITUTE( SUBSTITUTE( SUBSTITUTE( SUBSTITUTE( SUBSTITUTE( SUBSTITUTE( SUBSTITUTE( B8, ""۰"", ""0""), ""۱"", ""1""), ""۲"", ""2""), ""۳"", ""3""), ""۴"", ""4""), ""۵"", ""5""), ""۶"", ""6"""&amp;"), ""۷"", ""7""), ""۸"", ""8""), ""۹"", ""9""), IF(LEFT(converted,3)=""+98"", ""0"" &amp; RIGHT(converted, LEN(converted)-3), IF(LEFT(converted,2)=""98"", ""0"" &amp; RIGHT(converted, LEN(converted)-2), IF(LEFT(converted,1)&lt;&gt;""0"", ""0"" &amp; converted, REGEXREPLACE"&amp;"(converted , ""\s"", """")) ) ) ) )"),"09122046602")</f>
        <v>09122046602</v>
      </c>
      <c r="D8" s="235" t="str">
        <f>VLOOKUP(C8, 'تجربه‌گرها'!D8:H1775, 4, False)</f>
        <v>#N/A</v>
      </c>
      <c r="E8" s="234" t="s">
        <v>7233</v>
      </c>
      <c r="F8" s="235" t="str">
        <f t="shared" si="1"/>
        <v>behnamkabiri2023@gmail.com</v>
      </c>
    </row>
    <row r="9">
      <c r="A9" s="234"/>
      <c r="B9" s="234">
        <v>9.127224421E9</v>
      </c>
      <c r="C9" s="235" t="str">
        <f>IFERROR(__xludf.DUMMYFUNCTION("ARRAYFORMULA(LET( converted, SUBSTITUTE( SUBSTITUTE( SUBSTITUTE( SUBSTITUTE( SUBSTITUTE( SUBSTITUTE( SUBSTITUTE( SUBSTITUTE( SUBSTITUTE( SUBSTITUTE( B9, ""۰"", ""0""), ""۱"", ""1""), ""۲"", ""2""), ""۳"", ""3""), ""۴"", ""4""), ""۵"", ""5""), ""۶"", ""6"""&amp;"), ""۷"", ""7""), ""۸"", ""8""), ""۹"", ""9""), IF(LEFT(converted,3)=""+98"", ""0"" &amp; RIGHT(converted, LEN(converted)-3), IF(LEFT(converted,2)=""98"", ""0"" &amp; RIGHT(converted, LEN(converted)-2), IF(LEFT(converted,1)&lt;&gt;""0"", ""0"" &amp; converted, REGEXREPLACE"&amp;"(converted , ""\s"", """")) ) ) ) )"),"09127224421")</f>
        <v>09127224421</v>
      </c>
      <c r="D9" s="235" t="str">
        <f>VLOOKUP(C9, 'تجربه‌گرها'!D9:H1776, 4, False)</f>
        <v/>
      </c>
      <c r="E9" s="234" t="s">
        <v>7234</v>
      </c>
      <c r="F9" s="235" t="str">
        <f t="shared" si="1"/>
        <v>majidkarimi4949@gmail.com</v>
      </c>
    </row>
    <row r="10">
      <c r="A10" s="234"/>
      <c r="B10" s="234">
        <v>9.144327232E9</v>
      </c>
      <c r="C10" s="235" t="str">
        <f>IFERROR(__xludf.DUMMYFUNCTION("ARRAYFORMULA(LET( converted, SUBSTITUTE( SUBSTITUTE( SUBSTITUTE( SUBSTITUTE( SUBSTITUTE( SUBSTITUTE( SUBSTITUTE( SUBSTITUTE( SUBSTITUTE( SUBSTITUTE( B10, ""۰"", ""0""), ""۱"", ""1""), ""۲"", ""2""), ""۳"", ""3""), ""۴"", ""4""), ""۵"", ""5""), ""۶"", ""6"&amp;"""), ""۷"", ""7""), ""۸"", ""8""), ""۹"", ""9""), IF(LEFT(converted,3)=""+98"", ""0"" &amp; RIGHT(converted, LEN(converted)-3), IF(LEFT(converted,2)=""98"", ""0"" &amp; RIGHT(converted, LEN(converted)-2), IF(LEFT(converted,1)&lt;&gt;""0"", ""0"" &amp; converted, REGEXREPLA"&amp;"CE(converted , ""\s"", """")) ) ) ) )"),"09144327232")</f>
        <v>09144327232</v>
      </c>
      <c r="D10" s="235" t="str">
        <f>VLOOKUP(C10, 'تجربه‌گرها'!D10:H1777, 4, False)</f>
        <v/>
      </c>
      <c r="E10" s="24"/>
      <c r="F10" s="235" t="str">
        <f t="shared" si="1"/>
        <v/>
      </c>
    </row>
    <row r="11">
      <c r="A11" s="234"/>
      <c r="B11" s="234">
        <v>9.131585507E9</v>
      </c>
      <c r="C11" s="235" t="str">
        <f>IFERROR(__xludf.DUMMYFUNCTION("ARRAYFORMULA(LET( converted, SUBSTITUTE( SUBSTITUTE( SUBSTITUTE( SUBSTITUTE( SUBSTITUTE( SUBSTITUTE( SUBSTITUTE( SUBSTITUTE( SUBSTITUTE( SUBSTITUTE( B11, ""۰"", ""0""), ""۱"", ""1""), ""۲"", ""2""), ""۳"", ""3""), ""۴"", ""4""), ""۵"", ""5""), ""۶"", ""6"&amp;"""), ""۷"", ""7""), ""۸"", ""8""), ""۹"", ""9""), IF(LEFT(converted,3)=""+98"", ""0"" &amp; RIGHT(converted, LEN(converted)-3), IF(LEFT(converted,2)=""98"", ""0"" &amp; RIGHT(converted, LEN(converted)-2), IF(LEFT(converted,1)&lt;&gt;""0"", ""0"" &amp; converted, REGEXREPLA"&amp;"CE(converted , ""\s"", """")) ) ) ) )"),"09131585507")</f>
        <v>09131585507</v>
      </c>
      <c r="D11" s="235" t="str">
        <f>VLOOKUP(C11, 'تجربه‌گرها'!D11:H1778, 4, False)</f>
        <v>M</v>
      </c>
      <c r="E11" s="234" t="s">
        <v>7235</v>
      </c>
      <c r="F11" s="235" t="str">
        <f t="shared" si="1"/>
        <v>r.pahlavan@alibaba.ir</v>
      </c>
    </row>
    <row r="12">
      <c r="A12" s="234"/>
      <c r="B12" s="234">
        <v>9.190318414E9</v>
      </c>
      <c r="C12" s="235" t="str">
        <f>IFERROR(__xludf.DUMMYFUNCTION("ARRAYFORMULA(LET( converted, SUBSTITUTE( SUBSTITUTE( SUBSTITUTE( SUBSTITUTE( SUBSTITUTE( SUBSTITUTE( SUBSTITUTE( SUBSTITUTE( SUBSTITUTE( SUBSTITUTE( B12, ""۰"", ""0""), ""۱"", ""1""), ""۲"", ""2""), ""۳"", ""3""), ""۴"", ""4""), ""۵"", ""5""), ""۶"", ""6"&amp;"""), ""۷"", ""7""), ""۸"", ""8""), ""۹"", ""9""), IF(LEFT(converted,3)=""+98"", ""0"" &amp; RIGHT(converted, LEN(converted)-3), IF(LEFT(converted,2)=""98"", ""0"" &amp; RIGHT(converted, LEN(converted)-2), IF(LEFT(converted,1)&lt;&gt;""0"", ""0"" &amp; converted, REGEXREPLA"&amp;"CE(converted , ""\s"", """")) ) ) ) )"),"09190318414")</f>
        <v>09190318414</v>
      </c>
      <c r="D12" s="235" t="str">
        <f>VLOOKUP(C12, 'تجربه‌گرها'!D12:H1779, 4, False)</f>
        <v>M</v>
      </c>
      <c r="E12" s="234" t="s">
        <v>7236</v>
      </c>
      <c r="F12" s="235" t="str">
        <f t="shared" si="1"/>
        <v>mos.jafari@alibaba.ir</v>
      </c>
    </row>
    <row r="13">
      <c r="A13" s="234"/>
      <c r="B13" s="234">
        <v>9.132148482E9</v>
      </c>
      <c r="C13" s="235" t="str">
        <f>IFERROR(__xludf.DUMMYFUNCTION("ARRAYFORMULA(LET( converted, SUBSTITUTE( SUBSTITUTE( SUBSTITUTE( SUBSTITUTE( SUBSTITUTE( SUBSTITUTE( SUBSTITUTE( SUBSTITUTE( SUBSTITUTE( SUBSTITUTE( B13, ""۰"", ""0""), ""۱"", ""1""), ""۲"", ""2""), ""۳"", ""3""), ""۴"", ""4""), ""۵"", ""5""), ""۶"", ""6"&amp;"""), ""۷"", ""7""), ""۸"", ""8""), ""۹"", ""9""), IF(LEFT(converted,3)=""+98"", ""0"" &amp; RIGHT(converted, LEN(converted)-3), IF(LEFT(converted,2)=""98"", ""0"" &amp; RIGHT(converted, LEN(converted)-2), IF(LEFT(converted,1)&lt;&gt;""0"", ""0"" &amp; converted, REGEXREPLA"&amp;"CE(converted , ""\s"", """")) ) ) ) )"),"09132148482")</f>
        <v>09132148482</v>
      </c>
      <c r="D13" s="235" t="str">
        <f>VLOOKUP(C13, 'تجربه‌گرها'!D13:H1780, 4, False)</f>
        <v/>
      </c>
      <c r="E13" s="234" t="s">
        <v>314</v>
      </c>
      <c r="F13" s="235" t="str">
        <f t="shared" si="1"/>
        <v>malekmohammadi@yahoo.com</v>
      </c>
    </row>
    <row r="14">
      <c r="A14" s="234"/>
      <c r="B14" s="234">
        <v>9.391383826E9</v>
      </c>
      <c r="C14" s="235" t="str">
        <f>IFERROR(__xludf.DUMMYFUNCTION("ARRAYFORMULA(LET( converted, SUBSTITUTE( SUBSTITUTE( SUBSTITUTE( SUBSTITUTE( SUBSTITUTE( SUBSTITUTE( SUBSTITUTE( SUBSTITUTE( SUBSTITUTE( SUBSTITUTE( B14, ""۰"", ""0""), ""۱"", ""1""), ""۲"", ""2""), ""۳"", ""3""), ""۴"", ""4""), ""۵"", ""5""), ""۶"", ""6"&amp;"""), ""۷"", ""7""), ""۸"", ""8""), ""۹"", ""9""), IF(LEFT(converted,3)=""+98"", ""0"" &amp; RIGHT(converted, LEN(converted)-3), IF(LEFT(converted,2)=""98"", ""0"" &amp; RIGHT(converted, LEN(converted)-2), IF(LEFT(converted,1)&lt;&gt;""0"", ""0"" &amp; converted, REGEXREPLA"&amp;"CE(converted , ""\s"", """")) ) ) ) )"),"09391383826")</f>
        <v>09391383826</v>
      </c>
      <c r="D14" s="235" t="str">
        <f>VLOOKUP(C14, 'تجربه‌گرها'!D14:H1781, 4, False)</f>
        <v>F</v>
      </c>
      <c r="E14" s="234" t="s">
        <v>7237</v>
      </c>
      <c r="F14" s="235" t="str">
        <f t="shared" si="1"/>
        <v>fatemerajabloo72@gmail.com</v>
      </c>
    </row>
    <row r="15">
      <c r="A15" s="234"/>
      <c r="B15" s="234">
        <v>9.121233837E9</v>
      </c>
      <c r="C15" s="235" t="str">
        <f>IFERROR(__xludf.DUMMYFUNCTION("ARRAYFORMULA(LET( converted, SUBSTITUTE( SUBSTITUTE( SUBSTITUTE( SUBSTITUTE( SUBSTITUTE( SUBSTITUTE( SUBSTITUTE( SUBSTITUTE( SUBSTITUTE( SUBSTITUTE( B15, ""۰"", ""0""), ""۱"", ""1""), ""۲"", ""2""), ""۳"", ""3""), ""۴"", ""4""), ""۵"", ""5""), ""۶"", ""6"&amp;"""), ""۷"", ""7""), ""۸"", ""8""), ""۹"", ""9""), IF(LEFT(converted,3)=""+98"", ""0"" &amp; RIGHT(converted, LEN(converted)-3), IF(LEFT(converted,2)=""98"", ""0"" &amp; RIGHT(converted, LEN(converted)-2), IF(LEFT(converted,1)&lt;&gt;""0"", ""0"" &amp; converted, REGEXREPLA"&amp;"CE(converted , ""\s"", """")) ) ) ) )"),"09121233837")</f>
        <v>09121233837</v>
      </c>
      <c r="D15" s="235" t="str">
        <f>VLOOKUP(C15, 'تجربه‌گرها'!D15:H1782, 4, False)</f>
        <v/>
      </c>
      <c r="E15" s="234" t="s">
        <v>7238</v>
      </c>
      <c r="F15" s="235" t="str">
        <f t="shared" si="1"/>
        <v>Alireza.asad8808@gmail.com</v>
      </c>
    </row>
    <row r="16">
      <c r="A16" s="234"/>
      <c r="B16" s="234">
        <v>9.133140949E9</v>
      </c>
      <c r="C16" s="235" t="str">
        <f>IFERROR(__xludf.DUMMYFUNCTION("ARRAYFORMULA(LET( converted, SUBSTITUTE( SUBSTITUTE( SUBSTITUTE( SUBSTITUTE( SUBSTITUTE( SUBSTITUTE( SUBSTITUTE( SUBSTITUTE( SUBSTITUTE( SUBSTITUTE( B16, ""۰"", ""0""), ""۱"", ""1""), ""۲"", ""2""), ""۳"", ""3""), ""۴"", ""4""), ""۵"", ""5""), ""۶"", ""6"&amp;"""), ""۷"", ""7""), ""۸"", ""8""), ""۹"", ""9""), IF(LEFT(converted,3)=""+98"", ""0"" &amp; RIGHT(converted, LEN(converted)-3), IF(LEFT(converted,2)=""98"", ""0"" &amp; RIGHT(converted, LEN(converted)-2), IF(LEFT(converted,1)&lt;&gt;""0"", ""0"" &amp; converted, REGEXREPLA"&amp;"CE(converted , ""\s"", """")) ) ) ) )"),"09133140949")</f>
        <v>09133140949</v>
      </c>
      <c r="D16" s="235" t="str">
        <f>VLOOKUP(C16, 'تجربه‌گرها'!D16:H1783, 4, False)</f>
        <v/>
      </c>
      <c r="E16" s="234" t="s">
        <v>4951</v>
      </c>
      <c r="F16" s="235" t="str">
        <f t="shared" si="1"/>
        <v>ali.safari2002@yahoo.com</v>
      </c>
    </row>
    <row r="17">
      <c r="A17" s="234"/>
      <c r="B17" s="234">
        <v>9.124446164E9</v>
      </c>
      <c r="C17" s="235" t="str">
        <f>IFERROR(__xludf.DUMMYFUNCTION("ARRAYFORMULA(LET( converted, SUBSTITUTE( SUBSTITUTE( SUBSTITUTE( SUBSTITUTE( SUBSTITUTE( SUBSTITUTE( SUBSTITUTE( SUBSTITUTE( SUBSTITUTE( SUBSTITUTE( B17, ""۰"", ""0""), ""۱"", ""1""), ""۲"", ""2""), ""۳"", ""3""), ""۴"", ""4""), ""۵"", ""5""), ""۶"", ""6"&amp;"""), ""۷"", ""7""), ""۸"", ""8""), ""۹"", ""9""), IF(LEFT(converted,3)=""+98"", ""0"" &amp; RIGHT(converted, LEN(converted)-3), IF(LEFT(converted,2)=""98"", ""0"" &amp; RIGHT(converted, LEN(converted)-2), IF(LEFT(converted,1)&lt;&gt;""0"", ""0"" &amp; converted, REGEXREPLA"&amp;"CE(converted , ""\s"", """")) ) ) ) )"),"09124446164")</f>
        <v>09124446164</v>
      </c>
      <c r="D17" s="235" t="str">
        <f>VLOOKUP(C17, 'تجربه‌گرها'!D17:H1784, 4, False)</f>
        <v/>
      </c>
      <c r="E17" s="234" t="s">
        <v>4770</v>
      </c>
      <c r="F17" s="235" t="str">
        <f t="shared" si="1"/>
        <v>iman.ejt@gmail.com</v>
      </c>
    </row>
    <row r="18">
      <c r="A18" s="234"/>
      <c r="B18" s="234">
        <v>9.121472143E9</v>
      </c>
      <c r="C18" s="235" t="str">
        <f>IFERROR(__xludf.DUMMYFUNCTION("ARRAYFORMULA(LET( converted, SUBSTITUTE( SUBSTITUTE( SUBSTITUTE( SUBSTITUTE( SUBSTITUTE( SUBSTITUTE( SUBSTITUTE( SUBSTITUTE( SUBSTITUTE( SUBSTITUTE( B18, ""۰"", ""0""), ""۱"", ""1""), ""۲"", ""2""), ""۳"", ""3""), ""۴"", ""4""), ""۵"", ""5""), ""۶"", ""6"&amp;"""), ""۷"", ""7""), ""۸"", ""8""), ""۹"", ""9""), IF(LEFT(converted,3)=""+98"", ""0"" &amp; RIGHT(converted, LEN(converted)-3), IF(LEFT(converted,2)=""98"", ""0"" &amp; RIGHT(converted, LEN(converted)-2), IF(LEFT(converted,1)&lt;&gt;""0"", ""0"" &amp; converted, REGEXREPLA"&amp;"CE(converted , ""\s"", """")) ) ) ) )"),"09121472143")</f>
        <v>09121472143</v>
      </c>
      <c r="D18" s="235" t="str">
        <f>VLOOKUP(C18, 'تجربه‌گرها'!D18:H1785, 4, False)</f>
        <v/>
      </c>
      <c r="E18" s="24"/>
      <c r="F18" s="235" t="str">
        <f t="shared" si="1"/>
        <v/>
      </c>
    </row>
    <row r="19">
      <c r="A19" s="234"/>
      <c r="B19" s="234">
        <v>9.129307394E9</v>
      </c>
      <c r="C19" s="235" t="str">
        <f>IFERROR(__xludf.DUMMYFUNCTION("ARRAYFORMULA(LET( converted, SUBSTITUTE( SUBSTITUTE( SUBSTITUTE( SUBSTITUTE( SUBSTITUTE( SUBSTITUTE( SUBSTITUTE( SUBSTITUTE( SUBSTITUTE( SUBSTITUTE( B19, ""۰"", ""0""), ""۱"", ""1""), ""۲"", ""2""), ""۳"", ""3""), ""۴"", ""4""), ""۵"", ""5""), ""۶"", ""6"&amp;"""), ""۷"", ""7""), ""۸"", ""8""), ""۹"", ""9""), IF(LEFT(converted,3)=""+98"", ""0"" &amp; RIGHT(converted, LEN(converted)-3), IF(LEFT(converted,2)=""98"", ""0"" &amp; RIGHT(converted, LEN(converted)-2), IF(LEFT(converted,1)&lt;&gt;""0"", ""0"" &amp; converted, REGEXREPLA"&amp;"CE(converted , ""\s"", """")) ) ) ) )"),"09129307394")</f>
        <v>09129307394</v>
      </c>
      <c r="D19" s="235" t="str">
        <f>VLOOKUP(C19, 'تجربه‌گرها'!D19:H1786, 4, False)</f>
        <v>#N/A</v>
      </c>
      <c r="E19" s="234" t="s">
        <v>7239</v>
      </c>
      <c r="F19" s="235" t="str">
        <f t="shared" si="1"/>
        <v>Mola.sarah.h@gmail.com</v>
      </c>
    </row>
    <row r="20">
      <c r="A20" s="234"/>
      <c r="B20" s="234">
        <v>9.125936532E9</v>
      </c>
      <c r="C20" s="235" t="str">
        <f>IFERROR(__xludf.DUMMYFUNCTION("ARRAYFORMULA(LET( converted, SUBSTITUTE( SUBSTITUTE( SUBSTITUTE( SUBSTITUTE( SUBSTITUTE( SUBSTITUTE( SUBSTITUTE( SUBSTITUTE( SUBSTITUTE( SUBSTITUTE( B20, ""۰"", ""0""), ""۱"", ""1""), ""۲"", ""2""), ""۳"", ""3""), ""۴"", ""4""), ""۵"", ""5""), ""۶"", ""6"&amp;"""), ""۷"", ""7""), ""۸"", ""8""), ""۹"", ""9""), IF(LEFT(converted,3)=""+98"", ""0"" &amp; RIGHT(converted, LEN(converted)-3), IF(LEFT(converted,2)=""98"", ""0"" &amp; RIGHT(converted, LEN(converted)-2), IF(LEFT(converted,1)&lt;&gt;""0"", ""0"" &amp; converted, REGEXREPLA"&amp;"CE(converted , ""\s"", """")) ) ) ) )"),"09125936532")</f>
        <v>09125936532</v>
      </c>
      <c r="D20" s="235" t="str">
        <f>VLOOKUP(C20, 'تجربه‌گرها'!D20:H1787, 4, False)</f>
        <v/>
      </c>
      <c r="E20" s="234" t="s">
        <v>285</v>
      </c>
      <c r="F20" s="235" t="str">
        <f t="shared" si="1"/>
        <v>Farzad8160@gmail.com</v>
      </c>
    </row>
    <row r="21">
      <c r="A21" s="234"/>
      <c r="B21" s="234">
        <v>9.13200844E9</v>
      </c>
      <c r="C21" s="235" t="str">
        <f>IFERROR(__xludf.DUMMYFUNCTION("ARRAYFORMULA(LET( converted, SUBSTITUTE( SUBSTITUTE( SUBSTITUTE( SUBSTITUTE( SUBSTITUTE( SUBSTITUTE( SUBSTITUTE( SUBSTITUTE( SUBSTITUTE( SUBSTITUTE( B21, ""۰"", ""0""), ""۱"", ""1""), ""۲"", ""2""), ""۳"", ""3""), ""۴"", ""4""), ""۵"", ""5""), ""۶"", ""6"&amp;"""), ""۷"", ""7""), ""۸"", ""8""), ""۹"", ""9""), IF(LEFT(converted,3)=""+98"", ""0"" &amp; RIGHT(converted, LEN(converted)-3), IF(LEFT(converted,2)=""98"", ""0"" &amp; RIGHT(converted, LEN(converted)-2), IF(LEFT(converted,1)&lt;&gt;""0"", ""0"" &amp; converted, REGEXREPLA"&amp;"CE(converted , ""\s"", """")) ) ) ) )"),"09132008440")</f>
        <v>09132008440</v>
      </c>
      <c r="D21" s="235" t="str">
        <f>VLOOKUP(C21, 'تجربه‌گرها'!D21:H1788, 4, False)</f>
        <v/>
      </c>
      <c r="E21" s="24"/>
      <c r="F21" s="235" t="str">
        <f t="shared" si="1"/>
        <v/>
      </c>
    </row>
    <row r="22">
      <c r="A22" s="234"/>
      <c r="B22" s="234">
        <v>9.12535336E9</v>
      </c>
      <c r="C22" s="235" t="str">
        <f>IFERROR(__xludf.DUMMYFUNCTION("ARRAYFORMULA(LET( converted, SUBSTITUTE( SUBSTITUTE( SUBSTITUTE( SUBSTITUTE( SUBSTITUTE( SUBSTITUTE( SUBSTITUTE( SUBSTITUTE( SUBSTITUTE( SUBSTITUTE( B22, ""۰"", ""0""), ""۱"", ""1""), ""۲"", ""2""), ""۳"", ""3""), ""۴"", ""4""), ""۵"", ""5""), ""۶"", ""6"&amp;"""), ""۷"", ""7""), ""۸"", ""8""), ""۹"", ""9""), IF(LEFT(converted,3)=""+98"", ""0"" &amp; RIGHT(converted, LEN(converted)-3), IF(LEFT(converted,2)=""98"", ""0"" &amp; RIGHT(converted, LEN(converted)-2), IF(LEFT(converted,1)&lt;&gt;""0"", ""0"" &amp; converted, REGEXREPLA"&amp;"CE(converted , ""\s"", """")) ) ) ) )"),"09125353360")</f>
        <v>09125353360</v>
      </c>
      <c r="D22" s="235" t="str">
        <f>VLOOKUP(C22, 'تجربه‌گرها'!D22:H1789, 4, False)</f>
        <v>#N/A</v>
      </c>
      <c r="E22" s="234" t="s">
        <v>7240</v>
      </c>
      <c r="F22" s="235" t="str">
        <f t="shared" si="1"/>
        <v>Afsaneh.Kabirian89@gmail.com</v>
      </c>
    </row>
    <row r="23">
      <c r="A23" s="234"/>
      <c r="B23" s="234">
        <v>9.128093617E9</v>
      </c>
      <c r="C23" s="235" t="str">
        <f>IFERROR(__xludf.DUMMYFUNCTION("ARRAYFORMULA(LET( converted, SUBSTITUTE( SUBSTITUTE( SUBSTITUTE( SUBSTITUTE( SUBSTITUTE( SUBSTITUTE( SUBSTITUTE( SUBSTITUTE( SUBSTITUTE( SUBSTITUTE( B23, ""۰"", ""0""), ""۱"", ""1""), ""۲"", ""2""), ""۳"", ""3""), ""۴"", ""4""), ""۵"", ""5""), ""۶"", ""6"&amp;"""), ""۷"", ""7""), ""۸"", ""8""), ""۹"", ""9""), IF(LEFT(converted,3)=""+98"", ""0"" &amp; RIGHT(converted, LEN(converted)-3), IF(LEFT(converted,2)=""98"", ""0"" &amp; RIGHT(converted, LEN(converted)-2), IF(LEFT(converted,1)&lt;&gt;""0"", ""0"" &amp; converted, REGEXREPLA"&amp;"CE(converted , ""\s"", """")) ) ) ) )"),"09128093617")</f>
        <v>09128093617</v>
      </c>
      <c r="D23" s="235" t="str">
        <f>VLOOKUP(C23, 'تجربه‌گرها'!D23:H1790, 4, False)</f>
        <v>F</v>
      </c>
      <c r="E23" s="234" t="s">
        <v>7241</v>
      </c>
      <c r="F23" s="235" t="str">
        <f t="shared" si="1"/>
        <v>F.ashrafi@alibab.ir</v>
      </c>
    </row>
    <row r="24">
      <c r="A24" s="234"/>
      <c r="B24" s="234">
        <v>9.912092905E9</v>
      </c>
      <c r="C24" s="235" t="str">
        <f>IFERROR(__xludf.DUMMYFUNCTION("ARRAYFORMULA(LET( converted, SUBSTITUTE( SUBSTITUTE( SUBSTITUTE( SUBSTITUTE( SUBSTITUTE( SUBSTITUTE( SUBSTITUTE( SUBSTITUTE( SUBSTITUTE( SUBSTITUTE( B24, ""۰"", ""0""), ""۱"", ""1""), ""۲"", ""2""), ""۳"", ""3""), ""۴"", ""4""), ""۵"", ""5""), ""۶"", ""6"&amp;"""), ""۷"", ""7""), ""۸"", ""8""), ""۹"", ""9""), IF(LEFT(converted,3)=""+98"", ""0"" &amp; RIGHT(converted, LEN(converted)-3), IF(LEFT(converted,2)=""98"", ""0"" &amp; RIGHT(converted, LEN(converted)-2), IF(LEFT(converted,1)&lt;&gt;""0"", ""0"" &amp; converted, REGEXREPLA"&amp;"CE(converted , ""\s"", """")) ) ) ) )"),"09912092905")</f>
        <v>09912092905</v>
      </c>
      <c r="D24" s="235" t="str">
        <f>VLOOKUP(C24, 'تجربه‌گرها'!D24:H1791, 4, False)</f>
        <v>F</v>
      </c>
      <c r="E24" s="234" t="s">
        <v>331</v>
      </c>
      <c r="F24" s="235" t="str">
        <f t="shared" si="1"/>
        <v>negin.fmahmoudi@gmail.com</v>
      </c>
    </row>
    <row r="25">
      <c r="A25" s="234"/>
      <c r="B25" s="234">
        <v>9.102123515E9</v>
      </c>
      <c r="C25" s="235" t="str">
        <f>IFERROR(__xludf.DUMMYFUNCTION("ARRAYFORMULA(LET( converted, SUBSTITUTE( SUBSTITUTE( SUBSTITUTE( SUBSTITUTE( SUBSTITUTE( SUBSTITUTE( SUBSTITUTE( SUBSTITUTE( SUBSTITUTE( SUBSTITUTE( B25, ""۰"", ""0""), ""۱"", ""1""), ""۲"", ""2""), ""۳"", ""3""), ""۴"", ""4""), ""۵"", ""5""), ""۶"", ""6"&amp;"""), ""۷"", ""7""), ""۸"", ""8""), ""۹"", ""9""), IF(LEFT(converted,3)=""+98"", ""0"" &amp; RIGHT(converted, LEN(converted)-3), IF(LEFT(converted,2)=""98"", ""0"" &amp; RIGHT(converted, LEN(converted)-2), IF(LEFT(converted,1)&lt;&gt;""0"", ""0"" &amp; converted, REGEXREPLA"&amp;"CE(converted , ""\s"", """")) ) ) ) )"),"09102123515")</f>
        <v>09102123515</v>
      </c>
      <c r="D25" s="235" t="str">
        <f>VLOOKUP(C25, 'تجربه‌گرها'!D25:H1792, 4, False)</f>
        <v/>
      </c>
      <c r="E25" s="24"/>
      <c r="F25" s="235" t="str">
        <f t="shared" si="1"/>
        <v/>
      </c>
    </row>
    <row r="26">
      <c r="A26" s="234"/>
      <c r="B26" s="234">
        <v>9.121252841E9</v>
      </c>
      <c r="C26" s="235" t="str">
        <f>IFERROR(__xludf.DUMMYFUNCTION("ARRAYFORMULA(LET( converted, SUBSTITUTE( SUBSTITUTE( SUBSTITUTE( SUBSTITUTE( SUBSTITUTE( SUBSTITUTE( SUBSTITUTE( SUBSTITUTE( SUBSTITUTE( SUBSTITUTE( B26, ""۰"", ""0""), ""۱"", ""1""), ""۲"", ""2""), ""۳"", ""3""), ""۴"", ""4""), ""۵"", ""5""), ""۶"", ""6"&amp;"""), ""۷"", ""7""), ""۸"", ""8""), ""۹"", ""9""), IF(LEFT(converted,3)=""+98"", ""0"" &amp; RIGHT(converted, LEN(converted)-3), IF(LEFT(converted,2)=""98"", ""0"" &amp; RIGHT(converted, LEN(converted)-2), IF(LEFT(converted,1)&lt;&gt;""0"", ""0"" &amp; converted, REGEXREPLA"&amp;"CE(converted , ""\s"", """")) ) ) ) )"),"09121252841")</f>
        <v>09121252841</v>
      </c>
      <c r="D26" s="235" t="str">
        <f>VLOOKUP(C26, 'تجربه‌گرها'!D26:H1793, 4, False)</f>
        <v/>
      </c>
      <c r="E26" s="24"/>
      <c r="F26" s="235" t="str">
        <f t="shared" si="1"/>
        <v/>
      </c>
    </row>
    <row r="27">
      <c r="A27" s="234"/>
      <c r="B27" s="234">
        <v>9.127063548E9</v>
      </c>
      <c r="C27" s="235" t="str">
        <f>IFERROR(__xludf.DUMMYFUNCTION("ARRAYFORMULA(LET( converted, SUBSTITUTE( SUBSTITUTE( SUBSTITUTE( SUBSTITUTE( SUBSTITUTE( SUBSTITUTE( SUBSTITUTE( SUBSTITUTE( SUBSTITUTE( SUBSTITUTE( B27, ""۰"", ""0""), ""۱"", ""1""), ""۲"", ""2""), ""۳"", ""3""), ""۴"", ""4""), ""۵"", ""5""), ""۶"", ""6"&amp;"""), ""۷"", ""7""), ""۸"", ""8""), ""۹"", ""9""), IF(LEFT(converted,3)=""+98"", ""0"" &amp; RIGHT(converted, LEN(converted)-3), IF(LEFT(converted,2)=""98"", ""0"" &amp; RIGHT(converted, LEN(converted)-2), IF(LEFT(converted,1)&lt;&gt;""0"", ""0"" &amp; converted, REGEXREPLA"&amp;"CE(converted , ""\s"", """")) ) ) ) )"),"09127063548")</f>
        <v>09127063548</v>
      </c>
      <c r="D27" s="235" t="str">
        <f>VLOOKUP(C27, 'تجربه‌گرها'!D27:H1794, 4, False)</f>
        <v/>
      </c>
      <c r="E27" s="234" t="s">
        <v>7242</v>
      </c>
      <c r="F27" s="235" t="str">
        <f t="shared" si="1"/>
        <v>nhosseinkani@gmail.com</v>
      </c>
    </row>
    <row r="28">
      <c r="A28" s="234"/>
      <c r="B28" s="234">
        <v>9.129610906E9</v>
      </c>
      <c r="C28" s="235" t="str">
        <f>IFERROR(__xludf.DUMMYFUNCTION("ARRAYFORMULA(LET( converted, SUBSTITUTE( SUBSTITUTE( SUBSTITUTE( SUBSTITUTE( SUBSTITUTE( SUBSTITUTE( SUBSTITUTE( SUBSTITUTE( SUBSTITUTE( SUBSTITUTE( B28, ""۰"", ""0""), ""۱"", ""1""), ""۲"", ""2""), ""۳"", ""3""), ""۴"", ""4""), ""۵"", ""5""), ""۶"", ""6"&amp;"""), ""۷"", ""7""), ""۸"", ""8""), ""۹"", ""9""), IF(LEFT(converted,3)=""+98"", ""0"" &amp; RIGHT(converted, LEN(converted)-3), IF(LEFT(converted,2)=""98"", ""0"" &amp; RIGHT(converted, LEN(converted)-2), IF(LEFT(converted,1)&lt;&gt;""0"", ""0"" &amp; converted, REGEXREPLA"&amp;"CE(converted , ""\s"", """")) ) ) ) )"),"09129610906")</f>
        <v>09129610906</v>
      </c>
      <c r="D28" s="235" t="str">
        <f>VLOOKUP(C28, 'تجربه‌گرها'!D28:H1795, 4, False)</f>
        <v/>
      </c>
      <c r="E28" s="234" t="s">
        <v>5258</v>
      </c>
      <c r="F28" s="235" t="str">
        <f t="shared" si="1"/>
        <v>younesshiravand1987@gmail.com</v>
      </c>
    </row>
    <row r="29">
      <c r="A29" s="234"/>
      <c r="B29" s="234">
        <v>9.212792657E9</v>
      </c>
      <c r="C29" s="235" t="str">
        <f>IFERROR(__xludf.DUMMYFUNCTION("ARRAYFORMULA(LET( converted, SUBSTITUTE( SUBSTITUTE( SUBSTITUTE( SUBSTITUTE( SUBSTITUTE( SUBSTITUTE( SUBSTITUTE( SUBSTITUTE( SUBSTITUTE( SUBSTITUTE( B29, ""۰"", ""0""), ""۱"", ""1""), ""۲"", ""2""), ""۳"", ""3""), ""۴"", ""4""), ""۵"", ""5""), ""۶"", ""6"&amp;"""), ""۷"", ""7""), ""۸"", ""8""), ""۹"", ""9""), IF(LEFT(converted,3)=""+98"", ""0"" &amp; RIGHT(converted, LEN(converted)-3), IF(LEFT(converted,2)=""98"", ""0"" &amp; RIGHT(converted, LEN(converted)-2), IF(LEFT(converted,1)&lt;&gt;""0"", ""0"" &amp; converted, REGEXREPLA"&amp;"CE(converted , ""\s"", """")) ) ) ) )"),"09212792657")</f>
        <v>09212792657</v>
      </c>
      <c r="D29" s="235" t="str">
        <f>VLOOKUP(C29, 'تجربه‌گرها'!D29:H1796, 4, False)</f>
        <v/>
      </c>
      <c r="E29" s="234" t="s">
        <v>195</v>
      </c>
      <c r="F29" s="235" t="str">
        <f t="shared" si="1"/>
        <v>Amirhossein.rzd@gmail.com</v>
      </c>
    </row>
    <row r="30">
      <c r="A30" s="234"/>
      <c r="B30" s="234">
        <v>9.131042319E9</v>
      </c>
      <c r="C30" s="235" t="str">
        <f>IFERROR(__xludf.DUMMYFUNCTION("ARRAYFORMULA(LET( converted, SUBSTITUTE( SUBSTITUTE( SUBSTITUTE( SUBSTITUTE( SUBSTITUTE( SUBSTITUTE( SUBSTITUTE( SUBSTITUTE( SUBSTITUTE( SUBSTITUTE( B30, ""۰"", ""0""), ""۱"", ""1""), ""۲"", ""2""), ""۳"", ""3""), ""۴"", ""4""), ""۵"", ""5""), ""۶"", ""6"&amp;"""), ""۷"", ""7""), ""۸"", ""8""), ""۹"", ""9""), IF(LEFT(converted,3)=""+98"", ""0"" &amp; RIGHT(converted, LEN(converted)-3), IF(LEFT(converted,2)=""98"", ""0"" &amp; RIGHT(converted, LEN(converted)-2), IF(LEFT(converted,1)&lt;&gt;""0"", ""0"" &amp; converted, REGEXREPLA"&amp;"CE(converted , ""\s"", """")) ) ) ) )"),"09131042319")</f>
        <v>09131042319</v>
      </c>
      <c r="D30" s="235" t="str">
        <f>VLOOKUP(C30, 'تجربه‌گرها'!D30:H1797, 4, False)</f>
        <v/>
      </c>
      <c r="E30" s="234" t="s">
        <v>7243</v>
      </c>
      <c r="F30" s="235" t="str">
        <f t="shared" si="1"/>
        <v>Ali.rafizadehh@gmail.com</v>
      </c>
    </row>
    <row r="31">
      <c r="A31" s="234"/>
      <c r="B31" s="234">
        <v>9.103000558E9</v>
      </c>
      <c r="C31" s="235" t="str">
        <f>IFERROR(__xludf.DUMMYFUNCTION("ARRAYFORMULA(LET( converted, SUBSTITUTE( SUBSTITUTE( SUBSTITUTE( SUBSTITUTE( SUBSTITUTE( SUBSTITUTE( SUBSTITUTE( SUBSTITUTE( SUBSTITUTE( SUBSTITUTE( B31, ""۰"", ""0""), ""۱"", ""1""), ""۲"", ""2""), ""۳"", ""3""), ""۴"", ""4""), ""۵"", ""5""), ""۶"", ""6"&amp;"""), ""۷"", ""7""), ""۸"", ""8""), ""۹"", ""9""), IF(LEFT(converted,3)=""+98"", ""0"" &amp; RIGHT(converted, LEN(converted)-3), IF(LEFT(converted,2)=""98"", ""0"" &amp; RIGHT(converted, LEN(converted)-2), IF(LEFT(converted,1)&lt;&gt;""0"", ""0"" &amp; converted, REGEXREPLA"&amp;"CE(converted , ""\s"", """")) ) ) ) )"),"09103000558")</f>
        <v>09103000558</v>
      </c>
      <c r="D31" s="235" t="str">
        <f>VLOOKUP(C31, 'تجربه‌گرها'!D31:H1798, 4, False)</f>
        <v/>
      </c>
      <c r="E31" s="234" t="s">
        <v>302</v>
      </c>
      <c r="F31" s="235" t="str">
        <f t="shared" si="1"/>
        <v>mahmood71kashef@gmail.com</v>
      </c>
    </row>
    <row r="32">
      <c r="A32" s="234"/>
      <c r="B32" s="234">
        <v>9.193102292E9</v>
      </c>
      <c r="C32" s="235" t="str">
        <f>IFERROR(__xludf.DUMMYFUNCTION("ARRAYFORMULA(LET( converted, SUBSTITUTE( SUBSTITUTE( SUBSTITUTE( SUBSTITUTE( SUBSTITUTE( SUBSTITUTE( SUBSTITUTE( SUBSTITUTE( SUBSTITUTE( SUBSTITUTE( B32, ""۰"", ""0""), ""۱"", ""1""), ""۲"", ""2""), ""۳"", ""3""), ""۴"", ""4""), ""۵"", ""5""), ""۶"", ""6"&amp;"""), ""۷"", ""7""), ""۸"", ""8""), ""۹"", ""9""), IF(LEFT(converted,3)=""+98"", ""0"" &amp; RIGHT(converted, LEN(converted)-3), IF(LEFT(converted,2)=""98"", ""0"" &amp; RIGHT(converted, LEN(converted)-2), IF(LEFT(converted,1)&lt;&gt;""0"", ""0"" &amp; converted, REGEXREPLA"&amp;"CE(converted , ""\s"", """")) ) ) ) )"),"09193102292")</f>
        <v>09193102292</v>
      </c>
      <c r="D32" s="235" t="str">
        <f>VLOOKUP(C32, 'تجربه‌گرها'!D32:H1799, 4, False)</f>
        <v/>
      </c>
      <c r="E32" s="234" t="s">
        <v>7244</v>
      </c>
      <c r="F32" s="235" t="str">
        <f t="shared" si="1"/>
        <v>qodmanan@gmail.com</v>
      </c>
    </row>
    <row r="33">
      <c r="A33" s="234"/>
      <c r="B33" s="234">
        <v>9.186973884E9</v>
      </c>
      <c r="C33" s="235" t="str">
        <f>IFERROR(__xludf.DUMMYFUNCTION("ARRAYFORMULA(LET( converted, SUBSTITUTE( SUBSTITUTE( SUBSTITUTE( SUBSTITUTE( SUBSTITUTE( SUBSTITUTE( SUBSTITUTE( SUBSTITUTE( SUBSTITUTE( SUBSTITUTE( B33, ""۰"", ""0""), ""۱"", ""1""), ""۲"", ""2""), ""۳"", ""3""), ""۴"", ""4""), ""۵"", ""5""), ""۶"", ""6"&amp;"""), ""۷"", ""7""), ""۸"", ""8""), ""۹"", ""9""), IF(LEFT(converted,3)=""+98"", ""0"" &amp; RIGHT(converted, LEN(converted)-3), IF(LEFT(converted,2)=""98"", ""0"" &amp; RIGHT(converted, LEN(converted)-2), IF(LEFT(converted,1)&lt;&gt;""0"", ""0"" &amp; converted, REGEXREPLA"&amp;"CE(converted , ""\s"", """")) ) ) ) )"),"09186973884")</f>
        <v>09186973884</v>
      </c>
      <c r="D33" s="235" t="str">
        <f>VLOOKUP(C33, 'تجربه‌گرها'!D33:H1800, 4, False)</f>
        <v>#N/A</v>
      </c>
      <c r="E33" s="234" t="s">
        <v>7245</v>
      </c>
      <c r="F33" s="235" t="str">
        <f t="shared" si="1"/>
        <v>Ali_hadavi888@yahoo.com</v>
      </c>
    </row>
    <row r="34">
      <c r="A34" s="234"/>
      <c r="B34" s="234">
        <v>9.120961128E9</v>
      </c>
      <c r="C34" s="235" t="str">
        <f>IFERROR(__xludf.DUMMYFUNCTION("ARRAYFORMULA(LET( converted, SUBSTITUTE( SUBSTITUTE( SUBSTITUTE( SUBSTITUTE( SUBSTITUTE( SUBSTITUTE( SUBSTITUTE( SUBSTITUTE( SUBSTITUTE( SUBSTITUTE( B34, ""۰"", ""0""), ""۱"", ""1""), ""۲"", ""2""), ""۳"", ""3""), ""۴"", ""4""), ""۵"", ""5""), ""۶"", ""6"&amp;"""), ""۷"", ""7""), ""۸"", ""8""), ""۹"", ""9""), IF(LEFT(converted,3)=""+98"", ""0"" &amp; RIGHT(converted, LEN(converted)-3), IF(LEFT(converted,2)=""98"", ""0"" &amp; RIGHT(converted, LEN(converted)-2), IF(LEFT(converted,1)&lt;&gt;""0"", ""0"" &amp; converted, REGEXREPLA"&amp;"CE(converted , ""\s"", """")) ) ) ) )"),"09120961128")</f>
        <v>09120961128</v>
      </c>
      <c r="D34" s="235" t="str">
        <f>VLOOKUP(C34, 'تجربه‌گرها'!D34:H1801, 4, False)</f>
        <v/>
      </c>
      <c r="E34" s="234" t="s">
        <v>7246</v>
      </c>
      <c r="F34" s="235" t="str">
        <f t="shared" si="1"/>
        <v>arminakhabbazan28@gmail.com</v>
      </c>
    </row>
    <row r="35">
      <c r="A35" s="234"/>
      <c r="B35" s="234">
        <v>9.135488201E9</v>
      </c>
      <c r="C35" s="235" t="str">
        <f>IFERROR(__xludf.DUMMYFUNCTION("ARRAYFORMULA(LET( converted, SUBSTITUTE( SUBSTITUTE( SUBSTITUTE( SUBSTITUTE( SUBSTITUTE( SUBSTITUTE( SUBSTITUTE( SUBSTITUTE( SUBSTITUTE( SUBSTITUTE( B35, ""۰"", ""0""), ""۱"", ""1""), ""۲"", ""2""), ""۳"", ""3""), ""۴"", ""4""), ""۵"", ""5""), ""۶"", ""6"&amp;"""), ""۷"", ""7""), ""۸"", ""8""), ""۹"", ""9""), IF(LEFT(converted,3)=""+98"", ""0"" &amp; RIGHT(converted, LEN(converted)-3), IF(LEFT(converted,2)=""98"", ""0"" &amp; RIGHT(converted, LEN(converted)-2), IF(LEFT(converted,1)&lt;&gt;""0"", ""0"" &amp; converted, REGEXREPLA"&amp;"CE(converted , ""\s"", """")) ) ) ) )"),"09135488201")</f>
        <v>09135488201</v>
      </c>
      <c r="D35" s="235" t="str">
        <f>VLOOKUP(C35, 'تجربه‌گرها'!D35:H1802, 4, False)</f>
        <v/>
      </c>
      <c r="E35" s="24"/>
      <c r="F35" s="235" t="str">
        <f t="shared" si="1"/>
        <v/>
      </c>
    </row>
    <row r="36">
      <c r="A36" s="234"/>
      <c r="B36" s="234">
        <v>9.355073105E9</v>
      </c>
      <c r="C36" s="235" t="str">
        <f>IFERROR(__xludf.DUMMYFUNCTION("ARRAYFORMULA(LET( converted, SUBSTITUTE( SUBSTITUTE( SUBSTITUTE( SUBSTITUTE( SUBSTITUTE( SUBSTITUTE( SUBSTITUTE( SUBSTITUTE( SUBSTITUTE( SUBSTITUTE( B36, ""۰"", ""0""), ""۱"", ""1""), ""۲"", ""2""), ""۳"", ""3""), ""۴"", ""4""), ""۵"", ""5""), ""۶"", ""6"&amp;"""), ""۷"", ""7""), ""۸"", ""8""), ""۹"", ""9""), IF(LEFT(converted,3)=""+98"", ""0"" &amp; RIGHT(converted, LEN(converted)-3), IF(LEFT(converted,2)=""98"", ""0"" &amp; RIGHT(converted, LEN(converted)-2), IF(LEFT(converted,1)&lt;&gt;""0"", ""0"" &amp; converted, REGEXREPLA"&amp;"CE(converted , ""\s"", """")) ) ) ) )"),"09355073105")</f>
        <v>09355073105</v>
      </c>
      <c r="D36" s="235" t="str">
        <f>VLOOKUP(C36, 'تجربه‌گرها'!D36:H1803, 4, False)</f>
        <v/>
      </c>
      <c r="E36" s="234" t="s">
        <v>3506</v>
      </c>
      <c r="F36" s="235" t="str">
        <f t="shared" si="1"/>
        <v>Hassan.hamidi@yahoo.com</v>
      </c>
    </row>
    <row r="37">
      <c r="A37" s="234"/>
      <c r="B37" s="234">
        <v>9.12570756E9</v>
      </c>
      <c r="C37" s="235" t="str">
        <f>IFERROR(__xludf.DUMMYFUNCTION("ARRAYFORMULA(LET( converted, SUBSTITUTE( SUBSTITUTE( SUBSTITUTE( SUBSTITUTE( SUBSTITUTE( SUBSTITUTE( SUBSTITUTE( SUBSTITUTE( SUBSTITUTE( SUBSTITUTE( B37, ""۰"", ""0""), ""۱"", ""1""), ""۲"", ""2""), ""۳"", ""3""), ""۴"", ""4""), ""۵"", ""5""), ""۶"", ""6"&amp;"""), ""۷"", ""7""), ""۸"", ""8""), ""۹"", ""9""), IF(LEFT(converted,3)=""+98"", ""0"" &amp; RIGHT(converted, LEN(converted)-3), IF(LEFT(converted,2)=""98"", ""0"" &amp; RIGHT(converted, LEN(converted)-2), IF(LEFT(converted,1)&lt;&gt;""0"", ""0"" &amp; converted, REGEXREPLA"&amp;"CE(converted , ""\s"", """")) ) ) ) )"),"09125707560")</f>
        <v>09125707560</v>
      </c>
      <c r="D37" s="235" t="str">
        <f>VLOOKUP(C37, 'تجربه‌گرها'!D37:H1804, 4, False)</f>
        <v/>
      </c>
      <c r="E37" s="234" t="s">
        <v>7247</v>
      </c>
      <c r="F37" s="235" t="str">
        <f t="shared" si="1"/>
        <v>amirh.keighobadi@gmail.com</v>
      </c>
    </row>
    <row r="38">
      <c r="A38" s="234"/>
      <c r="B38" s="234">
        <v>9.126261105E9</v>
      </c>
      <c r="C38" s="235" t="str">
        <f>IFERROR(__xludf.DUMMYFUNCTION("ARRAYFORMULA(LET( converted, SUBSTITUTE( SUBSTITUTE( SUBSTITUTE( SUBSTITUTE( SUBSTITUTE( SUBSTITUTE( SUBSTITUTE( SUBSTITUTE( SUBSTITUTE( SUBSTITUTE( B38, ""۰"", ""0""), ""۱"", ""1""), ""۲"", ""2""), ""۳"", ""3""), ""۴"", ""4""), ""۵"", ""5""), ""۶"", ""6"&amp;"""), ""۷"", ""7""), ""۸"", ""8""), ""۹"", ""9""), IF(LEFT(converted,3)=""+98"", ""0"" &amp; RIGHT(converted, LEN(converted)-3), IF(LEFT(converted,2)=""98"", ""0"" &amp; RIGHT(converted, LEN(converted)-2), IF(LEFT(converted,1)&lt;&gt;""0"", ""0"" &amp; converted, REGEXREPLA"&amp;"CE(converted , ""\s"", """")) ) ) ) )"),"09126261105")</f>
        <v>09126261105</v>
      </c>
      <c r="D38" s="235" t="str">
        <f>VLOOKUP(C38, 'تجربه‌گرها'!D38:H1805, 4, False)</f>
        <v/>
      </c>
      <c r="E38" s="234" t="s">
        <v>7248</v>
      </c>
      <c r="F38" s="235" t="str">
        <f t="shared" si="1"/>
        <v>Mis_mjv@yahoo.com</v>
      </c>
    </row>
    <row r="39">
      <c r="A39" s="234"/>
      <c r="B39" s="234">
        <v>9.194151219E9</v>
      </c>
      <c r="C39" s="235" t="str">
        <f>IFERROR(__xludf.DUMMYFUNCTION("ARRAYFORMULA(LET( converted, SUBSTITUTE( SUBSTITUTE( SUBSTITUTE( SUBSTITUTE( SUBSTITUTE( SUBSTITUTE( SUBSTITUTE( SUBSTITUTE( SUBSTITUTE( SUBSTITUTE( B39, ""۰"", ""0""), ""۱"", ""1""), ""۲"", ""2""), ""۳"", ""3""), ""۴"", ""4""), ""۵"", ""5""), ""۶"", ""6"&amp;"""), ""۷"", ""7""), ""۸"", ""8""), ""۹"", ""9""), IF(LEFT(converted,3)=""+98"", ""0"" &amp; RIGHT(converted, LEN(converted)-3), IF(LEFT(converted,2)=""98"", ""0"" &amp; RIGHT(converted, LEN(converted)-2), IF(LEFT(converted,1)&lt;&gt;""0"", ""0"" &amp; converted, REGEXREPLA"&amp;"CE(converted , ""\s"", """")) ) ) ) )"),"09194151219")</f>
        <v>09194151219</v>
      </c>
      <c r="D39" s="235" t="str">
        <f>VLOOKUP(C39, 'تجربه‌گرها'!D39:H1806, 4, False)</f>
        <v/>
      </c>
      <c r="E39" s="234" t="s">
        <v>7249</v>
      </c>
      <c r="F39" s="235" t="str">
        <f t="shared" si="1"/>
        <v>moo.najafikhah@gmail.com</v>
      </c>
    </row>
    <row r="40">
      <c r="A40" s="234"/>
      <c r="B40" s="234">
        <v>9.155583008E9</v>
      </c>
      <c r="C40" s="235" t="str">
        <f>IFERROR(__xludf.DUMMYFUNCTION("ARRAYFORMULA(LET( converted, SUBSTITUTE( SUBSTITUTE( SUBSTITUTE( SUBSTITUTE( SUBSTITUTE( SUBSTITUTE( SUBSTITUTE( SUBSTITUTE( SUBSTITUTE( SUBSTITUTE( B40, ""۰"", ""0""), ""۱"", ""1""), ""۲"", ""2""), ""۳"", ""3""), ""۴"", ""4""), ""۵"", ""5""), ""۶"", ""6"&amp;"""), ""۷"", ""7""), ""۸"", ""8""), ""۹"", ""9""), IF(LEFT(converted,3)=""+98"", ""0"" &amp; RIGHT(converted, LEN(converted)-3), IF(LEFT(converted,2)=""98"", ""0"" &amp; RIGHT(converted, LEN(converted)-2), IF(LEFT(converted,1)&lt;&gt;""0"", ""0"" &amp; converted, REGEXREPLA"&amp;"CE(converted , ""\s"", """")) ) ) ) )"),"09155583008")</f>
        <v>09155583008</v>
      </c>
      <c r="D40" s="235" t="str">
        <f>VLOOKUP(C40, 'تجربه‌گرها'!D40:H1807, 4, False)</f>
        <v/>
      </c>
      <c r="E40" s="234" t="s">
        <v>7250</v>
      </c>
      <c r="F40" s="235" t="str">
        <f t="shared" si="1"/>
        <v>Moosavinasab.mohammadreza@gmail.com</v>
      </c>
    </row>
    <row r="41">
      <c r="A41" s="234"/>
      <c r="B41" s="234">
        <v>9.303929747E9</v>
      </c>
      <c r="C41" s="235" t="str">
        <f>IFERROR(__xludf.DUMMYFUNCTION("ARRAYFORMULA(LET( converted, SUBSTITUTE( SUBSTITUTE( SUBSTITUTE( SUBSTITUTE( SUBSTITUTE( SUBSTITUTE( SUBSTITUTE( SUBSTITUTE( SUBSTITUTE( SUBSTITUTE( B41, ""۰"", ""0""), ""۱"", ""1""), ""۲"", ""2""), ""۳"", ""3""), ""۴"", ""4""), ""۵"", ""5""), ""۶"", ""6"&amp;"""), ""۷"", ""7""), ""۸"", ""8""), ""۹"", ""9""), IF(LEFT(converted,3)=""+98"", ""0"" &amp; RIGHT(converted, LEN(converted)-3), IF(LEFT(converted,2)=""98"", ""0"" &amp; RIGHT(converted, LEN(converted)-2), IF(LEFT(converted,1)&lt;&gt;""0"", ""0"" &amp; converted, REGEXREPLA"&amp;"CE(converted , ""\s"", """")) ) ) ) )"),"09303929747")</f>
        <v>09303929747</v>
      </c>
      <c r="D41" s="235" t="str">
        <f>VLOOKUP(C41, 'تجربه‌گرها'!D41:H1808, 4, False)</f>
        <v/>
      </c>
      <c r="E41" s="24"/>
      <c r="F41" s="235" t="str">
        <f t="shared" si="1"/>
        <v/>
      </c>
    </row>
    <row r="42">
      <c r="A42" s="234"/>
      <c r="B42" s="234">
        <v>9.1020204E9</v>
      </c>
      <c r="C42" s="235" t="str">
        <f>IFERROR(__xludf.DUMMYFUNCTION("ARRAYFORMULA(LET( converted, SUBSTITUTE( SUBSTITUTE( SUBSTITUTE( SUBSTITUTE( SUBSTITUTE( SUBSTITUTE( SUBSTITUTE( SUBSTITUTE( SUBSTITUTE( SUBSTITUTE( B42, ""۰"", ""0""), ""۱"", ""1""), ""۲"", ""2""), ""۳"", ""3""), ""۴"", ""4""), ""۵"", ""5""), ""۶"", ""6"&amp;"""), ""۷"", ""7""), ""۸"", ""8""), ""۹"", ""9""), IF(LEFT(converted,3)=""+98"", ""0"" &amp; RIGHT(converted, LEN(converted)-3), IF(LEFT(converted,2)=""98"", ""0"" &amp; RIGHT(converted, LEN(converted)-2), IF(LEFT(converted,1)&lt;&gt;""0"", ""0"" &amp; converted, REGEXREPLA"&amp;"CE(converted , ""\s"", """")) ) ) ) )"),"09102020400")</f>
        <v>09102020400</v>
      </c>
      <c r="D42" s="235" t="str">
        <f>VLOOKUP(C42, 'تجربه‌گرها'!D42:H1809, 4, False)</f>
        <v/>
      </c>
      <c r="E42" s="234" t="s">
        <v>7251</v>
      </c>
      <c r="F42" s="235" t="str">
        <f t="shared" si="1"/>
        <v>Ehsan22@gmail.com</v>
      </c>
    </row>
    <row r="43">
      <c r="A43" s="234"/>
      <c r="B43" s="234">
        <v>9.122593771E9</v>
      </c>
      <c r="C43" s="235" t="str">
        <f>IFERROR(__xludf.DUMMYFUNCTION("ARRAYFORMULA(LET( converted, SUBSTITUTE( SUBSTITUTE( SUBSTITUTE( SUBSTITUTE( SUBSTITUTE( SUBSTITUTE( SUBSTITUTE( SUBSTITUTE( SUBSTITUTE( SUBSTITUTE( B43, ""۰"", ""0""), ""۱"", ""1""), ""۲"", ""2""), ""۳"", ""3""), ""۴"", ""4""), ""۵"", ""5""), ""۶"", ""6"&amp;"""), ""۷"", ""7""), ""۸"", ""8""), ""۹"", ""9""), IF(LEFT(converted,3)=""+98"", ""0"" &amp; RIGHT(converted, LEN(converted)-3), IF(LEFT(converted,2)=""98"", ""0"" &amp; RIGHT(converted, LEN(converted)-2), IF(LEFT(converted,1)&lt;&gt;""0"", ""0"" &amp; converted, REGEXREPLA"&amp;"CE(converted , ""\s"", """")) ) ) ) )"),"09122593771")</f>
        <v>09122593771</v>
      </c>
      <c r="D43" s="235" t="str">
        <f>VLOOKUP(C43, 'تجربه‌گرها'!D43:H1810, 4, False)</f>
        <v/>
      </c>
      <c r="E43" s="234" t="s">
        <v>7252</v>
      </c>
      <c r="F43" s="235" t="str">
        <f t="shared" si="1"/>
        <v>safari.az@yahoo.com</v>
      </c>
    </row>
    <row r="44">
      <c r="A44" s="234"/>
      <c r="B44" s="234">
        <v>9.114594761E9</v>
      </c>
      <c r="C44" s="235" t="str">
        <f>IFERROR(__xludf.DUMMYFUNCTION("ARRAYFORMULA(LET( converted, SUBSTITUTE( SUBSTITUTE( SUBSTITUTE( SUBSTITUTE( SUBSTITUTE( SUBSTITUTE( SUBSTITUTE( SUBSTITUTE( SUBSTITUTE( SUBSTITUTE( B44, ""۰"", ""0""), ""۱"", ""1""), ""۲"", ""2""), ""۳"", ""3""), ""۴"", ""4""), ""۵"", ""5""), ""۶"", ""6"&amp;"""), ""۷"", ""7""), ""۸"", ""8""), ""۹"", ""9""), IF(LEFT(converted,3)=""+98"", ""0"" &amp; RIGHT(converted, LEN(converted)-3), IF(LEFT(converted,2)=""98"", ""0"" &amp; RIGHT(converted, LEN(converted)-2), IF(LEFT(converted,1)&lt;&gt;""0"", ""0"" &amp; converted, REGEXREPLA"&amp;"CE(converted , ""\s"", """")) ) ) ) )"),"09114594761")</f>
        <v>09114594761</v>
      </c>
      <c r="D44" s="235" t="str">
        <f>VLOOKUP(C44, 'تجربه‌گرها'!D44:H1811, 4, False)</f>
        <v/>
      </c>
      <c r="E44" s="234" t="s">
        <v>7253</v>
      </c>
      <c r="F44" s="235" t="str">
        <f t="shared" si="1"/>
        <v>F.Onagh@alibaba.ir</v>
      </c>
    </row>
    <row r="45">
      <c r="A45" s="234"/>
      <c r="B45" s="234">
        <v>9.13455655E9</v>
      </c>
      <c r="C45" s="235" t="str">
        <f>IFERROR(__xludf.DUMMYFUNCTION("ARRAYFORMULA(LET( converted, SUBSTITUTE( SUBSTITUTE( SUBSTITUTE( SUBSTITUTE( SUBSTITUTE( SUBSTITUTE( SUBSTITUTE( SUBSTITUTE( SUBSTITUTE( SUBSTITUTE( B45, ""۰"", ""0""), ""۱"", ""1""), ""۲"", ""2""), ""۳"", ""3""), ""۴"", ""4""), ""۵"", ""5""), ""۶"", ""6"&amp;"""), ""۷"", ""7""), ""۸"", ""8""), ""۹"", ""9""), IF(LEFT(converted,3)=""+98"", ""0"" &amp; RIGHT(converted, LEN(converted)-3), IF(LEFT(converted,2)=""98"", ""0"" &amp; RIGHT(converted, LEN(converted)-2), IF(LEFT(converted,1)&lt;&gt;""0"", ""0"" &amp; converted, REGEXREPLA"&amp;"CE(converted , ""\s"", """")) ) ) ) )"),"09134556550")</f>
        <v>09134556550</v>
      </c>
      <c r="D45" s="235" t="str">
        <f>VLOOKUP(C45, 'تجربه‌گرها'!D45:H1812, 4, False)</f>
        <v/>
      </c>
      <c r="E45" s="234" t="s">
        <v>338</v>
      </c>
      <c r="F45" s="235" t="str">
        <f t="shared" si="1"/>
        <v>gitazahraei@gmail.com</v>
      </c>
    </row>
    <row r="46">
      <c r="A46" s="234"/>
      <c r="B46" s="234">
        <v>9.37507561E9</v>
      </c>
      <c r="C46" s="235" t="str">
        <f>IFERROR(__xludf.DUMMYFUNCTION("ARRAYFORMULA(LET( converted, SUBSTITUTE( SUBSTITUTE( SUBSTITUTE( SUBSTITUTE( SUBSTITUTE( SUBSTITUTE( SUBSTITUTE( SUBSTITUTE( SUBSTITUTE( SUBSTITUTE( B46, ""۰"", ""0""), ""۱"", ""1""), ""۲"", ""2""), ""۳"", ""3""), ""۴"", ""4""), ""۵"", ""5""), ""۶"", ""6"&amp;"""), ""۷"", ""7""), ""۸"", ""8""), ""۹"", ""9""), IF(LEFT(converted,3)=""+98"", ""0"" &amp; RIGHT(converted, LEN(converted)-3), IF(LEFT(converted,2)=""98"", ""0"" &amp; RIGHT(converted, LEN(converted)-2), IF(LEFT(converted,1)&lt;&gt;""0"", ""0"" &amp; converted, REGEXREPLA"&amp;"CE(converted , ""\s"", """")) ) ) ) )"),"09375075610")</f>
        <v>09375075610</v>
      </c>
      <c r="D46" s="235" t="str">
        <f>VLOOKUP(C46, 'تجربه‌گرها'!D46:H1813, 4, False)</f>
        <v/>
      </c>
      <c r="E46" s="234" t="s">
        <v>7254</v>
      </c>
      <c r="F46" s="235" t="str">
        <f t="shared" si="1"/>
        <v>M.mehrabanpoor@gmail.com</v>
      </c>
    </row>
    <row r="47">
      <c r="A47" s="234"/>
      <c r="B47" s="234">
        <v>9.198888906E9</v>
      </c>
      <c r="C47" s="235" t="str">
        <f>IFERROR(__xludf.DUMMYFUNCTION("ARRAYFORMULA(LET( converted, SUBSTITUTE( SUBSTITUTE( SUBSTITUTE( SUBSTITUTE( SUBSTITUTE( SUBSTITUTE( SUBSTITUTE( SUBSTITUTE( SUBSTITUTE( SUBSTITUTE( B47, ""۰"", ""0""), ""۱"", ""1""), ""۲"", ""2""), ""۳"", ""3""), ""۴"", ""4""), ""۵"", ""5""), ""۶"", ""6"&amp;"""), ""۷"", ""7""), ""۸"", ""8""), ""۹"", ""9""), IF(LEFT(converted,3)=""+98"", ""0"" &amp; RIGHT(converted, LEN(converted)-3), IF(LEFT(converted,2)=""98"", ""0"" &amp; RIGHT(converted, LEN(converted)-2), IF(LEFT(converted,1)&lt;&gt;""0"", ""0"" &amp; converted, REGEXREPLA"&amp;"CE(converted , ""\s"", """")) ) ) ) )"),"09198888906")</f>
        <v>09198888906</v>
      </c>
      <c r="D47" s="235" t="str">
        <f>VLOOKUP(C47, 'تجربه‌گرها'!D47:H1814, 4, False)</f>
        <v/>
      </c>
      <c r="E47" s="24"/>
      <c r="F47" s="235" t="str">
        <f t="shared" si="1"/>
        <v/>
      </c>
    </row>
    <row r="48">
      <c r="A48" s="234"/>
      <c r="B48" s="234">
        <v>9.106845524E9</v>
      </c>
      <c r="C48" s="235" t="str">
        <f>IFERROR(__xludf.DUMMYFUNCTION("ARRAYFORMULA(LET( converted, SUBSTITUTE( SUBSTITUTE( SUBSTITUTE( SUBSTITUTE( SUBSTITUTE( SUBSTITUTE( SUBSTITUTE( SUBSTITUTE( SUBSTITUTE( SUBSTITUTE( B48, ""۰"", ""0""), ""۱"", ""1""), ""۲"", ""2""), ""۳"", ""3""), ""۴"", ""4""), ""۵"", ""5""), ""۶"", ""6"&amp;"""), ""۷"", ""7""), ""۸"", ""8""), ""۹"", ""9""), IF(LEFT(converted,3)=""+98"", ""0"" &amp; RIGHT(converted, LEN(converted)-3), IF(LEFT(converted,2)=""98"", ""0"" &amp; RIGHT(converted, LEN(converted)-2), IF(LEFT(converted,1)&lt;&gt;""0"", ""0"" &amp; converted, REGEXREPLA"&amp;"CE(converted , ""\s"", """")) ) ) ) )"),"09106845524")</f>
        <v>09106845524</v>
      </c>
      <c r="D48" s="235" t="str">
        <f>VLOOKUP(C48, 'تجربه‌گرها'!D48:H1815, 4, False)</f>
        <v/>
      </c>
      <c r="E48" s="234" t="s">
        <v>7255</v>
      </c>
      <c r="F48" s="235" t="str">
        <f t="shared" si="1"/>
        <v>AZADE.HORMOZI90@GMAIL.COM</v>
      </c>
    </row>
    <row r="49">
      <c r="A49" s="234"/>
      <c r="B49" s="234">
        <v>9.1214359E9</v>
      </c>
      <c r="C49" s="235" t="str">
        <f>IFERROR(__xludf.DUMMYFUNCTION("ARRAYFORMULA(LET( converted, SUBSTITUTE( SUBSTITUTE( SUBSTITUTE( SUBSTITUTE( SUBSTITUTE( SUBSTITUTE( SUBSTITUTE( SUBSTITUTE( SUBSTITUTE( SUBSTITUTE( B49, ""۰"", ""0""), ""۱"", ""1""), ""۲"", ""2""), ""۳"", ""3""), ""۴"", ""4""), ""۵"", ""5""), ""۶"", ""6"&amp;"""), ""۷"", ""7""), ""۸"", ""8""), ""۹"", ""9""), IF(LEFT(converted,3)=""+98"", ""0"" &amp; RIGHT(converted, LEN(converted)-3), IF(LEFT(converted,2)=""98"", ""0"" &amp; RIGHT(converted, LEN(converted)-2), IF(LEFT(converted,1)&lt;&gt;""0"", ""0"" &amp; converted, REGEXREPLA"&amp;"CE(converted , ""\s"", """")) ) ) ) )"),"09121435900")</f>
        <v>09121435900</v>
      </c>
      <c r="D49" s="235" t="str">
        <f>VLOOKUP(C49, 'تجربه‌گرها'!D49:H1816, 4, False)</f>
        <v/>
      </c>
      <c r="E49" s="234" t="s">
        <v>267</v>
      </c>
      <c r="F49" s="235" t="str">
        <f t="shared" si="1"/>
        <v>Atajedari@gmail.com</v>
      </c>
    </row>
    <row r="50">
      <c r="A50" s="234"/>
      <c r="B50" s="234">
        <v>9.022679124E9</v>
      </c>
      <c r="C50" s="235" t="str">
        <f>IFERROR(__xludf.DUMMYFUNCTION("ARRAYFORMULA(LET( converted, SUBSTITUTE( SUBSTITUTE( SUBSTITUTE( SUBSTITUTE( SUBSTITUTE( SUBSTITUTE( SUBSTITUTE( SUBSTITUTE( SUBSTITUTE( SUBSTITUTE( B50, ""۰"", ""0""), ""۱"", ""1""), ""۲"", ""2""), ""۳"", ""3""), ""۴"", ""4""), ""۵"", ""5""), ""۶"", ""6"&amp;"""), ""۷"", ""7""), ""۸"", ""8""), ""۹"", ""9""), IF(LEFT(converted,3)=""+98"", ""0"" &amp; RIGHT(converted, LEN(converted)-3), IF(LEFT(converted,2)=""98"", ""0"" &amp; RIGHT(converted, LEN(converted)-2), IF(LEFT(converted,1)&lt;&gt;""0"", ""0"" &amp; converted, REGEXREPLA"&amp;"CE(converted , ""\s"", """")) ) ) ) )"),"09022679124")</f>
        <v>09022679124</v>
      </c>
      <c r="D50" s="235" t="str">
        <f>VLOOKUP(C50, 'تجربه‌گرها'!D50:H1817, 4, False)</f>
        <v/>
      </c>
      <c r="E50" s="24"/>
      <c r="F50" s="235" t="str">
        <f t="shared" si="1"/>
        <v/>
      </c>
    </row>
    <row r="51">
      <c r="A51" s="234"/>
      <c r="B51" s="234">
        <v>9.109002711E9</v>
      </c>
      <c r="C51" s="235" t="str">
        <f>IFERROR(__xludf.DUMMYFUNCTION("ARRAYFORMULA(LET( converted, SUBSTITUTE( SUBSTITUTE( SUBSTITUTE( SUBSTITUTE( SUBSTITUTE( SUBSTITUTE( SUBSTITUTE( SUBSTITUTE( SUBSTITUTE( SUBSTITUTE( B51, ""۰"", ""0""), ""۱"", ""1""), ""۲"", ""2""), ""۳"", ""3""), ""۴"", ""4""), ""۵"", ""5""), ""۶"", ""6"&amp;"""), ""۷"", ""7""), ""۸"", ""8""), ""۹"", ""9""), IF(LEFT(converted,3)=""+98"", ""0"" &amp; RIGHT(converted, LEN(converted)-3), IF(LEFT(converted,2)=""98"", ""0"" &amp; RIGHT(converted, LEN(converted)-2), IF(LEFT(converted,1)&lt;&gt;""0"", ""0"" &amp; converted, REGEXREPLA"&amp;"CE(converted , ""\s"", """")) ) ) ) )"),"09109002711")</f>
        <v>09109002711</v>
      </c>
      <c r="D51" s="235" t="str">
        <f>VLOOKUP(C51, 'تجربه‌گرها'!D51:H1818, 4, False)</f>
        <v/>
      </c>
      <c r="E51" s="24"/>
      <c r="F51" s="235" t="str">
        <f t="shared" si="1"/>
        <v/>
      </c>
    </row>
    <row r="52">
      <c r="A52" s="234"/>
      <c r="B52" s="234">
        <v>9.127341327E9</v>
      </c>
      <c r="C52" s="235" t="str">
        <f>IFERROR(__xludf.DUMMYFUNCTION("ARRAYFORMULA(LET( converted, SUBSTITUTE( SUBSTITUTE( SUBSTITUTE( SUBSTITUTE( SUBSTITUTE( SUBSTITUTE( SUBSTITUTE( SUBSTITUTE( SUBSTITUTE( SUBSTITUTE( B52, ""۰"", ""0""), ""۱"", ""1""), ""۲"", ""2""), ""۳"", ""3""), ""۴"", ""4""), ""۵"", ""5""), ""۶"", ""6"&amp;"""), ""۷"", ""7""), ""۸"", ""8""), ""۹"", ""9""), IF(LEFT(converted,3)=""+98"", ""0"" &amp; RIGHT(converted, LEN(converted)-3), IF(LEFT(converted,2)=""98"", ""0"" &amp; RIGHT(converted, LEN(converted)-2), IF(LEFT(converted,1)&lt;&gt;""0"", ""0"" &amp; converted, REGEXREPLA"&amp;"CE(converted , ""\s"", """")) ) ) ) )"),"09127341327")</f>
        <v>09127341327</v>
      </c>
      <c r="D52" s="235" t="str">
        <f>VLOOKUP(C52, 'تجربه‌گرها'!D52:H1819, 4, False)</f>
        <v/>
      </c>
      <c r="E52" s="24"/>
      <c r="F52" s="235" t="str">
        <f t="shared" si="1"/>
        <v/>
      </c>
    </row>
    <row r="53">
      <c r="A53" s="234"/>
      <c r="B53" s="234">
        <v>9.132865814E9</v>
      </c>
      <c r="C53" s="235" t="str">
        <f>IFERROR(__xludf.DUMMYFUNCTION("ARRAYFORMULA(LET( converted, SUBSTITUTE( SUBSTITUTE( SUBSTITUTE( SUBSTITUTE( SUBSTITUTE( SUBSTITUTE( SUBSTITUTE( SUBSTITUTE( SUBSTITUTE( SUBSTITUTE( B53, ""۰"", ""0""), ""۱"", ""1""), ""۲"", ""2""), ""۳"", ""3""), ""۴"", ""4""), ""۵"", ""5""), ""۶"", ""6"&amp;"""), ""۷"", ""7""), ""۸"", ""8""), ""۹"", ""9""), IF(LEFT(converted,3)=""+98"", ""0"" &amp; RIGHT(converted, LEN(converted)-3), IF(LEFT(converted,2)=""98"", ""0"" &amp; RIGHT(converted, LEN(converted)-2), IF(LEFT(converted,1)&lt;&gt;""0"", ""0"" &amp; converted, REGEXREPLA"&amp;"CE(converted , ""\s"", """")) ) ) ) )"),"09132865814")</f>
        <v>09132865814</v>
      </c>
      <c r="D53" s="235" t="str">
        <f>VLOOKUP(C53, 'تجربه‌گرها'!D53:H1820, 4, False)</f>
        <v/>
      </c>
      <c r="E53" s="24"/>
      <c r="F53" s="235" t="str">
        <f t="shared" si="1"/>
        <v/>
      </c>
    </row>
    <row r="54">
      <c r="A54" s="234"/>
      <c r="B54" s="234">
        <v>9.124037335E9</v>
      </c>
      <c r="C54" s="235" t="str">
        <f>IFERROR(__xludf.DUMMYFUNCTION("ARRAYFORMULA(LET( converted, SUBSTITUTE( SUBSTITUTE( SUBSTITUTE( SUBSTITUTE( SUBSTITUTE( SUBSTITUTE( SUBSTITUTE( SUBSTITUTE( SUBSTITUTE( SUBSTITUTE( B54, ""۰"", ""0""), ""۱"", ""1""), ""۲"", ""2""), ""۳"", ""3""), ""۴"", ""4""), ""۵"", ""5""), ""۶"", ""6"&amp;"""), ""۷"", ""7""), ""۸"", ""8""), ""۹"", ""9""), IF(LEFT(converted,3)=""+98"", ""0"" &amp; RIGHT(converted, LEN(converted)-3), IF(LEFT(converted,2)=""98"", ""0"" &amp; RIGHT(converted, LEN(converted)-2), IF(LEFT(converted,1)&lt;&gt;""0"", ""0"" &amp; converted, REGEXREPLA"&amp;"CE(converted , ""\s"", """")) ) ) ) )"),"09124037335")</f>
        <v>09124037335</v>
      </c>
      <c r="D54" s="235" t="str">
        <f>VLOOKUP(C54, 'تجربه‌گرها'!D54:H1821, 4, False)</f>
        <v/>
      </c>
      <c r="E54" s="24"/>
      <c r="F54" s="235" t="str">
        <f t="shared" si="1"/>
        <v/>
      </c>
    </row>
    <row r="55">
      <c r="A55" s="234"/>
      <c r="B55" s="234">
        <v>9.130200939E9</v>
      </c>
      <c r="C55" s="235" t="str">
        <f>IFERROR(__xludf.DUMMYFUNCTION("ARRAYFORMULA(LET( converted, SUBSTITUTE( SUBSTITUTE( SUBSTITUTE( SUBSTITUTE( SUBSTITUTE( SUBSTITUTE( SUBSTITUTE( SUBSTITUTE( SUBSTITUTE( SUBSTITUTE( B55, ""۰"", ""0""), ""۱"", ""1""), ""۲"", ""2""), ""۳"", ""3""), ""۴"", ""4""), ""۵"", ""5""), ""۶"", ""6"&amp;"""), ""۷"", ""7""), ""۸"", ""8""), ""۹"", ""9""), IF(LEFT(converted,3)=""+98"", ""0"" &amp; RIGHT(converted, LEN(converted)-3), IF(LEFT(converted,2)=""98"", ""0"" &amp; RIGHT(converted, LEN(converted)-2), IF(LEFT(converted,1)&lt;&gt;""0"", ""0"" &amp; converted, REGEXREPLA"&amp;"CE(converted , ""\s"", """")) ) ) ) )"),"09130200939")</f>
        <v>09130200939</v>
      </c>
      <c r="D55" s="235" t="str">
        <f>VLOOKUP(C55, 'تجربه‌گرها'!D55:H1822, 4, False)</f>
        <v/>
      </c>
      <c r="E55" s="24"/>
      <c r="F55" s="235" t="str">
        <f t="shared" si="1"/>
        <v/>
      </c>
    </row>
    <row r="56">
      <c r="A56" s="234"/>
      <c r="B56" s="234">
        <v>9.353903434E9</v>
      </c>
      <c r="C56" s="235" t="str">
        <f>IFERROR(__xludf.DUMMYFUNCTION("ARRAYFORMULA(LET( converted, SUBSTITUTE( SUBSTITUTE( SUBSTITUTE( SUBSTITUTE( SUBSTITUTE( SUBSTITUTE( SUBSTITUTE( SUBSTITUTE( SUBSTITUTE( SUBSTITUTE( B56, ""۰"", ""0""), ""۱"", ""1""), ""۲"", ""2""), ""۳"", ""3""), ""۴"", ""4""), ""۵"", ""5""), ""۶"", ""6"&amp;"""), ""۷"", ""7""), ""۸"", ""8""), ""۹"", ""9""), IF(LEFT(converted,3)=""+98"", ""0"" &amp; RIGHT(converted, LEN(converted)-3), IF(LEFT(converted,2)=""98"", ""0"" &amp; RIGHT(converted, LEN(converted)-2), IF(LEFT(converted,1)&lt;&gt;""0"", ""0"" &amp; converted, REGEXREPLA"&amp;"CE(converted , ""\s"", """")) ) ) ) )"),"09353903434")</f>
        <v>09353903434</v>
      </c>
      <c r="D56" s="235" t="str">
        <f>VLOOKUP(C56, 'تجربه‌گرها'!D56:H1823, 4, False)</f>
        <v/>
      </c>
      <c r="E56" s="24"/>
      <c r="F56" s="235" t="str">
        <f t="shared" si="1"/>
        <v/>
      </c>
    </row>
    <row r="57">
      <c r="A57" s="24"/>
      <c r="B57" s="234">
        <v>9.123135307E9</v>
      </c>
      <c r="C57" s="235" t="str">
        <f>IFERROR(__xludf.DUMMYFUNCTION("ARRAYFORMULA(LET( converted, SUBSTITUTE( SUBSTITUTE( SUBSTITUTE( SUBSTITUTE( SUBSTITUTE( SUBSTITUTE( SUBSTITUTE( SUBSTITUTE( SUBSTITUTE( SUBSTITUTE( B57, ""۰"", ""0""), ""۱"", ""1""), ""۲"", ""2""), ""۳"", ""3""), ""۴"", ""4""), ""۵"", ""5""), ""۶"", ""6"&amp;"""), ""۷"", ""7""), ""۸"", ""8""), ""۹"", ""9""), IF(LEFT(converted,3)=""+98"", ""0"" &amp; RIGHT(converted, LEN(converted)-3), IF(LEFT(converted,2)=""98"", ""0"" &amp; RIGHT(converted, LEN(converted)-2), IF(LEFT(converted,1)&lt;&gt;""0"", ""0"" &amp; converted, REGEXREPLA"&amp;"CE(converted , ""\s"", """")) ) ) ) )"),"09123135307")</f>
        <v>09123135307</v>
      </c>
      <c r="D57" s="235" t="str">
        <f>VLOOKUP(C57, 'تجربه‌گرها'!D57:H1824, 4, False)</f>
        <v/>
      </c>
      <c r="E57" s="24"/>
      <c r="F57" s="235" t="str">
        <f t="shared" si="1"/>
        <v/>
      </c>
    </row>
    <row r="58">
      <c r="A58" s="234"/>
      <c r="B58" s="24"/>
      <c r="C58" s="235" t="str">
        <f>IFERROR(__xludf.DUMMYFUNCTION("ARRAYFORMULA(LET( converted, SUBSTITUTE( SUBSTITUTE( SUBSTITUTE( SUBSTITUTE( SUBSTITUTE( SUBSTITUTE( SUBSTITUTE( SUBSTITUTE( SUBSTITUTE( SUBSTITUTE( B58, ""۰"", ""0""), ""۱"", ""1""), ""۲"", ""2""), ""۳"", ""3""), ""۴"", ""4""), ""۵"", ""5""), ""۶"", ""6"&amp;"""), ""۷"", ""7""), ""۸"", ""8""), ""۹"", ""9""), IF(LEFT(converted,3)=""+98"", ""0"" &amp; RIGHT(converted, LEN(converted)-3), IF(LEFT(converted,2)=""98"", ""0"" &amp; RIGHT(converted, LEN(converted)-2), IF(LEFT(converted,1)&lt;&gt;""0"", ""0"" &amp; converted, REGEXREPLA"&amp;"CE(converted , ""\s"", """")) ) ) ) )"),"0")</f>
        <v>0</v>
      </c>
      <c r="D58" s="235" t="str">
        <f>VLOOKUP(C58, 'تجربه‌گرها'!D58:H1825, 4, False)</f>
        <v>M</v>
      </c>
      <c r="E58" s="24"/>
      <c r="F58" s="235" t="str">
        <f t="shared" si="1"/>
        <v>M</v>
      </c>
    </row>
    <row r="59">
      <c r="A59" s="234"/>
      <c r="B59" s="234">
        <v>9.391127748E9</v>
      </c>
      <c r="C59" s="235" t="str">
        <f>IFERROR(__xludf.DUMMYFUNCTION("ARRAYFORMULA(LET( converted, SUBSTITUTE( SUBSTITUTE( SUBSTITUTE( SUBSTITUTE( SUBSTITUTE( SUBSTITUTE( SUBSTITUTE( SUBSTITUTE( SUBSTITUTE( SUBSTITUTE( B59, ""۰"", ""0""), ""۱"", ""1""), ""۲"", ""2""), ""۳"", ""3""), ""۴"", ""4""), ""۵"", ""5""), ""۶"", ""6"&amp;"""), ""۷"", ""7""), ""۸"", ""8""), ""۹"", ""9""), IF(LEFT(converted,3)=""+98"", ""0"" &amp; RIGHT(converted, LEN(converted)-3), IF(LEFT(converted,2)=""98"", ""0"" &amp; RIGHT(converted, LEN(converted)-2), IF(LEFT(converted,1)&lt;&gt;""0"", ""0"" &amp; converted, REGEXREPLA"&amp;"CE(converted , ""\s"", """")) ) ) ) )"),"09391127748")</f>
        <v>09391127748</v>
      </c>
      <c r="D59" s="235" t="str">
        <f>VLOOKUP(C59, 'تجربه‌گرها'!D59:H1826, 4, False)</f>
        <v/>
      </c>
      <c r="E59" s="24"/>
      <c r="F59" s="235" t="str">
        <f t="shared" si="1"/>
        <v/>
      </c>
    </row>
    <row r="60">
      <c r="A60" s="234"/>
      <c r="B60" s="234">
        <v>9.156135181E9</v>
      </c>
      <c r="C60" s="235" t="str">
        <f>IFERROR(__xludf.DUMMYFUNCTION("ARRAYFORMULA(LET( converted, SUBSTITUTE( SUBSTITUTE( SUBSTITUTE( SUBSTITUTE( SUBSTITUTE( SUBSTITUTE( SUBSTITUTE( SUBSTITUTE( SUBSTITUTE( SUBSTITUTE( B60, ""۰"", ""0""), ""۱"", ""1""), ""۲"", ""2""), ""۳"", ""3""), ""۴"", ""4""), ""۵"", ""5""), ""۶"", ""6"&amp;"""), ""۷"", ""7""), ""۸"", ""8""), ""۹"", ""9""), IF(LEFT(converted,3)=""+98"", ""0"" &amp; RIGHT(converted, LEN(converted)-3), IF(LEFT(converted,2)=""98"", ""0"" &amp; RIGHT(converted, LEN(converted)-2), IF(LEFT(converted,1)&lt;&gt;""0"", ""0"" &amp; converted, REGEXREPLA"&amp;"CE(converted , ""\s"", """")) ) ) ) )"),"09156135181")</f>
        <v>09156135181</v>
      </c>
      <c r="D60" s="235" t="str">
        <f>VLOOKUP(C60, 'تجربه‌گرها'!D60:H1827, 4, False)</f>
        <v/>
      </c>
      <c r="E60" s="24"/>
      <c r="F60" s="235" t="str">
        <f t="shared" si="1"/>
        <v/>
      </c>
    </row>
    <row r="61">
      <c r="A61" s="234"/>
      <c r="B61" s="234" t="s">
        <v>7256</v>
      </c>
      <c r="C61" s="235" t="str">
        <f>IFERROR(__xludf.DUMMYFUNCTION("ARRAYFORMULA(LET( converted, SUBSTITUTE( SUBSTITUTE( SUBSTITUTE( SUBSTITUTE( SUBSTITUTE( SUBSTITUTE( SUBSTITUTE( SUBSTITUTE( SUBSTITUTE( SUBSTITUTE( B61, ""۰"", ""0""), ""۱"", ""1""), ""۲"", ""2""), ""۳"", ""3""), ""۴"", ""4""), ""۵"", ""5""), ""۶"", ""6"&amp;"""), ""۷"", ""7""), ""۸"", ""8""), ""۹"", ""9""), IF(LEFT(converted,3)=""+98"", ""0"" &amp; RIGHT(converted, LEN(converted)-3), IF(LEFT(converted,2)=""98"", ""0"" &amp; RIGHT(converted, LEN(converted)-2), IF(LEFT(converted,1)&lt;&gt;""0"", ""0"" &amp; converted, REGEXREPLA"&amp;"CE(converted , ""\s"", """")) ) ) ) )"),"09127063548
9360333665")</f>
        <v>09127063548
9360333665</v>
      </c>
      <c r="D61" s="235" t="str">
        <f>VLOOKUP(C61, 'تجربه‌گرها'!D61:H1828, 4, False)</f>
        <v>#N/A</v>
      </c>
      <c r="E61" s="24"/>
      <c r="F61" s="235" t="str">
        <f t="shared" si="1"/>
        <v>#N/A</v>
      </c>
    </row>
    <row r="62">
      <c r="A62" s="234"/>
      <c r="B62" s="234">
        <v>9.196726228E9</v>
      </c>
      <c r="C62" s="235" t="str">
        <f>IFERROR(__xludf.DUMMYFUNCTION("ARRAYFORMULA(LET( converted, SUBSTITUTE( SUBSTITUTE( SUBSTITUTE( SUBSTITUTE( SUBSTITUTE( SUBSTITUTE( SUBSTITUTE( SUBSTITUTE( SUBSTITUTE( SUBSTITUTE( B62, ""۰"", ""0""), ""۱"", ""1""), ""۲"", ""2""), ""۳"", ""3""), ""۴"", ""4""), ""۵"", ""5""), ""۶"", ""6"&amp;"""), ""۷"", ""7""), ""۸"", ""8""), ""۹"", ""9""), IF(LEFT(converted,3)=""+98"", ""0"" &amp; RIGHT(converted, LEN(converted)-3), IF(LEFT(converted,2)=""98"", ""0"" &amp; RIGHT(converted, LEN(converted)-2), IF(LEFT(converted,1)&lt;&gt;""0"", ""0"" &amp; converted, REGEXREPLA"&amp;"CE(converted , ""\s"", """")) ) ) ) )"),"09196726228")</f>
        <v>09196726228</v>
      </c>
      <c r="D62" s="235" t="str">
        <f>VLOOKUP(C62, 'تجربه‌گرها'!D62:H1829, 4, False)</f>
        <v/>
      </c>
      <c r="E62" s="24"/>
      <c r="F62" s="235" t="str">
        <f t="shared" si="1"/>
        <v/>
      </c>
    </row>
    <row r="63">
      <c r="A63" s="234"/>
      <c r="B63" s="234">
        <v>9.355073105E9</v>
      </c>
      <c r="C63" s="235" t="str">
        <f>IFERROR(__xludf.DUMMYFUNCTION("ARRAYFORMULA(LET( converted, SUBSTITUTE( SUBSTITUTE( SUBSTITUTE( SUBSTITUTE( SUBSTITUTE( SUBSTITUTE( SUBSTITUTE( SUBSTITUTE( SUBSTITUTE( SUBSTITUTE( B63, ""۰"", ""0""), ""۱"", ""1""), ""۲"", ""2""), ""۳"", ""3""), ""۴"", ""4""), ""۵"", ""5""), ""۶"", ""6"&amp;"""), ""۷"", ""7""), ""۸"", ""8""), ""۹"", ""9""), IF(LEFT(converted,3)=""+98"", ""0"" &amp; RIGHT(converted, LEN(converted)-3), IF(LEFT(converted,2)=""98"", ""0"" &amp; RIGHT(converted, LEN(converted)-2), IF(LEFT(converted,1)&lt;&gt;""0"", ""0"" &amp; converted, REGEXREPLA"&amp;"CE(converted , ""\s"", """")) ) ) ) )"),"09355073105")</f>
        <v>09355073105</v>
      </c>
      <c r="D63" s="235" t="str">
        <f>VLOOKUP(C63, 'تجربه‌گرها'!D63:H1830, 4, False)</f>
        <v/>
      </c>
      <c r="E63" s="24"/>
      <c r="F63" s="235" t="str">
        <f t="shared" si="1"/>
        <v/>
      </c>
    </row>
    <row r="64">
      <c r="A64" s="234"/>
      <c r="B64" s="234">
        <v>9.12084004E9</v>
      </c>
      <c r="C64" s="235" t="str">
        <f>IFERROR(__xludf.DUMMYFUNCTION("ARRAYFORMULA(LET( converted, SUBSTITUTE( SUBSTITUTE( SUBSTITUTE( SUBSTITUTE( SUBSTITUTE( SUBSTITUTE( SUBSTITUTE( SUBSTITUTE( SUBSTITUTE( SUBSTITUTE( B64, ""۰"", ""0""), ""۱"", ""1""), ""۲"", ""2""), ""۳"", ""3""), ""۴"", ""4""), ""۵"", ""5""), ""۶"", ""6"&amp;"""), ""۷"", ""7""), ""۸"", ""8""), ""۹"", ""9""), IF(LEFT(converted,3)=""+98"", ""0"" &amp; RIGHT(converted, LEN(converted)-3), IF(LEFT(converted,2)=""98"", ""0"" &amp; RIGHT(converted, LEN(converted)-2), IF(LEFT(converted,1)&lt;&gt;""0"", ""0"" &amp; converted, REGEXREPLA"&amp;"CE(converted , ""\s"", """")) ) ) ) )"),"09120840040")</f>
        <v>09120840040</v>
      </c>
      <c r="D64" s="235" t="str">
        <f>VLOOKUP(C64, 'تجربه‌گرها'!D64:H1831, 4, False)</f>
        <v>M</v>
      </c>
      <c r="E64" s="24"/>
      <c r="F64" s="235" t="str">
        <f t="shared" si="1"/>
        <v>M</v>
      </c>
    </row>
    <row r="65">
      <c r="A65" s="234"/>
      <c r="B65" s="234">
        <v>9.122452433E9</v>
      </c>
      <c r="C65" s="235" t="str">
        <f>IFERROR(__xludf.DUMMYFUNCTION("ARRAYFORMULA(LET( converted, SUBSTITUTE( SUBSTITUTE( SUBSTITUTE( SUBSTITUTE( SUBSTITUTE( SUBSTITUTE( SUBSTITUTE( SUBSTITUTE( SUBSTITUTE( SUBSTITUTE( B65, ""۰"", ""0""), ""۱"", ""1""), ""۲"", ""2""), ""۳"", ""3""), ""۴"", ""4""), ""۵"", ""5""), ""۶"", ""6"&amp;"""), ""۷"", ""7""), ""۸"", ""8""), ""۹"", ""9""), IF(LEFT(converted,3)=""+98"", ""0"" &amp; RIGHT(converted, LEN(converted)-3), IF(LEFT(converted,2)=""98"", ""0"" &amp; RIGHT(converted, LEN(converted)-2), IF(LEFT(converted,1)&lt;&gt;""0"", ""0"" &amp; converted, REGEXREPLA"&amp;"CE(converted , ""\s"", """")) ) ) ) )"),"09122452433")</f>
        <v>09122452433</v>
      </c>
      <c r="D65" s="235" t="str">
        <f>VLOOKUP(C65, 'تجربه‌گرها'!D65:H1832, 4, False)</f>
        <v/>
      </c>
      <c r="E65" s="24"/>
      <c r="F65" s="235" t="str">
        <f t="shared" si="1"/>
        <v/>
      </c>
    </row>
    <row r="66">
      <c r="A66" s="234"/>
      <c r="B66" s="234">
        <v>9.12186617E9</v>
      </c>
      <c r="C66" s="235" t="str">
        <f>IFERROR(__xludf.DUMMYFUNCTION("ARRAYFORMULA(LET( converted, SUBSTITUTE( SUBSTITUTE( SUBSTITUTE( SUBSTITUTE( SUBSTITUTE( SUBSTITUTE( SUBSTITUTE( SUBSTITUTE( SUBSTITUTE( SUBSTITUTE( B66, ""۰"", ""0""), ""۱"", ""1""), ""۲"", ""2""), ""۳"", ""3""), ""۴"", ""4""), ""۵"", ""5""), ""۶"", ""6"&amp;"""), ""۷"", ""7""), ""۸"", ""8""), ""۹"", ""9""), IF(LEFT(converted,3)=""+98"", ""0"" &amp; RIGHT(converted, LEN(converted)-3), IF(LEFT(converted,2)=""98"", ""0"" &amp; RIGHT(converted, LEN(converted)-2), IF(LEFT(converted,1)&lt;&gt;""0"", ""0"" &amp; converted, REGEXREPLA"&amp;"CE(converted , ""\s"", """")) ) ) ) )"),"09121866170")</f>
        <v>09121866170</v>
      </c>
      <c r="D66" s="235" t="str">
        <f>VLOOKUP(C66, 'تجربه‌گرها'!D66:H1833, 4, False)</f>
        <v/>
      </c>
      <c r="E66" s="24"/>
      <c r="F66" s="235" t="str">
        <f t="shared" si="1"/>
        <v/>
      </c>
    </row>
    <row r="67">
      <c r="A67" s="234"/>
      <c r="B67" s="234">
        <v>9.123360208E9</v>
      </c>
      <c r="C67" s="235" t="str">
        <f>IFERROR(__xludf.DUMMYFUNCTION("ARRAYFORMULA(LET( converted, SUBSTITUTE( SUBSTITUTE( SUBSTITUTE( SUBSTITUTE( SUBSTITUTE( SUBSTITUTE( SUBSTITUTE( SUBSTITUTE( SUBSTITUTE( SUBSTITUTE( B67, ""۰"", ""0""), ""۱"", ""1""), ""۲"", ""2""), ""۳"", ""3""), ""۴"", ""4""), ""۵"", ""5""), ""۶"", ""6"&amp;"""), ""۷"", ""7""), ""۸"", ""8""), ""۹"", ""9""), IF(LEFT(converted,3)=""+98"", ""0"" &amp; RIGHT(converted, LEN(converted)-3), IF(LEFT(converted,2)=""98"", ""0"" &amp; RIGHT(converted, LEN(converted)-2), IF(LEFT(converted,1)&lt;&gt;""0"", ""0"" &amp; converted, REGEXREPLA"&amp;"CE(converted , ""\s"", """")) ) ) ) )"),"09123360208")</f>
        <v>09123360208</v>
      </c>
      <c r="D67" s="235" t="str">
        <f>VLOOKUP(C67, 'تجربه‌گرها'!D67:H1834, 4, False)</f>
        <v/>
      </c>
      <c r="E67" s="24"/>
      <c r="F67" s="235" t="str">
        <f t="shared" si="1"/>
        <v/>
      </c>
    </row>
    <row r="68">
      <c r="A68" s="234"/>
      <c r="B68" s="234">
        <v>9.900073128E9</v>
      </c>
      <c r="C68" s="235" t="str">
        <f>IFERROR(__xludf.DUMMYFUNCTION("ARRAYFORMULA(LET( converted, SUBSTITUTE( SUBSTITUTE( SUBSTITUTE( SUBSTITUTE( SUBSTITUTE( SUBSTITUTE( SUBSTITUTE( SUBSTITUTE( SUBSTITUTE( SUBSTITUTE( B68, ""۰"", ""0""), ""۱"", ""1""), ""۲"", ""2""), ""۳"", ""3""), ""۴"", ""4""), ""۵"", ""5""), ""۶"", ""6"&amp;"""), ""۷"", ""7""), ""۸"", ""8""), ""۹"", ""9""), IF(LEFT(converted,3)=""+98"", ""0"" &amp; RIGHT(converted, LEN(converted)-3), IF(LEFT(converted,2)=""98"", ""0"" &amp; RIGHT(converted, LEN(converted)-2), IF(LEFT(converted,1)&lt;&gt;""0"", ""0"" &amp; converted, REGEXREPLA"&amp;"CE(converted , ""\s"", """")) ) ) ) )"),"09900073128")</f>
        <v>09900073128</v>
      </c>
      <c r="D68" s="235" t="str">
        <f>VLOOKUP(C68, 'تجربه‌گرها'!D68:H1835, 4, False)</f>
        <v/>
      </c>
      <c r="E68" s="24"/>
      <c r="F68" s="235" t="str">
        <f t="shared" si="1"/>
        <v/>
      </c>
    </row>
    <row r="69">
      <c r="A69" s="234"/>
      <c r="B69" s="234">
        <v>9.108437191E9</v>
      </c>
      <c r="C69" s="235" t="str">
        <f>IFERROR(__xludf.DUMMYFUNCTION("ARRAYFORMULA(LET( converted, SUBSTITUTE( SUBSTITUTE( SUBSTITUTE( SUBSTITUTE( SUBSTITUTE( SUBSTITUTE( SUBSTITUTE( SUBSTITUTE( SUBSTITUTE( SUBSTITUTE( B69, ""۰"", ""0""), ""۱"", ""1""), ""۲"", ""2""), ""۳"", ""3""), ""۴"", ""4""), ""۵"", ""5""), ""۶"", ""6"&amp;"""), ""۷"", ""7""), ""۸"", ""8""), ""۹"", ""9""), IF(LEFT(converted,3)=""+98"", ""0"" &amp; RIGHT(converted, LEN(converted)-3), IF(LEFT(converted,2)=""98"", ""0"" &amp; RIGHT(converted, LEN(converted)-2), IF(LEFT(converted,1)&lt;&gt;""0"", ""0"" &amp; converted, REGEXREPLA"&amp;"CE(converted , ""\s"", """")) ) ) ) )"),"09108437191")</f>
        <v>09108437191</v>
      </c>
      <c r="D69" s="235" t="str">
        <f>VLOOKUP(C69, 'تجربه‌گرها'!D69:H1836, 4, False)</f>
        <v/>
      </c>
      <c r="E69" s="24"/>
      <c r="F69" s="235" t="str">
        <f t="shared" si="1"/>
        <v/>
      </c>
    </row>
    <row r="70">
      <c r="A70" s="234"/>
      <c r="B70" s="234">
        <v>9.960085776E9</v>
      </c>
      <c r="C70" s="235" t="str">
        <f>IFERROR(__xludf.DUMMYFUNCTION("ARRAYFORMULA(LET( converted, SUBSTITUTE( SUBSTITUTE( SUBSTITUTE( SUBSTITUTE( SUBSTITUTE( SUBSTITUTE( SUBSTITUTE( SUBSTITUTE( SUBSTITUTE( SUBSTITUTE( B70, ""۰"", ""0""), ""۱"", ""1""), ""۲"", ""2""), ""۳"", ""3""), ""۴"", ""4""), ""۵"", ""5""), ""۶"", ""6"&amp;"""), ""۷"", ""7""), ""۸"", ""8""), ""۹"", ""9""), IF(LEFT(converted,3)=""+98"", ""0"" &amp; RIGHT(converted, LEN(converted)-3), IF(LEFT(converted,2)=""98"", ""0"" &amp; RIGHT(converted, LEN(converted)-2), IF(LEFT(converted,1)&lt;&gt;""0"", ""0"" &amp; converted, REGEXREPLA"&amp;"CE(converted , ""\s"", """")) ) ) ) )"),"09960085776")</f>
        <v>09960085776</v>
      </c>
      <c r="D70" s="235" t="str">
        <f>VLOOKUP(C70, 'تجربه‌گرها'!D70:H1837, 4, False)</f>
        <v/>
      </c>
      <c r="E70" s="24"/>
      <c r="F70" s="235" t="str">
        <f t="shared" si="1"/>
        <v/>
      </c>
    </row>
    <row r="71">
      <c r="A71" s="234"/>
      <c r="B71" s="234">
        <v>9.194293625E9</v>
      </c>
      <c r="C71" s="235" t="str">
        <f>IFERROR(__xludf.DUMMYFUNCTION("ARRAYFORMULA(LET( converted, SUBSTITUTE( SUBSTITUTE( SUBSTITUTE( SUBSTITUTE( SUBSTITUTE( SUBSTITUTE( SUBSTITUTE( SUBSTITUTE( SUBSTITUTE( SUBSTITUTE( B71, ""۰"", ""0""), ""۱"", ""1""), ""۲"", ""2""), ""۳"", ""3""), ""۴"", ""4""), ""۵"", ""5""), ""۶"", ""6"&amp;"""), ""۷"", ""7""), ""۸"", ""8""), ""۹"", ""9""), IF(LEFT(converted,3)=""+98"", ""0"" &amp; RIGHT(converted, LEN(converted)-3), IF(LEFT(converted,2)=""98"", ""0"" &amp; RIGHT(converted, LEN(converted)-2), IF(LEFT(converted,1)&lt;&gt;""0"", ""0"" &amp; converted, REGEXREPLA"&amp;"CE(converted , ""\s"", """")) ) ) ) )"),"09194293625")</f>
        <v>09194293625</v>
      </c>
      <c r="D71" s="235" t="str">
        <f>VLOOKUP(C71, 'تجربه‌گرها'!D71:H1838, 4, False)</f>
        <v/>
      </c>
      <c r="E71" s="24"/>
      <c r="F71" s="235" t="str">
        <f t="shared" si="1"/>
        <v/>
      </c>
    </row>
    <row r="72">
      <c r="A72" s="234"/>
      <c r="B72" s="234">
        <v>9.389073346E9</v>
      </c>
      <c r="C72" s="235" t="str">
        <f>IFERROR(__xludf.DUMMYFUNCTION("ARRAYFORMULA(LET( converted, SUBSTITUTE( SUBSTITUTE( SUBSTITUTE( SUBSTITUTE( SUBSTITUTE( SUBSTITUTE( SUBSTITUTE( SUBSTITUTE( SUBSTITUTE( SUBSTITUTE( B72, ""۰"", ""0""), ""۱"", ""1""), ""۲"", ""2""), ""۳"", ""3""), ""۴"", ""4""), ""۵"", ""5""), ""۶"", ""6"&amp;"""), ""۷"", ""7""), ""۸"", ""8""), ""۹"", ""9""), IF(LEFT(converted,3)=""+98"", ""0"" &amp; RIGHT(converted, LEN(converted)-3), IF(LEFT(converted,2)=""98"", ""0"" &amp; RIGHT(converted, LEN(converted)-2), IF(LEFT(converted,1)&lt;&gt;""0"", ""0"" &amp; converted, REGEXREPLA"&amp;"CE(converted , ""\s"", """")) ) ) ) )"),"09389073346")</f>
        <v>09389073346</v>
      </c>
      <c r="D72" s="235" t="str">
        <f>VLOOKUP(C72, 'تجربه‌گرها'!D72:H1839, 4, False)</f>
        <v>#N/A</v>
      </c>
      <c r="E72" s="24"/>
      <c r="F72" s="235" t="str">
        <f t="shared" si="1"/>
        <v>#N/A</v>
      </c>
    </row>
    <row r="73">
      <c r="A73" s="234"/>
      <c r="B73" s="234">
        <v>9.129610906E9</v>
      </c>
      <c r="C73" s="235" t="str">
        <f>IFERROR(__xludf.DUMMYFUNCTION("ARRAYFORMULA(LET( converted, SUBSTITUTE( SUBSTITUTE( SUBSTITUTE( SUBSTITUTE( SUBSTITUTE( SUBSTITUTE( SUBSTITUTE( SUBSTITUTE( SUBSTITUTE( SUBSTITUTE( B73, ""۰"", ""0""), ""۱"", ""1""), ""۲"", ""2""), ""۳"", ""3""), ""۴"", ""4""), ""۵"", ""5""), ""۶"", ""6"&amp;"""), ""۷"", ""7""), ""۸"", ""8""), ""۹"", ""9""), IF(LEFT(converted,3)=""+98"", ""0"" &amp; RIGHT(converted, LEN(converted)-3), IF(LEFT(converted,2)=""98"", ""0"" &amp; RIGHT(converted, LEN(converted)-2), IF(LEFT(converted,1)&lt;&gt;""0"", ""0"" &amp; converted, REGEXREPLA"&amp;"CE(converted , ""\s"", """")) ) ) ) )"),"09129610906")</f>
        <v>09129610906</v>
      </c>
      <c r="D73" s="235" t="str">
        <f>VLOOKUP(C73, 'تجربه‌گرها'!D73:H1840, 4, False)</f>
        <v/>
      </c>
      <c r="E73" s="24"/>
      <c r="F73" s="235" t="str">
        <f t="shared" si="1"/>
        <v/>
      </c>
    </row>
    <row r="74">
      <c r="A74" s="234"/>
      <c r="B74" s="234">
        <v>9.121328677E9</v>
      </c>
      <c r="C74" s="235" t="str">
        <f>IFERROR(__xludf.DUMMYFUNCTION("ARRAYFORMULA(LET( converted, SUBSTITUTE( SUBSTITUTE( SUBSTITUTE( SUBSTITUTE( SUBSTITUTE( SUBSTITUTE( SUBSTITUTE( SUBSTITUTE( SUBSTITUTE( SUBSTITUTE( B74, ""۰"", ""0""), ""۱"", ""1""), ""۲"", ""2""), ""۳"", ""3""), ""۴"", ""4""), ""۵"", ""5""), ""۶"", ""6"&amp;"""), ""۷"", ""7""), ""۸"", ""8""), ""۹"", ""9""), IF(LEFT(converted,3)=""+98"", ""0"" &amp; RIGHT(converted, LEN(converted)-3), IF(LEFT(converted,2)=""98"", ""0"" &amp; RIGHT(converted, LEN(converted)-2), IF(LEFT(converted,1)&lt;&gt;""0"", ""0"" &amp; converted, REGEXREPLA"&amp;"CE(converted , ""\s"", """")) ) ) ) )"),"09121328677")</f>
        <v>09121328677</v>
      </c>
      <c r="D74" s="235" t="str">
        <f>VLOOKUP(C74, 'تجربه‌گرها'!D74:H1841, 4, False)</f>
        <v/>
      </c>
      <c r="E74" s="24"/>
      <c r="F74" s="235" t="str">
        <f t="shared" si="1"/>
        <v/>
      </c>
    </row>
    <row r="75">
      <c r="A75" s="234"/>
      <c r="B75" s="234">
        <v>9.102107081E9</v>
      </c>
      <c r="C75" s="235" t="str">
        <f>IFERROR(__xludf.DUMMYFUNCTION("ARRAYFORMULA(LET( converted, SUBSTITUTE( SUBSTITUTE( SUBSTITUTE( SUBSTITUTE( SUBSTITUTE( SUBSTITUTE( SUBSTITUTE( SUBSTITUTE( SUBSTITUTE( SUBSTITUTE( B75, ""۰"", ""0""), ""۱"", ""1""), ""۲"", ""2""), ""۳"", ""3""), ""۴"", ""4""), ""۵"", ""5""), ""۶"", ""6"&amp;"""), ""۷"", ""7""), ""۸"", ""8""), ""۹"", ""9""), IF(LEFT(converted,3)=""+98"", ""0"" &amp; RIGHT(converted, LEN(converted)-3), IF(LEFT(converted,2)=""98"", ""0"" &amp; RIGHT(converted, LEN(converted)-2), IF(LEFT(converted,1)&lt;&gt;""0"", ""0"" &amp; converted, REGEXREPLA"&amp;"CE(converted , ""\s"", """")) ) ) ) )"),"09102107081")</f>
        <v>09102107081</v>
      </c>
      <c r="D75" s="235" t="str">
        <f>VLOOKUP(C75, 'تجربه‌گرها'!D75:H1842, 4, False)</f>
        <v/>
      </c>
      <c r="E75" s="24"/>
      <c r="F75" s="235" t="str">
        <f t="shared" si="1"/>
        <v/>
      </c>
    </row>
    <row r="76">
      <c r="A76" s="234"/>
      <c r="B76" s="234">
        <v>9.129330513E9</v>
      </c>
      <c r="C76" s="235" t="str">
        <f>IFERROR(__xludf.DUMMYFUNCTION("ARRAYFORMULA(LET( converted, SUBSTITUTE( SUBSTITUTE( SUBSTITUTE( SUBSTITUTE( SUBSTITUTE( SUBSTITUTE( SUBSTITUTE( SUBSTITUTE( SUBSTITUTE( SUBSTITUTE( B76, ""۰"", ""0""), ""۱"", ""1""), ""۲"", ""2""), ""۳"", ""3""), ""۴"", ""4""), ""۵"", ""5""), ""۶"", ""6"&amp;"""), ""۷"", ""7""), ""۸"", ""8""), ""۹"", ""9""), IF(LEFT(converted,3)=""+98"", ""0"" &amp; RIGHT(converted, LEN(converted)-3), IF(LEFT(converted,2)=""98"", ""0"" &amp; RIGHT(converted, LEN(converted)-2), IF(LEFT(converted,1)&lt;&gt;""0"", ""0"" &amp; converted, REGEXREPLA"&amp;"CE(converted , ""\s"", """")) ) ) ) )"),"09129330513")</f>
        <v>09129330513</v>
      </c>
      <c r="D76" s="235" t="str">
        <f>VLOOKUP(C76, 'تجربه‌گرها'!D76:H1843, 4, False)</f>
        <v/>
      </c>
      <c r="E76" s="24"/>
      <c r="F76" s="235" t="str">
        <f t="shared" si="1"/>
        <v/>
      </c>
    </row>
    <row r="77">
      <c r="A77" s="234"/>
      <c r="B77" s="234">
        <v>9.131170532E9</v>
      </c>
      <c r="C77" s="235" t="str">
        <f>IFERROR(__xludf.DUMMYFUNCTION("ARRAYFORMULA(LET( converted, SUBSTITUTE( SUBSTITUTE( SUBSTITUTE( SUBSTITUTE( SUBSTITUTE( SUBSTITUTE( SUBSTITUTE( SUBSTITUTE( SUBSTITUTE( SUBSTITUTE( B77, ""۰"", ""0""), ""۱"", ""1""), ""۲"", ""2""), ""۳"", ""3""), ""۴"", ""4""), ""۵"", ""5""), ""۶"", ""6"&amp;"""), ""۷"", ""7""), ""۸"", ""8""), ""۹"", ""9""), IF(LEFT(converted,3)=""+98"", ""0"" &amp; RIGHT(converted, LEN(converted)-3), IF(LEFT(converted,2)=""98"", ""0"" &amp; RIGHT(converted, LEN(converted)-2), IF(LEFT(converted,1)&lt;&gt;""0"", ""0"" &amp; converted, REGEXREPLA"&amp;"CE(converted , ""\s"", """")) ) ) ) )"),"09131170532")</f>
        <v>09131170532</v>
      </c>
      <c r="D77" s="235" t="str">
        <f>VLOOKUP(C77, 'تجربه‌گرها'!D77:H1844, 4, False)</f>
        <v/>
      </c>
      <c r="E77" s="24"/>
      <c r="F77" s="235" t="str">
        <f t="shared" si="1"/>
        <v/>
      </c>
    </row>
    <row r="78">
      <c r="A78" s="234"/>
      <c r="B78" s="234">
        <v>9.120681759E9</v>
      </c>
      <c r="C78" s="235" t="str">
        <f>IFERROR(__xludf.DUMMYFUNCTION("ARRAYFORMULA(LET( converted, SUBSTITUTE( SUBSTITUTE( SUBSTITUTE( SUBSTITUTE( SUBSTITUTE( SUBSTITUTE( SUBSTITUTE( SUBSTITUTE( SUBSTITUTE( SUBSTITUTE( B78, ""۰"", ""0""), ""۱"", ""1""), ""۲"", ""2""), ""۳"", ""3""), ""۴"", ""4""), ""۵"", ""5""), ""۶"", ""6"&amp;"""), ""۷"", ""7""), ""۸"", ""8""), ""۹"", ""9""), IF(LEFT(converted,3)=""+98"", ""0"" &amp; RIGHT(converted, LEN(converted)-3), IF(LEFT(converted,2)=""98"", ""0"" &amp; RIGHT(converted, LEN(converted)-2), IF(LEFT(converted,1)&lt;&gt;""0"", ""0"" &amp; converted, REGEXREPLA"&amp;"CE(converted , ""\s"", """")) ) ) ) )"),"09120681759")</f>
        <v>09120681759</v>
      </c>
      <c r="D78" s="235" t="str">
        <f>VLOOKUP(C78, 'تجربه‌گرها'!D78:H1845, 4, False)</f>
        <v/>
      </c>
      <c r="E78" s="24"/>
      <c r="F78" s="235" t="str">
        <f t="shared" si="1"/>
        <v/>
      </c>
    </row>
    <row r="79">
      <c r="A79" s="234"/>
      <c r="B79" s="234">
        <v>9.159356747E9</v>
      </c>
      <c r="C79" s="235" t="str">
        <f>IFERROR(__xludf.DUMMYFUNCTION("ARRAYFORMULA(LET( converted, SUBSTITUTE( SUBSTITUTE( SUBSTITUTE( SUBSTITUTE( SUBSTITUTE( SUBSTITUTE( SUBSTITUTE( SUBSTITUTE( SUBSTITUTE( SUBSTITUTE( B79, ""۰"", ""0""), ""۱"", ""1""), ""۲"", ""2""), ""۳"", ""3""), ""۴"", ""4""), ""۵"", ""5""), ""۶"", ""6"&amp;"""), ""۷"", ""7""), ""۸"", ""8""), ""۹"", ""9""), IF(LEFT(converted,3)=""+98"", ""0"" &amp; RIGHT(converted, LEN(converted)-3), IF(LEFT(converted,2)=""98"", ""0"" &amp; RIGHT(converted, LEN(converted)-2), IF(LEFT(converted,1)&lt;&gt;""0"", ""0"" &amp; converted, REGEXREPLA"&amp;"CE(converted , ""\s"", """")) ) ) ) )"),"09159356747")</f>
        <v>09159356747</v>
      </c>
      <c r="D79" s="235" t="str">
        <f>VLOOKUP(C79, 'تجربه‌گرها'!D79:H1846, 4, False)</f>
        <v>M</v>
      </c>
      <c r="E79" s="24"/>
      <c r="F79" s="235" t="str">
        <f t="shared" si="1"/>
        <v>M</v>
      </c>
    </row>
    <row r="80">
      <c r="A80" s="234"/>
      <c r="B80" s="234">
        <v>9.167057143E9</v>
      </c>
      <c r="C80" s="235" t="str">
        <f>IFERROR(__xludf.DUMMYFUNCTION("ARRAYFORMULA(LET( converted, SUBSTITUTE( SUBSTITUTE( SUBSTITUTE( SUBSTITUTE( SUBSTITUTE( SUBSTITUTE( SUBSTITUTE( SUBSTITUTE( SUBSTITUTE( SUBSTITUTE( B80, ""۰"", ""0""), ""۱"", ""1""), ""۲"", ""2""), ""۳"", ""3""), ""۴"", ""4""), ""۵"", ""5""), ""۶"", ""6"&amp;"""), ""۷"", ""7""), ""۸"", ""8""), ""۹"", ""9""), IF(LEFT(converted,3)=""+98"", ""0"" &amp; RIGHT(converted, LEN(converted)-3), IF(LEFT(converted,2)=""98"", ""0"" &amp; RIGHT(converted, LEN(converted)-2), IF(LEFT(converted,1)&lt;&gt;""0"", ""0"" &amp; converted, REGEXREPLA"&amp;"CE(converted , ""\s"", """")) ) ) ) )"),"09167057143")</f>
        <v>09167057143</v>
      </c>
      <c r="D80" s="235" t="str">
        <f>VLOOKUP(C80, 'تجربه‌گرها'!D80:H1847, 4, False)</f>
        <v>#N/A</v>
      </c>
      <c r="E80" s="24"/>
      <c r="F80" s="235" t="str">
        <f t="shared" si="1"/>
        <v>#N/A</v>
      </c>
    </row>
    <row r="81">
      <c r="A81" s="234"/>
      <c r="B81" s="234">
        <v>9.175153848E9</v>
      </c>
      <c r="C81" s="235" t="str">
        <f>IFERROR(__xludf.DUMMYFUNCTION("ARRAYFORMULA(LET( converted, SUBSTITUTE( SUBSTITUTE( SUBSTITUTE( SUBSTITUTE( SUBSTITUTE( SUBSTITUTE( SUBSTITUTE( SUBSTITUTE( SUBSTITUTE( SUBSTITUTE( B81, ""۰"", ""0""), ""۱"", ""1""), ""۲"", ""2""), ""۳"", ""3""), ""۴"", ""4""), ""۵"", ""5""), ""۶"", ""6"&amp;"""), ""۷"", ""7""), ""۸"", ""8""), ""۹"", ""9""), IF(LEFT(converted,3)=""+98"", ""0"" &amp; RIGHT(converted, LEN(converted)-3), IF(LEFT(converted,2)=""98"", ""0"" &amp; RIGHT(converted, LEN(converted)-2), IF(LEFT(converted,1)&lt;&gt;""0"", ""0"" &amp; converted, REGEXREPLA"&amp;"CE(converted , ""\s"", """")) ) ) ) )"),"09175153848")</f>
        <v>09175153848</v>
      </c>
      <c r="D81" s="235" t="str">
        <f>VLOOKUP(C81, 'تجربه‌گرها'!D81:H1848, 4, False)</f>
        <v>#N/A</v>
      </c>
      <c r="E81" s="24"/>
      <c r="F81" s="235" t="str">
        <f t="shared" si="1"/>
        <v>#N/A</v>
      </c>
    </row>
    <row r="82">
      <c r="A82" s="234"/>
      <c r="B82" s="234">
        <v>9.032853112E9</v>
      </c>
      <c r="C82" s="235" t="str">
        <f>IFERROR(__xludf.DUMMYFUNCTION("ARRAYFORMULA(LET( converted, SUBSTITUTE( SUBSTITUTE( SUBSTITUTE( SUBSTITUTE( SUBSTITUTE( SUBSTITUTE( SUBSTITUTE( SUBSTITUTE( SUBSTITUTE( SUBSTITUTE( B82, ""۰"", ""0""), ""۱"", ""1""), ""۲"", ""2""), ""۳"", ""3""), ""۴"", ""4""), ""۵"", ""5""), ""۶"", ""6"&amp;"""), ""۷"", ""7""), ""۸"", ""8""), ""۹"", ""9""), IF(LEFT(converted,3)=""+98"", ""0"" &amp; RIGHT(converted, LEN(converted)-3), IF(LEFT(converted,2)=""98"", ""0"" &amp; RIGHT(converted, LEN(converted)-2), IF(LEFT(converted,1)&lt;&gt;""0"", ""0"" &amp; converted, REGEXREPLA"&amp;"CE(converted , ""\s"", """")) ) ) ) )"),"09032853112")</f>
        <v>09032853112</v>
      </c>
      <c r="D82" s="235" t="str">
        <f>VLOOKUP(C82, 'تجربه‌گرها'!D82:H1849, 4, False)</f>
        <v>#N/A</v>
      </c>
      <c r="E82" s="24"/>
      <c r="F82" s="235" t="str">
        <f t="shared" si="1"/>
        <v>#N/A</v>
      </c>
    </row>
    <row r="83">
      <c r="A83" s="234"/>
      <c r="B83" s="234">
        <v>9.160812159E9</v>
      </c>
      <c r="C83" s="235" t="str">
        <f>IFERROR(__xludf.DUMMYFUNCTION("ARRAYFORMULA(LET( converted, SUBSTITUTE( SUBSTITUTE( SUBSTITUTE( SUBSTITUTE( SUBSTITUTE( SUBSTITUTE( SUBSTITUTE( SUBSTITUTE( SUBSTITUTE( SUBSTITUTE( B83, ""۰"", ""0""), ""۱"", ""1""), ""۲"", ""2""), ""۳"", ""3""), ""۴"", ""4""), ""۵"", ""5""), ""۶"", ""6"&amp;"""), ""۷"", ""7""), ""۸"", ""8""), ""۹"", ""9""), IF(LEFT(converted,3)=""+98"", ""0"" &amp; RIGHT(converted, LEN(converted)-3), IF(LEFT(converted,2)=""98"", ""0"" &amp; RIGHT(converted, LEN(converted)-2), IF(LEFT(converted,1)&lt;&gt;""0"", ""0"" &amp; converted, REGEXREPLA"&amp;"CE(converted , ""\s"", """")) ) ) ) )"),"09160812159")</f>
        <v>09160812159</v>
      </c>
      <c r="D83" s="235" t="str">
        <f>VLOOKUP(C83, 'تجربه‌گرها'!D83:H1850, 4, False)</f>
        <v>#N/A</v>
      </c>
      <c r="E83" s="24"/>
      <c r="F83" s="235" t="str">
        <f t="shared" si="1"/>
        <v>#N/A</v>
      </c>
    </row>
    <row r="84">
      <c r="A84" s="234"/>
      <c r="B84" s="234">
        <v>9.032921264E9</v>
      </c>
      <c r="C84" s="235" t="str">
        <f>IFERROR(__xludf.DUMMYFUNCTION("ARRAYFORMULA(LET( converted, SUBSTITUTE( SUBSTITUTE( SUBSTITUTE( SUBSTITUTE( SUBSTITUTE( SUBSTITUTE( SUBSTITUTE( SUBSTITUTE( SUBSTITUTE( SUBSTITUTE( B84, ""۰"", ""0""), ""۱"", ""1""), ""۲"", ""2""), ""۳"", ""3""), ""۴"", ""4""), ""۵"", ""5""), ""۶"", ""6"&amp;"""), ""۷"", ""7""), ""۸"", ""8""), ""۹"", ""9""), IF(LEFT(converted,3)=""+98"", ""0"" &amp; RIGHT(converted, LEN(converted)-3), IF(LEFT(converted,2)=""98"", ""0"" &amp; RIGHT(converted, LEN(converted)-2), IF(LEFT(converted,1)&lt;&gt;""0"", ""0"" &amp; converted, REGEXREPLA"&amp;"CE(converted , ""\s"", """")) ) ) ) )"),"09032921264")</f>
        <v>09032921264</v>
      </c>
      <c r="D84" s="235" t="str">
        <f>VLOOKUP(C84, 'تجربه‌گرها'!D84:H1851, 4, False)</f>
        <v>#N/A</v>
      </c>
      <c r="E84" s="24"/>
      <c r="F84" s="235" t="str">
        <f t="shared" si="1"/>
        <v>#N/A</v>
      </c>
    </row>
    <row r="85">
      <c r="A85" s="234"/>
      <c r="B85" s="234">
        <v>9.165600565E9</v>
      </c>
      <c r="C85" s="235" t="str">
        <f>IFERROR(__xludf.DUMMYFUNCTION("ARRAYFORMULA(LET( converted, SUBSTITUTE( SUBSTITUTE( SUBSTITUTE( SUBSTITUTE( SUBSTITUTE( SUBSTITUTE( SUBSTITUTE( SUBSTITUTE( SUBSTITUTE( SUBSTITUTE( B85, ""۰"", ""0""), ""۱"", ""1""), ""۲"", ""2""), ""۳"", ""3""), ""۴"", ""4""), ""۵"", ""5""), ""۶"", ""6"&amp;"""), ""۷"", ""7""), ""۸"", ""8""), ""۹"", ""9""), IF(LEFT(converted,3)=""+98"", ""0"" &amp; RIGHT(converted, LEN(converted)-3), IF(LEFT(converted,2)=""98"", ""0"" &amp; RIGHT(converted, LEN(converted)-2), IF(LEFT(converted,1)&lt;&gt;""0"", ""0"" &amp; converted, REGEXREPLA"&amp;"CE(converted , ""\s"", """")) ) ) ) )"),"09165600565")</f>
        <v>09165600565</v>
      </c>
      <c r="D85" s="235" t="str">
        <f>VLOOKUP(C85, 'تجربه‌گرها'!D85:H1852, 4, False)</f>
        <v>#N/A</v>
      </c>
      <c r="E85" s="24"/>
      <c r="F85" s="235" t="str">
        <f t="shared" si="1"/>
        <v>#N/A</v>
      </c>
    </row>
    <row r="86">
      <c r="A86" s="234"/>
      <c r="B86" s="234">
        <v>9.034879984E9</v>
      </c>
      <c r="C86" s="235" t="str">
        <f>IFERROR(__xludf.DUMMYFUNCTION("ARRAYFORMULA(LET( converted, SUBSTITUTE( SUBSTITUTE( SUBSTITUTE( SUBSTITUTE( SUBSTITUTE( SUBSTITUTE( SUBSTITUTE( SUBSTITUTE( SUBSTITUTE( SUBSTITUTE( B86, ""۰"", ""0""), ""۱"", ""1""), ""۲"", ""2""), ""۳"", ""3""), ""۴"", ""4""), ""۵"", ""5""), ""۶"", ""6"&amp;"""), ""۷"", ""7""), ""۸"", ""8""), ""۹"", ""9""), IF(LEFT(converted,3)=""+98"", ""0"" &amp; RIGHT(converted, LEN(converted)-3), IF(LEFT(converted,2)=""98"", ""0"" &amp; RIGHT(converted, LEN(converted)-2), IF(LEFT(converted,1)&lt;&gt;""0"", ""0"" &amp; converted, REGEXREPLA"&amp;"CE(converted , ""\s"", """")) ) ) ) )"),"09034879984")</f>
        <v>09034879984</v>
      </c>
      <c r="D86" s="235" t="str">
        <f>VLOOKUP(C86, 'تجربه‌گرها'!D86:H1853, 4, False)</f>
        <v>#N/A</v>
      </c>
      <c r="E86" s="24"/>
      <c r="F86" s="235" t="str">
        <f t="shared" si="1"/>
        <v>#N/A</v>
      </c>
    </row>
    <row r="87">
      <c r="A87" s="234"/>
      <c r="B87" s="234">
        <v>9.039201739E9</v>
      </c>
      <c r="C87" s="235" t="str">
        <f>IFERROR(__xludf.DUMMYFUNCTION("ARRAYFORMULA(LET( converted, SUBSTITUTE( SUBSTITUTE( SUBSTITUTE( SUBSTITUTE( SUBSTITUTE( SUBSTITUTE( SUBSTITUTE( SUBSTITUTE( SUBSTITUTE( SUBSTITUTE( B87, ""۰"", ""0""), ""۱"", ""1""), ""۲"", ""2""), ""۳"", ""3""), ""۴"", ""4""), ""۵"", ""5""), ""۶"", ""6"&amp;"""), ""۷"", ""7""), ""۸"", ""8""), ""۹"", ""9""), IF(LEFT(converted,3)=""+98"", ""0"" &amp; RIGHT(converted, LEN(converted)-3), IF(LEFT(converted,2)=""98"", ""0"" &amp; RIGHT(converted, LEN(converted)-2), IF(LEFT(converted,1)&lt;&gt;""0"", ""0"" &amp; converted, REGEXREPLA"&amp;"CE(converted , ""\s"", """")) ) ) ) )"),"09039201739")</f>
        <v>09039201739</v>
      </c>
      <c r="D87" s="235" t="str">
        <f>VLOOKUP(C87, 'تجربه‌گرها'!D87:H1854, 4, False)</f>
        <v>#N/A</v>
      </c>
      <c r="E87" s="24"/>
      <c r="F87" s="235" t="str">
        <f t="shared" si="1"/>
        <v>#N/A</v>
      </c>
    </row>
    <row r="88">
      <c r="A88" s="234"/>
      <c r="B88" s="234">
        <v>9.124017409E9</v>
      </c>
      <c r="C88" s="235" t="str">
        <f>IFERROR(__xludf.DUMMYFUNCTION("ARRAYFORMULA(LET( converted, SUBSTITUTE( SUBSTITUTE( SUBSTITUTE( SUBSTITUTE( SUBSTITUTE( SUBSTITUTE( SUBSTITUTE( SUBSTITUTE( SUBSTITUTE( SUBSTITUTE( B88, ""۰"", ""0""), ""۱"", ""1""), ""۲"", ""2""), ""۳"", ""3""), ""۴"", ""4""), ""۵"", ""5""), ""۶"", ""6"&amp;"""), ""۷"", ""7""), ""۸"", ""8""), ""۹"", ""9""), IF(LEFT(converted,3)=""+98"", ""0"" &amp; RIGHT(converted, LEN(converted)-3), IF(LEFT(converted,2)=""98"", ""0"" &amp; RIGHT(converted, LEN(converted)-2), IF(LEFT(converted,1)&lt;&gt;""0"", ""0"" &amp; converted, REGEXREPLA"&amp;"CE(converted , ""\s"", """")) ) ) ) )"),"09124017409")</f>
        <v>09124017409</v>
      </c>
      <c r="D88" s="235" t="str">
        <f>VLOOKUP(C88, 'تجربه‌گرها'!D88:H1855, 4, False)</f>
        <v/>
      </c>
      <c r="E88" s="234" t="s">
        <v>6675</v>
      </c>
      <c r="F88" s="235" t="str">
        <f t="shared" si="1"/>
        <v>naaliakbarzadeh@gmail.com</v>
      </c>
    </row>
    <row r="89">
      <c r="A89" s="234"/>
      <c r="B89" s="234">
        <v>9.19506129E9</v>
      </c>
      <c r="C89" s="235" t="str">
        <f>IFERROR(__xludf.DUMMYFUNCTION("ARRAYFORMULA(LET( converted, SUBSTITUTE( SUBSTITUTE( SUBSTITUTE( SUBSTITUTE( SUBSTITUTE( SUBSTITUTE( SUBSTITUTE( SUBSTITUTE( SUBSTITUTE( SUBSTITUTE( B89, ""۰"", ""0""), ""۱"", ""1""), ""۲"", ""2""), ""۳"", ""3""), ""۴"", ""4""), ""۵"", ""5""), ""۶"", ""6"&amp;"""), ""۷"", ""7""), ""۸"", ""8""), ""۹"", ""9""), IF(LEFT(converted,3)=""+98"", ""0"" &amp; RIGHT(converted, LEN(converted)-3), IF(LEFT(converted,2)=""98"", ""0"" &amp; RIGHT(converted, LEN(converted)-2), IF(LEFT(converted,1)&lt;&gt;""0"", ""0"" &amp; converted, REGEXREPLA"&amp;"CE(converted , ""\s"", """")) ) ) ) )"),"09195061290")</f>
        <v>09195061290</v>
      </c>
      <c r="D89" s="235" t="str">
        <f>VLOOKUP(C89, 'تجربه‌گرها'!D89:H1856, 4, False)</f>
        <v>F</v>
      </c>
      <c r="E89" s="234" t="s">
        <v>7257</v>
      </c>
      <c r="F89" s="235" t="str">
        <f t="shared" si="1"/>
        <v>Frznefirooz4@gmail.com</v>
      </c>
    </row>
    <row r="90">
      <c r="A90" s="234"/>
      <c r="B90" s="234">
        <v>9.132865814E9</v>
      </c>
      <c r="C90" s="235" t="str">
        <f>IFERROR(__xludf.DUMMYFUNCTION("ARRAYFORMULA(LET( converted, SUBSTITUTE( SUBSTITUTE( SUBSTITUTE( SUBSTITUTE( SUBSTITUTE( SUBSTITUTE( SUBSTITUTE( SUBSTITUTE( SUBSTITUTE( SUBSTITUTE( B90, ""۰"", ""0""), ""۱"", ""1""), ""۲"", ""2""), ""۳"", ""3""), ""۴"", ""4""), ""۵"", ""5""), ""۶"", ""6"&amp;"""), ""۷"", ""7""), ""۸"", ""8""), ""۹"", ""9""), IF(LEFT(converted,3)=""+98"", ""0"" &amp; RIGHT(converted, LEN(converted)-3), IF(LEFT(converted,2)=""98"", ""0"" &amp; RIGHT(converted, LEN(converted)-2), IF(LEFT(converted,1)&lt;&gt;""0"", ""0"" &amp; converted, REGEXREPLA"&amp;"CE(converted , ""\s"", """")) ) ) ) )"),"09132865814")</f>
        <v>09132865814</v>
      </c>
      <c r="D90" s="235" t="str">
        <f>VLOOKUP(C90, 'تجربه‌گرها'!D90:H1857, 4, False)</f>
        <v/>
      </c>
      <c r="E90" s="24"/>
      <c r="F90" s="235" t="str">
        <f t="shared" si="1"/>
        <v/>
      </c>
    </row>
    <row r="91">
      <c r="A91" s="234"/>
      <c r="B91" s="234" t="s">
        <v>7258</v>
      </c>
      <c r="C91" s="235" t="str">
        <f>IFERROR(__xludf.DUMMYFUNCTION("ARRAYFORMULA(LET( converted, SUBSTITUTE( SUBSTITUTE( SUBSTITUTE( SUBSTITUTE( SUBSTITUTE( SUBSTITUTE( SUBSTITUTE( SUBSTITUTE( SUBSTITUTE( SUBSTITUTE( B91, ""۰"", ""0""), ""۱"", ""1""), ""۲"", ""2""), ""۳"", ""3""), ""۴"", ""4""), ""۵"", ""5""), ""۶"", ""6"&amp;"""), ""۷"", ""7""), ""۸"", ""8""), ""۹"", ""9""), IF(LEFT(converted,3)=""+98"", ""0"" &amp; RIGHT(converted, LEN(converted)-3), IF(LEFT(converted,2)=""98"", ""0"" &amp; RIGHT(converted, LEN(converted)-2), IF(LEFT(converted,1)&lt;&gt;""0"", ""0"" &amp; converted, REGEXREPLA"&amp;"CE(converted , ""\s"", """")) ) ) ) )"),"09150725361 / 9395472004")</f>
        <v>09150725361 / 9395472004</v>
      </c>
      <c r="D91" s="235" t="str">
        <f>VLOOKUP(C91, 'تجربه‌گرها'!D91:H1858, 4, False)</f>
        <v>#N/A</v>
      </c>
      <c r="E91" s="24"/>
      <c r="F91" s="235" t="str">
        <f t="shared" si="1"/>
        <v>#N/A</v>
      </c>
    </row>
    <row r="92">
      <c r="A92" s="234"/>
      <c r="B92" s="234">
        <v>9.211853418E9</v>
      </c>
      <c r="C92" s="235" t="str">
        <f>IFERROR(__xludf.DUMMYFUNCTION("ARRAYFORMULA(LET( converted, SUBSTITUTE( SUBSTITUTE( SUBSTITUTE( SUBSTITUTE( SUBSTITUTE( SUBSTITUTE( SUBSTITUTE( SUBSTITUTE( SUBSTITUTE( SUBSTITUTE( B92, ""۰"", ""0""), ""۱"", ""1""), ""۲"", ""2""), ""۳"", ""3""), ""۴"", ""4""), ""۵"", ""5""), ""۶"", ""6"&amp;"""), ""۷"", ""7""), ""۸"", ""8""), ""۹"", ""9""), IF(LEFT(converted,3)=""+98"", ""0"" &amp; RIGHT(converted, LEN(converted)-3), IF(LEFT(converted,2)=""98"", ""0"" &amp; RIGHT(converted, LEN(converted)-2), IF(LEFT(converted,1)&lt;&gt;""0"", ""0"" &amp; converted, REGEXREPLA"&amp;"CE(converted , ""\s"", """")) ) ) ) )"),"09211853418")</f>
        <v>09211853418</v>
      </c>
      <c r="D92" s="235" t="str">
        <f>VLOOKUP(C92, 'تجربه‌گرها'!D92:H1859, 4, False)</f>
        <v/>
      </c>
      <c r="E92" s="234" t="s">
        <v>6385</v>
      </c>
      <c r="F92" s="235" t="str">
        <f t="shared" si="1"/>
        <v>maminsedghi@gmail.com</v>
      </c>
    </row>
    <row r="93">
      <c r="A93" s="234"/>
      <c r="B93" s="234">
        <v>9.12968118E9</v>
      </c>
      <c r="C93" s="235" t="str">
        <f>IFERROR(__xludf.DUMMYFUNCTION("ARRAYFORMULA(LET( converted, SUBSTITUTE( SUBSTITUTE( SUBSTITUTE( SUBSTITUTE( SUBSTITUTE( SUBSTITUTE( SUBSTITUTE( SUBSTITUTE( SUBSTITUTE( SUBSTITUTE( B93, ""۰"", ""0""), ""۱"", ""1""), ""۲"", ""2""), ""۳"", ""3""), ""۴"", ""4""), ""۵"", ""5""), ""۶"", ""6"&amp;"""), ""۷"", ""7""), ""۸"", ""8""), ""۹"", ""9""), IF(LEFT(converted,3)=""+98"", ""0"" &amp; RIGHT(converted, LEN(converted)-3), IF(LEFT(converted,2)=""98"", ""0"" &amp; RIGHT(converted, LEN(converted)-2), IF(LEFT(converted,1)&lt;&gt;""0"", ""0"" &amp; converted, REGEXREPLA"&amp;"CE(converted , ""\s"", """")) ) ) ) )"),"09129681180")</f>
        <v>09129681180</v>
      </c>
      <c r="D93" s="235" t="str">
        <f>VLOOKUP(C93, 'تجربه‌گرها'!D93:H1860, 4, False)</f>
        <v/>
      </c>
      <c r="E93" s="234" t="s">
        <v>7259</v>
      </c>
      <c r="F93" s="235" t="str">
        <f t="shared" si="1"/>
        <v>Amirmohammadrostamics@gmail.com</v>
      </c>
    </row>
    <row r="94">
      <c r="A94" s="234"/>
      <c r="B94" s="234">
        <v>9.334524747E9</v>
      </c>
      <c r="C94" s="235" t="str">
        <f>IFERROR(__xludf.DUMMYFUNCTION("ARRAYFORMULA(LET( converted, SUBSTITUTE( SUBSTITUTE( SUBSTITUTE( SUBSTITUTE( SUBSTITUTE( SUBSTITUTE( SUBSTITUTE( SUBSTITUTE( SUBSTITUTE( SUBSTITUTE( B94, ""۰"", ""0""), ""۱"", ""1""), ""۲"", ""2""), ""۳"", ""3""), ""۴"", ""4""), ""۵"", ""5""), ""۶"", ""6"&amp;"""), ""۷"", ""7""), ""۸"", ""8""), ""۹"", ""9""), IF(LEFT(converted,3)=""+98"", ""0"" &amp; RIGHT(converted, LEN(converted)-3), IF(LEFT(converted,2)=""98"", ""0"" &amp; RIGHT(converted, LEN(converted)-2), IF(LEFT(converted,1)&lt;&gt;""0"", ""0"" &amp; converted, REGEXREPLA"&amp;"CE(converted , ""\s"", """")) ) ) ) )"),"09334524747")</f>
        <v>09334524747</v>
      </c>
      <c r="D94" s="235" t="str">
        <f>VLOOKUP(C94, 'تجربه‌گرها'!D94:H1861, 4, False)</f>
        <v>#N/A</v>
      </c>
      <c r="E94" s="234" t="s">
        <v>6089</v>
      </c>
      <c r="F94" s="235" t="str">
        <f t="shared" si="1"/>
        <v>babazadeh.arb@gmail.com</v>
      </c>
    </row>
    <row r="95">
      <c r="A95" s="234"/>
      <c r="B95" s="234">
        <v>9.392532753E9</v>
      </c>
      <c r="C95" s="235" t="str">
        <f>IFERROR(__xludf.DUMMYFUNCTION("ARRAYFORMULA(LET( converted, SUBSTITUTE( SUBSTITUTE( SUBSTITUTE( SUBSTITUTE( SUBSTITUTE( SUBSTITUTE( SUBSTITUTE( SUBSTITUTE( SUBSTITUTE( SUBSTITUTE( B95, ""۰"", ""0""), ""۱"", ""1""), ""۲"", ""2""), ""۳"", ""3""), ""۴"", ""4""), ""۵"", ""5""), ""۶"", ""6"&amp;"""), ""۷"", ""7""), ""۸"", ""8""), ""۹"", ""9""), IF(LEFT(converted,3)=""+98"", ""0"" &amp; RIGHT(converted, LEN(converted)-3), IF(LEFT(converted,2)=""98"", ""0"" &amp; RIGHT(converted, LEN(converted)-2), IF(LEFT(converted,1)&lt;&gt;""0"", ""0"" &amp; converted, REGEXREPLA"&amp;"CE(converted , ""\s"", """")) ) ) ) )"),"09392532753")</f>
        <v>09392532753</v>
      </c>
      <c r="D95" s="235" t="str">
        <f>VLOOKUP(C95, 'تجربه‌گرها'!D95:H1862, 4, False)</f>
        <v>F</v>
      </c>
      <c r="E95" s="234" t="s">
        <v>7260</v>
      </c>
      <c r="F95" s="235" t="str">
        <f t="shared" si="1"/>
        <v>Parisapmoslemi@gmail.com</v>
      </c>
    </row>
    <row r="96">
      <c r="A96" s="234"/>
      <c r="B96" s="234">
        <v>9.392532753E9</v>
      </c>
      <c r="C96" s="235" t="str">
        <f>IFERROR(__xludf.DUMMYFUNCTION("ARRAYFORMULA(LET( converted, SUBSTITUTE( SUBSTITUTE( SUBSTITUTE( SUBSTITUTE( SUBSTITUTE( SUBSTITUTE( SUBSTITUTE( SUBSTITUTE( SUBSTITUTE( SUBSTITUTE( B96, ""۰"", ""0""), ""۱"", ""1""), ""۲"", ""2""), ""۳"", ""3""), ""۴"", ""4""), ""۵"", ""5""), ""۶"", ""6"&amp;"""), ""۷"", ""7""), ""۸"", ""8""), ""۹"", ""9""), IF(LEFT(converted,3)=""+98"", ""0"" &amp; RIGHT(converted, LEN(converted)-3), IF(LEFT(converted,2)=""98"", ""0"" &amp; RIGHT(converted, LEN(converted)-2), IF(LEFT(converted,1)&lt;&gt;""0"", ""0"" &amp; converted, REGEXREPLA"&amp;"CE(converted , ""\s"", """")) ) ) ) )"),"09392532753")</f>
        <v>09392532753</v>
      </c>
      <c r="D96" s="235" t="str">
        <f>VLOOKUP(C96, 'تجربه‌گرها'!D96:H1863, 4, False)</f>
        <v>F</v>
      </c>
      <c r="E96" s="24"/>
      <c r="F96" s="235" t="str">
        <f t="shared" si="1"/>
        <v>F</v>
      </c>
    </row>
    <row r="97">
      <c r="A97" s="234"/>
      <c r="B97" s="234">
        <v>9.380995038E9</v>
      </c>
      <c r="C97" s="235" t="str">
        <f>IFERROR(__xludf.DUMMYFUNCTION("ARRAYFORMULA(LET( converted, SUBSTITUTE( SUBSTITUTE( SUBSTITUTE( SUBSTITUTE( SUBSTITUTE( SUBSTITUTE( SUBSTITUTE( SUBSTITUTE( SUBSTITUTE( SUBSTITUTE( B97, ""۰"", ""0""), ""۱"", ""1""), ""۲"", ""2""), ""۳"", ""3""), ""۴"", ""4""), ""۵"", ""5""), ""۶"", ""6"&amp;"""), ""۷"", ""7""), ""۸"", ""8""), ""۹"", ""9""), IF(LEFT(converted,3)=""+98"", ""0"" &amp; RIGHT(converted, LEN(converted)-3), IF(LEFT(converted,2)=""98"", ""0"" &amp; RIGHT(converted, LEN(converted)-2), IF(LEFT(converted,1)&lt;&gt;""0"", ""0"" &amp; converted, REGEXREPLA"&amp;"CE(converted , ""\s"", """")) ) ) ) )"),"09380995038")</f>
        <v>09380995038</v>
      </c>
      <c r="D97" s="235" t="str">
        <f>VLOOKUP(C97, 'تجربه‌گرها'!D97:H1864, 4, False)</f>
        <v>#N/A</v>
      </c>
      <c r="E97" s="234" t="s">
        <v>7261</v>
      </c>
      <c r="F97" s="235" t="str">
        <f t="shared" si="1"/>
        <v>kazemtash.a@gmail.com</v>
      </c>
    </row>
    <row r="98">
      <c r="A98" s="234"/>
      <c r="B98" s="234">
        <v>9.362441673E9</v>
      </c>
      <c r="C98" s="235" t="str">
        <f>IFERROR(__xludf.DUMMYFUNCTION("ARRAYFORMULA(LET( converted, SUBSTITUTE( SUBSTITUTE( SUBSTITUTE( SUBSTITUTE( SUBSTITUTE( SUBSTITUTE( SUBSTITUTE( SUBSTITUTE( SUBSTITUTE( SUBSTITUTE( B98, ""۰"", ""0""), ""۱"", ""1""), ""۲"", ""2""), ""۳"", ""3""), ""۴"", ""4""), ""۵"", ""5""), ""۶"", ""6"&amp;"""), ""۷"", ""7""), ""۸"", ""8""), ""۹"", ""9""), IF(LEFT(converted,3)=""+98"", ""0"" &amp; RIGHT(converted, LEN(converted)-3), IF(LEFT(converted,2)=""98"", ""0"" &amp; RIGHT(converted, LEN(converted)-2), IF(LEFT(converted,1)&lt;&gt;""0"", ""0"" &amp; converted, REGEXREPLA"&amp;"CE(converted , ""\s"", """")) ) ) ) )"),"09362441673")</f>
        <v>09362441673</v>
      </c>
      <c r="D98" s="235" t="str">
        <f>VLOOKUP(C98, 'تجربه‌گرها'!D98:H1865, 4, False)</f>
        <v>M</v>
      </c>
      <c r="E98" s="234" t="s">
        <v>6341</v>
      </c>
      <c r="F98" s="235" t="str">
        <f t="shared" si="1"/>
        <v>alizadehmoloud@gmail.com</v>
      </c>
    </row>
    <row r="99">
      <c r="A99" s="234"/>
      <c r="B99" s="234">
        <v>9.304222144E9</v>
      </c>
      <c r="C99" s="235" t="str">
        <f>IFERROR(__xludf.DUMMYFUNCTION("ARRAYFORMULA(LET( converted, SUBSTITUTE( SUBSTITUTE( SUBSTITUTE( SUBSTITUTE( SUBSTITUTE( SUBSTITUTE( SUBSTITUTE( SUBSTITUTE( SUBSTITUTE( SUBSTITUTE( B99, ""۰"", ""0""), ""۱"", ""1""), ""۲"", ""2""), ""۳"", ""3""), ""۴"", ""4""), ""۵"", ""5""), ""۶"", ""6"&amp;"""), ""۷"", ""7""), ""۸"", ""8""), ""۹"", ""9""), IF(LEFT(converted,3)=""+98"", ""0"" &amp; RIGHT(converted, LEN(converted)-3), IF(LEFT(converted,2)=""98"", ""0"" &amp; RIGHT(converted, LEN(converted)-2), IF(LEFT(converted,1)&lt;&gt;""0"", ""0"" &amp; converted, REGEXREPLA"&amp;"CE(converted , ""\s"", """")) ) ) ) )"),"09304222144")</f>
        <v>09304222144</v>
      </c>
      <c r="D99" s="235" t="str">
        <f>VLOOKUP(C99, 'تجربه‌گرها'!D99:H1866, 4, False)</f>
        <v/>
      </c>
      <c r="E99" s="234" t="s">
        <v>7262</v>
      </c>
      <c r="F99" s="235" t="str">
        <f t="shared" si="1"/>
        <v>mohsen.hasannia93@gmail.com</v>
      </c>
    </row>
    <row r="100">
      <c r="A100" s="234"/>
      <c r="B100" s="234">
        <v>9.194423062E9</v>
      </c>
      <c r="C100" s="235" t="str">
        <f>IFERROR(__xludf.DUMMYFUNCTION("ARRAYFORMULA(LET( converted, SUBSTITUTE( SUBSTITUTE( SUBSTITUTE( SUBSTITUTE( SUBSTITUTE( SUBSTITUTE( SUBSTITUTE( SUBSTITUTE( SUBSTITUTE( SUBSTITUTE( B100, ""۰"", ""0""), ""۱"", ""1""), ""۲"", ""2""), ""۳"", ""3""), ""۴"", ""4""), ""۵"", ""5""), ""۶"", ""6"&amp;"""), ""۷"", ""7""), ""۸"", ""8""), ""۹"", ""9""), IF(LEFT(converted,3)=""+98"", ""0"" &amp; RIGHT(converted, LEN(converted)-3), IF(LEFT(converted,2)=""98"", ""0"" &amp; RIGHT(converted, LEN(converted)-2), IF(LEFT(converted,1)&lt;&gt;""0"", ""0"" &amp; converted, REGEXREPLA"&amp;"CE(converted , ""\s"", """")) ) ) ) )"),"09194423062")</f>
        <v>09194423062</v>
      </c>
      <c r="D100" s="235" t="str">
        <f>VLOOKUP(C100, 'تجربه‌گرها'!D100:H1867, 4, False)</f>
        <v>F</v>
      </c>
      <c r="E100" s="234" t="s">
        <v>6082</v>
      </c>
      <c r="F100" s="235" t="str">
        <f t="shared" si="1"/>
        <v>mah.yzdni@gmail.com</v>
      </c>
    </row>
    <row r="101">
      <c r="A101" s="234"/>
      <c r="B101" s="234">
        <v>9.902767088E9</v>
      </c>
      <c r="C101" s="235" t="str">
        <f>IFERROR(__xludf.DUMMYFUNCTION("ARRAYFORMULA(LET( converted, SUBSTITUTE( SUBSTITUTE( SUBSTITUTE( SUBSTITUTE( SUBSTITUTE( SUBSTITUTE( SUBSTITUTE( SUBSTITUTE( SUBSTITUTE( SUBSTITUTE( B101, ""۰"", ""0""), ""۱"", ""1""), ""۲"", ""2""), ""۳"", ""3""), ""۴"", ""4""), ""۵"", ""5""), ""۶"", ""6"&amp;"""), ""۷"", ""7""), ""۸"", ""8""), ""۹"", ""9""), IF(LEFT(converted,3)=""+98"", ""0"" &amp; RIGHT(converted, LEN(converted)-3), IF(LEFT(converted,2)=""98"", ""0"" &amp; RIGHT(converted, LEN(converted)-2), IF(LEFT(converted,1)&lt;&gt;""0"", ""0"" &amp; converted, REGEXREPLA"&amp;"CE(converted , ""\s"", """")) ) ) ) )"),"09902767088")</f>
        <v>09902767088</v>
      </c>
      <c r="D101" s="235" t="str">
        <f>VLOOKUP(C101, 'تجربه‌گرها'!D101:H1868, 4, False)</f>
        <v>M</v>
      </c>
      <c r="E101" s="24"/>
      <c r="F101" s="235" t="str">
        <f t="shared" si="1"/>
        <v>M</v>
      </c>
    </row>
    <row r="102">
      <c r="A102" s="234"/>
      <c r="B102" s="234">
        <v>9.12497391E9</v>
      </c>
      <c r="C102" s="235" t="str">
        <f>IFERROR(__xludf.DUMMYFUNCTION("ARRAYFORMULA(LET( converted, SUBSTITUTE( SUBSTITUTE( SUBSTITUTE( SUBSTITUTE( SUBSTITUTE( SUBSTITUTE( SUBSTITUTE( SUBSTITUTE( SUBSTITUTE( SUBSTITUTE( B102, ""۰"", ""0""), ""۱"", ""1""), ""۲"", ""2""), ""۳"", ""3""), ""۴"", ""4""), ""۵"", ""5""), ""۶"", ""6"&amp;"""), ""۷"", ""7""), ""۸"", ""8""), ""۹"", ""9""), IF(LEFT(converted,3)=""+98"", ""0"" &amp; RIGHT(converted, LEN(converted)-3), IF(LEFT(converted,2)=""98"", ""0"" &amp; RIGHT(converted, LEN(converted)-2), IF(LEFT(converted,1)&lt;&gt;""0"", ""0"" &amp; converted, REGEXREPLA"&amp;"CE(converted , ""\s"", """")) ) ) ) )"),"09124973910")</f>
        <v>09124973910</v>
      </c>
      <c r="D102" s="235" t="str">
        <f>VLOOKUP(C102, 'تجربه‌گرها'!D102:H1869, 4, False)</f>
        <v/>
      </c>
      <c r="E102" s="234" t="s">
        <v>7263</v>
      </c>
      <c r="F102" s="235" t="str">
        <f t="shared" si="1"/>
        <v>Mahdikeshavarz@gmail.com</v>
      </c>
    </row>
    <row r="103">
      <c r="A103" s="234"/>
      <c r="B103" s="234">
        <v>9.131118589E9</v>
      </c>
      <c r="C103" s="235" t="str">
        <f>IFERROR(__xludf.DUMMYFUNCTION("ARRAYFORMULA(LET( converted, SUBSTITUTE( SUBSTITUTE( SUBSTITUTE( SUBSTITUTE( SUBSTITUTE( SUBSTITUTE( SUBSTITUTE( SUBSTITUTE( SUBSTITUTE( SUBSTITUTE( B103, ""۰"", ""0""), ""۱"", ""1""), ""۲"", ""2""), ""۳"", ""3""), ""۴"", ""4""), ""۵"", ""5""), ""۶"", ""6"&amp;"""), ""۷"", ""7""), ""۸"", ""8""), ""۹"", ""9""), IF(LEFT(converted,3)=""+98"", ""0"" &amp; RIGHT(converted, LEN(converted)-3), IF(LEFT(converted,2)=""98"", ""0"" &amp; RIGHT(converted, LEN(converted)-2), IF(LEFT(converted,1)&lt;&gt;""0"", ""0"" &amp; converted, REGEXREPLA"&amp;"CE(converted , ""\s"", """")) ) ) ) )"),"09131118589")</f>
        <v>09131118589</v>
      </c>
      <c r="D103" s="235" t="str">
        <f>VLOOKUP(C103, 'تجربه‌گرها'!D103:H1870, 4, False)</f>
        <v/>
      </c>
      <c r="E103" s="234" t="s">
        <v>7264</v>
      </c>
      <c r="F103" s="235" t="str">
        <f t="shared" si="1"/>
        <v>Alijavadmoheb1@gmail.com</v>
      </c>
    </row>
    <row r="104">
      <c r="A104" s="234"/>
      <c r="B104" s="234">
        <v>9.122018155E9</v>
      </c>
      <c r="C104" s="235" t="str">
        <f>IFERROR(__xludf.DUMMYFUNCTION("ARRAYFORMULA(LET( converted, SUBSTITUTE( SUBSTITUTE( SUBSTITUTE( SUBSTITUTE( SUBSTITUTE( SUBSTITUTE( SUBSTITUTE( SUBSTITUTE( SUBSTITUTE( SUBSTITUTE( B104, ""۰"", ""0""), ""۱"", ""1""), ""۲"", ""2""), ""۳"", ""3""), ""۴"", ""4""), ""۵"", ""5""), ""۶"", ""6"&amp;"""), ""۷"", ""7""), ""۸"", ""8""), ""۹"", ""9""), IF(LEFT(converted,3)=""+98"", ""0"" &amp; RIGHT(converted, LEN(converted)-3), IF(LEFT(converted,2)=""98"", ""0"" &amp; RIGHT(converted, LEN(converted)-2), IF(LEFT(converted,1)&lt;&gt;""0"", ""0"" &amp; converted, REGEXREPLA"&amp;"CE(converted , ""\s"", """")) ) ) ) )"),"09122018155")</f>
        <v>09122018155</v>
      </c>
      <c r="D104" s="235" t="str">
        <f>VLOOKUP(C104, 'تجربه‌گرها'!D104:H1871, 4, False)</f>
        <v>M</v>
      </c>
      <c r="E104" s="234" t="s">
        <v>7265</v>
      </c>
      <c r="F104" s="235" t="str">
        <f t="shared" si="1"/>
        <v>Erfan.jabaripoor@gmail.com</v>
      </c>
    </row>
    <row r="105">
      <c r="A105" s="234"/>
      <c r="B105" s="234">
        <v>9.127559655E9</v>
      </c>
      <c r="C105" s="235" t="str">
        <f>IFERROR(__xludf.DUMMYFUNCTION("ARRAYFORMULA(LET( converted, SUBSTITUTE( SUBSTITUTE( SUBSTITUTE( SUBSTITUTE( SUBSTITUTE( SUBSTITUTE( SUBSTITUTE( SUBSTITUTE( SUBSTITUTE( SUBSTITUTE( B105, ""۰"", ""0""), ""۱"", ""1""), ""۲"", ""2""), ""۳"", ""3""), ""۴"", ""4""), ""۵"", ""5""), ""۶"", ""6"&amp;"""), ""۷"", ""7""), ""۸"", ""8""), ""۹"", ""9""), IF(LEFT(converted,3)=""+98"", ""0"" &amp; RIGHT(converted, LEN(converted)-3), IF(LEFT(converted,2)=""98"", ""0"" &amp; RIGHT(converted, LEN(converted)-2), IF(LEFT(converted,1)&lt;&gt;""0"", ""0"" &amp; converted, REGEXREPLA"&amp;"CE(converted , ""\s"", """")) ) ) ) )"),"09127559655")</f>
        <v>09127559655</v>
      </c>
      <c r="D105" s="235" t="str">
        <f>VLOOKUP(C105, 'تجربه‌گرها'!D105:H1872, 4, False)</f>
        <v/>
      </c>
      <c r="E105" s="234" t="s">
        <v>6536</v>
      </c>
      <c r="F105" s="235" t="str">
        <f t="shared" si="1"/>
        <v>h.shirmohammadi66@gmail.com</v>
      </c>
    </row>
    <row r="106">
      <c r="A106" s="234"/>
      <c r="B106" s="234">
        <v>9.122139316E9</v>
      </c>
      <c r="C106" s="235" t="str">
        <f>IFERROR(__xludf.DUMMYFUNCTION("ARRAYFORMULA(LET( converted, SUBSTITUTE( SUBSTITUTE( SUBSTITUTE( SUBSTITUTE( SUBSTITUTE( SUBSTITUTE( SUBSTITUTE( SUBSTITUTE( SUBSTITUTE( SUBSTITUTE( B106, ""۰"", ""0""), ""۱"", ""1""), ""۲"", ""2""), ""۳"", ""3""), ""۴"", ""4""), ""۵"", ""5""), ""۶"", ""6"&amp;"""), ""۷"", ""7""), ""۸"", ""8""), ""۹"", ""9""), IF(LEFT(converted,3)=""+98"", ""0"" &amp; RIGHT(converted, LEN(converted)-3), IF(LEFT(converted,2)=""98"", ""0"" &amp; RIGHT(converted, LEN(converted)-2), IF(LEFT(converted,1)&lt;&gt;""0"", ""0"" &amp; converted, REGEXREPLA"&amp;"CE(converted , ""\s"", """")) ) ) ) )"),"09122139316")</f>
        <v>09122139316</v>
      </c>
      <c r="D106" s="235" t="str">
        <f>VLOOKUP(C106, 'تجربه‌گرها'!D106:H1873, 4, False)</f>
        <v>M</v>
      </c>
      <c r="E106" s="234" t="s">
        <v>7266</v>
      </c>
      <c r="F106" s="235" t="str">
        <f t="shared" si="1"/>
        <v>Babak.ghobadi20@gmail.com</v>
      </c>
    </row>
    <row r="107">
      <c r="A107" s="234"/>
      <c r="B107" s="234" t="s">
        <v>7267</v>
      </c>
      <c r="C107" s="235" t="str">
        <f>IFERROR(__xludf.DUMMYFUNCTION("ARRAYFORMULA(LET( converted, SUBSTITUTE( SUBSTITUTE( SUBSTITUTE( SUBSTITUTE( SUBSTITUTE( SUBSTITUTE( SUBSTITUTE( SUBSTITUTE( SUBSTITUTE( SUBSTITUTE( B107, ""۰"", ""0""), ""۱"", ""1""), ""۲"", ""2""), ""۳"", ""3""), ""۴"", ""4""), ""۵"", ""5""), ""۶"", ""6"&amp;"""), ""۷"", ""7""), ""۸"", ""8""), ""۹"", ""9""), IF(LEFT(converted,3)=""+98"", ""0"" &amp; RIGHT(converted, LEN(converted)-3), IF(LEFT(converted,2)=""98"", ""0"" &amp; RIGHT(converted, LEN(converted)-2), IF(LEFT(converted,1)&lt;&gt;""0"", ""0"" &amp; converted, REGEXREPLA"&amp;"CE(converted , ""\s"", """")) ) ) ) )"),"09190280118 / 9021262902")</f>
        <v>09190280118 / 9021262902</v>
      </c>
      <c r="D107" s="235" t="str">
        <f>VLOOKUP(C107, 'تجربه‌گرها'!D107:H1874, 4, False)</f>
        <v>#N/A</v>
      </c>
      <c r="E107" s="234" t="s">
        <v>7268</v>
      </c>
      <c r="F107" s="235" t="str">
        <f t="shared" si="1"/>
        <v>pouria.gn89@gmail.com</v>
      </c>
    </row>
    <row r="108">
      <c r="A108" s="234"/>
      <c r="B108" s="234">
        <v>9.301411201E9</v>
      </c>
      <c r="C108" s="235" t="str">
        <f>IFERROR(__xludf.DUMMYFUNCTION("ARRAYFORMULA(LET( converted, SUBSTITUTE( SUBSTITUTE( SUBSTITUTE( SUBSTITUTE( SUBSTITUTE( SUBSTITUTE( SUBSTITUTE( SUBSTITUTE( SUBSTITUTE( SUBSTITUTE( B108, ""۰"", ""0""), ""۱"", ""1""), ""۲"", ""2""), ""۳"", ""3""), ""۴"", ""4""), ""۵"", ""5""), ""۶"", ""6"&amp;"""), ""۷"", ""7""), ""۸"", ""8""), ""۹"", ""9""), IF(LEFT(converted,3)=""+98"", ""0"" &amp; RIGHT(converted, LEN(converted)-3), IF(LEFT(converted,2)=""98"", ""0"" &amp; RIGHT(converted, LEN(converted)-2), IF(LEFT(converted,1)&lt;&gt;""0"", ""0"" &amp; converted, REGEXREPLA"&amp;"CE(converted , ""\s"", """")) ) ) ) )"),"09301411201")</f>
        <v>09301411201</v>
      </c>
      <c r="D108" s="235" t="str">
        <f>VLOOKUP(C108, 'تجربه‌گرها'!D108:H1875, 4, False)</f>
        <v/>
      </c>
      <c r="E108" s="24"/>
      <c r="F108" s="235" t="str">
        <f t="shared" si="1"/>
        <v/>
      </c>
    </row>
    <row r="109">
      <c r="A109" s="234"/>
      <c r="B109" s="234">
        <v>9.357258018E9</v>
      </c>
      <c r="C109" s="235" t="str">
        <f>IFERROR(__xludf.DUMMYFUNCTION("ARRAYFORMULA(LET( converted, SUBSTITUTE( SUBSTITUTE( SUBSTITUTE( SUBSTITUTE( SUBSTITUTE( SUBSTITUTE( SUBSTITUTE( SUBSTITUTE( SUBSTITUTE( SUBSTITUTE( B109, ""۰"", ""0""), ""۱"", ""1""), ""۲"", ""2""), ""۳"", ""3""), ""۴"", ""4""), ""۵"", ""5""), ""۶"", ""6"&amp;"""), ""۷"", ""7""), ""۸"", ""8""), ""۹"", ""9""), IF(LEFT(converted,3)=""+98"", ""0"" &amp; RIGHT(converted, LEN(converted)-3), IF(LEFT(converted,2)=""98"", ""0"" &amp; RIGHT(converted, LEN(converted)-2), IF(LEFT(converted,1)&lt;&gt;""0"", ""0"" &amp; converted, REGEXREPLA"&amp;"CE(converted , ""\s"", """")) ) ) ) )"),"09357258018")</f>
        <v>09357258018</v>
      </c>
      <c r="D109" s="235" t="str">
        <f>VLOOKUP(C109, 'تجربه‌گرها'!D109:H1876, 4, False)</f>
        <v>F</v>
      </c>
      <c r="E109" s="234" t="s">
        <v>7269</v>
      </c>
      <c r="F109" s="235" t="str">
        <f t="shared" si="1"/>
        <v>arefffeh.ahmadi1999@gmail.comm</v>
      </c>
    </row>
    <row r="110">
      <c r="A110" s="234"/>
      <c r="B110" s="234">
        <v>9.197209133E9</v>
      </c>
      <c r="C110" s="235" t="str">
        <f>IFERROR(__xludf.DUMMYFUNCTION("ARRAYFORMULA(LET( converted, SUBSTITUTE( SUBSTITUTE( SUBSTITUTE( SUBSTITUTE( SUBSTITUTE( SUBSTITUTE( SUBSTITUTE( SUBSTITUTE( SUBSTITUTE( SUBSTITUTE( B110, ""۰"", ""0""), ""۱"", ""1""), ""۲"", ""2""), ""۳"", ""3""), ""۴"", ""4""), ""۵"", ""5""), ""۶"", ""6"&amp;"""), ""۷"", ""7""), ""۸"", ""8""), ""۹"", ""9""), IF(LEFT(converted,3)=""+98"", ""0"" &amp; RIGHT(converted, LEN(converted)-3), IF(LEFT(converted,2)=""98"", ""0"" &amp; RIGHT(converted, LEN(converted)-2), IF(LEFT(converted,1)&lt;&gt;""0"", ""0"" &amp; converted, REGEXREPLA"&amp;"CE(converted , ""\s"", """")) ) ) ) )"),"09197209133")</f>
        <v>09197209133</v>
      </c>
      <c r="D110" s="235" t="str">
        <f>VLOOKUP(C110, 'تجربه‌گرها'!D110:H1877, 4, False)</f>
        <v>F</v>
      </c>
      <c r="E110" s="234" t="s">
        <v>6241</v>
      </c>
      <c r="F110" s="235" t="str">
        <f t="shared" si="1"/>
        <v>qzl.hassani@gmail.com</v>
      </c>
    </row>
    <row r="111">
      <c r="A111" s="234"/>
      <c r="B111" s="234">
        <v>9.135488201E9</v>
      </c>
      <c r="C111" s="235" t="str">
        <f>IFERROR(__xludf.DUMMYFUNCTION("ARRAYFORMULA(LET( converted, SUBSTITUTE( SUBSTITUTE( SUBSTITUTE( SUBSTITUTE( SUBSTITUTE( SUBSTITUTE( SUBSTITUTE( SUBSTITUTE( SUBSTITUTE( SUBSTITUTE( B111, ""۰"", ""0""), ""۱"", ""1""), ""۲"", ""2""), ""۳"", ""3""), ""۴"", ""4""), ""۵"", ""5""), ""۶"", ""6"&amp;"""), ""۷"", ""7""), ""۸"", ""8""), ""۹"", ""9""), IF(LEFT(converted,3)=""+98"", ""0"" &amp; RIGHT(converted, LEN(converted)-3), IF(LEFT(converted,2)=""98"", ""0"" &amp; RIGHT(converted, LEN(converted)-2), IF(LEFT(converted,1)&lt;&gt;""0"", ""0"" &amp; converted, REGEXREPLA"&amp;"CE(converted , ""\s"", """")) ) ) ) )"),"09135488201")</f>
        <v>09135488201</v>
      </c>
      <c r="D111" s="235" t="str">
        <f>VLOOKUP(C111, 'تجربه‌گرها'!D111:H1878, 4, False)</f>
        <v/>
      </c>
      <c r="E111" s="24"/>
      <c r="F111" s="235" t="str">
        <f t="shared" si="1"/>
        <v/>
      </c>
    </row>
    <row r="112">
      <c r="A112" s="234"/>
      <c r="B112" s="234">
        <v>9.937775027E9</v>
      </c>
      <c r="C112" s="235" t="str">
        <f>IFERROR(__xludf.DUMMYFUNCTION("ARRAYFORMULA(LET( converted, SUBSTITUTE( SUBSTITUTE( SUBSTITUTE( SUBSTITUTE( SUBSTITUTE( SUBSTITUTE( SUBSTITUTE( SUBSTITUTE( SUBSTITUTE( SUBSTITUTE( B112, ""۰"", ""0""), ""۱"", ""1""), ""۲"", ""2""), ""۳"", ""3""), ""۴"", ""4""), ""۵"", ""5""), ""۶"", ""6"&amp;"""), ""۷"", ""7""), ""۸"", ""8""), ""۹"", ""9""), IF(LEFT(converted,3)=""+98"", ""0"" &amp; RIGHT(converted, LEN(converted)-3), IF(LEFT(converted,2)=""98"", ""0"" &amp; RIGHT(converted, LEN(converted)-2), IF(LEFT(converted,1)&lt;&gt;""0"", ""0"" &amp; converted, REGEXREPLA"&amp;"CE(converted , ""\s"", """")) ) ) ) )"),"09937775027")</f>
        <v>09937775027</v>
      </c>
      <c r="D112" s="235" t="str">
        <f>VLOOKUP(C112, 'تجربه‌گرها'!D112:H1879, 4, False)</f>
        <v>#N/A</v>
      </c>
      <c r="E112" s="24"/>
      <c r="F112" s="235" t="str">
        <f t="shared" si="1"/>
        <v>#N/A</v>
      </c>
    </row>
    <row r="113">
      <c r="A113" s="234"/>
      <c r="B113" s="234">
        <v>9.910868165E9</v>
      </c>
      <c r="C113" s="235" t="str">
        <f>IFERROR(__xludf.DUMMYFUNCTION("ARRAYFORMULA(LET( converted, SUBSTITUTE( SUBSTITUTE( SUBSTITUTE( SUBSTITUTE( SUBSTITUTE( SUBSTITUTE( SUBSTITUTE( SUBSTITUTE( SUBSTITUTE( SUBSTITUTE( B113, ""۰"", ""0""), ""۱"", ""1""), ""۲"", ""2""), ""۳"", ""3""), ""۴"", ""4""), ""۵"", ""5""), ""۶"", ""6"&amp;"""), ""۷"", ""7""), ""۸"", ""8""), ""۹"", ""9""), IF(LEFT(converted,3)=""+98"", ""0"" &amp; RIGHT(converted, LEN(converted)-3), IF(LEFT(converted,2)=""98"", ""0"" &amp; RIGHT(converted, LEN(converted)-2), IF(LEFT(converted,1)&lt;&gt;""0"", ""0"" &amp; converted, REGEXREPLA"&amp;"CE(converted , ""\s"", """")) ) ) ) )"),"09910868165")</f>
        <v>09910868165</v>
      </c>
      <c r="D113" s="235" t="str">
        <f>VLOOKUP(C113, 'تجربه‌گرها'!D113:H1880, 4, False)</f>
        <v/>
      </c>
      <c r="E113" s="234" t="s">
        <v>7270</v>
      </c>
      <c r="F113" s="235" t="str">
        <f t="shared" si="1"/>
        <v>fafajedi9@gmail.com</v>
      </c>
    </row>
    <row r="114">
      <c r="A114" s="234"/>
      <c r="B114" s="234">
        <v>9.124199985E9</v>
      </c>
      <c r="C114" s="235" t="str">
        <f>IFERROR(__xludf.DUMMYFUNCTION("ARRAYFORMULA(LET( converted, SUBSTITUTE( SUBSTITUTE( SUBSTITUTE( SUBSTITUTE( SUBSTITUTE( SUBSTITUTE( SUBSTITUTE( SUBSTITUTE( SUBSTITUTE( SUBSTITUTE( B114, ""۰"", ""0""), ""۱"", ""1""), ""۲"", ""2""), ""۳"", ""3""), ""۴"", ""4""), ""۵"", ""5""), ""۶"", ""6"&amp;"""), ""۷"", ""7""), ""۸"", ""8""), ""۹"", ""9""), IF(LEFT(converted,3)=""+98"", ""0"" &amp; RIGHT(converted, LEN(converted)-3), IF(LEFT(converted,2)=""98"", ""0"" &amp; RIGHT(converted, LEN(converted)-2), IF(LEFT(converted,1)&lt;&gt;""0"", ""0"" &amp; converted, REGEXREPLA"&amp;"CE(converted , ""\s"", """")) ) ) ) )"),"09124199985")</f>
        <v>09124199985</v>
      </c>
      <c r="D114" s="235" t="str">
        <f>VLOOKUP(C114, 'تجربه‌گرها'!D114:H1881, 4, False)</f>
        <v/>
      </c>
      <c r="E114" s="234" t="s">
        <v>7271</v>
      </c>
      <c r="F114" s="235" t="str">
        <f t="shared" si="1"/>
        <v>alikazemi.bm@gmail.com</v>
      </c>
    </row>
    <row r="115">
      <c r="A115" s="234"/>
      <c r="B115" s="234">
        <v>9.22663764E9</v>
      </c>
      <c r="C115" s="235" t="str">
        <f>IFERROR(__xludf.DUMMYFUNCTION("ARRAYFORMULA(LET( converted, SUBSTITUTE( SUBSTITUTE( SUBSTITUTE( SUBSTITUTE( SUBSTITUTE( SUBSTITUTE( SUBSTITUTE( SUBSTITUTE( SUBSTITUTE( SUBSTITUTE( B115, ""۰"", ""0""), ""۱"", ""1""), ""۲"", ""2""), ""۳"", ""3""), ""۴"", ""4""), ""۵"", ""5""), ""۶"", ""6"&amp;"""), ""۷"", ""7""), ""۸"", ""8""), ""۹"", ""9""), IF(LEFT(converted,3)=""+98"", ""0"" &amp; RIGHT(converted, LEN(converted)-3), IF(LEFT(converted,2)=""98"", ""0"" &amp; RIGHT(converted, LEN(converted)-2), IF(LEFT(converted,1)&lt;&gt;""0"", ""0"" &amp; converted, REGEXREPLA"&amp;"CE(converted , ""\s"", """")) ) ) ) )"),"09226637640")</f>
        <v>09226637640</v>
      </c>
      <c r="D115" s="235" t="str">
        <f>VLOOKUP(C115, 'تجربه‌گرها'!D115:H1882, 4, False)</f>
        <v>M</v>
      </c>
      <c r="E115" s="234" t="s">
        <v>7272</v>
      </c>
      <c r="F115" s="235" t="str">
        <f t="shared" si="1"/>
        <v>Mjavadmahabadi@gmail.com</v>
      </c>
    </row>
    <row r="116">
      <c r="A116" s="234"/>
      <c r="B116" s="234">
        <v>9.928504813E9</v>
      </c>
      <c r="C116" s="235" t="str">
        <f>IFERROR(__xludf.DUMMYFUNCTION("ARRAYFORMULA(LET( converted, SUBSTITUTE( SUBSTITUTE( SUBSTITUTE( SUBSTITUTE( SUBSTITUTE( SUBSTITUTE( SUBSTITUTE( SUBSTITUTE( SUBSTITUTE( SUBSTITUTE( B116, ""۰"", ""0""), ""۱"", ""1""), ""۲"", ""2""), ""۳"", ""3""), ""۴"", ""4""), ""۵"", ""5""), ""۶"", ""6"&amp;"""), ""۷"", ""7""), ""۸"", ""8""), ""۹"", ""9""), IF(LEFT(converted,3)=""+98"", ""0"" &amp; RIGHT(converted, LEN(converted)-3), IF(LEFT(converted,2)=""98"", ""0"" &amp; RIGHT(converted, LEN(converted)-2), IF(LEFT(converted,1)&lt;&gt;""0"", ""0"" &amp; converted, REGEXREPLA"&amp;"CE(converted , ""\s"", """")) ) ) ) )"),"09928504813")</f>
        <v>09928504813</v>
      </c>
      <c r="D116" s="235" t="str">
        <f>VLOOKUP(C116, 'تجربه‌گرها'!D116:H1883, 4, False)</f>
        <v/>
      </c>
      <c r="E116" s="234" t="s">
        <v>7273</v>
      </c>
      <c r="F116" s="235" t="str">
        <f t="shared" si="1"/>
        <v>Rahimheydari1@gmail.com</v>
      </c>
    </row>
    <row r="117">
      <c r="A117" s="234"/>
      <c r="B117" s="234">
        <v>9.300726271E9</v>
      </c>
      <c r="C117" s="235" t="str">
        <f>IFERROR(__xludf.DUMMYFUNCTION("ARRAYFORMULA(LET( converted, SUBSTITUTE( SUBSTITUTE( SUBSTITUTE( SUBSTITUTE( SUBSTITUTE( SUBSTITUTE( SUBSTITUTE( SUBSTITUTE( SUBSTITUTE( SUBSTITUTE( B117, ""۰"", ""0""), ""۱"", ""1""), ""۲"", ""2""), ""۳"", ""3""), ""۴"", ""4""), ""۵"", ""5""), ""۶"", ""6"&amp;"""), ""۷"", ""7""), ""۸"", ""8""), ""۹"", ""9""), IF(LEFT(converted,3)=""+98"", ""0"" &amp; RIGHT(converted, LEN(converted)-3), IF(LEFT(converted,2)=""98"", ""0"" &amp; RIGHT(converted, LEN(converted)-2), IF(LEFT(converted,1)&lt;&gt;""0"", ""0"" &amp; converted, REGEXREPLA"&amp;"CE(converted , ""\s"", """")) ) ) ) )"),"09300726271")</f>
        <v>09300726271</v>
      </c>
      <c r="D117" s="235" t="str">
        <f>VLOOKUP(C117, 'تجربه‌گرها'!D117:H1884, 4, False)</f>
        <v>M</v>
      </c>
      <c r="E117" s="234" t="s">
        <v>7274</v>
      </c>
      <c r="F117" s="235" t="str">
        <f t="shared" si="1"/>
        <v>me.aliheidari@gmail.com</v>
      </c>
    </row>
    <row r="118">
      <c r="A118" s="234"/>
      <c r="B118" s="234">
        <v>9.334406162E9</v>
      </c>
      <c r="C118" s="235" t="str">
        <f>IFERROR(__xludf.DUMMYFUNCTION("ARRAYFORMULA(LET( converted, SUBSTITUTE( SUBSTITUTE( SUBSTITUTE( SUBSTITUTE( SUBSTITUTE( SUBSTITUTE( SUBSTITUTE( SUBSTITUTE( SUBSTITUTE( SUBSTITUTE( B118, ""۰"", ""0""), ""۱"", ""1""), ""۲"", ""2""), ""۳"", ""3""), ""۴"", ""4""), ""۵"", ""5""), ""۶"", ""6"&amp;"""), ""۷"", ""7""), ""۸"", ""8""), ""۹"", ""9""), IF(LEFT(converted,3)=""+98"", ""0"" &amp; RIGHT(converted, LEN(converted)-3), IF(LEFT(converted,2)=""98"", ""0"" &amp; RIGHT(converted, LEN(converted)-2), IF(LEFT(converted,1)&lt;&gt;""0"", ""0"" &amp; converted, REGEXREPLA"&amp;"CE(converted , ""\s"", """")) ) ) ) )"),"09334406162")</f>
        <v>09334406162</v>
      </c>
      <c r="D118" s="235" t="str">
        <f>VLOOKUP(C118, 'تجربه‌گرها'!D118:H1885, 4, False)</f>
        <v/>
      </c>
      <c r="E118" s="234" t="s">
        <v>6480</v>
      </c>
      <c r="F118" s="235" t="str">
        <f t="shared" si="1"/>
        <v>amirho3in3008@gmail.com</v>
      </c>
    </row>
    <row r="119">
      <c r="A119" s="234"/>
      <c r="B119" s="234">
        <v>9.184394657E9</v>
      </c>
      <c r="C119" s="235" t="str">
        <f>IFERROR(__xludf.DUMMYFUNCTION("ARRAYFORMULA(LET( converted, SUBSTITUTE( SUBSTITUTE( SUBSTITUTE( SUBSTITUTE( SUBSTITUTE( SUBSTITUTE( SUBSTITUTE( SUBSTITUTE( SUBSTITUTE( SUBSTITUTE( B119, ""۰"", ""0""), ""۱"", ""1""), ""۲"", ""2""), ""۳"", ""3""), ""۴"", ""4""), ""۵"", ""5""), ""۶"", ""6"&amp;"""), ""۷"", ""7""), ""۸"", ""8""), ""۹"", ""9""), IF(LEFT(converted,3)=""+98"", ""0"" &amp; RIGHT(converted, LEN(converted)-3), IF(LEFT(converted,2)=""98"", ""0"" &amp; RIGHT(converted, LEN(converted)-2), IF(LEFT(converted,1)&lt;&gt;""0"", ""0"" &amp; converted, REGEXREPLA"&amp;"CE(converted , ""\s"", """")) ) ) ) )"),"09184394657")</f>
        <v>09184394657</v>
      </c>
      <c r="D119" s="235" t="str">
        <f>VLOOKUP(C119, 'تجربه‌گرها'!D119:H1886, 4, False)</f>
        <v>M</v>
      </c>
      <c r="E119" s="234" t="s">
        <v>6261</v>
      </c>
      <c r="F119" s="235" t="str">
        <f t="shared" si="1"/>
        <v>momenhamaveisi7@gmail.com</v>
      </c>
    </row>
    <row r="120">
      <c r="A120" s="234"/>
      <c r="B120" s="234">
        <v>9.12508965E9</v>
      </c>
      <c r="C120" s="235" t="str">
        <f>IFERROR(__xludf.DUMMYFUNCTION("ARRAYFORMULA(LET( converted, SUBSTITUTE( SUBSTITUTE( SUBSTITUTE( SUBSTITUTE( SUBSTITUTE( SUBSTITUTE( SUBSTITUTE( SUBSTITUTE( SUBSTITUTE( SUBSTITUTE( B120, ""۰"", ""0""), ""۱"", ""1""), ""۲"", ""2""), ""۳"", ""3""), ""۴"", ""4""), ""۵"", ""5""), ""۶"", ""6"&amp;"""), ""۷"", ""7""), ""۸"", ""8""), ""۹"", ""9""), IF(LEFT(converted,3)=""+98"", ""0"" &amp; RIGHT(converted, LEN(converted)-3), IF(LEFT(converted,2)=""98"", ""0"" &amp; RIGHT(converted, LEN(converted)-2), IF(LEFT(converted,1)&lt;&gt;""0"", ""0"" &amp; converted, REGEXREPLA"&amp;"CE(converted , ""\s"", """")) ) ) ) )"),"09125089650")</f>
        <v>09125089650</v>
      </c>
      <c r="D120" s="235" t="str">
        <f>VLOOKUP(C120, 'تجربه‌گرها'!D120:H1887, 4, False)</f>
        <v/>
      </c>
      <c r="E120" s="234" t="s">
        <v>7275</v>
      </c>
      <c r="F120" s="235" t="str">
        <f t="shared" si="1"/>
        <v>nmabouchehri11@gmail.com</v>
      </c>
    </row>
    <row r="121">
      <c r="A121" s="234"/>
      <c r="B121" s="234">
        <v>9.123655275E9</v>
      </c>
      <c r="C121" s="235" t="str">
        <f>IFERROR(__xludf.DUMMYFUNCTION("ARRAYFORMULA(LET( converted, SUBSTITUTE( SUBSTITUTE( SUBSTITUTE( SUBSTITUTE( SUBSTITUTE( SUBSTITUTE( SUBSTITUTE( SUBSTITUTE( SUBSTITUTE( SUBSTITUTE( B121, ""۰"", ""0""), ""۱"", ""1""), ""۲"", ""2""), ""۳"", ""3""), ""۴"", ""4""), ""۵"", ""5""), ""۶"", ""6"&amp;"""), ""۷"", ""7""), ""۸"", ""8""), ""۹"", ""9""), IF(LEFT(converted,3)=""+98"", ""0"" &amp; RIGHT(converted, LEN(converted)-3), IF(LEFT(converted,2)=""98"", ""0"" &amp; RIGHT(converted, LEN(converted)-2), IF(LEFT(converted,1)&lt;&gt;""0"", ""0"" &amp; converted, REGEXREPLA"&amp;"CE(converted , ""\s"", """")) ) ) ) )"),"09123655275")</f>
        <v>09123655275</v>
      </c>
      <c r="D121" s="235" t="str">
        <f>VLOOKUP(C121, 'تجربه‌گرها'!D121:H1888, 4, False)</f>
        <v/>
      </c>
      <c r="E121" s="234" t="s">
        <v>7276</v>
      </c>
      <c r="F121" s="235" t="str">
        <f t="shared" si="1"/>
        <v>S.nikadat@gmail.com</v>
      </c>
    </row>
    <row r="122">
      <c r="A122" s="234"/>
      <c r="B122" s="234">
        <v>9.382103021E9</v>
      </c>
      <c r="C122" s="235" t="str">
        <f>IFERROR(__xludf.DUMMYFUNCTION("ARRAYFORMULA(LET( converted, SUBSTITUTE( SUBSTITUTE( SUBSTITUTE( SUBSTITUTE( SUBSTITUTE( SUBSTITUTE( SUBSTITUTE( SUBSTITUTE( SUBSTITUTE( SUBSTITUTE( B122, ""۰"", ""0""), ""۱"", ""1""), ""۲"", ""2""), ""۳"", ""3""), ""۴"", ""4""), ""۵"", ""5""), ""۶"", ""6"&amp;"""), ""۷"", ""7""), ""۸"", ""8""), ""۹"", ""9""), IF(LEFT(converted,3)=""+98"", ""0"" &amp; RIGHT(converted, LEN(converted)-3), IF(LEFT(converted,2)=""98"", ""0"" &amp; RIGHT(converted, LEN(converted)-2), IF(LEFT(converted,1)&lt;&gt;""0"", ""0"" &amp; converted, REGEXREPLA"&amp;"CE(converted , ""\s"", """")) ) ) ) )"),"09382103021")</f>
        <v>09382103021</v>
      </c>
      <c r="D122" s="235" t="str">
        <f>VLOOKUP(C122, 'تجربه‌گرها'!D122:H1889, 4, False)</f>
        <v/>
      </c>
      <c r="E122" s="234" t="s">
        <v>6378</v>
      </c>
      <c r="F122" s="235" t="str">
        <f t="shared" si="1"/>
        <v>mahmoudzadehamirreza@gmail.com</v>
      </c>
    </row>
    <row r="123">
      <c r="A123" s="234"/>
      <c r="B123" s="234">
        <v>9.127331244E9</v>
      </c>
      <c r="C123" s="235" t="str">
        <f>IFERROR(__xludf.DUMMYFUNCTION("ARRAYFORMULA(LET( converted, SUBSTITUTE( SUBSTITUTE( SUBSTITUTE( SUBSTITUTE( SUBSTITUTE( SUBSTITUTE( SUBSTITUTE( SUBSTITUTE( SUBSTITUTE( SUBSTITUTE( B123, ""۰"", ""0""), ""۱"", ""1""), ""۲"", ""2""), ""۳"", ""3""), ""۴"", ""4""), ""۵"", ""5""), ""۶"", ""6"&amp;"""), ""۷"", ""7""), ""۸"", ""8""), ""۹"", ""9""), IF(LEFT(converted,3)=""+98"", ""0"" &amp; RIGHT(converted, LEN(converted)-3), IF(LEFT(converted,2)=""98"", ""0"" &amp; RIGHT(converted, LEN(converted)-2), IF(LEFT(converted,1)&lt;&gt;""0"", ""0"" &amp; converted, REGEXREPLA"&amp;"CE(converted , ""\s"", """")) ) ) ) )"),"09127331244")</f>
        <v>09127331244</v>
      </c>
      <c r="D123" s="235" t="str">
        <f>VLOOKUP(C123, 'تجربه‌گرها'!D123:H1890, 4, False)</f>
        <v>F</v>
      </c>
      <c r="E123" s="234" t="s">
        <v>7277</v>
      </c>
      <c r="F123" s="235" t="str">
        <f t="shared" si="1"/>
        <v>saeidehaghighi1987@gmail.com</v>
      </c>
    </row>
    <row r="124">
      <c r="A124" s="234"/>
      <c r="B124" s="234" t="s">
        <v>7278</v>
      </c>
      <c r="C124" s="235" t="str">
        <f>IFERROR(__xludf.DUMMYFUNCTION("ARRAYFORMULA(LET( converted, SUBSTITUTE( SUBSTITUTE( SUBSTITUTE( SUBSTITUTE( SUBSTITUTE( SUBSTITUTE( SUBSTITUTE( SUBSTITUTE( SUBSTITUTE( SUBSTITUTE( B124, ""۰"", ""0""), ""۱"", ""1""), ""۲"", ""2""), ""۳"", ""3""), ""۴"", ""4""), ""۵"", ""5""), ""۶"", ""6"&amp;"""), ""۷"", ""7""), ""۸"", ""8""), ""۹"", ""9""), IF(LEFT(converted,3)=""+98"", ""0"" &amp; RIGHT(converted, LEN(converted)-3), IF(LEFT(converted,2)=""98"", ""0"" &amp; RIGHT(converted, LEN(converted)-2), IF(LEFT(converted,1)&lt;&gt;""0"", ""0"" &amp; converted, REGEXREPLA"&amp;"CE(converted , ""\s"", """")) ) ) ) )"),"09159356747 / 9394557328")</f>
        <v>09159356747 / 9394557328</v>
      </c>
      <c r="D124" s="235" t="str">
        <f>VLOOKUP(C124, 'تجربه‌گرها'!D124:H1891, 4, False)</f>
        <v>#N/A</v>
      </c>
      <c r="E124" s="234" t="s">
        <v>6072</v>
      </c>
      <c r="F124" s="235" t="str">
        <f t="shared" si="1"/>
        <v>rasool.ghorbani@yahoo.com</v>
      </c>
    </row>
    <row r="125">
      <c r="A125" s="234"/>
      <c r="B125" s="234">
        <v>9.302932033E9</v>
      </c>
      <c r="C125" s="235" t="str">
        <f>IFERROR(__xludf.DUMMYFUNCTION("ARRAYFORMULA(LET( converted, SUBSTITUTE( SUBSTITUTE( SUBSTITUTE( SUBSTITUTE( SUBSTITUTE( SUBSTITUTE( SUBSTITUTE( SUBSTITUTE( SUBSTITUTE( SUBSTITUTE( B125, ""۰"", ""0""), ""۱"", ""1""), ""۲"", ""2""), ""۳"", ""3""), ""۴"", ""4""), ""۵"", ""5""), ""۶"", ""6"&amp;"""), ""۷"", ""7""), ""۸"", ""8""), ""۹"", ""9""), IF(LEFT(converted,3)=""+98"", ""0"" &amp; RIGHT(converted, LEN(converted)-3), IF(LEFT(converted,2)=""98"", ""0"" &amp; RIGHT(converted, LEN(converted)-2), IF(LEFT(converted,1)&lt;&gt;""0"", ""0"" &amp; converted, REGEXREPLA"&amp;"CE(converted , ""\s"", """")) ) ) ) )"),"09302932033")</f>
        <v>09302932033</v>
      </c>
      <c r="D125" s="235" t="str">
        <f>VLOOKUP(C125, 'تجربه‌گرها'!D125:H1892, 4, False)</f>
        <v>M</v>
      </c>
      <c r="E125" s="234" t="s">
        <v>6112</v>
      </c>
      <c r="F125" s="235" t="str">
        <f t="shared" si="1"/>
        <v>rahimiyansepehr@gmail.com</v>
      </c>
    </row>
    <row r="126">
      <c r="A126" s="234"/>
      <c r="B126" s="234">
        <v>9.9125028E9</v>
      </c>
      <c r="C126" s="235" t="str">
        <f>IFERROR(__xludf.DUMMYFUNCTION("ARRAYFORMULA(LET( converted, SUBSTITUTE( SUBSTITUTE( SUBSTITUTE( SUBSTITUTE( SUBSTITUTE( SUBSTITUTE( SUBSTITUTE( SUBSTITUTE( SUBSTITUTE( SUBSTITUTE( B126, ""۰"", ""0""), ""۱"", ""1""), ""۲"", ""2""), ""۳"", ""3""), ""۴"", ""4""), ""۵"", ""5""), ""۶"", ""6"&amp;"""), ""۷"", ""7""), ""۸"", ""8""), ""۹"", ""9""), IF(LEFT(converted,3)=""+98"", ""0"" &amp; RIGHT(converted, LEN(converted)-3), IF(LEFT(converted,2)=""98"", ""0"" &amp; RIGHT(converted, LEN(converted)-2), IF(LEFT(converted,1)&lt;&gt;""0"", ""0"" &amp; converted, REGEXREPLA"&amp;"CE(converted , ""\s"", """")) ) ) ) )"),"09912502800")</f>
        <v>09912502800</v>
      </c>
      <c r="D126" s="235" t="str">
        <f>VLOOKUP(C126, 'تجربه‌گرها'!D126:H1893, 4, False)</f>
        <v>M</v>
      </c>
      <c r="E126" s="24"/>
      <c r="F126" s="235" t="str">
        <f t="shared" si="1"/>
        <v>M</v>
      </c>
    </row>
    <row r="127">
      <c r="A127" s="234"/>
      <c r="B127" s="234">
        <v>9.192043192E9</v>
      </c>
      <c r="C127" s="235" t="str">
        <f>IFERROR(__xludf.DUMMYFUNCTION("ARRAYFORMULA(LET( converted, SUBSTITUTE( SUBSTITUTE( SUBSTITUTE( SUBSTITUTE( SUBSTITUTE( SUBSTITUTE( SUBSTITUTE( SUBSTITUTE( SUBSTITUTE( SUBSTITUTE( B127, ""۰"", ""0""), ""۱"", ""1""), ""۲"", ""2""), ""۳"", ""3""), ""۴"", ""4""), ""۵"", ""5""), ""۶"", ""6"&amp;"""), ""۷"", ""7""), ""۸"", ""8""), ""۹"", ""9""), IF(LEFT(converted,3)=""+98"", ""0"" &amp; RIGHT(converted, LEN(converted)-3), IF(LEFT(converted,2)=""98"", ""0"" &amp; RIGHT(converted, LEN(converted)-2), IF(LEFT(converted,1)&lt;&gt;""0"", ""0"" &amp; converted, REGEXREPLA"&amp;"CE(converted , ""\s"", """")) ) ) ) )"),"09192043192")</f>
        <v>09192043192</v>
      </c>
      <c r="D127" s="235" t="str">
        <f>VLOOKUP(C127, 'تجربه‌گرها'!D127:H1894, 4, False)</f>
        <v>M</v>
      </c>
      <c r="E127" s="234" t="s">
        <v>7279</v>
      </c>
      <c r="F127" s="235" t="str">
        <f t="shared" si="1"/>
        <v>farzad_jml@yahoo.com</v>
      </c>
    </row>
    <row r="128">
      <c r="A128" s="234"/>
      <c r="B128" s="234">
        <v>9.225440574E9</v>
      </c>
      <c r="C128" s="235" t="str">
        <f>IFERROR(__xludf.DUMMYFUNCTION("ARRAYFORMULA(LET( converted, SUBSTITUTE( SUBSTITUTE( SUBSTITUTE( SUBSTITUTE( SUBSTITUTE( SUBSTITUTE( SUBSTITUTE( SUBSTITUTE( SUBSTITUTE( SUBSTITUTE( B128, ""۰"", ""0""), ""۱"", ""1""), ""۲"", ""2""), ""۳"", ""3""), ""۴"", ""4""), ""۵"", ""5""), ""۶"", ""6"&amp;"""), ""۷"", ""7""), ""۸"", ""8""), ""۹"", ""9""), IF(LEFT(converted,3)=""+98"", ""0"" &amp; RIGHT(converted, LEN(converted)-3), IF(LEFT(converted,2)=""98"", ""0"" &amp; RIGHT(converted, LEN(converted)-2), IF(LEFT(converted,1)&lt;&gt;""0"", ""0"" &amp; converted, REGEXREPLA"&amp;"CE(converted , ""\s"", """")) ) ) ) )"),"09225440574")</f>
        <v>09225440574</v>
      </c>
      <c r="D128" s="235" t="str">
        <f>VLOOKUP(C128, 'تجربه‌گرها'!D128:H1895, 4, False)</f>
        <v/>
      </c>
      <c r="E128" s="234" t="s">
        <v>7280</v>
      </c>
      <c r="F128" s="235" t="str">
        <f t="shared" si="1"/>
        <v>Niloofarferdosi78@gmail.com</v>
      </c>
    </row>
    <row r="129">
      <c r="A129" s="234"/>
      <c r="B129" s="234">
        <v>9.052950704E9</v>
      </c>
      <c r="C129" s="235" t="str">
        <f>IFERROR(__xludf.DUMMYFUNCTION("ARRAYFORMULA(LET( converted, SUBSTITUTE( SUBSTITUTE( SUBSTITUTE( SUBSTITUTE( SUBSTITUTE( SUBSTITUTE( SUBSTITUTE( SUBSTITUTE( SUBSTITUTE( SUBSTITUTE( B129, ""۰"", ""0""), ""۱"", ""1""), ""۲"", ""2""), ""۳"", ""3""), ""۴"", ""4""), ""۵"", ""5""), ""۶"", ""6"&amp;"""), ""۷"", ""7""), ""۸"", ""8""), ""۹"", ""9""), IF(LEFT(converted,3)=""+98"", ""0"" &amp; RIGHT(converted, LEN(converted)-3), IF(LEFT(converted,2)=""98"", ""0"" &amp; RIGHT(converted, LEN(converted)-2), IF(LEFT(converted,1)&lt;&gt;""0"", ""0"" &amp; converted, REGEXREPLA"&amp;"CE(converted , ""\s"", """")) ) ) ) )"),"09052950704")</f>
        <v>09052950704</v>
      </c>
      <c r="D129" s="235" t="str">
        <f>VLOOKUP(C129, 'تجربه‌گرها'!D129:H1896, 4, False)</f>
        <v/>
      </c>
      <c r="E129" s="234" t="s">
        <v>6692</v>
      </c>
      <c r="F129" s="235" t="str">
        <f t="shared" si="1"/>
        <v>shirvani13811381@gmail.com</v>
      </c>
    </row>
    <row r="130">
      <c r="A130" s="234"/>
      <c r="B130" s="234">
        <v>9.358575078E9</v>
      </c>
      <c r="C130" s="235" t="str">
        <f>IFERROR(__xludf.DUMMYFUNCTION("ARRAYFORMULA(LET( converted, SUBSTITUTE( SUBSTITUTE( SUBSTITUTE( SUBSTITUTE( SUBSTITUTE( SUBSTITUTE( SUBSTITUTE( SUBSTITUTE( SUBSTITUTE( SUBSTITUTE( B130, ""۰"", ""0""), ""۱"", ""1""), ""۲"", ""2""), ""۳"", ""3""), ""۴"", ""4""), ""۵"", ""5""), ""۶"", ""6"&amp;"""), ""۷"", ""7""), ""۸"", ""8""), ""۹"", ""9""), IF(LEFT(converted,3)=""+98"", ""0"" &amp; RIGHT(converted, LEN(converted)-3), IF(LEFT(converted,2)=""98"", ""0"" &amp; RIGHT(converted, LEN(converted)-2), IF(LEFT(converted,1)&lt;&gt;""0"", ""0"" &amp; converted, REGEXREPLA"&amp;"CE(converted , ""\s"", """")) ) ) ) )"),"09358575078")</f>
        <v>09358575078</v>
      </c>
      <c r="D130" s="235" t="str">
        <f>VLOOKUP(C130, 'تجربه‌گرها'!D130:H1897, 4, False)</f>
        <v>#N/A</v>
      </c>
      <c r="E130" s="234" t="s">
        <v>7281</v>
      </c>
      <c r="F130" s="235" t="str">
        <f t="shared" si="1"/>
        <v>Kajaal.salah@gmail.com</v>
      </c>
    </row>
    <row r="131">
      <c r="A131" s="234"/>
      <c r="B131" s="234">
        <v>9.931653321E9</v>
      </c>
      <c r="C131" s="235" t="str">
        <f>IFERROR(__xludf.DUMMYFUNCTION("ARRAYFORMULA(LET( converted, SUBSTITUTE( SUBSTITUTE( SUBSTITUTE( SUBSTITUTE( SUBSTITUTE( SUBSTITUTE( SUBSTITUTE( SUBSTITUTE( SUBSTITUTE( SUBSTITUTE( B131, ""۰"", ""0""), ""۱"", ""1""), ""۲"", ""2""), ""۳"", ""3""), ""۴"", ""4""), ""۵"", ""5""), ""۶"", ""6"&amp;"""), ""۷"", ""7""), ""۸"", ""8""), ""۹"", ""9""), IF(LEFT(converted,3)=""+98"", ""0"" &amp; RIGHT(converted, LEN(converted)-3), IF(LEFT(converted,2)=""98"", ""0"" &amp; RIGHT(converted, LEN(converted)-2), IF(LEFT(converted,1)&lt;&gt;""0"", ""0"" &amp; converted, REGEXREPLA"&amp;"CE(converted , ""\s"", """")) ) ) ) )"),"09931653321")</f>
        <v>09931653321</v>
      </c>
      <c r="D131" s="235" t="str">
        <f>VLOOKUP(C131, 'تجربه‌گرها'!D131:H1898, 4, False)</f>
        <v/>
      </c>
      <c r="E131" s="234" t="s">
        <v>6722</v>
      </c>
      <c r="F131" s="235" t="str">
        <f t="shared" si="1"/>
        <v>alireza20121380@gmail.com</v>
      </c>
    </row>
    <row r="132">
      <c r="A132" s="234"/>
      <c r="B132" s="234">
        <v>9.122472476E9</v>
      </c>
      <c r="C132" s="235" t="str">
        <f>IFERROR(__xludf.DUMMYFUNCTION("ARRAYFORMULA(LET( converted, SUBSTITUTE( SUBSTITUTE( SUBSTITUTE( SUBSTITUTE( SUBSTITUTE( SUBSTITUTE( SUBSTITUTE( SUBSTITUTE( SUBSTITUTE( SUBSTITUTE( B132, ""۰"", ""0""), ""۱"", ""1""), ""۲"", ""2""), ""۳"", ""3""), ""۴"", ""4""), ""۵"", ""5""), ""۶"", ""6"&amp;"""), ""۷"", ""7""), ""۸"", ""8""), ""۹"", ""9""), IF(LEFT(converted,3)=""+98"", ""0"" &amp; RIGHT(converted, LEN(converted)-3), IF(LEFT(converted,2)=""98"", ""0"" &amp; RIGHT(converted, LEN(converted)-2), IF(LEFT(converted,1)&lt;&gt;""0"", ""0"" &amp; converted, REGEXREPLA"&amp;"CE(converted , ""\s"", """")) ) ) ) )"),"09122472476")</f>
        <v>09122472476</v>
      </c>
      <c r="D132" s="235" t="str">
        <f>VLOOKUP(C132, 'تجربه‌گرها'!D132:H1899, 4, False)</f>
        <v>F</v>
      </c>
      <c r="E132" s="234" t="s">
        <v>7282</v>
      </c>
      <c r="F132" s="235" t="str">
        <f t="shared" si="1"/>
        <v>z.motmaenfaal@gmail.com</v>
      </c>
    </row>
    <row r="133">
      <c r="A133" s="234"/>
      <c r="B133" s="234">
        <v>9.102705955E9</v>
      </c>
      <c r="C133" s="235" t="str">
        <f>IFERROR(__xludf.DUMMYFUNCTION("ARRAYFORMULA(LET( converted, SUBSTITUTE( SUBSTITUTE( SUBSTITUTE( SUBSTITUTE( SUBSTITUTE( SUBSTITUTE( SUBSTITUTE( SUBSTITUTE( SUBSTITUTE( SUBSTITUTE( B133, ""۰"", ""0""), ""۱"", ""1""), ""۲"", ""2""), ""۳"", ""3""), ""۴"", ""4""), ""۵"", ""5""), ""۶"", ""6"&amp;"""), ""۷"", ""7""), ""۸"", ""8""), ""۹"", ""9""), IF(LEFT(converted,3)=""+98"", ""0"" &amp; RIGHT(converted, LEN(converted)-3), IF(LEFT(converted,2)=""98"", ""0"" &amp; RIGHT(converted, LEN(converted)-2), IF(LEFT(converted,1)&lt;&gt;""0"", ""0"" &amp; converted, REGEXREPLA"&amp;"CE(converted , ""\s"", """")) ) ) ) )"),"09102705955")</f>
        <v>09102705955</v>
      </c>
      <c r="D133" s="235" t="str">
        <f>VLOOKUP(C133, 'تجربه‌گرها'!D133:H1900, 4, False)</f>
        <v/>
      </c>
      <c r="E133" s="234" t="s">
        <v>7283</v>
      </c>
      <c r="F133" s="235" t="str">
        <f t="shared" si="1"/>
        <v>masoumejafarzade897@gmail.com</v>
      </c>
    </row>
    <row r="134">
      <c r="A134" s="234"/>
      <c r="B134" s="234">
        <v>9.334702368E9</v>
      </c>
      <c r="C134" s="235" t="str">
        <f>IFERROR(__xludf.DUMMYFUNCTION("ARRAYFORMULA(LET( converted, SUBSTITUTE( SUBSTITUTE( SUBSTITUTE( SUBSTITUTE( SUBSTITUTE( SUBSTITUTE( SUBSTITUTE( SUBSTITUTE( SUBSTITUTE( SUBSTITUTE( B134, ""۰"", ""0""), ""۱"", ""1""), ""۲"", ""2""), ""۳"", ""3""), ""۴"", ""4""), ""۵"", ""5""), ""۶"", ""6"&amp;"""), ""۷"", ""7""), ""۸"", ""8""), ""۹"", ""9""), IF(LEFT(converted,3)=""+98"", ""0"" &amp; RIGHT(converted, LEN(converted)-3), IF(LEFT(converted,2)=""98"", ""0"" &amp; RIGHT(converted, LEN(converted)-2), IF(LEFT(converted,1)&lt;&gt;""0"", ""0"" &amp; converted, REGEXREPLA"&amp;"CE(converted , ""\s"", """")) ) ) ) )"),"09334702368")</f>
        <v>09334702368</v>
      </c>
      <c r="D134" s="235" t="str">
        <f>VLOOKUP(C134, 'تجربه‌گرها'!D134:H1901, 4, False)</f>
        <v>#N/A</v>
      </c>
      <c r="E134" s="234" t="s">
        <v>7284</v>
      </c>
      <c r="F134" s="235" t="str">
        <f t="shared" si="1"/>
        <v>abbaszadeh7191@gmail.com</v>
      </c>
    </row>
    <row r="135">
      <c r="A135" s="234"/>
      <c r="B135" s="234">
        <v>9.363733923E9</v>
      </c>
      <c r="C135" s="235" t="str">
        <f>IFERROR(__xludf.DUMMYFUNCTION("ARRAYFORMULA(LET( converted, SUBSTITUTE( SUBSTITUTE( SUBSTITUTE( SUBSTITUTE( SUBSTITUTE( SUBSTITUTE( SUBSTITUTE( SUBSTITUTE( SUBSTITUTE( SUBSTITUTE( B135, ""۰"", ""0""), ""۱"", ""1""), ""۲"", ""2""), ""۳"", ""3""), ""۴"", ""4""), ""۵"", ""5""), ""۶"", ""6"&amp;"""), ""۷"", ""7""), ""۸"", ""8""), ""۹"", ""9""), IF(LEFT(converted,3)=""+98"", ""0"" &amp; RIGHT(converted, LEN(converted)-3), IF(LEFT(converted,2)=""98"", ""0"" &amp; RIGHT(converted, LEN(converted)-2), IF(LEFT(converted,1)&lt;&gt;""0"", ""0"" &amp; converted, REGEXREPLA"&amp;"CE(converted , ""\s"", """")) ) ) ) )"),"09363733923")</f>
        <v>09363733923</v>
      </c>
      <c r="D135" s="235" t="str">
        <f>VLOOKUP(C135, 'تجربه‌گرها'!D135:H1902, 4, False)</f>
        <v/>
      </c>
      <c r="E135" s="234" t="s">
        <v>7285</v>
      </c>
      <c r="F135" s="235" t="str">
        <f t="shared" si="1"/>
        <v>z.nowruzi7@gmail.com</v>
      </c>
    </row>
    <row r="136">
      <c r="A136" s="234"/>
      <c r="B136" s="234">
        <v>9.305923545E9</v>
      </c>
      <c r="C136" s="235" t="str">
        <f>IFERROR(__xludf.DUMMYFUNCTION("ARRAYFORMULA(LET( converted, SUBSTITUTE( SUBSTITUTE( SUBSTITUTE( SUBSTITUTE( SUBSTITUTE( SUBSTITUTE( SUBSTITUTE( SUBSTITUTE( SUBSTITUTE( SUBSTITUTE( B136, ""۰"", ""0""), ""۱"", ""1""), ""۲"", ""2""), ""۳"", ""3""), ""۴"", ""4""), ""۵"", ""5""), ""۶"", ""6"&amp;"""), ""۷"", ""7""), ""۸"", ""8""), ""۹"", ""9""), IF(LEFT(converted,3)=""+98"", ""0"" &amp; RIGHT(converted, LEN(converted)-3), IF(LEFT(converted,2)=""98"", ""0"" &amp; RIGHT(converted, LEN(converted)-2), IF(LEFT(converted,1)&lt;&gt;""0"", ""0"" &amp; converted, REGEXREPLA"&amp;"CE(converted , ""\s"", """")) ) ) ) )"),"09305923545")</f>
        <v>09305923545</v>
      </c>
      <c r="D136" s="235" t="str">
        <f>VLOOKUP(C136, 'تجربه‌گرها'!D136:H1903, 4, False)</f>
        <v/>
      </c>
      <c r="E136" s="234" t="s">
        <v>7286</v>
      </c>
      <c r="F136" s="235" t="str">
        <f t="shared" si="1"/>
        <v>ali.2010149@gmail.com</v>
      </c>
    </row>
    <row r="137">
      <c r="A137" s="234"/>
      <c r="B137" s="234">
        <v>9.12220894E9</v>
      </c>
      <c r="C137" s="235" t="str">
        <f>IFERROR(__xludf.DUMMYFUNCTION("ARRAYFORMULA(LET( converted, SUBSTITUTE( SUBSTITUTE( SUBSTITUTE( SUBSTITUTE( SUBSTITUTE( SUBSTITUTE( SUBSTITUTE( SUBSTITUTE( SUBSTITUTE( SUBSTITUTE( B137, ""۰"", ""0""), ""۱"", ""1""), ""۲"", ""2""), ""۳"", ""3""), ""۴"", ""4""), ""۵"", ""5""), ""۶"", ""6"&amp;"""), ""۷"", ""7""), ""۸"", ""8""), ""۹"", ""9""), IF(LEFT(converted,3)=""+98"", ""0"" &amp; RIGHT(converted, LEN(converted)-3), IF(LEFT(converted,2)=""98"", ""0"" &amp; RIGHT(converted, LEN(converted)-2), IF(LEFT(converted,1)&lt;&gt;""0"", ""0"" &amp; converted, REGEXREPLA"&amp;"CE(converted , ""\s"", """")) ) ) ) )"),"09122208940")</f>
        <v>09122208940</v>
      </c>
      <c r="D137" s="235" t="str">
        <f>VLOOKUP(C137, 'تجربه‌گرها'!D137:H1904, 4, False)</f>
        <v>F</v>
      </c>
      <c r="E137" s="234" t="s">
        <v>6226</v>
      </c>
      <c r="F137" s="235" t="str">
        <f t="shared" si="1"/>
        <v>naghoor.m@gmail.com</v>
      </c>
    </row>
    <row r="138">
      <c r="A138" s="234"/>
      <c r="B138" s="234">
        <v>9.13270657E9</v>
      </c>
      <c r="C138" s="235" t="str">
        <f>IFERROR(__xludf.DUMMYFUNCTION("ARRAYFORMULA(LET( converted, SUBSTITUTE( SUBSTITUTE( SUBSTITUTE( SUBSTITUTE( SUBSTITUTE( SUBSTITUTE( SUBSTITUTE( SUBSTITUTE( SUBSTITUTE( SUBSTITUTE( B138, ""۰"", ""0""), ""۱"", ""1""), ""۲"", ""2""), ""۳"", ""3""), ""۴"", ""4""), ""۵"", ""5""), ""۶"", ""6"&amp;"""), ""۷"", ""7""), ""۸"", ""8""), ""۹"", ""9""), IF(LEFT(converted,3)=""+98"", ""0"" &amp; RIGHT(converted, LEN(converted)-3), IF(LEFT(converted,2)=""98"", ""0"" &amp; RIGHT(converted, LEN(converted)-2), IF(LEFT(converted,1)&lt;&gt;""0"", ""0"" &amp; converted, REGEXREPLA"&amp;"CE(converted , ""\s"", """")) ) ) ) )"),"09132706570")</f>
        <v>09132706570</v>
      </c>
      <c r="D138" s="235" t="str">
        <f>VLOOKUP(C138, 'تجربه‌گرها'!D138:H1905, 4, False)</f>
        <v/>
      </c>
      <c r="E138" s="24"/>
      <c r="F138" s="235" t="str">
        <f t="shared" si="1"/>
        <v/>
      </c>
    </row>
    <row r="139">
      <c r="A139" s="234"/>
      <c r="B139" s="234">
        <v>9.102430816E9</v>
      </c>
      <c r="C139" s="235" t="str">
        <f>IFERROR(__xludf.DUMMYFUNCTION("ARRAYFORMULA(LET( converted, SUBSTITUTE( SUBSTITUTE( SUBSTITUTE( SUBSTITUTE( SUBSTITUTE( SUBSTITUTE( SUBSTITUTE( SUBSTITUTE( SUBSTITUTE( SUBSTITUTE( B139, ""۰"", ""0""), ""۱"", ""1""), ""۲"", ""2""), ""۳"", ""3""), ""۴"", ""4""), ""۵"", ""5""), ""۶"", ""6"&amp;"""), ""۷"", ""7""), ""۸"", ""8""), ""۹"", ""9""), IF(LEFT(converted,3)=""+98"", ""0"" &amp; RIGHT(converted, LEN(converted)-3), IF(LEFT(converted,2)=""98"", ""0"" &amp; RIGHT(converted, LEN(converted)-2), IF(LEFT(converted,1)&lt;&gt;""0"", ""0"" &amp; converted, REGEXREPLA"&amp;"CE(converted , ""\s"", """")) ) ) ) )"),"09102430816")</f>
        <v>09102430816</v>
      </c>
      <c r="D139" s="235" t="str">
        <f>VLOOKUP(C139, 'تجربه‌گرها'!D139:H1906, 4, False)</f>
        <v/>
      </c>
      <c r="E139" s="234" t="s">
        <v>6703</v>
      </c>
      <c r="F139" s="235" t="str">
        <f t="shared" si="1"/>
        <v>aidaatarod@gmail.com</v>
      </c>
    </row>
    <row r="140">
      <c r="A140" s="234"/>
      <c r="B140" s="234" t="s">
        <v>7287</v>
      </c>
      <c r="C140" s="235" t="str">
        <f>IFERROR(__xludf.DUMMYFUNCTION("ARRAYFORMULA(LET( converted, SUBSTITUTE( SUBSTITUTE( SUBSTITUTE( SUBSTITUTE( SUBSTITUTE( SUBSTITUTE( SUBSTITUTE( SUBSTITUTE( SUBSTITUTE( SUBSTITUTE( B140, ""۰"", ""0""), ""۱"", ""1""), ""۲"", ""2""), ""۳"", ""3""), ""۴"", ""4""), ""۵"", ""5""), ""۶"", ""6"&amp;"""), ""۷"", ""7""), ""۸"", ""8""), ""۹"", ""9""), IF(LEFT(converted,3)=""+98"", ""0"" &amp; RIGHT(converted, LEN(converted)-3), IF(LEFT(converted,2)=""98"", ""0"" &amp; RIGHT(converted, LEN(converted)-2), IF(LEFT(converted,1)&lt;&gt;""0"", ""0"" &amp; converted, REGEXREPLA"&amp;"CE(converted , ""\s"", """")) ) ) ) )"),"09106845524 / 9106845527")</f>
        <v>09106845524 / 9106845527</v>
      </c>
      <c r="D140" s="235" t="str">
        <f>VLOOKUP(C140, 'تجربه‌گرها'!D140:H1907, 4, False)</f>
        <v>#N/A</v>
      </c>
      <c r="E140" s="24"/>
      <c r="F140" s="235" t="str">
        <f t="shared" si="1"/>
        <v>#N/A</v>
      </c>
    </row>
    <row r="141">
      <c r="A141" s="234"/>
      <c r="B141" s="234">
        <v>9.12719806E9</v>
      </c>
      <c r="C141" s="235" t="str">
        <f>IFERROR(__xludf.DUMMYFUNCTION("ARRAYFORMULA(LET( converted, SUBSTITUTE( SUBSTITUTE( SUBSTITUTE( SUBSTITUTE( SUBSTITUTE( SUBSTITUTE( SUBSTITUTE( SUBSTITUTE( SUBSTITUTE( SUBSTITUTE( B141, ""۰"", ""0""), ""۱"", ""1""), ""۲"", ""2""), ""۳"", ""3""), ""۴"", ""4""), ""۵"", ""5""), ""۶"", ""6"&amp;"""), ""۷"", ""7""), ""۸"", ""8""), ""۹"", ""9""), IF(LEFT(converted,3)=""+98"", ""0"" &amp; RIGHT(converted, LEN(converted)-3), IF(LEFT(converted,2)=""98"", ""0"" &amp; RIGHT(converted, LEN(converted)-2), IF(LEFT(converted,1)&lt;&gt;""0"", ""0"" &amp; converted, REGEXREPLA"&amp;"CE(converted , ""\s"", """")) ) ) ) )"),"09127198060")</f>
        <v>09127198060</v>
      </c>
      <c r="D141" s="235" t="str">
        <f>VLOOKUP(C141, 'تجربه‌گرها'!D141:H1908, 4, False)</f>
        <v/>
      </c>
      <c r="E141" s="234" t="s">
        <v>7288</v>
      </c>
      <c r="F141" s="235" t="str">
        <f t="shared" si="1"/>
        <v>Zkhosravi8686@yahoo.com</v>
      </c>
    </row>
    <row r="142">
      <c r="A142" s="234"/>
      <c r="B142" s="234" t="s">
        <v>5967</v>
      </c>
      <c r="C142" s="235" t="str">
        <f>IFERROR(__xludf.DUMMYFUNCTION("ARRAYFORMULA(LET( converted, SUBSTITUTE( SUBSTITUTE( SUBSTITUTE( SUBSTITUTE( SUBSTITUTE( SUBSTITUTE( SUBSTITUTE( SUBSTITUTE( SUBSTITUTE( SUBSTITUTE( B142, ""۰"", ""0""), ""۱"", ""1""), ""۲"", ""2""), ""۳"", ""3""), ""۴"", ""4""), ""۵"", ""5""), ""۶"", ""6"&amp;"""), ""۷"", ""7""), ""۸"", ""8""), ""۹"", ""9""), IF(LEFT(converted,3)=""+98"", ""0"" &amp; RIGHT(converted, LEN(converted)-3), IF(LEFT(converted,2)=""98"", ""0"" &amp; RIGHT(converted, LEN(converted)-2), IF(LEFT(converted,1)&lt;&gt;""0"", ""0"" &amp; converted, REGEXREPLA"&amp;"CE(converted , ""\s"", """")) ) ) ) )"),"09127031008")</f>
        <v>09127031008</v>
      </c>
      <c r="D142" s="235" t="str">
        <f>VLOOKUP(C142, 'تجربه‌گرها'!D142:H1909, 4, False)</f>
        <v/>
      </c>
      <c r="E142" s="234" t="s">
        <v>7043</v>
      </c>
      <c r="F142" s="235" t="str">
        <f t="shared" si="1"/>
        <v>mh.ghotbi@gmail.com</v>
      </c>
    </row>
    <row r="143">
      <c r="A143" s="234"/>
      <c r="B143" s="234" t="s">
        <v>7289</v>
      </c>
      <c r="C143" s="235" t="str">
        <f>IFERROR(__xludf.DUMMYFUNCTION("ARRAYFORMULA(LET( converted, SUBSTITUTE( SUBSTITUTE( SUBSTITUTE( SUBSTITUTE( SUBSTITUTE( SUBSTITUTE( SUBSTITUTE( SUBSTITUTE( SUBSTITUTE( SUBSTITUTE( B143, ""۰"", ""0""), ""۱"", ""1""), ""۲"", ""2""), ""۳"", ""3""), ""۴"", ""4""), ""۵"", ""5""), ""۶"", ""6"&amp;"""), ""۷"", ""7""), ""۸"", ""8""), ""۹"", ""9""), IF(LEFT(converted,3)=""+98"", ""0"" &amp; RIGHT(converted, LEN(converted)-3), IF(LEFT(converted,2)=""98"", ""0"" &amp; RIGHT(converted, LEN(converted)-2), IF(LEFT(converted,1)&lt;&gt;""0"", ""0"" &amp; converted, REGEXREPLA"&amp;"CE(converted , ""\s"", """")) ) ) ) )"),"09378206785")</f>
        <v>09378206785</v>
      </c>
      <c r="D143" s="235" t="str">
        <f>VLOOKUP(C143, 'تجربه‌گرها'!D143:H1910, 4, False)</f>
        <v/>
      </c>
      <c r="E143" s="234" t="s">
        <v>7290</v>
      </c>
      <c r="F143" s="235" t="str">
        <f t="shared" si="1"/>
        <v>Raziyeh65ansari@gmail.com</v>
      </c>
    </row>
    <row r="144">
      <c r="A144" s="236"/>
      <c r="B144" s="234" t="s">
        <v>7291</v>
      </c>
      <c r="C144" s="235" t="str">
        <f>IFERROR(__xludf.DUMMYFUNCTION("ARRAYFORMULA(LET( converted, SUBSTITUTE( SUBSTITUTE( SUBSTITUTE( SUBSTITUTE( SUBSTITUTE( SUBSTITUTE( SUBSTITUTE( SUBSTITUTE( SUBSTITUTE( SUBSTITUTE( B144, ""۰"", ""0""), ""۱"", ""1""), ""۲"", ""2""), ""۳"", ""3""), ""۴"", ""4""), ""۵"", ""5""), ""۶"", ""6"&amp;"""), ""۷"", ""7""), ""۸"", ""8""), ""۹"", ""9""), IF(LEFT(converted,3)=""+98"", ""0"" &amp; RIGHT(converted, LEN(converted)-3), IF(LEFT(converted,2)=""98"", ""0"" &amp; RIGHT(converted, LEN(converted)-2), IF(LEFT(converted,1)&lt;&gt;""0"", ""0"" &amp; converted, REGEXREPLA"&amp;"CE(converted , ""\s"", """")) ) ) ) )"),"09364668090")</f>
        <v>09364668090</v>
      </c>
      <c r="D144" s="235" t="str">
        <f>VLOOKUP(C144, 'تجربه‌گرها'!D144:H1911, 4, False)</f>
        <v/>
      </c>
      <c r="E144" s="234" t="s">
        <v>7292</v>
      </c>
      <c r="F144" s="235" t="str">
        <f t="shared" si="1"/>
        <v>sadoohere@gmail.com</v>
      </c>
    </row>
    <row r="145">
      <c r="A145" s="236"/>
      <c r="B145" s="236" t="s">
        <v>7293</v>
      </c>
      <c r="C145" s="235" t="str">
        <f>IFERROR(__xludf.DUMMYFUNCTION("ARRAYFORMULA(LET( converted, SUBSTITUTE( SUBSTITUTE( SUBSTITUTE( SUBSTITUTE( SUBSTITUTE( SUBSTITUTE( SUBSTITUTE( SUBSTITUTE( SUBSTITUTE( SUBSTITUTE( B145, ""۰"", ""0""), ""۱"", ""1""), ""۲"", ""2""), ""۳"", ""3""), ""۴"", ""4""), ""۵"", ""5""), ""۶"", ""6"&amp;"""), ""۷"", ""7""), ""۸"", ""8""), ""۹"", ""9""), IF(LEFT(converted,3)=""+98"", ""0"" &amp; RIGHT(converted, LEN(converted)-3), IF(LEFT(converted,2)=""98"", ""0"" &amp; RIGHT(converted, LEN(converted)-2), IF(LEFT(converted,1)&lt;&gt;""0"", ""0"" &amp; converted, REGEXREPLA"&amp;"CE(converted , ""\s"", """")) ) ) ) )"),"09365584484")</f>
        <v>09365584484</v>
      </c>
      <c r="D145" s="235" t="str">
        <f>VLOOKUP(C145, 'تجربه‌گرها'!D145:H1912, 4, False)</f>
        <v/>
      </c>
      <c r="E145" s="234" t="s">
        <v>7294</v>
      </c>
      <c r="F145" s="235" t="str">
        <f t="shared" si="1"/>
        <v>aghayarizahra3@gmail.com</v>
      </c>
    </row>
    <row r="146">
      <c r="A146" s="236"/>
      <c r="B146" s="237" t="s">
        <v>7295</v>
      </c>
      <c r="C146" s="235" t="str">
        <f>IFERROR(__xludf.DUMMYFUNCTION("ARRAYFORMULA(LET( converted, SUBSTITUTE( SUBSTITUTE( SUBSTITUTE( SUBSTITUTE( SUBSTITUTE( SUBSTITUTE( SUBSTITUTE( SUBSTITUTE( SUBSTITUTE( SUBSTITUTE( B146, ""۰"", ""0""), ""۱"", ""1""), ""۲"", ""2""), ""۳"", ""3""), ""۴"", ""4""), ""۵"", ""5""), ""۶"", ""6"&amp;"""), ""۷"", ""7""), ""۸"", ""8""), ""۹"", ""9""), IF(LEFT(converted,3)=""+98"", ""0"" &amp; RIGHT(converted, LEN(converted)-3), IF(LEFT(converted,2)=""98"", ""0"" &amp; RIGHT(converted, LEN(converted)-2), IF(LEFT(converted,1)&lt;&gt;""0"", ""0"" &amp; converted, REGEXREPLA"&amp;"CE(converted , ""\s"", """")) ) ) ) )"),"09125189949")</f>
        <v>09125189949</v>
      </c>
      <c r="D146" s="235" t="str">
        <f>VLOOKUP(C146, 'تجربه‌گرها'!D146:H1913, 4, False)</f>
        <v>M</v>
      </c>
      <c r="E146" s="234" t="s">
        <v>3699</v>
      </c>
      <c r="F146" s="235" t="str">
        <f t="shared" si="1"/>
        <v>saeidnia@gmail.com</v>
      </c>
    </row>
    <row r="147">
      <c r="A147" s="236"/>
      <c r="B147" s="236" t="s">
        <v>7296</v>
      </c>
      <c r="C147" s="235" t="str">
        <f>IFERROR(__xludf.DUMMYFUNCTION("ARRAYFORMULA(LET( converted, SUBSTITUTE( SUBSTITUTE( SUBSTITUTE( SUBSTITUTE( SUBSTITUTE( SUBSTITUTE( SUBSTITUTE( SUBSTITUTE( SUBSTITUTE( SUBSTITUTE( B147, ""۰"", ""0""), ""۱"", ""1""), ""۲"", ""2""), ""۳"", ""3""), ""۴"", ""4""), ""۵"", ""5""), ""۶"", ""6"&amp;"""), ""۷"", ""7""), ""۸"", ""8""), ""۹"", ""9""), IF(LEFT(converted,3)=""+98"", ""0"" &amp; RIGHT(converted, LEN(converted)-3), IF(LEFT(converted,2)=""98"", ""0"" &amp; RIGHT(converted, LEN(converted)-2), IF(LEFT(converted,1)&lt;&gt;""0"", ""0"" &amp; converted, REGEXREPLA"&amp;"CE(converted , ""\s"", """")) ) ) ) )"),"09398028693")</f>
        <v>09398028693</v>
      </c>
      <c r="D147" s="235" t="str">
        <f>VLOOKUP(C147, 'تجربه‌گرها'!D147:H1914, 4, False)</f>
        <v/>
      </c>
      <c r="E147" s="234" t="s">
        <v>6876</v>
      </c>
      <c r="F147" s="235" t="str">
        <f t="shared" si="1"/>
        <v>gholamifateme700@gmail.com</v>
      </c>
    </row>
    <row r="148">
      <c r="A148" s="236"/>
      <c r="B148" s="236" t="s">
        <v>7297</v>
      </c>
      <c r="C148" s="235" t="str">
        <f>IFERROR(__xludf.DUMMYFUNCTION("ARRAYFORMULA(LET( converted, SUBSTITUTE( SUBSTITUTE( SUBSTITUTE( SUBSTITUTE( SUBSTITUTE( SUBSTITUTE( SUBSTITUTE( SUBSTITUTE( SUBSTITUTE( SUBSTITUTE( B148, ""۰"", ""0""), ""۱"", ""1""), ""۲"", ""2""), ""۳"", ""3""), ""۴"", ""4""), ""۵"", ""5""), ""۶"", ""6"&amp;"""), ""۷"", ""7""), ""۸"", ""8""), ""۹"", ""9""), IF(LEFT(converted,3)=""+98"", ""0"" &amp; RIGHT(converted, LEN(converted)-3), IF(LEFT(converted,2)=""98"", ""0"" &amp; RIGHT(converted, LEN(converted)-2), IF(LEFT(converted,1)&lt;&gt;""0"", ""0"" &amp; converted, REGEXREPLA"&amp;"CE(converted , ""\s"", """")) ) ) ) )"),"09125590950")</f>
        <v>09125590950</v>
      </c>
      <c r="D148" s="235" t="str">
        <f>VLOOKUP(C148, 'تجربه‌گرها'!D148:H1915, 4, False)</f>
        <v/>
      </c>
      <c r="E148" s="234" t="s">
        <v>7298</v>
      </c>
      <c r="F148" s="235" t="str">
        <f t="shared" si="1"/>
        <v>mdr.tehrani@gmail.com</v>
      </c>
    </row>
    <row r="149">
      <c r="A149" s="236"/>
      <c r="B149" s="237" t="s">
        <v>6810</v>
      </c>
      <c r="C149" s="235" t="str">
        <f>IFERROR(__xludf.DUMMYFUNCTION("ARRAYFORMULA(LET( converted, SUBSTITUTE( SUBSTITUTE( SUBSTITUTE( SUBSTITUTE( SUBSTITUTE( SUBSTITUTE( SUBSTITUTE( SUBSTITUTE( SUBSTITUTE( SUBSTITUTE( B149, ""۰"", ""0""), ""۱"", ""1""), ""۲"", ""2""), ""۳"", ""3""), ""۴"", ""4""), ""۵"", ""5""), ""۶"", ""6"&amp;"""), ""۷"", ""7""), ""۸"", ""8""), ""۹"", ""9""), IF(LEFT(converted,3)=""+98"", ""0"" &amp; RIGHT(converted, LEN(converted)-3), IF(LEFT(converted,2)=""98"", ""0"" &amp; RIGHT(converted, LEN(converted)-2), IF(LEFT(converted,1)&lt;&gt;""0"", ""0"" &amp; converted, REGEXREPLA"&amp;"CE(converted , ""\s"", """")) ) ) ) )"),"09127021597")</f>
        <v>09127021597</v>
      </c>
      <c r="D149" s="235" t="str">
        <f>VLOOKUP(C149, 'تجربه‌گرها'!D149:H1916, 4, False)</f>
        <v/>
      </c>
      <c r="E149" s="234" t="s">
        <v>7299</v>
      </c>
      <c r="F149" s="235" t="str">
        <f t="shared" si="1"/>
        <v>e.l.sadri1991@gmail.com</v>
      </c>
    </row>
    <row r="150">
      <c r="A150" s="236"/>
      <c r="B150" s="236" t="s">
        <v>7293</v>
      </c>
      <c r="C150" s="235" t="str">
        <f>IFERROR(__xludf.DUMMYFUNCTION("ARRAYFORMULA(LET( converted, SUBSTITUTE( SUBSTITUTE( SUBSTITUTE( SUBSTITUTE( SUBSTITUTE( SUBSTITUTE( SUBSTITUTE( SUBSTITUTE( SUBSTITUTE( SUBSTITUTE( B150, ""۰"", ""0""), ""۱"", ""1""), ""۲"", ""2""), ""۳"", ""3""), ""۴"", ""4""), ""۵"", ""5""), ""۶"", ""6"&amp;"""), ""۷"", ""7""), ""۸"", ""8""), ""۹"", ""9""), IF(LEFT(converted,3)=""+98"", ""0"" &amp; RIGHT(converted, LEN(converted)-3), IF(LEFT(converted,2)=""98"", ""0"" &amp; RIGHT(converted, LEN(converted)-2), IF(LEFT(converted,1)&lt;&gt;""0"", ""0"" &amp; converted, REGEXREPLA"&amp;"CE(converted , ""\s"", """")) ) ) ) )"),"09365584484")</f>
        <v>09365584484</v>
      </c>
      <c r="D150" s="235" t="str">
        <f>VLOOKUP(C150, 'تجربه‌گرها'!D150:H1917, 4, False)</f>
        <v/>
      </c>
      <c r="E150" s="234" t="s">
        <v>7294</v>
      </c>
      <c r="F150" s="235" t="str">
        <f t="shared" si="1"/>
        <v>aghayarizahra3@gmail.com</v>
      </c>
    </row>
    <row r="151">
      <c r="A151" s="236"/>
      <c r="B151" s="237" t="s">
        <v>7300</v>
      </c>
      <c r="C151" s="235" t="str">
        <f>IFERROR(__xludf.DUMMYFUNCTION("ARRAYFORMULA(LET( converted, SUBSTITUTE( SUBSTITUTE( SUBSTITUTE( SUBSTITUTE( SUBSTITUTE( SUBSTITUTE( SUBSTITUTE( SUBSTITUTE( SUBSTITUTE( SUBSTITUTE( B151, ""۰"", ""0""), ""۱"", ""1""), ""۲"", ""2""), ""۳"", ""3""), ""۴"", ""4""), ""۵"", ""5""), ""۶"", ""6"&amp;"""), ""۷"", ""7""), ""۸"", ""8""), ""۹"", ""9""), IF(LEFT(converted,3)=""+98"", ""0"" &amp; RIGHT(converted, LEN(converted)-3), IF(LEFT(converted,2)=""98"", ""0"" &amp; RIGHT(converted, LEN(converted)-2), IF(LEFT(converted,1)&lt;&gt;""0"", ""0"" &amp; converted, REGEXREPLA"&amp;"CE(converted , ""\s"", """")) ) ) ) )"),"09155197005")</f>
        <v>09155197005</v>
      </c>
      <c r="D151" s="235" t="str">
        <f>VLOOKUP(C151, 'تجربه‌گرها'!D151:H1918, 4, False)</f>
        <v>#N/A</v>
      </c>
      <c r="E151" s="234" t="s">
        <v>7301</v>
      </c>
      <c r="F151" s="235" t="str">
        <f t="shared" si="1"/>
        <v>sanazhabibinezhadarchitect@gmail.com</v>
      </c>
    </row>
    <row r="152">
      <c r="A152" s="236"/>
      <c r="B152" s="236" t="s">
        <v>7302</v>
      </c>
      <c r="C152" s="235" t="str">
        <f>IFERROR(__xludf.DUMMYFUNCTION("ARRAYFORMULA(LET( converted, SUBSTITUTE( SUBSTITUTE( SUBSTITUTE( SUBSTITUTE( SUBSTITUTE( SUBSTITUTE( SUBSTITUTE( SUBSTITUTE( SUBSTITUTE( SUBSTITUTE( B152, ""۰"", ""0""), ""۱"", ""1""), ""۲"", ""2""), ""۳"", ""3""), ""۴"", ""4""), ""۵"", ""5""), ""۶"", ""6"&amp;"""), ""۷"", ""7""), ""۸"", ""8""), ""۹"", ""9""), IF(LEFT(converted,3)=""+98"", ""0"" &amp; RIGHT(converted, LEN(converted)-3), IF(LEFT(converted,2)=""98"", ""0"" &amp; RIGHT(converted, LEN(converted)-2), IF(LEFT(converted,1)&lt;&gt;""0"", ""0"" &amp; converted, REGEXREPLA"&amp;"CE(converted , ""\s"", """")) ) ) ) )"),"09376624027")</f>
        <v>09376624027</v>
      </c>
      <c r="D152" s="235" t="str">
        <f>VLOOKUP(C152, 'تجربه‌گرها'!D152:H1919, 4, False)</f>
        <v/>
      </c>
      <c r="E152" s="234" t="s">
        <v>7303</v>
      </c>
      <c r="F152" s="235" t="str">
        <f t="shared" si="1"/>
        <v>ehsan.mohamadian91@gmail.com</v>
      </c>
    </row>
    <row r="153">
      <c r="A153" s="236"/>
      <c r="B153" s="237" t="s">
        <v>6844</v>
      </c>
      <c r="C153" s="235" t="str">
        <f>IFERROR(__xludf.DUMMYFUNCTION("ARRAYFORMULA(LET( converted, SUBSTITUTE( SUBSTITUTE( SUBSTITUTE( SUBSTITUTE( SUBSTITUTE( SUBSTITUTE( SUBSTITUTE( SUBSTITUTE( SUBSTITUTE( SUBSTITUTE( B153, ""۰"", ""0""), ""۱"", ""1""), ""۲"", ""2""), ""۳"", ""3""), ""۴"", ""4""), ""۵"", ""5""), ""۶"", ""6"&amp;"""), ""۷"", ""7""), ""۸"", ""8""), ""۹"", ""9""), IF(LEFT(converted,3)=""+98"", ""0"" &amp; RIGHT(converted, LEN(converted)-3), IF(LEFT(converted,2)=""98"", ""0"" &amp; RIGHT(converted, LEN(converted)-2), IF(LEFT(converted,1)&lt;&gt;""0"", ""0"" &amp; converted, REGEXREPLA"&amp;"CE(converted , ""\s"", """")) ) ) ) )"),"09116764737")</f>
        <v>09116764737</v>
      </c>
      <c r="D153" s="235" t="str">
        <f>VLOOKUP(C153, 'تجربه‌گرها'!D153:H1920, 4, False)</f>
        <v/>
      </c>
      <c r="E153" s="234" t="s">
        <v>7304</v>
      </c>
      <c r="F153" s="235" t="str">
        <f t="shared" si="1"/>
        <v>saidhosaingailani@gmail.com</v>
      </c>
    </row>
    <row r="154">
      <c r="A154" s="236"/>
      <c r="B154" s="236" t="s">
        <v>7305</v>
      </c>
      <c r="C154" s="235" t="str">
        <f>IFERROR(__xludf.DUMMYFUNCTION("ARRAYFORMULA(LET( converted, SUBSTITUTE( SUBSTITUTE( SUBSTITUTE( SUBSTITUTE( SUBSTITUTE( SUBSTITUTE( SUBSTITUTE( SUBSTITUTE( SUBSTITUTE( SUBSTITUTE( B154, ""۰"", ""0""), ""۱"", ""1""), ""۲"", ""2""), ""۳"", ""3""), ""۴"", ""4""), ""۵"", ""5""), ""۶"", ""6"&amp;"""), ""۷"", ""7""), ""۸"", ""8""), ""۹"", ""9""), IF(LEFT(converted,3)=""+98"", ""0"" &amp; RIGHT(converted, LEN(converted)-3), IF(LEFT(converted,2)=""98"", ""0"" &amp; RIGHT(converted, LEN(converted)-2), IF(LEFT(converted,1)&lt;&gt;""0"", ""0"" &amp; converted, REGEXREPLA"&amp;"CE(converted , ""\s"", """")) ) ) ) )"),"09100875207")</f>
        <v>09100875207</v>
      </c>
      <c r="D154" s="235" t="str">
        <f>VLOOKUP(C154, 'تجربه‌گرها'!D154:H1921, 4, False)</f>
        <v/>
      </c>
      <c r="E154" s="234" t="s">
        <v>7306</v>
      </c>
      <c r="F154" s="235" t="str">
        <f t="shared" si="1"/>
        <v>advancedthinking14@gmail.com</v>
      </c>
    </row>
    <row r="155">
      <c r="A155" s="236"/>
      <c r="B155" s="237" t="s">
        <v>706</v>
      </c>
      <c r="C155" s="235" t="str">
        <f>IFERROR(__xludf.DUMMYFUNCTION("ARRAYFORMULA(LET( converted, SUBSTITUTE( SUBSTITUTE( SUBSTITUTE( SUBSTITUTE( SUBSTITUTE( SUBSTITUTE( SUBSTITUTE( SUBSTITUTE( SUBSTITUTE( SUBSTITUTE( B155, ""۰"", ""0""), ""۱"", ""1""), ""۲"", ""2""), ""۳"", ""3""), ""۴"", ""4""), ""۵"", ""5""), ""۶"", ""6"&amp;"""), ""۷"", ""7""), ""۸"", ""8""), ""۹"", ""9""), IF(LEFT(converted,3)=""+98"", ""0"" &amp; RIGHT(converted, LEN(converted)-3), IF(LEFT(converted,2)=""98"", ""0"" &amp; RIGHT(converted, LEN(converted)-2), IF(LEFT(converted,1)&lt;&gt;""0"", ""0"" &amp; converted, REGEXREPLA"&amp;"CE(converted , ""\s"", """")) ) ) ) )"),"09102355212")</f>
        <v>09102355212</v>
      </c>
      <c r="D155" s="235" t="str">
        <f>VLOOKUP(C155, 'تجربه‌گرها'!D155:H1922, 4, False)</f>
        <v/>
      </c>
      <c r="E155" s="234" t="s">
        <v>7307</v>
      </c>
      <c r="F155" s="235" t="str">
        <f t="shared" si="1"/>
        <v>mrs.elaheh.azami@gmail.com</v>
      </c>
    </row>
    <row r="156">
      <c r="A156" s="236"/>
      <c r="B156" s="236" t="s">
        <v>7308</v>
      </c>
      <c r="C156" s="235" t="str">
        <f>IFERROR(__xludf.DUMMYFUNCTION("ARRAYFORMULA(LET( converted, SUBSTITUTE( SUBSTITUTE( SUBSTITUTE( SUBSTITUTE( SUBSTITUTE( SUBSTITUTE( SUBSTITUTE( SUBSTITUTE( SUBSTITUTE( SUBSTITUTE( B156, ""۰"", ""0""), ""۱"", ""1""), ""۲"", ""2""), ""۳"", ""3""), ""۴"", ""4""), ""۵"", ""5""), ""۶"", ""6"&amp;"""), ""۷"", ""7""), ""۸"", ""8""), ""۹"", ""9""), IF(LEFT(converted,3)=""+98"", ""0"" &amp; RIGHT(converted, LEN(converted)-3), IF(LEFT(converted,2)=""98"", ""0"" &amp; RIGHT(converted, LEN(converted)-2), IF(LEFT(converted,1)&lt;&gt;""0"", ""0"" &amp; converted, REGEXREPLA"&amp;"CE(converted , ""\s"", """")) ) ) ) )"),"09380098680")</f>
        <v>09380098680</v>
      </c>
      <c r="D156" s="235" t="str">
        <f>VLOOKUP(C156, 'تجربه‌گرها'!D156:H1923, 4, False)</f>
        <v/>
      </c>
      <c r="E156" s="234" t="s">
        <v>6850</v>
      </c>
      <c r="F156" s="235" t="str">
        <f t="shared" si="1"/>
        <v>shahalizai.com@gmail.com</v>
      </c>
    </row>
    <row r="157">
      <c r="A157" s="238"/>
      <c r="B157" s="236" t="s">
        <v>281</v>
      </c>
      <c r="C157" s="235" t="str">
        <f>IFERROR(__xludf.DUMMYFUNCTION("ARRAYFORMULA(LET( converted, SUBSTITUTE( SUBSTITUTE( SUBSTITUTE( SUBSTITUTE( SUBSTITUTE( SUBSTITUTE( SUBSTITUTE( SUBSTITUTE( SUBSTITUTE( SUBSTITUTE( B157, ""۰"", ""0""), ""۱"", ""1""), ""۲"", ""2""), ""۳"", ""3""), ""۴"", ""4""), ""۵"", ""5""), ""۶"", ""6"&amp;"""), ""۷"", ""7""), ""۸"", ""8""), ""۹"", ""9""), IF(LEFT(converted,3)=""+98"", ""0"" &amp; RIGHT(converted, LEN(converted)-3), IF(LEFT(converted,2)=""98"", ""0"" &amp; RIGHT(converted, LEN(converted)-2), IF(LEFT(converted,1)&lt;&gt;""0"", ""0"" &amp; converted, REGEXREPLA"&amp;"CE(converted , ""\s"", """")) ) ) ) )"),"09308438392")</f>
        <v>09308438392</v>
      </c>
      <c r="D157" s="235" t="str">
        <f>VLOOKUP(C157, 'تجربه‌گرها'!D157:H1924, 4, False)</f>
        <v/>
      </c>
      <c r="E157" s="234" t="s">
        <v>282</v>
      </c>
      <c r="F157" s="235" t="str">
        <f t="shared" si="1"/>
        <v>fatemehvelayatipour@gmail.com</v>
      </c>
    </row>
    <row r="158">
      <c r="A158" s="43"/>
      <c r="B158" s="239" t="s">
        <v>7309</v>
      </c>
      <c r="C158" s="235" t="str">
        <f>IFERROR(__xludf.DUMMYFUNCTION("ARRAYFORMULA(LET( converted, SUBSTITUTE( SUBSTITUTE( SUBSTITUTE( SUBSTITUTE( SUBSTITUTE( SUBSTITUTE( SUBSTITUTE( SUBSTITUTE( SUBSTITUTE( SUBSTITUTE( B158, ""۰"", ""0""), ""۱"", ""1""), ""۲"", ""2""), ""۳"", ""3""), ""۴"", ""4""), ""۵"", ""5""), ""۶"", ""6"&amp;"""), ""۷"", ""7""), ""۸"", ""8""), ""۹"", ""9""), IF(LEFT(converted,3)=""+98"", ""0"" &amp; RIGHT(converted, LEN(converted)-3), IF(LEFT(converted,2)=""98"", ""0"" &amp; RIGHT(converted, LEN(converted)-2), IF(LEFT(converted,1)&lt;&gt;""0"", ""0"" &amp; converted, REGEXREPLA"&amp;"CE(converted , ""\s"", """")) ) ) ) )"),"09195258134")</f>
        <v>09195258134</v>
      </c>
      <c r="D158" s="235" t="str">
        <f>VLOOKUP(C158, 'تجربه‌گرها'!D158:H1925, 4, False)</f>
        <v/>
      </c>
      <c r="E158" s="238" t="s">
        <v>3115</v>
      </c>
      <c r="F158" s="235" t="str">
        <f t="shared" si="1"/>
        <v>michael12sco@gmail.com</v>
      </c>
    </row>
    <row r="159">
      <c r="A159" s="43"/>
      <c r="B159" s="240" t="s">
        <v>6786</v>
      </c>
      <c r="C159" s="235" t="str">
        <f>IFERROR(__xludf.DUMMYFUNCTION("ARRAYFORMULA(LET( converted, SUBSTITUTE( SUBSTITUTE( SUBSTITUTE( SUBSTITUTE( SUBSTITUTE( SUBSTITUTE( SUBSTITUTE( SUBSTITUTE( SUBSTITUTE( SUBSTITUTE( B159, ""۰"", ""0""), ""۱"", ""1""), ""۲"", ""2""), ""۳"", ""3""), ""۴"", ""4""), ""۵"", ""5""), ""۶"", ""6"&amp;"""), ""۷"", ""7""), ""۸"", ""8""), ""۹"", ""9""), IF(LEFT(converted,3)=""+98"", ""0"" &amp; RIGHT(converted, LEN(converted)-3), IF(LEFT(converted,2)=""98"", ""0"" &amp; RIGHT(converted, LEN(converted)-2), IF(LEFT(converted,1)&lt;&gt;""0"", ""0"" &amp; converted, REGEXREPLA"&amp;"CE(converted , ""\s"", """")) ) ) ) )"),"09197705720")</f>
        <v>09197705720</v>
      </c>
      <c r="D159" s="235" t="str">
        <f>VLOOKUP(C159, 'تجربه‌گرها'!D159:H1926, 4, False)</f>
        <v/>
      </c>
      <c r="E159" s="43" t="s">
        <v>7310</v>
      </c>
      <c r="F159" s="235" t="str">
        <f t="shared" si="1"/>
        <v>zaraqorbani7792@gmail.com</v>
      </c>
    </row>
    <row r="160">
      <c r="A160" s="43"/>
      <c r="B160" s="240" t="s">
        <v>7311</v>
      </c>
      <c r="C160" s="235" t="str">
        <f>IFERROR(__xludf.DUMMYFUNCTION("ARRAYFORMULA(LET( converted, SUBSTITUTE( SUBSTITUTE( SUBSTITUTE( SUBSTITUTE( SUBSTITUTE( SUBSTITUTE( SUBSTITUTE( SUBSTITUTE( SUBSTITUTE( SUBSTITUTE( B160, ""۰"", ""0""), ""۱"", ""1""), ""۲"", ""2""), ""۳"", ""3""), ""۴"", ""4""), ""۵"", ""5""), ""۶"", ""6"&amp;"""), ""۷"", ""7""), ""۸"", ""8""), ""۹"", ""9""), IF(LEFT(converted,3)=""+98"", ""0"" &amp; RIGHT(converted, LEN(converted)-3), IF(LEFT(converted,2)=""98"", ""0"" &amp; RIGHT(converted, LEN(converted)-2), IF(LEFT(converted,1)&lt;&gt;""0"", ""0"" &amp; converted, REGEXREPLA"&amp;"CE(converted , ""\s"", """")) ) ) ) )"),"09103412748")</f>
        <v>09103412748</v>
      </c>
      <c r="D160" s="235" t="str">
        <f>VLOOKUP(C160, 'تجربه‌گرها'!D160:H1927, 4, False)</f>
        <v>#N/A</v>
      </c>
      <c r="E160" s="43" t="s">
        <v>7312</v>
      </c>
      <c r="F160" s="235" t="str">
        <f t="shared" si="1"/>
        <v>nabavizeynab40@gmail.com</v>
      </c>
    </row>
    <row r="161">
      <c r="A161" s="43"/>
      <c r="B161" s="240" t="s">
        <v>348</v>
      </c>
      <c r="C161" s="235" t="str">
        <f>IFERROR(__xludf.DUMMYFUNCTION("ARRAYFORMULA(LET( converted, SUBSTITUTE( SUBSTITUTE( SUBSTITUTE( SUBSTITUTE( SUBSTITUTE( SUBSTITUTE( SUBSTITUTE( SUBSTITUTE( SUBSTITUTE( SUBSTITUTE( B161, ""۰"", ""0""), ""۱"", ""1""), ""۲"", ""2""), ""۳"", ""3""), ""۴"", ""4""), ""۵"", ""5""), ""۶"", ""6"&amp;"""), ""۷"", ""7""), ""۸"", ""8""), ""۹"", ""9""), IF(LEFT(converted,3)=""+98"", ""0"" &amp; RIGHT(converted, LEN(converted)-3), IF(LEFT(converted,2)=""98"", ""0"" &amp; RIGHT(converted, LEN(converted)-2), IF(LEFT(converted,1)&lt;&gt;""0"", ""0"" &amp; converted, REGEXREPLA"&amp;"CE(converted , ""\s"", """")) ) ) ) )"),"09126068481")</f>
        <v>09126068481</v>
      </c>
      <c r="D161" s="235" t="str">
        <f>VLOOKUP(C161, 'تجربه‌گرها'!D161:H1928, 4, False)</f>
        <v/>
      </c>
      <c r="E161" s="43" t="s">
        <v>7313</v>
      </c>
      <c r="F161" s="235" t="str">
        <f t="shared" si="1"/>
        <v>shiva.tavakoli86@gmail.com</v>
      </c>
    </row>
    <row r="162">
      <c r="A162" s="43"/>
      <c r="B162" s="240" t="s">
        <v>7314</v>
      </c>
      <c r="C162" s="235" t="str">
        <f>IFERROR(__xludf.DUMMYFUNCTION("ARRAYFORMULA(LET( converted, SUBSTITUTE( SUBSTITUTE( SUBSTITUTE( SUBSTITUTE( SUBSTITUTE( SUBSTITUTE( SUBSTITUTE( SUBSTITUTE( SUBSTITUTE( SUBSTITUTE( B162, ""۰"", ""0""), ""۱"", ""1""), ""۲"", ""2""), ""۳"", ""3""), ""۴"", ""4""), ""۵"", ""5""), ""۶"", ""6"&amp;"""), ""۷"", ""7""), ""۸"", ""8""), ""۹"", ""9""), IF(LEFT(converted,3)=""+98"", ""0"" &amp; RIGHT(converted, LEN(converted)-3), IF(LEFT(converted,2)=""98"", ""0"" &amp; RIGHT(converted, LEN(converted)-2), IF(LEFT(converted,1)&lt;&gt;""0"", ""0"" &amp; converted, REGEXREPLA"&amp;"CE(converted , ""\s"", """")) ) ) ) )"),"09121244276")</f>
        <v>09121244276</v>
      </c>
      <c r="D162" s="235" t="str">
        <f>VLOOKUP(C162, 'تجربه‌گرها'!D162:H1929, 4, False)</f>
        <v/>
      </c>
      <c r="E162" s="43" t="s">
        <v>7315</v>
      </c>
      <c r="F162" s="235" t="str">
        <f t="shared" si="1"/>
        <v>ramin.samizadeh@gmail.com</v>
      </c>
    </row>
    <row r="163">
      <c r="A163" s="43"/>
      <c r="B163" s="240" t="s">
        <v>6788</v>
      </c>
      <c r="C163" s="235" t="str">
        <f>IFERROR(__xludf.DUMMYFUNCTION("ARRAYFORMULA(LET( converted, SUBSTITUTE( SUBSTITUTE( SUBSTITUTE( SUBSTITUTE( SUBSTITUTE( SUBSTITUTE( SUBSTITUTE( SUBSTITUTE( SUBSTITUTE( SUBSTITUTE( B163, ""۰"", ""0""), ""۱"", ""1""), ""۲"", ""2""), ""۳"", ""3""), ""۴"", ""4""), ""۵"", ""5""), ""۶"", ""6"&amp;"""), ""۷"", ""7""), ""۸"", ""8""), ""۹"", ""9""), IF(LEFT(converted,3)=""+98"", ""0"" &amp; RIGHT(converted, LEN(converted)-3), IF(LEFT(converted,2)=""98"", ""0"" &amp; RIGHT(converted, LEN(converted)-2), IF(LEFT(converted,1)&lt;&gt;""0"", ""0"" &amp; converted, REGEXREPLA"&amp;"CE(converted , ""\s"", """")) ) ) ) )"),"09121070729")</f>
        <v>09121070729</v>
      </c>
      <c r="D163" s="235" t="str">
        <f>VLOOKUP(C163, 'تجربه‌گرها'!D163:H1930, 4, False)</f>
        <v/>
      </c>
      <c r="E163" s="43" t="s">
        <v>6789</v>
      </c>
      <c r="F163" s="235" t="str">
        <f t="shared" si="1"/>
        <v>amin.samizadeh@gmail.com</v>
      </c>
    </row>
    <row r="164">
      <c r="A164" s="43"/>
      <c r="B164" s="240" t="s">
        <v>6768</v>
      </c>
      <c r="C164" s="235" t="str">
        <f>IFERROR(__xludf.DUMMYFUNCTION("ARRAYFORMULA(LET( converted, SUBSTITUTE( SUBSTITUTE( SUBSTITUTE( SUBSTITUTE( SUBSTITUTE( SUBSTITUTE( SUBSTITUTE( SUBSTITUTE( SUBSTITUTE( SUBSTITUTE( B164, ""۰"", ""0""), ""۱"", ""1""), ""۲"", ""2""), ""۳"", ""3""), ""۴"", ""4""), ""۵"", ""5""), ""۶"", ""6"&amp;"""), ""۷"", ""7""), ""۸"", ""8""), ""۹"", ""9""), IF(LEFT(converted,3)=""+98"", ""0"" &amp; RIGHT(converted, LEN(converted)-3), IF(LEFT(converted,2)=""98"", ""0"" &amp; RIGHT(converted, LEN(converted)-2), IF(LEFT(converted,1)&lt;&gt;""0"", ""0"" &amp; converted, REGEXREPLA"&amp;"CE(converted , ""\s"", """")) ) ) ) )"),"09126647646")</f>
        <v>09126647646</v>
      </c>
      <c r="D164" s="235" t="str">
        <f>VLOOKUP(C164, 'تجربه‌گرها'!D164:H1931, 4, False)</f>
        <v/>
      </c>
      <c r="E164" s="43" t="s">
        <v>6769</v>
      </c>
      <c r="F164" s="235" t="str">
        <f t="shared" si="1"/>
        <v>hamed.eslahifard@gmail.com</v>
      </c>
    </row>
    <row r="165">
      <c r="B165" s="240" t="s">
        <v>7316</v>
      </c>
      <c r="C165" s="235" t="str">
        <f>IFERROR(__xludf.DUMMYFUNCTION("ARRAYFORMULA(LET( converted, SUBSTITUTE( SUBSTITUTE( SUBSTITUTE( SUBSTITUTE( SUBSTITUTE( SUBSTITUTE( SUBSTITUTE( SUBSTITUTE( SUBSTITUTE( SUBSTITUTE( B165, ""۰"", ""0""), ""۱"", ""1""), ""۲"", ""2""), ""۳"", ""3""), ""۴"", ""4""), ""۵"", ""5""), ""۶"", ""6"&amp;"""), ""۷"", ""7""), ""۸"", ""8""), ""۹"", ""9""), IF(LEFT(converted,3)=""+98"", ""0"" &amp; RIGHT(converted, LEN(converted)-3), IF(LEFT(converted,2)=""98"", ""0"" &amp; RIGHT(converted, LEN(converted)-2), IF(LEFT(converted,1)&lt;&gt;""0"", ""0"" &amp; converted, REGEXREPLA"&amp;"CE(converted , ""\s"", """")) ) ) ) )"),"09921227924")</f>
        <v>09921227924</v>
      </c>
      <c r="D165" s="235" t="str">
        <f>VLOOKUP(C165, 'تجربه‌گرها'!D165:H1932, 4, False)</f>
        <v>#N/A</v>
      </c>
      <c r="E165" s="43" t="s">
        <v>7317</v>
      </c>
      <c r="F165" s="235" t="str">
        <f t="shared" si="1"/>
        <v>callmeahmadd6@gmail.com</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4.13"/>
    <col customWidth="1" min="2" max="2" width="22.0"/>
    <col hidden="1" min="3" max="3" width="12.63"/>
    <col customWidth="1" min="4" max="4" width="9.0"/>
    <col customWidth="1" min="5" max="13" width="4.38"/>
    <col customWidth="1" min="14" max="14" width="5.38"/>
    <col customWidth="1" min="15" max="15" width="5.25"/>
    <col customWidth="1" min="16" max="16" width="5.38"/>
  </cols>
  <sheetData>
    <row r="1" ht="27.0" customHeight="1">
      <c r="A1" s="241" t="str">
        <f t="array" ref="A1:A1542">UNIQUE('تجربه‌گرها'!B:B)</f>
        <v>نام و نام خانوادگی</v>
      </c>
      <c r="B1" s="241" t="s">
        <v>718</v>
      </c>
      <c r="C1" s="242"/>
      <c r="D1" s="243" t="s">
        <v>7318</v>
      </c>
      <c r="E1" s="243">
        <v>1.0</v>
      </c>
      <c r="F1" s="243">
        <v>2.0</v>
      </c>
      <c r="G1" s="243">
        <v>3.0</v>
      </c>
      <c r="H1" s="243">
        <v>4.0</v>
      </c>
      <c r="I1" s="243">
        <v>5.0</v>
      </c>
      <c r="J1" s="243">
        <v>6.0</v>
      </c>
      <c r="K1" s="243">
        <v>7.0</v>
      </c>
      <c r="L1" s="243">
        <v>8.0</v>
      </c>
      <c r="M1" s="243">
        <v>9.0</v>
      </c>
      <c r="N1" s="243">
        <v>10.0</v>
      </c>
      <c r="O1" s="243">
        <v>11.0</v>
      </c>
      <c r="P1" s="243">
        <v>12.0</v>
      </c>
      <c r="Q1" s="243">
        <v>13.0</v>
      </c>
      <c r="R1" s="243">
        <v>14.0</v>
      </c>
      <c r="S1" s="243">
        <v>15.0</v>
      </c>
      <c r="T1" s="243">
        <v>16.0</v>
      </c>
      <c r="U1" s="242"/>
      <c r="V1" s="242"/>
      <c r="W1" s="242"/>
      <c r="X1" s="242"/>
      <c r="Y1" s="242"/>
      <c r="Z1" s="242"/>
      <c r="AA1" s="242"/>
      <c r="AB1" s="242"/>
    </row>
    <row r="2">
      <c r="A2" s="244" t="s">
        <v>728</v>
      </c>
      <c r="B2" s="245" t="str">
        <f>VLOOKUP(A2,'تجربه‌گرها'!B:C,2,FALSE())</f>
        <v>9125269321</v>
      </c>
      <c r="C2" s="242"/>
      <c r="D2" s="242">
        <f t="shared" ref="D2:D1550" si="1">SUM(E2:Z2)</f>
        <v>2</v>
      </c>
      <c r="E2" s="242">
        <f>COUNTIFS('تجربه‌گرها'!$B:$B,$A2,'تجربه‌گرها'!$F:$F,E$1)</f>
        <v>1</v>
      </c>
      <c r="F2" s="242">
        <f>COUNTIFS('تجربه‌گرها'!$B:$B,$A2,'تجربه‌گرها'!$F:$F,F$1)</f>
        <v>1</v>
      </c>
      <c r="G2" s="242">
        <f>COUNTIFS('تجربه‌گرها'!$B:$B,$A2,'تجربه‌گرها'!$F:$F,G$1)</f>
        <v>0</v>
      </c>
      <c r="H2" s="242">
        <f>COUNTIFS('تجربه‌گرها'!$B:$B,$A2,'تجربه‌گرها'!$F:$F,H$1)</f>
        <v>0</v>
      </c>
      <c r="I2" s="242">
        <f>COUNTIFS('تجربه‌گرها'!$B:$B,$A2,'تجربه‌گرها'!$F:$F,I$1)</f>
        <v>0</v>
      </c>
      <c r="J2" s="242">
        <f>COUNTIFS('تجربه‌گرها'!$B:$B,$A2,'تجربه‌گرها'!$F:$F,J$1)</f>
        <v>0</v>
      </c>
      <c r="K2" s="242">
        <f>COUNTIFS('تجربه‌گرها'!$B:$B,$A2,'تجربه‌گرها'!$F:$F,K$1)</f>
        <v>0</v>
      </c>
      <c r="L2" s="242">
        <f>COUNTIFS('تجربه‌گرها'!$B:$B,$A2,'تجربه‌گرها'!$F:$F,L$1)</f>
        <v>0</v>
      </c>
      <c r="M2" s="242">
        <f>COUNTIFS('تجربه‌گرها'!$B:$B,$A2,'تجربه‌گرها'!$F:$F,M$1)</f>
        <v>0</v>
      </c>
      <c r="N2" s="242">
        <f>COUNTIFS('تجربه‌گرها'!$B:$B,$A2,'تجربه‌گرها'!$F:$F,N$1)</f>
        <v>0</v>
      </c>
      <c r="O2" s="242">
        <f>COUNTIFS('تجربه‌گرها'!$B:$B,$A2,'تجربه‌گرها'!$F:$F,O$1)</f>
        <v>0</v>
      </c>
      <c r="P2" s="242">
        <f>COUNTIFS('تجربه‌گرها'!$B:$B,$A2,'تجربه‌گرها'!$F:$F,P$1)</f>
        <v>0</v>
      </c>
      <c r="Q2" s="242">
        <f>COUNTIFS('تجربه‌گرها'!$B:$B,$A2,'تجربه‌گرها'!$F:$F,Q$1)</f>
        <v>0</v>
      </c>
      <c r="R2" s="242">
        <f>COUNTIFS('تجربه‌گرها'!$B:$B,$A2,'تجربه‌گرها'!$F:$F,R$1)</f>
        <v>0</v>
      </c>
      <c r="S2" s="242">
        <f>COUNTIFS('تجربه‌گرها'!$B:$B,$A2,'تجربه‌گرها'!$F:$F,S$1)</f>
        <v>0</v>
      </c>
      <c r="T2" s="242">
        <f>COUNTIFS('تجربه‌گرها'!$B:$B,$A2,'تجربه‌گرها'!$F:$F,T$1)</f>
        <v>0</v>
      </c>
      <c r="U2" s="242"/>
      <c r="V2" s="242"/>
      <c r="W2" s="242"/>
      <c r="X2" s="242"/>
      <c r="Y2" s="242"/>
      <c r="Z2" s="242"/>
      <c r="AA2" s="242"/>
      <c r="AB2" s="242"/>
    </row>
    <row r="3">
      <c r="A3" s="244" t="s">
        <v>738</v>
      </c>
      <c r="B3" s="245" t="str">
        <f>VLOOKUP(A3,'تجربه‌گرها'!B:C,2,FALSE())</f>
        <v>9195606985</v>
      </c>
      <c r="C3" s="242"/>
      <c r="D3" s="242">
        <f t="shared" si="1"/>
        <v>2</v>
      </c>
      <c r="E3" s="242">
        <f>COUNTIFS('تجربه‌گرها'!$B:$B,$A3,'تجربه‌گرها'!$F:$F,E$1)</f>
        <v>1</v>
      </c>
      <c r="F3" s="242">
        <f>COUNTIFS('تجربه‌گرها'!$B:$B,$A3,'تجربه‌گرها'!$F:$F,F$1)</f>
        <v>1</v>
      </c>
      <c r="G3" s="242">
        <f>COUNTIFS('تجربه‌گرها'!$B:$B,$A3,'تجربه‌گرها'!$F:$F,G$1)</f>
        <v>0</v>
      </c>
      <c r="H3" s="242">
        <f>COUNTIFS('تجربه‌گرها'!$B:$B,$A3,'تجربه‌گرها'!$F:$F,H$1)</f>
        <v>0</v>
      </c>
      <c r="I3" s="242">
        <f>COUNTIFS('تجربه‌گرها'!$B:$B,$A3,'تجربه‌گرها'!$F:$F,I$1)</f>
        <v>0</v>
      </c>
      <c r="J3" s="242">
        <f>COUNTIFS('تجربه‌گرها'!$B:$B,$A3,'تجربه‌گرها'!$F:$F,J$1)</f>
        <v>0</v>
      </c>
      <c r="K3" s="242">
        <f>COUNTIFS('تجربه‌گرها'!$B:$B,$A3,'تجربه‌گرها'!$F:$F,K$1)</f>
        <v>0</v>
      </c>
      <c r="L3" s="242">
        <f>COUNTIFS('تجربه‌گرها'!$B:$B,$A3,'تجربه‌گرها'!$F:$F,L$1)</f>
        <v>0</v>
      </c>
      <c r="M3" s="242">
        <f>COUNTIFS('تجربه‌گرها'!$B:$B,$A3,'تجربه‌گرها'!$F:$F,M$1)</f>
        <v>0</v>
      </c>
      <c r="N3" s="242">
        <f>COUNTIFS('تجربه‌گرها'!$B:$B,$A3,'تجربه‌گرها'!$F:$F,N$1)</f>
        <v>0</v>
      </c>
      <c r="O3" s="242">
        <f>COUNTIFS('تجربه‌گرها'!$B:$B,$A3,'تجربه‌گرها'!$F:$F,O$1)</f>
        <v>0</v>
      </c>
      <c r="P3" s="242">
        <f>COUNTIFS('تجربه‌گرها'!$B:$B,$A3,'تجربه‌گرها'!$F:$F,P$1)</f>
        <v>0</v>
      </c>
      <c r="Q3" s="242">
        <f>COUNTIFS('تجربه‌گرها'!$B:$B,$A3,'تجربه‌گرها'!$F:$F,Q$1)</f>
        <v>0</v>
      </c>
      <c r="R3" s="242">
        <f>COUNTIFS('تجربه‌گرها'!$B:$B,$A3,'تجربه‌گرها'!$F:$F,R$1)</f>
        <v>0</v>
      </c>
      <c r="S3" s="242">
        <f>COUNTIFS('تجربه‌گرها'!$B:$B,$A3,'تجربه‌گرها'!$F:$F,S$1)</f>
        <v>0</v>
      </c>
      <c r="T3" s="242">
        <f>COUNTIFS('تجربه‌گرها'!$B:$B,$A3,'تجربه‌گرها'!$F:$F,T$1)</f>
        <v>0</v>
      </c>
      <c r="U3" s="242"/>
      <c r="V3" s="242"/>
      <c r="W3" s="242"/>
      <c r="X3" s="242"/>
      <c r="Y3" s="242"/>
      <c r="Z3" s="242"/>
      <c r="AA3" s="242"/>
      <c r="AB3" s="242"/>
    </row>
    <row r="4">
      <c r="A4" s="244" t="s">
        <v>744</v>
      </c>
      <c r="B4" s="245" t="str">
        <f>VLOOKUP(A4,'تجربه‌گرها'!B:C,2,FALSE())</f>
        <v>9359550435</v>
      </c>
      <c r="C4" s="242"/>
      <c r="D4" s="242">
        <f t="shared" si="1"/>
        <v>2</v>
      </c>
      <c r="E4" s="242">
        <f>COUNTIFS('تجربه‌گرها'!$B:$B,$A4,'تجربه‌گرها'!$F:$F,E$1)</f>
        <v>1</v>
      </c>
      <c r="F4" s="242">
        <f>COUNTIFS('تجربه‌گرها'!$B:$B,$A4,'تجربه‌گرها'!$F:$F,F$1)</f>
        <v>1</v>
      </c>
      <c r="G4" s="242">
        <f>COUNTIFS('تجربه‌گرها'!$B:$B,$A4,'تجربه‌گرها'!$F:$F,G$1)</f>
        <v>0</v>
      </c>
      <c r="H4" s="242">
        <f>COUNTIFS('تجربه‌گرها'!$B:$B,$A4,'تجربه‌گرها'!$F:$F,H$1)</f>
        <v>0</v>
      </c>
      <c r="I4" s="242">
        <f>COUNTIFS('تجربه‌گرها'!$B:$B,$A4,'تجربه‌گرها'!$F:$F,I$1)</f>
        <v>0</v>
      </c>
      <c r="J4" s="242">
        <f>COUNTIFS('تجربه‌گرها'!$B:$B,$A4,'تجربه‌گرها'!$F:$F,J$1)</f>
        <v>0</v>
      </c>
      <c r="K4" s="242">
        <f>COUNTIFS('تجربه‌گرها'!$B:$B,$A4,'تجربه‌گرها'!$F:$F,K$1)</f>
        <v>0</v>
      </c>
      <c r="L4" s="242">
        <f>COUNTIFS('تجربه‌گرها'!$B:$B,$A4,'تجربه‌گرها'!$F:$F,L$1)</f>
        <v>0</v>
      </c>
      <c r="M4" s="242">
        <f>COUNTIFS('تجربه‌گرها'!$B:$B,$A4,'تجربه‌گرها'!$F:$F,M$1)</f>
        <v>0</v>
      </c>
      <c r="N4" s="242">
        <f>COUNTIFS('تجربه‌گرها'!$B:$B,$A4,'تجربه‌گرها'!$F:$F,N$1)</f>
        <v>0</v>
      </c>
      <c r="O4" s="242">
        <f>COUNTIFS('تجربه‌گرها'!$B:$B,$A4,'تجربه‌گرها'!$F:$F,O$1)</f>
        <v>0</v>
      </c>
      <c r="P4" s="242">
        <f>COUNTIFS('تجربه‌گرها'!$B:$B,$A4,'تجربه‌گرها'!$F:$F,P$1)</f>
        <v>0</v>
      </c>
      <c r="Q4" s="242">
        <f>COUNTIFS('تجربه‌گرها'!$B:$B,$A4,'تجربه‌گرها'!$F:$F,Q$1)</f>
        <v>0</v>
      </c>
      <c r="R4" s="242">
        <f>COUNTIFS('تجربه‌گرها'!$B:$B,$A4,'تجربه‌گرها'!$F:$F,R$1)</f>
        <v>0</v>
      </c>
      <c r="S4" s="242">
        <f>COUNTIFS('تجربه‌گرها'!$B:$B,$A4,'تجربه‌گرها'!$F:$F,S$1)</f>
        <v>0</v>
      </c>
      <c r="T4" s="242">
        <f>COUNTIFS('تجربه‌گرها'!$B:$B,$A4,'تجربه‌گرها'!$F:$F,T$1)</f>
        <v>0</v>
      </c>
      <c r="U4" s="242"/>
      <c r="V4" s="242"/>
      <c r="W4" s="242"/>
      <c r="X4" s="242"/>
      <c r="Y4" s="242"/>
      <c r="Z4" s="242"/>
      <c r="AA4" s="242"/>
      <c r="AB4" s="242"/>
    </row>
    <row r="5" hidden="1">
      <c r="A5" s="244" t="s">
        <v>754</v>
      </c>
      <c r="B5" s="245" t="str">
        <f>VLOOKUP(A5,'تجربه‌گرها'!B:C,2,FALSE())</f>
        <v>9366205771</v>
      </c>
      <c r="C5" s="242"/>
      <c r="D5" s="242">
        <f t="shared" si="1"/>
        <v>1</v>
      </c>
      <c r="E5" s="242">
        <f>COUNTIFS('تجربه‌گرها'!$B:$B,$A5,'تجربه‌گرها'!$F:$F,E$1)</f>
        <v>1</v>
      </c>
      <c r="F5" s="242">
        <f>COUNTIFS('تجربه‌گرها'!$B:$B,$A5,'تجربه‌گرها'!$F:$F,F$1)</f>
        <v>0</v>
      </c>
      <c r="G5" s="242">
        <f>COUNTIFS('تجربه‌گرها'!$B:$B,$A5,'تجربه‌گرها'!$F:$F,G$1)</f>
        <v>0</v>
      </c>
      <c r="H5" s="242">
        <f>COUNTIFS('تجربه‌گرها'!$B:$B,$A5,'تجربه‌گرها'!$F:$F,H$1)</f>
        <v>0</v>
      </c>
      <c r="I5" s="242">
        <f>COUNTIFS('تجربه‌گرها'!$B:$B,$A5,'تجربه‌گرها'!$F:$F,I$1)</f>
        <v>0</v>
      </c>
      <c r="J5" s="242">
        <f>COUNTIFS('تجربه‌گرها'!$B:$B,$A5,'تجربه‌گرها'!$F:$F,J$1)</f>
        <v>0</v>
      </c>
      <c r="K5" s="242">
        <f>COUNTIFS('تجربه‌گرها'!$B:$B,$A5,'تجربه‌گرها'!$F:$F,K$1)</f>
        <v>0</v>
      </c>
      <c r="L5" s="242">
        <f>COUNTIFS('تجربه‌گرها'!$B:$B,$A5,'تجربه‌گرها'!$F:$F,L$1)</f>
        <v>0</v>
      </c>
      <c r="M5" s="242">
        <f>COUNTIFS('تجربه‌گرها'!$B:$B,$A5,'تجربه‌گرها'!$F:$F,M$1)</f>
        <v>0</v>
      </c>
      <c r="N5" s="242">
        <f>COUNTIFS('تجربه‌گرها'!$B:$B,$A5,'تجربه‌گرها'!$F:$F,N$1)</f>
        <v>0</v>
      </c>
      <c r="O5" s="242">
        <f>COUNTIFS('تجربه‌گرها'!$B:$B,$A5,'تجربه‌گرها'!$F:$F,O$1)</f>
        <v>0</v>
      </c>
      <c r="P5" s="242">
        <f>COUNTIFS('تجربه‌گرها'!$B:$B,$A5,'تجربه‌گرها'!$F:$F,P$1)</f>
        <v>0</v>
      </c>
      <c r="Q5" s="242">
        <f>COUNTIFS('تجربه‌گرها'!$B:$B,$A5,'تجربه‌گرها'!$F:$F,Q$1)</f>
        <v>0</v>
      </c>
      <c r="R5" s="242">
        <f>COUNTIFS('تجربه‌گرها'!$B:$B,$A5,'تجربه‌گرها'!$F:$F,R$1)</f>
        <v>0</v>
      </c>
      <c r="S5" s="242">
        <f>COUNTIFS('تجربه‌گرها'!$B:$B,$A5,'تجربه‌گرها'!$F:$F,S$1)</f>
        <v>0</v>
      </c>
      <c r="T5" s="242">
        <f>COUNTIFS('تجربه‌گرها'!$B:$B,$A5,'تجربه‌گرها'!$F:$F,T$1)</f>
        <v>0</v>
      </c>
      <c r="U5" s="242"/>
      <c r="V5" s="242"/>
      <c r="W5" s="242"/>
      <c r="X5" s="242"/>
      <c r="Y5" s="242"/>
      <c r="Z5" s="242"/>
      <c r="AA5" s="242"/>
      <c r="AB5" s="242"/>
    </row>
    <row r="6" hidden="1">
      <c r="A6" s="244" t="s">
        <v>762</v>
      </c>
      <c r="B6" s="245" t="str">
        <f>VLOOKUP(A6,'تجربه‌گرها'!B:C,2,FALSE())</f>
        <v>9360559862</v>
      </c>
      <c r="C6" s="242"/>
      <c r="D6" s="242">
        <f t="shared" si="1"/>
        <v>1</v>
      </c>
      <c r="E6" s="242">
        <f>COUNTIFS('تجربه‌گرها'!$B:$B,$A6,'تجربه‌گرها'!$F:$F,E$1)</f>
        <v>1</v>
      </c>
      <c r="F6" s="242">
        <f>COUNTIFS('تجربه‌گرها'!$B:$B,$A6,'تجربه‌گرها'!$F:$F,F$1)</f>
        <v>0</v>
      </c>
      <c r="G6" s="242">
        <f>COUNTIFS('تجربه‌گرها'!$B:$B,$A6,'تجربه‌گرها'!$F:$F,G$1)</f>
        <v>0</v>
      </c>
      <c r="H6" s="242">
        <f>COUNTIFS('تجربه‌گرها'!$B:$B,$A6,'تجربه‌گرها'!$F:$F,H$1)</f>
        <v>0</v>
      </c>
      <c r="I6" s="242">
        <f>COUNTIFS('تجربه‌گرها'!$B:$B,$A6,'تجربه‌گرها'!$F:$F,I$1)</f>
        <v>0</v>
      </c>
      <c r="J6" s="242">
        <f>COUNTIFS('تجربه‌گرها'!$B:$B,$A6,'تجربه‌گرها'!$F:$F,J$1)</f>
        <v>0</v>
      </c>
      <c r="K6" s="242">
        <f>COUNTIFS('تجربه‌گرها'!$B:$B,$A6,'تجربه‌گرها'!$F:$F,K$1)</f>
        <v>0</v>
      </c>
      <c r="L6" s="242">
        <f>COUNTIFS('تجربه‌گرها'!$B:$B,$A6,'تجربه‌گرها'!$F:$F,L$1)</f>
        <v>0</v>
      </c>
      <c r="M6" s="242">
        <f>COUNTIFS('تجربه‌گرها'!$B:$B,$A6,'تجربه‌گرها'!$F:$F,M$1)</f>
        <v>0</v>
      </c>
      <c r="N6" s="242">
        <f>COUNTIFS('تجربه‌گرها'!$B:$B,$A6,'تجربه‌گرها'!$F:$F,N$1)</f>
        <v>0</v>
      </c>
      <c r="O6" s="242">
        <f>COUNTIFS('تجربه‌گرها'!$B:$B,$A6,'تجربه‌گرها'!$F:$F,O$1)</f>
        <v>0</v>
      </c>
      <c r="P6" s="242">
        <f>COUNTIFS('تجربه‌گرها'!$B:$B,$A6,'تجربه‌گرها'!$F:$F,P$1)</f>
        <v>0</v>
      </c>
      <c r="Q6" s="242">
        <f>COUNTIFS('تجربه‌گرها'!$B:$B,$A6,'تجربه‌گرها'!$F:$F,Q$1)</f>
        <v>0</v>
      </c>
      <c r="R6" s="242">
        <f>COUNTIFS('تجربه‌گرها'!$B:$B,$A6,'تجربه‌گرها'!$F:$F,R$1)</f>
        <v>0</v>
      </c>
      <c r="S6" s="242">
        <f>COUNTIFS('تجربه‌گرها'!$B:$B,$A6,'تجربه‌گرها'!$F:$F,S$1)</f>
        <v>0</v>
      </c>
      <c r="T6" s="242">
        <f>COUNTIFS('تجربه‌گرها'!$B:$B,$A6,'تجربه‌گرها'!$F:$F,T$1)</f>
        <v>0</v>
      </c>
      <c r="U6" s="242"/>
      <c r="V6" s="242"/>
      <c r="W6" s="242"/>
      <c r="X6" s="242"/>
      <c r="Y6" s="242"/>
      <c r="Z6" s="242"/>
      <c r="AA6" s="242"/>
      <c r="AB6" s="242"/>
    </row>
    <row r="7" hidden="1">
      <c r="A7" s="244" t="s">
        <v>770</v>
      </c>
      <c r="B7" s="245" t="str">
        <f>VLOOKUP(A7,'تجربه‌گرها'!B:C,2,FALSE())</f>
        <v>9398370087</v>
      </c>
      <c r="C7" s="242"/>
      <c r="D7" s="242">
        <f t="shared" si="1"/>
        <v>1</v>
      </c>
      <c r="E7" s="242">
        <f>COUNTIFS('تجربه‌گرها'!$B:$B,$A7,'تجربه‌گرها'!$F:$F,E$1)</f>
        <v>1</v>
      </c>
      <c r="F7" s="242">
        <f>COUNTIFS('تجربه‌گرها'!$B:$B,$A7,'تجربه‌گرها'!$F:$F,F$1)</f>
        <v>0</v>
      </c>
      <c r="G7" s="242">
        <f>COUNTIFS('تجربه‌گرها'!$B:$B,$A7,'تجربه‌گرها'!$F:$F,G$1)</f>
        <v>0</v>
      </c>
      <c r="H7" s="242">
        <f>COUNTIFS('تجربه‌گرها'!$B:$B,$A7,'تجربه‌گرها'!$F:$F,H$1)</f>
        <v>0</v>
      </c>
      <c r="I7" s="242">
        <f>COUNTIFS('تجربه‌گرها'!$B:$B,$A7,'تجربه‌گرها'!$F:$F,I$1)</f>
        <v>0</v>
      </c>
      <c r="J7" s="242">
        <f>COUNTIFS('تجربه‌گرها'!$B:$B,$A7,'تجربه‌گرها'!$F:$F,J$1)</f>
        <v>0</v>
      </c>
      <c r="K7" s="242">
        <f>COUNTIFS('تجربه‌گرها'!$B:$B,$A7,'تجربه‌گرها'!$F:$F,K$1)</f>
        <v>0</v>
      </c>
      <c r="L7" s="242">
        <f>COUNTIFS('تجربه‌گرها'!$B:$B,$A7,'تجربه‌گرها'!$F:$F,L$1)</f>
        <v>0</v>
      </c>
      <c r="M7" s="242">
        <f>COUNTIFS('تجربه‌گرها'!$B:$B,$A7,'تجربه‌گرها'!$F:$F,M$1)</f>
        <v>0</v>
      </c>
      <c r="N7" s="242">
        <f>COUNTIFS('تجربه‌گرها'!$B:$B,$A7,'تجربه‌گرها'!$F:$F,N$1)</f>
        <v>0</v>
      </c>
      <c r="O7" s="242">
        <f>COUNTIFS('تجربه‌گرها'!$B:$B,$A7,'تجربه‌گرها'!$F:$F,O$1)</f>
        <v>0</v>
      </c>
      <c r="P7" s="242">
        <f>COUNTIFS('تجربه‌گرها'!$B:$B,$A7,'تجربه‌گرها'!$F:$F,P$1)</f>
        <v>0</v>
      </c>
      <c r="Q7" s="242">
        <f>COUNTIFS('تجربه‌گرها'!$B:$B,$A7,'تجربه‌گرها'!$F:$F,Q$1)</f>
        <v>0</v>
      </c>
      <c r="R7" s="242">
        <f>COUNTIFS('تجربه‌گرها'!$B:$B,$A7,'تجربه‌گرها'!$F:$F,R$1)</f>
        <v>0</v>
      </c>
      <c r="S7" s="242">
        <f>COUNTIFS('تجربه‌گرها'!$B:$B,$A7,'تجربه‌گرها'!$F:$F,S$1)</f>
        <v>0</v>
      </c>
      <c r="T7" s="242">
        <f>COUNTIFS('تجربه‌گرها'!$B:$B,$A7,'تجربه‌گرها'!$F:$F,T$1)</f>
        <v>0</v>
      </c>
      <c r="U7" s="242"/>
      <c r="V7" s="242"/>
      <c r="W7" s="242"/>
      <c r="X7" s="242"/>
      <c r="Y7" s="242"/>
      <c r="Z7" s="242"/>
      <c r="AA7" s="242"/>
      <c r="AB7" s="242"/>
    </row>
    <row r="8">
      <c r="A8" s="244" t="s">
        <v>778</v>
      </c>
      <c r="B8" s="245" t="str">
        <f>VLOOKUP(A8,'تجربه‌گرها'!B:C,2,FALSE())</f>
        <v>9101963046</v>
      </c>
      <c r="C8" s="242"/>
      <c r="D8" s="242">
        <f t="shared" si="1"/>
        <v>2</v>
      </c>
      <c r="E8" s="242">
        <f>COUNTIFS('تجربه‌گرها'!$B:$B,$A8,'تجربه‌گرها'!$F:$F,E$1)</f>
        <v>1</v>
      </c>
      <c r="F8" s="242">
        <f>COUNTIFS('تجربه‌گرها'!$B:$B,$A8,'تجربه‌گرها'!$F:$F,F$1)</f>
        <v>1</v>
      </c>
      <c r="G8" s="242">
        <f>COUNTIFS('تجربه‌گرها'!$B:$B,$A8,'تجربه‌گرها'!$F:$F,G$1)</f>
        <v>0</v>
      </c>
      <c r="H8" s="242">
        <f>COUNTIFS('تجربه‌گرها'!$B:$B,$A8,'تجربه‌گرها'!$F:$F,H$1)</f>
        <v>0</v>
      </c>
      <c r="I8" s="242">
        <f>COUNTIFS('تجربه‌گرها'!$B:$B,$A8,'تجربه‌گرها'!$F:$F,I$1)</f>
        <v>0</v>
      </c>
      <c r="J8" s="242">
        <f>COUNTIFS('تجربه‌گرها'!$B:$B,$A8,'تجربه‌گرها'!$F:$F,J$1)</f>
        <v>0</v>
      </c>
      <c r="K8" s="242">
        <f>COUNTIFS('تجربه‌گرها'!$B:$B,$A8,'تجربه‌گرها'!$F:$F,K$1)</f>
        <v>0</v>
      </c>
      <c r="L8" s="242">
        <f>COUNTIFS('تجربه‌گرها'!$B:$B,$A8,'تجربه‌گرها'!$F:$F,L$1)</f>
        <v>0</v>
      </c>
      <c r="M8" s="242">
        <f>COUNTIFS('تجربه‌گرها'!$B:$B,$A8,'تجربه‌گرها'!$F:$F,M$1)</f>
        <v>0</v>
      </c>
      <c r="N8" s="242">
        <f>COUNTIFS('تجربه‌گرها'!$B:$B,$A8,'تجربه‌گرها'!$F:$F,N$1)</f>
        <v>0</v>
      </c>
      <c r="O8" s="242">
        <f>COUNTIFS('تجربه‌گرها'!$B:$B,$A8,'تجربه‌گرها'!$F:$F,O$1)</f>
        <v>0</v>
      </c>
      <c r="P8" s="242">
        <f>COUNTIFS('تجربه‌گرها'!$B:$B,$A8,'تجربه‌گرها'!$F:$F,P$1)</f>
        <v>0</v>
      </c>
      <c r="Q8" s="242">
        <f>COUNTIFS('تجربه‌گرها'!$B:$B,$A8,'تجربه‌گرها'!$F:$F,Q$1)</f>
        <v>0</v>
      </c>
      <c r="R8" s="242">
        <f>COUNTIFS('تجربه‌گرها'!$B:$B,$A8,'تجربه‌گرها'!$F:$F,R$1)</f>
        <v>0</v>
      </c>
      <c r="S8" s="242">
        <f>COUNTIFS('تجربه‌گرها'!$B:$B,$A8,'تجربه‌گرها'!$F:$F,S$1)</f>
        <v>0</v>
      </c>
      <c r="T8" s="242">
        <f>COUNTIFS('تجربه‌گرها'!$B:$B,$A8,'تجربه‌گرها'!$F:$F,T$1)</f>
        <v>0</v>
      </c>
      <c r="U8" s="242"/>
      <c r="V8" s="242"/>
      <c r="W8" s="242"/>
      <c r="X8" s="242"/>
      <c r="Y8" s="242"/>
      <c r="Z8" s="242"/>
      <c r="AA8" s="242"/>
      <c r="AB8" s="242"/>
    </row>
    <row r="9" hidden="1">
      <c r="A9" s="244" t="s">
        <v>786</v>
      </c>
      <c r="B9" s="245" t="str">
        <f>VLOOKUP(A9,'تجربه‌گرها'!B:C,2,FALSE())</f>
        <v/>
      </c>
      <c r="C9" s="242"/>
      <c r="D9" s="242">
        <f t="shared" si="1"/>
        <v>1</v>
      </c>
      <c r="E9" s="242">
        <f>COUNTIFS('تجربه‌گرها'!$B:$B,$A9,'تجربه‌گرها'!$F:$F,E$1)</f>
        <v>1</v>
      </c>
      <c r="F9" s="242">
        <f>COUNTIFS('تجربه‌گرها'!$B:$B,$A9,'تجربه‌گرها'!$F:$F,F$1)</f>
        <v>0</v>
      </c>
      <c r="G9" s="242">
        <f>COUNTIFS('تجربه‌گرها'!$B:$B,$A9,'تجربه‌گرها'!$F:$F,G$1)</f>
        <v>0</v>
      </c>
      <c r="H9" s="242">
        <f>COUNTIFS('تجربه‌گرها'!$B:$B,$A9,'تجربه‌گرها'!$F:$F,H$1)</f>
        <v>0</v>
      </c>
      <c r="I9" s="242">
        <f>COUNTIFS('تجربه‌گرها'!$B:$B,$A9,'تجربه‌گرها'!$F:$F,I$1)</f>
        <v>0</v>
      </c>
      <c r="J9" s="242">
        <f>COUNTIFS('تجربه‌گرها'!$B:$B,$A9,'تجربه‌گرها'!$F:$F,J$1)</f>
        <v>0</v>
      </c>
      <c r="K9" s="242">
        <f>COUNTIFS('تجربه‌گرها'!$B:$B,$A9,'تجربه‌گرها'!$F:$F,K$1)</f>
        <v>0</v>
      </c>
      <c r="L9" s="242">
        <f>COUNTIFS('تجربه‌گرها'!$B:$B,$A9,'تجربه‌گرها'!$F:$F,L$1)</f>
        <v>0</v>
      </c>
      <c r="M9" s="242">
        <f>COUNTIFS('تجربه‌گرها'!$B:$B,$A9,'تجربه‌گرها'!$F:$F,M$1)</f>
        <v>0</v>
      </c>
      <c r="N9" s="242">
        <f>COUNTIFS('تجربه‌گرها'!$B:$B,$A9,'تجربه‌گرها'!$F:$F,N$1)</f>
        <v>0</v>
      </c>
      <c r="O9" s="242">
        <f>COUNTIFS('تجربه‌گرها'!$B:$B,$A9,'تجربه‌گرها'!$F:$F,O$1)</f>
        <v>0</v>
      </c>
      <c r="P9" s="242">
        <f>COUNTIFS('تجربه‌گرها'!$B:$B,$A9,'تجربه‌گرها'!$F:$F,P$1)</f>
        <v>0</v>
      </c>
      <c r="Q9" s="242">
        <f>COUNTIFS('تجربه‌گرها'!$B:$B,$A9,'تجربه‌گرها'!$F:$F,Q$1)</f>
        <v>0</v>
      </c>
      <c r="R9" s="242">
        <f>COUNTIFS('تجربه‌گرها'!$B:$B,$A9,'تجربه‌گرها'!$F:$F,R$1)</f>
        <v>0</v>
      </c>
      <c r="S9" s="242">
        <f>COUNTIFS('تجربه‌گرها'!$B:$B,$A9,'تجربه‌گرها'!$F:$F,S$1)</f>
        <v>0</v>
      </c>
      <c r="T9" s="242">
        <f>COUNTIFS('تجربه‌گرها'!$B:$B,$A9,'تجربه‌گرها'!$F:$F,T$1)</f>
        <v>0</v>
      </c>
      <c r="U9" s="242"/>
      <c r="V9" s="242"/>
      <c r="W9" s="242"/>
      <c r="X9" s="242"/>
      <c r="Y9" s="242"/>
      <c r="Z9" s="242"/>
      <c r="AA9" s="242"/>
      <c r="AB9" s="242"/>
    </row>
    <row r="10" hidden="1">
      <c r="A10" s="244" t="s">
        <v>792</v>
      </c>
      <c r="B10" s="245" t="str">
        <f>VLOOKUP(A10,'تجربه‌گرها'!B:C,2,FALSE())</f>
        <v>9193143750</v>
      </c>
      <c r="C10" s="242"/>
      <c r="D10" s="242">
        <f t="shared" si="1"/>
        <v>1</v>
      </c>
      <c r="E10" s="242">
        <f>COUNTIFS('تجربه‌گرها'!$B:$B,$A10,'تجربه‌گرها'!$F:$F,E$1)</f>
        <v>1</v>
      </c>
      <c r="F10" s="242">
        <f>COUNTIFS('تجربه‌گرها'!$B:$B,$A10,'تجربه‌گرها'!$F:$F,F$1)</f>
        <v>0</v>
      </c>
      <c r="G10" s="242">
        <f>COUNTIFS('تجربه‌گرها'!$B:$B,$A10,'تجربه‌گرها'!$F:$F,G$1)</f>
        <v>0</v>
      </c>
      <c r="H10" s="242">
        <f>COUNTIFS('تجربه‌گرها'!$B:$B,$A10,'تجربه‌گرها'!$F:$F,H$1)</f>
        <v>0</v>
      </c>
      <c r="I10" s="242">
        <f>COUNTIFS('تجربه‌گرها'!$B:$B,$A10,'تجربه‌گرها'!$F:$F,I$1)</f>
        <v>0</v>
      </c>
      <c r="J10" s="242">
        <f>COUNTIFS('تجربه‌گرها'!$B:$B,$A10,'تجربه‌گرها'!$F:$F,J$1)</f>
        <v>0</v>
      </c>
      <c r="K10" s="242">
        <f>COUNTIFS('تجربه‌گرها'!$B:$B,$A10,'تجربه‌گرها'!$F:$F,K$1)</f>
        <v>0</v>
      </c>
      <c r="L10" s="242">
        <f>COUNTIFS('تجربه‌گرها'!$B:$B,$A10,'تجربه‌گرها'!$F:$F,L$1)</f>
        <v>0</v>
      </c>
      <c r="M10" s="242">
        <f>COUNTIFS('تجربه‌گرها'!$B:$B,$A10,'تجربه‌گرها'!$F:$F,M$1)</f>
        <v>0</v>
      </c>
      <c r="N10" s="242">
        <f>COUNTIFS('تجربه‌گرها'!$B:$B,$A10,'تجربه‌گرها'!$F:$F,N$1)</f>
        <v>0</v>
      </c>
      <c r="O10" s="242">
        <f>COUNTIFS('تجربه‌گرها'!$B:$B,$A10,'تجربه‌گرها'!$F:$F,O$1)</f>
        <v>0</v>
      </c>
      <c r="P10" s="242">
        <f>COUNTIFS('تجربه‌گرها'!$B:$B,$A10,'تجربه‌گرها'!$F:$F,P$1)</f>
        <v>0</v>
      </c>
      <c r="Q10" s="242">
        <f>COUNTIFS('تجربه‌گرها'!$B:$B,$A10,'تجربه‌گرها'!$F:$F,Q$1)</f>
        <v>0</v>
      </c>
      <c r="R10" s="242">
        <f>COUNTIFS('تجربه‌گرها'!$B:$B,$A10,'تجربه‌گرها'!$F:$F,R$1)</f>
        <v>0</v>
      </c>
      <c r="S10" s="242">
        <f>COUNTIFS('تجربه‌گرها'!$B:$B,$A10,'تجربه‌گرها'!$F:$F,S$1)</f>
        <v>0</v>
      </c>
      <c r="T10" s="242">
        <f>COUNTIFS('تجربه‌گرها'!$B:$B,$A10,'تجربه‌گرها'!$F:$F,T$1)</f>
        <v>0</v>
      </c>
      <c r="U10" s="242"/>
      <c r="V10" s="242"/>
      <c r="W10" s="242"/>
      <c r="X10" s="242"/>
      <c r="Y10" s="242"/>
      <c r="Z10" s="242"/>
      <c r="AA10" s="242"/>
      <c r="AB10" s="242"/>
    </row>
    <row r="11" hidden="1">
      <c r="A11" s="244" t="s">
        <v>800</v>
      </c>
      <c r="B11" s="245" t="str">
        <f>VLOOKUP(A11,'تجربه‌گرها'!B:C,2,FALSE())</f>
        <v>9304229459</v>
      </c>
      <c r="C11" s="242"/>
      <c r="D11" s="242">
        <f t="shared" si="1"/>
        <v>1</v>
      </c>
      <c r="E11" s="242">
        <f>COUNTIFS('تجربه‌گرها'!$B:$B,$A11,'تجربه‌گرها'!$F:$F,E$1)</f>
        <v>1</v>
      </c>
      <c r="F11" s="242">
        <f>COUNTIFS('تجربه‌گرها'!$B:$B,$A11,'تجربه‌گرها'!$F:$F,F$1)</f>
        <v>0</v>
      </c>
      <c r="G11" s="242">
        <f>COUNTIFS('تجربه‌گرها'!$B:$B,$A11,'تجربه‌گرها'!$F:$F,G$1)</f>
        <v>0</v>
      </c>
      <c r="H11" s="242">
        <f>COUNTIFS('تجربه‌گرها'!$B:$B,$A11,'تجربه‌گرها'!$F:$F,H$1)</f>
        <v>0</v>
      </c>
      <c r="I11" s="242">
        <f>COUNTIFS('تجربه‌گرها'!$B:$B,$A11,'تجربه‌گرها'!$F:$F,I$1)</f>
        <v>0</v>
      </c>
      <c r="J11" s="242">
        <f>COUNTIFS('تجربه‌گرها'!$B:$B,$A11,'تجربه‌گرها'!$F:$F,J$1)</f>
        <v>0</v>
      </c>
      <c r="K11" s="242">
        <f>COUNTIFS('تجربه‌گرها'!$B:$B,$A11,'تجربه‌گرها'!$F:$F,K$1)</f>
        <v>0</v>
      </c>
      <c r="L11" s="242">
        <f>COUNTIFS('تجربه‌گرها'!$B:$B,$A11,'تجربه‌گرها'!$F:$F,L$1)</f>
        <v>0</v>
      </c>
      <c r="M11" s="242">
        <f>COUNTIFS('تجربه‌گرها'!$B:$B,$A11,'تجربه‌گرها'!$F:$F,M$1)</f>
        <v>0</v>
      </c>
      <c r="N11" s="242">
        <f>COUNTIFS('تجربه‌گرها'!$B:$B,$A11,'تجربه‌گرها'!$F:$F,N$1)</f>
        <v>0</v>
      </c>
      <c r="O11" s="242">
        <f>COUNTIFS('تجربه‌گرها'!$B:$B,$A11,'تجربه‌گرها'!$F:$F,O$1)</f>
        <v>0</v>
      </c>
      <c r="P11" s="242">
        <f>COUNTIFS('تجربه‌گرها'!$B:$B,$A11,'تجربه‌گرها'!$F:$F,P$1)</f>
        <v>0</v>
      </c>
      <c r="Q11" s="242">
        <f>COUNTIFS('تجربه‌گرها'!$B:$B,$A11,'تجربه‌گرها'!$F:$F,Q$1)</f>
        <v>0</v>
      </c>
      <c r="R11" s="242">
        <f>COUNTIFS('تجربه‌گرها'!$B:$B,$A11,'تجربه‌گرها'!$F:$F,R$1)</f>
        <v>0</v>
      </c>
      <c r="S11" s="242">
        <f>COUNTIFS('تجربه‌گرها'!$B:$B,$A11,'تجربه‌گرها'!$F:$F,S$1)</f>
        <v>0</v>
      </c>
      <c r="T11" s="242">
        <f>COUNTIFS('تجربه‌گرها'!$B:$B,$A11,'تجربه‌گرها'!$F:$F,T$1)</f>
        <v>0</v>
      </c>
      <c r="U11" s="242"/>
      <c r="V11" s="242"/>
      <c r="W11" s="242"/>
      <c r="X11" s="242"/>
      <c r="Y11" s="242"/>
      <c r="Z11" s="242"/>
      <c r="AA11" s="242"/>
      <c r="AB11" s="242"/>
    </row>
    <row r="12" hidden="1">
      <c r="A12" s="244" t="s">
        <v>806</v>
      </c>
      <c r="B12" s="245" t="str">
        <f>VLOOKUP(A12,'تجربه‌گرها'!B:C,2,FALSE())</f>
        <v>9122091903</v>
      </c>
      <c r="C12" s="242"/>
      <c r="D12" s="242">
        <f t="shared" si="1"/>
        <v>1</v>
      </c>
      <c r="E12" s="242">
        <f>COUNTIFS('تجربه‌گرها'!$B:$B,$A12,'تجربه‌گرها'!$F:$F,E$1)</f>
        <v>1</v>
      </c>
      <c r="F12" s="242">
        <f>COUNTIFS('تجربه‌گرها'!$B:$B,$A12,'تجربه‌گرها'!$F:$F,F$1)</f>
        <v>0</v>
      </c>
      <c r="G12" s="242">
        <f>COUNTIFS('تجربه‌گرها'!$B:$B,$A12,'تجربه‌گرها'!$F:$F,G$1)</f>
        <v>0</v>
      </c>
      <c r="H12" s="242">
        <f>COUNTIFS('تجربه‌گرها'!$B:$B,$A12,'تجربه‌گرها'!$F:$F,H$1)</f>
        <v>0</v>
      </c>
      <c r="I12" s="242">
        <f>COUNTIFS('تجربه‌گرها'!$B:$B,$A12,'تجربه‌گرها'!$F:$F,I$1)</f>
        <v>0</v>
      </c>
      <c r="J12" s="242">
        <f>COUNTIFS('تجربه‌گرها'!$B:$B,$A12,'تجربه‌گرها'!$F:$F,J$1)</f>
        <v>0</v>
      </c>
      <c r="K12" s="242">
        <f>COUNTIFS('تجربه‌گرها'!$B:$B,$A12,'تجربه‌گرها'!$F:$F,K$1)</f>
        <v>0</v>
      </c>
      <c r="L12" s="242">
        <f>COUNTIFS('تجربه‌گرها'!$B:$B,$A12,'تجربه‌گرها'!$F:$F,L$1)</f>
        <v>0</v>
      </c>
      <c r="M12" s="242">
        <f>COUNTIFS('تجربه‌گرها'!$B:$B,$A12,'تجربه‌گرها'!$F:$F,M$1)</f>
        <v>0</v>
      </c>
      <c r="N12" s="242">
        <f>COUNTIFS('تجربه‌گرها'!$B:$B,$A12,'تجربه‌گرها'!$F:$F,N$1)</f>
        <v>0</v>
      </c>
      <c r="O12" s="242">
        <f>COUNTIFS('تجربه‌گرها'!$B:$B,$A12,'تجربه‌گرها'!$F:$F,O$1)</f>
        <v>0</v>
      </c>
      <c r="P12" s="242">
        <f>COUNTIFS('تجربه‌گرها'!$B:$B,$A12,'تجربه‌گرها'!$F:$F,P$1)</f>
        <v>0</v>
      </c>
      <c r="Q12" s="242">
        <f>COUNTIFS('تجربه‌گرها'!$B:$B,$A12,'تجربه‌گرها'!$F:$F,Q$1)</f>
        <v>0</v>
      </c>
      <c r="R12" s="242">
        <f>COUNTIFS('تجربه‌گرها'!$B:$B,$A12,'تجربه‌گرها'!$F:$F,R$1)</f>
        <v>0</v>
      </c>
      <c r="S12" s="242">
        <f>COUNTIFS('تجربه‌گرها'!$B:$B,$A12,'تجربه‌گرها'!$F:$F,S$1)</f>
        <v>0</v>
      </c>
      <c r="T12" s="242">
        <f>COUNTIFS('تجربه‌گرها'!$B:$B,$A12,'تجربه‌گرها'!$F:$F,T$1)</f>
        <v>0</v>
      </c>
      <c r="U12" s="242"/>
      <c r="V12" s="242"/>
      <c r="W12" s="242"/>
      <c r="X12" s="242"/>
      <c r="Y12" s="242"/>
      <c r="Z12" s="242"/>
      <c r="AA12" s="242"/>
      <c r="AB12" s="242"/>
    </row>
    <row r="13" hidden="1">
      <c r="A13" s="244" t="s">
        <v>814</v>
      </c>
      <c r="B13" s="245" t="str">
        <f>VLOOKUP(A13,'تجربه‌گرها'!B:C,2,FALSE())</f>
        <v>9125661359</v>
      </c>
      <c r="C13" s="242"/>
      <c r="D13" s="242">
        <f t="shared" si="1"/>
        <v>1</v>
      </c>
      <c r="E13" s="242">
        <f>COUNTIFS('تجربه‌گرها'!$B:$B,$A13,'تجربه‌گرها'!$F:$F,E$1)</f>
        <v>1</v>
      </c>
      <c r="F13" s="242">
        <f>COUNTIFS('تجربه‌گرها'!$B:$B,$A13,'تجربه‌گرها'!$F:$F,F$1)</f>
        <v>0</v>
      </c>
      <c r="G13" s="242">
        <f>COUNTIFS('تجربه‌گرها'!$B:$B,$A13,'تجربه‌گرها'!$F:$F,G$1)</f>
        <v>0</v>
      </c>
      <c r="H13" s="242">
        <f>COUNTIFS('تجربه‌گرها'!$B:$B,$A13,'تجربه‌گرها'!$F:$F,H$1)</f>
        <v>0</v>
      </c>
      <c r="I13" s="242">
        <f>COUNTIFS('تجربه‌گرها'!$B:$B,$A13,'تجربه‌گرها'!$F:$F,I$1)</f>
        <v>0</v>
      </c>
      <c r="J13" s="242">
        <f>COUNTIFS('تجربه‌گرها'!$B:$B,$A13,'تجربه‌گرها'!$F:$F,J$1)</f>
        <v>0</v>
      </c>
      <c r="K13" s="242">
        <f>COUNTIFS('تجربه‌گرها'!$B:$B,$A13,'تجربه‌گرها'!$F:$F,K$1)</f>
        <v>0</v>
      </c>
      <c r="L13" s="242">
        <f>COUNTIFS('تجربه‌گرها'!$B:$B,$A13,'تجربه‌گرها'!$F:$F,L$1)</f>
        <v>0</v>
      </c>
      <c r="M13" s="242">
        <f>COUNTIFS('تجربه‌گرها'!$B:$B,$A13,'تجربه‌گرها'!$F:$F,M$1)</f>
        <v>0</v>
      </c>
      <c r="N13" s="242">
        <f>COUNTIFS('تجربه‌گرها'!$B:$B,$A13,'تجربه‌گرها'!$F:$F,N$1)</f>
        <v>0</v>
      </c>
      <c r="O13" s="242">
        <f>COUNTIFS('تجربه‌گرها'!$B:$B,$A13,'تجربه‌گرها'!$F:$F,O$1)</f>
        <v>0</v>
      </c>
      <c r="P13" s="242">
        <f>COUNTIFS('تجربه‌گرها'!$B:$B,$A13,'تجربه‌گرها'!$F:$F,P$1)</f>
        <v>0</v>
      </c>
      <c r="Q13" s="242">
        <f>COUNTIFS('تجربه‌گرها'!$B:$B,$A13,'تجربه‌گرها'!$F:$F,Q$1)</f>
        <v>0</v>
      </c>
      <c r="R13" s="242">
        <f>COUNTIFS('تجربه‌گرها'!$B:$B,$A13,'تجربه‌گرها'!$F:$F,R$1)</f>
        <v>0</v>
      </c>
      <c r="S13" s="242">
        <f>COUNTIFS('تجربه‌گرها'!$B:$B,$A13,'تجربه‌گرها'!$F:$F,S$1)</f>
        <v>0</v>
      </c>
      <c r="T13" s="242">
        <f>COUNTIFS('تجربه‌گرها'!$B:$B,$A13,'تجربه‌گرها'!$F:$F,T$1)</f>
        <v>0</v>
      </c>
      <c r="U13" s="242"/>
      <c r="V13" s="242"/>
      <c r="W13" s="242"/>
      <c r="X13" s="242"/>
      <c r="Y13" s="242"/>
      <c r="Z13" s="242"/>
      <c r="AA13" s="242"/>
      <c r="AB13" s="242"/>
    </row>
    <row r="14" hidden="1">
      <c r="A14" s="244" t="s">
        <v>822</v>
      </c>
      <c r="B14" s="245" t="str">
        <f>VLOOKUP(A14,'تجربه‌گرها'!B:C,2,FALSE())</f>
        <v>9127094319</v>
      </c>
      <c r="C14" s="242"/>
      <c r="D14" s="242">
        <f t="shared" si="1"/>
        <v>1</v>
      </c>
      <c r="E14" s="242">
        <f>COUNTIFS('تجربه‌گرها'!$B:$B,$A14,'تجربه‌گرها'!$F:$F,E$1)</f>
        <v>1</v>
      </c>
      <c r="F14" s="242">
        <f>COUNTIFS('تجربه‌گرها'!$B:$B,$A14,'تجربه‌گرها'!$F:$F,F$1)</f>
        <v>0</v>
      </c>
      <c r="G14" s="242">
        <f>COUNTIFS('تجربه‌گرها'!$B:$B,$A14,'تجربه‌گرها'!$F:$F,G$1)</f>
        <v>0</v>
      </c>
      <c r="H14" s="242">
        <f>COUNTIFS('تجربه‌گرها'!$B:$B,$A14,'تجربه‌گرها'!$F:$F,H$1)</f>
        <v>0</v>
      </c>
      <c r="I14" s="242">
        <f>COUNTIFS('تجربه‌گرها'!$B:$B,$A14,'تجربه‌گرها'!$F:$F,I$1)</f>
        <v>0</v>
      </c>
      <c r="J14" s="242">
        <f>COUNTIFS('تجربه‌گرها'!$B:$B,$A14,'تجربه‌گرها'!$F:$F,J$1)</f>
        <v>0</v>
      </c>
      <c r="K14" s="242">
        <f>COUNTIFS('تجربه‌گرها'!$B:$B,$A14,'تجربه‌گرها'!$F:$F,K$1)</f>
        <v>0</v>
      </c>
      <c r="L14" s="242">
        <f>COUNTIFS('تجربه‌گرها'!$B:$B,$A14,'تجربه‌گرها'!$F:$F,L$1)</f>
        <v>0</v>
      </c>
      <c r="M14" s="242">
        <f>COUNTIFS('تجربه‌گرها'!$B:$B,$A14,'تجربه‌گرها'!$F:$F,M$1)</f>
        <v>0</v>
      </c>
      <c r="N14" s="242">
        <f>COUNTIFS('تجربه‌گرها'!$B:$B,$A14,'تجربه‌گرها'!$F:$F,N$1)</f>
        <v>0</v>
      </c>
      <c r="O14" s="242">
        <f>COUNTIFS('تجربه‌گرها'!$B:$B,$A14,'تجربه‌گرها'!$F:$F,O$1)</f>
        <v>0</v>
      </c>
      <c r="P14" s="242">
        <f>COUNTIFS('تجربه‌گرها'!$B:$B,$A14,'تجربه‌گرها'!$F:$F,P$1)</f>
        <v>0</v>
      </c>
      <c r="Q14" s="242">
        <f>COUNTIFS('تجربه‌گرها'!$B:$B,$A14,'تجربه‌گرها'!$F:$F,Q$1)</f>
        <v>0</v>
      </c>
      <c r="R14" s="242">
        <f>COUNTIFS('تجربه‌گرها'!$B:$B,$A14,'تجربه‌گرها'!$F:$F,R$1)</f>
        <v>0</v>
      </c>
      <c r="S14" s="242">
        <f>COUNTIFS('تجربه‌گرها'!$B:$B,$A14,'تجربه‌گرها'!$F:$F,S$1)</f>
        <v>0</v>
      </c>
      <c r="T14" s="242">
        <f>COUNTIFS('تجربه‌گرها'!$B:$B,$A14,'تجربه‌گرها'!$F:$F,T$1)</f>
        <v>0</v>
      </c>
      <c r="U14" s="242"/>
      <c r="V14" s="242"/>
      <c r="W14" s="242"/>
      <c r="X14" s="242"/>
      <c r="Y14" s="242"/>
      <c r="Z14" s="242"/>
      <c r="AA14" s="242"/>
      <c r="AB14" s="242"/>
    </row>
    <row r="15" hidden="1">
      <c r="A15" s="244" t="s">
        <v>828</v>
      </c>
      <c r="B15" s="245" t="str">
        <f>VLOOKUP(A15,'تجربه‌گرها'!B:C,2,FALSE())</f>
        <v>9303749039</v>
      </c>
      <c r="C15" s="242"/>
      <c r="D15" s="242">
        <f t="shared" si="1"/>
        <v>1</v>
      </c>
      <c r="E15" s="242">
        <f>COUNTIFS('تجربه‌گرها'!$B:$B,$A15,'تجربه‌گرها'!$F:$F,E$1)</f>
        <v>1</v>
      </c>
      <c r="F15" s="242">
        <f>COUNTIFS('تجربه‌گرها'!$B:$B,$A15,'تجربه‌گرها'!$F:$F,F$1)</f>
        <v>0</v>
      </c>
      <c r="G15" s="242">
        <f>COUNTIFS('تجربه‌گرها'!$B:$B,$A15,'تجربه‌گرها'!$F:$F,G$1)</f>
        <v>0</v>
      </c>
      <c r="H15" s="242">
        <f>COUNTIFS('تجربه‌گرها'!$B:$B,$A15,'تجربه‌گرها'!$F:$F,H$1)</f>
        <v>0</v>
      </c>
      <c r="I15" s="242">
        <f>COUNTIFS('تجربه‌گرها'!$B:$B,$A15,'تجربه‌گرها'!$F:$F,I$1)</f>
        <v>0</v>
      </c>
      <c r="J15" s="242">
        <f>COUNTIFS('تجربه‌گرها'!$B:$B,$A15,'تجربه‌گرها'!$F:$F,J$1)</f>
        <v>0</v>
      </c>
      <c r="K15" s="242">
        <f>COUNTIFS('تجربه‌گرها'!$B:$B,$A15,'تجربه‌گرها'!$F:$F,K$1)</f>
        <v>0</v>
      </c>
      <c r="L15" s="242">
        <f>COUNTIFS('تجربه‌گرها'!$B:$B,$A15,'تجربه‌گرها'!$F:$F,L$1)</f>
        <v>0</v>
      </c>
      <c r="M15" s="242">
        <f>COUNTIFS('تجربه‌گرها'!$B:$B,$A15,'تجربه‌گرها'!$F:$F,M$1)</f>
        <v>0</v>
      </c>
      <c r="N15" s="242">
        <f>COUNTIFS('تجربه‌گرها'!$B:$B,$A15,'تجربه‌گرها'!$F:$F,N$1)</f>
        <v>0</v>
      </c>
      <c r="O15" s="242">
        <f>COUNTIFS('تجربه‌گرها'!$B:$B,$A15,'تجربه‌گرها'!$F:$F,O$1)</f>
        <v>0</v>
      </c>
      <c r="P15" s="242">
        <f>COUNTIFS('تجربه‌گرها'!$B:$B,$A15,'تجربه‌گرها'!$F:$F,P$1)</f>
        <v>0</v>
      </c>
      <c r="Q15" s="242">
        <f>COUNTIFS('تجربه‌گرها'!$B:$B,$A15,'تجربه‌گرها'!$F:$F,Q$1)</f>
        <v>0</v>
      </c>
      <c r="R15" s="242">
        <f>COUNTIFS('تجربه‌گرها'!$B:$B,$A15,'تجربه‌گرها'!$F:$F,R$1)</f>
        <v>0</v>
      </c>
      <c r="S15" s="242">
        <f>COUNTIFS('تجربه‌گرها'!$B:$B,$A15,'تجربه‌گرها'!$F:$F,S$1)</f>
        <v>0</v>
      </c>
      <c r="T15" s="242">
        <f>COUNTIFS('تجربه‌گرها'!$B:$B,$A15,'تجربه‌گرها'!$F:$F,T$1)</f>
        <v>0</v>
      </c>
      <c r="U15" s="242"/>
      <c r="V15" s="242"/>
      <c r="W15" s="242"/>
      <c r="X15" s="242"/>
      <c r="Y15" s="242"/>
      <c r="Z15" s="242"/>
      <c r="AA15" s="242"/>
      <c r="AB15" s="242"/>
    </row>
    <row r="16" hidden="1">
      <c r="A16" s="244" t="s">
        <v>833</v>
      </c>
      <c r="B16" s="245" t="str">
        <f>VLOOKUP(A16,'تجربه‌گرها'!B:C,2,FALSE())</f>
        <v>9192386071</v>
      </c>
      <c r="C16" s="242"/>
      <c r="D16" s="242">
        <f t="shared" si="1"/>
        <v>2</v>
      </c>
      <c r="E16" s="242">
        <f>COUNTIFS('تجربه‌گرها'!$B:$B,$A16,'تجربه‌گرها'!$F:$F,E$1)</f>
        <v>1</v>
      </c>
      <c r="F16" s="242">
        <f>COUNTIFS('تجربه‌گرها'!$B:$B,$A16,'تجربه‌گرها'!$F:$F,F$1)</f>
        <v>1</v>
      </c>
      <c r="G16" s="242">
        <f>COUNTIFS('تجربه‌گرها'!$B:$B,$A16,'تجربه‌گرها'!$F:$F,G$1)</f>
        <v>0</v>
      </c>
      <c r="H16" s="242">
        <f>COUNTIFS('تجربه‌گرها'!$B:$B,$A16,'تجربه‌گرها'!$F:$F,H$1)</f>
        <v>0</v>
      </c>
      <c r="I16" s="242">
        <f>COUNTIFS('تجربه‌گرها'!$B:$B,$A16,'تجربه‌گرها'!$F:$F,I$1)</f>
        <v>0</v>
      </c>
      <c r="J16" s="242">
        <f>COUNTIFS('تجربه‌گرها'!$B:$B,$A16,'تجربه‌گرها'!$F:$F,J$1)</f>
        <v>0</v>
      </c>
      <c r="K16" s="242">
        <f>COUNTIFS('تجربه‌گرها'!$B:$B,$A16,'تجربه‌گرها'!$F:$F,K$1)</f>
        <v>0</v>
      </c>
      <c r="L16" s="242">
        <f>COUNTIFS('تجربه‌گرها'!$B:$B,$A16,'تجربه‌گرها'!$F:$F,L$1)</f>
        <v>0</v>
      </c>
      <c r="M16" s="242">
        <f>COUNTIFS('تجربه‌گرها'!$B:$B,$A16,'تجربه‌گرها'!$F:$F,M$1)</f>
        <v>0</v>
      </c>
      <c r="N16" s="242">
        <f>COUNTIFS('تجربه‌گرها'!$B:$B,$A16,'تجربه‌گرها'!$F:$F,N$1)</f>
        <v>0</v>
      </c>
      <c r="O16" s="242">
        <f>COUNTIFS('تجربه‌گرها'!$B:$B,$A16,'تجربه‌گرها'!$F:$F,O$1)</f>
        <v>0</v>
      </c>
      <c r="P16" s="242">
        <f>COUNTIFS('تجربه‌گرها'!$B:$B,$A16,'تجربه‌گرها'!$F:$F,P$1)</f>
        <v>0</v>
      </c>
      <c r="Q16" s="242">
        <f>COUNTIFS('تجربه‌گرها'!$B:$B,$A16,'تجربه‌گرها'!$F:$F,Q$1)</f>
        <v>0</v>
      </c>
      <c r="R16" s="242">
        <f>COUNTIFS('تجربه‌گرها'!$B:$B,$A16,'تجربه‌گرها'!$F:$F,R$1)</f>
        <v>0</v>
      </c>
      <c r="S16" s="242">
        <f>COUNTIFS('تجربه‌گرها'!$B:$B,$A16,'تجربه‌گرها'!$F:$F,S$1)</f>
        <v>0</v>
      </c>
      <c r="T16" s="242">
        <f>COUNTIFS('تجربه‌گرها'!$B:$B,$A16,'تجربه‌گرها'!$F:$F,T$1)</f>
        <v>0</v>
      </c>
      <c r="U16" s="242"/>
      <c r="V16" s="242"/>
      <c r="W16" s="242"/>
      <c r="X16" s="242"/>
      <c r="Y16" s="242"/>
      <c r="Z16" s="242"/>
      <c r="AA16" s="242"/>
      <c r="AB16" s="242"/>
    </row>
    <row r="17" hidden="1">
      <c r="A17" s="244" t="s">
        <v>840</v>
      </c>
      <c r="B17" s="245" t="str">
        <f>VLOOKUP(A17,'تجربه‌گرها'!B:C,2,FALSE())</f>
        <v>9127746737</v>
      </c>
      <c r="C17" s="242"/>
      <c r="D17" s="242">
        <f t="shared" si="1"/>
        <v>1</v>
      </c>
      <c r="E17" s="242">
        <f>COUNTIFS('تجربه‌گرها'!$B:$B,$A17,'تجربه‌گرها'!$F:$F,E$1)</f>
        <v>1</v>
      </c>
      <c r="F17" s="242">
        <f>COUNTIFS('تجربه‌گرها'!$B:$B,$A17,'تجربه‌گرها'!$F:$F,F$1)</f>
        <v>0</v>
      </c>
      <c r="G17" s="242">
        <f>COUNTIFS('تجربه‌گرها'!$B:$B,$A17,'تجربه‌گرها'!$F:$F,G$1)</f>
        <v>0</v>
      </c>
      <c r="H17" s="242">
        <f>COUNTIFS('تجربه‌گرها'!$B:$B,$A17,'تجربه‌گرها'!$F:$F,H$1)</f>
        <v>0</v>
      </c>
      <c r="I17" s="242">
        <f>COUNTIFS('تجربه‌گرها'!$B:$B,$A17,'تجربه‌گرها'!$F:$F,I$1)</f>
        <v>0</v>
      </c>
      <c r="J17" s="242">
        <f>COUNTIFS('تجربه‌گرها'!$B:$B,$A17,'تجربه‌گرها'!$F:$F,J$1)</f>
        <v>0</v>
      </c>
      <c r="K17" s="242">
        <f>COUNTIFS('تجربه‌گرها'!$B:$B,$A17,'تجربه‌گرها'!$F:$F,K$1)</f>
        <v>0</v>
      </c>
      <c r="L17" s="242">
        <f>COUNTIFS('تجربه‌گرها'!$B:$B,$A17,'تجربه‌گرها'!$F:$F,L$1)</f>
        <v>0</v>
      </c>
      <c r="M17" s="242">
        <f>COUNTIFS('تجربه‌گرها'!$B:$B,$A17,'تجربه‌گرها'!$F:$F,M$1)</f>
        <v>0</v>
      </c>
      <c r="N17" s="242">
        <f>COUNTIFS('تجربه‌گرها'!$B:$B,$A17,'تجربه‌گرها'!$F:$F,N$1)</f>
        <v>0</v>
      </c>
      <c r="O17" s="242">
        <f>COUNTIFS('تجربه‌گرها'!$B:$B,$A17,'تجربه‌گرها'!$F:$F,O$1)</f>
        <v>0</v>
      </c>
      <c r="P17" s="242">
        <f>COUNTIFS('تجربه‌گرها'!$B:$B,$A17,'تجربه‌گرها'!$F:$F,P$1)</f>
        <v>0</v>
      </c>
      <c r="Q17" s="242">
        <f>COUNTIFS('تجربه‌گرها'!$B:$B,$A17,'تجربه‌گرها'!$F:$F,Q$1)</f>
        <v>0</v>
      </c>
      <c r="R17" s="242">
        <f>COUNTIFS('تجربه‌گرها'!$B:$B,$A17,'تجربه‌گرها'!$F:$F,R$1)</f>
        <v>0</v>
      </c>
      <c r="S17" s="242">
        <f>COUNTIFS('تجربه‌گرها'!$B:$B,$A17,'تجربه‌گرها'!$F:$F,S$1)</f>
        <v>0</v>
      </c>
      <c r="T17" s="242">
        <f>COUNTIFS('تجربه‌گرها'!$B:$B,$A17,'تجربه‌گرها'!$F:$F,T$1)</f>
        <v>0</v>
      </c>
      <c r="U17" s="242"/>
      <c r="V17" s="242"/>
      <c r="W17" s="242"/>
      <c r="X17" s="242"/>
      <c r="Y17" s="242"/>
      <c r="Z17" s="242"/>
      <c r="AA17" s="242"/>
      <c r="AB17" s="242"/>
    </row>
    <row r="18" hidden="1">
      <c r="A18" s="244" t="s">
        <v>848</v>
      </c>
      <c r="B18" s="245" t="str">
        <f>VLOOKUP(A18,'تجربه‌گرها'!B:C,2,FALSE())</f>
        <v>9211850019</v>
      </c>
      <c r="C18" s="242"/>
      <c r="D18" s="242">
        <f t="shared" si="1"/>
        <v>1</v>
      </c>
      <c r="E18" s="242">
        <f>COUNTIFS('تجربه‌گرها'!$B:$B,$A18,'تجربه‌گرها'!$F:$F,E$1)</f>
        <v>1</v>
      </c>
      <c r="F18" s="242">
        <f>COUNTIFS('تجربه‌گرها'!$B:$B,$A18,'تجربه‌گرها'!$F:$F,F$1)</f>
        <v>0</v>
      </c>
      <c r="G18" s="242">
        <f>COUNTIFS('تجربه‌گرها'!$B:$B,$A18,'تجربه‌گرها'!$F:$F,G$1)</f>
        <v>0</v>
      </c>
      <c r="H18" s="242">
        <f>COUNTIFS('تجربه‌گرها'!$B:$B,$A18,'تجربه‌گرها'!$F:$F,H$1)</f>
        <v>0</v>
      </c>
      <c r="I18" s="242">
        <f>COUNTIFS('تجربه‌گرها'!$B:$B,$A18,'تجربه‌گرها'!$F:$F,I$1)</f>
        <v>0</v>
      </c>
      <c r="J18" s="242">
        <f>COUNTIFS('تجربه‌گرها'!$B:$B,$A18,'تجربه‌گرها'!$F:$F,J$1)</f>
        <v>0</v>
      </c>
      <c r="K18" s="242">
        <f>COUNTIFS('تجربه‌گرها'!$B:$B,$A18,'تجربه‌گرها'!$F:$F,K$1)</f>
        <v>0</v>
      </c>
      <c r="L18" s="242">
        <f>COUNTIFS('تجربه‌گرها'!$B:$B,$A18,'تجربه‌گرها'!$F:$F,L$1)</f>
        <v>0</v>
      </c>
      <c r="M18" s="242">
        <f>COUNTIFS('تجربه‌گرها'!$B:$B,$A18,'تجربه‌گرها'!$F:$F,M$1)</f>
        <v>0</v>
      </c>
      <c r="N18" s="242">
        <f>COUNTIFS('تجربه‌گرها'!$B:$B,$A18,'تجربه‌گرها'!$F:$F,N$1)</f>
        <v>0</v>
      </c>
      <c r="O18" s="242">
        <f>COUNTIFS('تجربه‌گرها'!$B:$B,$A18,'تجربه‌گرها'!$F:$F,O$1)</f>
        <v>0</v>
      </c>
      <c r="P18" s="242">
        <f>COUNTIFS('تجربه‌گرها'!$B:$B,$A18,'تجربه‌گرها'!$F:$F,P$1)</f>
        <v>0</v>
      </c>
      <c r="Q18" s="242">
        <f>COUNTIFS('تجربه‌گرها'!$B:$B,$A18,'تجربه‌گرها'!$F:$F,Q$1)</f>
        <v>0</v>
      </c>
      <c r="R18" s="242">
        <f>COUNTIFS('تجربه‌گرها'!$B:$B,$A18,'تجربه‌گرها'!$F:$F,R$1)</f>
        <v>0</v>
      </c>
      <c r="S18" s="242">
        <f>COUNTIFS('تجربه‌گرها'!$B:$B,$A18,'تجربه‌گرها'!$F:$F,S$1)</f>
        <v>0</v>
      </c>
      <c r="T18" s="242">
        <f>COUNTIFS('تجربه‌گرها'!$B:$B,$A18,'تجربه‌گرها'!$F:$F,T$1)</f>
        <v>0</v>
      </c>
      <c r="U18" s="242"/>
      <c r="V18" s="242"/>
      <c r="W18" s="242"/>
      <c r="X18" s="242"/>
      <c r="Y18" s="242"/>
      <c r="Z18" s="242"/>
      <c r="AA18" s="242"/>
      <c r="AB18" s="242"/>
    </row>
    <row r="19">
      <c r="A19" s="244" t="s">
        <v>856</v>
      </c>
      <c r="B19" s="245" t="str">
        <f>VLOOKUP(A19,'تجربه‌گرها'!B:C,2,FALSE())</f>
        <v>9178810797</v>
      </c>
      <c r="C19" s="242"/>
      <c r="D19" s="242">
        <f t="shared" si="1"/>
        <v>2</v>
      </c>
      <c r="E19" s="242">
        <f>COUNTIFS('تجربه‌گرها'!$B:$B,$A19,'تجربه‌گرها'!$F:$F,E$1)</f>
        <v>1</v>
      </c>
      <c r="F19" s="242">
        <f>COUNTIFS('تجربه‌گرها'!$B:$B,$A19,'تجربه‌گرها'!$F:$F,F$1)</f>
        <v>1</v>
      </c>
      <c r="G19" s="242">
        <f>COUNTIFS('تجربه‌گرها'!$B:$B,$A19,'تجربه‌گرها'!$F:$F,G$1)</f>
        <v>0</v>
      </c>
      <c r="H19" s="242">
        <f>COUNTIFS('تجربه‌گرها'!$B:$B,$A19,'تجربه‌گرها'!$F:$F,H$1)</f>
        <v>0</v>
      </c>
      <c r="I19" s="242">
        <f>COUNTIFS('تجربه‌گرها'!$B:$B,$A19,'تجربه‌گرها'!$F:$F,I$1)</f>
        <v>0</v>
      </c>
      <c r="J19" s="242">
        <f>COUNTIFS('تجربه‌گرها'!$B:$B,$A19,'تجربه‌گرها'!$F:$F,J$1)</f>
        <v>0</v>
      </c>
      <c r="K19" s="242">
        <f>COUNTIFS('تجربه‌گرها'!$B:$B,$A19,'تجربه‌گرها'!$F:$F,K$1)</f>
        <v>0</v>
      </c>
      <c r="L19" s="242">
        <f>COUNTIFS('تجربه‌گرها'!$B:$B,$A19,'تجربه‌گرها'!$F:$F,L$1)</f>
        <v>0</v>
      </c>
      <c r="M19" s="242">
        <f>COUNTIFS('تجربه‌گرها'!$B:$B,$A19,'تجربه‌گرها'!$F:$F,M$1)</f>
        <v>0</v>
      </c>
      <c r="N19" s="242">
        <f>COUNTIFS('تجربه‌گرها'!$B:$B,$A19,'تجربه‌گرها'!$F:$F,N$1)</f>
        <v>0</v>
      </c>
      <c r="O19" s="242">
        <f>COUNTIFS('تجربه‌گرها'!$B:$B,$A19,'تجربه‌گرها'!$F:$F,O$1)</f>
        <v>0</v>
      </c>
      <c r="P19" s="242">
        <f>COUNTIFS('تجربه‌گرها'!$B:$B,$A19,'تجربه‌گرها'!$F:$F,P$1)</f>
        <v>0</v>
      </c>
      <c r="Q19" s="242">
        <f>COUNTIFS('تجربه‌گرها'!$B:$B,$A19,'تجربه‌گرها'!$F:$F,Q$1)</f>
        <v>0</v>
      </c>
      <c r="R19" s="242">
        <f>COUNTIFS('تجربه‌گرها'!$B:$B,$A19,'تجربه‌گرها'!$F:$F,R$1)</f>
        <v>0</v>
      </c>
      <c r="S19" s="242">
        <f>COUNTIFS('تجربه‌گرها'!$B:$B,$A19,'تجربه‌گرها'!$F:$F,S$1)</f>
        <v>0</v>
      </c>
      <c r="T19" s="242">
        <f>COUNTIFS('تجربه‌گرها'!$B:$B,$A19,'تجربه‌گرها'!$F:$F,T$1)</f>
        <v>0</v>
      </c>
      <c r="U19" s="242"/>
      <c r="V19" s="242"/>
      <c r="W19" s="242"/>
      <c r="X19" s="242"/>
      <c r="Y19" s="242"/>
      <c r="Z19" s="242"/>
      <c r="AA19" s="242"/>
      <c r="AB19" s="242"/>
    </row>
    <row r="20">
      <c r="A20" s="244" t="s">
        <v>864</v>
      </c>
      <c r="B20" s="245" t="str">
        <f>VLOOKUP(A20,'تجربه‌گرها'!B:C,2,FALSE())</f>
        <v>9122508371</v>
      </c>
      <c r="C20" s="242"/>
      <c r="D20" s="242">
        <f t="shared" si="1"/>
        <v>2</v>
      </c>
      <c r="E20" s="242">
        <f>COUNTIFS('تجربه‌گرها'!$B:$B,$A20,'تجربه‌گرها'!$F:$F,E$1)</f>
        <v>1</v>
      </c>
      <c r="F20" s="242">
        <f>COUNTIFS('تجربه‌گرها'!$B:$B,$A20,'تجربه‌گرها'!$F:$F,F$1)</f>
        <v>1</v>
      </c>
      <c r="G20" s="242">
        <f>COUNTIFS('تجربه‌گرها'!$B:$B,$A20,'تجربه‌گرها'!$F:$F,G$1)</f>
        <v>0</v>
      </c>
      <c r="H20" s="242">
        <f>COUNTIFS('تجربه‌گرها'!$B:$B,$A20,'تجربه‌گرها'!$F:$F,H$1)</f>
        <v>0</v>
      </c>
      <c r="I20" s="242">
        <f>COUNTIFS('تجربه‌گرها'!$B:$B,$A20,'تجربه‌گرها'!$F:$F,I$1)</f>
        <v>0</v>
      </c>
      <c r="J20" s="242">
        <f>COUNTIFS('تجربه‌گرها'!$B:$B,$A20,'تجربه‌گرها'!$F:$F,J$1)</f>
        <v>0</v>
      </c>
      <c r="K20" s="242">
        <f>COUNTIFS('تجربه‌گرها'!$B:$B,$A20,'تجربه‌گرها'!$F:$F,K$1)</f>
        <v>0</v>
      </c>
      <c r="L20" s="242">
        <f>COUNTIFS('تجربه‌گرها'!$B:$B,$A20,'تجربه‌گرها'!$F:$F,L$1)</f>
        <v>0</v>
      </c>
      <c r="M20" s="242">
        <f>COUNTIFS('تجربه‌گرها'!$B:$B,$A20,'تجربه‌گرها'!$F:$F,M$1)</f>
        <v>0</v>
      </c>
      <c r="N20" s="242">
        <f>COUNTIFS('تجربه‌گرها'!$B:$B,$A20,'تجربه‌گرها'!$F:$F,N$1)</f>
        <v>0</v>
      </c>
      <c r="O20" s="242">
        <f>COUNTIFS('تجربه‌گرها'!$B:$B,$A20,'تجربه‌گرها'!$F:$F,O$1)</f>
        <v>0</v>
      </c>
      <c r="P20" s="242">
        <f>COUNTIFS('تجربه‌گرها'!$B:$B,$A20,'تجربه‌گرها'!$F:$F,P$1)</f>
        <v>0</v>
      </c>
      <c r="Q20" s="242">
        <f>COUNTIFS('تجربه‌گرها'!$B:$B,$A20,'تجربه‌گرها'!$F:$F,Q$1)</f>
        <v>0</v>
      </c>
      <c r="R20" s="242">
        <f>COUNTIFS('تجربه‌گرها'!$B:$B,$A20,'تجربه‌گرها'!$F:$F,R$1)</f>
        <v>0</v>
      </c>
      <c r="S20" s="242">
        <f>COUNTIFS('تجربه‌گرها'!$B:$B,$A20,'تجربه‌گرها'!$F:$F,S$1)</f>
        <v>0</v>
      </c>
      <c r="T20" s="242">
        <f>COUNTIFS('تجربه‌گرها'!$B:$B,$A20,'تجربه‌گرها'!$F:$F,T$1)</f>
        <v>0</v>
      </c>
      <c r="U20" s="242"/>
      <c r="V20" s="242"/>
      <c r="W20" s="242"/>
      <c r="X20" s="242"/>
      <c r="Y20" s="242"/>
      <c r="Z20" s="242"/>
      <c r="AA20" s="242"/>
      <c r="AB20" s="242"/>
    </row>
    <row r="21">
      <c r="A21" s="244" t="s">
        <v>871</v>
      </c>
      <c r="B21" s="245" t="str">
        <f>VLOOKUP(A21,'تجربه‌گرها'!B:C,2,FALSE())</f>
        <v>9122683744</v>
      </c>
      <c r="C21" s="242"/>
      <c r="D21" s="242">
        <f t="shared" si="1"/>
        <v>2</v>
      </c>
      <c r="E21" s="242">
        <f>COUNTIFS('تجربه‌گرها'!$B:$B,$A21,'تجربه‌گرها'!$F:$F,E$1)</f>
        <v>1</v>
      </c>
      <c r="F21" s="242">
        <f>COUNTIFS('تجربه‌گرها'!$B:$B,$A21,'تجربه‌گرها'!$F:$F,F$1)</f>
        <v>1</v>
      </c>
      <c r="G21" s="242">
        <f>COUNTIFS('تجربه‌گرها'!$B:$B,$A21,'تجربه‌گرها'!$F:$F,G$1)</f>
        <v>0</v>
      </c>
      <c r="H21" s="242">
        <f>COUNTIFS('تجربه‌گرها'!$B:$B,$A21,'تجربه‌گرها'!$F:$F,H$1)</f>
        <v>0</v>
      </c>
      <c r="I21" s="242">
        <f>COUNTIFS('تجربه‌گرها'!$B:$B,$A21,'تجربه‌گرها'!$F:$F,I$1)</f>
        <v>0</v>
      </c>
      <c r="J21" s="242">
        <f>COUNTIFS('تجربه‌گرها'!$B:$B,$A21,'تجربه‌گرها'!$F:$F,J$1)</f>
        <v>0</v>
      </c>
      <c r="K21" s="242">
        <f>COUNTIFS('تجربه‌گرها'!$B:$B,$A21,'تجربه‌گرها'!$F:$F,K$1)</f>
        <v>0</v>
      </c>
      <c r="L21" s="242">
        <f>COUNTIFS('تجربه‌گرها'!$B:$B,$A21,'تجربه‌گرها'!$F:$F,L$1)</f>
        <v>0</v>
      </c>
      <c r="M21" s="242">
        <f>COUNTIFS('تجربه‌گرها'!$B:$B,$A21,'تجربه‌گرها'!$F:$F,M$1)</f>
        <v>0</v>
      </c>
      <c r="N21" s="242">
        <f>COUNTIFS('تجربه‌گرها'!$B:$B,$A21,'تجربه‌گرها'!$F:$F,N$1)</f>
        <v>0</v>
      </c>
      <c r="O21" s="242">
        <f>COUNTIFS('تجربه‌گرها'!$B:$B,$A21,'تجربه‌گرها'!$F:$F,O$1)</f>
        <v>0</v>
      </c>
      <c r="P21" s="242">
        <f>COUNTIFS('تجربه‌گرها'!$B:$B,$A21,'تجربه‌گرها'!$F:$F,P$1)</f>
        <v>0</v>
      </c>
      <c r="Q21" s="242">
        <f>COUNTIFS('تجربه‌گرها'!$B:$B,$A21,'تجربه‌گرها'!$F:$F,Q$1)</f>
        <v>0</v>
      </c>
      <c r="R21" s="242">
        <f>COUNTIFS('تجربه‌گرها'!$B:$B,$A21,'تجربه‌گرها'!$F:$F,R$1)</f>
        <v>0</v>
      </c>
      <c r="S21" s="242">
        <f>COUNTIFS('تجربه‌گرها'!$B:$B,$A21,'تجربه‌گرها'!$F:$F,S$1)</f>
        <v>0</v>
      </c>
      <c r="T21" s="242">
        <f>COUNTIFS('تجربه‌گرها'!$B:$B,$A21,'تجربه‌گرها'!$F:$F,T$1)</f>
        <v>0</v>
      </c>
      <c r="U21" s="242"/>
      <c r="V21" s="242"/>
      <c r="W21" s="242"/>
      <c r="X21" s="242"/>
      <c r="Y21" s="242"/>
      <c r="Z21" s="242"/>
      <c r="AA21" s="242"/>
      <c r="AB21" s="242"/>
    </row>
    <row r="22" hidden="1">
      <c r="A22" s="244" t="s">
        <v>877</v>
      </c>
      <c r="B22" s="245" t="str">
        <f>VLOOKUP(A22,'تجربه‌گرها'!B:C,2,FALSE())</f>
        <v>9390372267</v>
      </c>
      <c r="C22" s="242"/>
      <c r="D22" s="242">
        <f t="shared" si="1"/>
        <v>1</v>
      </c>
      <c r="E22" s="242">
        <f>COUNTIFS('تجربه‌گرها'!$B:$B,$A22,'تجربه‌گرها'!$F:$F,E$1)</f>
        <v>1</v>
      </c>
      <c r="F22" s="242">
        <f>COUNTIFS('تجربه‌گرها'!$B:$B,$A22,'تجربه‌گرها'!$F:$F,F$1)</f>
        <v>0</v>
      </c>
      <c r="G22" s="242">
        <f>COUNTIFS('تجربه‌گرها'!$B:$B,$A22,'تجربه‌گرها'!$F:$F,G$1)</f>
        <v>0</v>
      </c>
      <c r="H22" s="242">
        <f>COUNTIFS('تجربه‌گرها'!$B:$B,$A22,'تجربه‌گرها'!$F:$F,H$1)</f>
        <v>0</v>
      </c>
      <c r="I22" s="242">
        <f>COUNTIFS('تجربه‌گرها'!$B:$B,$A22,'تجربه‌گرها'!$F:$F,I$1)</f>
        <v>0</v>
      </c>
      <c r="J22" s="242">
        <f>COUNTIFS('تجربه‌گرها'!$B:$B,$A22,'تجربه‌گرها'!$F:$F,J$1)</f>
        <v>0</v>
      </c>
      <c r="K22" s="242">
        <f>COUNTIFS('تجربه‌گرها'!$B:$B,$A22,'تجربه‌گرها'!$F:$F,K$1)</f>
        <v>0</v>
      </c>
      <c r="L22" s="242">
        <f>COUNTIFS('تجربه‌گرها'!$B:$B,$A22,'تجربه‌گرها'!$F:$F,L$1)</f>
        <v>0</v>
      </c>
      <c r="M22" s="242">
        <f>COUNTIFS('تجربه‌گرها'!$B:$B,$A22,'تجربه‌گرها'!$F:$F,M$1)</f>
        <v>0</v>
      </c>
      <c r="N22" s="242">
        <f>COUNTIFS('تجربه‌گرها'!$B:$B,$A22,'تجربه‌گرها'!$F:$F,N$1)</f>
        <v>0</v>
      </c>
      <c r="O22" s="242">
        <f>COUNTIFS('تجربه‌گرها'!$B:$B,$A22,'تجربه‌گرها'!$F:$F,O$1)</f>
        <v>0</v>
      </c>
      <c r="P22" s="242">
        <f>COUNTIFS('تجربه‌گرها'!$B:$B,$A22,'تجربه‌گرها'!$F:$F,P$1)</f>
        <v>0</v>
      </c>
      <c r="Q22" s="242">
        <f>COUNTIFS('تجربه‌گرها'!$B:$B,$A22,'تجربه‌گرها'!$F:$F,Q$1)</f>
        <v>0</v>
      </c>
      <c r="R22" s="242">
        <f>COUNTIFS('تجربه‌گرها'!$B:$B,$A22,'تجربه‌گرها'!$F:$F,R$1)</f>
        <v>0</v>
      </c>
      <c r="S22" s="242">
        <f>COUNTIFS('تجربه‌گرها'!$B:$B,$A22,'تجربه‌گرها'!$F:$F,S$1)</f>
        <v>0</v>
      </c>
      <c r="T22" s="242">
        <f>COUNTIFS('تجربه‌گرها'!$B:$B,$A22,'تجربه‌گرها'!$F:$F,T$1)</f>
        <v>0</v>
      </c>
      <c r="U22" s="242"/>
      <c r="V22" s="242"/>
      <c r="W22" s="242"/>
      <c r="X22" s="242"/>
      <c r="Y22" s="242"/>
      <c r="Z22" s="242"/>
      <c r="AA22" s="242"/>
      <c r="AB22" s="242"/>
    </row>
    <row r="23">
      <c r="A23" s="244" t="s">
        <v>884</v>
      </c>
      <c r="B23" s="245" t="str">
        <f>VLOOKUP(A23,'تجربه‌گرها'!B:C,2,FALSE())</f>
        <v>9129151073</v>
      </c>
      <c r="C23" s="242"/>
      <c r="D23" s="242">
        <f t="shared" si="1"/>
        <v>3</v>
      </c>
      <c r="E23" s="242">
        <f>COUNTIFS('تجربه‌گرها'!$B:$B,$A23,'تجربه‌گرها'!$F:$F,E$1)</f>
        <v>1</v>
      </c>
      <c r="F23" s="242">
        <f>COUNTIFS('تجربه‌گرها'!$B:$B,$A23,'تجربه‌گرها'!$F:$F,F$1)</f>
        <v>1</v>
      </c>
      <c r="G23" s="242">
        <f>COUNTIFS('تجربه‌گرها'!$B:$B,$A23,'تجربه‌گرها'!$F:$F,G$1)</f>
        <v>0</v>
      </c>
      <c r="H23" s="242">
        <f>COUNTIFS('تجربه‌گرها'!$B:$B,$A23,'تجربه‌گرها'!$F:$F,H$1)</f>
        <v>0</v>
      </c>
      <c r="I23" s="242">
        <f>COUNTIFS('تجربه‌گرها'!$B:$B,$A23,'تجربه‌گرها'!$F:$F,I$1)</f>
        <v>0</v>
      </c>
      <c r="J23" s="242">
        <f>COUNTIFS('تجربه‌گرها'!$B:$B,$A23,'تجربه‌گرها'!$F:$F,J$1)</f>
        <v>0</v>
      </c>
      <c r="K23" s="242">
        <f>COUNTIFS('تجربه‌گرها'!$B:$B,$A23,'تجربه‌گرها'!$F:$F,K$1)</f>
        <v>0</v>
      </c>
      <c r="L23" s="242">
        <f>COUNTIFS('تجربه‌گرها'!$B:$B,$A23,'تجربه‌گرها'!$F:$F,L$1)</f>
        <v>0</v>
      </c>
      <c r="M23" s="242">
        <f>COUNTIFS('تجربه‌گرها'!$B:$B,$A23,'تجربه‌گرها'!$F:$F,M$1)</f>
        <v>1</v>
      </c>
      <c r="N23" s="242">
        <f>COUNTIFS('تجربه‌گرها'!$B:$B,$A23,'تجربه‌گرها'!$F:$F,N$1)</f>
        <v>0</v>
      </c>
      <c r="O23" s="242">
        <f>COUNTIFS('تجربه‌گرها'!$B:$B,$A23,'تجربه‌گرها'!$F:$F,O$1)</f>
        <v>0</v>
      </c>
      <c r="P23" s="242">
        <f>COUNTIFS('تجربه‌گرها'!$B:$B,$A23,'تجربه‌گرها'!$F:$F,P$1)</f>
        <v>0</v>
      </c>
      <c r="Q23" s="242">
        <f>COUNTIFS('تجربه‌گرها'!$B:$B,$A23,'تجربه‌گرها'!$F:$F,Q$1)</f>
        <v>0</v>
      </c>
      <c r="R23" s="242">
        <f>COUNTIFS('تجربه‌گرها'!$B:$B,$A23,'تجربه‌گرها'!$F:$F,R$1)</f>
        <v>0</v>
      </c>
      <c r="S23" s="242">
        <f>COUNTIFS('تجربه‌گرها'!$B:$B,$A23,'تجربه‌گرها'!$F:$F,S$1)</f>
        <v>0</v>
      </c>
      <c r="T23" s="242">
        <f>COUNTIFS('تجربه‌گرها'!$B:$B,$A23,'تجربه‌گرها'!$F:$F,T$1)</f>
        <v>0</v>
      </c>
      <c r="U23" s="242"/>
      <c r="V23" s="242"/>
      <c r="W23" s="242"/>
      <c r="X23" s="242"/>
      <c r="Y23" s="242"/>
      <c r="Z23" s="242"/>
      <c r="AA23" s="242"/>
      <c r="AB23" s="242"/>
    </row>
    <row r="24" hidden="1">
      <c r="A24" s="244" t="s">
        <v>892</v>
      </c>
      <c r="B24" s="245" t="str">
        <f>VLOOKUP(A24,'تجربه‌گرها'!B:C,2,FALSE())</f>
        <v>0</v>
      </c>
      <c r="C24" s="242"/>
      <c r="D24" s="242">
        <f t="shared" si="1"/>
        <v>1</v>
      </c>
      <c r="E24" s="242">
        <f>COUNTIFS('تجربه‌گرها'!$B:$B,$A24,'تجربه‌گرها'!$F:$F,E$1)</f>
        <v>1</v>
      </c>
      <c r="F24" s="242">
        <f>COUNTIFS('تجربه‌گرها'!$B:$B,$A24,'تجربه‌گرها'!$F:$F,F$1)</f>
        <v>0</v>
      </c>
      <c r="G24" s="242">
        <f>COUNTIFS('تجربه‌گرها'!$B:$B,$A24,'تجربه‌گرها'!$F:$F,G$1)</f>
        <v>0</v>
      </c>
      <c r="H24" s="242">
        <f>COUNTIFS('تجربه‌گرها'!$B:$B,$A24,'تجربه‌گرها'!$F:$F,H$1)</f>
        <v>0</v>
      </c>
      <c r="I24" s="242">
        <f>COUNTIFS('تجربه‌گرها'!$B:$B,$A24,'تجربه‌گرها'!$F:$F,I$1)</f>
        <v>0</v>
      </c>
      <c r="J24" s="242">
        <f>COUNTIFS('تجربه‌گرها'!$B:$B,$A24,'تجربه‌گرها'!$F:$F,J$1)</f>
        <v>0</v>
      </c>
      <c r="K24" s="242">
        <f>COUNTIFS('تجربه‌گرها'!$B:$B,$A24,'تجربه‌گرها'!$F:$F,K$1)</f>
        <v>0</v>
      </c>
      <c r="L24" s="242">
        <f>COUNTIFS('تجربه‌گرها'!$B:$B,$A24,'تجربه‌گرها'!$F:$F,L$1)</f>
        <v>0</v>
      </c>
      <c r="M24" s="242">
        <f>COUNTIFS('تجربه‌گرها'!$B:$B,$A24,'تجربه‌گرها'!$F:$F,M$1)</f>
        <v>0</v>
      </c>
      <c r="N24" s="242">
        <f>COUNTIFS('تجربه‌گرها'!$B:$B,$A24,'تجربه‌گرها'!$F:$F,N$1)</f>
        <v>0</v>
      </c>
      <c r="O24" s="242">
        <f>COUNTIFS('تجربه‌گرها'!$B:$B,$A24,'تجربه‌گرها'!$F:$F,O$1)</f>
        <v>0</v>
      </c>
      <c r="P24" s="242">
        <f>COUNTIFS('تجربه‌گرها'!$B:$B,$A24,'تجربه‌گرها'!$F:$F,P$1)</f>
        <v>0</v>
      </c>
      <c r="Q24" s="242">
        <f>COUNTIFS('تجربه‌گرها'!$B:$B,$A24,'تجربه‌گرها'!$F:$F,Q$1)</f>
        <v>0</v>
      </c>
      <c r="R24" s="242">
        <f>COUNTIFS('تجربه‌گرها'!$B:$B,$A24,'تجربه‌گرها'!$F:$F,R$1)</f>
        <v>0</v>
      </c>
      <c r="S24" s="242">
        <f>COUNTIFS('تجربه‌گرها'!$B:$B,$A24,'تجربه‌گرها'!$F:$F,S$1)</f>
        <v>0</v>
      </c>
      <c r="T24" s="242">
        <f>COUNTIFS('تجربه‌گرها'!$B:$B,$A24,'تجربه‌گرها'!$F:$F,T$1)</f>
        <v>0</v>
      </c>
      <c r="U24" s="242"/>
      <c r="V24" s="242"/>
      <c r="W24" s="242"/>
      <c r="X24" s="242"/>
      <c r="Y24" s="242"/>
      <c r="Z24" s="242"/>
      <c r="AA24" s="242"/>
      <c r="AB24" s="242"/>
    </row>
    <row r="25">
      <c r="A25" s="244" t="s">
        <v>900</v>
      </c>
      <c r="B25" s="245" t="str">
        <f>VLOOKUP(A25,'تجربه‌گرها'!B:C,2,FALSE())</f>
        <v>9192441792</v>
      </c>
      <c r="C25" s="242"/>
      <c r="D25" s="242">
        <f t="shared" si="1"/>
        <v>2</v>
      </c>
      <c r="E25" s="242">
        <f>COUNTIFS('تجربه‌گرها'!$B:$B,$A25,'تجربه‌گرها'!$F:$F,E$1)</f>
        <v>1</v>
      </c>
      <c r="F25" s="242">
        <f>COUNTIFS('تجربه‌گرها'!$B:$B,$A25,'تجربه‌گرها'!$F:$F,F$1)</f>
        <v>1</v>
      </c>
      <c r="G25" s="242">
        <f>COUNTIFS('تجربه‌گرها'!$B:$B,$A25,'تجربه‌گرها'!$F:$F,G$1)</f>
        <v>0</v>
      </c>
      <c r="H25" s="242">
        <f>COUNTIFS('تجربه‌گرها'!$B:$B,$A25,'تجربه‌گرها'!$F:$F,H$1)</f>
        <v>0</v>
      </c>
      <c r="I25" s="242">
        <f>COUNTIFS('تجربه‌گرها'!$B:$B,$A25,'تجربه‌گرها'!$F:$F,I$1)</f>
        <v>0</v>
      </c>
      <c r="J25" s="242">
        <f>COUNTIFS('تجربه‌گرها'!$B:$B,$A25,'تجربه‌گرها'!$F:$F,J$1)</f>
        <v>0</v>
      </c>
      <c r="K25" s="242">
        <f>COUNTIFS('تجربه‌گرها'!$B:$B,$A25,'تجربه‌گرها'!$F:$F,K$1)</f>
        <v>0</v>
      </c>
      <c r="L25" s="242">
        <f>COUNTIFS('تجربه‌گرها'!$B:$B,$A25,'تجربه‌گرها'!$F:$F,L$1)</f>
        <v>0</v>
      </c>
      <c r="M25" s="242">
        <f>COUNTIFS('تجربه‌گرها'!$B:$B,$A25,'تجربه‌گرها'!$F:$F,M$1)</f>
        <v>0</v>
      </c>
      <c r="N25" s="242">
        <f>COUNTIFS('تجربه‌گرها'!$B:$B,$A25,'تجربه‌گرها'!$F:$F,N$1)</f>
        <v>0</v>
      </c>
      <c r="O25" s="242">
        <f>COUNTIFS('تجربه‌گرها'!$B:$B,$A25,'تجربه‌گرها'!$F:$F,O$1)</f>
        <v>0</v>
      </c>
      <c r="P25" s="242">
        <f>COUNTIFS('تجربه‌گرها'!$B:$B,$A25,'تجربه‌گرها'!$F:$F,P$1)</f>
        <v>0</v>
      </c>
      <c r="Q25" s="242">
        <f>COUNTIFS('تجربه‌گرها'!$B:$B,$A25,'تجربه‌گرها'!$F:$F,Q$1)</f>
        <v>0</v>
      </c>
      <c r="R25" s="242">
        <f>COUNTIFS('تجربه‌گرها'!$B:$B,$A25,'تجربه‌گرها'!$F:$F,R$1)</f>
        <v>0</v>
      </c>
      <c r="S25" s="242">
        <f>COUNTIFS('تجربه‌گرها'!$B:$B,$A25,'تجربه‌گرها'!$F:$F,S$1)</f>
        <v>0</v>
      </c>
      <c r="T25" s="242">
        <f>COUNTIFS('تجربه‌گرها'!$B:$B,$A25,'تجربه‌گرها'!$F:$F,T$1)</f>
        <v>0</v>
      </c>
      <c r="U25" s="242"/>
      <c r="V25" s="242"/>
      <c r="W25" s="242"/>
      <c r="X25" s="242"/>
      <c r="Y25" s="242"/>
      <c r="Z25" s="242"/>
      <c r="AA25" s="242"/>
      <c r="AB25" s="242"/>
    </row>
    <row r="26">
      <c r="A26" s="244" t="s">
        <v>907</v>
      </c>
      <c r="B26" s="245" t="str">
        <f>VLOOKUP(A26,'تجربه‌گرها'!B:C,2,FALSE())</f>
        <v>9122982045</v>
      </c>
      <c r="C26" s="242"/>
      <c r="D26" s="242">
        <f t="shared" si="1"/>
        <v>2</v>
      </c>
      <c r="E26" s="242">
        <f>COUNTIFS('تجربه‌گرها'!$B:$B,$A26,'تجربه‌گرها'!$F:$F,E$1)</f>
        <v>1</v>
      </c>
      <c r="F26" s="242">
        <f>COUNTIFS('تجربه‌گرها'!$B:$B,$A26,'تجربه‌گرها'!$F:$F,F$1)</f>
        <v>1</v>
      </c>
      <c r="G26" s="242">
        <f>COUNTIFS('تجربه‌گرها'!$B:$B,$A26,'تجربه‌گرها'!$F:$F,G$1)</f>
        <v>0</v>
      </c>
      <c r="H26" s="242">
        <f>COUNTIFS('تجربه‌گرها'!$B:$B,$A26,'تجربه‌گرها'!$F:$F,H$1)</f>
        <v>0</v>
      </c>
      <c r="I26" s="242">
        <f>COUNTIFS('تجربه‌گرها'!$B:$B,$A26,'تجربه‌گرها'!$F:$F,I$1)</f>
        <v>0</v>
      </c>
      <c r="J26" s="242">
        <f>COUNTIFS('تجربه‌گرها'!$B:$B,$A26,'تجربه‌گرها'!$F:$F,J$1)</f>
        <v>0</v>
      </c>
      <c r="K26" s="242">
        <f>COUNTIFS('تجربه‌گرها'!$B:$B,$A26,'تجربه‌گرها'!$F:$F,K$1)</f>
        <v>0</v>
      </c>
      <c r="L26" s="242">
        <f>COUNTIFS('تجربه‌گرها'!$B:$B,$A26,'تجربه‌گرها'!$F:$F,L$1)</f>
        <v>0</v>
      </c>
      <c r="M26" s="242">
        <f>COUNTIFS('تجربه‌گرها'!$B:$B,$A26,'تجربه‌گرها'!$F:$F,M$1)</f>
        <v>0</v>
      </c>
      <c r="N26" s="242">
        <f>COUNTIFS('تجربه‌گرها'!$B:$B,$A26,'تجربه‌گرها'!$F:$F,N$1)</f>
        <v>0</v>
      </c>
      <c r="O26" s="242">
        <f>COUNTIFS('تجربه‌گرها'!$B:$B,$A26,'تجربه‌گرها'!$F:$F,O$1)</f>
        <v>0</v>
      </c>
      <c r="P26" s="242">
        <f>COUNTIFS('تجربه‌گرها'!$B:$B,$A26,'تجربه‌گرها'!$F:$F,P$1)</f>
        <v>0</v>
      </c>
      <c r="Q26" s="242">
        <f>COUNTIFS('تجربه‌گرها'!$B:$B,$A26,'تجربه‌گرها'!$F:$F,Q$1)</f>
        <v>0</v>
      </c>
      <c r="R26" s="242">
        <f>COUNTIFS('تجربه‌گرها'!$B:$B,$A26,'تجربه‌گرها'!$F:$F,R$1)</f>
        <v>0</v>
      </c>
      <c r="S26" s="242">
        <f>COUNTIFS('تجربه‌گرها'!$B:$B,$A26,'تجربه‌گرها'!$F:$F,S$1)</f>
        <v>0</v>
      </c>
      <c r="T26" s="242">
        <f>COUNTIFS('تجربه‌گرها'!$B:$B,$A26,'تجربه‌گرها'!$F:$F,T$1)</f>
        <v>0</v>
      </c>
      <c r="U26" s="242"/>
      <c r="V26" s="242"/>
      <c r="W26" s="242"/>
      <c r="X26" s="242"/>
      <c r="Y26" s="242"/>
      <c r="Z26" s="242"/>
      <c r="AA26" s="242"/>
      <c r="AB26" s="242"/>
    </row>
    <row r="27">
      <c r="A27" s="244" t="s">
        <v>915</v>
      </c>
      <c r="B27" s="245" t="str">
        <f>VLOOKUP(A27,'تجربه‌گرها'!B:C,2,FALSE())</f>
        <v>9123711752</v>
      </c>
      <c r="C27" s="242"/>
      <c r="D27" s="242">
        <f t="shared" si="1"/>
        <v>2</v>
      </c>
      <c r="E27" s="242">
        <f>COUNTIFS('تجربه‌گرها'!$B:$B,$A27,'تجربه‌گرها'!$F:$F,E$1)</f>
        <v>1</v>
      </c>
      <c r="F27" s="242">
        <f>COUNTIFS('تجربه‌گرها'!$B:$B,$A27,'تجربه‌گرها'!$F:$F,F$1)</f>
        <v>1</v>
      </c>
      <c r="G27" s="242">
        <f>COUNTIFS('تجربه‌گرها'!$B:$B,$A27,'تجربه‌گرها'!$F:$F,G$1)</f>
        <v>0</v>
      </c>
      <c r="H27" s="242">
        <f>COUNTIFS('تجربه‌گرها'!$B:$B,$A27,'تجربه‌گرها'!$F:$F,H$1)</f>
        <v>0</v>
      </c>
      <c r="I27" s="242">
        <f>COUNTIFS('تجربه‌گرها'!$B:$B,$A27,'تجربه‌گرها'!$F:$F,I$1)</f>
        <v>0</v>
      </c>
      <c r="J27" s="242">
        <f>COUNTIFS('تجربه‌گرها'!$B:$B,$A27,'تجربه‌گرها'!$F:$F,J$1)</f>
        <v>0</v>
      </c>
      <c r="K27" s="242">
        <f>COUNTIFS('تجربه‌گرها'!$B:$B,$A27,'تجربه‌گرها'!$F:$F,K$1)</f>
        <v>0</v>
      </c>
      <c r="L27" s="242">
        <f>COUNTIFS('تجربه‌گرها'!$B:$B,$A27,'تجربه‌گرها'!$F:$F,L$1)</f>
        <v>0</v>
      </c>
      <c r="M27" s="242">
        <f>COUNTIFS('تجربه‌گرها'!$B:$B,$A27,'تجربه‌گرها'!$F:$F,M$1)</f>
        <v>0</v>
      </c>
      <c r="N27" s="242">
        <f>COUNTIFS('تجربه‌گرها'!$B:$B,$A27,'تجربه‌گرها'!$F:$F,N$1)</f>
        <v>0</v>
      </c>
      <c r="O27" s="242">
        <f>COUNTIFS('تجربه‌گرها'!$B:$B,$A27,'تجربه‌گرها'!$F:$F,O$1)</f>
        <v>0</v>
      </c>
      <c r="P27" s="242">
        <f>COUNTIFS('تجربه‌گرها'!$B:$B,$A27,'تجربه‌گرها'!$F:$F,P$1)</f>
        <v>0</v>
      </c>
      <c r="Q27" s="242">
        <f>COUNTIFS('تجربه‌گرها'!$B:$B,$A27,'تجربه‌گرها'!$F:$F,Q$1)</f>
        <v>0</v>
      </c>
      <c r="R27" s="242">
        <f>COUNTIFS('تجربه‌گرها'!$B:$B,$A27,'تجربه‌گرها'!$F:$F,R$1)</f>
        <v>0</v>
      </c>
      <c r="S27" s="242">
        <f>COUNTIFS('تجربه‌گرها'!$B:$B,$A27,'تجربه‌گرها'!$F:$F,S$1)</f>
        <v>0</v>
      </c>
      <c r="T27" s="242">
        <f>COUNTIFS('تجربه‌گرها'!$B:$B,$A27,'تجربه‌گرها'!$F:$F,T$1)</f>
        <v>0</v>
      </c>
      <c r="U27" s="242"/>
      <c r="V27" s="242"/>
      <c r="W27" s="242"/>
      <c r="X27" s="242"/>
      <c r="Y27" s="242"/>
      <c r="Z27" s="242"/>
      <c r="AA27" s="242"/>
      <c r="AB27" s="242"/>
    </row>
    <row r="28" hidden="1">
      <c r="A28" s="244" t="s">
        <v>923</v>
      </c>
      <c r="B28" s="245" t="str">
        <f>VLOOKUP(A28,'تجربه‌گرها'!B:C,2,FALSE())</f>
        <v>9351211297</v>
      </c>
      <c r="C28" s="242"/>
      <c r="D28" s="242">
        <f t="shared" si="1"/>
        <v>1</v>
      </c>
      <c r="E28" s="242">
        <f>COUNTIFS('تجربه‌گرها'!$B:$B,$A28,'تجربه‌گرها'!$F:$F,E$1)</f>
        <v>1</v>
      </c>
      <c r="F28" s="242">
        <f>COUNTIFS('تجربه‌گرها'!$B:$B,$A28,'تجربه‌گرها'!$F:$F,F$1)</f>
        <v>0</v>
      </c>
      <c r="G28" s="242">
        <f>COUNTIFS('تجربه‌گرها'!$B:$B,$A28,'تجربه‌گرها'!$F:$F,G$1)</f>
        <v>0</v>
      </c>
      <c r="H28" s="242">
        <f>COUNTIFS('تجربه‌گرها'!$B:$B,$A28,'تجربه‌گرها'!$F:$F,H$1)</f>
        <v>0</v>
      </c>
      <c r="I28" s="242">
        <f>COUNTIFS('تجربه‌گرها'!$B:$B,$A28,'تجربه‌گرها'!$F:$F,I$1)</f>
        <v>0</v>
      </c>
      <c r="J28" s="242">
        <f>COUNTIFS('تجربه‌گرها'!$B:$B,$A28,'تجربه‌گرها'!$F:$F,J$1)</f>
        <v>0</v>
      </c>
      <c r="K28" s="242">
        <f>COUNTIFS('تجربه‌گرها'!$B:$B,$A28,'تجربه‌گرها'!$F:$F,K$1)</f>
        <v>0</v>
      </c>
      <c r="L28" s="242">
        <f>COUNTIFS('تجربه‌گرها'!$B:$B,$A28,'تجربه‌گرها'!$F:$F,L$1)</f>
        <v>0</v>
      </c>
      <c r="M28" s="242">
        <f>COUNTIFS('تجربه‌گرها'!$B:$B,$A28,'تجربه‌گرها'!$F:$F,M$1)</f>
        <v>0</v>
      </c>
      <c r="N28" s="242">
        <f>COUNTIFS('تجربه‌گرها'!$B:$B,$A28,'تجربه‌گرها'!$F:$F,N$1)</f>
        <v>0</v>
      </c>
      <c r="O28" s="242">
        <f>COUNTIFS('تجربه‌گرها'!$B:$B,$A28,'تجربه‌گرها'!$F:$F,O$1)</f>
        <v>0</v>
      </c>
      <c r="P28" s="242">
        <f>COUNTIFS('تجربه‌گرها'!$B:$B,$A28,'تجربه‌گرها'!$F:$F,P$1)</f>
        <v>0</v>
      </c>
      <c r="Q28" s="242">
        <f>COUNTIFS('تجربه‌گرها'!$B:$B,$A28,'تجربه‌گرها'!$F:$F,Q$1)</f>
        <v>0</v>
      </c>
      <c r="R28" s="242">
        <f>COUNTIFS('تجربه‌گرها'!$B:$B,$A28,'تجربه‌گرها'!$F:$F,R$1)</f>
        <v>0</v>
      </c>
      <c r="S28" s="242">
        <f>COUNTIFS('تجربه‌گرها'!$B:$B,$A28,'تجربه‌گرها'!$F:$F,S$1)</f>
        <v>0</v>
      </c>
      <c r="T28" s="242">
        <f>COUNTIFS('تجربه‌گرها'!$B:$B,$A28,'تجربه‌گرها'!$F:$F,T$1)</f>
        <v>0</v>
      </c>
      <c r="U28" s="242"/>
      <c r="V28" s="242"/>
      <c r="W28" s="242"/>
      <c r="X28" s="242"/>
      <c r="Y28" s="242"/>
      <c r="Z28" s="242"/>
      <c r="AA28" s="242"/>
      <c r="AB28" s="242"/>
    </row>
    <row r="29">
      <c r="A29" s="244" t="s">
        <v>929</v>
      </c>
      <c r="B29" s="245" t="str">
        <f>VLOOKUP(A29,'تجربه‌گرها'!B:C,2,FALSE())</f>
        <v>9011837978</v>
      </c>
      <c r="C29" s="242"/>
      <c r="D29" s="242">
        <f t="shared" si="1"/>
        <v>2</v>
      </c>
      <c r="E29" s="242">
        <f>COUNTIFS('تجربه‌گرها'!$B:$B,$A29,'تجربه‌گرها'!$F:$F,E$1)</f>
        <v>1</v>
      </c>
      <c r="F29" s="242">
        <f>COUNTIFS('تجربه‌گرها'!$B:$B,$A29,'تجربه‌گرها'!$F:$F,F$1)</f>
        <v>1</v>
      </c>
      <c r="G29" s="242">
        <f>COUNTIFS('تجربه‌گرها'!$B:$B,$A29,'تجربه‌گرها'!$F:$F,G$1)</f>
        <v>0</v>
      </c>
      <c r="H29" s="242">
        <f>COUNTIFS('تجربه‌گرها'!$B:$B,$A29,'تجربه‌گرها'!$F:$F,H$1)</f>
        <v>0</v>
      </c>
      <c r="I29" s="242">
        <f>COUNTIFS('تجربه‌گرها'!$B:$B,$A29,'تجربه‌گرها'!$F:$F,I$1)</f>
        <v>0</v>
      </c>
      <c r="J29" s="242">
        <f>COUNTIFS('تجربه‌گرها'!$B:$B,$A29,'تجربه‌گرها'!$F:$F,J$1)</f>
        <v>0</v>
      </c>
      <c r="K29" s="242">
        <f>COUNTIFS('تجربه‌گرها'!$B:$B,$A29,'تجربه‌گرها'!$F:$F,K$1)</f>
        <v>0</v>
      </c>
      <c r="L29" s="242">
        <f>COUNTIFS('تجربه‌گرها'!$B:$B,$A29,'تجربه‌گرها'!$F:$F,L$1)</f>
        <v>0</v>
      </c>
      <c r="M29" s="242">
        <f>COUNTIFS('تجربه‌گرها'!$B:$B,$A29,'تجربه‌گرها'!$F:$F,M$1)</f>
        <v>0</v>
      </c>
      <c r="N29" s="242">
        <f>COUNTIFS('تجربه‌گرها'!$B:$B,$A29,'تجربه‌گرها'!$F:$F,N$1)</f>
        <v>0</v>
      </c>
      <c r="O29" s="242">
        <f>COUNTIFS('تجربه‌گرها'!$B:$B,$A29,'تجربه‌گرها'!$F:$F,O$1)</f>
        <v>0</v>
      </c>
      <c r="P29" s="242">
        <f>COUNTIFS('تجربه‌گرها'!$B:$B,$A29,'تجربه‌گرها'!$F:$F,P$1)</f>
        <v>0</v>
      </c>
      <c r="Q29" s="242">
        <f>COUNTIFS('تجربه‌گرها'!$B:$B,$A29,'تجربه‌گرها'!$F:$F,Q$1)</f>
        <v>0</v>
      </c>
      <c r="R29" s="242">
        <f>COUNTIFS('تجربه‌گرها'!$B:$B,$A29,'تجربه‌گرها'!$F:$F,R$1)</f>
        <v>0</v>
      </c>
      <c r="S29" s="242">
        <f>COUNTIFS('تجربه‌گرها'!$B:$B,$A29,'تجربه‌گرها'!$F:$F,S$1)</f>
        <v>0</v>
      </c>
      <c r="T29" s="242">
        <f>COUNTIFS('تجربه‌گرها'!$B:$B,$A29,'تجربه‌گرها'!$F:$F,T$1)</f>
        <v>0</v>
      </c>
      <c r="U29" s="242"/>
      <c r="V29" s="242"/>
      <c r="W29" s="242"/>
      <c r="X29" s="242"/>
      <c r="Y29" s="242"/>
      <c r="Z29" s="242"/>
      <c r="AA29" s="242"/>
      <c r="AB29" s="242"/>
    </row>
    <row r="30">
      <c r="A30" s="244" t="s">
        <v>936</v>
      </c>
      <c r="B30" s="245" t="str">
        <f>VLOOKUP(A30,'تجربه‌گرها'!B:C,2,FALSE())</f>
        <v>9361070325</v>
      </c>
      <c r="C30" s="242"/>
      <c r="D30" s="242">
        <f t="shared" si="1"/>
        <v>2</v>
      </c>
      <c r="E30" s="242">
        <f>COUNTIFS('تجربه‌گرها'!$B:$B,$A30,'تجربه‌گرها'!$F:$F,E$1)</f>
        <v>1</v>
      </c>
      <c r="F30" s="242">
        <f>COUNTIFS('تجربه‌گرها'!$B:$B,$A30,'تجربه‌گرها'!$F:$F,F$1)</f>
        <v>1</v>
      </c>
      <c r="G30" s="242">
        <f>COUNTIFS('تجربه‌گرها'!$B:$B,$A30,'تجربه‌گرها'!$F:$F,G$1)</f>
        <v>0</v>
      </c>
      <c r="H30" s="242">
        <f>COUNTIFS('تجربه‌گرها'!$B:$B,$A30,'تجربه‌گرها'!$F:$F,H$1)</f>
        <v>0</v>
      </c>
      <c r="I30" s="242">
        <f>COUNTIFS('تجربه‌گرها'!$B:$B,$A30,'تجربه‌گرها'!$F:$F,I$1)</f>
        <v>0</v>
      </c>
      <c r="J30" s="242">
        <f>COUNTIFS('تجربه‌گرها'!$B:$B,$A30,'تجربه‌گرها'!$F:$F,J$1)</f>
        <v>0</v>
      </c>
      <c r="K30" s="242">
        <f>COUNTIFS('تجربه‌گرها'!$B:$B,$A30,'تجربه‌گرها'!$F:$F,K$1)</f>
        <v>0</v>
      </c>
      <c r="L30" s="242">
        <f>COUNTIFS('تجربه‌گرها'!$B:$B,$A30,'تجربه‌گرها'!$F:$F,L$1)</f>
        <v>0</v>
      </c>
      <c r="M30" s="242">
        <f>COUNTIFS('تجربه‌گرها'!$B:$B,$A30,'تجربه‌گرها'!$F:$F,M$1)</f>
        <v>0</v>
      </c>
      <c r="N30" s="242">
        <f>COUNTIFS('تجربه‌گرها'!$B:$B,$A30,'تجربه‌گرها'!$F:$F,N$1)</f>
        <v>0</v>
      </c>
      <c r="O30" s="242">
        <f>COUNTIFS('تجربه‌گرها'!$B:$B,$A30,'تجربه‌گرها'!$F:$F,O$1)</f>
        <v>0</v>
      </c>
      <c r="P30" s="242">
        <f>COUNTIFS('تجربه‌گرها'!$B:$B,$A30,'تجربه‌گرها'!$F:$F,P$1)</f>
        <v>0</v>
      </c>
      <c r="Q30" s="242">
        <f>COUNTIFS('تجربه‌گرها'!$B:$B,$A30,'تجربه‌گرها'!$F:$F,Q$1)</f>
        <v>0</v>
      </c>
      <c r="R30" s="242">
        <f>COUNTIFS('تجربه‌گرها'!$B:$B,$A30,'تجربه‌گرها'!$F:$F,R$1)</f>
        <v>0</v>
      </c>
      <c r="S30" s="242">
        <f>COUNTIFS('تجربه‌گرها'!$B:$B,$A30,'تجربه‌گرها'!$F:$F,S$1)</f>
        <v>0</v>
      </c>
      <c r="T30" s="242">
        <f>COUNTIFS('تجربه‌گرها'!$B:$B,$A30,'تجربه‌گرها'!$F:$F,T$1)</f>
        <v>0</v>
      </c>
      <c r="U30" s="242"/>
      <c r="V30" s="242"/>
      <c r="W30" s="242"/>
      <c r="X30" s="242"/>
      <c r="Y30" s="242"/>
      <c r="Z30" s="242"/>
      <c r="AA30" s="242"/>
      <c r="AB30" s="242"/>
    </row>
    <row r="31">
      <c r="A31" s="244" t="s">
        <v>942</v>
      </c>
      <c r="B31" s="245" t="str">
        <f>VLOOKUP(A31,'تجربه‌گرها'!B:C,2,FALSE())</f>
        <v>9128145230</v>
      </c>
      <c r="C31" s="242"/>
      <c r="D31" s="242">
        <f t="shared" si="1"/>
        <v>2</v>
      </c>
      <c r="E31" s="242">
        <f>COUNTIFS('تجربه‌گرها'!$B:$B,$A31,'تجربه‌گرها'!$F:$F,E$1)</f>
        <v>1</v>
      </c>
      <c r="F31" s="242">
        <f>COUNTIFS('تجربه‌گرها'!$B:$B,$A31,'تجربه‌گرها'!$F:$F,F$1)</f>
        <v>1</v>
      </c>
      <c r="G31" s="242">
        <f>COUNTIFS('تجربه‌گرها'!$B:$B,$A31,'تجربه‌گرها'!$F:$F,G$1)</f>
        <v>0</v>
      </c>
      <c r="H31" s="242">
        <f>COUNTIFS('تجربه‌گرها'!$B:$B,$A31,'تجربه‌گرها'!$F:$F,H$1)</f>
        <v>0</v>
      </c>
      <c r="I31" s="242">
        <f>COUNTIFS('تجربه‌گرها'!$B:$B,$A31,'تجربه‌گرها'!$F:$F,I$1)</f>
        <v>0</v>
      </c>
      <c r="J31" s="242">
        <f>COUNTIFS('تجربه‌گرها'!$B:$B,$A31,'تجربه‌گرها'!$F:$F,J$1)</f>
        <v>0</v>
      </c>
      <c r="K31" s="242">
        <f>COUNTIFS('تجربه‌گرها'!$B:$B,$A31,'تجربه‌گرها'!$F:$F,K$1)</f>
        <v>0</v>
      </c>
      <c r="L31" s="242">
        <f>COUNTIFS('تجربه‌گرها'!$B:$B,$A31,'تجربه‌گرها'!$F:$F,L$1)</f>
        <v>0</v>
      </c>
      <c r="M31" s="242">
        <f>COUNTIFS('تجربه‌گرها'!$B:$B,$A31,'تجربه‌گرها'!$F:$F,M$1)</f>
        <v>0</v>
      </c>
      <c r="N31" s="242">
        <f>COUNTIFS('تجربه‌گرها'!$B:$B,$A31,'تجربه‌گرها'!$F:$F,N$1)</f>
        <v>0</v>
      </c>
      <c r="O31" s="242">
        <f>COUNTIFS('تجربه‌گرها'!$B:$B,$A31,'تجربه‌گرها'!$F:$F,O$1)</f>
        <v>0</v>
      </c>
      <c r="P31" s="242">
        <f>COUNTIFS('تجربه‌گرها'!$B:$B,$A31,'تجربه‌گرها'!$F:$F,P$1)</f>
        <v>0</v>
      </c>
      <c r="Q31" s="242">
        <f>COUNTIFS('تجربه‌گرها'!$B:$B,$A31,'تجربه‌گرها'!$F:$F,Q$1)</f>
        <v>0</v>
      </c>
      <c r="R31" s="242">
        <f>COUNTIFS('تجربه‌گرها'!$B:$B,$A31,'تجربه‌گرها'!$F:$F,R$1)</f>
        <v>0</v>
      </c>
      <c r="S31" s="242">
        <f>COUNTIFS('تجربه‌گرها'!$B:$B,$A31,'تجربه‌گرها'!$F:$F,S$1)</f>
        <v>0</v>
      </c>
      <c r="T31" s="242">
        <f>COUNTIFS('تجربه‌گرها'!$B:$B,$A31,'تجربه‌گرها'!$F:$F,T$1)</f>
        <v>0</v>
      </c>
      <c r="U31" s="242"/>
      <c r="V31" s="242"/>
      <c r="W31" s="242"/>
      <c r="X31" s="242"/>
      <c r="Y31" s="242"/>
      <c r="Z31" s="242"/>
      <c r="AA31" s="242"/>
      <c r="AB31" s="242"/>
    </row>
    <row r="32">
      <c r="A32" s="244" t="s">
        <v>950</v>
      </c>
      <c r="B32" s="245" t="str">
        <f>VLOOKUP(A32,'تجربه‌گرها'!B:C,2,FALSE())</f>
        <v>9126975602</v>
      </c>
      <c r="C32" s="242"/>
      <c r="D32" s="242">
        <f t="shared" si="1"/>
        <v>2</v>
      </c>
      <c r="E32" s="242">
        <f>COUNTIFS('تجربه‌گرها'!$B:$B,$A32,'تجربه‌گرها'!$F:$F,E$1)</f>
        <v>1</v>
      </c>
      <c r="F32" s="242">
        <f>COUNTIFS('تجربه‌گرها'!$B:$B,$A32,'تجربه‌گرها'!$F:$F,F$1)</f>
        <v>1</v>
      </c>
      <c r="G32" s="242">
        <f>COUNTIFS('تجربه‌گرها'!$B:$B,$A32,'تجربه‌گرها'!$F:$F,G$1)</f>
        <v>0</v>
      </c>
      <c r="H32" s="242">
        <f>COUNTIFS('تجربه‌گرها'!$B:$B,$A32,'تجربه‌گرها'!$F:$F,H$1)</f>
        <v>0</v>
      </c>
      <c r="I32" s="242">
        <f>COUNTIFS('تجربه‌گرها'!$B:$B,$A32,'تجربه‌گرها'!$F:$F,I$1)</f>
        <v>0</v>
      </c>
      <c r="J32" s="242">
        <f>COUNTIFS('تجربه‌گرها'!$B:$B,$A32,'تجربه‌گرها'!$F:$F,J$1)</f>
        <v>0</v>
      </c>
      <c r="K32" s="242">
        <f>COUNTIFS('تجربه‌گرها'!$B:$B,$A32,'تجربه‌گرها'!$F:$F,K$1)</f>
        <v>0</v>
      </c>
      <c r="L32" s="242">
        <f>COUNTIFS('تجربه‌گرها'!$B:$B,$A32,'تجربه‌گرها'!$F:$F,L$1)</f>
        <v>0</v>
      </c>
      <c r="M32" s="242">
        <f>COUNTIFS('تجربه‌گرها'!$B:$B,$A32,'تجربه‌گرها'!$F:$F,M$1)</f>
        <v>0</v>
      </c>
      <c r="N32" s="242">
        <f>COUNTIFS('تجربه‌گرها'!$B:$B,$A32,'تجربه‌گرها'!$F:$F,N$1)</f>
        <v>0</v>
      </c>
      <c r="O32" s="242">
        <f>COUNTIFS('تجربه‌گرها'!$B:$B,$A32,'تجربه‌گرها'!$F:$F,O$1)</f>
        <v>0</v>
      </c>
      <c r="P32" s="242">
        <f>COUNTIFS('تجربه‌گرها'!$B:$B,$A32,'تجربه‌گرها'!$F:$F,P$1)</f>
        <v>0</v>
      </c>
      <c r="Q32" s="242">
        <f>COUNTIFS('تجربه‌گرها'!$B:$B,$A32,'تجربه‌گرها'!$F:$F,Q$1)</f>
        <v>0</v>
      </c>
      <c r="R32" s="242">
        <f>COUNTIFS('تجربه‌گرها'!$B:$B,$A32,'تجربه‌گرها'!$F:$F,R$1)</f>
        <v>0</v>
      </c>
      <c r="S32" s="242">
        <f>COUNTIFS('تجربه‌گرها'!$B:$B,$A32,'تجربه‌گرها'!$F:$F,S$1)</f>
        <v>0</v>
      </c>
      <c r="T32" s="242">
        <f>COUNTIFS('تجربه‌گرها'!$B:$B,$A32,'تجربه‌گرها'!$F:$F,T$1)</f>
        <v>0</v>
      </c>
      <c r="U32" s="242"/>
      <c r="V32" s="242"/>
      <c r="W32" s="242"/>
      <c r="X32" s="242"/>
      <c r="Y32" s="242"/>
      <c r="Z32" s="242"/>
      <c r="AA32" s="242"/>
      <c r="AB32" s="242"/>
    </row>
    <row r="33">
      <c r="A33" s="244" t="s">
        <v>123</v>
      </c>
      <c r="B33" s="245" t="str">
        <f>VLOOKUP(A33,'تجربه‌گرها'!B:C,2,FALSE())</f>
        <v>9391991004</v>
      </c>
      <c r="C33" s="242"/>
      <c r="D33" s="242">
        <f t="shared" si="1"/>
        <v>2</v>
      </c>
      <c r="E33" s="242">
        <f>COUNTIFS('تجربه‌گرها'!$B:$B,$A33,'تجربه‌گرها'!$F:$F,E$1)</f>
        <v>1</v>
      </c>
      <c r="F33" s="242">
        <f>COUNTIFS('تجربه‌گرها'!$B:$B,$A33,'تجربه‌گرها'!$F:$F,F$1)</f>
        <v>1</v>
      </c>
      <c r="G33" s="242">
        <f>COUNTIFS('تجربه‌گرها'!$B:$B,$A33,'تجربه‌گرها'!$F:$F,G$1)</f>
        <v>0</v>
      </c>
      <c r="H33" s="242">
        <f>COUNTIFS('تجربه‌گرها'!$B:$B,$A33,'تجربه‌گرها'!$F:$F,H$1)</f>
        <v>0</v>
      </c>
      <c r="I33" s="242">
        <f>COUNTIFS('تجربه‌گرها'!$B:$B,$A33,'تجربه‌گرها'!$F:$F,I$1)</f>
        <v>0</v>
      </c>
      <c r="J33" s="242">
        <f>COUNTIFS('تجربه‌گرها'!$B:$B,$A33,'تجربه‌گرها'!$F:$F,J$1)</f>
        <v>0</v>
      </c>
      <c r="K33" s="242">
        <f>COUNTIFS('تجربه‌گرها'!$B:$B,$A33,'تجربه‌گرها'!$F:$F,K$1)</f>
        <v>0</v>
      </c>
      <c r="L33" s="242">
        <f>COUNTIFS('تجربه‌گرها'!$B:$B,$A33,'تجربه‌گرها'!$F:$F,L$1)</f>
        <v>0</v>
      </c>
      <c r="M33" s="242">
        <f>COUNTIFS('تجربه‌گرها'!$B:$B,$A33,'تجربه‌گرها'!$F:$F,M$1)</f>
        <v>0</v>
      </c>
      <c r="N33" s="242">
        <f>COUNTIFS('تجربه‌گرها'!$B:$B,$A33,'تجربه‌گرها'!$F:$F,N$1)</f>
        <v>0</v>
      </c>
      <c r="O33" s="242">
        <f>COUNTIFS('تجربه‌گرها'!$B:$B,$A33,'تجربه‌گرها'!$F:$F,O$1)</f>
        <v>0</v>
      </c>
      <c r="P33" s="242">
        <f>COUNTIFS('تجربه‌گرها'!$B:$B,$A33,'تجربه‌گرها'!$F:$F,P$1)</f>
        <v>0</v>
      </c>
      <c r="Q33" s="242">
        <f>COUNTIFS('تجربه‌گرها'!$B:$B,$A33,'تجربه‌گرها'!$F:$F,Q$1)</f>
        <v>0</v>
      </c>
      <c r="R33" s="242">
        <f>COUNTIFS('تجربه‌گرها'!$B:$B,$A33,'تجربه‌گرها'!$F:$F,R$1)</f>
        <v>0</v>
      </c>
      <c r="S33" s="242">
        <f>COUNTIFS('تجربه‌گرها'!$B:$B,$A33,'تجربه‌گرها'!$F:$F,S$1)</f>
        <v>0</v>
      </c>
      <c r="T33" s="242">
        <f>COUNTIFS('تجربه‌گرها'!$B:$B,$A33,'تجربه‌گرها'!$F:$F,T$1)</f>
        <v>0</v>
      </c>
      <c r="U33" s="242"/>
      <c r="V33" s="242"/>
      <c r="W33" s="242"/>
      <c r="X33" s="242"/>
      <c r="Y33" s="242"/>
      <c r="Z33" s="242"/>
      <c r="AA33" s="242"/>
      <c r="AB33" s="242"/>
    </row>
    <row r="34">
      <c r="A34" s="244" t="s">
        <v>964</v>
      </c>
      <c r="B34" s="245" t="str">
        <f>VLOOKUP(A34,'تجربه‌گرها'!B:C,2,FALSE())</f>
        <v>9131585507</v>
      </c>
      <c r="C34" s="242"/>
      <c r="D34" s="242">
        <f t="shared" si="1"/>
        <v>2</v>
      </c>
      <c r="E34" s="242">
        <f>COUNTIFS('تجربه‌گرها'!$B:$B,$A34,'تجربه‌گرها'!$F:$F,E$1)</f>
        <v>1</v>
      </c>
      <c r="F34" s="242">
        <f>COUNTIFS('تجربه‌گرها'!$B:$B,$A34,'تجربه‌گرها'!$F:$F,F$1)</f>
        <v>0</v>
      </c>
      <c r="G34" s="242">
        <f>COUNTIFS('تجربه‌گرها'!$B:$B,$A34,'تجربه‌گرها'!$F:$F,G$1)</f>
        <v>0</v>
      </c>
      <c r="H34" s="242">
        <f>COUNTIFS('تجربه‌گرها'!$B:$B,$A34,'تجربه‌گرها'!$F:$F,H$1)</f>
        <v>0</v>
      </c>
      <c r="I34" s="242">
        <f>COUNTIFS('تجربه‌گرها'!$B:$B,$A34,'تجربه‌گرها'!$F:$F,I$1)</f>
        <v>0</v>
      </c>
      <c r="J34" s="242">
        <f>COUNTIFS('تجربه‌گرها'!$B:$B,$A34,'تجربه‌گرها'!$F:$F,J$1)</f>
        <v>0</v>
      </c>
      <c r="K34" s="242">
        <f>COUNTIFS('تجربه‌گرها'!$B:$B,$A34,'تجربه‌گرها'!$F:$F,K$1)</f>
        <v>0</v>
      </c>
      <c r="L34" s="242">
        <f>COUNTIFS('تجربه‌گرها'!$B:$B,$A34,'تجربه‌گرها'!$F:$F,L$1)</f>
        <v>0</v>
      </c>
      <c r="M34" s="242">
        <f>COUNTIFS('تجربه‌گرها'!$B:$B,$A34,'تجربه‌گرها'!$F:$F,M$1)</f>
        <v>1</v>
      </c>
      <c r="N34" s="242">
        <f>COUNTIFS('تجربه‌گرها'!$B:$B,$A34,'تجربه‌گرها'!$F:$F,N$1)</f>
        <v>0</v>
      </c>
      <c r="O34" s="242">
        <f>COUNTIFS('تجربه‌گرها'!$B:$B,$A34,'تجربه‌گرها'!$F:$F,O$1)</f>
        <v>0</v>
      </c>
      <c r="P34" s="242">
        <f>COUNTIFS('تجربه‌گرها'!$B:$B,$A34,'تجربه‌گرها'!$F:$F,P$1)</f>
        <v>0</v>
      </c>
      <c r="Q34" s="242">
        <f>COUNTIFS('تجربه‌گرها'!$B:$B,$A34,'تجربه‌گرها'!$F:$F,Q$1)</f>
        <v>0</v>
      </c>
      <c r="R34" s="242">
        <f>COUNTIFS('تجربه‌گرها'!$B:$B,$A34,'تجربه‌گرها'!$F:$F,R$1)</f>
        <v>0</v>
      </c>
      <c r="S34" s="242">
        <f>COUNTIFS('تجربه‌گرها'!$B:$B,$A34,'تجربه‌گرها'!$F:$F,S$1)</f>
        <v>0</v>
      </c>
      <c r="T34" s="242">
        <f>COUNTIFS('تجربه‌گرها'!$B:$B,$A34,'تجربه‌گرها'!$F:$F,T$1)</f>
        <v>0</v>
      </c>
      <c r="U34" s="242"/>
      <c r="V34" s="242"/>
      <c r="W34" s="242"/>
      <c r="X34" s="242"/>
      <c r="Y34" s="242"/>
      <c r="Z34" s="242"/>
      <c r="AA34" s="242"/>
      <c r="AB34" s="242"/>
    </row>
    <row r="35">
      <c r="A35" s="244" t="s">
        <v>972</v>
      </c>
      <c r="B35" s="245" t="str">
        <f>VLOOKUP(A35,'تجربه‌گرها'!B:C,2,FALSE())</f>
        <v>9125063294</v>
      </c>
      <c r="C35" s="242"/>
      <c r="D35" s="242">
        <f t="shared" si="1"/>
        <v>2</v>
      </c>
      <c r="E35" s="242">
        <f>COUNTIFS('تجربه‌گرها'!$B:$B,$A35,'تجربه‌گرها'!$F:$F,E$1)</f>
        <v>1</v>
      </c>
      <c r="F35" s="242">
        <f>COUNTIFS('تجربه‌گرها'!$B:$B,$A35,'تجربه‌گرها'!$F:$F,F$1)</f>
        <v>1</v>
      </c>
      <c r="G35" s="242">
        <f>COUNTIFS('تجربه‌گرها'!$B:$B,$A35,'تجربه‌گرها'!$F:$F,G$1)</f>
        <v>0</v>
      </c>
      <c r="H35" s="242">
        <f>COUNTIFS('تجربه‌گرها'!$B:$B,$A35,'تجربه‌گرها'!$F:$F,H$1)</f>
        <v>0</v>
      </c>
      <c r="I35" s="242">
        <f>COUNTIFS('تجربه‌گرها'!$B:$B,$A35,'تجربه‌گرها'!$F:$F,I$1)</f>
        <v>0</v>
      </c>
      <c r="J35" s="242">
        <f>COUNTIFS('تجربه‌گرها'!$B:$B,$A35,'تجربه‌گرها'!$F:$F,J$1)</f>
        <v>0</v>
      </c>
      <c r="K35" s="242">
        <f>COUNTIFS('تجربه‌گرها'!$B:$B,$A35,'تجربه‌گرها'!$F:$F,K$1)</f>
        <v>0</v>
      </c>
      <c r="L35" s="242">
        <f>COUNTIFS('تجربه‌گرها'!$B:$B,$A35,'تجربه‌گرها'!$F:$F,L$1)</f>
        <v>0</v>
      </c>
      <c r="M35" s="242">
        <f>COUNTIFS('تجربه‌گرها'!$B:$B,$A35,'تجربه‌گرها'!$F:$F,M$1)</f>
        <v>0</v>
      </c>
      <c r="N35" s="242">
        <f>COUNTIFS('تجربه‌گرها'!$B:$B,$A35,'تجربه‌گرها'!$F:$F,N$1)</f>
        <v>0</v>
      </c>
      <c r="O35" s="242">
        <f>COUNTIFS('تجربه‌گرها'!$B:$B,$A35,'تجربه‌گرها'!$F:$F,O$1)</f>
        <v>0</v>
      </c>
      <c r="P35" s="242">
        <f>COUNTIFS('تجربه‌گرها'!$B:$B,$A35,'تجربه‌گرها'!$F:$F,P$1)</f>
        <v>0</v>
      </c>
      <c r="Q35" s="242">
        <f>COUNTIFS('تجربه‌گرها'!$B:$B,$A35,'تجربه‌گرها'!$F:$F,Q$1)</f>
        <v>0</v>
      </c>
      <c r="R35" s="242">
        <f>COUNTIFS('تجربه‌گرها'!$B:$B,$A35,'تجربه‌گرها'!$F:$F,R$1)</f>
        <v>0</v>
      </c>
      <c r="S35" s="242">
        <f>COUNTIFS('تجربه‌گرها'!$B:$B,$A35,'تجربه‌گرها'!$F:$F,S$1)</f>
        <v>0</v>
      </c>
      <c r="T35" s="242">
        <f>COUNTIFS('تجربه‌گرها'!$B:$B,$A35,'تجربه‌گرها'!$F:$F,T$1)</f>
        <v>0</v>
      </c>
      <c r="U35" s="242"/>
      <c r="V35" s="242"/>
      <c r="W35" s="242"/>
      <c r="X35" s="242"/>
      <c r="Y35" s="242"/>
      <c r="Z35" s="242"/>
      <c r="AA35" s="242"/>
      <c r="AB35" s="242"/>
    </row>
    <row r="36">
      <c r="A36" s="244" t="s">
        <v>371</v>
      </c>
      <c r="B36" s="245" t="str">
        <f>VLOOKUP(A36,'تجربه‌گرها'!B:C,2,FALSE())</f>
        <v>9120323882</v>
      </c>
      <c r="C36" s="242"/>
      <c r="D36" s="242">
        <f t="shared" si="1"/>
        <v>2</v>
      </c>
      <c r="E36" s="242">
        <f>COUNTIFS('تجربه‌گرها'!$B:$B,$A36,'تجربه‌گرها'!$F:$F,E$1)</f>
        <v>1</v>
      </c>
      <c r="F36" s="242">
        <f>COUNTIFS('تجربه‌گرها'!$B:$B,$A36,'تجربه‌گرها'!$F:$F,F$1)</f>
        <v>1</v>
      </c>
      <c r="G36" s="242">
        <f>COUNTIFS('تجربه‌گرها'!$B:$B,$A36,'تجربه‌گرها'!$F:$F,G$1)</f>
        <v>0</v>
      </c>
      <c r="H36" s="242">
        <f>COUNTIFS('تجربه‌گرها'!$B:$B,$A36,'تجربه‌گرها'!$F:$F,H$1)</f>
        <v>0</v>
      </c>
      <c r="I36" s="242">
        <f>COUNTIFS('تجربه‌گرها'!$B:$B,$A36,'تجربه‌گرها'!$F:$F,I$1)</f>
        <v>0</v>
      </c>
      <c r="J36" s="242">
        <f>COUNTIFS('تجربه‌گرها'!$B:$B,$A36,'تجربه‌گرها'!$F:$F,J$1)</f>
        <v>0</v>
      </c>
      <c r="K36" s="242">
        <f>COUNTIFS('تجربه‌گرها'!$B:$B,$A36,'تجربه‌گرها'!$F:$F,K$1)</f>
        <v>0</v>
      </c>
      <c r="L36" s="242">
        <f>COUNTIFS('تجربه‌گرها'!$B:$B,$A36,'تجربه‌گرها'!$F:$F,L$1)</f>
        <v>0</v>
      </c>
      <c r="M36" s="242">
        <f>COUNTIFS('تجربه‌گرها'!$B:$B,$A36,'تجربه‌گرها'!$F:$F,M$1)</f>
        <v>0</v>
      </c>
      <c r="N36" s="242">
        <f>COUNTIFS('تجربه‌گرها'!$B:$B,$A36,'تجربه‌گرها'!$F:$F,N$1)</f>
        <v>0</v>
      </c>
      <c r="O36" s="242">
        <f>COUNTIFS('تجربه‌گرها'!$B:$B,$A36,'تجربه‌گرها'!$F:$F,O$1)</f>
        <v>0</v>
      </c>
      <c r="P36" s="242">
        <f>COUNTIFS('تجربه‌گرها'!$B:$B,$A36,'تجربه‌گرها'!$F:$F,P$1)</f>
        <v>0</v>
      </c>
      <c r="Q36" s="242">
        <f>COUNTIFS('تجربه‌گرها'!$B:$B,$A36,'تجربه‌گرها'!$F:$F,Q$1)</f>
        <v>0</v>
      </c>
      <c r="R36" s="242">
        <f>COUNTIFS('تجربه‌گرها'!$B:$B,$A36,'تجربه‌گرها'!$F:$F,R$1)</f>
        <v>0</v>
      </c>
      <c r="S36" s="242">
        <f>COUNTIFS('تجربه‌گرها'!$B:$B,$A36,'تجربه‌گرها'!$F:$F,S$1)</f>
        <v>0</v>
      </c>
      <c r="T36" s="242">
        <f>COUNTIFS('تجربه‌گرها'!$B:$B,$A36,'تجربه‌گرها'!$F:$F,T$1)</f>
        <v>0</v>
      </c>
      <c r="U36" s="242"/>
      <c r="V36" s="242"/>
      <c r="W36" s="242"/>
      <c r="X36" s="242"/>
      <c r="Y36" s="242"/>
      <c r="Z36" s="242"/>
      <c r="AA36" s="242"/>
      <c r="AB36" s="242"/>
    </row>
    <row r="37">
      <c r="A37" s="244" t="s">
        <v>984</v>
      </c>
      <c r="B37" s="245" t="str">
        <f>VLOOKUP(A37,'تجربه‌گرها'!B:C,2,FALSE())</f>
        <v>9199218472</v>
      </c>
      <c r="C37" s="242"/>
      <c r="D37" s="242">
        <f t="shared" si="1"/>
        <v>2</v>
      </c>
      <c r="E37" s="242">
        <f>COUNTIFS('تجربه‌گرها'!$B:$B,$A37,'تجربه‌گرها'!$F:$F,E$1)</f>
        <v>1</v>
      </c>
      <c r="F37" s="242">
        <f>COUNTIFS('تجربه‌گرها'!$B:$B,$A37,'تجربه‌گرها'!$F:$F,F$1)</f>
        <v>1</v>
      </c>
      <c r="G37" s="242">
        <f>COUNTIFS('تجربه‌گرها'!$B:$B,$A37,'تجربه‌گرها'!$F:$F,G$1)</f>
        <v>0</v>
      </c>
      <c r="H37" s="242">
        <f>COUNTIFS('تجربه‌گرها'!$B:$B,$A37,'تجربه‌گرها'!$F:$F,H$1)</f>
        <v>0</v>
      </c>
      <c r="I37" s="242">
        <f>COUNTIFS('تجربه‌گرها'!$B:$B,$A37,'تجربه‌گرها'!$F:$F,I$1)</f>
        <v>0</v>
      </c>
      <c r="J37" s="242">
        <f>COUNTIFS('تجربه‌گرها'!$B:$B,$A37,'تجربه‌گرها'!$F:$F,J$1)</f>
        <v>0</v>
      </c>
      <c r="K37" s="242">
        <f>COUNTIFS('تجربه‌گرها'!$B:$B,$A37,'تجربه‌گرها'!$F:$F,K$1)</f>
        <v>0</v>
      </c>
      <c r="L37" s="242">
        <f>COUNTIFS('تجربه‌گرها'!$B:$B,$A37,'تجربه‌گرها'!$F:$F,L$1)</f>
        <v>0</v>
      </c>
      <c r="M37" s="242">
        <f>COUNTIFS('تجربه‌گرها'!$B:$B,$A37,'تجربه‌گرها'!$F:$F,M$1)</f>
        <v>0</v>
      </c>
      <c r="N37" s="242">
        <f>COUNTIFS('تجربه‌گرها'!$B:$B,$A37,'تجربه‌گرها'!$F:$F,N$1)</f>
        <v>0</v>
      </c>
      <c r="O37" s="242">
        <f>COUNTIFS('تجربه‌گرها'!$B:$B,$A37,'تجربه‌گرها'!$F:$F,O$1)</f>
        <v>0</v>
      </c>
      <c r="P37" s="242">
        <f>COUNTIFS('تجربه‌گرها'!$B:$B,$A37,'تجربه‌گرها'!$F:$F,P$1)</f>
        <v>0</v>
      </c>
      <c r="Q37" s="242">
        <f>COUNTIFS('تجربه‌گرها'!$B:$B,$A37,'تجربه‌گرها'!$F:$F,Q$1)</f>
        <v>0</v>
      </c>
      <c r="R37" s="242">
        <f>COUNTIFS('تجربه‌گرها'!$B:$B,$A37,'تجربه‌گرها'!$F:$F,R$1)</f>
        <v>0</v>
      </c>
      <c r="S37" s="242">
        <f>COUNTIFS('تجربه‌گرها'!$B:$B,$A37,'تجربه‌گرها'!$F:$F,S$1)</f>
        <v>0</v>
      </c>
      <c r="T37" s="242">
        <f>COUNTIFS('تجربه‌گرها'!$B:$B,$A37,'تجربه‌گرها'!$F:$F,T$1)</f>
        <v>0</v>
      </c>
      <c r="U37" s="242"/>
      <c r="V37" s="242"/>
      <c r="W37" s="242"/>
      <c r="X37" s="242"/>
      <c r="Y37" s="242"/>
      <c r="Z37" s="242"/>
      <c r="AA37" s="242"/>
      <c r="AB37" s="242"/>
    </row>
    <row r="38">
      <c r="A38" s="244" t="s">
        <v>992</v>
      </c>
      <c r="B38" s="245" t="str">
        <f>VLOOKUP(A38,'تجربه‌گرها'!B:C,2,FALSE())</f>
        <v>9123865374</v>
      </c>
      <c r="C38" s="242"/>
      <c r="D38" s="242">
        <f t="shared" si="1"/>
        <v>2</v>
      </c>
      <c r="E38" s="242">
        <f>COUNTIFS('تجربه‌گرها'!$B:$B,$A38,'تجربه‌گرها'!$F:$F,E$1)</f>
        <v>1</v>
      </c>
      <c r="F38" s="242">
        <f>COUNTIFS('تجربه‌گرها'!$B:$B,$A38,'تجربه‌گرها'!$F:$F,F$1)</f>
        <v>1</v>
      </c>
      <c r="G38" s="242">
        <f>COUNTIFS('تجربه‌گرها'!$B:$B,$A38,'تجربه‌گرها'!$F:$F,G$1)</f>
        <v>0</v>
      </c>
      <c r="H38" s="242">
        <f>COUNTIFS('تجربه‌گرها'!$B:$B,$A38,'تجربه‌گرها'!$F:$F,H$1)</f>
        <v>0</v>
      </c>
      <c r="I38" s="242">
        <f>COUNTIFS('تجربه‌گرها'!$B:$B,$A38,'تجربه‌گرها'!$F:$F,I$1)</f>
        <v>0</v>
      </c>
      <c r="J38" s="242">
        <f>COUNTIFS('تجربه‌گرها'!$B:$B,$A38,'تجربه‌گرها'!$F:$F,J$1)</f>
        <v>0</v>
      </c>
      <c r="K38" s="242">
        <f>COUNTIFS('تجربه‌گرها'!$B:$B,$A38,'تجربه‌گرها'!$F:$F,K$1)</f>
        <v>0</v>
      </c>
      <c r="L38" s="242">
        <f>COUNTIFS('تجربه‌گرها'!$B:$B,$A38,'تجربه‌گرها'!$F:$F,L$1)</f>
        <v>0</v>
      </c>
      <c r="M38" s="242">
        <f>COUNTIFS('تجربه‌گرها'!$B:$B,$A38,'تجربه‌گرها'!$F:$F,M$1)</f>
        <v>0</v>
      </c>
      <c r="N38" s="242">
        <f>COUNTIFS('تجربه‌گرها'!$B:$B,$A38,'تجربه‌گرها'!$F:$F,N$1)</f>
        <v>0</v>
      </c>
      <c r="O38" s="242">
        <f>COUNTIFS('تجربه‌گرها'!$B:$B,$A38,'تجربه‌گرها'!$F:$F,O$1)</f>
        <v>0</v>
      </c>
      <c r="P38" s="242">
        <f>COUNTIFS('تجربه‌گرها'!$B:$B,$A38,'تجربه‌گرها'!$F:$F,P$1)</f>
        <v>0</v>
      </c>
      <c r="Q38" s="242">
        <f>COUNTIFS('تجربه‌گرها'!$B:$B,$A38,'تجربه‌گرها'!$F:$F,Q$1)</f>
        <v>0</v>
      </c>
      <c r="R38" s="242">
        <f>COUNTIFS('تجربه‌گرها'!$B:$B,$A38,'تجربه‌گرها'!$F:$F,R$1)</f>
        <v>0</v>
      </c>
      <c r="S38" s="242">
        <f>COUNTIFS('تجربه‌گرها'!$B:$B,$A38,'تجربه‌گرها'!$F:$F,S$1)</f>
        <v>0</v>
      </c>
      <c r="T38" s="242">
        <f>COUNTIFS('تجربه‌گرها'!$B:$B,$A38,'تجربه‌گرها'!$F:$F,T$1)</f>
        <v>0</v>
      </c>
      <c r="U38" s="242"/>
      <c r="V38" s="242"/>
      <c r="W38" s="242"/>
      <c r="X38" s="242"/>
      <c r="Y38" s="242"/>
      <c r="Z38" s="242"/>
      <c r="AA38" s="242"/>
      <c r="AB38" s="242"/>
    </row>
    <row r="39">
      <c r="A39" s="244" t="s">
        <v>1000</v>
      </c>
      <c r="B39" s="245" t="str">
        <f>VLOOKUP(A39,'تجربه‌گرها'!B:C,2,FALSE())</f>
        <v>9126798482</v>
      </c>
      <c r="C39" s="242"/>
      <c r="D39" s="242">
        <f t="shared" si="1"/>
        <v>3</v>
      </c>
      <c r="E39" s="242">
        <f>COUNTIFS('تجربه‌گرها'!$B:$B,$A39,'تجربه‌گرها'!$F:$F,E$1)</f>
        <v>1</v>
      </c>
      <c r="F39" s="242">
        <f>COUNTIFS('تجربه‌گرها'!$B:$B,$A39,'تجربه‌گرها'!$F:$F,F$1)</f>
        <v>0</v>
      </c>
      <c r="G39" s="242">
        <f>COUNTIFS('تجربه‌گرها'!$B:$B,$A39,'تجربه‌گرها'!$F:$F,G$1)</f>
        <v>0</v>
      </c>
      <c r="H39" s="242">
        <f>COUNTIFS('تجربه‌گرها'!$B:$B,$A39,'تجربه‌گرها'!$F:$F,H$1)</f>
        <v>0</v>
      </c>
      <c r="I39" s="242">
        <f>COUNTIFS('تجربه‌گرها'!$B:$B,$A39,'تجربه‌گرها'!$F:$F,I$1)</f>
        <v>1</v>
      </c>
      <c r="J39" s="242">
        <f>COUNTIFS('تجربه‌گرها'!$B:$B,$A39,'تجربه‌گرها'!$F:$F,J$1)</f>
        <v>0</v>
      </c>
      <c r="K39" s="242">
        <f>COUNTIFS('تجربه‌گرها'!$B:$B,$A39,'تجربه‌گرها'!$F:$F,K$1)</f>
        <v>0</v>
      </c>
      <c r="L39" s="242">
        <f>COUNTIFS('تجربه‌گرها'!$B:$B,$A39,'تجربه‌گرها'!$F:$F,L$1)</f>
        <v>1</v>
      </c>
      <c r="M39" s="242">
        <f>COUNTIFS('تجربه‌گرها'!$B:$B,$A39,'تجربه‌گرها'!$F:$F,M$1)</f>
        <v>0</v>
      </c>
      <c r="N39" s="242">
        <f>COUNTIFS('تجربه‌گرها'!$B:$B,$A39,'تجربه‌گرها'!$F:$F,N$1)</f>
        <v>0</v>
      </c>
      <c r="O39" s="242">
        <f>COUNTIFS('تجربه‌گرها'!$B:$B,$A39,'تجربه‌گرها'!$F:$F,O$1)</f>
        <v>0</v>
      </c>
      <c r="P39" s="242">
        <f>COUNTIFS('تجربه‌گرها'!$B:$B,$A39,'تجربه‌گرها'!$F:$F,P$1)</f>
        <v>0</v>
      </c>
      <c r="Q39" s="242">
        <f>COUNTIFS('تجربه‌گرها'!$B:$B,$A39,'تجربه‌گرها'!$F:$F,Q$1)</f>
        <v>0</v>
      </c>
      <c r="R39" s="242">
        <f>COUNTIFS('تجربه‌گرها'!$B:$B,$A39,'تجربه‌گرها'!$F:$F,R$1)</f>
        <v>0</v>
      </c>
      <c r="S39" s="242">
        <f>COUNTIFS('تجربه‌گرها'!$B:$B,$A39,'تجربه‌گرها'!$F:$F,S$1)</f>
        <v>0</v>
      </c>
      <c r="T39" s="242">
        <f>COUNTIFS('تجربه‌گرها'!$B:$B,$A39,'تجربه‌گرها'!$F:$F,T$1)</f>
        <v>0</v>
      </c>
      <c r="U39" s="242"/>
      <c r="V39" s="242"/>
      <c r="W39" s="242"/>
      <c r="X39" s="242"/>
      <c r="Y39" s="242"/>
      <c r="Z39" s="242"/>
      <c r="AA39" s="242"/>
      <c r="AB39" s="242"/>
    </row>
    <row r="40">
      <c r="A40" s="244" t="s">
        <v>1008</v>
      </c>
      <c r="B40" s="245" t="str">
        <f>VLOOKUP(A40,'تجربه‌گرها'!B:C,2,FALSE())</f>
        <v>9127023774</v>
      </c>
      <c r="C40" s="242"/>
      <c r="D40" s="242">
        <f t="shared" si="1"/>
        <v>2</v>
      </c>
      <c r="E40" s="242">
        <f>COUNTIFS('تجربه‌گرها'!$B:$B,$A40,'تجربه‌گرها'!$F:$F,E$1)</f>
        <v>1</v>
      </c>
      <c r="F40" s="242">
        <f>COUNTIFS('تجربه‌گرها'!$B:$B,$A40,'تجربه‌گرها'!$F:$F,F$1)</f>
        <v>1</v>
      </c>
      <c r="G40" s="242">
        <f>COUNTIFS('تجربه‌گرها'!$B:$B,$A40,'تجربه‌گرها'!$F:$F,G$1)</f>
        <v>0</v>
      </c>
      <c r="H40" s="242">
        <f>COUNTIFS('تجربه‌گرها'!$B:$B,$A40,'تجربه‌گرها'!$F:$F,H$1)</f>
        <v>0</v>
      </c>
      <c r="I40" s="242">
        <f>COUNTIFS('تجربه‌گرها'!$B:$B,$A40,'تجربه‌گرها'!$F:$F,I$1)</f>
        <v>0</v>
      </c>
      <c r="J40" s="242">
        <f>COUNTIFS('تجربه‌گرها'!$B:$B,$A40,'تجربه‌گرها'!$F:$F,J$1)</f>
        <v>0</v>
      </c>
      <c r="K40" s="242">
        <f>COUNTIFS('تجربه‌گرها'!$B:$B,$A40,'تجربه‌گرها'!$F:$F,K$1)</f>
        <v>0</v>
      </c>
      <c r="L40" s="242">
        <f>COUNTIFS('تجربه‌گرها'!$B:$B,$A40,'تجربه‌گرها'!$F:$F,L$1)</f>
        <v>0</v>
      </c>
      <c r="M40" s="242">
        <f>COUNTIFS('تجربه‌گرها'!$B:$B,$A40,'تجربه‌گرها'!$F:$F,M$1)</f>
        <v>0</v>
      </c>
      <c r="N40" s="242">
        <f>COUNTIFS('تجربه‌گرها'!$B:$B,$A40,'تجربه‌گرها'!$F:$F,N$1)</f>
        <v>0</v>
      </c>
      <c r="O40" s="242">
        <f>COUNTIFS('تجربه‌گرها'!$B:$B,$A40,'تجربه‌گرها'!$F:$F,O$1)</f>
        <v>0</v>
      </c>
      <c r="P40" s="242">
        <f>COUNTIFS('تجربه‌گرها'!$B:$B,$A40,'تجربه‌گرها'!$F:$F,P$1)</f>
        <v>0</v>
      </c>
      <c r="Q40" s="242">
        <f>COUNTIFS('تجربه‌گرها'!$B:$B,$A40,'تجربه‌گرها'!$F:$F,Q$1)</f>
        <v>0</v>
      </c>
      <c r="R40" s="242">
        <f>COUNTIFS('تجربه‌گرها'!$B:$B,$A40,'تجربه‌گرها'!$F:$F,R$1)</f>
        <v>0</v>
      </c>
      <c r="S40" s="242">
        <f>COUNTIFS('تجربه‌گرها'!$B:$B,$A40,'تجربه‌گرها'!$F:$F,S$1)</f>
        <v>0</v>
      </c>
      <c r="T40" s="242">
        <f>COUNTIFS('تجربه‌گرها'!$B:$B,$A40,'تجربه‌گرها'!$F:$F,T$1)</f>
        <v>0</v>
      </c>
      <c r="U40" s="242"/>
      <c r="V40" s="242"/>
      <c r="W40" s="242"/>
      <c r="X40" s="242"/>
      <c r="Y40" s="242"/>
      <c r="Z40" s="242"/>
      <c r="AA40" s="242"/>
      <c r="AB40" s="242"/>
    </row>
    <row r="41" hidden="1">
      <c r="A41" s="244" t="s">
        <v>1014</v>
      </c>
      <c r="B41" s="245" t="str">
        <f>VLOOKUP(A41,'تجربه‌گرها'!B:C,2,FALSE())</f>
        <v>9124369973</v>
      </c>
      <c r="C41" s="242"/>
      <c r="D41" s="242">
        <f t="shared" si="1"/>
        <v>1</v>
      </c>
      <c r="E41" s="242">
        <f>COUNTIFS('تجربه‌گرها'!$B:$B,$A41,'تجربه‌گرها'!$F:$F,E$1)</f>
        <v>1</v>
      </c>
      <c r="F41" s="242">
        <f>COUNTIFS('تجربه‌گرها'!$B:$B,$A41,'تجربه‌گرها'!$F:$F,F$1)</f>
        <v>0</v>
      </c>
      <c r="G41" s="242">
        <f>COUNTIFS('تجربه‌گرها'!$B:$B,$A41,'تجربه‌گرها'!$F:$F,G$1)</f>
        <v>0</v>
      </c>
      <c r="H41" s="242">
        <f>COUNTIFS('تجربه‌گرها'!$B:$B,$A41,'تجربه‌گرها'!$F:$F,H$1)</f>
        <v>0</v>
      </c>
      <c r="I41" s="242">
        <f>COUNTIFS('تجربه‌گرها'!$B:$B,$A41,'تجربه‌گرها'!$F:$F,I$1)</f>
        <v>0</v>
      </c>
      <c r="J41" s="242">
        <f>COUNTIFS('تجربه‌گرها'!$B:$B,$A41,'تجربه‌گرها'!$F:$F,J$1)</f>
        <v>0</v>
      </c>
      <c r="K41" s="242">
        <f>COUNTIFS('تجربه‌گرها'!$B:$B,$A41,'تجربه‌گرها'!$F:$F,K$1)</f>
        <v>0</v>
      </c>
      <c r="L41" s="242">
        <f>COUNTIFS('تجربه‌گرها'!$B:$B,$A41,'تجربه‌گرها'!$F:$F,L$1)</f>
        <v>0</v>
      </c>
      <c r="M41" s="242">
        <f>COUNTIFS('تجربه‌گرها'!$B:$B,$A41,'تجربه‌گرها'!$F:$F,M$1)</f>
        <v>0</v>
      </c>
      <c r="N41" s="242">
        <f>COUNTIFS('تجربه‌گرها'!$B:$B,$A41,'تجربه‌گرها'!$F:$F,N$1)</f>
        <v>0</v>
      </c>
      <c r="O41" s="242">
        <f>COUNTIFS('تجربه‌گرها'!$B:$B,$A41,'تجربه‌گرها'!$F:$F,O$1)</f>
        <v>0</v>
      </c>
      <c r="P41" s="242">
        <f>COUNTIFS('تجربه‌گرها'!$B:$B,$A41,'تجربه‌گرها'!$F:$F,P$1)</f>
        <v>0</v>
      </c>
      <c r="Q41" s="242">
        <f>COUNTIFS('تجربه‌گرها'!$B:$B,$A41,'تجربه‌گرها'!$F:$F,Q$1)</f>
        <v>0</v>
      </c>
      <c r="R41" s="242">
        <f>COUNTIFS('تجربه‌گرها'!$B:$B,$A41,'تجربه‌گرها'!$F:$F,R$1)</f>
        <v>0</v>
      </c>
      <c r="S41" s="242">
        <f>COUNTIFS('تجربه‌گرها'!$B:$B,$A41,'تجربه‌گرها'!$F:$F,S$1)</f>
        <v>0</v>
      </c>
      <c r="T41" s="242">
        <f>COUNTIFS('تجربه‌گرها'!$B:$B,$A41,'تجربه‌گرها'!$F:$F,T$1)</f>
        <v>0</v>
      </c>
      <c r="U41" s="242"/>
      <c r="V41" s="242"/>
      <c r="W41" s="242"/>
      <c r="X41" s="242"/>
      <c r="Y41" s="242"/>
      <c r="Z41" s="242"/>
      <c r="AA41" s="242"/>
      <c r="AB41" s="242"/>
    </row>
    <row r="42" hidden="1">
      <c r="A42" s="244" t="s">
        <v>1021</v>
      </c>
      <c r="B42" s="245" t="str">
        <f>VLOOKUP(A42,'تجربه‌گرها'!B:C,2,FALSE())</f>
        <v>9125570953</v>
      </c>
      <c r="C42" s="242"/>
      <c r="D42" s="242">
        <f t="shared" si="1"/>
        <v>1</v>
      </c>
      <c r="E42" s="242">
        <f>COUNTIFS('تجربه‌گرها'!$B:$B,$A42,'تجربه‌گرها'!$F:$F,E$1)</f>
        <v>1</v>
      </c>
      <c r="F42" s="242">
        <f>COUNTIFS('تجربه‌گرها'!$B:$B,$A42,'تجربه‌گرها'!$F:$F,F$1)</f>
        <v>0</v>
      </c>
      <c r="G42" s="242">
        <f>COUNTIFS('تجربه‌گرها'!$B:$B,$A42,'تجربه‌گرها'!$F:$F,G$1)</f>
        <v>0</v>
      </c>
      <c r="H42" s="242">
        <f>COUNTIFS('تجربه‌گرها'!$B:$B,$A42,'تجربه‌گرها'!$F:$F,H$1)</f>
        <v>0</v>
      </c>
      <c r="I42" s="242">
        <f>COUNTIFS('تجربه‌گرها'!$B:$B,$A42,'تجربه‌گرها'!$F:$F,I$1)</f>
        <v>0</v>
      </c>
      <c r="J42" s="242">
        <f>COUNTIFS('تجربه‌گرها'!$B:$B,$A42,'تجربه‌گرها'!$F:$F,J$1)</f>
        <v>0</v>
      </c>
      <c r="K42" s="242">
        <f>COUNTIFS('تجربه‌گرها'!$B:$B,$A42,'تجربه‌گرها'!$F:$F,K$1)</f>
        <v>0</v>
      </c>
      <c r="L42" s="242">
        <f>COUNTIFS('تجربه‌گرها'!$B:$B,$A42,'تجربه‌گرها'!$F:$F,L$1)</f>
        <v>0</v>
      </c>
      <c r="M42" s="242">
        <f>COUNTIFS('تجربه‌گرها'!$B:$B,$A42,'تجربه‌گرها'!$F:$F,M$1)</f>
        <v>0</v>
      </c>
      <c r="N42" s="242">
        <f>COUNTIFS('تجربه‌گرها'!$B:$B,$A42,'تجربه‌گرها'!$F:$F,N$1)</f>
        <v>0</v>
      </c>
      <c r="O42" s="242">
        <f>COUNTIFS('تجربه‌گرها'!$B:$B,$A42,'تجربه‌گرها'!$F:$F,O$1)</f>
        <v>0</v>
      </c>
      <c r="P42" s="242">
        <f>COUNTIFS('تجربه‌گرها'!$B:$B,$A42,'تجربه‌گرها'!$F:$F,P$1)</f>
        <v>0</v>
      </c>
      <c r="Q42" s="242">
        <f>COUNTIFS('تجربه‌گرها'!$B:$B,$A42,'تجربه‌گرها'!$F:$F,Q$1)</f>
        <v>0</v>
      </c>
      <c r="R42" s="242">
        <f>COUNTIFS('تجربه‌گرها'!$B:$B,$A42,'تجربه‌گرها'!$F:$F,R$1)</f>
        <v>0</v>
      </c>
      <c r="S42" s="242">
        <f>COUNTIFS('تجربه‌گرها'!$B:$B,$A42,'تجربه‌گرها'!$F:$F,S$1)</f>
        <v>0</v>
      </c>
      <c r="T42" s="242">
        <f>COUNTIFS('تجربه‌گرها'!$B:$B,$A42,'تجربه‌گرها'!$F:$F,T$1)</f>
        <v>0</v>
      </c>
      <c r="U42" s="242"/>
      <c r="V42" s="242"/>
      <c r="W42" s="242"/>
      <c r="X42" s="242"/>
      <c r="Y42" s="242"/>
      <c r="Z42" s="242"/>
      <c r="AA42" s="242"/>
      <c r="AB42" s="242"/>
    </row>
    <row r="43">
      <c r="A43" s="244" t="s">
        <v>1028</v>
      </c>
      <c r="B43" s="245" t="str">
        <f>VLOOKUP(A43,'تجربه‌گرها'!B:C,2,FALSE())</f>
        <v>9375807234</v>
      </c>
      <c r="C43" s="242"/>
      <c r="D43" s="242">
        <f t="shared" si="1"/>
        <v>2</v>
      </c>
      <c r="E43" s="242">
        <f>COUNTIFS('تجربه‌گرها'!$B:$B,$A43,'تجربه‌گرها'!$F:$F,E$1)</f>
        <v>1</v>
      </c>
      <c r="F43" s="242">
        <f>COUNTIFS('تجربه‌گرها'!$B:$B,$A43,'تجربه‌گرها'!$F:$F,F$1)</f>
        <v>0</v>
      </c>
      <c r="G43" s="242">
        <f>COUNTIFS('تجربه‌گرها'!$B:$B,$A43,'تجربه‌گرها'!$F:$F,G$1)</f>
        <v>0</v>
      </c>
      <c r="H43" s="242">
        <f>COUNTIFS('تجربه‌گرها'!$B:$B,$A43,'تجربه‌گرها'!$F:$F,H$1)</f>
        <v>0</v>
      </c>
      <c r="I43" s="242">
        <f>COUNTIFS('تجربه‌گرها'!$B:$B,$A43,'تجربه‌گرها'!$F:$F,I$1)</f>
        <v>0</v>
      </c>
      <c r="J43" s="242">
        <f>COUNTIFS('تجربه‌گرها'!$B:$B,$A43,'تجربه‌گرها'!$F:$F,J$1)</f>
        <v>0</v>
      </c>
      <c r="K43" s="242">
        <f>COUNTIFS('تجربه‌گرها'!$B:$B,$A43,'تجربه‌گرها'!$F:$F,K$1)</f>
        <v>0</v>
      </c>
      <c r="L43" s="242">
        <f>COUNTIFS('تجربه‌گرها'!$B:$B,$A43,'تجربه‌گرها'!$F:$F,L$1)</f>
        <v>0</v>
      </c>
      <c r="M43" s="242">
        <f>COUNTIFS('تجربه‌گرها'!$B:$B,$A43,'تجربه‌گرها'!$F:$F,M$1)</f>
        <v>0</v>
      </c>
      <c r="N43" s="242">
        <f>COUNTIFS('تجربه‌گرها'!$B:$B,$A43,'تجربه‌گرها'!$F:$F,N$1)</f>
        <v>0</v>
      </c>
      <c r="O43" s="242">
        <f>COUNTIFS('تجربه‌گرها'!$B:$B,$A43,'تجربه‌گرها'!$F:$F,O$1)</f>
        <v>0</v>
      </c>
      <c r="P43" s="242">
        <f>COUNTIFS('تجربه‌گرها'!$B:$B,$A43,'تجربه‌گرها'!$F:$F,P$1)</f>
        <v>1</v>
      </c>
      <c r="Q43" s="242">
        <f>COUNTIFS('تجربه‌گرها'!$B:$B,$A43,'تجربه‌گرها'!$F:$F,Q$1)</f>
        <v>0</v>
      </c>
      <c r="R43" s="242">
        <f>COUNTIFS('تجربه‌گرها'!$B:$B,$A43,'تجربه‌گرها'!$F:$F,R$1)</f>
        <v>0</v>
      </c>
      <c r="S43" s="242">
        <f>COUNTIFS('تجربه‌گرها'!$B:$B,$A43,'تجربه‌گرها'!$F:$F,S$1)</f>
        <v>0</v>
      </c>
      <c r="T43" s="242">
        <f>COUNTIFS('تجربه‌گرها'!$B:$B,$A43,'تجربه‌گرها'!$F:$F,T$1)</f>
        <v>0</v>
      </c>
      <c r="U43" s="242"/>
      <c r="V43" s="242"/>
      <c r="W43" s="242"/>
      <c r="X43" s="242"/>
      <c r="Y43" s="242"/>
      <c r="Z43" s="242"/>
      <c r="AA43" s="242"/>
      <c r="AB43" s="242"/>
    </row>
    <row r="44" hidden="1">
      <c r="A44" s="244" t="s">
        <v>1036</v>
      </c>
      <c r="B44" s="245" t="str">
        <f>VLOOKUP(A44,'تجربه‌گرها'!B:C,2,FALSE())</f>
        <v>9360494149</v>
      </c>
      <c r="C44" s="242"/>
      <c r="D44" s="242">
        <f t="shared" si="1"/>
        <v>1</v>
      </c>
      <c r="E44" s="242">
        <f>COUNTIFS('تجربه‌گرها'!$B:$B,$A44,'تجربه‌گرها'!$F:$F,E$1)</f>
        <v>1</v>
      </c>
      <c r="F44" s="242">
        <f>COUNTIFS('تجربه‌گرها'!$B:$B,$A44,'تجربه‌گرها'!$F:$F,F$1)</f>
        <v>0</v>
      </c>
      <c r="G44" s="242">
        <f>COUNTIFS('تجربه‌گرها'!$B:$B,$A44,'تجربه‌گرها'!$F:$F,G$1)</f>
        <v>0</v>
      </c>
      <c r="H44" s="242">
        <f>COUNTIFS('تجربه‌گرها'!$B:$B,$A44,'تجربه‌گرها'!$F:$F,H$1)</f>
        <v>0</v>
      </c>
      <c r="I44" s="242">
        <f>COUNTIFS('تجربه‌گرها'!$B:$B,$A44,'تجربه‌گرها'!$F:$F,I$1)</f>
        <v>0</v>
      </c>
      <c r="J44" s="242">
        <f>COUNTIFS('تجربه‌گرها'!$B:$B,$A44,'تجربه‌گرها'!$F:$F,J$1)</f>
        <v>0</v>
      </c>
      <c r="K44" s="242">
        <f>COUNTIFS('تجربه‌گرها'!$B:$B,$A44,'تجربه‌گرها'!$F:$F,K$1)</f>
        <v>0</v>
      </c>
      <c r="L44" s="242">
        <f>COUNTIFS('تجربه‌گرها'!$B:$B,$A44,'تجربه‌گرها'!$F:$F,L$1)</f>
        <v>0</v>
      </c>
      <c r="M44" s="242">
        <f>COUNTIFS('تجربه‌گرها'!$B:$B,$A44,'تجربه‌گرها'!$F:$F,M$1)</f>
        <v>0</v>
      </c>
      <c r="N44" s="242">
        <f>COUNTIFS('تجربه‌گرها'!$B:$B,$A44,'تجربه‌گرها'!$F:$F,N$1)</f>
        <v>0</v>
      </c>
      <c r="O44" s="242">
        <f>COUNTIFS('تجربه‌گرها'!$B:$B,$A44,'تجربه‌گرها'!$F:$F,O$1)</f>
        <v>0</v>
      </c>
      <c r="P44" s="242">
        <f>COUNTIFS('تجربه‌گرها'!$B:$B,$A44,'تجربه‌گرها'!$F:$F,P$1)</f>
        <v>0</v>
      </c>
      <c r="Q44" s="242">
        <f>COUNTIFS('تجربه‌گرها'!$B:$B,$A44,'تجربه‌گرها'!$F:$F,Q$1)</f>
        <v>0</v>
      </c>
      <c r="R44" s="242">
        <f>COUNTIFS('تجربه‌گرها'!$B:$B,$A44,'تجربه‌گرها'!$F:$F,R$1)</f>
        <v>0</v>
      </c>
      <c r="S44" s="242">
        <f>COUNTIFS('تجربه‌گرها'!$B:$B,$A44,'تجربه‌گرها'!$F:$F,S$1)</f>
        <v>0</v>
      </c>
      <c r="T44" s="242">
        <f>COUNTIFS('تجربه‌گرها'!$B:$B,$A44,'تجربه‌گرها'!$F:$F,T$1)</f>
        <v>0</v>
      </c>
      <c r="U44" s="242"/>
      <c r="V44" s="242"/>
      <c r="W44" s="242"/>
      <c r="X44" s="242"/>
      <c r="Y44" s="242"/>
      <c r="Z44" s="242"/>
      <c r="AA44" s="242"/>
      <c r="AB44" s="242"/>
    </row>
    <row r="45" hidden="1">
      <c r="A45" s="244" t="s">
        <v>1044</v>
      </c>
      <c r="B45" s="245" t="str">
        <f>VLOOKUP(A45,'تجربه‌گرها'!B:C,2,FALSE())</f>
        <v>9198191915</v>
      </c>
      <c r="C45" s="242"/>
      <c r="D45" s="242">
        <f t="shared" si="1"/>
        <v>1</v>
      </c>
      <c r="E45" s="242">
        <f>COUNTIFS('تجربه‌گرها'!$B:$B,$A45,'تجربه‌گرها'!$F:$F,E$1)</f>
        <v>1</v>
      </c>
      <c r="F45" s="242">
        <f>COUNTIFS('تجربه‌گرها'!$B:$B,$A45,'تجربه‌گرها'!$F:$F,F$1)</f>
        <v>0</v>
      </c>
      <c r="G45" s="242">
        <f>COUNTIFS('تجربه‌گرها'!$B:$B,$A45,'تجربه‌گرها'!$F:$F,G$1)</f>
        <v>0</v>
      </c>
      <c r="H45" s="242">
        <f>COUNTIFS('تجربه‌گرها'!$B:$B,$A45,'تجربه‌گرها'!$F:$F,H$1)</f>
        <v>0</v>
      </c>
      <c r="I45" s="242">
        <f>COUNTIFS('تجربه‌گرها'!$B:$B,$A45,'تجربه‌گرها'!$F:$F,I$1)</f>
        <v>0</v>
      </c>
      <c r="J45" s="242">
        <f>COUNTIFS('تجربه‌گرها'!$B:$B,$A45,'تجربه‌گرها'!$F:$F,J$1)</f>
        <v>0</v>
      </c>
      <c r="K45" s="242">
        <f>COUNTIFS('تجربه‌گرها'!$B:$B,$A45,'تجربه‌گرها'!$F:$F,K$1)</f>
        <v>0</v>
      </c>
      <c r="L45" s="242">
        <f>COUNTIFS('تجربه‌گرها'!$B:$B,$A45,'تجربه‌گرها'!$F:$F,L$1)</f>
        <v>0</v>
      </c>
      <c r="M45" s="242">
        <f>COUNTIFS('تجربه‌گرها'!$B:$B,$A45,'تجربه‌گرها'!$F:$F,M$1)</f>
        <v>0</v>
      </c>
      <c r="N45" s="242">
        <f>COUNTIFS('تجربه‌گرها'!$B:$B,$A45,'تجربه‌گرها'!$F:$F,N$1)</f>
        <v>0</v>
      </c>
      <c r="O45" s="242">
        <f>COUNTIFS('تجربه‌گرها'!$B:$B,$A45,'تجربه‌گرها'!$F:$F,O$1)</f>
        <v>0</v>
      </c>
      <c r="P45" s="242">
        <f>COUNTIFS('تجربه‌گرها'!$B:$B,$A45,'تجربه‌گرها'!$F:$F,P$1)</f>
        <v>0</v>
      </c>
      <c r="Q45" s="242">
        <f>COUNTIFS('تجربه‌گرها'!$B:$B,$A45,'تجربه‌گرها'!$F:$F,Q$1)</f>
        <v>0</v>
      </c>
      <c r="R45" s="242">
        <f>COUNTIFS('تجربه‌گرها'!$B:$B,$A45,'تجربه‌گرها'!$F:$F,R$1)</f>
        <v>0</v>
      </c>
      <c r="S45" s="242">
        <f>COUNTIFS('تجربه‌گرها'!$B:$B,$A45,'تجربه‌گرها'!$F:$F,S$1)</f>
        <v>0</v>
      </c>
      <c r="T45" s="242">
        <f>COUNTIFS('تجربه‌گرها'!$B:$B,$A45,'تجربه‌گرها'!$F:$F,T$1)</f>
        <v>0</v>
      </c>
      <c r="U45" s="242"/>
      <c r="V45" s="242"/>
      <c r="W45" s="242"/>
      <c r="X45" s="242"/>
      <c r="Y45" s="242"/>
      <c r="Z45" s="242"/>
      <c r="AA45" s="242"/>
      <c r="AB45" s="242"/>
    </row>
    <row r="46" hidden="1">
      <c r="A46" s="244" t="s">
        <v>1051</v>
      </c>
      <c r="B46" s="245" t="str">
        <f>VLOOKUP(A46,'تجربه‌گرها'!B:C,2,FALSE())</f>
        <v>9109105210</v>
      </c>
      <c r="C46" s="242"/>
      <c r="D46" s="242">
        <f t="shared" si="1"/>
        <v>1</v>
      </c>
      <c r="E46" s="242">
        <f>COUNTIFS('تجربه‌گرها'!$B:$B,$A46,'تجربه‌گرها'!$F:$F,E$1)</f>
        <v>1</v>
      </c>
      <c r="F46" s="242">
        <f>COUNTIFS('تجربه‌گرها'!$B:$B,$A46,'تجربه‌گرها'!$F:$F,F$1)</f>
        <v>0</v>
      </c>
      <c r="G46" s="242">
        <f>COUNTIFS('تجربه‌گرها'!$B:$B,$A46,'تجربه‌گرها'!$F:$F,G$1)</f>
        <v>0</v>
      </c>
      <c r="H46" s="242">
        <f>COUNTIFS('تجربه‌گرها'!$B:$B,$A46,'تجربه‌گرها'!$F:$F,H$1)</f>
        <v>0</v>
      </c>
      <c r="I46" s="242">
        <f>COUNTIFS('تجربه‌گرها'!$B:$B,$A46,'تجربه‌گرها'!$F:$F,I$1)</f>
        <v>0</v>
      </c>
      <c r="J46" s="242">
        <f>COUNTIFS('تجربه‌گرها'!$B:$B,$A46,'تجربه‌گرها'!$F:$F,J$1)</f>
        <v>0</v>
      </c>
      <c r="K46" s="242">
        <f>COUNTIFS('تجربه‌گرها'!$B:$B,$A46,'تجربه‌گرها'!$F:$F,K$1)</f>
        <v>0</v>
      </c>
      <c r="L46" s="242">
        <f>COUNTIFS('تجربه‌گرها'!$B:$B,$A46,'تجربه‌گرها'!$F:$F,L$1)</f>
        <v>0</v>
      </c>
      <c r="M46" s="242">
        <f>COUNTIFS('تجربه‌گرها'!$B:$B,$A46,'تجربه‌گرها'!$F:$F,M$1)</f>
        <v>0</v>
      </c>
      <c r="N46" s="242">
        <f>COUNTIFS('تجربه‌گرها'!$B:$B,$A46,'تجربه‌گرها'!$F:$F,N$1)</f>
        <v>0</v>
      </c>
      <c r="O46" s="242">
        <f>COUNTIFS('تجربه‌گرها'!$B:$B,$A46,'تجربه‌گرها'!$F:$F,O$1)</f>
        <v>0</v>
      </c>
      <c r="P46" s="242">
        <f>COUNTIFS('تجربه‌گرها'!$B:$B,$A46,'تجربه‌گرها'!$F:$F,P$1)</f>
        <v>0</v>
      </c>
      <c r="Q46" s="242">
        <f>COUNTIFS('تجربه‌گرها'!$B:$B,$A46,'تجربه‌گرها'!$F:$F,Q$1)</f>
        <v>0</v>
      </c>
      <c r="R46" s="242">
        <f>COUNTIFS('تجربه‌گرها'!$B:$B,$A46,'تجربه‌گرها'!$F:$F,R$1)</f>
        <v>0</v>
      </c>
      <c r="S46" s="242">
        <f>COUNTIFS('تجربه‌گرها'!$B:$B,$A46,'تجربه‌گرها'!$F:$F,S$1)</f>
        <v>0</v>
      </c>
      <c r="T46" s="242">
        <f>COUNTIFS('تجربه‌گرها'!$B:$B,$A46,'تجربه‌گرها'!$F:$F,T$1)</f>
        <v>0</v>
      </c>
      <c r="U46" s="242"/>
      <c r="V46" s="242"/>
      <c r="W46" s="242"/>
      <c r="X46" s="242"/>
      <c r="Y46" s="242"/>
      <c r="Z46" s="242"/>
      <c r="AA46" s="242"/>
      <c r="AB46" s="242"/>
    </row>
    <row r="47" hidden="1">
      <c r="A47" s="244" t="s">
        <v>1059</v>
      </c>
      <c r="B47" s="245" t="str">
        <f>VLOOKUP(A47,'تجربه‌گرها'!B:C,2,FALSE())</f>
        <v>9010615151</v>
      </c>
      <c r="C47" s="242"/>
      <c r="D47" s="242">
        <f t="shared" si="1"/>
        <v>1</v>
      </c>
      <c r="E47" s="242">
        <f>COUNTIFS('تجربه‌گرها'!$B:$B,$A47,'تجربه‌گرها'!$F:$F,E$1)</f>
        <v>1</v>
      </c>
      <c r="F47" s="242">
        <f>COUNTIFS('تجربه‌گرها'!$B:$B,$A47,'تجربه‌گرها'!$F:$F,F$1)</f>
        <v>0</v>
      </c>
      <c r="G47" s="242">
        <f>COUNTIFS('تجربه‌گرها'!$B:$B,$A47,'تجربه‌گرها'!$F:$F,G$1)</f>
        <v>0</v>
      </c>
      <c r="H47" s="242">
        <f>COUNTIFS('تجربه‌گرها'!$B:$B,$A47,'تجربه‌گرها'!$F:$F,H$1)</f>
        <v>0</v>
      </c>
      <c r="I47" s="242">
        <f>COUNTIFS('تجربه‌گرها'!$B:$B,$A47,'تجربه‌گرها'!$F:$F,I$1)</f>
        <v>0</v>
      </c>
      <c r="J47" s="242">
        <f>COUNTIFS('تجربه‌گرها'!$B:$B,$A47,'تجربه‌گرها'!$F:$F,J$1)</f>
        <v>0</v>
      </c>
      <c r="K47" s="242">
        <f>COUNTIFS('تجربه‌گرها'!$B:$B,$A47,'تجربه‌گرها'!$F:$F,K$1)</f>
        <v>0</v>
      </c>
      <c r="L47" s="242">
        <f>COUNTIFS('تجربه‌گرها'!$B:$B,$A47,'تجربه‌گرها'!$F:$F,L$1)</f>
        <v>0</v>
      </c>
      <c r="M47" s="242">
        <f>COUNTIFS('تجربه‌گرها'!$B:$B,$A47,'تجربه‌گرها'!$F:$F,M$1)</f>
        <v>0</v>
      </c>
      <c r="N47" s="242">
        <f>COUNTIFS('تجربه‌گرها'!$B:$B,$A47,'تجربه‌گرها'!$F:$F,N$1)</f>
        <v>0</v>
      </c>
      <c r="O47" s="242">
        <f>COUNTIFS('تجربه‌گرها'!$B:$B,$A47,'تجربه‌گرها'!$F:$F,O$1)</f>
        <v>0</v>
      </c>
      <c r="P47" s="242">
        <f>COUNTIFS('تجربه‌گرها'!$B:$B,$A47,'تجربه‌گرها'!$F:$F,P$1)</f>
        <v>0</v>
      </c>
      <c r="Q47" s="242">
        <f>COUNTIFS('تجربه‌گرها'!$B:$B,$A47,'تجربه‌گرها'!$F:$F,Q$1)</f>
        <v>0</v>
      </c>
      <c r="R47" s="242">
        <f>COUNTIFS('تجربه‌گرها'!$B:$B,$A47,'تجربه‌گرها'!$F:$F,R$1)</f>
        <v>0</v>
      </c>
      <c r="S47" s="242">
        <f>COUNTIFS('تجربه‌گرها'!$B:$B,$A47,'تجربه‌گرها'!$F:$F,S$1)</f>
        <v>0</v>
      </c>
      <c r="T47" s="242">
        <f>COUNTIFS('تجربه‌گرها'!$B:$B,$A47,'تجربه‌گرها'!$F:$F,T$1)</f>
        <v>0</v>
      </c>
      <c r="U47" s="242"/>
      <c r="V47" s="242"/>
      <c r="W47" s="242"/>
      <c r="X47" s="242"/>
      <c r="Y47" s="242"/>
      <c r="Z47" s="242"/>
      <c r="AA47" s="242"/>
      <c r="AB47" s="242"/>
    </row>
    <row r="48" hidden="1">
      <c r="A48" s="244" t="s">
        <v>1067</v>
      </c>
      <c r="B48" s="245" t="str">
        <f>VLOOKUP(A48,'تجربه‌گرها'!B:C,2,FALSE())</f>
        <v>9363274420</v>
      </c>
      <c r="C48" s="242"/>
      <c r="D48" s="242">
        <f t="shared" si="1"/>
        <v>1</v>
      </c>
      <c r="E48" s="242">
        <f>COUNTIFS('تجربه‌گرها'!$B:$B,$A48,'تجربه‌گرها'!$F:$F,E$1)</f>
        <v>1</v>
      </c>
      <c r="F48" s="242">
        <f>COUNTIFS('تجربه‌گرها'!$B:$B,$A48,'تجربه‌گرها'!$F:$F,F$1)</f>
        <v>0</v>
      </c>
      <c r="G48" s="242">
        <f>COUNTIFS('تجربه‌گرها'!$B:$B,$A48,'تجربه‌گرها'!$F:$F,G$1)</f>
        <v>0</v>
      </c>
      <c r="H48" s="242">
        <f>COUNTIFS('تجربه‌گرها'!$B:$B,$A48,'تجربه‌گرها'!$F:$F,H$1)</f>
        <v>0</v>
      </c>
      <c r="I48" s="242">
        <f>COUNTIFS('تجربه‌گرها'!$B:$B,$A48,'تجربه‌گرها'!$F:$F,I$1)</f>
        <v>0</v>
      </c>
      <c r="J48" s="242">
        <f>COUNTIFS('تجربه‌گرها'!$B:$B,$A48,'تجربه‌گرها'!$F:$F,J$1)</f>
        <v>0</v>
      </c>
      <c r="K48" s="242">
        <f>COUNTIFS('تجربه‌گرها'!$B:$B,$A48,'تجربه‌گرها'!$F:$F,K$1)</f>
        <v>0</v>
      </c>
      <c r="L48" s="242">
        <f>COUNTIFS('تجربه‌گرها'!$B:$B,$A48,'تجربه‌گرها'!$F:$F,L$1)</f>
        <v>0</v>
      </c>
      <c r="M48" s="242">
        <f>COUNTIFS('تجربه‌گرها'!$B:$B,$A48,'تجربه‌گرها'!$F:$F,M$1)</f>
        <v>0</v>
      </c>
      <c r="N48" s="242">
        <f>COUNTIFS('تجربه‌گرها'!$B:$B,$A48,'تجربه‌گرها'!$F:$F,N$1)</f>
        <v>0</v>
      </c>
      <c r="O48" s="242">
        <f>COUNTIFS('تجربه‌گرها'!$B:$B,$A48,'تجربه‌گرها'!$F:$F,O$1)</f>
        <v>0</v>
      </c>
      <c r="P48" s="242">
        <f>COUNTIFS('تجربه‌گرها'!$B:$B,$A48,'تجربه‌گرها'!$F:$F,P$1)</f>
        <v>0</v>
      </c>
      <c r="Q48" s="242">
        <f>COUNTIFS('تجربه‌گرها'!$B:$B,$A48,'تجربه‌گرها'!$F:$F,Q$1)</f>
        <v>0</v>
      </c>
      <c r="R48" s="242">
        <f>COUNTIFS('تجربه‌گرها'!$B:$B,$A48,'تجربه‌گرها'!$F:$F,R$1)</f>
        <v>0</v>
      </c>
      <c r="S48" s="242">
        <f>COUNTIFS('تجربه‌گرها'!$B:$B,$A48,'تجربه‌گرها'!$F:$F,S$1)</f>
        <v>0</v>
      </c>
      <c r="T48" s="242">
        <f>COUNTIFS('تجربه‌گرها'!$B:$B,$A48,'تجربه‌گرها'!$F:$F,T$1)</f>
        <v>0</v>
      </c>
      <c r="U48" s="242"/>
      <c r="V48" s="242"/>
      <c r="W48" s="242"/>
      <c r="X48" s="242"/>
      <c r="Y48" s="242"/>
      <c r="Z48" s="242"/>
      <c r="AA48" s="242"/>
      <c r="AB48" s="242"/>
    </row>
    <row r="49" hidden="1">
      <c r="A49" s="244" t="s">
        <v>1075</v>
      </c>
      <c r="B49" s="245" t="str">
        <f>VLOOKUP(A49,'تجربه‌گرها'!B:C,2,FALSE())</f>
        <v>9128249673</v>
      </c>
      <c r="C49" s="242"/>
      <c r="D49" s="242">
        <f t="shared" si="1"/>
        <v>1</v>
      </c>
      <c r="E49" s="242">
        <f>COUNTIFS('تجربه‌گرها'!$B:$B,$A49,'تجربه‌گرها'!$F:$F,E$1)</f>
        <v>1</v>
      </c>
      <c r="F49" s="242">
        <f>COUNTIFS('تجربه‌گرها'!$B:$B,$A49,'تجربه‌گرها'!$F:$F,F$1)</f>
        <v>0</v>
      </c>
      <c r="G49" s="242">
        <f>COUNTIFS('تجربه‌گرها'!$B:$B,$A49,'تجربه‌گرها'!$F:$F,G$1)</f>
        <v>0</v>
      </c>
      <c r="H49" s="242">
        <f>COUNTIFS('تجربه‌گرها'!$B:$B,$A49,'تجربه‌گرها'!$F:$F,H$1)</f>
        <v>0</v>
      </c>
      <c r="I49" s="242">
        <f>COUNTIFS('تجربه‌گرها'!$B:$B,$A49,'تجربه‌گرها'!$F:$F,I$1)</f>
        <v>0</v>
      </c>
      <c r="J49" s="242">
        <f>COUNTIFS('تجربه‌گرها'!$B:$B,$A49,'تجربه‌گرها'!$F:$F,J$1)</f>
        <v>0</v>
      </c>
      <c r="K49" s="242">
        <f>COUNTIFS('تجربه‌گرها'!$B:$B,$A49,'تجربه‌گرها'!$F:$F,K$1)</f>
        <v>0</v>
      </c>
      <c r="L49" s="242">
        <f>COUNTIFS('تجربه‌گرها'!$B:$B,$A49,'تجربه‌گرها'!$F:$F,L$1)</f>
        <v>0</v>
      </c>
      <c r="M49" s="242">
        <f>COUNTIFS('تجربه‌گرها'!$B:$B,$A49,'تجربه‌گرها'!$F:$F,M$1)</f>
        <v>0</v>
      </c>
      <c r="N49" s="242">
        <f>COUNTIFS('تجربه‌گرها'!$B:$B,$A49,'تجربه‌گرها'!$F:$F,N$1)</f>
        <v>0</v>
      </c>
      <c r="O49" s="242">
        <f>COUNTIFS('تجربه‌گرها'!$B:$B,$A49,'تجربه‌گرها'!$F:$F,O$1)</f>
        <v>0</v>
      </c>
      <c r="P49" s="242">
        <f>COUNTIFS('تجربه‌گرها'!$B:$B,$A49,'تجربه‌گرها'!$F:$F,P$1)</f>
        <v>0</v>
      </c>
      <c r="Q49" s="242">
        <f>COUNTIFS('تجربه‌گرها'!$B:$B,$A49,'تجربه‌گرها'!$F:$F,Q$1)</f>
        <v>0</v>
      </c>
      <c r="R49" s="242">
        <f>COUNTIFS('تجربه‌گرها'!$B:$B,$A49,'تجربه‌گرها'!$F:$F,R$1)</f>
        <v>0</v>
      </c>
      <c r="S49" s="242">
        <f>COUNTIFS('تجربه‌گرها'!$B:$B,$A49,'تجربه‌گرها'!$F:$F,S$1)</f>
        <v>0</v>
      </c>
      <c r="T49" s="242">
        <f>COUNTIFS('تجربه‌گرها'!$B:$B,$A49,'تجربه‌گرها'!$F:$F,T$1)</f>
        <v>0</v>
      </c>
      <c r="U49" s="242"/>
      <c r="V49" s="242"/>
      <c r="W49" s="242"/>
      <c r="X49" s="242"/>
      <c r="Y49" s="242"/>
      <c r="Z49" s="242"/>
      <c r="AA49" s="242"/>
      <c r="AB49" s="242"/>
    </row>
    <row r="50" hidden="1">
      <c r="A50" s="244" t="s">
        <v>1081</v>
      </c>
      <c r="B50" s="245" t="str">
        <f>VLOOKUP(A50,'تجربه‌گرها'!B:C,2,FALSE())</f>
        <v>9120248432</v>
      </c>
      <c r="C50" s="242"/>
      <c r="D50" s="242">
        <f t="shared" si="1"/>
        <v>1</v>
      </c>
      <c r="E50" s="242">
        <f>COUNTIFS('تجربه‌گرها'!$B:$B,$A50,'تجربه‌گرها'!$F:$F,E$1)</f>
        <v>1</v>
      </c>
      <c r="F50" s="242">
        <f>COUNTIFS('تجربه‌گرها'!$B:$B,$A50,'تجربه‌گرها'!$F:$F,F$1)</f>
        <v>0</v>
      </c>
      <c r="G50" s="242">
        <f>COUNTIFS('تجربه‌گرها'!$B:$B,$A50,'تجربه‌گرها'!$F:$F,G$1)</f>
        <v>0</v>
      </c>
      <c r="H50" s="242">
        <f>COUNTIFS('تجربه‌گرها'!$B:$B,$A50,'تجربه‌گرها'!$F:$F,H$1)</f>
        <v>0</v>
      </c>
      <c r="I50" s="242">
        <f>COUNTIFS('تجربه‌گرها'!$B:$B,$A50,'تجربه‌گرها'!$F:$F,I$1)</f>
        <v>0</v>
      </c>
      <c r="J50" s="242">
        <f>COUNTIFS('تجربه‌گرها'!$B:$B,$A50,'تجربه‌گرها'!$F:$F,J$1)</f>
        <v>0</v>
      </c>
      <c r="K50" s="242">
        <f>COUNTIFS('تجربه‌گرها'!$B:$B,$A50,'تجربه‌گرها'!$F:$F,K$1)</f>
        <v>0</v>
      </c>
      <c r="L50" s="242">
        <f>COUNTIFS('تجربه‌گرها'!$B:$B,$A50,'تجربه‌گرها'!$F:$F,L$1)</f>
        <v>0</v>
      </c>
      <c r="M50" s="242">
        <f>COUNTIFS('تجربه‌گرها'!$B:$B,$A50,'تجربه‌گرها'!$F:$F,M$1)</f>
        <v>0</v>
      </c>
      <c r="N50" s="242">
        <f>COUNTIFS('تجربه‌گرها'!$B:$B,$A50,'تجربه‌گرها'!$F:$F,N$1)</f>
        <v>0</v>
      </c>
      <c r="O50" s="242">
        <f>COUNTIFS('تجربه‌گرها'!$B:$B,$A50,'تجربه‌گرها'!$F:$F,O$1)</f>
        <v>0</v>
      </c>
      <c r="P50" s="242">
        <f>COUNTIFS('تجربه‌گرها'!$B:$B,$A50,'تجربه‌گرها'!$F:$F,P$1)</f>
        <v>0</v>
      </c>
      <c r="Q50" s="242">
        <f>COUNTIFS('تجربه‌گرها'!$B:$B,$A50,'تجربه‌گرها'!$F:$F,Q$1)</f>
        <v>0</v>
      </c>
      <c r="R50" s="242">
        <f>COUNTIFS('تجربه‌گرها'!$B:$B,$A50,'تجربه‌گرها'!$F:$F,R$1)</f>
        <v>0</v>
      </c>
      <c r="S50" s="242">
        <f>COUNTIFS('تجربه‌گرها'!$B:$B,$A50,'تجربه‌گرها'!$F:$F,S$1)</f>
        <v>0</v>
      </c>
      <c r="T50" s="242">
        <f>COUNTIFS('تجربه‌گرها'!$B:$B,$A50,'تجربه‌گرها'!$F:$F,T$1)</f>
        <v>0</v>
      </c>
      <c r="U50" s="242"/>
      <c r="V50" s="242"/>
      <c r="W50" s="242"/>
      <c r="X50" s="242"/>
      <c r="Y50" s="242"/>
      <c r="Z50" s="242"/>
      <c r="AA50" s="242"/>
      <c r="AB50" s="242"/>
    </row>
    <row r="51">
      <c r="A51" s="244" t="s">
        <v>1089</v>
      </c>
      <c r="B51" s="245" t="str">
        <f>VLOOKUP(A51,'تجربه‌گرها'!B:C,2,FALSE())</f>
        <v/>
      </c>
      <c r="C51" s="242"/>
      <c r="D51" s="242">
        <f t="shared" si="1"/>
        <v>2</v>
      </c>
      <c r="E51" s="242">
        <f>COUNTIFS('تجربه‌گرها'!$B:$B,$A51,'تجربه‌گرها'!$F:$F,E$1)</f>
        <v>1</v>
      </c>
      <c r="F51" s="242">
        <f>COUNTIFS('تجربه‌گرها'!$B:$B,$A51,'تجربه‌گرها'!$F:$F,F$1)</f>
        <v>1</v>
      </c>
      <c r="G51" s="242">
        <f>COUNTIFS('تجربه‌گرها'!$B:$B,$A51,'تجربه‌گرها'!$F:$F,G$1)</f>
        <v>0</v>
      </c>
      <c r="H51" s="242">
        <f>COUNTIFS('تجربه‌گرها'!$B:$B,$A51,'تجربه‌گرها'!$F:$F,H$1)</f>
        <v>0</v>
      </c>
      <c r="I51" s="242">
        <f>COUNTIFS('تجربه‌گرها'!$B:$B,$A51,'تجربه‌گرها'!$F:$F,I$1)</f>
        <v>0</v>
      </c>
      <c r="J51" s="242">
        <f>COUNTIFS('تجربه‌گرها'!$B:$B,$A51,'تجربه‌گرها'!$F:$F,J$1)</f>
        <v>0</v>
      </c>
      <c r="K51" s="242">
        <f>COUNTIFS('تجربه‌گرها'!$B:$B,$A51,'تجربه‌گرها'!$F:$F,K$1)</f>
        <v>0</v>
      </c>
      <c r="L51" s="242">
        <f>COUNTIFS('تجربه‌گرها'!$B:$B,$A51,'تجربه‌گرها'!$F:$F,L$1)</f>
        <v>0</v>
      </c>
      <c r="M51" s="242">
        <f>COUNTIFS('تجربه‌گرها'!$B:$B,$A51,'تجربه‌گرها'!$F:$F,M$1)</f>
        <v>0</v>
      </c>
      <c r="N51" s="242">
        <f>COUNTIFS('تجربه‌گرها'!$B:$B,$A51,'تجربه‌گرها'!$F:$F,N$1)</f>
        <v>0</v>
      </c>
      <c r="O51" s="242">
        <f>COUNTIFS('تجربه‌گرها'!$B:$B,$A51,'تجربه‌گرها'!$F:$F,O$1)</f>
        <v>0</v>
      </c>
      <c r="P51" s="242">
        <f>COUNTIFS('تجربه‌گرها'!$B:$B,$A51,'تجربه‌گرها'!$F:$F,P$1)</f>
        <v>0</v>
      </c>
      <c r="Q51" s="242">
        <f>COUNTIFS('تجربه‌گرها'!$B:$B,$A51,'تجربه‌گرها'!$F:$F,Q$1)</f>
        <v>0</v>
      </c>
      <c r="R51" s="242">
        <f>COUNTIFS('تجربه‌گرها'!$B:$B,$A51,'تجربه‌گرها'!$F:$F,R$1)</f>
        <v>0</v>
      </c>
      <c r="S51" s="242">
        <f>COUNTIFS('تجربه‌گرها'!$B:$B,$A51,'تجربه‌گرها'!$F:$F,S$1)</f>
        <v>0</v>
      </c>
      <c r="T51" s="242">
        <f>COUNTIFS('تجربه‌گرها'!$B:$B,$A51,'تجربه‌گرها'!$F:$F,T$1)</f>
        <v>0</v>
      </c>
      <c r="U51" s="242"/>
      <c r="V51" s="242"/>
      <c r="W51" s="242"/>
      <c r="X51" s="242"/>
      <c r="Y51" s="242"/>
      <c r="Z51" s="242"/>
      <c r="AA51" s="242"/>
      <c r="AB51" s="242"/>
    </row>
    <row r="52" hidden="1">
      <c r="A52" s="244" t="s">
        <v>1095</v>
      </c>
      <c r="B52" s="245" t="str">
        <f>VLOOKUP(A52,'تجربه‌گرها'!B:C,2,FALSE())</f>
        <v/>
      </c>
      <c r="C52" s="242"/>
      <c r="D52" s="242">
        <f t="shared" si="1"/>
        <v>1</v>
      </c>
      <c r="E52" s="242">
        <f>COUNTIFS('تجربه‌گرها'!$B:$B,$A52,'تجربه‌گرها'!$F:$F,E$1)</f>
        <v>1</v>
      </c>
      <c r="F52" s="242">
        <f>COUNTIFS('تجربه‌گرها'!$B:$B,$A52,'تجربه‌گرها'!$F:$F,F$1)</f>
        <v>0</v>
      </c>
      <c r="G52" s="242">
        <f>COUNTIFS('تجربه‌گرها'!$B:$B,$A52,'تجربه‌گرها'!$F:$F,G$1)</f>
        <v>0</v>
      </c>
      <c r="H52" s="242">
        <f>COUNTIFS('تجربه‌گرها'!$B:$B,$A52,'تجربه‌گرها'!$F:$F,H$1)</f>
        <v>0</v>
      </c>
      <c r="I52" s="242">
        <f>COUNTIFS('تجربه‌گرها'!$B:$B,$A52,'تجربه‌گرها'!$F:$F,I$1)</f>
        <v>0</v>
      </c>
      <c r="J52" s="242">
        <f>COUNTIFS('تجربه‌گرها'!$B:$B,$A52,'تجربه‌گرها'!$F:$F,J$1)</f>
        <v>0</v>
      </c>
      <c r="K52" s="242">
        <f>COUNTIFS('تجربه‌گرها'!$B:$B,$A52,'تجربه‌گرها'!$F:$F,K$1)</f>
        <v>0</v>
      </c>
      <c r="L52" s="242">
        <f>COUNTIFS('تجربه‌گرها'!$B:$B,$A52,'تجربه‌گرها'!$F:$F,L$1)</f>
        <v>0</v>
      </c>
      <c r="M52" s="242">
        <f>COUNTIFS('تجربه‌گرها'!$B:$B,$A52,'تجربه‌گرها'!$F:$F,M$1)</f>
        <v>0</v>
      </c>
      <c r="N52" s="242">
        <f>COUNTIFS('تجربه‌گرها'!$B:$B,$A52,'تجربه‌گرها'!$F:$F,N$1)</f>
        <v>0</v>
      </c>
      <c r="O52" s="242">
        <f>COUNTIFS('تجربه‌گرها'!$B:$B,$A52,'تجربه‌گرها'!$F:$F,O$1)</f>
        <v>0</v>
      </c>
      <c r="P52" s="242">
        <f>COUNTIFS('تجربه‌گرها'!$B:$B,$A52,'تجربه‌گرها'!$F:$F,P$1)</f>
        <v>0</v>
      </c>
      <c r="Q52" s="242">
        <f>COUNTIFS('تجربه‌گرها'!$B:$B,$A52,'تجربه‌گرها'!$F:$F,Q$1)</f>
        <v>0</v>
      </c>
      <c r="R52" s="242">
        <f>COUNTIFS('تجربه‌گرها'!$B:$B,$A52,'تجربه‌گرها'!$F:$F,R$1)</f>
        <v>0</v>
      </c>
      <c r="S52" s="242">
        <f>COUNTIFS('تجربه‌گرها'!$B:$B,$A52,'تجربه‌گرها'!$F:$F,S$1)</f>
        <v>0</v>
      </c>
      <c r="T52" s="242">
        <f>COUNTIFS('تجربه‌گرها'!$B:$B,$A52,'تجربه‌گرها'!$F:$F,T$1)</f>
        <v>0</v>
      </c>
      <c r="U52" s="242"/>
      <c r="V52" s="242"/>
      <c r="W52" s="242"/>
      <c r="X52" s="242"/>
      <c r="Y52" s="242"/>
      <c r="Z52" s="242"/>
      <c r="AA52" s="242"/>
      <c r="AB52" s="242"/>
    </row>
    <row r="53" hidden="1">
      <c r="A53" s="244" t="s">
        <v>1102</v>
      </c>
      <c r="B53" s="245" t="str">
        <f>VLOOKUP(A53,'تجربه‌گرها'!B:C,2,FALSE())</f>
        <v/>
      </c>
      <c r="C53" s="242"/>
      <c r="D53" s="242">
        <f t="shared" si="1"/>
        <v>1</v>
      </c>
      <c r="E53" s="242">
        <f>COUNTIFS('تجربه‌گرها'!$B:$B,$A53,'تجربه‌گرها'!$F:$F,E$1)</f>
        <v>1</v>
      </c>
      <c r="F53" s="242">
        <f>COUNTIFS('تجربه‌گرها'!$B:$B,$A53,'تجربه‌گرها'!$F:$F,F$1)</f>
        <v>0</v>
      </c>
      <c r="G53" s="242">
        <f>COUNTIFS('تجربه‌گرها'!$B:$B,$A53,'تجربه‌گرها'!$F:$F,G$1)</f>
        <v>0</v>
      </c>
      <c r="H53" s="242">
        <f>COUNTIFS('تجربه‌گرها'!$B:$B,$A53,'تجربه‌گرها'!$F:$F,H$1)</f>
        <v>0</v>
      </c>
      <c r="I53" s="242">
        <f>COUNTIFS('تجربه‌گرها'!$B:$B,$A53,'تجربه‌گرها'!$F:$F,I$1)</f>
        <v>0</v>
      </c>
      <c r="J53" s="242">
        <f>COUNTIFS('تجربه‌گرها'!$B:$B,$A53,'تجربه‌گرها'!$F:$F,J$1)</f>
        <v>0</v>
      </c>
      <c r="K53" s="242">
        <f>COUNTIFS('تجربه‌گرها'!$B:$B,$A53,'تجربه‌گرها'!$F:$F,K$1)</f>
        <v>0</v>
      </c>
      <c r="L53" s="242">
        <f>COUNTIFS('تجربه‌گرها'!$B:$B,$A53,'تجربه‌گرها'!$F:$F,L$1)</f>
        <v>0</v>
      </c>
      <c r="M53" s="242">
        <f>COUNTIFS('تجربه‌گرها'!$B:$B,$A53,'تجربه‌گرها'!$F:$F,M$1)</f>
        <v>0</v>
      </c>
      <c r="N53" s="242">
        <f>COUNTIFS('تجربه‌گرها'!$B:$B,$A53,'تجربه‌گرها'!$F:$F,N$1)</f>
        <v>0</v>
      </c>
      <c r="O53" s="242">
        <f>COUNTIFS('تجربه‌گرها'!$B:$B,$A53,'تجربه‌گرها'!$F:$F,O$1)</f>
        <v>0</v>
      </c>
      <c r="P53" s="242">
        <f>COUNTIFS('تجربه‌گرها'!$B:$B,$A53,'تجربه‌گرها'!$F:$F,P$1)</f>
        <v>0</v>
      </c>
      <c r="Q53" s="242">
        <f>COUNTIFS('تجربه‌گرها'!$B:$B,$A53,'تجربه‌گرها'!$F:$F,Q$1)</f>
        <v>0</v>
      </c>
      <c r="R53" s="242">
        <f>COUNTIFS('تجربه‌گرها'!$B:$B,$A53,'تجربه‌گرها'!$F:$F,R$1)</f>
        <v>0</v>
      </c>
      <c r="S53" s="242">
        <f>COUNTIFS('تجربه‌گرها'!$B:$B,$A53,'تجربه‌گرها'!$F:$F,S$1)</f>
        <v>0</v>
      </c>
      <c r="T53" s="242">
        <f>COUNTIFS('تجربه‌گرها'!$B:$B,$A53,'تجربه‌گرها'!$F:$F,T$1)</f>
        <v>0</v>
      </c>
      <c r="U53" s="242"/>
      <c r="V53" s="242"/>
      <c r="W53" s="242"/>
      <c r="X53" s="242"/>
      <c r="Y53" s="242"/>
      <c r="Z53" s="242"/>
      <c r="AA53" s="242"/>
      <c r="AB53" s="242"/>
    </row>
    <row r="54" hidden="1">
      <c r="A54" s="244" t="s">
        <v>1108</v>
      </c>
      <c r="B54" s="245" t="str">
        <f>VLOOKUP(A54,'تجربه‌گرها'!B:C,2,FALSE())</f>
        <v>9126840502</v>
      </c>
      <c r="C54" s="242"/>
      <c r="D54" s="242">
        <f t="shared" si="1"/>
        <v>1</v>
      </c>
      <c r="E54" s="242">
        <f>COUNTIFS('تجربه‌گرها'!$B:$B,$A54,'تجربه‌گرها'!$F:$F,E$1)</f>
        <v>1</v>
      </c>
      <c r="F54" s="242">
        <f>COUNTIFS('تجربه‌گرها'!$B:$B,$A54,'تجربه‌گرها'!$F:$F,F$1)</f>
        <v>0</v>
      </c>
      <c r="G54" s="242">
        <f>COUNTIFS('تجربه‌گرها'!$B:$B,$A54,'تجربه‌گرها'!$F:$F,G$1)</f>
        <v>0</v>
      </c>
      <c r="H54" s="242">
        <f>COUNTIFS('تجربه‌گرها'!$B:$B,$A54,'تجربه‌گرها'!$F:$F,H$1)</f>
        <v>0</v>
      </c>
      <c r="I54" s="242">
        <f>COUNTIFS('تجربه‌گرها'!$B:$B,$A54,'تجربه‌گرها'!$F:$F,I$1)</f>
        <v>0</v>
      </c>
      <c r="J54" s="242">
        <f>COUNTIFS('تجربه‌گرها'!$B:$B,$A54,'تجربه‌گرها'!$F:$F,J$1)</f>
        <v>0</v>
      </c>
      <c r="K54" s="242">
        <f>COUNTIFS('تجربه‌گرها'!$B:$B,$A54,'تجربه‌گرها'!$F:$F,K$1)</f>
        <v>0</v>
      </c>
      <c r="L54" s="242">
        <f>COUNTIFS('تجربه‌گرها'!$B:$B,$A54,'تجربه‌گرها'!$F:$F,L$1)</f>
        <v>0</v>
      </c>
      <c r="M54" s="242">
        <f>COUNTIFS('تجربه‌گرها'!$B:$B,$A54,'تجربه‌گرها'!$F:$F,M$1)</f>
        <v>0</v>
      </c>
      <c r="N54" s="242">
        <f>COUNTIFS('تجربه‌گرها'!$B:$B,$A54,'تجربه‌گرها'!$F:$F,N$1)</f>
        <v>0</v>
      </c>
      <c r="O54" s="242">
        <f>COUNTIFS('تجربه‌گرها'!$B:$B,$A54,'تجربه‌گرها'!$F:$F,O$1)</f>
        <v>0</v>
      </c>
      <c r="P54" s="242">
        <f>COUNTIFS('تجربه‌گرها'!$B:$B,$A54,'تجربه‌گرها'!$F:$F,P$1)</f>
        <v>0</v>
      </c>
      <c r="Q54" s="242">
        <f>COUNTIFS('تجربه‌گرها'!$B:$B,$A54,'تجربه‌گرها'!$F:$F,Q$1)</f>
        <v>0</v>
      </c>
      <c r="R54" s="242">
        <f>COUNTIFS('تجربه‌گرها'!$B:$B,$A54,'تجربه‌گرها'!$F:$F,R$1)</f>
        <v>0</v>
      </c>
      <c r="S54" s="242">
        <f>COUNTIFS('تجربه‌گرها'!$B:$B,$A54,'تجربه‌گرها'!$F:$F,S$1)</f>
        <v>0</v>
      </c>
      <c r="T54" s="242">
        <f>COUNTIFS('تجربه‌گرها'!$B:$B,$A54,'تجربه‌گرها'!$F:$F,T$1)</f>
        <v>0</v>
      </c>
      <c r="U54" s="242"/>
      <c r="V54" s="242"/>
      <c r="W54" s="242"/>
      <c r="X54" s="242"/>
      <c r="Y54" s="242"/>
      <c r="Z54" s="242"/>
      <c r="AA54" s="242"/>
      <c r="AB54" s="242"/>
    </row>
    <row r="55" hidden="1">
      <c r="A55" s="244" t="s">
        <v>1116</v>
      </c>
      <c r="B55" s="245" t="str">
        <f>VLOOKUP(A55,'تجربه‌گرها'!B:C,2,FALSE())</f>
        <v>9372263993</v>
      </c>
      <c r="C55" s="242"/>
      <c r="D55" s="242">
        <f t="shared" si="1"/>
        <v>1</v>
      </c>
      <c r="E55" s="242">
        <f>COUNTIFS('تجربه‌گرها'!$B:$B,$A55,'تجربه‌گرها'!$F:$F,E$1)</f>
        <v>1</v>
      </c>
      <c r="F55" s="242">
        <f>COUNTIFS('تجربه‌گرها'!$B:$B,$A55,'تجربه‌گرها'!$F:$F,F$1)</f>
        <v>0</v>
      </c>
      <c r="G55" s="242">
        <f>COUNTIFS('تجربه‌گرها'!$B:$B,$A55,'تجربه‌گرها'!$F:$F,G$1)</f>
        <v>0</v>
      </c>
      <c r="H55" s="242">
        <f>COUNTIFS('تجربه‌گرها'!$B:$B,$A55,'تجربه‌گرها'!$F:$F,H$1)</f>
        <v>0</v>
      </c>
      <c r="I55" s="242">
        <f>COUNTIFS('تجربه‌گرها'!$B:$B,$A55,'تجربه‌گرها'!$F:$F,I$1)</f>
        <v>0</v>
      </c>
      <c r="J55" s="242">
        <f>COUNTIFS('تجربه‌گرها'!$B:$B,$A55,'تجربه‌گرها'!$F:$F,J$1)</f>
        <v>0</v>
      </c>
      <c r="K55" s="242">
        <f>COUNTIFS('تجربه‌گرها'!$B:$B,$A55,'تجربه‌گرها'!$F:$F,K$1)</f>
        <v>0</v>
      </c>
      <c r="L55" s="242">
        <f>COUNTIFS('تجربه‌گرها'!$B:$B,$A55,'تجربه‌گرها'!$F:$F,L$1)</f>
        <v>0</v>
      </c>
      <c r="M55" s="242">
        <f>COUNTIFS('تجربه‌گرها'!$B:$B,$A55,'تجربه‌گرها'!$F:$F,M$1)</f>
        <v>0</v>
      </c>
      <c r="N55" s="242">
        <f>COUNTIFS('تجربه‌گرها'!$B:$B,$A55,'تجربه‌گرها'!$F:$F,N$1)</f>
        <v>0</v>
      </c>
      <c r="O55" s="242">
        <f>COUNTIFS('تجربه‌گرها'!$B:$B,$A55,'تجربه‌گرها'!$F:$F,O$1)</f>
        <v>0</v>
      </c>
      <c r="P55" s="242">
        <f>COUNTIFS('تجربه‌گرها'!$B:$B,$A55,'تجربه‌گرها'!$F:$F,P$1)</f>
        <v>0</v>
      </c>
      <c r="Q55" s="242">
        <f>COUNTIFS('تجربه‌گرها'!$B:$B,$A55,'تجربه‌گرها'!$F:$F,Q$1)</f>
        <v>0</v>
      </c>
      <c r="R55" s="242">
        <f>COUNTIFS('تجربه‌گرها'!$B:$B,$A55,'تجربه‌گرها'!$F:$F,R$1)</f>
        <v>0</v>
      </c>
      <c r="S55" s="242">
        <f>COUNTIFS('تجربه‌گرها'!$B:$B,$A55,'تجربه‌گرها'!$F:$F,S$1)</f>
        <v>0</v>
      </c>
      <c r="T55" s="242">
        <f>COUNTIFS('تجربه‌گرها'!$B:$B,$A55,'تجربه‌گرها'!$F:$F,T$1)</f>
        <v>0</v>
      </c>
      <c r="U55" s="242"/>
      <c r="V55" s="242"/>
      <c r="W55" s="242"/>
      <c r="X55" s="242"/>
      <c r="Y55" s="242"/>
      <c r="Z55" s="242"/>
      <c r="AA55" s="242"/>
      <c r="AB55" s="242"/>
    </row>
    <row r="56" hidden="1">
      <c r="A56" s="244" t="s">
        <v>1124</v>
      </c>
      <c r="B56" s="245" t="str">
        <f>VLOOKUP(A56,'تجربه‌گرها'!B:C,2,FALSE())</f>
        <v>9120236971</v>
      </c>
      <c r="C56" s="242"/>
      <c r="D56" s="242">
        <f t="shared" si="1"/>
        <v>1</v>
      </c>
      <c r="E56" s="242">
        <f>COUNTIFS('تجربه‌گرها'!$B:$B,$A56,'تجربه‌گرها'!$F:$F,E$1)</f>
        <v>1</v>
      </c>
      <c r="F56" s="242">
        <f>COUNTIFS('تجربه‌گرها'!$B:$B,$A56,'تجربه‌گرها'!$F:$F,F$1)</f>
        <v>0</v>
      </c>
      <c r="G56" s="242">
        <f>COUNTIFS('تجربه‌گرها'!$B:$B,$A56,'تجربه‌گرها'!$F:$F,G$1)</f>
        <v>0</v>
      </c>
      <c r="H56" s="242">
        <f>COUNTIFS('تجربه‌گرها'!$B:$B,$A56,'تجربه‌گرها'!$F:$F,H$1)</f>
        <v>0</v>
      </c>
      <c r="I56" s="242">
        <f>COUNTIFS('تجربه‌گرها'!$B:$B,$A56,'تجربه‌گرها'!$F:$F,I$1)</f>
        <v>0</v>
      </c>
      <c r="J56" s="242">
        <f>COUNTIFS('تجربه‌گرها'!$B:$B,$A56,'تجربه‌گرها'!$F:$F,J$1)</f>
        <v>0</v>
      </c>
      <c r="K56" s="242">
        <f>COUNTIFS('تجربه‌گرها'!$B:$B,$A56,'تجربه‌گرها'!$F:$F,K$1)</f>
        <v>0</v>
      </c>
      <c r="L56" s="242">
        <f>COUNTIFS('تجربه‌گرها'!$B:$B,$A56,'تجربه‌گرها'!$F:$F,L$1)</f>
        <v>0</v>
      </c>
      <c r="M56" s="242">
        <f>COUNTIFS('تجربه‌گرها'!$B:$B,$A56,'تجربه‌گرها'!$F:$F,M$1)</f>
        <v>0</v>
      </c>
      <c r="N56" s="242">
        <f>COUNTIFS('تجربه‌گرها'!$B:$B,$A56,'تجربه‌گرها'!$F:$F,N$1)</f>
        <v>0</v>
      </c>
      <c r="O56" s="242">
        <f>COUNTIFS('تجربه‌گرها'!$B:$B,$A56,'تجربه‌گرها'!$F:$F,O$1)</f>
        <v>0</v>
      </c>
      <c r="P56" s="242">
        <f>COUNTIFS('تجربه‌گرها'!$B:$B,$A56,'تجربه‌گرها'!$F:$F,P$1)</f>
        <v>0</v>
      </c>
      <c r="Q56" s="242">
        <f>COUNTIFS('تجربه‌گرها'!$B:$B,$A56,'تجربه‌گرها'!$F:$F,Q$1)</f>
        <v>0</v>
      </c>
      <c r="R56" s="242">
        <f>COUNTIFS('تجربه‌گرها'!$B:$B,$A56,'تجربه‌گرها'!$F:$F,R$1)</f>
        <v>0</v>
      </c>
      <c r="S56" s="242">
        <f>COUNTIFS('تجربه‌گرها'!$B:$B,$A56,'تجربه‌گرها'!$F:$F,S$1)</f>
        <v>0</v>
      </c>
      <c r="T56" s="242">
        <f>COUNTIFS('تجربه‌گرها'!$B:$B,$A56,'تجربه‌گرها'!$F:$F,T$1)</f>
        <v>0</v>
      </c>
      <c r="U56" s="242"/>
      <c r="V56" s="242"/>
      <c r="W56" s="242"/>
      <c r="X56" s="242"/>
      <c r="Y56" s="242"/>
      <c r="Z56" s="242"/>
      <c r="AA56" s="242"/>
      <c r="AB56" s="242"/>
    </row>
    <row r="57">
      <c r="A57" s="244" t="s">
        <v>1130</v>
      </c>
      <c r="B57" s="245" t="str">
        <f>VLOOKUP(A57,'تجربه‌گرها'!B:C,2,FALSE())</f>
        <v>9120659108</v>
      </c>
      <c r="C57" s="242"/>
      <c r="D57" s="242">
        <f t="shared" si="1"/>
        <v>2</v>
      </c>
      <c r="E57" s="242">
        <f>COUNTIFS('تجربه‌گرها'!$B:$B,$A57,'تجربه‌گرها'!$F:$F,E$1)</f>
        <v>1</v>
      </c>
      <c r="F57" s="242">
        <f>COUNTIFS('تجربه‌گرها'!$B:$B,$A57,'تجربه‌گرها'!$F:$F,F$1)</f>
        <v>1</v>
      </c>
      <c r="G57" s="242">
        <f>COUNTIFS('تجربه‌گرها'!$B:$B,$A57,'تجربه‌گرها'!$F:$F,G$1)</f>
        <v>0</v>
      </c>
      <c r="H57" s="242">
        <f>COUNTIFS('تجربه‌گرها'!$B:$B,$A57,'تجربه‌گرها'!$F:$F,H$1)</f>
        <v>0</v>
      </c>
      <c r="I57" s="242">
        <f>COUNTIFS('تجربه‌گرها'!$B:$B,$A57,'تجربه‌گرها'!$F:$F,I$1)</f>
        <v>0</v>
      </c>
      <c r="J57" s="242">
        <f>COUNTIFS('تجربه‌گرها'!$B:$B,$A57,'تجربه‌گرها'!$F:$F,J$1)</f>
        <v>0</v>
      </c>
      <c r="K57" s="242">
        <f>COUNTIFS('تجربه‌گرها'!$B:$B,$A57,'تجربه‌گرها'!$F:$F,K$1)</f>
        <v>0</v>
      </c>
      <c r="L57" s="242">
        <f>COUNTIFS('تجربه‌گرها'!$B:$B,$A57,'تجربه‌گرها'!$F:$F,L$1)</f>
        <v>0</v>
      </c>
      <c r="M57" s="242">
        <f>COUNTIFS('تجربه‌گرها'!$B:$B,$A57,'تجربه‌گرها'!$F:$F,M$1)</f>
        <v>0</v>
      </c>
      <c r="N57" s="242">
        <f>COUNTIFS('تجربه‌گرها'!$B:$B,$A57,'تجربه‌گرها'!$F:$F,N$1)</f>
        <v>0</v>
      </c>
      <c r="O57" s="242">
        <f>COUNTIFS('تجربه‌گرها'!$B:$B,$A57,'تجربه‌گرها'!$F:$F,O$1)</f>
        <v>0</v>
      </c>
      <c r="P57" s="242">
        <f>COUNTIFS('تجربه‌گرها'!$B:$B,$A57,'تجربه‌گرها'!$F:$F,P$1)</f>
        <v>0</v>
      </c>
      <c r="Q57" s="242">
        <f>COUNTIFS('تجربه‌گرها'!$B:$B,$A57,'تجربه‌گرها'!$F:$F,Q$1)</f>
        <v>0</v>
      </c>
      <c r="R57" s="242">
        <f>COUNTIFS('تجربه‌گرها'!$B:$B,$A57,'تجربه‌گرها'!$F:$F,R$1)</f>
        <v>0</v>
      </c>
      <c r="S57" s="242">
        <f>COUNTIFS('تجربه‌گرها'!$B:$B,$A57,'تجربه‌گرها'!$F:$F,S$1)</f>
        <v>0</v>
      </c>
      <c r="T57" s="242">
        <f>COUNTIFS('تجربه‌گرها'!$B:$B,$A57,'تجربه‌گرها'!$F:$F,T$1)</f>
        <v>0</v>
      </c>
      <c r="U57" s="242"/>
      <c r="V57" s="242"/>
      <c r="W57" s="242"/>
      <c r="X57" s="242"/>
      <c r="Y57" s="242"/>
      <c r="Z57" s="242"/>
      <c r="AA57" s="242"/>
      <c r="AB57" s="242"/>
    </row>
    <row r="58" hidden="1">
      <c r="A58" s="244" t="s">
        <v>1138</v>
      </c>
      <c r="B58" s="245" t="str">
        <f>VLOOKUP(A58,'تجربه‌گرها'!B:C,2,FALSE())</f>
        <v>9123630854</v>
      </c>
      <c r="C58" s="242"/>
      <c r="D58" s="242">
        <f t="shared" si="1"/>
        <v>1</v>
      </c>
      <c r="E58" s="242">
        <f>COUNTIFS('تجربه‌گرها'!$B:$B,$A58,'تجربه‌گرها'!$F:$F,E$1)</f>
        <v>1</v>
      </c>
      <c r="F58" s="242">
        <f>COUNTIFS('تجربه‌گرها'!$B:$B,$A58,'تجربه‌گرها'!$F:$F,F$1)</f>
        <v>0</v>
      </c>
      <c r="G58" s="242">
        <f>COUNTIFS('تجربه‌گرها'!$B:$B,$A58,'تجربه‌گرها'!$F:$F,G$1)</f>
        <v>0</v>
      </c>
      <c r="H58" s="242">
        <f>COUNTIFS('تجربه‌گرها'!$B:$B,$A58,'تجربه‌گرها'!$F:$F,H$1)</f>
        <v>0</v>
      </c>
      <c r="I58" s="242">
        <f>COUNTIFS('تجربه‌گرها'!$B:$B,$A58,'تجربه‌گرها'!$F:$F,I$1)</f>
        <v>0</v>
      </c>
      <c r="J58" s="242">
        <f>COUNTIFS('تجربه‌گرها'!$B:$B,$A58,'تجربه‌گرها'!$F:$F,J$1)</f>
        <v>0</v>
      </c>
      <c r="K58" s="242">
        <f>COUNTIFS('تجربه‌گرها'!$B:$B,$A58,'تجربه‌گرها'!$F:$F,K$1)</f>
        <v>0</v>
      </c>
      <c r="L58" s="242">
        <f>COUNTIFS('تجربه‌گرها'!$B:$B,$A58,'تجربه‌گرها'!$F:$F,L$1)</f>
        <v>0</v>
      </c>
      <c r="M58" s="242">
        <f>COUNTIFS('تجربه‌گرها'!$B:$B,$A58,'تجربه‌گرها'!$F:$F,M$1)</f>
        <v>0</v>
      </c>
      <c r="N58" s="242">
        <f>COUNTIFS('تجربه‌گرها'!$B:$B,$A58,'تجربه‌گرها'!$F:$F,N$1)</f>
        <v>0</v>
      </c>
      <c r="O58" s="242">
        <f>COUNTIFS('تجربه‌گرها'!$B:$B,$A58,'تجربه‌گرها'!$F:$F,O$1)</f>
        <v>0</v>
      </c>
      <c r="P58" s="242">
        <f>COUNTIFS('تجربه‌گرها'!$B:$B,$A58,'تجربه‌گرها'!$F:$F,P$1)</f>
        <v>0</v>
      </c>
      <c r="Q58" s="242">
        <f>COUNTIFS('تجربه‌گرها'!$B:$B,$A58,'تجربه‌گرها'!$F:$F,Q$1)</f>
        <v>0</v>
      </c>
      <c r="R58" s="242">
        <f>COUNTIFS('تجربه‌گرها'!$B:$B,$A58,'تجربه‌گرها'!$F:$F,R$1)</f>
        <v>0</v>
      </c>
      <c r="S58" s="242">
        <f>COUNTIFS('تجربه‌گرها'!$B:$B,$A58,'تجربه‌گرها'!$F:$F,S$1)</f>
        <v>0</v>
      </c>
      <c r="T58" s="242">
        <f>COUNTIFS('تجربه‌گرها'!$B:$B,$A58,'تجربه‌گرها'!$F:$F,T$1)</f>
        <v>0</v>
      </c>
      <c r="U58" s="242"/>
      <c r="V58" s="242"/>
      <c r="W58" s="242"/>
      <c r="X58" s="242"/>
      <c r="Y58" s="242"/>
      <c r="Z58" s="242"/>
      <c r="AA58" s="242"/>
      <c r="AB58" s="242"/>
    </row>
    <row r="59" hidden="1">
      <c r="A59" s="244" t="s">
        <v>1144</v>
      </c>
      <c r="B59" s="245" t="str">
        <f>VLOOKUP(A59,'تجربه‌گرها'!B:C,2,FALSE())</f>
        <v>9197437481</v>
      </c>
      <c r="C59" s="242"/>
      <c r="D59" s="242">
        <f t="shared" si="1"/>
        <v>1</v>
      </c>
      <c r="E59" s="242">
        <f>COUNTIFS('تجربه‌گرها'!$B:$B,$A59,'تجربه‌گرها'!$F:$F,E$1)</f>
        <v>1</v>
      </c>
      <c r="F59" s="242">
        <f>COUNTIFS('تجربه‌گرها'!$B:$B,$A59,'تجربه‌گرها'!$F:$F,F$1)</f>
        <v>0</v>
      </c>
      <c r="G59" s="242">
        <f>COUNTIFS('تجربه‌گرها'!$B:$B,$A59,'تجربه‌گرها'!$F:$F,G$1)</f>
        <v>0</v>
      </c>
      <c r="H59" s="242">
        <f>COUNTIFS('تجربه‌گرها'!$B:$B,$A59,'تجربه‌گرها'!$F:$F,H$1)</f>
        <v>0</v>
      </c>
      <c r="I59" s="242">
        <f>COUNTIFS('تجربه‌گرها'!$B:$B,$A59,'تجربه‌گرها'!$F:$F,I$1)</f>
        <v>0</v>
      </c>
      <c r="J59" s="242">
        <f>COUNTIFS('تجربه‌گرها'!$B:$B,$A59,'تجربه‌گرها'!$F:$F,J$1)</f>
        <v>0</v>
      </c>
      <c r="K59" s="242">
        <f>COUNTIFS('تجربه‌گرها'!$B:$B,$A59,'تجربه‌گرها'!$F:$F,K$1)</f>
        <v>0</v>
      </c>
      <c r="L59" s="242">
        <f>COUNTIFS('تجربه‌گرها'!$B:$B,$A59,'تجربه‌گرها'!$F:$F,L$1)</f>
        <v>0</v>
      </c>
      <c r="M59" s="242">
        <f>COUNTIFS('تجربه‌گرها'!$B:$B,$A59,'تجربه‌گرها'!$F:$F,M$1)</f>
        <v>0</v>
      </c>
      <c r="N59" s="242">
        <f>COUNTIFS('تجربه‌گرها'!$B:$B,$A59,'تجربه‌گرها'!$F:$F,N$1)</f>
        <v>0</v>
      </c>
      <c r="O59" s="242">
        <f>COUNTIFS('تجربه‌گرها'!$B:$B,$A59,'تجربه‌گرها'!$F:$F,O$1)</f>
        <v>0</v>
      </c>
      <c r="P59" s="242">
        <f>COUNTIFS('تجربه‌گرها'!$B:$B,$A59,'تجربه‌گرها'!$F:$F,P$1)</f>
        <v>0</v>
      </c>
      <c r="Q59" s="242">
        <f>COUNTIFS('تجربه‌گرها'!$B:$B,$A59,'تجربه‌گرها'!$F:$F,Q$1)</f>
        <v>0</v>
      </c>
      <c r="R59" s="242">
        <f>COUNTIFS('تجربه‌گرها'!$B:$B,$A59,'تجربه‌گرها'!$F:$F,R$1)</f>
        <v>0</v>
      </c>
      <c r="S59" s="242">
        <f>COUNTIFS('تجربه‌گرها'!$B:$B,$A59,'تجربه‌گرها'!$F:$F,S$1)</f>
        <v>0</v>
      </c>
      <c r="T59" s="242">
        <f>COUNTIFS('تجربه‌گرها'!$B:$B,$A59,'تجربه‌گرها'!$F:$F,T$1)</f>
        <v>0</v>
      </c>
      <c r="U59" s="242"/>
      <c r="V59" s="242"/>
      <c r="W59" s="242"/>
      <c r="X59" s="242"/>
      <c r="Y59" s="242"/>
      <c r="Z59" s="242"/>
      <c r="AA59" s="242"/>
      <c r="AB59" s="242"/>
    </row>
    <row r="60" hidden="1">
      <c r="A60" s="244" t="s">
        <v>1150</v>
      </c>
      <c r="B60" s="245" t="str">
        <f>VLOOKUP(A60,'تجربه‌گرها'!B:C,2,FALSE())</f>
        <v>9123797862</v>
      </c>
      <c r="C60" s="242"/>
      <c r="D60" s="242">
        <f t="shared" si="1"/>
        <v>1</v>
      </c>
      <c r="E60" s="242">
        <f>COUNTIFS('تجربه‌گرها'!$B:$B,$A60,'تجربه‌گرها'!$F:$F,E$1)</f>
        <v>1</v>
      </c>
      <c r="F60" s="242">
        <f>COUNTIFS('تجربه‌گرها'!$B:$B,$A60,'تجربه‌گرها'!$F:$F,F$1)</f>
        <v>0</v>
      </c>
      <c r="G60" s="242">
        <f>COUNTIFS('تجربه‌گرها'!$B:$B,$A60,'تجربه‌گرها'!$F:$F,G$1)</f>
        <v>0</v>
      </c>
      <c r="H60" s="242">
        <f>COUNTIFS('تجربه‌گرها'!$B:$B,$A60,'تجربه‌گرها'!$F:$F,H$1)</f>
        <v>0</v>
      </c>
      <c r="I60" s="242">
        <f>COUNTIFS('تجربه‌گرها'!$B:$B,$A60,'تجربه‌گرها'!$F:$F,I$1)</f>
        <v>0</v>
      </c>
      <c r="J60" s="242">
        <f>COUNTIFS('تجربه‌گرها'!$B:$B,$A60,'تجربه‌گرها'!$F:$F,J$1)</f>
        <v>0</v>
      </c>
      <c r="K60" s="242">
        <f>COUNTIFS('تجربه‌گرها'!$B:$B,$A60,'تجربه‌گرها'!$F:$F,K$1)</f>
        <v>0</v>
      </c>
      <c r="L60" s="242">
        <f>COUNTIFS('تجربه‌گرها'!$B:$B,$A60,'تجربه‌گرها'!$F:$F,L$1)</f>
        <v>0</v>
      </c>
      <c r="M60" s="242">
        <f>COUNTIFS('تجربه‌گرها'!$B:$B,$A60,'تجربه‌گرها'!$F:$F,M$1)</f>
        <v>0</v>
      </c>
      <c r="N60" s="242">
        <f>COUNTIFS('تجربه‌گرها'!$B:$B,$A60,'تجربه‌گرها'!$F:$F,N$1)</f>
        <v>0</v>
      </c>
      <c r="O60" s="242">
        <f>COUNTIFS('تجربه‌گرها'!$B:$B,$A60,'تجربه‌گرها'!$F:$F,O$1)</f>
        <v>0</v>
      </c>
      <c r="P60" s="242">
        <f>COUNTIFS('تجربه‌گرها'!$B:$B,$A60,'تجربه‌گرها'!$F:$F,P$1)</f>
        <v>0</v>
      </c>
      <c r="Q60" s="242">
        <f>COUNTIFS('تجربه‌گرها'!$B:$B,$A60,'تجربه‌گرها'!$F:$F,Q$1)</f>
        <v>0</v>
      </c>
      <c r="R60" s="242">
        <f>COUNTIFS('تجربه‌گرها'!$B:$B,$A60,'تجربه‌گرها'!$F:$F,R$1)</f>
        <v>0</v>
      </c>
      <c r="S60" s="242">
        <f>COUNTIFS('تجربه‌گرها'!$B:$B,$A60,'تجربه‌گرها'!$F:$F,S$1)</f>
        <v>0</v>
      </c>
      <c r="T60" s="242">
        <f>COUNTIFS('تجربه‌گرها'!$B:$B,$A60,'تجربه‌گرها'!$F:$F,T$1)</f>
        <v>0</v>
      </c>
      <c r="U60" s="242"/>
      <c r="V60" s="242"/>
      <c r="W60" s="242"/>
      <c r="X60" s="242"/>
      <c r="Y60" s="242"/>
      <c r="Z60" s="242"/>
      <c r="AA60" s="242"/>
      <c r="AB60" s="242"/>
    </row>
    <row r="61" hidden="1">
      <c r="A61" s="244" t="s">
        <v>1158</v>
      </c>
      <c r="B61" s="245" t="str">
        <f>VLOOKUP(A61,'تجربه‌گرها'!B:C,2,FALSE())</f>
        <v/>
      </c>
      <c r="C61" s="242"/>
      <c r="D61" s="242">
        <f t="shared" si="1"/>
        <v>1</v>
      </c>
      <c r="E61" s="242">
        <f>COUNTIFS('تجربه‌گرها'!$B:$B,$A61,'تجربه‌گرها'!$F:$F,E$1)</f>
        <v>1</v>
      </c>
      <c r="F61" s="242">
        <f>COUNTIFS('تجربه‌گرها'!$B:$B,$A61,'تجربه‌گرها'!$F:$F,F$1)</f>
        <v>0</v>
      </c>
      <c r="G61" s="242">
        <f>COUNTIFS('تجربه‌گرها'!$B:$B,$A61,'تجربه‌گرها'!$F:$F,G$1)</f>
        <v>0</v>
      </c>
      <c r="H61" s="242">
        <f>COUNTIFS('تجربه‌گرها'!$B:$B,$A61,'تجربه‌گرها'!$F:$F,H$1)</f>
        <v>0</v>
      </c>
      <c r="I61" s="242">
        <f>COUNTIFS('تجربه‌گرها'!$B:$B,$A61,'تجربه‌گرها'!$F:$F,I$1)</f>
        <v>0</v>
      </c>
      <c r="J61" s="242">
        <f>COUNTIFS('تجربه‌گرها'!$B:$B,$A61,'تجربه‌گرها'!$F:$F,J$1)</f>
        <v>0</v>
      </c>
      <c r="K61" s="242">
        <f>COUNTIFS('تجربه‌گرها'!$B:$B,$A61,'تجربه‌گرها'!$F:$F,K$1)</f>
        <v>0</v>
      </c>
      <c r="L61" s="242">
        <f>COUNTIFS('تجربه‌گرها'!$B:$B,$A61,'تجربه‌گرها'!$F:$F,L$1)</f>
        <v>0</v>
      </c>
      <c r="M61" s="242">
        <f>COUNTIFS('تجربه‌گرها'!$B:$B,$A61,'تجربه‌گرها'!$F:$F,M$1)</f>
        <v>0</v>
      </c>
      <c r="N61" s="242">
        <f>COUNTIFS('تجربه‌گرها'!$B:$B,$A61,'تجربه‌گرها'!$F:$F,N$1)</f>
        <v>0</v>
      </c>
      <c r="O61" s="242">
        <f>COUNTIFS('تجربه‌گرها'!$B:$B,$A61,'تجربه‌گرها'!$F:$F,O$1)</f>
        <v>0</v>
      </c>
      <c r="P61" s="242">
        <f>COUNTIFS('تجربه‌گرها'!$B:$B,$A61,'تجربه‌گرها'!$F:$F,P$1)</f>
        <v>0</v>
      </c>
      <c r="Q61" s="242">
        <f>COUNTIFS('تجربه‌گرها'!$B:$B,$A61,'تجربه‌گرها'!$F:$F,Q$1)</f>
        <v>0</v>
      </c>
      <c r="R61" s="242">
        <f>COUNTIFS('تجربه‌گرها'!$B:$B,$A61,'تجربه‌گرها'!$F:$F,R$1)</f>
        <v>0</v>
      </c>
      <c r="S61" s="242">
        <f>COUNTIFS('تجربه‌گرها'!$B:$B,$A61,'تجربه‌گرها'!$F:$F,S$1)</f>
        <v>0</v>
      </c>
      <c r="T61" s="242">
        <f>COUNTIFS('تجربه‌گرها'!$B:$B,$A61,'تجربه‌گرها'!$F:$F,T$1)</f>
        <v>0</v>
      </c>
      <c r="U61" s="242"/>
      <c r="V61" s="242"/>
      <c r="W61" s="242"/>
      <c r="X61" s="242"/>
      <c r="Y61" s="242"/>
      <c r="Z61" s="242"/>
      <c r="AA61" s="242"/>
      <c r="AB61" s="242"/>
    </row>
    <row r="62">
      <c r="A62" s="244" t="s">
        <v>1163</v>
      </c>
      <c r="B62" s="245" t="str">
        <f>VLOOKUP(A62,'تجربه‌گرها'!B:C,2,FALSE())</f>
        <v>9190703697</v>
      </c>
      <c r="C62" s="242"/>
      <c r="D62" s="242">
        <f t="shared" si="1"/>
        <v>2</v>
      </c>
      <c r="E62" s="242">
        <f>COUNTIFS('تجربه‌گرها'!$B:$B,$A62,'تجربه‌گرها'!$F:$F,E$1)</f>
        <v>1</v>
      </c>
      <c r="F62" s="242">
        <f>COUNTIFS('تجربه‌گرها'!$B:$B,$A62,'تجربه‌گرها'!$F:$F,F$1)</f>
        <v>1</v>
      </c>
      <c r="G62" s="242">
        <f>COUNTIFS('تجربه‌گرها'!$B:$B,$A62,'تجربه‌گرها'!$F:$F,G$1)</f>
        <v>0</v>
      </c>
      <c r="H62" s="242">
        <f>COUNTIFS('تجربه‌گرها'!$B:$B,$A62,'تجربه‌گرها'!$F:$F,H$1)</f>
        <v>0</v>
      </c>
      <c r="I62" s="242">
        <f>COUNTIFS('تجربه‌گرها'!$B:$B,$A62,'تجربه‌گرها'!$F:$F,I$1)</f>
        <v>0</v>
      </c>
      <c r="J62" s="242">
        <f>COUNTIFS('تجربه‌گرها'!$B:$B,$A62,'تجربه‌گرها'!$F:$F,J$1)</f>
        <v>0</v>
      </c>
      <c r="K62" s="242">
        <f>COUNTIFS('تجربه‌گرها'!$B:$B,$A62,'تجربه‌گرها'!$F:$F,K$1)</f>
        <v>0</v>
      </c>
      <c r="L62" s="242">
        <f>COUNTIFS('تجربه‌گرها'!$B:$B,$A62,'تجربه‌گرها'!$F:$F,L$1)</f>
        <v>0</v>
      </c>
      <c r="M62" s="242">
        <f>COUNTIFS('تجربه‌گرها'!$B:$B,$A62,'تجربه‌گرها'!$F:$F,M$1)</f>
        <v>0</v>
      </c>
      <c r="N62" s="242">
        <f>COUNTIFS('تجربه‌گرها'!$B:$B,$A62,'تجربه‌گرها'!$F:$F,N$1)</f>
        <v>0</v>
      </c>
      <c r="O62" s="242">
        <f>COUNTIFS('تجربه‌گرها'!$B:$B,$A62,'تجربه‌گرها'!$F:$F,O$1)</f>
        <v>0</v>
      </c>
      <c r="P62" s="242">
        <f>COUNTIFS('تجربه‌گرها'!$B:$B,$A62,'تجربه‌گرها'!$F:$F,P$1)</f>
        <v>0</v>
      </c>
      <c r="Q62" s="242">
        <f>COUNTIFS('تجربه‌گرها'!$B:$B,$A62,'تجربه‌گرها'!$F:$F,Q$1)</f>
        <v>0</v>
      </c>
      <c r="R62" s="242">
        <f>COUNTIFS('تجربه‌گرها'!$B:$B,$A62,'تجربه‌گرها'!$F:$F,R$1)</f>
        <v>0</v>
      </c>
      <c r="S62" s="242">
        <f>COUNTIFS('تجربه‌گرها'!$B:$B,$A62,'تجربه‌گرها'!$F:$F,S$1)</f>
        <v>0</v>
      </c>
      <c r="T62" s="242">
        <f>COUNTIFS('تجربه‌گرها'!$B:$B,$A62,'تجربه‌گرها'!$F:$F,T$1)</f>
        <v>0</v>
      </c>
      <c r="U62" s="242"/>
      <c r="V62" s="242"/>
      <c r="W62" s="242"/>
      <c r="X62" s="242"/>
      <c r="Y62" s="242"/>
      <c r="Z62" s="242"/>
      <c r="AA62" s="242"/>
      <c r="AB62" s="242"/>
    </row>
    <row r="63" hidden="1">
      <c r="A63" s="244" t="s">
        <v>1171</v>
      </c>
      <c r="B63" s="245" t="str">
        <f>VLOOKUP(A63,'تجربه‌گرها'!B:C,2,FALSE())</f>
        <v>9124798007</v>
      </c>
      <c r="C63" s="242"/>
      <c r="D63" s="242">
        <f t="shared" si="1"/>
        <v>1</v>
      </c>
      <c r="E63" s="242">
        <f>COUNTIFS('تجربه‌گرها'!$B:$B,$A63,'تجربه‌گرها'!$F:$F,E$1)</f>
        <v>1</v>
      </c>
      <c r="F63" s="242">
        <f>COUNTIFS('تجربه‌گرها'!$B:$B,$A63,'تجربه‌گرها'!$F:$F,F$1)</f>
        <v>0</v>
      </c>
      <c r="G63" s="242">
        <f>COUNTIFS('تجربه‌گرها'!$B:$B,$A63,'تجربه‌گرها'!$F:$F,G$1)</f>
        <v>0</v>
      </c>
      <c r="H63" s="242">
        <f>COUNTIFS('تجربه‌گرها'!$B:$B,$A63,'تجربه‌گرها'!$F:$F,H$1)</f>
        <v>0</v>
      </c>
      <c r="I63" s="242">
        <f>COUNTIFS('تجربه‌گرها'!$B:$B,$A63,'تجربه‌گرها'!$F:$F,I$1)</f>
        <v>0</v>
      </c>
      <c r="J63" s="242">
        <f>COUNTIFS('تجربه‌گرها'!$B:$B,$A63,'تجربه‌گرها'!$F:$F,J$1)</f>
        <v>0</v>
      </c>
      <c r="K63" s="242">
        <f>COUNTIFS('تجربه‌گرها'!$B:$B,$A63,'تجربه‌گرها'!$F:$F,K$1)</f>
        <v>0</v>
      </c>
      <c r="L63" s="242">
        <f>COUNTIFS('تجربه‌گرها'!$B:$B,$A63,'تجربه‌گرها'!$F:$F,L$1)</f>
        <v>0</v>
      </c>
      <c r="M63" s="242">
        <f>COUNTIFS('تجربه‌گرها'!$B:$B,$A63,'تجربه‌گرها'!$F:$F,M$1)</f>
        <v>0</v>
      </c>
      <c r="N63" s="242">
        <f>COUNTIFS('تجربه‌گرها'!$B:$B,$A63,'تجربه‌گرها'!$F:$F,N$1)</f>
        <v>0</v>
      </c>
      <c r="O63" s="242">
        <f>COUNTIFS('تجربه‌گرها'!$B:$B,$A63,'تجربه‌گرها'!$F:$F,O$1)</f>
        <v>0</v>
      </c>
      <c r="P63" s="242">
        <f>COUNTIFS('تجربه‌گرها'!$B:$B,$A63,'تجربه‌گرها'!$F:$F,P$1)</f>
        <v>0</v>
      </c>
      <c r="Q63" s="242">
        <f>COUNTIFS('تجربه‌گرها'!$B:$B,$A63,'تجربه‌گرها'!$F:$F,Q$1)</f>
        <v>0</v>
      </c>
      <c r="R63" s="242">
        <f>COUNTIFS('تجربه‌گرها'!$B:$B,$A63,'تجربه‌گرها'!$F:$F,R$1)</f>
        <v>0</v>
      </c>
      <c r="S63" s="242">
        <f>COUNTIFS('تجربه‌گرها'!$B:$B,$A63,'تجربه‌گرها'!$F:$F,S$1)</f>
        <v>0</v>
      </c>
      <c r="T63" s="242">
        <f>COUNTIFS('تجربه‌گرها'!$B:$B,$A63,'تجربه‌گرها'!$F:$F,T$1)</f>
        <v>0</v>
      </c>
      <c r="U63" s="242"/>
      <c r="V63" s="242"/>
      <c r="W63" s="242"/>
      <c r="X63" s="242"/>
      <c r="Y63" s="242"/>
      <c r="Z63" s="242"/>
      <c r="AA63" s="242"/>
      <c r="AB63" s="242"/>
    </row>
    <row r="64" hidden="1">
      <c r="A64" s="244" t="s">
        <v>1179</v>
      </c>
      <c r="B64" s="245" t="str">
        <f>VLOOKUP(A64,'تجربه‌گرها'!B:C,2,FALSE())</f>
        <v>9191621927</v>
      </c>
      <c r="C64" s="242"/>
      <c r="D64" s="242">
        <f t="shared" si="1"/>
        <v>1</v>
      </c>
      <c r="E64" s="242">
        <f>COUNTIFS('تجربه‌گرها'!$B:$B,$A64,'تجربه‌گرها'!$F:$F,E$1)</f>
        <v>1</v>
      </c>
      <c r="F64" s="242">
        <f>COUNTIFS('تجربه‌گرها'!$B:$B,$A64,'تجربه‌گرها'!$F:$F,F$1)</f>
        <v>0</v>
      </c>
      <c r="G64" s="242">
        <f>COUNTIFS('تجربه‌گرها'!$B:$B,$A64,'تجربه‌گرها'!$F:$F,G$1)</f>
        <v>0</v>
      </c>
      <c r="H64" s="242">
        <f>COUNTIFS('تجربه‌گرها'!$B:$B,$A64,'تجربه‌گرها'!$F:$F,H$1)</f>
        <v>0</v>
      </c>
      <c r="I64" s="242">
        <f>COUNTIFS('تجربه‌گرها'!$B:$B,$A64,'تجربه‌گرها'!$F:$F,I$1)</f>
        <v>0</v>
      </c>
      <c r="J64" s="242">
        <f>COUNTIFS('تجربه‌گرها'!$B:$B,$A64,'تجربه‌گرها'!$F:$F,J$1)</f>
        <v>0</v>
      </c>
      <c r="K64" s="242">
        <f>COUNTIFS('تجربه‌گرها'!$B:$B,$A64,'تجربه‌گرها'!$F:$F,K$1)</f>
        <v>0</v>
      </c>
      <c r="L64" s="242">
        <f>COUNTIFS('تجربه‌گرها'!$B:$B,$A64,'تجربه‌گرها'!$F:$F,L$1)</f>
        <v>0</v>
      </c>
      <c r="M64" s="242">
        <f>COUNTIFS('تجربه‌گرها'!$B:$B,$A64,'تجربه‌گرها'!$F:$F,M$1)</f>
        <v>0</v>
      </c>
      <c r="N64" s="242">
        <f>COUNTIFS('تجربه‌گرها'!$B:$B,$A64,'تجربه‌گرها'!$F:$F,N$1)</f>
        <v>0</v>
      </c>
      <c r="O64" s="242">
        <f>COUNTIFS('تجربه‌گرها'!$B:$B,$A64,'تجربه‌گرها'!$F:$F,O$1)</f>
        <v>0</v>
      </c>
      <c r="P64" s="242">
        <f>COUNTIFS('تجربه‌گرها'!$B:$B,$A64,'تجربه‌گرها'!$F:$F,P$1)</f>
        <v>0</v>
      </c>
      <c r="Q64" s="242">
        <f>COUNTIFS('تجربه‌گرها'!$B:$B,$A64,'تجربه‌گرها'!$F:$F,Q$1)</f>
        <v>0</v>
      </c>
      <c r="R64" s="242">
        <f>COUNTIFS('تجربه‌گرها'!$B:$B,$A64,'تجربه‌گرها'!$F:$F,R$1)</f>
        <v>0</v>
      </c>
      <c r="S64" s="242">
        <f>COUNTIFS('تجربه‌گرها'!$B:$B,$A64,'تجربه‌گرها'!$F:$F,S$1)</f>
        <v>0</v>
      </c>
      <c r="T64" s="242">
        <f>COUNTIFS('تجربه‌گرها'!$B:$B,$A64,'تجربه‌گرها'!$F:$F,T$1)</f>
        <v>0</v>
      </c>
      <c r="U64" s="242"/>
      <c r="V64" s="242"/>
      <c r="W64" s="242"/>
      <c r="X64" s="242"/>
      <c r="Y64" s="242"/>
      <c r="Z64" s="242"/>
      <c r="AA64" s="242"/>
      <c r="AB64" s="242"/>
    </row>
    <row r="65" hidden="1">
      <c r="A65" s="244" t="s">
        <v>1187</v>
      </c>
      <c r="B65" s="245" t="str">
        <f>VLOOKUP(A65,'تجربه‌گرها'!B:C,2,FALSE())</f>
        <v/>
      </c>
      <c r="C65" s="242"/>
      <c r="D65" s="242">
        <f t="shared" si="1"/>
        <v>1</v>
      </c>
      <c r="E65" s="242">
        <f>COUNTIFS('تجربه‌گرها'!$B:$B,$A65,'تجربه‌گرها'!$F:$F,E$1)</f>
        <v>1</v>
      </c>
      <c r="F65" s="242">
        <f>COUNTIFS('تجربه‌گرها'!$B:$B,$A65,'تجربه‌گرها'!$F:$F,F$1)</f>
        <v>0</v>
      </c>
      <c r="G65" s="242">
        <f>COUNTIFS('تجربه‌گرها'!$B:$B,$A65,'تجربه‌گرها'!$F:$F,G$1)</f>
        <v>0</v>
      </c>
      <c r="H65" s="242">
        <f>COUNTIFS('تجربه‌گرها'!$B:$B,$A65,'تجربه‌گرها'!$F:$F,H$1)</f>
        <v>0</v>
      </c>
      <c r="I65" s="242">
        <f>COUNTIFS('تجربه‌گرها'!$B:$B,$A65,'تجربه‌گرها'!$F:$F,I$1)</f>
        <v>0</v>
      </c>
      <c r="J65" s="242">
        <f>COUNTIFS('تجربه‌گرها'!$B:$B,$A65,'تجربه‌گرها'!$F:$F,J$1)</f>
        <v>0</v>
      </c>
      <c r="K65" s="242">
        <f>COUNTIFS('تجربه‌گرها'!$B:$B,$A65,'تجربه‌گرها'!$F:$F,K$1)</f>
        <v>0</v>
      </c>
      <c r="L65" s="242">
        <f>COUNTIFS('تجربه‌گرها'!$B:$B,$A65,'تجربه‌گرها'!$F:$F,L$1)</f>
        <v>0</v>
      </c>
      <c r="M65" s="242">
        <f>COUNTIFS('تجربه‌گرها'!$B:$B,$A65,'تجربه‌گرها'!$F:$F,M$1)</f>
        <v>0</v>
      </c>
      <c r="N65" s="242">
        <f>COUNTIFS('تجربه‌گرها'!$B:$B,$A65,'تجربه‌گرها'!$F:$F,N$1)</f>
        <v>0</v>
      </c>
      <c r="O65" s="242">
        <f>COUNTIFS('تجربه‌گرها'!$B:$B,$A65,'تجربه‌گرها'!$F:$F,O$1)</f>
        <v>0</v>
      </c>
      <c r="P65" s="242">
        <f>COUNTIFS('تجربه‌گرها'!$B:$B,$A65,'تجربه‌گرها'!$F:$F,P$1)</f>
        <v>0</v>
      </c>
      <c r="Q65" s="242">
        <f>COUNTIFS('تجربه‌گرها'!$B:$B,$A65,'تجربه‌گرها'!$F:$F,Q$1)</f>
        <v>0</v>
      </c>
      <c r="R65" s="242">
        <f>COUNTIFS('تجربه‌گرها'!$B:$B,$A65,'تجربه‌گرها'!$F:$F,R$1)</f>
        <v>0</v>
      </c>
      <c r="S65" s="242">
        <f>COUNTIFS('تجربه‌گرها'!$B:$B,$A65,'تجربه‌گرها'!$F:$F,S$1)</f>
        <v>0</v>
      </c>
      <c r="T65" s="242">
        <f>COUNTIFS('تجربه‌گرها'!$B:$B,$A65,'تجربه‌گرها'!$F:$F,T$1)</f>
        <v>0</v>
      </c>
      <c r="U65" s="242"/>
      <c r="V65" s="242"/>
      <c r="W65" s="242"/>
      <c r="X65" s="242"/>
      <c r="Y65" s="242"/>
      <c r="Z65" s="242"/>
      <c r="AA65" s="242"/>
      <c r="AB65" s="242"/>
    </row>
    <row r="66">
      <c r="A66" s="244" t="s">
        <v>1192</v>
      </c>
      <c r="B66" s="245" t="str">
        <f>VLOOKUP(A66,'تجربه‌گرها'!B:C,2,FALSE())</f>
        <v>9124109104</v>
      </c>
      <c r="C66" s="242"/>
      <c r="D66" s="242">
        <f t="shared" si="1"/>
        <v>2</v>
      </c>
      <c r="E66" s="242">
        <f>COUNTIFS('تجربه‌گرها'!$B:$B,$A66,'تجربه‌گرها'!$F:$F,E$1)</f>
        <v>1</v>
      </c>
      <c r="F66" s="242">
        <f>COUNTIFS('تجربه‌گرها'!$B:$B,$A66,'تجربه‌گرها'!$F:$F,F$1)</f>
        <v>1</v>
      </c>
      <c r="G66" s="242">
        <f>COUNTIFS('تجربه‌گرها'!$B:$B,$A66,'تجربه‌گرها'!$F:$F,G$1)</f>
        <v>0</v>
      </c>
      <c r="H66" s="242">
        <f>COUNTIFS('تجربه‌گرها'!$B:$B,$A66,'تجربه‌گرها'!$F:$F,H$1)</f>
        <v>0</v>
      </c>
      <c r="I66" s="242">
        <f>COUNTIFS('تجربه‌گرها'!$B:$B,$A66,'تجربه‌گرها'!$F:$F,I$1)</f>
        <v>0</v>
      </c>
      <c r="J66" s="242">
        <f>COUNTIFS('تجربه‌گرها'!$B:$B,$A66,'تجربه‌گرها'!$F:$F,J$1)</f>
        <v>0</v>
      </c>
      <c r="K66" s="242">
        <f>COUNTIFS('تجربه‌گرها'!$B:$B,$A66,'تجربه‌گرها'!$F:$F,K$1)</f>
        <v>0</v>
      </c>
      <c r="L66" s="242">
        <f>COUNTIFS('تجربه‌گرها'!$B:$B,$A66,'تجربه‌گرها'!$F:$F,L$1)</f>
        <v>0</v>
      </c>
      <c r="M66" s="242">
        <f>COUNTIFS('تجربه‌گرها'!$B:$B,$A66,'تجربه‌گرها'!$F:$F,M$1)</f>
        <v>0</v>
      </c>
      <c r="N66" s="242">
        <f>COUNTIFS('تجربه‌گرها'!$B:$B,$A66,'تجربه‌گرها'!$F:$F,N$1)</f>
        <v>0</v>
      </c>
      <c r="O66" s="242">
        <f>COUNTIFS('تجربه‌گرها'!$B:$B,$A66,'تجربه‌گرها'!$F:$F,O$1)</f>
        <v>0</v>
      </c>
      <c r="P66" s="242">
        <f>COUNTIFS('تجربه‌گرها'!$B:$B,$A66,'تجربه‌گرها'!$F:$F,P$1)</f>
        <v>0</v>
      </c>
      <c r="Q66" s="242">
        <f>COUNTIFS('تجربه‌گرها'!$B:$B,$A66,'تجربه‌گرها'!$F:$F,Q$1)</f>
        <v>0</v>
      </c>
      <c r="R66" s="242">
        <f>COUNTIFS('تجربه‌گرها'!$B:$B,$A66,'تجربه‌گرها'!$F:$F,R$1)</f>
        <v>0</v>
      </c>
      <c r="S66" s="242">
        <f>COUNTIFS('تجربه‌گرها'!$B:$B,$A66,'تجربه‌گرها'!$F:$F,S$1)</f>
        <v>0</v>
      </c>
      <c r="T66" s="242">
        <f>COUNTIFS('تجربه‌گرها'!$B:$B,$A66,'تجربه‌گرها'!$F:$F,T$1)</f>
        <v>0</v>
      </c>
      <c r="U66" s="242"/>
      <c r="V66" s="242"/>
      <c r="W66" s="242"/>
      <c r="X66" s="242"/>
      <c r="Y66" s="242"/>
      <c r="Z66" s="242"/>
      <c r="AA66" s="242"/>
      <c r="AB66" s="242"/>
    </row>
    <row r="67" hidden="1">
      <c r="A67" s="244" t="s">
        <v>1198</v>
      </c>
      <c r="B67" s="245" t="str">
        <f>VLOOKUP(A67,'تجربه‌گرها'!B:C,2,FALSE())</f>
        <v/>
      </c>
      <c r="C67" s="242"/>
      <c r="D67" s="242">
        <f t="shared" si="1"/>
        <v>1</v>
      </c>
      <c r="E67" s="242">
        <f>COUNTIFS('تجربه‌گرها'!$B:$B,$A67,'تجربه‌گرها'!$F:$F,E$1)</f>
        <v>1</v>
      </c>
      <c r="F67" s="242">
        <f>COUNTIFS('تجربه‌گرها'!$B:$B,$A67,'تجربه‌گرها'!$F:$F,F$1)</f>
        <v>0</v>
      </c>
      <c r="G67" s="242">
        <f>COUNTIFS('تجربه‌گرها'!$B:$B,$A67,'تجربه‌گرها'!$F:$F,G$1)</f>
        <v>0</v>
      </c>
      <c r="H67" s="242">
        <f>COUNTIFS('تجربه‌گرها'!$B:$B,$A67,'تجربه‌گرها'!$F:$F,H$1)</f>
        <v>0</v>
      </c>
      <c r="I67" s="242">
        <f>COUNTIFS('تجربه‌گرها'!$B:$B,$A67,'تجربه‌گرها'!$F:$F,I$1)</f>
        <v>0</v>
      </c>
      <c r="J67" s="242">
        <f>COUNTIFS('تجربه‌گرها'!$B:$B,$A67,'تجربه‌گرها'!$F:$F,J$1)</f>
        <v>0</v>
      </c>
      <c r="K67" s="242">
        <f>COUNTIFS('تجربه‌گرها'!$B:$B,$A67,'تجربه‌گرها'!$F:$F,K$1)</f>
        <v>0</v>
      </c>
      <c r="L67" s="242">
        <f>COUNTIFS('تجربه‌گرها'!$B:$B,$A67,'تجربه‌گرها'!$F:$F,L$1)</f>
        <v>0</v>
      </c>
      <c r="M67" s="242">
        <f>COUNTIFS('تجربه‌گرها'!$B:$B,$A67,'تجربه‌گرها'!$F:$F,M$1)</f>
        <v>0</v>
      </c>
      <c r="N67" s="242">
        <f>COUNTIFS('تجربه‌گرها'!$B:$B,$A67,'تجربه‌گرها'!$F:$F,N$1)</f>
        <v>0</v>
      </c>
      <c r="O67" s="242">
        <f>COUNTIFS('تجربه‌گرها'!$B:$B,$A67,'تجربه‌گرها'!$F:$F,O$1)</f>
        <v>0</v>
      </c>
      <c r="P67" s="242">
        <f>COUNTIFS('تجربه‌گرها'!$B:$B,$A67,'تجربه‌گرها'!$F:$F,P$1)</f>
        <v>0</v>
      </c>
      <c r="Q67" s="242">
        <f>COUNTIFS('تجربه‌گرها'!$B:$B,$A67,'تجربه‌گرها'!$F:$F,Q$1)</f>
        <v>0</v>
      </c>
      <c r="R67" s="242">
        <f>COUNTIFS('تجربه‌گرها'!$B:$B,$A67,'تجربه‌گرها'!$F:$F,R$1)</f>
        <v>0</v>
      </c>
      <c r="S67" s="242">
        <f>COUNTIFS('تجربه‌گرها'!$B:$B,$A67,'تجربه‌گرها'!$F:$F,S$1)</f>
        <v>0</v>
      </c>
      <c r="T67" s="242">
        <f>COUNTIFS('تجربه‌گرها'!$B:$B,$A67,'تجربه‌گرها'!$F:$F,T$1)</f>
        <v>0</v>
      </c>
      <c r="U67" s="242"/>
      <c r="V67" s="242"/>
      <c r="W67" s="242"/>
      <c r="X67" s="242"/>
      <c r="Y67" s="242"/>
      <c r="Z67" s="242"/>
      <c r="AA67" s="242"/>
      <c r="AB67" s="242"/>
    </row>
    <row r="68" hidden="1">
      <c r="A68" s="244" t="s">
        <v>1205</v>
      </c>
      <c r="B68" s="245" t="str">
        <f>VLOOKUP(A68,'تجربه‌گرها'!B:C,2,FALSE())</f>
        <v>9122587689</v>
      </c>
      <c r="C68" s="242"/>
      <c r="D68" s="242">
        <f t="shared" si="1"/>
        <v>1</v>
      </c>
      <c r="E68" s="242">
        <f>COUNTIFS('تجربه‌گرها'!$B:$B,$A68,'تجربه‌گرها'!$F:$F,E$1)</f>
        <v>1</v>
      </c>
      <c r="F68" s="242">
        <f>COUNTIFS('تجربه‌گرها'!$B:$B,$A68,'تجربه‌گرها'!$F:$F,F$1)</f>
        <v>0</v>
      </c>
      <c r="G68" s="242">
        <f>COUNTIFS('تجربه‌گرها'!$B:$B,$A68,'تجربه‌گرها'!$F:$F,G$1)</f>
        <v>0</v>
      </c>
      <c r="H68" s="242">
        <f>COUNTIFS('تجربه‌گرها'!$B:$B,$A68,'تجربه‌گرها'!$F:$F,H$1)</f>
        <v>0</v>
      </c>
      <c r="I68" s="242">
        <f>COUNTIFS('تجربه‌گرها'!$B:$B,$A68,'تجربه‌گرها'!$F:$F,I$1)</f>
        <v>0</v>
      </c>
      <c r="J68" s="242">
        <f>COUNTIFS('تجربه‌گرها'!$B:$B,$A68,'تجربه‌گرها'!$F:$F,J$1)</f>
        <v>0</v>
      </c>
      <c r="K68" s="242">
        <f>COUNTIFS('تجربه‌گرها'!$B:$B,$A68,'تجربه‌گرها'!$F:$F,K$1)</f>
        <v>0</v>
      </c>
      <c r="L68" s="242">
        <f>COUNTIFS('تجربه‌گرها'!$B:$B,$A68,'تجربه‌گرها'!$F:$F,L$1)</f>
        <v>0</v>
      </c>
      <c r="M68" s="242">
        <f>COUNTIFS('تجربه‌گرها'!$B:$B,$A68,'تجربه‌گرها'!$F:$F,M$1)</f>
        <v>0</v>
      </c>
      <c r="N68" s="242">
        <f>COUNTIFS('تجربه‌گرها'!$B:$B,$A68,'تجربه‌گرها'!$F:$F,N$1)</f>
        <v>0</v>
      </c>
      <c r="O68" s="242">
        <f>COUNTIFS('تجربه‌گرها'!$B:$B,$A68,'تجربه‌گرها'!$F:$F,O$1)</f>
        <v>0</v>
      </c>
      <c r="P68" s="242">
        <f>COUNTIFS('تجربه‌گرها'!$B:$B,$A68,'تجربه‌گرها'!$F:$F,P$1)</f>
        <v>0</v>
      </c>
      <c r="Q68" s="242">
        <f>COUNTIFS('تجربه‌گرها'!$B:$B,$A68,'تجربه‌گرها'!$F:$F,Q$1)</f>
        <v>0</v>
      </c>
      <c r="R68" s="242">
        <f>COUNTIFS('تجربه‌گرها'!$B:$B,$A68,'تجربه‌گرها'!$F:$F,R$1)</f>
        <v>0</v>
      </c>
      <c r="S68" s="242">
        <f>COUNTIFS('تجربه‌گرها'!$B:$B,$A68,'تجربه‌گرها'!$F:$F,S$1)</f>
        <v>0</v>
      </c>
      <c r="T68" s="242">
        <f>COUNTIFS('تجربه‌گرها'!$B:$B,$A68,'تجربه‌گرها'!$F:$F,T$1)</f>
        <v>0</v>
      </c>
      <c r="U68" s="242"/>
      <c r="V68" s="242"/>
      <c r="W68" s="242"/>
      <c r="X68" s="242"/>
      <c r="Y68" s="242"/>
      <c r="Z68" s="242"/>
      <c r="AA68" s="242"/>
      <c r="AB68" s="242"/>
    </row>
    <row r="69" hidden="1">
      <c r="A69" s="244" t="s">
        <v>1212</v>
      </c>
      <c r="B69" s="245" t="str">
        <f>VLOOKUP(A69,'تجربه‌گرها'!B:C,2,FALSE())</f>
        <v/>
      </c>
      <c r="C69" s="242"/>
      <c r="D69" s="242">
        <f t="shared" si="1"/>
        <v>1</v>
      </c>
      <c r="E69" s="242">
        <f>COUNTIFS('تجربه‌گرها'!$B:$B,$A69,'تجربه‌گرها'!$F:$F,E$1)</f>
        <v>1</v>
      </c>
      <c r="F69" s="242">
        <f>COUNTIFS('تجربه‌گرها'!$B:$B,$A69,'تجربه‌گرها'!$F:$F,F$1)</f>
        <v>0</v>
      </c>
      <c r="G69" s="242">
        <f>COUNTIFS('تجربه‌گرها'!$B:$B,$A69,'تجربه‌گرها'!$F:$F,G$1)</f>
        <v>0</v>
      </c>
      <c r="H69" s="242">
        <f>COUNTIFS('تجربه‌گرها'!$B:$B,$A69,'تجربه‌گرها'!$F:$F,H$1)</f>
        <v>0</v>
      </c>
      <c r="I69" s="242">
        <f>COUNTIFS('تجربه‌گرها'!$B:$B,$A69,'تجربه‌گرها'!$F:$F,I$1)</f>
        <v>0</v>
      </c>
      <c r="J69" s="242">
        <f>COUNTIFS('تجربه‌گرها'!$B:$B,$A69,'تجربه‌گرها'!$F:$F,J$1)</f>
        <v>0</v>
      </c>
      <c r="K69" s="242">
        <f>COUNTIFS('تجربه‌گرها'!$B:$B,$A69,'تجربه‌گرها'!$F:$F,K$1)</f>
        <v>0</v>
      </c>
      <c r="L69" s="242">
        <f>COUNTIFS('تجربه‌گرها'!$B:$B,$A69,'تجربه‌گرها'!$F:$F,L$1)</f>
        <v>0</v>
      </c>
      <c r="M69" s="242">
        <f>COUNTIFS('تجربه‌گرها'!$B:$B,$A69,'تجربه‌گرها'!$F:$F,M$1)</f>
        <v>0</v>
      </c>
      <c r="N69" s="242">
        <f>COUNTIFS('تجربه‌گرها'!$B:$B,$A69,'تجربه‌گرها'!$F:$F,N$1)</f>
        <v>0</v>
      </c>
      <c r="O69" s="242">
        <f>COUNTIFS('تجربه‌گرها'!$B:$B,$A69,'تجربه‌گرها'!$F:$F,O$1)</f>
        <v>0</v>
      </c>
      <c r="P69" s="242">
        <f>COUNTIFS('تجربه‌گرها'!$B:$B,$A69,'تجربه‌گرها'!$F:$F,P$1)</f>
        <v>0</v>
      </c>
      <c r="Q69" s="242">
        <f>COUNTIFS('تجربه‌گرها'!$B:$B,$A69,'تجربه‌گرها'!$F:$F,Q$1)</f>
        <v>0</v>
      </c>
      <c r="R69" s="242">
        <f>COUNTIFS('تجربه‌گرها'!$B:$B,$A69,'تجربه‌گرها'!$F:$F,R$1)</f>
        <v>0</v>
      </c>
      <c r="S69" s="242">
        <f>COUNTIFS('تجربه‌گرها'!$B:$B,$A69,'تجربه‌گرها'!$F:$F,S$1)</f>
        <v>0</v>
      </c>
      <c r="T69" s="242">
        <f>COUNTIFS('تجربه‌گرها'!$B:$B,$A69,'تجربه‌گرها'!$F:$F,T$1)</f>
        <v>0</v>
      </c>
      <c r="U69" s="242"/>
      <c r="V69" s="242"/>
      <c r="W69" s="242"/>
      <c r="X69" s="242"/>
      <c r="Y69" s="242"/>
      <c r="Z69" s="242"/>
      <c r="AA69" s="242"/>
      <c r="AB69" s="242"/>
    </row>
    <row r="70" hidden="1">
      <c r="A70" s="244" t="s">
        <v>1217</v>
      </c>
      <c r="B70" s="245" t="str">
        <f>VLOOKUP(A70,'تجربه‌گرها'!B:C,2,FALSE())</f>
        <v/>
      </c>
      <c r="C70" s="242"/>
      <c r="D70" s="242">
        <f t="shared" si="1"/>
        <v>1</v>
      </c>
      <c r="E70" s="242">
        <f>COUNTIFS('تجربه‌گرها'!$B:$B,$A70,'تجربه‌گرها'!$F:$F,E$1)</f>
        <v>1</v>
      </c>
      <c r="F70" s="242">
        <f>COUNTIFS('تجربه‌گرها'!$B:$B,$A70,'تجربه‌گرها'!$F:$F,F$1)</f>
        <v>0</v>
      </c>
      <c r="G70" s="242">
        <f>COUNTIFS('تجربه‌گرها'!$B:$B,$A70,'تجربه‌گرها'!$F:$F,G$1)</f>
        <v>0</v>
      </c>
      <c r="H70" s="242">
        <f>COUNTIFS('تجربه‌گرها'!$B:$B,$A70,'تجربه‌گرها'!$F:$F,H$1)</f>
        <v>0</v>
      </c>
      <c r="I70" s="242">
        <f>COUNTIFS('تجربه‌گرها'!$B:$B,$A70,'تجربه‌گرها'!$F:$F,I$1)</f>
        <v>0</v>
      </c>
      <c r="J70" s="242">
        <f>COUNTIFS('تجربه‌گرها'!$B:$B,$A70,'تجربه‌گرها'!$F:$F,J$1)</f>
        <v>0</v>
      </c>
      <c r="K70" s="242">
        <f>COUNTIFS('تجربه‌گرها'!$B:$B,$A70,'تجربه‌گرها'!$F:$F,K$1)</f>
        <v>0</v>
      </c>
      <c r="L70" s="242">
        <f>COUNTIFS('تجربه‌گرها'!$B:$B,$A70,'تجربه‌گرها'!$F:$F,L$1)</f>
        <v>0</v>
      </c>
      <c r="M70" s="242">
        <f>COUNTIFS('تجربه‌گرها'!$B:$B,$A70,'تجربه‌گرها'!$F:$F,M$1)</f>
        <v>0</v>
      </c>
      <c r="N70" s="242">
        <f>COUNTIFS('تجربه‌گرها'!$B:$B,$A70,'تجربه‌گرها'!$F:$F,N$1)</f>
        <v>0</v>
      </c>
      <c r="O70" s="242">
        <f>COUNTIFS('تجربه‌گرها'!$B:$B,$A70,'تجربه‌گرها'!$F:$F,O$1)</f>
        <v>0</v>
      </c>
      <c r="P70" s="242">
        <f>COUNTIFS('تجربه‌گرها'!$B:$B,$A70,'تجربه‌گرها'!$F:$F,P$1)</f>
        <v>0</v>
      </c>
      <c r="Q70" s="242">
        <f>COUNTIFS('تجربه‌گرها'!$B:$B,$A70,'تجربه‌گرها'!$F:$F,Q$1)</f>
        <v>0</v>
      </c>
      <c r="R70" s="242">
        <f>COUNTIFS('تجربه‌گرها'!$B:$B,$A70,'تجربه‌گرها'!$F:$F,R$1)</f>
        <v>0</v>
      </c>
      <c r="S70" s="242">
        <f>COUNTIFS('تجربه‌گرها'!$B:$B,$A70,'تجربه‌گرها'!$F:$F,S$1)</f>
        <v>0</v>
      </c>
      <c r="T70" s="242">
        <f>COUNTIFS('تجربه‌گرها'!$B:$B,$A70,'تجربه‌گرها'!$F:$F,T$1)</f>
        <v>0</v>
      </c>
      <c r="U70" s="242"/>
      <c r="V70" s="242"/>
      <c r="W70" s="242"/>
      <c r="X70" s="242"/>
      <c r="Y70" s="242"/>
      <c r="Z70" s="242"/>
      <c r="AA70" s="242"/>
      <c r="AB70" s="242"/>
    </row>
    <row r="71" hidden="1">
      <c r="A71" s="244" t="s">
        <v>1220</v>
      </c>
      <c r="B71" s="245" t="str">
        <f>VLOOKUP(A71,'تجربه‌گرها'!B:C,2,FALSE())</f>
        <v>9122822695</v>
      </c>
      <c r="C71" s="242"/>
      <c r="D71" s="242">
        <f t="shared" si="1"/>
        <v>1</v>
      </c>
      <c r="E71" s="242">
        <f>COUNTIFS('تجربه‌گرها'!$B:$B,$A71,'تجربه‌گرها'!$F:$F,E$1)</f>
        <v>1</v>
      </c>
      <c r="F71" s="242">
        <f>COUNTIFS('تجربه‌گرها'!$B:$B,$A71,'تجربه‌گرها'!$F:$F,F$1)</f>
        <v>0</v>
      </c>
      <c r="G71" s="242">
        <f>COUNTIFS('تجربه‌گرها'!$B:$B,$A71,'تجربه‌گرها'!$F:$F,G$1)</f>
        <v>0</v>
      </c>
      <c r="H71" s="242">
        <f>COUNTIFS('تجربه‌گرها'!$B:$B,$A71,'تجربه‌گرها'!$F:$F,H$1)</f>
        <v>0</v>
      </c>
      <c r="I71" s="242">
        <f>COUNTIFS('تجربه‌گرها'!$B:$B,$A71,'تجربه‌گرها'!$F:$F,I$1)</f>
        <v>0</v>
      </c>
      <c r="J71" s="242">
        <f>COUNTIFS('تجربه‌گرها'!$B:$B,$A71,'تجربه‌گرها'!$F:$F,J$1)</f>
        <v>0</v>
      </c>
      <c r="K71" s="242">
        <f>COUNTIFS('تجربه‌گرها'!$B:$B,$A71,'تجربه‌گرها'!$F:$F,K$1)</f>
        <v>0</v>
      </c>
      <c r="L71" s="242">
        <f>COUNTIFS('تجربه‌گرها'!$B:$B,$A71,'تجربه‌گرها'!$F:$F,L$1)</f>
        <v>0</v>
      </c>
      <c r="M71" s="242">
        <f>COUNTIFS('تجربه‌گرها'!$B:$B,$A71,'تجربه‌گرها'!$F:$F,M$1)</f>
        <v>0</v>
      </c>
      <c r="N71" s="242">
        <f>COUNTIFS('تجربه‌گرها'!$B:$B,$A71,'تجربه‌گرها'!$F:$F,N$1)</f>
        <v>0</v>
      </c>
      <c r="O71" s="242">
        <f>COUNTIFS('تجربه‌گرها'!$B:$B,$A71,'تجربه‌گرها'!$F:$F,O$1)</f>
        <v>0</v>
      </c>
      <c r="P71" s="242">
        <f>COUNTIFS('تجربه‌گرها'!$B:$B,$A71,'تجربه‌گرها'!$F:$F,P$1)</f>
        <v>0</v>
      </c>
      <c r="Q71" s="242">
        <f>COUNTIFS('تجربه‌گرها'!$B:$B,$A71,'تجربه‌گرها'!$F:$F,Q$1)</f>
        <v>0</v>
      </c>
      <c r="R71" s="242">
        <f>COUNTIFS('تجربه‌گرها'!$B:$B,$A71,'تجربه‌گرها'!$F:$F,R$1)</f>
        <v>0</v>
      </c>
      <c r="S71" s="242">
        <f>COUNTIFS('تجربه‌گرها'!$B:$B,$A71,'تجربه‌گرها'!$F:$F,S$1)</f>
        <v>0</v>
      </c>
      <c r="T71" s="242">
        <f>COUNTIFS('تجربه‌گرها'!$B:$B,$A71,'تجربه‌گرها'!$F:$F,T$1)</f>
        <v>0</v>
      </c>
      <c r="U71" s="242"/>
      <c r="V71" s="242"/>
      <c r="W71" s="242"/>
      <c r="X71" s="242"/>
      <c r="Y71" s="242"/>
      <c r="Z71" s="242"/>
      <c r="AA71" s="242"/>
      <c r="AB71" s="242"/>
    </row>
    <row r="72" hidden="1">
      <c r="A72" s="244" t="s">
        <v>1228</v>
      </c>
      <c r="B72" s="245" t="str">
        <f>VLOOKUP(A72,'تجربه‌گرها'!B:C,2,FALSE())</f>
        <v>9127941917</v>
      </c>
      <c r="C72" s="242"/>
      <c r="D72" s="242">
        <f t="shared" si="1"/>
        <v>1</v>
      </c>
      <c r="E72" s="242">
        <f>COUNTIFS('تجربه‌گرها'!$B:$B,$A72,'تجربه‌گرها'!$F:$F,E$1)</f>
        <v>1</v>
      </c>
      <c r="F72" s="242">
        <f>COUNTIFS('تجربه‌گرها'!$B:$B,$A72,'تجربه‌گرها'!$F:$F,F$1)</f>
        <v>0</v>
      </c>
      <c r="G72" s="242">
        <f>COUNTIFS('تجربه‌گرها'!$B:$B,$A72,'تجربه‌گرها'!$F:$F,G$1)</f>
        <v>0</v>
      </c>
      <c r="H72" s="242">
        <f>COUNTIFS('تجربه‌گرها'!$B:$B,$A72,'تجربه‌گرها'!$F:$F,H$1)</f>
        <v>0</v>
      </c>
      <c r="I72" s="242">
        <f>COUNTIFS('تجربه‌گرها'!$B:$B,$A72,'تجربه‌گرها'!$F:$F,I$1)</f>
        <v>0</v>
      </c>
      <c r="J72" s="242">
        <f>COUNTIFS('تجربه‌گرها'!$B:$B,$A72,'تجربه‌گرها'!$F:$F,J$1)</f>
        <v>0</v>
      </c>
      <c r="K72" s="242">
        <f>COUNTIFS('تجربه‌گرها'!$B:$B,$A72,'تجربه‌گرها'!$F:$F,K$1)</f>
        <v>0</v>
      </c>
      <c r="L72" s="242">
        <f>COUNTIFS('تجربه‌گرها'!$B:$B,$A72,'تجربه‌گرها'!$F:$F,L$1)</f>
        <v>0</v>
      </c>
      <c r="M72" s="242">
        <f>COUNTIFS('تجربه‌گرها'!$B:$B,$A72,'تجربه‌گرها'!$F:$F,M$1)</f>
        <v>0</v>
      </c>
      <c r="N72" s="242">
        <f>COUNTIFS('تجربه‌گرها'!$B:$B,$A72,'تجربه‌گرها'!$F:$F,N$1)</f>
        <v>0</v>
      </c>
      <c r="O72" s="242">
        <f>COUNTIFS('تجربه‌گرها'!$B:$B,$A72,'تجربه‌گرها'!$F:$F,O$1)</f>
        <v>0</v>
      </c>
      <c r="P72" s="242">
        <f>COUNTIFS('تجربه‌گرها'!$B:$B,$A72,'تجربه‌گرها'!$F:$F,P$1)</f>
        <v>0</v>
      </c>
      <c r="Q72" s="242">
        <f>COUNTIFS('تجربه‌گرها'!$B:$B,$A72,'تجربه‌گرها'!$F:$F,Q$1)</f>
        <v>0</v>
      </c>
      <c r="R72" s="242">
        <f>COUNTIFS('تجربه‌گرها'!$B:$B,$A72,'تجربه‌گرها'!$F:$F,R$1)</f>
        <v>0</v>
      </c>
      <c r="S72" s="242">
        <f>COUNTIFS('تجربه‌گرها'!$B:$B,$A72,'تجربه‌گرها'!$F:$F,S$1)</f>
        <v>0</v>
      </c>
      <c r="T72" s="242">
        <f>COUNTIFS('تجربه‌گرها'!$B:$B,$A72,'تجربه‌گرها'!$F:$F,T$1)</f>
        <v>0</v>
      </c>
      <c r="U72" s="242"/>
      <c r="V72" s="242"/>
      <c r="W72" s="242"/>
      <c r="X72" s="242"/>
      <c r="Y72" s="242"/>
      <c r="Z72" s="242"/>
      <c r="AA72" s="242"/>
      <c r="AB72" s="242"/>
    </row>
    <row r="73" hidden="1">
      <c r="A73" s="244" t="s">
        <v>1236</v>
      </c>
      <c r="B73" s="245" t="str">
        <f>VLOOKUP(A73,'تجربه‌گرها'!B:C,2,FALSE())</f>
        <v>9031586747</v>
      </c>
      <c r="C73" s="242"/>
      <c r="D73" s="242">
        <f t="shared" si="1"/>
        <v>1</v>
      </c>
      <c r="E73" s="242">
        <f>COUNTIFS('تجربه‌گرها'!$B:$B,$A73,'تجربه‌گرها'!$F:$F,E$1)</f>
        <v>1</v>
      </c>
      <c r="F73" s="242">
        <f>COUNTIFS('تجربه‌گرها'!$B:$B,$A73,'تجربه‌گرها'!$F:$F,F$1)</f>
        <v>0</v>
      </c>
      <c r="G73" s="242">
        <f>COUNTIFS('تجربه‌گرها'!$B:$B,$A73,'تجربه‌گرها'!$F:$F,G$1)</f>
        <v>0</v>
      </c>
      <c r="H73" s="242">
        <f>COUNTIFS('تجربه‌گرها'!$B:$B,$A73,'تجربه‌گرها'!$F:$F,H$1)</f>
        <v>0</v>
      </c>
      <c r="I73" s="242">
        <f>COUNTIFS('تجربه‌گرها'!$B:$B,$A73,'تجربه‌گرها'!$F:$F,I$1)</f>
        <v>0</v>
      </c>
      <c r="J73" s="242">
        <f>COUNTIFS('تجربه‌گرها'!$B:$B,$A73,'تجربه‌گرها'!$F:$F,J$1)</f>
        <v>0</v>
      </c>
      <c r="K73" s="242">
        <f>COUNTIFS('تجربه‌گرها'!$B:$B,$A73,'تجربه‌گرها'!$F:$F,K$1)</f>
        <v>0</v>
      </c>
      <c r="L73" s="242">
        <f>COUNTIFS('تجربه‌گرها'!$B:$B,$A73,'تجربه‌گرها'!$F:$F,L$1)</f>
        <v>0</v>
      </c>
      <c r="M73" s="242">
        <f>COUNTIFS('تجربه‌گرها'!$B:$B,$A73,'تجربه‌گرها'!$F:$F,M$1)</f>
        <v>0</v>
      </c>
      <c r="N73" s="242">
        <f>COUNTIFS('تجربه‌گرها'!$B:$B,$A73,'تجربه‌گرها'!$F:$F,N$1)</f>
        <v>0</v>
      </c>
      <c r="O73" s="242">
        <f>COUNTIFS('تجربه‌گرها'!$B:$B,$A73,'تجربه‌گرها'!$F:$F,O$1)</f>
        <v>0</v>
      </c>
      <c r="P73" s="242">
        <f>COUNTIFS('تجربه‌گرها'!$B:$B,$A73,'تجربه‌گرها'!$F:$F,P$1)</f>
        <v>0</v>
      </c>
      <c r="Q73" s="242">
        <f>COUNTIFS('تجربه‌گرها'!$B:$B,$A73,'تجربه‌گرها'!$F:$F,Q$1)</f>
        <v>0</v>
      </c>
      <c r="R73" s="242">
        <f>COUNTIFS('تجربه‌گرها'!$B:$B,$A73,'تجربه‌گرها'!$F:$F,R$1)</f>
        <v>0</v>
      </c>
      <c r="S73" s="242">
        <f>COUNTIFS('تجربه‌گرها'!$B:$B,$A73,'تجربه‌گرها'!$F:$F,S$1)</f>
        <v>0</v>
      </c>
      <c r="T73" s="242">
        <f>COUNTIFS('تجربه‌گرها'!$B:$B,$A73,'تجربه‌گرها'!$F:$F,T$1)</f>
        <v>0</v>
      </c>
      <c r="U73" s="242"/>
      <c r="V73" s="242"/>
      <c r="W73" s="242"/>
      <c r="X73" s="242"/>
      <c r="Y73" s="242"/>
      <c r="Z73" s="242"/>
      <c r="AA73" s="242"/>
      <c r="AB73" s="242"/>
    </row>
    <row r="74">
      <c r="A74" s="244" t="s">
        <v>1244</v>
      </c>
      <c r="B74" s="245" t="str">
        <f>VLOOKUP(A74,'تجربه‌گرها'!B:C,2,FALSE())</f>
        <v>9123375316</v>
      </c>
      <c r="C74" s="242"/>
      <c r="D74" s="242">
        <f t="shared" si="1"/>
        <v>2</v>
      </c>
      <c r="E74" s="242">
        <f>COUNTIFS('تجربه‌گرها'!$B:$B,$A74,'تجربه‌گرها'!$F:$F,E$1)</f>
        <v>1</v>
      </c>
      <c r="F74" s="242">
        <f>COUNTIFS('تجربه‌گرها'!$B:$B,$A74,'تجربه‌گرها'!$F:$F,F$1)</f>
        <v>1</v>
      </c>
      <c r="G74" s="242">
        <f>COUNTIFS('تجربه‌گرها'!$B:$B,$A74,'تجربه‌گرها'!$F:$F,G$1)</f>
        <v>0</v>
      </c>
      <c r="H74" s="242">
        <f>COUNTIFS('تجربه‌گرها'!$B:$B,$A74,'تجربه‌گرها'!$F:$F,H$1)</f>
        <v>0</v>
      </c>
      <c r="I74" s="242">
        <f>COUNTIFS('تجربه‌گرها'!$B:$B,$A74,'تجربه‌گرها'!$F:$F,I$1)</f>
        <v>0</v>
      </c>
      <c r="J74" s="242">
        <f>COUNTIFS('تجربه‌گرها'!$B:$B,$A74,'تجربه‌گرها'!$F:$F,J$1)</f>
        <v>0</v>
      </c>
      <c r="K74" s="242">
        <f>COUNTIFS('تجربه‌گرها'!$B:$B,$A74,'تجربه‌گرها'!$F:$F,K$1)</f>
        <v>0</v>
      </c>
      <c r="L74" s="242">
        <f>COUNTIFS('تجربه‌گرها'!$B:$B,$A74,'تجربه‌گرها'!$F:$F,L$1)</f>
        <v>0</v>
      </c>
      <c r="M74" s="242">
        <f>COUNTIFS('تجربه‌گرها'!$B:$B,$A74,'تجربه‌گرها'!$F:$F,M$1)</f>
        <v>0</v>
      </c>
      <c r="N74" s="242">
        <f>COUNTIFS('تجربه‌گرها'!$B:$B,$A74,'تجربه‌گرها'!$F:$F,N$1)</f>
        <v>0</v>
      </c>
      <c r="O74" s="242">
        <f>COUNTIFS('تجربه‌گرها'!$B:$B,$A74,'تجربه‌گرها'!$F:$F,O$1)</f>
        <v>0</v>
      </c>
      <c r="P74" s="242">
        <f>COUNTIFS('تجربه‌گرها'!$B:$B,$A74,'تجربه‌گرها'!$F:$F,P$1)</f>
        <v>0</v>
      </c>
      <c r="Q74" s="242">
        <f>COUNTIFS('تجربه‌گرها'!$B:$B,$A74,'تجربه‌گرها'!$F:$F,Q$1)</f>
        <v>0</v>
      </c>
      <c r="R74" s="242">
        <f>COUNTIFS('تجربه‌گرها'!$B:$B,$A74,'تجربه‌گرها'!$F:$F,R$1)</f>
        <v>0</v>
      </c>
      <c r="S74" s="242">
        <f>COUNTIFS('تجربه‌گرها'!$B:$B,$A74,'تجربه‌گرها'!$F:$F,S$1)</f>
        <v>0</v>
      </c>
      <c r="T74" s="242">
        <f>COUNTIFS('تجربه‌گرها'!$B:$B,$A74,'تجربه‌گرها'!$F:$F,T$1)</f>
        <v>0</v>
      </c>
      <c r="U74" s="242"/>
      <c r="V74" s="242"/>
      <c r="W74" s="242"/>
      <c r="X74" s="242"/>
      <c r="Y74" s="242"/>
      <c r="Z74" s="242"/>
      <c r="AA74" s="242"/>
      <c r="AB74" s="242"/>
    </row>
    <row r="75" hidden="1">
      <c r="A75" s="244" t="s">
        <v>1252</v>
      </c>
      <c r="B75" s="245" t="str">
        <f>VLOOKUP(A75,'تجربه‌گرها'!B:C,2,FALSE())</f>
        <v>9353366724</v>
      </c>
      <c r="C75" s="242"/>
      <c r="D75" s="242">
        <f t="shared" si="1"/>
        <v>1</v>
      </c>
      <c r="E75" s="242">
        <f>COUNTIFS('تجربه‌گرها'!$B:$B,$A75,'تجربه‌گرها'!$F:$F,E$1)</f>
        <v>1</v>
      </c>
      <c r="F75" s="242">
        <f>COUNTIFS('تجربه‌گرها'!$B:$B,$A75,'تجربه‌گرها'!$F:$F,F$1)</f>
        <v>0</v>
      </c>
      <c r="G75" s="242">
        <f>COUNTIFS('تجربه‌گرها'!$B:$B,$A75,'تجربه‌گرها'!$F:$F,G$1)</f>
        <v>0</v>
      </c>
      <c r="H75" s="242">
        <f>COUNTIFS('تجربه‌گرها'!$B:$B,$A75,'تجربه‌گرها'!$F:$F,H$1)</f>
        <v>0</v>
      </c>
      <c r="I75" s="242">
        <f>COUNTIFS('تجربه‌گرها'!$B:$B,$A75,'تجربه‌گرها'!$F:$F,I$1)</f>
        <v>0</v>
      </c>
      <c r="J75" s="242">
        <f>COUNTIFS('تجربه‌گرها'!$B:$B,$A75,'تجربه‌گرها'!$F:$F,J$1)</f>
        <v>0</v>
      </c>
      <c r="K75" s="242">
        <f>COUNTIFS('تجربه‌گرها'!$B:$B,$A75,'تجربه‌گرها'!$F:$F,K$1)</f>
        <v>0</v>
      </c>
      <c r="L75" s="242">
        <f>COUNTIFS('تجربه‌گرها'!$B:$B,$A75,'تجربه‌گرها'!$F:$F,L$1)</f>
        <v>0</v>
      </c>
      <c r="M75" s="242">
        <f>COUNTIFS('تجربه‌گرها'!$B:$B,$A75,'تجربه‌گرها'!$F:$F,M$1)</f>
        <v>0</v>
      </c>
      <c r="N75" s="242">
        <f>COUNTIFS('تجربه‌گرها'!$B:$B,$A75,'تجربه‌گرها'!$F:$F,N$1)</f>
        <v>0</v>
      </c>
      <c r="O75" s="242">
        <f>COUNTIFS('تجربه‌گرها'!$B:$B,$A75,'تجربه‌گرها'!$F:$F,O$1)</f>
        <v>0</v>
      </c>
      <c r="P75" s="242">
        <f>COUNTIFS('تجربه‌گرها'!$B:$B,$A75,'تجربه‌گرها'!$F:$F,P$1)</f>
        <v>0</v>
      </c>
      <c r="Q75" s="242">
        <f>COUNTIFS('تجربه‌گرها'!$B:$B,$A75,'تجربه‌گرها'!$F:$F,Q$1)</f>
        <v>0</v>
      </c>
      <c r="R75" s="242">
        <f>COUNTIFS('تجربه‌گرها'!$B:$B,$A75,'تجربه‌گرها'!$F:$F,R$1)</f>
        <v>0</v>
      </c>
      <c r="S75" s="242">
        <f>COUNTIFS('تجربه‌گرها'!$B:$B,$A75,'تجربه‌گرها'!$F:$F,S$1)</f>
        <v>0</v>
      </c>
      <c r="T75" s="242">
        <f>COUNTIFS('تجربه‌گرها'!$B:$B,$A75,'تجربه‌گرها'!$F:$F,T$1)</f>
        <v>0</v>
      </c>
      <c r="U75" s="242"/>
      <c r="V75" s="242"/>
      <c r="W75" s="242"/>
      <c r="X75" s="242"/>
      <c r="Y75" s="242"/>
      <c r="Z75" s="242"/>
      <c r="AA75" s="242"/>
      <c r="AB75" s="242"/>
    </row>
    <row r="76">
      <c r="A76" s="244" t="s">
        <v>1258</v>
      </c>
      <c r="B76" s="245" t="str">
        <f>VLOOKUP(A76,'تجربه‌گرها'!B:C,2,FALSE())</f>
        <v>9334860672</v>
      </c>
      <c r="C76" s="242"/>
      <c r="D76" s="242">
        <f t="shared" si="1"/>
        <v>2</v>
      </c>
      <c r="E76" s="242">
        <f>COUNTIFS('تجربه‌گرها'!$B:$B,$A76,'تجربه‌گرها'!$F:$F,E$1)</f>
        <v>1</v>
      </c>
      <c r="F76" s="242">
        <f>COUNTIFS('تجربه‌گرها'!$B:$B,$A76,'تجربه‌گرها'!$F:$F,F$1)</f>
        <v>1</v>
      </c>
      <c r="G76" s="242">
        <f>COUNTIFS('تجربه‌گرها'!$B:$B,$A76,'تجربه‌گرها'!$F:$F,G$1)</f>
        <v>0</v>
      </c>
      <c r="H76" s="242">
        <f>COUNTIFS('تجربه‌گرها'!$B:$B,$A76,'تجربه‌گرها'!$F:$F,H$1)</f>
        <v>0</v>
      </c>
      <c r="I76" s="242">
        <f>COUNTIFS('تجربه‌گرها'!$B:$B,$A76,'تجربه‌گرها'!$F:$F,I$1)</f>
        <v>0</v>
      </c>
      <c r="J76" s="242">
        <f>COUNTIFS('تجربه‌گرها'!$B:$B,$A76,'تجربه‌گرها'!$F:$F,J$1)</f>
        <v>0</v>
      </c>
      <c r="K76" s="242">
        <f>COUNTIFS('تجربه‌گرها'!$B:$B,$A76,'تجربه‌گرها'!$F:$F,K$1)</f>
        <v>0</v>
      </c>
      <c r="L76" s="242">
        <f>COUNTIFS('تجربه‌گرها'!$B:$B,$A76,'تجربه‌گرها'!$F:$F,L$1)</f>
        <v>0</v>
      </c>
      <c r="M76" s="242">
        <f>COUNTIFS('تجربه‌گرها'!$B:$B,$A76,'تجربه‌گرها'!$F:$F,M$1)</f>
        <v>0</v>
      </c>
      <c r="N76" s="242">
        <f>COUNTIFS('تجربه‌گرها'!$B:$B,$A76,'تجربه‌گرها'!$F:$F,N$1)</f>
        <v>0</v>
      </c>
      <c r="O76" s="242">
        <f>COUNTIFS('تجربه‌گرها'!$B:$B,$A76,'تجربه‌گرها'!$F:$F,O$1)</f>
        <v>0</v>
      </c>
      <c r="P76" s="242">
        <f>COUNTIFS('تجربه‌گرها'!$B:$B,$A76,'تجربه‌گرها'!$F:$F,P$1)</f>
        <v>0</v>
      </c>
      <c r="Q76" s="242">
        <f>COUNTIFS('تجربه‌گرها'!$B:$B,$A76,'تجربه‌گرها'!$F:$F,Q$1)</f>
        <v>0</v>
      </c>
      <c r="R76" s="242">
        <f>COUNTIFS('تجربه‌گرها'!$B:$B,$A76,'تجربه‌گرها'!$F:$F,R$1)</f>
        <v>0</v>
      </c>
      <c r="S76" s="242">
        <f>COUNTIFS('تجربه‌گرها'!$B:$B,$A76,'تجربه‌گرها'!$F:$F,S$1)</f>
        <v>0</v>
      </c>
      <c r="T76" s="242">
        <f>COUNTIFS('تجربه‌گرها'!$B:$B,$A76,'تجربه‌گرها'!$F:$F,T$1)</f>
        <v>0</v>
      </c>
      <c r="U76" s="242"/>
      <c r="V76" s="242"/>
      <c r="W76" s="242"/>
      <c r="X76" s="242"/>
      <c r="Y76" s="242"/>
      <c r="Z76" s="242"/>
      <c r="AA76" s="242"/>
      <c r="AB76" s="242"/>
    </row>
    <row r="77" hidden="1">
      <c r="A77" s="244" t="s">
        <v>1266</v>
      </c>
      <c r="B77" s="245" t="str">
        <f>VLOOKUP(A77,'تجربه‌گرها'!B:C,2,FALSE())</f>
        <v/>
      </c>
      <c r="C77" s="242"/>
      <c r="D77" s="242">
        <f t="shared" si="1"/>
        <v>1</v>
      </c>
      <c r="E77" s="242">
        <f>COUNTIFS('تجربه‌گرها'!$B:$B,$A77,'تجربه‌گرها'!$F:$F,E$1)</f>
        <v>1</v>
      </c>
      <c r="F77" s="242">
        <f>COUNTIFS('تجربه‌گرها'!$B:$B,$A77,'تجربه‌گرها'!$F:$F,F$1)</f>
        <v>0</v>
      </c>
      <c r="G77" s="242">
        <f>COUNTIFS('تجربه‌گرها'!$B:$B,$A77,'تجربه‌گرها'!$F:$F,G$1)</f>
        <v>0</v>
      </c>
      <c r="H77" s="242">
        <f>COUNTIFS('تجربه‌گرها'!$B:$B,$A77,'تجربه‌گرها'!$F:$F,H$1)</f>
        <v>0</v>
      </c>
      <c r="I77" s="242">
        <f>COUNTIFS('تجربه‌گرها'!$B:$B,$A77,'تجربه‌گرها'!$F:$F,I$1)</f>
        <v>0</v>
      </c>
      <c r="J77" s="242">
        <f>COUNTIFS('تجربه‌گرها'!$B:$B,$A77,'تجربه‌گرها'!$F:$F,J$1)</f>
        <v>0</v>
      </c>
      <c r="K77" s="242">
        <f>COUNTIFS('تجربه‌گرها'!$B:$B,$A77,'تجربه‌گرها'!$F:$F,K$1)</f>
        <v>0</v>
      </c>
      <c r="L77" s="242">
        <f>COUNTIFS('تجربه‌گرها'!$B:$B,$A77,'تجربه‌گرها'!$F:$F,L$1)</f>
        <v>0</v>
      </c>
      <c r="M77" s="242">
        <f>COUNTIFS('تجربه‌گرها'!$B:$B,$A77,'تجربه‌گرها'!$F:$F,M$1)</f>
        <v>0</v>
      </c>
      <c r="N77" s="242">
        <f>COUNTIFS('تجربه‌گرها'!$B:$B,$A77,'تجربه‌گرها'!$F:$F,N$1)</f>
        <v>0</v>
      </c>
      <c r="O77" s="242">
        <f>COUNTIFS('تجربه‌گرها'!$B:$B,$A77,'تجربه‌گرها'!$F:$F,O$1)</f>
        <v>0</v>
      </c>
      <c r="P77" s="242">
        <f>COUNTIFS('تجربه‌گرها'!$B:$B,$A77,'تجربه‌گرها'!$F:$F,P$1)</f>
        <v>0</v>
      </c>
      <c r="Q77" s="242">
        <f>COUNTIFS('تجربه‌گرها'!$B:$B,$A77,'تجربه‌گرها'!$F:$F,Q$1)</f>
        <v>0</v>
      </c>
      <c r="R77" s="242">
        <f>COUNTIFS('تجربه‌گرها'!$B:$B,$A77,'تجربه‌گرها'!$F:$F,R$1)</f>
        <v>0</v>
      </c>
      <c r="S77" s="242">
        <f>COUNTIFS('تجربه‌گرها'!$B:$B,$A77,'تجربه‌گرها'!$F:$F,S$1)</f>
        <v>0</v>
      </c>
      <c r="T77" s="242">
        <f>COUNTIFS('تجربه‌گرها'!$B:$B,$A77,'تجربه‌گرها'!$F:$F,T$1)</f>
        <v>0</v>
      </c>
      <c r="U77" s="242"/>
      <c r="V77" s="242"/>
      <c r="W77" s="242"/>
      <c r="X77" s="242"/>
      <c r="Y77" s="242"/>
      <c r="Z77" s="242"/>
      <c r="AA77" s="242"/>
      <c r="AB77" s="242"/>
    </row>
    <row r="78" hidden="1">
      <c r="A78" s="244" t="s">
        <v>1272</v>
      </c>
      <c r="B78" s="245" t="str">
        <f>VLOOKUP(A78,'تجربه‌گرها'!B:C,2,FALSE())</f>
        <v>9354421262</v>
      </c>
      <c r="C78" s="242"/>
      <c r="D78" s="242">
        <f t="shared" si="1"/>
        <v>1</v>
      </c>
      <c r="E78" s="242">
        <f>COUNTIFS('تجربه‌گرها'!$B:$B,$A78,'تجربه‌گرها'!$F:$F,E$1)</f>
        <v>1</v>
      </c>
      <c r="F78" s="242">
        <f>COUNTIFS('تجربه‌گرها'!$B:$B,$A78,'تجربه‌گرها'!$F:$F,F$1)</f>
        <v>0</v>
      </c>
      <c r="G78" s="242">
        <f>COUNTIFS('تجربه‌گرها'!$B:$B,$A78,'تجربه‌گرها'!$F:$F,G$1)</f>
        <v>0</v>
      </c>
      <c r="H78" s="242">
        <f>COUNTIFS('تجربه‌گرها'!$B:$B,$A78,'تجربه‌گرها'!$F:$F,H$1)</f>
        <v>0</v>
      </c>
      <c r="I78" s="242">
        <f>COUNTIFS('تجربه‌گرها'!$B:$B,$A78,'تجربه‌گرها'!$F:$F,I$1)</f>
        <v>0</v>
      </c>
      <c r="J78" s="242">
        <f>COUNTIFS('تجربه‌گرها'!$B:$B,$A78,'تجربه‌گرها'!$F:$F,J$1)</f>
        <v>0</v>
      </c>
      <c r="K78" s="242">
        <f>COUNTIFS('تجربه‌گرها'!$B:$B,$A78,'تجربه‌گرها'!$F:$F,K$1)</f>
        <v>0</v>
      </c>
      <c r="L78" s="242">
        <f>COUNTIFS('تجربه‌گرها'!$B:$B,$A78,'تجربه‌گرها'!$F:$F,L$1)</f>
        <v>0</v>
      </c>
      <c r="M78" s="242">
        <f>COUNTIFS('تجربه‌گرها'!$B:$B,$A78,'تجربه‌گرها'!$F:$F,M$1)</f>
        <v>0</v>
      </c>
      <c r="N78" s="242">
        <f>COUNTIFS('تجربه‌گرها'!$B:$B,$A78,'تجربه‌گرها'!$F:$F,N$1)</f>
        <v>0</v>
      </c>
      <c r="O78" s="242">
        <f>COUNTIFS('تجربه‌گرها'!$B:$B,$A78,'تجربه‌گرها'!$F:$F,O$1)</f>
        <v>0</v>
      </c>
      <c r="P78" s="242">
        <f>COUNTIFS('تجربه‌گرها'!$B:$B,$A78,'تجربه‌گرها'!$F:$F,P$1)</f>
        <v>0</v>
      </c>
      <c r="Q78" s="242">
        <f>COUNTIFS('تجربه‌گرها'!$B:$B,$A78,'تجربه‌گرها'!$F:$F,Q$1)</f>
        <v>0</v>
      </c>
      <c r="R78" s="242">
        <f>COUNTIFS('تجربه‌گرها'!$B:$B,$A78,'تجربه‌گرها'!$F:$F,R$1)</f>
        <v>0</v>
      </c>
      <c r="S78" s="242">
        <f>COUNTIFS('تجربه‌گرها'!$B:$B,$A78,'تجربه‌گرها'!$F:$F,S$1)</f>
        <v>0</v>
      </c>
      <c r="T78" s="242">
        <f>COUNTIFS('تجربه‌گرها'!$B:$B,$A78,'تجربه‌گرها'!$F:$F,T$1)</f>
        <v>0</v>
      </c>
      <c r="U78" s="242"/>
      <c r="V78" s="242"/>
      <c r="W78" s="242"/>
      <c r="X78" s="242"/>
      <c r="Y78" s="242"/>
      <c r="Z78" s="242"/>
      <c r="AA78" s="242"/>
      <c r="AB78" s="242"/>
    </row>
    <row r="79" hidden="1">
      <c r="A79" s="244" t="s">
        <v>1279</v>
      </c>
      <c r="B79" s="245" t="str">
        <f>VLOOKUP(A79,'تجربه‌گرها'!B:C,2,FALSE())</f>
        <v/>
      </c>
      <c r="C79" s="242"/>
      <c r="D79" s="242">
        <f t="shared" si="1"/>
        <v>1</v>
      </c>
      <c r="E79" s="242">
        <f>COUNTIFS('تجربه‌گرها'!$B:$B,$A79,'تجربه‌گرها'!$F:$F,E$1)</f>
        <v>1</v>
      </c>
      <c r="F79" s="242">
        <f>COUNTIFS('تجربه‌گرها'!$B:$B,$A79,'تجربه‌گرها'!$F:$F,F$1)</f>
        <v>0</v>
      </c>
      <c r="G79" s="242">
        <f>COUNTIFS('تجربه‌گرها'!$B:$B,$A79,'تجربه‌گرها'!$F:$F,G$1)</f>
        <v>0</v>
      </c>
      <c r="H79" s="242">
        <f>COUNTIFS('تجربه‌گرها'!$B:$B,$A79,'تجربه‌گرها'!$F:$F,H$1)</f>
        <v>0</v>
      </c>
      <c r="I79" s="242">
        <f>COUNTIFS('تجربه‌گرها'!$B:$B,$A79,'تجربه‌گرها'!$F:$F,I$1)</f>
        <v>0</v>
      </c>
      <c r="J79" s="242">
        <f>COUNTIFS('تجربه‌گرها'!$B:$B,$A79,'تجربه‌گرها'!$F:$F,J$1)</f>
        <v>0</v>
      </c>
      <c r="K79" s="242">
        <f>COUNTIFS('تجربه‌گرها'!$B:$B,$A79,'تجربه‌گرها'!$F:$F,K$1)</f>
        <v>0</v>
      </c>
      <c r="L79" s="242">
        <f>COUNTIFS('تجربه‌گرها'!$B:$B,$A79,'تجربه‌گرها'!$F:$F,L$1)</f>
        <v>0</v>
      </c>
      <c r="M79" s="242">
        <f>COUNTIFS('تجربه‌گرها'!$B:$B,$A79,'تجربه‌گرها'!$F:$F,M$1)</f>
        <v>0</v>
      </c>
      <c r="N79" s="242">
        <f>COUNTIFS('تجربه‌گرها'!$B:$B,$A79,'تجربه‌گرها'!$F:$F,N$1)</f>
        <v>0</v>
      </c>
      <c r="O79" s="242">
        <f>COUNTIFS('تجربه‌گرها'!$B:$B,$A79,'تجربه‌گرها'!$F:$F,O$1)</f>
        <v>0</v>
      </c>
      <c r="P79" s="242">
        <f>COUNTIFS('تجربه‌گرها'!$B:$B,$A79,'تجربه‌گرها'!$F:$F,P$1)</f>
        <v>0</v>
      </c>
      <c r="Q79" s="242">
        <f>COUNTIFS('تجربه‌گرها'!$B:$B,$A79,'تجربه‌گرها'!$F:$F,Q$1)</f>
        <v>0</v>
      </c>
      <c r="R79" s="242">
        <f>COUNTIFS('تجربه‌گرها'!$B:$B,$A79,'تجربه‌گرها'!$F:$F,R$1)</f>
        <v>0</v>
      </c>
      <c r="S79" s="242">
        <f>COUNTIFS('تجربه‌گرها'!$B:$B,$A79,'تجربه‌گرها'!$F:$F,S$1)</f>
        <v>0</v>
      </c>
      <c r="T79" s="242">
        <f>COUNTIFS('تجربه‌گرها'!$B:$B,$A79,'تجربه‌گرها'!$F:$F,T$1)</f>
        <v>0</v>
      </c>
      <c r="U79" s="242"/>
      <c r="V79" s="242"/>
      <c r="W79" s="242"/>
      <c r="X79" s="242"/>
      <c r="Y79" s="242"/>
      <c r="Z79" s="242"/>
      <c r="AA79" s="242"/>
      <c r="AB79" s="242"/>
    </row>
    <row r="80" hidden="1">
      <c r="A80" s="244" t="s">
        <v>1285</v>
      </c>
      <c r="B80" s="245" t="str">
        <f>VLOOKUP(A80,'تجربه‌گرها'!B:C,2,FALSE())</f>
        <v>9014557156</v>
      </c>
      <c r="C80" s="242"/>
      <c r="D80" s="242">
        <f t="shared" si="1"/>
        <v>1</v>
      </c>
      <c r="E80" s="242">
        <f>COUNTIFS('تجربه‌گرها'!$B:$B,$A80,'تجربه‌گرها'!$F:$F,E$1)</f>
        <v>1</v>
      </c>
      <c r="F80" s="242">
        <f>COUNTIFS('تجربه‌گرها'!$B:$B,$A80,'تجربه‌گرها'!$F:$F,F$1)</f>
        <v>0</v>
      </c>
      <c r="G80" s="242">
        <f>COUNTIFS('تجربه‌گرها'!$B:$B,$A80,'تجربه‌گرها'!$F:$F,G$1)</f>
        <v>0</v>
      </c>
      <c r="H80" s="242">
        <f>COUNTIFS('تجربه‌گرها'!$B:$B,$A80,'تجربه‌گرها'!$F:$F,H$1)</f>
        <v>0</v>
      </c>
      <c r="I80" s="242">
        <f>COUNTIFS('تجربه‌گرها'!$B:$B,$A80,'تجربه‌گرها'!$F:$F,I$1)</f>
        <v>0</v>
      </c>
      <c r="J80" s="242">
        <f>COUNTIFS('تجربه‌گرها'!$B:$B,$A80,'تجربه‌گرها'!$F:$F,J$1)</f>
        <v>0</v>
      </c>
      <c r="K80" s="242">
        <f>COUNTIFS('تجربه‌گرها'!$B:$B,$A80,'تجربه‌گرها'!$F:$F,K$1)</f>
        <v>0</v>
      </c>
      <c r="L80" s="242">
        <f>COUNTIFS('تجربه‌گرها'!$B:$B,$A80,'تجربه‌گرها'!$F:$F,L$1)</f>
        <v>0</v>
      </c>
      <c r="M80" s="242">
        <f>COUNTIFS('تجربه‌گرها'!$B:$B,$A80,'تجربه‌گرها'!$F:$F,M$1)</f>
        <v>0</v>
      </c>
      <c r="N80" s="242">
        <f>COUNTIFS('تجربه‌گرها'!$B:$B,$A80,'تجربه‌گرها'!$F:$F,N$1)</f>
        <v>0</v>
      </c>
      <c r="O80" s="242">
        <f>COUNTIFS('تجربه‌گرها'!$B:$B,$A80,'تجربه‌گرها'!$F:$F,O$1)</f>
        <v>0</v>
      </c>
      <c r="P80" s="242">
        <f>COUNTIFS('تجربه‌گرها'!$B:$B,$A80,'تجربه‌گرها'!$F:$F,P$1)</f>
        <v>0</v>
      </c>
      <c r="Q80" s="242">
        <f>COUNTIFS('تجربه‌گرها'!$B:$B,$A80,'تجربه‌گرها'!$F:$F,Q$1)</f>
        <v>0</v>
      </c>
      <c r="R80" s="242">
        <f>COUNTIFS('تجربه‌گرها'!$B:$B,$A80,'تجربه‌گرها'!$F:$F,R$1)</f>
        <v>0</v>
      </c>
      <c r="S80" s="242">
        <f>COUNTIFS('تجربه‌گرها'!$B:$B,$A80,'تجربه‌گرها'!$F:$F,S$1)</f>
        <v>0</v>
      </c>
      <c r="T80" s="242">
        <f>COUNTIFS('تجربه‌گرها'!$B:$B,$A80,'تجربه‌گرها'!$F:$F,T$1)</f>
        <v>0</v>
      </c>
      <c r="U80" s="242"/>
      <c r="V80" s="242"/>
      <c r="W80" s="242"/>
      <c r="X80" s="242"/>
      <c r="Y80" s="242"/>
      <c r="Z80" s="242"/>
      <c r="AA80" s="242"/>
      <c r="AB80" s="242"/>
    </row>
    <row r="81" hidden="1">
      <c r="A81" s="244" t="s">
        <v>1291</v>
      </c>
      <c r="B81" s="245" t="str">
        <f>VLOOKUP(A81,'تجربه‌گرها'!B:C,2,FALSE())</f>
        <v>9379089822</v>
      </c>
      <c r="C81" s="242"/>
      <c r="D81" s="242">
        <f t="shared" si="1"/>
        <v>1</v>
      </c>
      <c r="E81" s="242">
        <f>COUNTIFS('تجربه‌گرها'!$B:$B,$A81,'تجربه‌گرها'!$F:$F,E$1)</f>
        <v>1</v>
      </c>
      <c r="F81" s="242">
        <f>COUNTIFS('تجربه‌گرها'!$B:$B,$A81,'تجربه‌گرها'!$F:$F,F$1)</f>
        <v>0</v>
      </c>
      <c r="G81" s="242">
        <f>COUNTIFS('تجربه‌گرها'!$B:$B,$A81,'تجربه‌گرها'!$F:$F,G$1)</f>
        <v>0</v>
      </c>
      <c r="H81" s="242">
        <f>COUNTIFS('تجربه‌گرها'!$B:$B,$A81,'تجربه‌گرها'!$F:$F,H$1)</f>
        <v>0</v>
      </c>
      <c r="I81" s="242">
        <f>COUNTIFS('تجربه‌گرها'!$B:$B,$A81,'تجربه‌گرها'!$F:$F,I$1)</f>
        <v>0</v>
      </c>
      <c r="J81" s="242">
        <f>COUNTIFS('تجربه‌گرها'!$B:$B,$A81,'تجربه‌گرها'!$F:$F,J$1)</f>
        <v>0</v>
      </c>
      <c r="K81" s="242">
        <f>COUNTIFS('تجربه‌گرها'!$B:$B,$A81,'تجربه‌گرها'!$F:$F,K$1)</f>
        <v>0</v>
      </c>
      <c r="L81" s="242">
        <f>COUNTIFS('تجربه‌گرها'!$B:$B,$A81,'تجربه‌گرها'!$F:$F,L$1)</f>
        <v>0</v>
      </c>
      <c r="M81" s="242">
        <f>COUNTIFS('تجربه‌گرها'!$B:$B,$A81,'تجربه‌گرها'!$F:$F,M$1)</f>
        <v>0</v>
      </c>
      <c r="N81" s="242">
        <f>COUNTIFS('تجربه‌گرها'!$B:$B,$A81,'تجربه‌گرها'!$F:$F,N$1)</f>
        <v>0</v>
      </c>
      <c r="O81" s="242">
        <f>COUNTIFS('تجربه‌گرها'!$B:$B,$A81,'تجربه‌گرها'!$F:$F,O$1)</f>
        <v>0</v>
      </c>
      <c r="P81" s="242">
        <f>COUNTIFS('تجربه‌گرها'!$B:$B,$A81,'تجربه‌گرها'!$F:$F,P$1)</f>
        <v>0</v>
      </c>
      <c r="Q81" s="242">
        <f>COUNTIFS('تجربه‌گرها'!$B:$B,$A81,'تجربه‌گرها'!$F:$F,Q$1)</f>
        <v>0</v>
      </c>
      <c r="R81" s="242">
        <f>COUNTIFS('تجربه‌گرها'!$B:$B,$A81,'تجربه‌گرها'!$F:$F,R$1)</f>
        <v>0</v>
      </c>
      <c r="S81" s="242">
        <f>COUNTIFS('تجربه‌گرها'!$B:$B,$A81,'تجربه‌گرها'!$F:$F,S$1)</f>
        <v>0</v>
      </c>
      <c r="T81" s="242">
        <f>COUNTIFS('تجربه‌گرها'!$B:$B,$A81,'تجربه‌گرها'!$F:$F,T$1)</f>
        <v>0</v>
      </c>
      <c r="U81" s="242"/>
      <c r="V81" s="242"/>
      <c r="W81" s="242"/>
      <c r="X81" s="242"/>
      <c r="Y81" s="242"/>
      <c r="Z81" s="242"/>
      <c r="AA81" s="242"/>
      <c r="AB81" s="242"/>
    </row>
    <row r="82" hidden="1">
      <c r="A82" s="244" t="s">
        <v>1298</v>
      </c>
      <c r="B82" s="245" t="str">
        <f>VLOOKUP(A82,'تجربه‌گرها'!B:C,2,FALSE())</f>
        <v>9356584946</v>
      </c>
      <c r="C82" s="242"/>
      <c r="D82" s="242">
        <f t="shared" si="1"/>
        <v>1</v>
      </c>
      <c r="E82" s="242">
        <f>COUNTIFS('تجربه‌گرها'!$B:$B,$A82,'تجربه‌گرها'!$F:$F,E$1)</f>
        <v>1</v>
      </c>
      <c r="F82" s="242">
        <f>COUNTIFS('تجربه‌گرها'!$B:$B,$A82,'تجربه‌گرها'!$F:$F,F$1)</f>
        <v>0</v>
      </c>
      <c r="G82" s="242">
        <f>COUNTIFS('تجربه‌گرها'!$B:$B,$A82,'تجربه‌گرها'!$F:$F,G$1)</f>
        <v>0</v>
      </c>
      <c r="H82" s="242">
        <f>COUNTIFS('تجربه‌گرها'!$B:$B,$A82,'تجربه‌گرها'!$F:$F,H$1)</f>
        <v>0</v>
      </c>
      <c r="I82" s="242">
        <f>COUNTIFS('تجربه‌گرها'!$B:$B,$A82,'تجربه‌گرها'!$F:$F,I$1)</f>
        <v>0</v>
      </c>
      <c r="J82" s="242">
        <f>COUNTIFS('تجربه‌گرها'!$B:$B,$A82,'تجربه‌گرها'!$F:$F,J$1)</f>
        <v>0</v>
      </c>
      <c r="K82" s="242">
        <f>COUNTIFS('تجربه‌گرها'!$B:$B,$A82,'تجربه‌گرها'!$F:$F,K$1)</f>
        <v>0</v>
      </c>
      <c r="L82" s="242">
        <f>COUNTIFS('تجربه‌گرها'!$B:$B,$A82,'تجربه‌گرها'!$F:$F,L$1)</f>
        <v>0</v>
      </c>
      <c r="M82" s="242">
        <f>COUNTIFS('تجربه‌گرها'!$B:$B,$A82,'تجربه‌گرها'!$F:$F,M$1)</f>
        <v>0</v>
      </c>
      <c r="N82" s="242">
        <f>COUNTIFS('تجربه‌گرها'!$B:$B,$A82,'تجربه‌گرها'!$F:$F,N$1)</f>
        <v>0</v>
      </c>
      <c r="O82" s="242">
        <f>COUNTIFS('تجربه‌گرها'!$B:$B,$A82,'تجربه‌گرها'!$F:$F,O$1)</f>
        <v>0</v>
      </c>
      <c r="P82" s="242">
        <f>COUNTIFS('تجربه‌گرها'!$B:$B,$A82,'تجربه‌گرها'!$F:$F,P$1)</f>
        <v>0</v>
      </c>
      <c r="Q82" s="242">
        <f>COUNTIFS('تجربه‌گرها'!$B:$B,$A82,'تجربه‌گرها'!$F:$F,Q$1)</f>
        <v>0</v>
      </c>
      <c r="R82" s="242">
        <f>COUNTIFS('تجربه‌گرها'!$B:$B,$A82,'تجربه‌گرها'!$F:$F,R$1)</f>
        <v>0</v>
      </c>
      <c r="S82" s="242">
        <f>COUNTIFS('تجربه‌گرها'!$B:$B,$A82,'تجربه‌گرها'!$F:$F,S$1)</f>
        <v>0</v>
      </c>
      <c r="T82" s="242">
        <f>COUNTIFS('تجربه‌گرها'!$B:$B,$A82,'تجربه‌گرها'!$F:$F,T$1)</f>
        <v>0</v>
      </c>
      <c r="U82" s="242"/>
      <c r="V82" s="242"/>
      <c r="W82" s="242"/>
      <c r="X82" s="242"/>
      <c r="Y82" s="242"/>
      <c r="Z82" s="242"/>
      <c r="AA82" s="242"/>
      <c r="AB82" s="242"/>
    </row>
    <row r="83" hidden="1">
      <c r="A83" s="244" t="s">
        <v>1306</v>
      </c>
      <c r="B83" s="245" t="str">
        <f>VLOOKUP(A83,'تجربه‌گرها'!B:C,2,FALSE())</f>
        <v/>
      </c>
      <c r="C83" s="242"/>
      <c r="D83" s="242">
        <f t="shared" si="1"/>
        <v>1</v>
      </c>
      <c r="E83" s="242">
        <f>COUNTIFS('تجربه‌گرها'!$B:$B,$A83,'تجربه‌گرها'!$F:$F,E$1)</f>
        <v>1</v>
      </c>
      <c r="F83" s="242">
        <f>COUNTIFS('تجربه‌گرها'!$B:$B,$A83,'تجربه‌گرها'!$F:$F,F$1)</f>
        <v>0</v>
      </c>
      <c r="G83" s="242">
        <f>COUNTIFS('تجربه‌گرها'!$B:$B,$A83,'تجربه‌گرها'!$F:$F,G$1)</f>
        <v>0</v>
      </c>
      <c r="H83" s="242">
        <f>COUNTIFS('تجربه‌گرها'!$B:$B,$A83,'تجربه‌گرها'!$F:$F,H$1)</f>
        <v>0</v>
      </c>
      <c r="I83" s="242">
        <f>COUNTIFS('تجربه‌گرها'!$B:$B,$A83,'تجربه‌گرها'!$F:$F,I$1)</f>
        <v>0</v>
      </c>
      <c r="J83" s="242">
        <f>COUNTIFS('تجربه‌گرها'!$B:$B,$A83,'تجربه‌گرها'!$F:$F,J$1)</f>
        <v>0</v>
      </c>
      <c r="K83" s="242">
        <f>COUNTIFS('تجربه‌گرها'!$B:$B,$A83,'تجربه‌گرها'!$F:$F,K$1)</f>
        <v>0</v>
      </c>
      <c r="L83" s="242">
        <f>COUNTIFS('تجربه‌گرها'!$B:$B,$A83,'تجربه‌گرها'!$F:$F,L$1)</f>
        <v>0</v>
      </c>
      <c r="M83" s="242">
        <f>COUNTIFS('تجربه‌گرها'!$B:$B,$A83,'تجربه‌گرها'!$F:$F,M$1)</f>
        <v>0</v>
      </c>
      <c r="N83" s="242">
        <f>COUNTIFS('تجربه‌گرها'!$B:$B,$A83,'تجربه‌گرها'!$F:$F,N$1)</f>
        <v>0</v>
      </c>
      <c r="O83" s="242">
        <f>COUNTIFS('تجربه‌گرها'!$B:$B,$A83,'تجربه‌گرها'!$F:$F,O$1)</f>
        <v>0</v>
      </c>
      <c r="P83" s="242">
        <f>COUNTIFS('تجربه‌گرها'!$B:$B,$A83,'تجربه‌گرها'!$F:$F,P$1)</f>
        <v>0</v>
      </c>
      <c r="Q83" s="242">
        <f>COUNTIFS('تجربه‌گرها'!$B:$B,$A83,'تجربه‌گرها'!$F:$F,Q$1)</f>
        <v>0</v>
      </c>
      <c r="R83" s="242">
        <f>COUNTIFS('تجربه‌گرها'!$B:$B,$A83,'تجربه‌گرها'!$F:$F,R$1)</f>
        <v>0</v>
      </c>
      <c r="S83" s="242">
        <f>COUNTIFS('تجربه‌گرها'!$B:$B,$A83,'تجربه‌گرها'!$F:$F,S$1)</f>
        <v>0</v>
      </c>
      <c r="T83" s="242">
        <f>COUNTIFS('تجربه‌گرها'!$B:$B,$A83,'تجربه‌گرها'!$F:$F,T$1)</f>
        <v>0</v>
      </c>
      <c r="U83" s="242"/>
      <c r="V83" s="242"/>
      <c r="W83" s="242"/>
      <c r="X83" s="242"/>
      <c r="Y83" s="242"/>
      <c r="Z83" s="242"/>
      <c r="AA83" s="242"/>
      <c r="AB83" s="242"/>
    </row>
    <row r="84" hidden="1">
      <c r="A84" s="244" t="s">
        <v>1310</v>
      </c>
      <c r="B84" s="245" t="str">
        <f>VLOOKUP(A84,'تجربه‌گرها'!B:C,2,FALSE())</f>
        <v>9194203646</v>
      </c>
      <c r="C84" s="242"/>
      <c r="D84" s="242">
        <f t="shared" si="1"/>
        <v>1</v>
      </c>
      <c r="E84" s="242">
        <f>COUNTIFS('تجربه‌گرها'!$B:$B,$A84,'تجربه‌گرها'!$F:$F,E$1)</f>
        <v>1</v>
      </c>
      <c r="F84" s="242">
        <f>COUNTIFS('تجربه‌گرها'!$B:$B,$A84,'تجربه‌گرها'!$F:$F,F$1)</f>
        <v>0</v>
      </c>
      <c r="G84" s="242">
        <f>COUNTIFS('تجربه‌گرها'!$B:$B,$A84,'تجربه‌گرها'!$F:$F,G$1)</f>
        <v>0</v>
      </c>
      <c r="H84" s="242">
        <f>COUNTIFS('تجربه‌گرها'!$B:$B,$A84,'تجربه‌گرها'!$F:$F,H$1)</f>
        <v>0</v>
      </c>
      <c r="I84" s="242">
        <f>COUNTIFS('تجربه‌گرها'!$B:$B,$A84,'تجربه‌گرها'!$F:$F,I$1)</f>
        <v>0</v>
      </c>
      <c r="J84" s="242">
        <f>COUNTIFS('تجربه‌گرها'!$B:$B,$A84,'تجربه‌گرها'!$F:$F,J$1)</f>
        <v>0</v>
      </c>
      <c r="K84" s="242">
        <f>COUNTIFS('تجربه‌گرها'!$B:$B,$A84,'تجربه‌گرها'!$F:$F,K$1)</f>
        <v>0</v>
      </c>
      <c r="L84" s="242">
        <f>COUNTIFS('تجربه‌گرها'!$B:$B,$A84,'تجربه‌گرها'!$F:$F,L$1)</f>
        <v>0</v>
      </c>
      <c r="M84" s="242">
        <f>COUNTIFS('تجربه‌گرها'!$B:$B,$A84,'تجربه‌گرها'!$F:$F,M$1)</f>
        <v>0</v>
      </c>
      <c r="N84" s="242">
        <f>COUNTIFS('تجربه‌گرها'!$B:$B,$A84,'تجربه‌گرها'!$F:$F,N$1)</f>
        <v>0</v>
      </c>
      <c r="O84" s="242">
        <f>COUNTIFS('تجربه‌گرها'!$B:$B,$A84,'تجربه‌گرها'!$F:$F,O$1)</f>
        <v>0</v>
      </c>
      <c r="P84" s="242">
        <f>COUNTIFS('تجربه‌گرها'!$B:$B,$A84,'تجربه‌گرها'!$F:$F,P$1)</f>
        <v>0</v>
      </c>
      <c r="Q84" s="242">
        <f>COUNTIFS('تجربه‌گرها'!$B:$B,$A84,'تجربه‌گرها'!$F:$F,Q$1)</f>
        <v>0</v>
      </c>
      <c r="R84" s="242">
        <f>COUNTIFS('تجربه‌گرها'!$B:$B,$A84,'تجربه‌گرها'!$F:$F,R$1)</f>
        <v>0</v>
      </c>
      <c r="S84" s="242">
        <f>COUNTIFS('تجربه‌گرها'!$B:$B,$A84,'تجربه‌گرها'!$F:$F,S$1)</f>
        <v>0</v>
      </c>
      <c r="T84" s="242">
        <f>COUNTIFS('تجربه‌گرها'!$B:$B,$A84,'تجربه‌گرها'!$F:$F,T$1)</f>
        <v>0</v>
      </c>
      <c r="U84" s="242"/>
      <c r="V84" s="242"/>
      <c r="W84" s="242"/>
      <c r="X84" s="242"/>
      <c r="Y84" s="242"/>
      <c r="Z84" s="242"/>
      <c r="AA84" s="242"/>
      <c r="AB84" s="242"/>
    </row>
    <row r="85" hidden="1">
      <c r="A85" s="244" t="s">
        <v>1316</v>
      </c>
      <c r="B85" s="245" t="str">
        <f>VLOOKUP(A85,'تجربه‌گرها'!B:C,2,FALSE())</f>
        <v>9334260133</v>
      </c>
      <c r="C85" s="242"/>
      <c r="D85" s="242">
        <f t="shared" si="1"/>
        <v>1</v>
      </c>
      <c r="E85" s="242">
        <f>COUNTIFS('تجربه‌گرها'!$B:$B,$A85,'تجربه‌گرها'!$F:$F,E$1)</f>
        <v>1</v>
      </c>
      <c r="F85" s="242">
        <f>COUNTIFS('تجربه‌گرها'!$B:$B,$A85,'تجربه‌گرها'!$F:$F,F$1)</f>
        <v>0</v>
      </c>
      <c r="G85" s="242">
        <f>COUNTIFS('تجربه‌گرها'!$B:$B,$A85,'تجربه‌گرها'!$F:$F,G$1)</f>
        <v>0</v>
      </c>
      <c r="H85" s="242">
        <f>COUNTIFS('تجربه‌گرها'!$B:$B,$A85,'تجربه‌گرها'!$F:$F,H$1)</f>
        <v>0</v>
      </c>
      <c r="I85" s="242">
        <f>COUNTIFS('تجربه‌گرها'!$B:$B,$A85,'تجربه‌گرها'!$F:$F,I$1)</f>
        <v>0</v>
      </c>
      <c r="J85" s="242">
        <f>COUNTIFS('تجربه‌گرها'!$B:$B,$A85,'تجربه‌گرها'!$F:$F,J$1)</f>
        <v>0</v>
      </c>
      <c r="K85" s="242">
        <f>COUNTIFS('تجربه‌گرها'!$B:$B,$A85,'تجربه‌گرها'!$F:$F,K$1)</f>
        <v>0</v>
      </c>
      <c r="L85" s="242">
        <f>COUNTIFS('تجربه‌گرها'!$B:$B,$A85,'تجربه‌گرها'!$F:$F,L$1)</f>
        <v>0</v>
      </c>
      <c r="M85" s="242">
        <f>COUNTIFS('تجربه‌گرها'!$B:$B,$A85,'تجربه‌گرها'!$F:$F,M$1)</f>
        <v>0</v>
      </c>
      <c r="N85" s="242">
        <f>COUNTIFS('تجربه‌گرها'!$B:$B,$A85,'تجربه‌گرها'!$F:$F,N$1)</f>
        <v>0</v>
      </c>
      <c r="O85" s="242">
        <f>COUNTIFS('تجربه‌گرها'!$B:$B,$A85,'تجربه‌گرها'!$F:$F,O$1)</f>
        <v>0</v>
      </c>
      <c r="P85" s="242">
        <f>COUNTIFS('تجربه‌گرها'!$B:$B,$A85,'تجربه‌گرها'!$F:$F,P$1)</f>
        <v>0</v>
      </c>
      <c r="Q85" s="242">
        <f>COUNTIFS('تجربه‌گرها'!$B:$B,$A85,'تجربه‌گرها'!$F:$F,Q$1)</f>
        <v>0</v>
      </c>
      <c r="R85" s="242">
        <f>COUNTIFS('تجربه‌گرها'!$B:$B,$A85,'تجربه‌گرها'!$F:$F,R$1)</f>
        <v>0</v>
      </c>
      <c r="S85" s="242">
        <f>COUNTIFS('تجربه‌گرها'!$B:$B,$A85,'تجربه‌گرها'!$F:$F,S$1)</f>
        <v>0</v>
      </c>
      <c r="T85" s="242">
        <f>COUNTIFS('تجربه‌گرها'!$B:$B,$A85,'تجربه‌گرها'!$F:$F,T$1)</f>
        <v>0</v>
      </c>
      <c r="U85" s="242"/>
      <c r="V85" s="242"/>
      <c r="W85" s="242"/>
      <c r="X85" s="242"/>
      <c r="Y85" s="242"/>
      <c r="Z85" s="242"/>
      <c r="AA85" s="242"/>
      <c r="AB85" s="242"/>
    </row>
    <row r="86" hidden="1">
      <c r="A86" s="244" t="s">
        <v>1324</v>
      </c>
      <c r="B86" s="245" t="str">
        <f>VLOOKUP(A86,'تجربه‌گرها'!B:C,2,FALSE())</f>
        <v/>
      </c>
      <c r="C86" s="242"/>
      <c r="D86" s="242">
        <f t="shared" si="1"/>
        <v>1</v>
      </c>
      <c r="E86" s="242">
        <f>COUNTIFS('تجربه‌گرها'!$B:$B,$A86,'تجربه‌گرها'!$F:$F,E$1)</f>
        <v>1</v>
      </c>
      <c r="F86" s="242">
        <f>COUNTIFS('تجربه‌گرها'!$B:$B,$A86,'تجربه‌گرها'!$F:$F,F$1)</f>
        <v>0</v>
      </c>
      <c r="G86" s="242">
        <f>COUNTIFS('تجربه‌گرها'!$B:$B,$A86,'تجربه‌گرها'!$F:$F,G$1)</f>
        <v>0</v>
      </c>
      <c r="H86" s="242">
        <f>COUNTIFS('تجربه‌گرها'!$B:$B,$A86,'تجربه‌گرها'!$F:$F,H$1)</f>
        <v>0</v>
      </c>
      <c r="I86" s="242">
        <f>COUNTIFS('تجربه‌گرها'!$B:$B,$A86,'تجربه‌گرها'!$F:$F,I$1)</f>
        <v>0</v>
      </c>
      <c r="J86" s="242">
        <f>COUNTIFS('تجربه‌گرها'!$B:$B,$A86,'تجربه‌گرها'!$F:$F,J$1)</f>
        <v>0</v>
      </c>
      <c r="K86" s="242">
        <f>COUNTIFS('تجربه‌گرها'!$B:$B,$A86,'تجربه‌گرها'!$F:$F,K$1)</f>
        <v>0</v>
      </c>
      <c r="L86" s="242">
        <f>COUNTIFS('تجربه‌گرها'!$B:$B,$A86,'تجربه‌گرها'!$F:$F,L$1)</f>
        <v>0</v>
      </c>
      <c r="M86" s="242">
        <f>COUNTIFS('تجربه‌گرها'!$B:$B,$A86,'تجربه‌گرها'!$F:$F,M$1)</f>
        <v>0</v>
      </c>
      <c r="N86" s="242">
        <f>COUNTIFS('تجربه‌گرها'!$B:$B,$A86,'تجربه‌گرها'!$F:$F,N$1)</f>
        <v>0</v>
      </c>
      <c r="O86" s="242">
        <f>COUNTIFS('تجربه‌گرها'!$B:$B,$A86,'تجربه‌گرها'!$F:$F,O$1)</f>
        <v>0</v>
      </c>
      <c r="P86" s="242">
        <f>COUNTIFS('تجربه‌گرها'!$B:$B,$A86,'تجربه‌گرها'!$F:$F,P$1)</f>
        <v>0</v>
      </c>
      <c r="Q86" s="242">
        <f>COUNTIFS('تجربه‌گرها'!$B:$B,$A86,'تجربه‌گرها'!$F:$F,Q$1)</f>
        <v>0</v>
      </c>
      <c r="R86" s="242">
        <f>COUNTIFS('تجربه‌گرها'!$B:$B,$A86,'تجربه‌گرها'!$F:$F,R$1)</f>
        <v>0</v>
      </c>
      <c r="S86" s="242">
        <f>COUNTIFS('تجربه‌گرها'!$B:$B,$A86,'تجربه‌گرها'!$F:$F,S$1)</f>
        <v>0</v>
      </c>
      <c r="T86" s="242">
        <f>COUNTIFS('تجربه‌گرها'!$B:$B,$A86,'تجربه‌گرها'!$F:$F,T$1)</f>
        <v>0</v>
      </c>
      <c r="U86" s="242"/>
      <c r="V86" s="242"/>
      <c r="W86" s="242"/>
      <c r="X86" s="242"/>
      <c r="Y86" s="242"/>
      <c r="Z86" s="242"/>
      <c r="AA86" s="242"/>
      <c r="AB86" s="242"/>
    </row>
    <row r="87">
      <c r="A87" s="244" t="s">
        <v>1329</v>
      </c>
      <c r="B87" s="245" t="str">
        <f>VLOOKUP(A87,'تجربه‌گرها'!B:C,2,FALSE())</f>
        <v>9122115049</v>
      </c>
      <c r="C87" s="242"/>
      <c r="D87" s="242">
        <f t="shared" si="1"/>
        <v>2</v>
      </c>
      <c r="E87" s="242">
        <f>COUNTIFS('تجربه‌گرها'!$B:$B,$A87,'تجربه‌گرها'!$F:$F,E$1)</f>
        <v>1</v>
      </c>
      <c r="F87" s="242">
        <f>COUNTIFS('تجربه‌گرها'!$B:$B,$A87,'تجربه‌گرها'!$F:$F,F$1)</f>
        <v>1</v>
      </c>
      <c r="G87" s="242">
        <f>COUNTIFS('تجربه‌گرها'!$B:$B,$A87,'تجربه‌گرها'!$F:$F,G$1)</f>
        <v>0</v>
      </c>
      <c r="H87" s="242">
        <f>COUNTIFS('تجربه‌گرها'!$B:$B,$A87,'تجربه‌گرها'!$F:$F,H$1)</f>
        <v>0</v>
      </c>
      <c r="I87" s="242">
        <f>COUNTIFS('تجربه‌گرها'!$B:$B,$A87,'تجربه‌گرها'!$F:$F,I$1)</f>
        <v>0</v>
      </c>
      <c r="J87" s="242">
        <f>COUNTIFS('تجربه‌گرها'!$B:$B,$A87,'تجربه‌گرها'!$F:$F,J$1)</f>
        <v>0</v>
      </c>
      <c r="K87" s="242">
        <f>COUNTIFS('تجربه‌گرها'!$B:$B,$A87,'تجربه‌گرها'!$F:$F,K$1)</f>
        <v>0</v>
      </c>
      <c r="L87" s="242">
        <f>COUNTIFS('تجربه‌گرها'!$B:$B,$A87,'تجربه‌گرها'!$F:$F,L$1)</f>
        <v>0</v>
      </c>
      <c r="M87" s="242">
        <f>COUNTIFS('تجربه‌گرها'!$B:$B,$A87,'تجربه‌گرها'!$F:$F,M$1)</f>
        <v>0</v>
      </c>
      <c r="N87" s="242">
        <f>COUNTIFS('تجربه‌گرها'!$B:$B,$A87,'تجربه‌گرها'!$F:$F,N$1)</f>
        <v>0</v>
      </c>
      <c r="O87" s="242">
        <f>COUNTIFS('تجربه‌گرها'!$B:$B,$A87,'تجربه‌گرها'!$F:$F,O$1)</f>
        <v>0</v>
      </c>
      <c r="P87" s="242">
        <f>COUNTIFS('تجربه‌گرها'!$B:$B,$A87,'تجربه‌گرها'!$F:$F,P$1)</f>
        <v>0</v>
      </c>
      <c r="Q87" s="242">
        <f>COUNTIFS('تجربه‌گرها'!$B:$B,$A87,'تجربه‌گرها'!$F:$F,Q$1)</f>
        <v>0</v>
      </c>
      <c r="R87" s="242">
        <f>COUNTIFS('تجربه‌گرها'!$B:$B,$A87,'تجربه‌گرها'!$F:$F,R$1)</f>
        <v>0</v>
      </c>
      <c r="S87" s="242">
        <f>COUNTIFS('تجربه‌گرها'!$B:$B,$A87,'تجربه‌گرها'!$F:$F,S$1)</f>
        <v>0</v>
      </c>
      <c r="T87" s="242">
        <f>COUNTIFS('تجربه‌گرها'!$B:$B,$A87,'تجربه‌گرها'!$F:$F,T$1)</f>
        <v>0</v>
      </c>
      <c r="U87" s="242"/>
      <c r="V87" s="242"/>
      <c r="W87" s="242"/>
      <c r="X87" s="242"/>
      <c r="Y87" s="242"/>
      <c r="Z87" s="242"/>
      <c r="AA87" s="242"/>
      <c r="AB87" s="242"/>
    </row>
    <row r="88" hidden="1">
      <c r="A88" s="244" t="s">
        <v>1335</v>
      </c>
      <c r="B88" s="245" t="str">
        <f>VLOOKUP(A88,'تجربه‌گرها'!B:C,2,FALSE())</f>
        <v>#N/A</v>
      </c>
      <c r="C88" s="242"/>
      <c r="D88" s="242">
        <f t="shared" si="1"/>
        <v>1</v>
      </c>
      <c r="E88" s="242">
        <f>COUNTIFS('تجربه‌گرها'!$B:$B,$A88,'تجربه‌گرها'!$F:$F,E$1)</f>
        <v>1</v>
      </c>
      <c r="F88" s="242">
        <f>COUNTIFS('تجربه‌گرها'!$B:$B,$A88,'تجربه‌گرها'!$F:$F,F$1)</f>
        <v>0</v>
      </c>
      <c r="G88" s="242">
        <f>COUNTIFS('تجربه‌گرها'!$B:$B,$A88,'تجربه‌گرها'!$F:$F,G$1)</f>
        <v>0</v>
      </c>
      <c r="H88" s="242">
        <f>COUNTIFS('تجربه‌گرها'!$B:$B,$A88,'تجربه‌گرها'!$F:$F,H$1)</f>
        <v>0</v>
      </c>
      <c r="I88" s="242">
        <f>COUNTIFS('تجربه‌گرها'!$B:$B,$A88,'تجربه‌گرها'!$F:$F,I$1)</f>
        <v>0</v>
      </c>
      <c r="J88" s="242">
        <f>COUNTIFS('تجربه‌گرها'!$B:$B,$A88,'تجربه‌گرها'!$F:$F,J$1)</f>
        <v>0</v>
      </c>
      <c r="K88" s="242">
        <f>COUNTIFS('تجربه‌گرها'!$B:$B,$A88,'تجربه‌گرها'!$F:$F,K$1)</f>
        <v>0</v>
      </c>
      <c r="L88" s="242">
        <f>COUNTIFS('تجربه‌گرها'!$B:$B,$A88,'تجربه‌گرها'!$F:$F,L$1)</f>
        <v>0</v>
      </c>
      <c r="M88" s="242">
        <f>COUNTIFS('تجربه‌گرها'!$B:$B,$A88,'تجربه‌گرها'!$F:$F,M$1)</f>
        <v>0</v>
      </c>
      <c r="N88" s="242">
        <f>COUNTIFS('تجربه‌گرها'!$B:$B,$A88,'تجربه‌گرها'!$F:$F,N$1)</f>
        <v>0</v>
      </c>
      <c r="O88" s="242">
        <f>COUNTIFS('تجربه‌گرها'!$B:$B,$A88,'تجربه‌گرها'!$F:$F,O$1)</f>
        <v>0</v>
      </c>
      <c r="P88" s="242">
        <f>COUNTIFS('تجربه‌گرها'!$B:$B,$A88,'تجربه‌گرها'!$F:$F,P$1)</f>
        <v>0</v>
      </c>
      <c r="Q88" s="242">
        <f>COUNTIFS('تجربه‌گرها'!$B:$B,$A88,'تجربه‌گرها'!$F:$F,Q$1)</f>
        <v>0</v>
      </c>
      <c r="R88" s="242">
        <f>COUNTIFS('تجربه‌گرها'!$B:$B,$A88,'تجربه‌گرها'!$F:$F,R$1)</f>
        <v>0</v>
      </c>
      <c r="S88" s="242">
        <f>COUNTIFS('تجربه‌گرها'!$B:$B,$A88,'تجربه‌گرها'!$F:$F,S$1)</f>
        <v>0</v>
      </c>
      <c r="T88" s="242">
        <f>COUNTIFS('تجربه‌گرها'!$B:$B,$A88,'تجربه‌گرها'!$F:$F,T$1)</f>
        <v>0</v>
      </c>
      <c r="U88" s="242"/>
      <c r="V88" s="242"/>
      <c r="W88" s="242"/>
      <c r="X88" s="242"/>
      <c r="Y88" s="242"/>
      <c r="Z88" s="242"/>
      <c r="AA88" s="242"/>
      <c r="AB88" s="242"/>
    </row>
    <row r="89" hidden="1">
      <c r="A89" s="244" t="s">
        <v>1342</v>
      </c>
      <c r="B89" s="245" t="str">
        <f>VLOOKUP(A89,'تجربه‌گرها'!B:C,2,FALSE())</f>
        <v>9224830197</v>
      </c>
      <c r="C89" s="242"/>
      <c r="D89" s="242">
        <f t="shared" si="1"/>
        <v>4</v>
      </c>
      <c r="E89" s="242">
        <f>COUNTIFS('تجربه‌گرها'!$B:$B,$A89,'تجربه‌گرها'!$F:$F,E$1)</f>
        <v>1</v>
      </c>
      <c r="F89" s="242">
        <f>COUNTIFS('تجربه‌گرها'!$B:$B,$A89,'تجربه‌گرها'!$F:$F,F$1)</f>
        <v>1</v>
      </c>
      <c r="G89" s="242">
        <f>COUNTIFS('تجربه‌گرها'!$B:$B,$A89,'تجربه‌گرها'!$F:$F,G$1)</f>
        <v>0</v>
      </c>
      <c r="H89" s="242">
        <f>COUNTIFS('تجربه‌گرها'!$B:$B,$A89,'تجربه‌گرها'!$F:$F,H$1)</f>
        <v>0</v>
      </c>
      <c r="I89" s="242">
        <f>COUNTIFS('تجربه‌گرها'!$B:$B,$A89,'تجربه‌گرها'!$F:$F,I$1)</f>
        <v>0</v>
      </c>
      <c r="J89" s="242">
        <f>COUNTIFS('تجربه‌گرها'!$B:$B,$A89,'تجربه‌گرها'!$F:$F,J$1)</f>
        <v>0</v>
      </c>
      <c r="K89" s="242">
        <f>COUNTIFS('تجربه‌گرها'!$B:$B,$A89,'تجربه‌گرها'!$F:$F,K$1)</f>
        <v>0</v>
      </c>
      <c r="L89" s="242">
        <f>COUNTIFS('تجربه‌گرها'!$B:$B,$A89,'تجربه‌گرها'!$F:$F,L$1)</f>
        <v>0</v>
      </c>
      <c r="M89" s="242">
        <f>COUNTIFS('تجربه‌گرها'!$B:$B,$A89,'تجربه‌گرها'!$F:$F,M$1)</f>
        <v>1</v>
      </c>
      <c r="N89" s="242">
        <f>COUNTIFS('تجربه‌گرها'!$B:$B,$A89,'تجربه‌گرها'!$F:$F,N$1)</f>
        <v>1</v>
      </c>
      <c r="O89" s="242">
        <f>COUNTIFS('تجربه‌گرها'!$B:$B,$A89,'تجربه‌گرها'!$F:$F,O$1)</f>
        <v>0</v>
      </c>
      <c r="P89" s="242">
        <f>COUNTIFS('تجربه‌گرها'!$B:$B,$A89,'تجربه‌گرها'!$F:$F,P$1)</f>
        <v>0</v>
      </c>
      <c r="Q89" s="242">
        <f>COUNTIFS('تجربه‌گرها'!$B:$B,$A89,'تجربه‌گرها'!$F:$F,Q$1)</f>
        <v>0</v>
      </c>
      <c r="R89" s="242">
        <f>COUNTIFS('تجربه‌گرها'!$B:$B,$A89,'تجربه‌گرها'!$F:$F,R$1)</f>
        <v>0</v>
      </c>
      <c r="S89" s="242">
        <f>COUNTIFS('تجربه‌گرها'!$B:$B,$A89,'تجربه‌گرها'!$F:$F,S$1)</f>
        <v>0</v>
      </c>
      <c r="T89" s="242">
        <f>COUNTIFS('تجربه‌گرها'!$B:$B,$A89,'تجربه‌گرها'!$F:$F,T$1)</f>
        <v>0</v>
      </c>
      <c r="U89" s="242"/>
      <c r="V89" s="242"/>
      <c r="W89" s="242"/>
      <c r="X89" s="242"/>
      <c r="Y89" s="242"/>
      <c r="Z89" s="242"/>
      <c r="AA89" s="242"/>
      <c r="AB89" s="242"/>
    </row>
    <row r="90">
      <c r="A90" s="244" t="s">
        <v>1348</v>
      </c>
      <c r="B90" s="245" t="str">
        <f>VLOOKUP(A90,'تجربه‌گرها'!B:C,2,FALSE())</f>
        <v>#N/A</v>
      </c>
      <c r="C90" s="242"/>
      <c r="D90" s="242">
        <f t="shared" si="1"/>
        <v>2</v>
      </c>
      <c r="E90" s="242">
        <f>COUNTIFS('تجربه‌گرها'!$B:$B,$A90,'تجربه‌گرها'!$F:$F,E$1)</f>
        <v>1</v>
      </c>
      <c r="F90" s="242">
        <f>COUNTIFS('تجربه‌گرها'!$B:$B,$A90,'تجربه‌گرها'!$F:$F,F$1)</f>
        <v>1</v>
      </c>
      <c r="G90" s="242">
        <f>COUNTIFS('تجربه‌گرها'!$B:$B,$A90,'تجربه‌گرها'!$F:$F,G$1)</f>
        <v>0</v>
      </c>
      <c r="H90" s="242">
        <f>COUNTIFS('تجربه‌گرها'!$B:$B,$A90,'تجربه‌گرها'!$F:$F,H$1)</f>
        <v>0</v>
      </c>
      <c r="I90" s="242">
        <f>COUNTIFS('تجربه‌گرها'!$B:$B,$A90,'تجربه‌گرها'!$F:$F,I$1)</f>
        <v>0</v>
      </c>
      <c r="J90" s="242">
        <f>COUNTIFS('تجربه‌گرها'!$B:$B,$A90,'تجربه‌گرها'!$F:$F,J$1)</f>
        <v>0</v>
      </c>
      <c r="K90" s="242">
        <f>COUNTIFS('تجربه‌گرها'!$B:$B,$A90,'تجربه‌گرها'!$F:$F,K$1)</f>
        <v>0</v>
      </c>
      <c r="L90" s="242">
        <f>COUNTIFS('تجربه‌گرها'!$B:$B,$A90,'تجربه‌گرها'!$F:$F,L$1)</f>
        <v>0</v>
      </c>
      <c r="M90" s="242">
        <f>COUNTIFS('تجربه‌گرها'!$B:$B,$A90,'تجربه‌گرها'!$F:$F,M$1)</f>
        <v>0</v>
      </c>
      <c r="N90" s="242">
        <f>COUNTIFS('تجربه‌گرها'!$B:$B,$A90,'تجربه‌گرها'!$F:$F,N$1)</f>
        <v>0</v>
      </c>
      <c r="O90" s="242">
        <f>COUNTIFS('تجربه‌گرها'!$B:$B,$A90,'تجربه‌گرها'!$F:$F,O$1)</f>
        <v>0</v>
      </c>
      <c r="P90" s="242">
        <f>COUNTIFS('تجربه‌گرها'!$B:$B,$A90,'تجربه‌گرها'!$F:$F,P$1)</f>
        <v>0</v>
      </c>
      <c r="Q90" s="242">
        <f>COUNTIFS('تجربه‌گرها'!$B:$B,$A90,'تجربه‌گرها'!$F:$F,Q$1)</f>
        <v>0</v>
      </c>
      <c r="R90" s="242">
        <f>COUNTIFS('تجربه‌گرها'!$B:$B,$A90,'تجربه‌گرها'!$F:$F,R$1)</f>
        <v>0</v>
      </c>
      <c r="S90" s="242">
        <f>COUNTIFS('تجربه‌گرها'!$B:$B,$A90,'تجربه‌گرها'!$F:$F,S$1)</f>
        <v>0</v>
      </c>
      <c r="T90" s="242">
        <f>COUNTIFS('تجربه‌گرها'!$B:$B,$A90,'تجربه‌گرها'!$F:$F,T$1)</f>
        <v>0</v>
      </c>
      <c r="U90" s="242"/>
      <c r="V90" s="242"/>
      <c r="W90" s="242"/>
      <c r="X90" s="242"/>
      <c r="Y90" s="242"/>
      <c r="Z90" s="242"/>
      <c r="AA90" s="242"/>
      <c r="AB90" s="242"/>
    </row>
    <row r="91" hidden="1">
      <c r="A91" s="244" t="s">
        <v>1355</v>
      </c>
      <c r="B91" s="245" t="str">
        <f>VLOOKUP(A91,'تجربه‌گرها'!B:C,2,FALSE())</f>
        <v>9125720554</v>
      </c>
      <c r="C91" s="242"/>
      <c r="D91" s="242">
        <f t="shared" si="1"/>
        <v>1</v>
      </c>
      <c r="E91" s="242">
        <f>COUNTIFS('تجربه‌گرها'!$B:$B,$A91,'تجربه‌گرها'!$F:$F,E$1)</f>
        <v>1</v>
      </c>
      <c r="F91" s="242">
        <f>COUNTIFS('تجربه‌گرها'!$B:$B,$A91,'تجربه‌گرها'!$F:$F,F$1)</f>
        <v>0</v>
      </c>
      <c r="G91" s="242">
        <f>COUNTIFS('تجربه‌گرها'!$B:$B,$A91,'تجربه‌گرها'!$F:$F,G$1)</f>
        <v>0</v>
      </c>
      <c r="H91" s="242">
        <f>COUNTIFS('تجربه‌گرها'!$B:$B,$A91,'تجربه‌گرها'!$F:$F,H$1)</f>
        <v>0</v>
      </c>
      <c r="I91" s="242">
        <f>COUNTIFS('تجربه‌گرها'!$B:$B,$A91,'تجربه‌گرها'!$F:$F,I$1)</f>
        <v>0</v>
      </c>
      <c r="J91" s="242">
        <f>COUNTIFS('تجربه‌گرها'!$B:$B,$A91,'تجربه‌گرها'!$F:$F,J$1)</f>
        <v>0</v>
      </c>
      <c r="K91" s="242">
        <f>COUNTIFS('تجربه‌گرها'!$B:$B,$A91,'تجربه‌گرها'!$F:$F,K$1)</f>
        <v>0</v>
      </c>
      <c r="L91" s="242">
        <f>COUNTIFS('تجربه‌گرها'!$B:$B,$A91,'تجربه‌گرها'!$F:$F,L$1)</f>
        <v>0</v>
      </c>
      <c r="M91" s="242">
        <f>COUNTIFS('تجربه‌گرها'!$B:$B,$A91,'تجربه‌گرها'!$F:$F,M$1)</f>
        <v>0</v>
      </c>
      <c r="N91" s="242">
        <f>COUNTIFS('تجربه‌گرها'!$B:$B,$A91,'تجربه‌گرها'!$F:$F,N$1)</f>
        <v>0</v>
      </c>
      <c r="O91" s="242">
        <f>COUNTIFS('تجربه‌گرها'!$B:$B,$A91,'تجربه‌گرها'!$F:$F,O$1)</f>
        <v>0</v>
      </c>
      <c r="P91" s="242">
        <f>COUNTIFS('تجربه‌گرها'!$B:$B,$A91,'تجربه‌گرها'!$F:$F,P$1)</f>
        <v>0</v>
      </c>
      <c r="Q91" s="242">
        <f>COUNTIFS('تجربه‌گرها'!$B:$B,$A91,'تجربه‌گرها'!$F:$F,Q$1)</f>
        <v>0</v>
      </c>
      <c r="R91" s="242">
        <f>COUNTIFS('تجربه‌گرها'!$B:$B,$A91,'تجربه‌گرها'!$F:$F,R$1)</f>
        <v>0</v>
      </c>
      <c r="S91" s="242">
        <f>COUNTIFS('تجربه‌گرها'!$B:$B,$A91,'تجربه‌گرها'!$F:$F,S$1)</f>
        <v>0</v>
      </c>
      <c r="T91" s="242">
        <f>COUNTIFS('تجربه‌گرها'!$B:$B,$A91,'تجربه‌گرها'!$F:$F,T$1)</f>
        <v>0</v>
      </c>
      <c r="U91" s="242"/>
      <c r="V91" s="242"/>
      <c r="W91" s="242"/>
      <c r="X91" s="242"/>
      <c r="Y91" s="242"/>
      <c r="Z91" s="242"/>
      <c r="AA91" s="242"/>
      <c r="AB91" s="242"/>
    </row>
    <row r="92" hidden="1">
      <c r="A92" s="244" t="s">
        <v>1363</v>
      </c>
      <c r="B92" s="245" t="str">
        <f>VLOOKUP(A92,'تجربه‌گرها'!B:C,2,FALSE())</f>
        <v>#N/A</v>
      </c>
      <c r="C92" s="242"/>
      <c r="D92" s="242">
        <f t="shared" si="1"/>
        <v>1</v>
      </c>
      <c r="E92" s="242">
        <f>COUNTIFS('تجربه‌گرها'!$B:$B,$A92,'تجربه‌گرها'!$F:$F,E$1)</f>
        <v>1</v>
      </c>
      <c r="F92" s="242">
        <f>COUNTIFS('تجربه‌گرها'!$B:$B,$A92,'تجربه‌گرها'!$F:$F,F$1)</f>
        <v>0</v>
      </c>
      <c r="G92" s="242">
        <f>COUNTIFS('تجربه‌گرها'!$B:$B,$A92,'تجربه‌گرها'!$F:$F,G$1)</f>
        <v>0</v>
      </c>
      <c r="H92" s="242">
        <f>COUNTIFS('تجربه‌گرها'!$B:$B,$A92,'تجربه‌گرها'!$F:$F,H$1)</f>
        <v>0</v>
      </c>
      <c r="I92" s="242">
        <f>COUNTIFS('تجربه‌گرها'!$B:$B,$A92,'تجربه‌گرها'!$F:$F,I$1)</f>
        <v>0</v>
      </c>
      <c r="J92" s="242">
        <f>COUNTIFS('تجربه‌گرها'!$B:$B,$A92,'تجربه‌گرها'!$F:$F,J$1)</f>
        <v>0</v>
      </c>
      <c r="K92" s="242">
        <f>COUNTIFS('تجربه‌گرها'!$B:$B,$A92,'تجربه‌گرها'!$F:$F,K$1)</f>
        <v>0</v>
      </c>
      <c r="L92" s="242">
        <f>COUNTIFS('تجربه‌گرها'!$B:$B,$A92,'تجربه‌گرها'!$F:$F,L$1)</f>
        <v>0</v>
      </c>
      <c r="M92" s="242">
        <f>COUNTIFS('تجربه‌گرها'!$B:$B,$A92,'تجربه‌گرها'!$F:$F,M$1)</f>
        <v>0</v>
      </c>
      <c r="N92" s="242">
        <f>COUNTIFS('تجربه‌گرها'!$B:$B,$A92,'تجربه‌گرها'!$F:$F,N$1)</f>
        <v>0</v>
      </c>
      <c r="O92" s="242">
        <f>COUNTIFS('تجربه‌گرها'!$B:$B,$A92,'تجربه‌گرها'!$F:$F,O$1)</f>
        <v>0</v>
      </c>
      <c r="P92" s="242">
        <f>COUNTIFS('تجربه‌گرها'!$B:$B,$A92,'تجربه‌گرها'!$F:$F,P$1)</f>
        <v>0</v>
      </c>
      <c r="Q92" s="242">
        <f>COUNTIFS('تجربه‌گرها'!$B:$B,$A92,'تجربه‌گرها'!$F:$F,Q$1)</f>
        <v>0</v>
      </c>
      <c r="R92" s="242">
        <f>COUNTIFS('تجربه‌گرها'!$B:$B,$A92,'تجربه‌گرها'!$F:$F,R$1)</f>
        <v>0</v>
      </c>
      <c r="S92" s="242">
        <f>COUNTIFS('تجربه‌گرها'!$B:$B,$A92,'تجربه‌گرها'!$F:$F,S$1)</f>
        <v>0</v>
      </c>
      <c r="T92" s="242">
        <f>COUNTIFS('تجربه‌گرها'!$B:$B,$A92,'تجربه‌گرها'!$F:$F,T$1)</f>
        <v>0</v>
      </c>
      <c r="U92" s="242"/>
      <c r="V92" s="242"/>
      <c r="W92" s="242"/>
      <c r="X92" s="242"/>
      <c r="Y92" s="242"/>
      <c r="Z92" s="242"/>
      <c r="AA92" s="242"/>
      <c r="AB92" s="242"/>
    </row>
    <row r="93" hidden="1">
      <c r="A93" s="244" t="s">
        <v>1370</v>
      </c>
      <c r="B93" s="245" t="str">
        <f>VLOOKUP(A93,'تجربه‌گرها'!B:C,2,FALSE())</f>
        <v>9127929218</v>
      </c>
      <c r="C93" s="242"/>
      <c r="D93" s="242">
        <f t="shared" si="1"/>
        <v>1</v>
      </c>
      <c r="E93" s="242">
        <f>COUNTIFS('تجربه‌گرها'!$B:$B,$A93,'تجربه‌گرها'!$F:$F,E$1)</f>
        <v>1</v>
      </c>
      <c r="F93" s="242">
        <f>COUNTIFS('تجربه‌گرها'!$B:$B,$A93,'تجربه‌گرها'!$F:$F,F$1)</f>
        <v>0</v>
      </c>
      <c r="G93" s="242">
        <f>COUNTIFS('تجربه‌گرها'!$B:$B,$A93,'تجربه‌گرها'!$F:$F,G$1)</f>
        <v>0</v>
      </c>
      <c r="H93" s="242">
        <f>COUNTIFS('تجربه‌گرها'!$B:$B,$A93,'تجربه‌گرها'!$F:$F,H$1)</f>
        <v>0</v>
      </c>
      <c r="I93" s="242">
        <f>COUNTIFS('تجربه‌گرها'!$B:$B,$A93,'تجربه‌گرها'!$F:$F,I$1)</f>
        <v>0</v>
      </c>
      <c r="J93" s="242">
        <f>COUNTIFS('تجربه‌گرها'!$B:$B,$A93,'تجربه‌گرها'!$F:$F,J$1)</f>
        <v>0</v>
      </c>
      <c r="K93" s="242">
        <f>COUNTIFS('تجربه‌گرها'!$B:$B,$A93,'تجربه‌گرها'!$F:$F,K$1)</f>
        <v>0</v>
      </c>
      <c r="L93" s="242">
        <f>COUNTIFS('تجربه‌گرها'!$B:$B,$A93,'تجربه‌گرها'!$F:$F,L$1)</f>
        <v>0</v>
      </c>
      <c r="M93" s="242">
        <f>COUNTIFS('تجربه‌گرها'!$B:$B,$A93,'تجربه‌گرها'!$F:$F,M$1)</f>
        <v>0</v>
      </c>
      <c r="N93" s="242">
        <f>COUNTIFS('تجربه‌گرها'!$B:$B,$A93,'تجربه‌گرها'!$F:$F,N$1)</f>
        <v>0</v>
      </c>
      <c r="O93" s="242">
        <f>COUNTIFS('تجربه‌گرها'!$B:$B,$A93,'تجربه‌گرها'!$F:$F,O$1)</f>
        <v>0</v>
      </c>
      <c r="P93" s="242">
        <f>COUNTIFS('تجربه‌گرها'!$B:$B,$A93,'تجربه‌گرها'!$F:$F,P$1)</f>
        <v>0</v>
      </c>
      <c r="Q93" s="242">
        <f>COUNTIFS('تجربه‌گرها'!$B:$B,$A93,'تجربه‌گرها'!$F:$F,Q$1)</f>
        <v>0</v>
      </c>
      <c r="R93" s="242">
        <f>COUNTIFS('تجربه‌گرها'!$B:$B,$A93,'تجربه‌گرها'!$F:$F,R$1)</f>
        <v>0</v>
      </c>
      <c r="S93" s="242">
        <f>COUNTIFS('تجربه‌گرها'!$B:$B,$A93,'تجربه‌گرها'!$F:$F,S$1)</f>
        <v>0</v>
      </c>
      <c r="T93" s="242">
        <f>COUNTIFS('تجربه‌گرها'!$B:$B,$A93,'تجربه‌گرها'!$F:$F,T$1)</f>
        <v>0</v>
      </c>
      <c r="U93" s="242"/>
      <c r="V93" s="242"/>
      <c r="W93" s="242"/>
      <c r="X93" s="242"/>
      <c r="Y93" s="242"/>
      <c r="Z93" s="242"/>
      <c r="AA93" s="242"/>
      <c r="AB93" s="242"/>
    </row>
    <row r="94" hidden="1">
      <c r="A94" s="244" t="s">
        <v>1378</v>
      </c>
      <c r="B94" s="245" t="str">
        <f>VLOOKUP(A94,'تجربه‌گرها'!B:C,2,FALSE())</f>
        <v>#N/A</v>
      </c>
      <c r="C94" s="242"/>
      <c r="D94" s="242">
        <f t="shared" si="1"/>
        <v>1</v>
      </c>
      <c r="E94" s="242">
        <f>COUNTIFS('تجربه‌گرها'!$B:$B,$A94,'تجربه‌گرها'!$F:$F,E$1)</f>
        <v>1</v>
      </c>
      <c r="F94" s="242">
        <f>COUNTIFS('تجربه‌گرها'!$B:$B,$A94,'تجربه‌گرها'!$F:$F,F$1)</f>
        <v>0</v>
      </c>
      <c r="G94" s="242">
        <f>COUNTIFS('تجربه‌گرها'!$B:$B,$A94,'تجربه‌گرها'!$F:$F,G$1)</f>
        <v>0</v>
      </c>
      <c r="H94" s="242">
        <f>COUNTIFS('تجربه‌گرها'!$B:$B,$A94,'تجربه‌گرها'!$F:$F,H$1)</f>
        <v>0</v>
      </c>
      <c r="I94" s="242">
        <f>COUNTIFS('تجربه‌گرها'!$B:$B,$A94,'تجربه‌گرها'!$F:$F,I$1)</f>
        <v>0</v>
      </c>
      <c r="J94" s="242">
        <f>COUNTIFS('تجربه‌گرها'!$B:$B,$A94,'تجربه‌گرها'!$F:$F,J$1)</f>
        <v>0</v>
      </c>
      <c r="K94" s="242">
        <f>COUNTIFS('تجربه‌گرها'!$B:$B,$A94,'تجربه‌گرها'!$F:$F,K$1)</f>
        <v>0</v>
      </c>
      <c r="L94" s="242">
        <f>COUNTIFS('تجربه‌گرها'!$B:$B,$A94,'تجربه‌گرها'!$F:$F,L$1)</f>
        <v>0</v>
      </c>
      <c r="M94" s="242">
        <f>COUNTIFS('تجربه‌گرها'!$B:$B,$A94,'تجربه‌گرها'!$F:$F,M$1)</f>
        <v>0</v>
      </c>
      <c r="N94" s="242">
        <f>COUNTIFS('تجربه‌گرها'!$B:$B,$A94,'تجربه‌گرها'!$F:$F,N$1)</f>
        <v>0</v>
      </c>
      <c r="O94" s="242">
        <f>COUNTIFS('تجربه‌گرها'!$B:$B,$A94,'تجربه‌گرها'!$F:$F,O$1)</f>
        <v>0</v>
      </c>
      <c r="P94" s="242">
        <f>COUNTIFS('تجربه‌گرها'!$B:$B,$A94,'تجربه‌گرها'!$F:$F,P$1)</f>
        <v>0</v>
      </c>
      <c r="Q94" s="242">
        <f>COUNTIFS('تجربه‌گرها'!$B:$B,$A94,'تجربه‌گرها'!$F:$F,Q$1)</f>
        <v>0</v>
      </c>
      <c r="R94" s="242">
        <f>COUNTIFS('تجربه‌گرها'!$B:$B,$A94,'تجربه‌گرها'!$F:$F,R$1)</f>
        <v>0</v>
      </c>
      <c r="S94" s="242">
        <f>COUNTIFS('تجربه‌گرها'!$B:$B,$A94,'تجربه‌گرها'!$F:$F,S$1)</f>
        <v>0</v>
      </c>
      <c r="T94" s="242">
        <f>COUNTIFS('تجربه‌گرها'!$B:$B,$A94,'تجربه‌گرها'!$F:$F,T$1)</f>
        <v>0</v>
      </c>
      <c r="U94" s="242"/>
      <c r="V94" s="242"/>
      <c r="W94" s="242"/>
      <c r="X94" s="242"/>
      <c r="Y94" s="242"/>
      <c r="Z94" s="242"/>
      <c r="AA94" s="242"/>
      <c r="AB94" s="242"/>
    </row>
    <row r="95" hidden="1">
      <c r="A95" s="244" t="s">
        <v>1385</v>
      </c>
      <c r="B95" s="245" t="str">
        <f>VLOOKUP(A95,'تجربه‌گرها'!B:C,2,FALSE())</f>
        <v>9124493681</v>
      </c>
      <c r="C95" s="242"/>
      <c r="D95" s="242">
        <f t="shared" si="1"/>
        <v>2</v>
      </c>
      <c r="E95" s="242">
        <f>COUNTIFS('تجربه‌گرها'!$B:$B,$A95,'تجربه‌گرها'!$F:$F,E$1)</f>
        <v>1</v>
      </c>
      <c r="F95" s="242">
        <f>COUNTIFS('تجربه‌گرها'!$B:$B,$A95,'تجربه‌گرها'!$F:$F,F$1)</f>
        <v>1</v>
      </c>
      <c r="G95" s="242">
        <f>COUNTIFS('تجربه‌گرها'!$B:$B,$A95,'تجربه‌گرها'!$F:$F,G$1)</f>
        <v>0</v>
      </c>
      <c r="H95" s="242">
        <f>COUNTIFS('تجربه‌گرها'!$B:$B,$A95,'تجربه‌گرها'!$F:$F,H$1)</f>
        <v>0</v>
      </c>
      <c r="I95" s="242">
        <f>COUNTIFS('تجربه‌گرها'!$B:$B,$A95,'تجربه‌گرها'!$F:$F,I$1)</f>
        <v>0</v>
      </c>
      <c r="J95" s="242">
        <f>COUNTIFS('تجربه‌گرها'!$B:$B,$A95,'تجربه‌گرها'!$F:$F,J$1)</f>
        <v>0</v>
      </c>
      <c r="K95" s="242">
        <f>COUNTIFS('تجربه‌گرها'!$B:$B,$A95,'تجربه‌گرها'!$F:$F,K$1)</f>
        <v>0</v>
      </c>
      <c r="L95" s="242">
        <f>COUNTIFS('تجربه‌گرها'!$B:$B,$A95,'تجربه‌گرها'!$F:$F,L$1)</f>
        <v>0</v>
      </c>
      <c r="M95" s="242">
        <f>COUNTIFS('تجربه‌گرها'!$B:$B,$A95,'تجربه‌گرها'!$F:$F,M$1)</f>
        <v>0</v>
      </c>
      <c r="N95" s="242">
        <f>COUNTIFS('تجربه‌گرها'!$B:$B,$A95,'تجربه‌گرها'!$F:$F,N$1)</f>
        <v>0</v>
      </c>
      <c r="O95" s="242">
        <f>COUNTIFS('تجربه‌گرها'!$B:$B,$A95,'تجربه‌گرها'!$F:$F,O$1)</f>
        <v>0</v>
      </c>
      <c r="P95" s="242">
        <f>COUNTIFS('تجربه‌گرها'!$B:$B,$A95,'تجربه‌گرها'!$F:$F,P$1)</f>
        <v>0</v>
      </c>
      <c r="Q95" s="242">
        <f>COUNTIFS('تجربه‌گرها'!$B:$B,$A95,'تجربه‌گرها'!$F:$F,Q$1)</f>
        <v>0</v>
      </c>
      <c r="R95" s="242">
        <f>COUNTIFS('تجربه‌گرها'!$B:$B,$A95,'تجربه‌گرها'!$F:$F,R$1)</f>
        <v>0</v>
      </c>
      <c r="S95" s="242">
        <f>COUNTIFS('تجربه‌گرها'!$B:$B,$A95,'تجربه‌گرها'!$F:$F,S$1)</f>
        <v>0</v>
      </c>
      <c r="T95" s="242">
        <f>COUNTIFS('تجربه‌گرها'!$B:$B,$A95,'تجربه‌گرها'!$F:$F,T$1)</f>
        <v>0</v>
      </c>
      <c r="U95" s="242"/>
      <c r="V95" s="242"/>
      <c r="W95" s="242"/>
      <c r="X95" s="242"/>
      <c r="Y95" s="242"/>
      <c r="Z95" s="242"/>
      <c r="AA95" s="242"/>
      <c r="AB95" s="242"/>
    </row>
    <row r="96">
      <c r="A96" s="244" t="s">
        <v>77</v>
      </c>
      <c r="B96" s="245" t="str">
        <f>VLOOKUP(A96,'تجربه‌گرها'!B:C,2,FALSE())</f>
        <v>9122037453</v>
      </c>
      <c r="C96" s="242"/>
      <c r="D96" s="242">
        <f t="shared" si="1"/>
        <v>2</v>
      </c>
      <c r="E96" s="242">
        <f>COUNTIFS('تجربه‌گرها'!$B:$B,$A96,'تجربه‌گرها'!$F:$F,E$1)</f>
        <v>1</v>
      </c>
      <c r="F96" s="242">
        <f>COUNTIFS('تجربه‌گرها'!$B:$B,$A96,'تجربه‌گرها'!$F:$F,F$1)</f>
        <v>1</v>
      </c>
      <c r="G96" s="242">
        <f>COUNTIFS('تجربه‌گرها'!$B:$B,$A96,'تجربه‌گرها'!$F:$F,G$1)</f>
        <v>0</v>
      </c>
      <c r="H96" s="242">
        <f>COUNTIFS('تجربه‌گرها'!$B:$B,$A96,'تجربه‌گرها'!$F:$F,H$1)</f>
        <v>0</v>
      </c>
      <c r="I96" s="242">
        <f>COUNTIFS('تجربه‌گرها'!$B:$B,$A96,'تجربه‌گرها'!$F:$F,I$1)</f>
        <v>0</v>
      </c>
      <c r="J96" s="242">
        <f>COUNTIFS('تجربه‌گرها'!$B:$B,$A96,'تجربه‌گرها'!$F:$F,J$1)</f>
        <v>0</v>
      </c>
      <c r="K96" s="242">
        <f>COUNTIFS('تجربه‌گرها'!$B:$B,$A96,'تجربه‌گرها'!$F:$F,K$1)</f>
        <v>0</v>
      </c>
      <c r="L96" s="242">
        <f>COUNTIFS('تجربه‌گرها'!$B:$B,$A96,'تجربه‌گرها'!$F:$F,L$1)</f>
        <v>0</v>
      </c>
      <c r="M96" s="242">
        <f>COUNTIFS('تجربه‌گرها'!$B:$B,$A96,'تجربه‌گرها'!$F:$F,M$1)</f>
        <v>0</v>
      </c>
      <c r="N96" s="242">
        <f>COUNTIFS('تجربه‌گرها'!$B:$B,$A96,'تجربه‌گرها'!$F:$F,N$1)</f>
        <v>0</v>
      </c>
      <c r="O96" s="242">
        <f>COUNTIFS('تجربه‌گرها'!$B:$B,$A96,'تجربه‌گرها'!$F:$F,O$1)</f>
        <v>0</v>
      </c>
      <c r="P96" s="242">
        <f>COUNTIFS('تجربه‌گرها'!$B:$B,$A96,'تجربه‌گرها'!$F:$F,P$1)</f>
        <v>0</v>
      </c>
      <c r="Q96" s="242">
        <f>COUNTIFS('تجربه‌گرها'!$B:$B,$A96,'تجربه‌گرها'!$F:$F,Q$1)</f>
        <v>0</v>
      </c>
      <c r="R96" s="242">
        <f>COUNTIFS('تجربه‌گرها'!$B:$B,$A96,'تجربه‌گرها'!$F:$F,R$1)</f>
        <v>0</v>
      </c>
      <c r="S96" s="242">
        <f>COUNTIFS('تجربه‌گرها'!$B:$B,$A96,'تجربه‌گرها'!$F:$F,S$1)</f>
        <v>0</v>
      </c>
      <c r="T96" s="242">
        <f>COUNTIFS('تجربه‌گرها'!$B:$B,$A96,'تجربه‌گرها'!$F:$F,T$1)</f>
        <v>0</v>
      </c>
      <c r="U96" s="242"/>
      <c r="V96" s="242"/>
      <c r="W96" s="242"/>
      <c r="X96" s="242"/>
      <c r="Y96" s="242"/>
      <c r="Z96" s="242"/>
      <c r="AA96" s="242"/>
      <c r="AB96" s="242"/>
    </row>
    <row r="97" hidden="1">
      <c r="A97" s="244" t="s">
        <v>1394</v>
      </c>
      <c r="B97" s="245" t="str">
        <f>VLOOKUP(A97,'تجربه‌گرها'!B:C,2,FALSE())</f>
        <v/>
      </c>
      <c r="C97" s="242"/>
      <c r="D97" s="242">
        <f t="shared" si="1"/>
        <v>1</v>
      </c>
      <c r="E97" s="242">
        <f>COUNTIFS('تجربه‌گرها'!$B:$B,$A97,'تجربه‌گرها'!$F:$F,E$1)</f>
        <v>1</v>
      </c>
      <c r="F97" s="242">
        <f>COUNTIFS('تجربه‌گرها'!$B:$B,$A97,'تجربه‌گرها'!$F:$F,F$1)</f>
        <v>0</v>
      </c>
      <c r="G97" s="242">
        <f>COUNTIFS('تجربه‌گرها'!$B:$B,$A97,'تجربه‌گرها'!$F:$F,G$1)</f>
        <v>0</v>
      </c>
      <c r="H97" s="242">
        <f>COUNTIFS('تجربه‌گرها'!$B:$B,$A97,'تجربه‌گرها'!$F:$F,H$1)</f>
        <v>0</v>
      </c>
      <c r="I97" s="242">
        <f>COUNTIFS('تجربه‌گرها'!$B:$B,$A97,'تجربه‌گرها'!$F:$F,I$1)</f>
        <v>0</v>
      </c>
      <c r="J97" s="242">
        <f>COUNTIFS('تجربه‌گرها'!$B:$B,$A97,'تجربه‌گرها'!$F:$F,J$1)</f>
        <v>0</v>
      </c>
      <c r="K97" s="242">
        <f>COUNTIFS('تجربه‌گرها'!$B:$B,$A97,'تجربه‌گرها'!$F:$F,K$1)</f>
        <v>0</v>
      </c>
      <c r="L97" s="242">
        <f>COUNTIFS('تجربه‌گرها'!$B:$B,$A97,'تجربه‌گرها'!$F:$F,L$1)</f>
        <v>0</v>
      </c>
      <c r="M97" s="242">
        <f>COUNTIFS('تجربه‌گرها'!$B:$B,$A97,'تجربه‌گرها'!$F:$F,M$1)</f>
        <v>0</v>
      </c>
      <c r="N97" s="242">
        <f>COUNTIFS('تجربه‌گرها'!$B:$B,$A97,'تجربه‌گرها'!$F:$F,N$1)</f>
        <v>0</v>
      </c>
      <c r="O97" s="242">
        <f>COUNTIFS('تجربه‌گرها'!$B:$B,$A97,'تجربه‌گرها'!$F:$F,O$1)</f>
        <v>0</v>
      </c>
      <c r="P97" s="242">
        <f>COUNTIFS('تجربه‌گرها'!$B:$B,$A97,'تجربه‌گرها'!$F:$F,P$1)</f>
        <v>0</v>
      </c>
      <c r="Q97" s="242">
        <f>COUNTIFS('تجربه‌گرها'!$B:$B,$A97,'تجربه‌گرها'!$F:$F,Q$1)</f>
        <v>0</v>
      </c>
      <c r="R97" s="242">
        <f>COUNTIFS('تجربه‌گرها'!$B:$B,$A97,'تجربه‌گرها'!$F:$F,R$1)</f>
        <v>0</v>
      </c>
      <c r="S97" s="242">
        <f>COUNTIFS('تجربه‌گرها'!$B:$B,$A97,'تجربه‌گرها'!$F:$F,S$1)</f>
        <v>0</v>
      </c>
      <c r="T97" s="242">
        <f>COUNTIFS('تجربه‌گرها'!$B:$B,$A97,'تجربه‌گرها'!$F:$F,T$1)</f>
        <v>0</v>
      </c>
      <c r="U97" s="242"/>
      <c r="V97" s="242"/>
      <c r="W97" s="242"/>
      <c r="X97" s="242"/>
      <c r="Y97" s="242"/>
      <c r="Z97" s="242"/>
      <c r="AA97" s="242"/>
      <c r="AB97" s="242"/>
    </row>
    <row r="98" hidden="1">
      <c r="A98" s="244" t="s">
        <v>1396</v>
      </c>
      <c r="B98" s="245" t="str">
        <f>VLOOKUP(A98,'تجربه‌گرها'!B:C,2,FALSE())</f>
        <v/>
      </c>
      <c r="C98" s="242"/>
      <c r="D98" s="242">
        <f t="shared" si="1"/>
        <v>1</v>
      </c>
      <c r="E98" s="242">
        <f>COUNTIFS('تجربه‌گرها'!$B:$B,$A98,'تجربه‌گرها'!$F:$F,E$1)</f>
        <v>1</v>
      </c>
      <c r="F98" s="242">
        <f>COUNTIFS('تجربه‌گرها'!$B:$B,$A98,'تجربه‌گرها'!$F:$F,F$1)</f>
        <v>0</v>
      </c>
      <c r="G98" s="242">
        <f>COUNTIFS('تجربه‌گرها'!$B:$B,$A98,'تجربه‌گرها'!$F:$F,G$1)</f>
        <v>0</v>
      </c>
      <c r="H98" s="242">
        <f>COUNTIFS('تجربه‌گرها'!$B:$B,$A98,'تجربه‌گرها'!$F:$F,H$1)</f>
        <v>0</v>
      </c>
      <c r="I98" s="242">
        <f>COUNTIFS('تجربه‌گرها'!$B:$B,$A98,'تجربه‌گرها'!$F:$F,I$1)</f>
        <v>0</v>
      </c>
      <c r="J98" s="242">
        <f>COUNTIFS('تجربه‌گرها'!$B:$B,$A98,'تجربه‌گرها'!$F:$F,J$1)</f>
        <v>0</v>
      </c>
      <c r="K98" s="242">
        <f>COUNTIFS('تجربه‌گرها'!$B:$B,$A98,'تجربه‌گرها'!$F:$F,K$1)</f>
        <v>0</v>
      </c>
      <c r="L98" s="242">
        <f>COUNTIFS('تجربه‌گرها'!$B:$B,$A98,'تجربه‌گرها'!$F:$F,L$1)</f>
        <v>0</v>
      </c>
      <c r="M98" s="242">
        <f>COUNTIFS('تجربه‌گرها'!$B:$B,$A98,'تجربه‌گرها'!$F:$F,M$1)</f>
        <v>0</v>
      </c>
      <c r="N98" s="242">
        <f>COUNTIFS('تجربه‌گرها'!$B:$B,$A98,'تجربه‌گرها'!$F:$F,N$1)</f>
        <v>0</v>
      </c>
      <c r="O98" s="242">
        <f>COUNTIFS('تجربه‌گرها'!$B:$B,$A98,'تجربه‌گرها'!$F:$F,O$1)</f>
        <v>0</v>
      </c>
      <c r="P98" s="242">
        <f>COUNTIFS('تجربه‌گرها'!$B:$B,$A98,'تجربه‌گرها'!$F:$F,P$1)</f>
        <v>0</v>
      </c>
      <c r="Q98" s="242">
        <f>COUNTIFS('تجربه‌گرها'!$B:$B,$A98,'تجربه‌گرها'!$F:$F,Q$1)</f>
        <v>0</v>
      </c>
      <c r="R98" s="242">
        <f>COUNTIFS('تجربه‌گرها'!$B:$B,$A98,'تجربه‌گرها'!$F:$F,R$1)</f>
        <v>0</v>
      </c>
      <c r="S98" s="242">
        <f>COUNTIFS('تجربه‌گرها'!$B:$B,$A98,'تجربه‌گرها'!$F:$F,S$1)</f>
        <v>0</v>
      </c>
      <c r="T98" s="242">
        <f>COUNTIFS('تجربه‌گرها'!$B:$B,$A98,'تجربه‌گرها'!$F:$F,T$1)</f>
        <v>0</v>
      </c>
      <c r="U98" s="242"/>
      <c r="V98" s="242"/>
      <c r="W98" s="242"/>
      <c r="X98" s="242"/>
      <c r="Y98" s="242"/>
      <c r="Z98" s="242"/>
      <c r="AA98" s="242"/>
      <c r="AB98" s="242"/>
    </row>
    <row r="99">
      <c r="A99" s="244" t="s">
        <v>1400</v>
      </c>
      <c r="B99" s="245" t="str">
        <f>VLOOKUP(A99,'تجربه‌گرها'!B:C,2,FALSE())</f>
        <v>9123377910</v>
      </c>
      <c r="C99" s="242"/>
      <c r="D99" s="242">
        <f t="shared" si="1"/>
        <v>4</v>
      </c>
      <c r="E99" s="242">
        <f>COUNTIFS('تجربه‌گرها'!$B:$B,$A99,'تجربه‌گرها'!$F:$F,E$1)</f>
        <v>1</v>
      </c>
      <c r="F99" s="242">
        <f>COUNTIFS('تجربه‌گرها'!$B:$B,$A99,'تجربه‌گرها'!$F:$F,F$1)</f>
        <v>1</v>
      </c>
      <c r="G99" s="242">
        <f>COUNTIFS('تجربه‌گرها'!$B:$B,$A99,'تجربه‌گرها'!$F:$F,G$1)</f>
        <v>0</v>
      </c>
      <c r="H99" s="242">
        <f>COUNTIFS('تجربه‌گرها'!$B:$B,$A99,'تجربه‌گرها'!$F:$F,H$1)</f>
        <v>0</v>
      </c>
      <c r="I99" s="242">
        <f>COUNTIFS('تجربه‌گرها'!$B:$B,$A99,'تجربه‌گرها'!$F:$F,I$1)</f>
        <v>0</v>
      </c>
      <c r="J99" s="242">
        <f>COUNTIFS('تجربه‌گرها'!$B:$B,$A99,'تجربه‌گرها'!$F:$F,J$1)</f>
        <v>0</v>
      </c>
      <c r="K99" s="242">
        <f>COUNTIFS('تجربه‌گرها'!$B:$B,$A99,'تجربه‌گرها'!$F:$F,K$1)</f>
        <v>0</v>
      </c>
      <c r="L99" s="242">
        <f>COUNTIFS('تجربه‌گرها'!$B:$B,$A99,'تجربه‌گرها'!$F:$F,L$1)</f>
        <v>0</v>
      </c>
      <c r="M99" s="242">
        <f>COUNTIFS('تجربه‌گرها'!$B:$B,$A99,'تجربه‌گرها'!$F:$F,M$1)</f>
        <v>1</v>
      </c>
      <c r="N99" s="242">
        <f>COUNTIFS('تجربه‌گرها'!$B:$B,$A99,'تجربه‌گرها'!$F:$F,N$1)</f>
        <v>1</v>
      </c>
      <c r="O99" s="242">
        <f>COUNTIFS('تجربه‌گرها'!$B:$B,$A99,'تجربه‌گرها'!$F:$F,O$1)</f>
        <v>0</v>
      </c>
      <c r="P99" s="242">
        <f>COUNTIFS('تجربه‌گرها'!$B:$B,$A99,'تجربه‌گرها'!$F:$F,P$1)</f>
        <v>0</v>
      </c>
      <c r="Q99" s="242">
        <f>COUNTIFS('تجربه‌گرها'!$B:$B,$A99,'تجربه‌گرها'!$F:$F,Q$1)</f>
        <v>0</v>
      </c>
      <c r="R99" s="242">
        <f>COUNTIFS('تجربه‌گرها'!$B:$B,$A99,'تجربه‌گرها'!$F:$F,R$1)</f>
        <v>0</v>
      </c>
      <c r="S99" s="242">
        <f>COUNTIFS('تجربه‌گرها'!$B:$B,$A99,'تجربه‌گرها'!$F:$F,S$1)</f>
        <v>0</v>
      </c>
      <c r="T99" s="242">
        <f>COUNTIFS('تجربه‌گرها'!$B:$B,$A99,'تجربه‌گرها'!$F:$F,T$1)</f>
        <v>0</v>
      </c>
      <c r="U99" s="242"/>
      <c r="V99" s="242"/>
      <c r="W99" s="242"/>
      <c r="X99" s="242"/>
      <c r="Y99" s="242"/>
      <c r="Z99" s="242"/>
      <c r="AA99" s="242"/>
      <c r="AB99" s="242"/>
    </row>
    <row r="100" hidden="1">
      <c r="A100" s="244" t="s">
        <v>1405</v>
      </c>
      <c r="B100" s="245" t="str">
        <f>VLOOKUP(A100,'تجربه‌گرها'!B:C,2,FALSE())</f>
        <v>9123863288</v>
      </c>
      <c r="C100" s="242"/>
      <c r="D100" s="242">
        <f t="shared" si="1"/>
        <v>1</v>
      </c>
      <c r="E100" s="242">
        <f>COUNTIFS('تجربه‌گرها'!$B:$B,$A100,'تجربه‌گرها'!$F:$F,E$1)</f>
        <v>1</v>
      </c>
      <c r="F100" s="242">
        <f>COUNTIFS('تجربه‌گرها'!$B:$B,$A100,'تجربه‌گرها'!$F:$F,F$1)</f>
        <v>0</v>
      </c>
      <c r="G100" s="242">
        <f>COUNTIFS('تجربه‌گرها'!$B:$B,$A100,'تجربه‌گرها'!$F:$F,G$1)</f>
        <v>0</v>
      </c>
      <c r="H100" s="242">
        <f>COUNTIFS('تجربه‌گرها'!$B:$B,$A100,'تجربه‌گرها'!$F:$F,H$1)</f>
        <v>0</v>
      </c>
      <c r="I100" s="242">
        <f>COUNTIFS('تجربه‌گرها'!$B:$B,$A100,'تجربه‌گرها'!$F:$F,I$1)</f>
        <v>0</v>
      </c>
      <c r="J100" s="242">
        <f>COUNTIFS('تجربه‌گرها'!$B:$B,$A100,'تجربه‌گرها'!$F:$F,J$1)</f>
        <v>0</v>
      </c>
      <c r="K100" s="242">
        <f>COUNTIFS('تجربه‌گرها'!$B:$B,$A100,'تجربه‌گرها'!$F:$F,K$1)</f>
        <v>0</v>
      </c>
      <c r="L100" s="242">
        <f>COUNTIFS('تجربه‌گرها'!$B:$B,$A100,'تجربه‌گرها'!$F:$F,L$1)</f>
        <v>0</v>
      </c>
      <c r="M100" s="242">
        <f>COUNTIFS('تجربه‌گرها'!$B:$B,$A100,'تجربه‌گرها'!$F:$F,M$1)</f>
        <v>0</v>
      </c>
      <c r="N100" s="242">
        <f>COUNTIFS('تجربه‌گرها'!$B:$B,$A100,'تجربه‌گرها'!$F:$F,N$1)</f>
        <v>0</v>
      </c>
      <c r="O100" s="242">
        <f>COUNTIFS('تجربه‌گرها'!$B:$B,$A100,'تجربه‌گرها'!$F:$F,O$1)</f>
        <v>0</v>
      </c>
      <c r="P100" s="242">
        <f>COUNTIFS('تجربه‌گرها'!$B:$B,$A100,'تجربه‌گرها'!$F:$F,P$1)</f>
        <v>0</v>
      </c>
      <c r="Q100" s="242">
        <f>COUNTIFS('تجربه‌گرها'!$B:$B,$A100,'تجربه‌گرها'!$F:$F,Q$1)</f>
        <v>0</v>
      </c>
      <c r="R100" s="242">
        <f>COUNTIFS('تجربه‌گرها'!$B:$B,$A100,'تجربه‌گرها'!$F:$F,R$1)</f>
        <v>0</v>
      </c>
      <c r="S100" s="242">
        <f>COUNTIFS('تجربه‌گرها'!$B:$B,$A100,'تجربه‌گرها'!$F:$F,S$1)</f>
        <v>0</v>
      </c>
      <c r="T100" s="242">
        <f>COUNTIFS('تجربه‌گرها'!$B:$B,$A100,'تجربه‌گرها'!$F:$F,T$1)</f>
        <v>0</v>
      </c>
      <c r="U100" s="242"/>
      <c r="V100" s="242"/>
      <c r="W100" s="242"/>
      <c r="X100" s="242"/>
      <c r="Y100" s="242"/>
      <c r="Z100" s="242"/>
      <c r="AA100" s="242"/>
      <c r="AB100" s="242"/>
    </row>
    <row r="101" hidden="1">
      <c r="A101" s="244" t="s">
        <v>1411</v>
      </c>
      <c r="B101" s="245" t="str">
        <f>VLOOKUP(A101,'تجربه‌گرها'!B:C,2,FALSE())</f>
        <v>9309054003</v>
      </c>
      <c r="C101" s="242"/>
      <c r="D101" s="242">
        <f t="shared" si="1"/>
        <v>1</v>
      </c>
      <c r="E101" s="242">
        <f>COUNTIFS('تجربه‌گرها'!$B:$B,$A101,'تجربه‌گرها'!$F:$F,E$1)</f>
        <v>1</v>
      </c>
      <c r="F101" s="242">
        <f>COUNTIFS('تجربه‌گرها'!$B:$B,$A101,'تجربه‌گرها'!$F:$F,F$1)</f>
        <v>0</v>
      </c>
      <c r="G101" s="242">
        <f>COUNTIFS('تجربه‌گرها'!$B:$B,$A101,'تجربه‌گرها'!$F:$F,G$1)</f>
        <v>0</v>
      </c>
      <c r="H101" s="242">
        <f>COUNTIFS('تجربه‌گرها'!$B:$B,$A101,'تجربه‌گرها'!$F:$F,H$1)</f>
        <v>0</v>
      </c>
      <c r="I101" s="242">
        <f>COUNTIFS('تجربه‌گرها'!$B:$B,$A101,'تجربه‌گرها'!$F:$F,I$1)</f>
        <v>0</v>
      </c>
      <c r="J101" s="242">
        <f>COUNTIFS('تجربه‌گرها'!$B:$B,$A101,'تجربه‌گرها'!$F:$F,J$1)</f>
        <v>0</v>
      </c>
      <c r="K101" s="242">
        <f>COUNTIFS('تجربه‌گرها'!$B:$B,$A101,'تجربه‌گرها'!$F:$F,K$1)</f>
        <v>0</v>
      </c>
      <c r="L101" s="242">
        <f>COUNTIFS('تجربه‌گرها'!$B:$B,$A101,'تجربه‌گرها'!$F:$F,L$1)</f>
        <v>0</v>
      </c>
      <c r="M101" s="242">
        <f>COUNTIFS('تجربه‌گرها'!$B:$B,$A101,'تجربه‌گرها'!$F:$F,M$1)</f>
        <v>0</v>
      </c>
      <c r="N101" s="242">
        <f>COUNTIFS('تجربه‌گرها'!$B:$B,$A101,'تجربه‌گرها'!$F:$F,N$1)</f>
        <v>0</v>
      </c>
      <c r="O101" s="242">
        <f>COUNTIFS('تجربه‌گرها'!$B:$B,$A101,'تجربه‌گرها'!$F:$F,O$1)</f>
        <v>0</v>
      </c>
      <c r="P101" s="242">
        <f>COUNTIFS('تجربه‌گرها'!$B:$B,$A101,'تجربه‌گرها'!$F:$F,P$1)</f>
        <v>0</v>
      </c>
      <c r="Q101" s="242">
        <f>COUNTIFS('تجربه‌گرها'!$B:$B,$A101,'تجربه‌گرها'!$F:$F,Q$1)</f>
        <v>0</v>
      </c>
      <c r="R101" s="242">
        <f>COUNTIFS('تجربه‌گرها'!$B:$B,$A101,'تجربه‌گرها'!$F:$F,R$1)</f>
        <v>0</v>
      </c>
      <c r="S101" s="242">
        <f>COUNTIFS('تجربه‌گرها'!$B:$B,$A101,'تجربه‌گرها'!$F:$F,S$1)</f>
        <v>0</v>
      </c>
      <c r="T101" s="242">
        <f>COUNTIFS('تجربه‌گرها'!$B:$B,$A101,'تجربه‌گرها'!$F:$F,T$1)</f>
        <v>0</v>
      </c>
      <c r="U101" s="242"/>
      <c r="V101" s="242"/>
      <c r="W101" s="242"/>
      <c r="X101" s="242"/>
      <c r="Y101" s="242"/>
      <c r="Z101" s="242"/>
      <c r="AA101" s="242"/>
      <c r="AB101" s="242"/>
    </row>
    <row r="102" hidden="1">
      <c r="A102" s="244" t="s">
        <v>1417</v>
      </c>
      <c r="B102" s="245" t="str">
        <f>VLOOKUP(A102,'تجربه‌گرها'!B:C,2,FALSE())</f>
        <v>1091691681</v>
      </c>
      <c r="C102" s="242"/>
      <c r="D102" s="242">
        <f t="shared" si="1"/>
        <v>1</v>
      </c>
      <c r="E102" s="242">
        <f>COUNTIFS('تجربه‌گرها'!$B:$B,$A102,'تجربه‌گرها'!$F:$F,E$1)</f>
        <v>1</v>
      </c>
      <c r="F102" s="242">
        <f>COUNTIFS('تجربه‌گرها'!$B:$B,$A102,'تجربه‌گرها'!$F:$F,F$1)</f>
        <v>0</v>
      </c>
      <c r="G102" s="242">
        <f>COUNTIFS('تجربه‌گرها'!$B:$B,$A102,'تجربه‌گرها'!$F:$F,G$1)</f>
        <v>0</v>
      </c>
      <c r="H102" s="242">
        <f>COUNTIFS('تجربه‌گرها'!$B:$B,$A102,'تجربه‌گرها'!$F:$F,H$1)</f>
        <v>0</v>
      </c>
      <c r="I102" s="242">
        <f>COUNTIFS('تجربه‌گرها'!$B:$B,$A102,'تجربه‌گرها'!$F:$F,I$1)</f>
        <v>0</v>
      </c>
      <c r="J102" s="242">
        <f>COUNTIFS('تجربه‌گرها'!$B:$B,$A102,'تجربه‌گرها'!$F:$F,J$1)</f>
        <v>0</v>
      </c>
      <c r="K102" s="242">
        <f>COUNTIFS('تجربه‌گرها'!$B:$B,$A102,'تجربه‌گرها'!$F:$F,K$1)</f>
        <v>0</v>
      </c>
      <c r="L102" s="242">
        <f>COUNTIFS('تجربه‌گرها'!$B:$B,$A102,'تجربه‌گرها'!$F:$F,L$1)</f>
        <v>0</v>
      </c>
      <c r="M102" s="242">
        <f>COUNTIFS('تجربه‌گرها'!$B:$B,$A102,'تجربه‌گرها'!$F:$F,M$1)</f>
        <v>0</v>
      </c>
      <c r="N102" s="242">
        <f>COUNTIFS('تجربه‌گرها'!$B:$B,$A102,'تجربه‌گرها'!$F:$F,N$1)</f>
        <v>0</v>
      </c>
      <c r="O102" s="242">
        <f>COUNTIFS('تجربه‌گرها'!$B:$B,$A102,'تجربه‌گرها'!$F:$F,O$1)</f>
        <v>0</v>
      </c>
      <c r="P102" s="242">
        <f>COUNTIFS('تجربه‌گرها'!$B:$B,$A102,'تجربه‌گرها'!$F:$F,P$1)</f>
        <v>0</v>
      </c>
      <c r="Q102" s="242">
        <f>COUNTIFS('تجربه‌گرها'!$B:$B,$A102,'تجربه‌گرها'!$F:$F,Q$1)</f>
        <v>0</v>
      </c>
      <c r="R102" s="242">
        <f>COUNTIFS('تجربه‌گرها'!$B:$B,$A102,'تجربه‌گرها'!$F:$F,R$1)</f>
        <v>0</v>
      </c>
      <c r="S102" s="242">
        <f>COUNTIFS('تجربه‌گرها'!$B:$B,$A102,'تجربه‌گرها'!$F:$F,S$1)</f>
        <v>0</v>
      </c>
      <c r="T102" s="242">
        <f>COUNTIFS('تجربه‌گرها'!$B:$B,$A102,'تجربه‌گرها'!$F:$F,T$1)</f>
        <v>0</v>
      </c>
      <c r="U102" s="242"/>
      <c r="V102" s="242"/>
      <c r="W102" s="242"/>
      <c r="X102" s="242"/>
      <c r="Y102" s="242"/>
      <c r="Z102" s="242"/>
      <c r="AA102" s="242"/>
      <c r="AB102" s="242"/>
    </row>
    <row r="103">
      <c r="A103" s="244" t="s">
        <v>1421</v>
      </c>
      <c r="B103" s="245" t="str">
        <f>VLOOKUP(A103,'تجربه‌گرها'!B:C,2,FALSE())</f>
        <v>9331009972</v>
      </c>
      <c r="C103" s="242"/>
      <c r="D103" s="242">
        <f t="shared" si="1"/>
        <v>2</v>
      </c>
      <c r="E103" s="242">
        <f>COUNTIFS('تجربه‌گرها'!$B:$B,$A103,'تجربه‌گرها'!$F:$F,E$1)</f>
        <v>1</v>
      </c>
      <c r="F103" s="242">
        <f>COUNTIFS('تجربه‌گرها'!$B:$B,$A103,'تجربه‌گرها'!$F:$F,F$1)</f>
        <v>1</v>
      </c>
      <c r="G103" s="242">
        <f>COUNTIFS('تجربه‌گرها'!$B:$B,$A103,'تجربه‌گرها'!$F:$F,G$1)</f>
        <v>0</v>
      </c>
      <c r="H103" s="242">
        <f>COUNTIFS('تجربه‌گرها'!$B:$B,$A103,'تجربه‌گرها'!$F:$F,H$1)</f>
        <v>0</v>
      </c>
      <c r="I103" s="242">
        <f>COUNTIFS('تجربه‌گرها'!$B:$B,$A103,'تجربه‌گرها'!$F:$F,I$1)</f>
        <v>0</v>
      </c>
      <c r="J103" s="242">
        <f>COUNTIFS('تجربه‌گرها'!$B:$B,$A103,'تجربه‌گرها'!$F:$F,J$1)</f>
        <v>0</v>
      </c>
      <c r="K103" s="242">
        <f>COUNTIFS('تجربه‌گرها'!$B:$B,$A103,'تجربه‌گرها'!$F:$F,K$1)</f>
        <v>0</v>
      </c>
      <c r="L103" s="242">
        <f>COUNTIFS('تجربه‌گرها'!$B:$B,$A103,'تجربه‌گرها'!$F:$F,L$1)</f>
        <v>0</v>
      </c>
      <c r="M103" s="242">
        <f>COUNTIFS('تجربه‌گرها'!$B:$B,$A103,'تجربه‌گرها'!$F:$F,M$1)</f>
        <v>0</v>
      </c>
      <c r="N103" s="242">
        <f>COUNTIFS('تجربه‌گرها'!$B:$B,$A103,'تجربه‌گرها'!$F:$F,N$1)</f>
        <v>0</v>
      </c>
      <c r="O103" s="242">
        <f>COUNTIFS('تجربه‌گرها'!$B:$B,$A103,'تجربه‌گرها'!$F:$F,O$1)</f>
        <v>0</v>
      </c>
      <c r="P103" s="242">
        <f>COUNTIFS('تجربه‌گرها'!$B:$B,$A103,'تجربه‌گرها'!$F:$F,P$1)</f>
        <v>0</v>
      </c>
      <c r="Q103" s="242">
        <f>COUNTIFS('تجربه‌گرها'!$B:$B,$A103,'تجربه‌گرها'!$F:$F,Q$1)</f>
        <v>0</v>
      </c>
      <c r="R103" s="242">
        <f>COUNTIFS('تجربه‌گرها'!$B:$B,$A103,'تجربه‌گرها'!$F:$F,R$1)</f>
        <v>0</v>
      </c>
      <c r="S103" s="242">
        <f>COUNTIFS('تجربه‌گرها'!$B:$B,$A103,'تجربه‌گرها'!$F:$F,S$1)</f>
        <v>0</v>
      </c>
      <c r="T103" s="242">
        <f>COUNTIFS('تجربه‌گرها'!$B:$B,$A103,'تجربه‌گرها'!$F:$F,T$1)</f>
        <v>0</v>
      </c>
      <c r="U103" s="242"/>
      <c r="V103" s="242"/>
      <c r="W103" s="242"/>
      <c r="X103" s="242"/>
      <c r="Y103" s="242"/>
      <c r="Z103" s="242"/>
      <c r="AA103" s="242"/>
      <c r="AB103" s="242"/>
    </row>
    <row r="104" hidden="1">
      <c r="A104" s="244" t="s">
        <v>1429</v>
      </c>
      <c r="B104" s="245" t="str">
        <f>VLOOKUP(A104,'تجربه‌گرها'!B:C,2,FALSE())</f>
        <v>9132161839</v>
      </c>
      <c r="C104" s="242"/>
      <c r="D104" s="242">
        <f t="shared" si="1"/>
        <v>1</v>
      </c>
      <c r="E104" s="242">
        <f>COUNTIFS('تجربه‌گرها'!$B:$B,$A104,'تجربه‌گرها'!$F:$F,E$1)</f>
        <v>1</v>
      </c>
      <c r="F104" s="242">
        <f>COUNTIFS('تجربه‌گرها'!$B:$B,$A104,'تجربه‌گرها'!$F:$F,F$1)</f>
        <v>0</v>
      </c>
      <c r="G104" s="242">
        <f>COUNTIFS('تجربه‌گرها'!$B:$B,$A104,'تجربه‌گرها'!$F:$F,G$1)</f>
        <v>0</v>
      </c>
      <c r="H104" s="242">
        <f>COUNTIFS('تجربه‌گرها'!$B:$B,$A104,'تجربه‌گرها'!$F:$F,H$1)</f>
        <v>0</v>
      </c>
      <c r="I104" s="242">
        <f>COUNTIFS('تجربه‌گرها'!$B:$B,$A104,'تجربه‌گرها'!$F:$F,I$1)</f>
        <v>0</v>
      </c>
      <c r="J104" s="242">
        <f>COUNTIFS('تجربه‌گرها'!$B:$B,$A104,'تجربه‌گرها'!$F:$F,J$1)</f>
        <v>0</v>
      </c>
      <c r="K104" s="242">
        <f>COUNTIFS('تجربه‌گرها'!$B:$B,$A104,'تجربه‌گرها'!$F:$F,K$1)</f>
        <v>0</v>
      </c>
      <c r="L104" s="242">
        <f>COUNTIFS('تجربه‌گرها'!$B:$B,$A104,'تجربه‌گرها'!$F:$F,L$1)</f>
        <v>0</v>
      </c>
      <c r="M104" s="242">
        <f>COUNTIFS('تجربه‌گرها'!$B:$B,$A104,'تجربه‌گرها'!$F:$F,M$1)</f>
        <v>0</v>
      </c>
      <c r="N104" s="242">
        <f>COUNTIFS('تجربه‌گرها'!$B:$B,$A104,'تجربه‌گرها'!$F:$F,N$1)</f>
        <v>0</v>
      </c>
      <c r="O104" s="242">
        <f>COUNTIFS('تجربه‌گرها'!$B:$B,$A104,'تجربه‌گرها'!$F:$F,O$1)</f>
        <v>0</v>
      </c>
      <c r="P104" s="242">
        <f>COUNTIFS('تجربه‌گرها'!$B:$B,$A104,'تجربه‌گرها'!$F:$F,P$1)</f>
        <v>0</v>
      </c>
      <c r="Q104" s="242">
        <f>COUNTIFS('تجربه‌گرها'!$B:$B,$A104,'تجربه‌گرها'!$F:$F,Q$1)</f>
        <v>0</v>
      </c>
      <c r="R104" s="242">
        <f>COUNTIFS('تجربه‌گرها'!$B:$B,$A104,'تجربه‌گرها'!$F:$F,R$1)</f>
        <v>0</v>
      </c>
      <c r="S104" s="242">
        <f>COUNTIFS('تجربه‌گرها'!$B:$B,$A104,'تجربه‌گرها'!$F:$F,S$1)</f>
        <v>0</v>
      </c>
      <c r="T104" s="242">
        <f>COUNTIFS('تجربه‌گرها'!$B:$B,$A104,'تجربه‌گرها'!$F:$F,T$1)</f>
        <v>0</v>
      </c>
      <c r="U104" s="242"/>
      <c r="V104" s="242"/>
      <c r="W104" s="242"/>
      <c r="X104" s="242"/>
      <c r="Y104" s="242"/>
      <c r="Z104" s="242"/>
      <c r="AA104" s="242"/>
      <c r="AB104" s="242"/>
    </row>
    <row r="105" hidden="1">
      <c r="A105" s="244" t="s">
        <v>1435</v>
      </c>
      <c r="B105" s="245" t="str">
        <f>VLOOKUP(A105,'تجربه‌گرها'!B:C,2,FALSE())</f>
        <v>9123366943</v>
      </c>
      <c r="C105" s="242"/>
      <c r="D105" s="242">
        <f t="shared" si="1"/>
        <v>1</v>
      </c>
      <c r="E105" s="242">
        <f>COUNTIFS('تجربه‌گرها'!$B:$B,$A105,'تجربه‌گرها'!$F:$F,E$1)</f>
        <v>1</v>
      </c>
      <c r="F105" s="242">
        <f>COUNTIFS('تجربه‌گرها'!$B:$B,$A105,'تجربه‌گرها'!$F:$F,F$1)</f>
        <v>0</v>
      </c>
      <c r="G105" s="242">
        <f>COUNTIFS('تجربه‌گرها'!$B:$B,$A105,'تجربه‌گرها'!$F:$F,G$1)</f>
        <v>0</v>
      </c>
      <c r="H105" s="242">
        <f>COUNTIFS('تجربه‌گرها'!$B:$B,$A105,'تجربه‌گرها'!$F:$F,H$1)</f>
        <v>0</v>
      </c>
      <c r="I105" s="242">
        <f>COUNTIFS('تجربه‌گرها'!$B:$B,$A105,'تجربه‌گرها'!$F:$F,I$1)</f>
        <v>0</v>
      </c>
      <c r="J105" s="242">
        <f>COUNTIFS('تجربه‌گرها'!$B:$B,$A105,'تجربه‌گرها'!$F:$F,J$1)</f>
        <v>0</v>
      </c>
      <c r="K105" s="242">
        <f>COUNTIFS('تجربه‌گرها'!$B:$B,$A105,'تجربه‌گرها'!$F:$F,K$1)</f>
        <v>0</v>
      </c>
      <c r="L105" s="242">
        <f>COUNTIFS('تجربه‌گرها'!$B:$B,$A105,'تجربه‌گرها'!$F:$F,L$1)</f>
        <v>0</v>
      </c>
      <c r="M105" s="242">
        <f>COUNTIFS('تجربه‌گرها'!$B:$B,$A105,'تجربه‌گرها'!$F:$F,M$1)</f>
        <v>0</v>
      </c>
      <c r="N105" s="242">
        <f>COUNTIFS('تجربه‌گرها'!$B:$B,$A105,'تجربه‌گرها'!$F:$F,N$1)</f>
        <v>0</v>
      </c>
      <c r="O105" s="242">
        <f>COUNTIFS('تجربه‌گرها'!$B:$B,$A105,'تجربه‌گرها'!$F:$F,O$1)</f>
        <v>0</v>
      </c>
      <c r="P105" s="242">
        <f>COUNTIFS('تجربه‌گرها'!$B:$B,$A105,'تجربه‌گرها'!$F:$F,P$1)</f>
        <v>0</v>
      </c>
      <c r="Q105" s="242">
        <f>COUNTIFS('تجربه‌گرها'!$B:$B,$A105,'تجربه‌گرها'!$F:$F,Q$1)</f>
        <v>0</v>
      </c>
      <c r="R105" s="242">
        <f>COUNTIFS('تجربه‌گرها'!$B:$B,$A105,'تجربه‌گرها'!$F:$F,R$1)</f>
        <v>0</v>
      </c>
      <c r="S105" s="242">
        <f>COUNTIFS('تجربه‌گرها'!$B:$B,$A105,'تجربه‌گرها'!$F:$F,S$1)</f>
        <v>0</v>
      </c>
      <c r="T105" s="242">
        <f>COUNTIFS('تجربه‌گرها'!$B:$B,$A105,'تجربه‌گرها'!$F:$F,T$1)</f>
        <v>0</v>
      </c>
      <c r="U105" s="242"/>
      <c r="V105" s="242"/>
      <c r="W105" s="242"/>
      <c r="X105" s="242"/>
      <c r="Y105" s="242"/>
      <c r="Z105" s="242"/>
      <c r="AA105" s="242"/>
      <c r="AB105" s="242"/>
    </row>
    <row r="106" hidden="1">
      <c r="A106" s="244" t="s">
        <v>1441</v>
      </c>
      <c r="B106" s="245" t="str">
        <f>VLOOKUP(A106,'تجربه‌گرها'!B:C,2,FALSE())</f>
        <v>9039102939</v>
      </c>
      <c r="C106" s="242"/>
      <c r="D106" s="242">
        <f t="shared" si="1"/>
        <v>1</v>
      </c>
      <c r="E106" s="242">
        <f>COUNTIFS('تجربه‌گرها'!$B:$B,$A106,'تجربه‌گرها'!$F:$F,E$1)</f>
        <v>1</v>
      </c>
      <c r="F106" s="242">
        <f>COUNTIFS('تجربه‌گرها'!$B:$B,$A106,'تجربه‌گرها'!$F:$F,F$1)</f>
        <v>0</v>
      </c>
      <c r="G106" s="242">
        <f>COUNTIFS('تجربه‌گرها'!$B:$B,$A106,'تجربه‌گرها'!$F:$F,G$1)</f>
        <v>0</v>
      </c>
      <c r="H106" s="242">
        <f>COUNTIFS('تجربه‌گرها'!$B:$B,$A106,'تجربه‌گرها'!$F:$F,H$1)</f>
        <v>0</v>
      </c>
      <c r="I106" s="242">
        <f>COUNTIFS('تجربه‌گرها'!$B:$B,$A106,'تجربه‌گرها'!$F:$F,I$1)</f>
        <v>0</v>
      </c>
      <c r="J106" s="242">
        <f>COUNTIFS('تجربه‌گرها'!$B:$B,$A106,'تجربه‌گرها'!$F:$F,J$1)</f>
        <v>0</v>
      </c>
      <c r="K106" s="242">
        <f>COUNTIFS('تجربه‌گرها'!$B:$B,$A106,'تجربه‌گرها'!$F:$F,K$1)</f>
        <v>0</v>
      </c>
      <c r="L106" s="242">
        <f>COUNTIFS('تجربه‌گرها'!$B:$B,$A106,'تجربه‌گرها'!$F:$F,L$1)</f>
        <v>0</v>
      </c>
      <c r="M106" s="242">
        <f>COUNTIFS('تجربه‌گرها'!$B:$B,$A106,'تجربه‌گرها'!$F:$F,M$1)</f>
        <v>0</v>
      </c>
      <c r="N106" s="242">
        <f>COUNTIFS('تجربه‌گرها'!$B:$B,$A106,'تجربه‌گرها'!$F:$F,N$1)</f>
        <v>0</v>
      </c>
      <c r="O106" s="242">
        <f>COUNTIFS('تجربه‌گرها'!$B:$B,$A106,'تجربه‌گرها'!$F:$F,O$1)</f>
        <v>0</v>
      </c>
      <c r="P106" s="242">
        <f>COUNTIFS('تجربه‌گرها'!$B:$B,$A106,'تجربه‌گرها'!$F:$F,P$1)</f>
        <v>0</v>
      </c>
      <c r="Q106" s="242">
        <f>COUNTIFS('تجربه‌گرها'!$B:$B,$A106,'تجربه‌گرها'!$F:$F,Q$1)</f>
        <v>0</v>
      </c>
      <c r="R106" s="242">
        <f>COUNTIFS('تجربه‌گرها'!$B:$B,$A106,'تجربه‌گرها'!$F:$F,R$1)</f>
        <v>0</v>
      </c>
      <c r="S106" s="242">
        <f>COUNTIFS('تجربه‌گرها'!$B:$B,$A106,'تجربه‌گرها'!$F:$F,S$1)</f>
        <v>0</v>
      </c>
      <c r="T106" s="242">
        <f>COUNTIFS('تجربه‌گرها'!$B:$B,$A106,'تجربه‌گرها'!$F:$F,T$1)</f>
        <v>0</v>
      </c>
      <c r="U106" s="242"/>
      <c r="V106" s="242"/>
      <c r="W106" s="242"/>
      <c r="X106" s="242"/>
      <c r="Y106" s="242"/>
      <c r="Z106" s="242"/>
      <c r="AA106" s="242"/>
      <c r="AB106" s="242"/>
    </row>
    <row r="107" hidden="1">
      <c r="A107" s="244" t="s">
        <v>1449</v>
      </c>
      <c r="B107" s="245" t="str">
        <f>VLOOKUP(A107,'تجربه‌گرها'!B:C,2,FALSE())</f>
        <v>9121388231</v>
      </c>
      <c r="C107" s="242"/>
      <c r="D107" s="242">
        <f t="shared" si="1"/>
        <v>1</v>
      </c>
      <c r="E107" s="242">
        <f>COUNTIFS('تجربه‌گرها'!$B:$B,$A107,'تجربه‌گرها'!$F:$F,E$1)</f>
        <v>1</v>
      </c>
      <c r="F107" s="242">
        <f>COUNTIFS('تجربه‌گرها'!$B:$B,$A107,'تجربه‌گرها'!$F:$F,F$1)</f>
        <v>0</v>
      </c>
      <c r="G107" s="242">
        <f>COUNTIFS('تجربه‌گرها'!$B:$B,$A107,'تجربه‌گرها'!$F:$F,G$1)</f>
        <v>0</v>
      </c>
      <c r="H107" s="242">
        <f>COUNTIFS('تجربه‌گرها'!$B:$B,$A107,'تجربه‌گرها'!$F:$F,H$1)</f>
        <v>0</v>
      </c>
      <c r="I107" s="242">
        <f>COUNTIFS('تجربه‌گرها'!$B:$B,$A107,'تجربه‌گرها'!$F:$F,I$1)</f>
        <v>0</v>
      </c>
      <c r="J107" s="242">
        <f>COUNTIFS('تجربه‌گرها'!$B:$B,$A107,'تجربه‌گرها'!$F:$F,J$1)</f>
        <v>0</v>
      </c>
      <c r="K107" s="242">
        <f>COUNTIFS('تجربه‌گرها'!$B:$B,$A107,'تجربه‌گرها'!$F:$F,K$1)</f>
        <v>0</v>
      </c>
      <c r="L107" s="242">
        <f>COUNTIFS('تجربه‌گرها'!$B:$B,$A107,'تجربه‌گرها'!$F:$F,L$1)</f>
        <v>0</v>
      </c>
      <c r="M107" s="242">
        <f>COUNTIFS('تجربه‌گرها'!$B:$B,$A107,'تجربه‌گرها'!$F:$F,M$1)</f>
        <v>0</v>
      </c>
      <c r="N107" s="242">
        <f>COUNTIFS('تجربه‌گرها'!$B:$B,$A107,'تجربه‌گرها'!$F:$F,N$1)</f>
        <v>0</v>
      </c>
      <c r="O107" s="242">
        <f>COUNTIFS('تجربه‌گرها'!$B:$B,$A107,'تجربه‌گرها'!$F:$F,O$1)</f>
        <v>0</v>
      </c>
      <c r="P107" s="242">
        <f>COUNTIFS('تجربه‌گرها'!$B:$B,$A107,'تجربه‌گرها'!$F:$F,P$1)</f>
        <v>0</v>
      </c>
      <c r="Q107" s="242">
        <f>COUNTIFS('تجربه‌گرها'!$B:$B,$A107,'تجربه‌گرها'!$F:$F,Q$1)</f>
        <v>0</v>
      </c>
      <c r="R107" s="242">
        <f>COUNTIFS('تجربه‌گرها'!$B:$B,$A107,'تجربه‌گرها'!$F:$F,R$1)</f>
        <v>0</v>
      </c>
      <c r="S107" s="242">
        <f>COUNTIFS('تجربه‌گرها'!$B:$B,$A107,'تجربه‌گرها'!$F:$F,S$1)</f>
        <v>0</v>
      </c>
      <c r="T107" s="242">
        <f>COUNTIFS('تجربه‌گرها'!$B:$B,$A107,'تجربه‌گرها'!$F:$F,T$1)</f>
        <v>0</v>
      </c>
      <c r="U107" s="242"/>
      <c r="V107" s="242"/>
      <c r="W107" s="242"/>
      <c r="X107" s="242"/>
      <c r="Y107" s="242"/>
      <c r="Z107" s="242"/>
      <c r="AA107" s="242"/>
      <c r="AB107" s="242"/>
    </row>
    <row r="108" hidden="1">
      <c r="A108" s="244" t="s">
        <v>1456</v>
      </c>
      <c r="B108" s="245" t="str">
        <f>VLOOKUP(A108,'تجربه‌گرها'!B:C,2,FALSE())</f>
        <v>9121988114</v>
      </c>
      <c r="C108" s="242"/>
      <c r="D108" s="242">
        <f t="shared" si="1"/>
        <v>1</v>
      </c>
      <c r="E108" s="242">
        <f>COUNTIFS('تجربه‌گرها'!$B:$B,$A108,'تجربه‌گرها'!$F:$F,E$1)</f>
        <v>1</v>
      </c>
      <c r="F108" s="242">
        <f>COUNTIFS('تجربه‌گرها'!$B:$B,$A108,'تجربه‌گرها'!$F:$F,F$1)</f>
        <v>0</v>
      </c>
      <c r="G108" s="242">
        <f>COUNTIFS('تجربه‌گرها'!$B:$B,$A108,'تجربه‌گرها'!$F:$F,G$1)</f>
        <v>0</v>
      </c>
      <c r="H108" s="242">
        <f>COUNTIFS('تجربه‌گرها'!$B:$B,$A108,'تجربه‌گرها'!$F:$F,H$1)</f>
        <v>0</v>
      </c>
      <c r="I108" s="242">
        <f>COUNTIFS('تجربه‌گرها'!$B:$B,$A108,'تجربه‌گرها'!$F:$F,I$1)</f>
        <v>0</v>
      </c>
      <c r="J108" s="242">
        <f>COUNTIFS('تجربه‌گرها'!$B:$B,$A108,'تجربه‌گرها'!$F:$F,J$1)</f>
        <v>0</v>
      </c>
      <c r="K108" s="242">
        <f>COUNTIFS('تجربه‌گرها'!$B:$B,$A108,'تجربه‌گرها'!$F:$F,K$1)</f>
        <v>0</v>
      </c>
      <c r="L108" s="242">
        <f>COUNTIFS('تجربه‌گرها'!$B:$B,$A108,'تجربه‌گرها'!$F:$F,L$1)</f>
        <v>0</v>
      </c>
      <c r="M108" s="242">
        <f>COUNTIFS('تجربه‌گرها'!$B:$B,$A108,'تجربه‌گرها'!$F:$F,M$1)</f>
        <v>0</v>
      </c>
      <c r="N108" s="242">
        <f>COUNTIFS('تجربه‌گرها'!$B:$B,$A108,'تجربه‌گرها'!$F:$F,N$1)</f>
        <v>0</v>
      </c>
      <c r="O108" s="242">
        <f>COUNTIFS('تجربه‌گرها'!$B:$B,$A108,'تجربه‌گرها'!$F:$F,O$1)</f>
        <v>0</v>
      </c>
      <c r="P108" s="242">
        <f>COUNTIFS('تجربه‌گرها'!$B:$B,$A108,'تجربه‌گرها'!$F:$F,P$1)</f>
        <v>0</v>
      </c>
      <c r="Q108" s="242">
        <f>COUNTIFS('تجربه‌گرها'!$B:$B,$A108,'تجربه‌گرها'!$F:$F,Q$1)</f>
        <v>0</v>
      </c>
      <c r="R108" s="242">
        <f>COUNTIFS('تجربه‌گرها'!$B:$B,$A108,'تجربه‌گرها'!$F:$F,R$1)</f>
        <v>0</v>
      </c>
      <c r="S108" s="242">
        <f>COUNTIFS('تجربه‌گرها'!$B:$B,$A108,'تجربه‌گرها'!$F:$F,S$1)</f>
        <v>0</v>
      </c>
      <c r="T108" s="242">
        <f>COUNTIFS('تجربه‌گرها'!$B:$B,$A108,'تجربه‌گرها'!$F:$F,T$1)</f>
        <v>0</v>
      </c>
      <c r="U108" s="242"/>
      <c r="V108" s="242"/>
      <c r="W108" s="242"/>
      <c r="X108" s="242"/>
      <c r="Y108" s="242"/>
      <c r="Z108" s="242"/>
      <c r="AA108" s="242"/>
      <c r="AB108" s="242"/>
    </row>
    <row r="109">
      <c r="A109" s="244" t="s">
        <v>1463</v>
      </c>
      <c r="B109" s="245" t="str">
        <f>VLOOKUP(A109,'تجربه‌گرها'!B:C,2,FALSE())</f>
        <v>9123441962</v>
      </c>
      <c r="C109" s="242"/>
      <c r="D109" s="242">
        <f t="shared" si="1"/>
        <v>2</v>
      </c>
      <c r="E109" s="242">
        <f>COUNTIFS('تجربه‌گرها'!$B:$B,$A109,'تجربه‌گرها'!$F:$F,E$1)</f>
        <v>1</v>
      </c>
      <c r="F109" s="242">
        <f>COUNTIFS('تجربه‌گرها'!$B:$B,$A109,'تجربه‌گرها'!$F:$F,F$1)</f>
        <v>1</v>
      </c>
      <c r="G109" s="242">
        <f>COUNTIFS('تجربه‌گرها'!$B:$B,$A109,'تجربه‌گرها'!$F:$F,G$1)</f>
        <v>0</v>
      </c>
      <c r="H109" s="242">
        <f>COUNTIFS('تجربه‌گرها'!$B:$B,$A109,'تجربه‌گرها'!$F:$F,H$1)</f>
        <v>0</v>
      </c>
      <c r="I109" s="242">
        <f>COUNTIFS('تجربه‌گرها'!$B:$B,$A109,'تجربه‌گرها'!$F:$F,I$1)</f>
        <v>0</v>
      </c>
      <c r="J109" s="242">
        <f>COUNTIFS('تجربه‌گرها'!$B:$B,$A109,'تجربه‌گرها'!$F:$F,J$1)</f>
        <v>0</v>
      </c>
      <c r="K109" s="242">
        <f>COUNTIFS('تجربه‌گرها'!$B:$B,$A109,'تجربه‌گرها'!$F:$F,K$1)</f>
        <v>0</v>
      </c>
      <c r="L109" s="242">
        <f>COUNTIFS('تجربه‌گرها'!$B:$B,$A109,'تجربه‌گرها'!$F:$F,L$1)</f>
        <v>0</v>
      </c>
      <c r="M109" s="242">
        <f>COUNTIFS('تجربه‌گرها'!$B:$B,$A109,'تجربه‌گرها'!$F:$F,M$1)</f>
        <v>0</v>
      </c>
      <c r="N109" s="242">
        <f>COUNTIFS('تجربه‌گرها'!$B:$B,$A109,'تجربه‌گرها'!$F:$F,N$1)</f>
        <v>0</v>
      </c>
      <c r="O109" s="242">
        <f>COUNTIFS('تجربه‌گرها'!$B:$B,$A109,'تجربه‌گرها'!$F:$F,O$1)</f>
        <v>0</v>
      </c>
      <c r="P109" s="242">
        <f>COUNTIFS('تجربه‌گرها'!$B:$B,$A109,'تجربه‌گرها'!$F:$F,P$1)</f>
        <v>0</v>
      </c>
      <c r="Q109" s="242">
        <f>COUNTIFS('تجربه‌گرها'!$B:$B,$A109,'تجربه‌گرها'!$F:$F,Q$1)</f>
        <v>0</v>
      </c>
      <c r="R109" s="242">
        <f>COUNTIFS('تجربه‌گرها'!$B:$B,$A109,'تجربه‌گرها'!$F:$F,R$1)</f>
        <v>0</v>
      </c>
      <c r="S109" s="242">
        <f>COUNTIFS('تجربه‌گرها'!$B:$B,$A109,'تجربه‌گرها'!$F:$F,S$1)</f>
        <v>0</v>
      </c>
      <c r="T109" s="242">
        <f>COUNTIFS('تجربه‌گرها'!$B:$B,$A109,'تجربه‌گرها'!$F:$F,T$1)</f>
        <v>0</v>
      </c>
      <c r="U109" s="242"/>
      <c r="V109" s="242"/>
      <c r="W109" s="242"/>
      <c r="X109" s="242"/>
      <c r="Y109" s="242"/>
      <c r="Z109" s="242"/>
      <c r="AA109" s="242"/>
      <c r="AB109" s="242"/>
    </row>
    <row r="110" hidden="1">
      <c r="A110" s="244" t="s">
        <v>1470</v>
      </c>
      <c r="B110" s="245" t="str">
        <f>VLOOKUP(A110,'تجربه‌گرها'!B:C,2,FALSE())</f>
        <v>9355408007</v>
      </c>
      <c r="C110" s="242"/>
      <c r="D110" s="242">
        <f t="shared" si="1"/>
        <v>1</v>
      </c>
      <c r="E110" s="242">
        <f>COUNTIFS('تجربه‌گرها'!$B:$B,$A110,'تجربه‌گرها'!$F:$F,E$1)</f>
        <v>1</v>
      </c>
      <c r="F110" s="242">
        <f>COUNTIFS('تجربه‌گرها'!$B:$B,$A110,'تجربه‌گرها'!$F:$F,F$1)</f>
        <v>0</v>
      </c>
      <c r="G110" s="242">
        <f>COUNTIFS('تجربه‌گرها'!$B:$B,$A110,'تجربه‌گرها'!$F:$F,G$1)</f>
        <v>0</v>
      </c>
      <c r="H110" s="242">
        <f>COUNTIFS('تجربه‌گرها'!$B:$B,$A110,'تجربه‌گرها'!$F:$F,H$1)</f>
        <v>0</v>
      </c>
      <c r="I110" s="242">
        <f>COUNTIFS('تجربه‌گرها'!$B:$B,$A110,'تجربه‌گرها'!$F:$F,I$1)</f>
        <v>0</v>
      </c>
      <c r="J110" s="242">
        <f>COUNTIFS('تجربه‌گرها'!$B:$B,$A110,'تجربه‌گرها'!$F:$F,J$1)</f>
        <v>0</v>
      </c>
      <c r="K110" s="242">
        <f>COUNTIFS('تجربه‌گرها'!$B:$B,$A110,'تجربه‌گرها'!$F:$F,K$1)</f>
        <v>0</v>
      </c>
      <c r="L110" s="242">
        <f>COUNTIFS('تجربه‌گرها'!$B:$B,$A110,'تجربه‌گرها'!$F:$F,L$1)</f>
        <v>0</v>
      </c>
      <c r="M110" s="242">
        <f>COUNTIFS('تجربه‌گرها'!$B:$B,$A110,'تجربه‌گرها'!$F:$F,M$1)</f>
        <v>0</v>
      </c>
      <c r="N110" s="242">
        <f>COUNTIFS('تجربه‌گرها'!$B:$B,$A110,'تجربه‌گرها'!$F:$F,N$1)</f>
        <v>0</v>
      </c>
      <c r="O110" s="242">
        <f>COUNTIFS('تجربه‌گرها'!$B:$B,$A110,'تجربه‌گرها'!$F:$F,O$1)</f>
        <v>0</v>
      </c>
      <c r="P110" s="242">
        <f>COUNTIFS('تجربه‌گرها'!$B:$B,$A110,'تجربه‌گرها'!$F:$F,P$1)</f>
        <v>0</v>
      </c>
      <c r="Q110" s="242">
        <f>COUNTIFS('تجربه‌گرها'!$B:$B,$A110,'تجربه‌گرها'!$F:$F,Q$1)</f>
        <v>0</v>
      </c>
      <c r="R110" s="242">
        <f>COUNTIFS('تجربه‌گرها'!$B:$B,$A110,'تجربه‌گرها'!$F:$F,R$1)</f>
        <v>0</v>
      </c>
      <c r="S110" s="242">
        <f>COUNTIFS('تجربه‌گرها'!$B:$B,$A110,'تجربه‌گرها'!$F:$F,S$1)</f>
        <v>0</v>
      </c>
      <c r="T110" s="242">
        <f>COUNTIFS('تجربه‌گرها'!$B:$B,$A110,'تجربه‌گرها'!$F:$F,T$1)</f>
        <v>0</v>
      </c>
      <c r="U110" s="242"/>
      <c r="V110" s="242"/>
      <c r="W110" s="242"/>
      <c r="X110" s="242"/>
      <c r="Y110" s="242"/>
      <c r="Z110" s="242"/>
      <c r="AA110" s="242"/>
      <c r="AB110" s="242"/>
    </row>
    <row r="111" hidden="1">
      <c r="A111" s="244" t="s">
        <v>1477</v>
      </c>
      <c r="B111" s="245" t="str">
        <f>VLOOKUP(A111,'تجربه‌گرها'!B:C,2,FALSE())</f>
        <v>9127972737</v>
      </c>
      <c r="C111" s="242"/>
      <c r="D111" s="242">
        <f t="shared" si="1"/>
        <v>1</v>
      </c>
      <c r="E111" s="242">
        <f>COUNTIFS('تجربه‌گرها'!$B:$B,$A111,'تجربه‌گرها'!$F:$F,E$1)</f>
        <v>1</v>
      </c>
      <c r="F111" s="242">
        <f>COUNTIFS('تجربه‌گرها'!$B:$B,$A111,'تجربه‌گرها'!$F:$F,F$1)</f>
        <v>0</v>
      </c>
      <c r="G111" s="242">
        <f>COUNTIFS('تجربه‌گرها'!$B:$B,$A111,'تجربه‌گرها'!$F:$F,G$1)</f>
        <v>0</v>
      </c>
      <c r="H111" s="242">
        <f>COUNTIFS('تجربه‌گرها'!$B:$B,$A111,'تجربه‌گرها'!$F:$F,H$1)</f>
        <v>0</v>
      </c>
      <c r="I111" s="242">
        <f>COUNTIFS('تجربه‌گرها'!$B:$B,$A111,'تجربه‌گرها'!$F:$F,I$1)</f>
        <v>0</v>
      </c>
      <c r="J111" s="242">
        <f>COUNTIFS('تجربه‌گرها'!$B:$B,$A111,'تجربه‌گرها'!$F:$F,J$1)</f>
        <v>0</v>
      </c>
      <c r="K111" s="242">
        <f>COUNTIFS('تجربه‌گرها'!$B:$B,$A111,'تجربه‌گرها'!$F:$F,K$1)</f>
        <v>0</v>
      </c>
      <c r="L111" s="242">
        <f>COUNTIFS('تجربه‌گرها'!$B:$B,$A111,'تجربه‌گرها'!$F:$F,L$1)</f>
        <v>0</v>
      </c>
      <c r="M111" s="242">
        <f>COUNTIFS('تجربه‌گرها'!$B:$B,$A111,'تجربه‌گرها'!$F:$F,M$1)</f>
        <v>0</v>
      </c>
      <c r="N111" s="242">
        <f>COUNTIFS('تجربه‌گرها'!$B:$B,$A111,'تجربه‌گرها'!$F:$F,N$1)</f>
        <v>0</v>
      </c>
      <c r="O111" s="242">
        <f>COUNTIFS('تجربه‌گرها'!$B:$B,$A111,'تجربه‌گرها'!$F:$F,O$1)</f>
        <v>0</v>
      </c>
      <c r="P111" s="242">
        <f>COUNTIFS('تجربه‌گرها'!$B:$B,$A111,'تجربه‌گرها'!$F:$F,P$1)</f>
        <v>0</v>
      </c>
      <c r="Q111" s="242">
        <f>COUNTIFS('تجربه‌گرها'!$B:$B,$A111,'تجربه‌گرها'!$F:$F,Q$1)</f>
        <v>0</v>
      </c>
      <c r="R111" s="242">
        <f>COUNTIFS('تجربه‌گرها'!$B:$B,$A111,'تجربه‌گرها'!$F:$F,R$1)</f>
        <v>0</v>
      </c>
      <c r="S111" s="242">
        <f>COUNTIFS('تجربه‌گرها'!$B:$B,$A111,'تجربه‌گرها'!$F:$F,S$1)</f>
        <v>0</v>
      </c>
      <c r="T111" s="242">
        <f>COUNTIFS('تجربه‌گرها'!$B:$B,$A111,'تجربه‌گرها'!$F:$F,T$1)</f>
        <v>0</v>
      </c>
      <c r="U111" s="242"/>
      <c r="V111" s="242"/>
      <c r="W111" s="242"/>
      <c r="X111" s="242"/>
      <c r="Y111" s="242"/>
      <c r="Z111" s="242"/>
      <c r="AA111" s="242"/>
      <c r="AB111" s="242"/>
    </row>
    <row r="112">
      <c r="A112" s="244" t="s">
        <v>1482</v>
      </c>
      <c r="B112" s="245" t="str">
        <f>VLOOKUP(A112,'تجربه‌گرها'!B:C,2,FALSE())</f>
        <v>9355907971</v>
      </c>
      <c r="C112" s="242"/>
      <c r="D112" s="242">
        <f t="shared" si="1"/>
        <v>2</v>
      </c>
      <c r="E112" s="242">
        <f>COUNTIFS('تجربه‌گرها'!$B:$B,$A112,'تجربه‌گرها'!$F:$F,E$1)</f>
        <v>1</v>
      </c>
      <c r="F112" s="242">
        <f>COUNTIFS('تجربه‌گرها'!$B:$B,$A112,'تجربه‌گرها'!$F:$F,F$1)</f>
        <v>1</v>
      </c>
      <c r="G112" s="242">
        <f>COUNTIFS('تجربه‌گرها'!$B:$B,$A112,'تجربه‌گرها'!$F:$F,G$1)</f>
        <v>0</v>
      </c>
      <c r="H112" s="242">
        <f>COUNTIFS('تجربه‌گرها'!$B:$B,$A112,'تجربه‌گرها'!$F:$F,H$1)</f>
        <v>0</v>
      </c>
      <c r="I112" s="242">
        <f>COUNTIFS('تجربه‌گرها'!$B:$B,$A112,'تجربه‌گرها'!$F:$F,I$1)</f>
        <v>0</v>
      </c>
      <c r="J112" s="242">
        <f>COUNTIFS('تجربه‌گرها'!$B:$B,$A112,'تجربه‌گرها'!$F:$F,J$1)</f>
        <v>0</v>
      </c>
      <c r="K112" s="242">
        <f>COUNTIFS('تجربه‌گرها'!$B:$B,$A112,'تجربه‌گرها'!$F:$F,K$1)</f>
        <v>0</v>
      </c>
      <c r="L112" s="242">
        <f>COUNTIFS('تجربه‌گرها'!$B:$B,$A112,'تجربه‌گرها'!$F:$F,L$1)</f>
        <v>0</v>
      </c>
      <c r="M112" s="242">
        <f>COUNTIFS('تجربه‌گرها'!$B:$B,$A112,'تجربه‌گرها'!$F:$F,M$1)</f>
        <v>0</v>
      </c>
      <c r="N112" s="242">
        <f>COUNTIFS('تجربه‌گرها'!$B:$B,$A112,'تجربه‌گرها'!$F:$F,N$1)</f>
        <v>0</v>
      </c>
      <c r="O112" s="242">
        <f>COUNTIFS('تجربه‌گرها'!$B:$B,$A112,'تجربه‌گرها'!$F:$F,O$1)</f>
        <v>0</v>
      </c>
      <c r="P112" s="242">
        <f>COUNTIFS('تجربه‌گرها'!$B:$B,$A112,'تجربه‌گرها'!$F:$F,P$1)</f>
        <v>0</v>
      </c>
      <c r="Q112" s="242">
        <f>COUNTIFS('تجربه‌گرها'!$B:$B,$A112,'تجربه‌گرها'!$F:$F,Q$1)</f>
        <v>0</v>
      </c>
      <c r="R112" s="242">
        <f>COUNTIFS('تجربه‌گرها'!$B:$B,$A112,'تجربه‌گرها'!$F:$F,R$1)</f>
        <v>0</v>
      </c>
      <c r="S112" s="242">
        <f>COUNTIFS('تجربه‌گرها'!$B:$B,$A112,'تجربه‌گرها'!$F:$F,S$1)</f>
        <v>0</v>
      </c>
      <c r="T112" s="242">
        <f>COUNTIFS('تجربه‌گرها'!$B:$B,$A112,'تجربه‌گرها'!$F:$F,T$1)</f>
        <v>0</v>
      </c>
      <c r="U112" s="242"/>
      <c r="V112" s="242"/>
      <c r="W112" s="242"/>
      <c r="X112" s="242"/>
      <c r="Y112" s="242"/>
      <c r="Z112" s="242"/>
      <c r="AA112" s="242"/>
      <c r="AB112" s="242"/>
    </row>
    <row r="113" hidden="1">
      <c r="A113" s="244" t="s">
        <v>1485</v>
      </c>
      <c r="B113" s="245" t="str">
        <f>VLOOKUP(A113,'تجربه‌گرها'!B:C,2,FALSE())</f>
        <v>9123988422</v>
      </c>
      <c r="C113" s="242"/>
      <c r="D113" s="242">
        <f t="shared" si="1"/>
        <v>1</v>
      </c>
      <c r="E113" s="242">
        <f>COUNTIFS('تجربه‌گرها'!$B:$B,$A113,'تجربه‌گرها'!$F:$F,E$1)</f>
        <v>1</v>
      </c>
      <c r="F113" s="242">
        <f>COUNTIFS('تجربه‌گرها'!$B:$B,$A113,'تجربه‌گرها'!$F:$F,F$1)</f>
        <v>0</v>
      </c>
      <c r="G113" s="242">
        <f>COUNTIFS('تجربه‌گرها'!$B:$B,$A113,'تجربه‌گرها'!$F:$F,G$1)</f>
        <v>0</v>
      </c>
      <c r="H113" s="242">
        <f>COUNTIFS('تجربه‌گرها'!$B:$B,$A113,'تجربه‌گرها'!$F:$F,H$1)</f>
        <v>0</v>
      </c>
      <c r="I113" s="242">
        <f>COUNTIFS('تجربه‌گرها'!$B:$B,$A113,'تجربه‌گرها'!$F:$F,I$1)</f>
        <v>0</v>
      </c>
      <c r="J113" s="242">
        <f>COUNTIFS('تجربه‌گرها'!$B:$B,$A113,'تجربه‌گرها'!$F:$F,J$1)</f>
        <v>0</v>
      </c>
      <c r="K113" s="242">
        <f>COUNTIFS('تجربه‌گرها'!$B:$B,$A113,'تجربه‌گرها'!$F:$F,K$1)</f>
        <v>0</v>
      </c>
      <c r="L113" s="242">
        <f>COUNTIFS('تجربه‌گرها'!$B:$B,$A113,'تجربه‌گرها'!$F:$F,L$1)</f>
        <v>0</v>
      </c>
      <c r="M113" s="242">
        <f>COUNTIFS('تجربه‌گرها'!$B:$B,$A113,'تجربه‌گرها'!$F:$F,M$1)</f>
        <v>0</v>
      </c>
      <c r="N113" s="242">
        <f>COUNTIFS('تجربه‌گرها'!$B:$B,$A113,'تجربه‌گرها'!$F:$F,N$1)</f>
        <v>0</v>
      </c>
      <c r="O113" s="242">
        <f>COUNTIFS('تجربه‌گرها'!$B:$B,$A113,'تجربه‌گرها'!$F:$F,O$1)</f>
        <v>0</v>
      </c>
      <c r="P113" s="242">
        <f>COUNTIFS('تجربه‌گرها'!$B:$B,$A113,'تجربه‌گرها'!$F:$F,P$1)</f>
        <v>0</v>
      </c>
      <c r="Q113" s="242">
        <f>COUNTIFS('تجربه‌گرها'!$B:$B,$A113,'تجربه‌گرها'!$F:$F,Q$1)</f>
        <v>0</v>
      </c>
      <c r="R113" s="242">
        <f>COUNTIFS('تجربه‌گرها'!$B:$B,$A113,'تجربه‌گرها'!$F:$F,R$1)</f>
        <v>0</v>
      </c>
      <c r="S113" s="242">
        <f>COUNTIFS('تجربه‌گرها'!$B:$B,$A113,'تجربه‌گرها'!$F:$F,S$1)</f>
        <v>0</v>
      </c>
      <c r="T113" s="242">
        <f>COUNTIFS('تجربه‌گرها'!$B:$B,$A113,'تجربه‌گرها'!$F:$F,T$1)</f>
        <v>0</v>
      </c>
      <c r="U113" s="242"/>
      <c r="V113" s="242"/>
      <c r="W113" s="242"/>
      <c r="X113" s="242"/>
      <c r="Y113" s="242"/>
      <c r="Z113" s="242"/>
      <c r="AA113" s="242"/>
      <c r="AB113" s="242"/>
    </row>
    <row r="114">
      <c r="A114" s="244" t="s">
        <v>1488</v>
      </c>
      <c r="B114" s="245" t="str">
        <f>VLOOKUP(A114,'تجربه‌گرها'!B:C,2,FALSE())</f>
        <v>9120296998</v>
      </c>
      <c r="C114" s="242"/>
      <c r="D114" s="242">
        <f t="shared" si="1"/>
        <v>2</v>
      </c>
      <c r="E114" s="242">
        <f>COUNTIFS('تجربه‌گرها'!$B:$B,$A114,'تجربه‌گرها'!$F:$F,E$1)</f>
        <v>1</v>
      </c>
      <c r="F114" s="242">
        <f>COUNTIFS('تجربه‌گرها'!$B:$B,$A114,'تجربه‌گرها'!$F:$F,F$1)</f>
        <v>0</v>
      </c>
      <c r="G114" s="242">
        <f>COUNTIFS('تجربه‌گرها'!$B:$B,$A114,'تجربه‌گرها'!$F:$F,G$1)</f>
        <v>1</v>
      </c>
      <c r="H114" s="242">
        <f>COUNTIFS('تجربه‌گرها'!$B:$B,$A114,'تجربه‌گرها'!$F:$F,H$1)</f>
        <v>0</v>
      </c>
      <c r="I114" s="242">
        <f>COUNTIFS('تجربه‌گرها'!$B:$B,$A114,'تجربه‌گرها'!$F:$F,I$1)</f>
        <v>0</v>
      </c>
      <c r="J114" s="242">
        <f>COUNTIFS('تجربه‌گرها'!$B:$B,$A114,'تجربه‌گرها'!$F:$F,J$1)</f>
        <v>0</v>
      </c>
      <c r="K114" s="242">
        <f>COUNTIFS('تجربه‌گرها'!$B:$B,$A114,'تجربه‌گرها'!$F:$F,K$1)</f>
        <v>0</v>
      </c>
      <c r="L114" s="242">
        <f>COUNTIFS('تجربه‌گرها'!$B:$B,$A114,'تجربه‌گرها'!$F:$F,L$1)</f>
        <v>0</v>
      </c>
      <c r="M114" s="242">
        <f>COUNTIFS('تجربه‌گرها'!$B:$B,$A114,'تجربه‌گرها'!$F:$F,M$1)</f>
        <v>0</v>
      </c>
      <c r="N114" s="242">
        <f>COUNTIFS('تجربه‌گرها'!$B:$B,$A114,'تجربه‌گرها'!$F:$F,N$1)</f>
        <v>0</v>
      </c>
      <c r="O114" s="242">
        <f>COUNTIFS('تجربه‌گرها'!$B:$B,$A114,'تجربه‌گرها'!$F:$F,O$1)</f>
        <v>0</v>
      </c>
      <c r="P114" s="242">
        <f>COUNTIFS('تجربه‌گرها'!$B:$B,$A114,'تجربه‌گرها'!$F:$F,P$1)</f>
        <v>0</v>
      </c>
      <c r="Q114" s="242">
        <f>COUNTIFS('تجربه‌گرها'!$B:$B,$A114,'تجربه‌گرها'!$F:$F,Q$1)</f>
        <v>0</v>
      </c>
      <c r="R114" s="242">
        <f>COUNTIFS('تجربه‌گرها'!$B:$B,$A114,'تجربه‌گرها'!$F:$F,R$1)</f>
        <v>0</v>
      </c>
      <c r="S114" s="242">
        <f>COUNTIFS('تجربه‌گرها'!$B:$B,$A114,'تجربه‌گرها'!$F:$F,S$1)</f>
        <v>0</v>
      </c>
      <c r="T114" s="242">
        <f>COUNTIFS('تجربه‌گرها'!$B:$B,$A114,'تجربه‌گرها'!$F:$F,T$1)</f>
        <v>0</v>
      </c>
      <c r="U114" s="242"/>
      <c r="V114" s="242"/>
      <c r="W114" s="242"/>
      <c r="X114" s="242"/>
      <c r="Y114" s="242"/>
      <c r="Z114" s="242"/>
      <c r="AA114" s="242"/>
      <c r="AB114" s="242"/>
    </row>
    <row r="115" hidden="1">
      <c r="A115" s="244" t="s">
        <v>1495</v>
      </c>
      <c r="B115" s="245" t="str">
        <f>VLOOKUP(A115,'تجربه‌گرها'!B:C,2,FALSE())</f>
        <v>9132659906</v>
      </c>
      <c r="C115" s="242"/>
      <c r="D115" s="242">
        <f t="shared" si="1"/>
        <v>1</v>
      </c>
      <c r="E115" s="242">
        <f>COUNTIFS('تجربه‌گرها'!$B:$B,$A115,'تجربه‌گرها'!$F:$F,E$1)</f>
        <v>1</v>
      </c>
      <c r="F115" s="242">
        <f>COUNTIFS('تجربه‌گرها'!$B:$B,$A115,'تجربه‌گرها'!$F:$F,F$1)</f>
        <v>0</v>
      </c>
      <c r="G115" s="242">
        <f>COUNTIFS('تجربه‌گرها'!$B:$B,$A115,'تجربه‌گرها'!$F:$F,G$1)</f>
        <v>0</v>
      </c>
      <c r="H115" s="242">
        <f>COUNTIFS('تجربه‌گرها'!$B:$B,$A115,'تجربه‌گرها'!$F:$F,H$1)</f>
        <v>0</v>
      </c>
      <c r="I115" s="242">
        <f>COUNTIFS('تجربه‌گرها'!$B:$B,$A115,'تجربه‌گرها'!$F:$F,I$1)</f>
        <v>0</v>
      </c>
      <c r="J115" s="242">
        <f>COUNTIFS('تجربه‌گرها'!$B:$B,$A115,'تجربه‌گرها'!$F:$F,J$1)</f>
        <v>0</v>
      </c>
      <c r="K115" s="242">
        <f>COUNTIFS('تجربه‌گرها'!$B:$B,$A115,'تجربه‌گرها'!$F:$F,K$1)</f>
        <v>0</v>
      </c>
      <c r="L115" s="242">
        <f>COUNTIFS('تجربه‌گرها'!$B:$B,$A115,'تجربه‌گرها'!$F:$F,L$1)</f>
        <v>0</v>
      </c>
      <c r="M115" s="242">
        <f>COUNTIFS('تجربه‌گرها'!$B:$B,$A115,'تجربه‌گرها'!$F:$F,M$1)</f>
        <v>0</v>
      </c>
      <c r="N115" s="242">
        <f>COUNTIFS('تجربه‌گرها'!$B:$B,$A115,'تجربه‌گرها'!$F:$F,N$1)</f>
        <v>0</v>
      </c>
      <c r="O115" s="242">
        <f>COUNTIFS('تجربه‌گرها'!$B:$B,$A115,'تجربه‌گرها'!$F:$F,O$1)</f>
        <v>0</v>
      </c>
      <c r="P115" s="242">
        <f>COUNTIFS('تجربه‌گرها'!$B:$B,$A115,'تجربه‌گرها'!$F:$F,P$1)</f>
        <v>0</v>
      </c>
      <c r="Q115" s="242">
        <f>COUNTIFS('تجربه‌گرها'!$B:$B,$A115,'تجربه‌گرها'!$F:$F,Q$1)</f>
        <v>0</v>
      </c>
      <c r="R115" s="242">
        <f>COUNTIFS('تجربه‌گرها'!$B:$B,$A115,'تجربه‌گرها'!$F:$F,R$1)</f>
        <v>0</v>
      </c>
      <c r="S115" s="242">
        <f>COUNTIFS('تجربه‌گرها'!$B:$B,$A115,'تجربه‌گرها'!$F:$F,S$1)</f>
        <v>0</v>
      </c>
      <c r="T115" s="242">
        <f>COUNTIFS('تجربه‌گرها'!$B:$B,$A115,'تجربه‌گرها'!$F:$F,T$1)</f>
        <v>0</v>
      </c>
      <c r="U115" s="242"/>
      <c r="V115" s="242"/>
      <c r="W115" s="242"/>
      <c r="X115" s="242"/>
      <c r="Y115" s="242"/>
      <c r="Z115" s="242"/>
      <c r="AA115" s="242"/>
      <c r="AB115" s="242"/>
    </row>
    <row r="116" hidden="1">
      <c r="A116" s="244" t="s">
        <v>1501</v>
      </c>
      <c r="B116" s="245" t="str">
        <f>VLOOKUP(A116,'تجربه‌گرها'!B:C,2,FALSE())</f>
        <v>9122859576</v>
      </c>
      <c r="C116" s="242"/>
      <c r="D116" s="242">
        <f t="shared" si="1"/>
        <v>1</v>
      </c>
      <c r="E116" s="242">
        <f>COUNTIFS('تجربه‌گرها'!$B:$B,$A116,'تجربه‌گرها'!$F:$F,E$1)</f>
        <v>1</v>
      </c>
      <c r="F116" s="242">
        <f>COUNTIFS('تجربه‌گرها'!$B:$B,$A116,'تجربه‌گرها'!$F:$F,F$1)</f>
        <v>0</v>
      </c>
      <c r="G116" s="242">
        <f>COUNTIFS('تجربه‌گرها'!$B:$B,$A116,'تجربه‌گرها'!$F:$F,G$1)</f>
        <v>0</v>
      </c>
      <c r="H116" s="242">
        <f>COUNTIFS('تجربه‌گرها'!$B:$B,$A116,'تجربه‌گرها'!$F:$F,H$1)</f>
        <v>0</v>
      </c>
      <c r="I116" s="242">
        <f>COUNTIFS('تجربه‌گرها'!$B:$B,$A116,'تجربه‌گرها'!$F:$F,I$1)</f>
        <v>0</v>
      </c>
      <c r="J116" s="242">
        <f>COUNTIFS('تجربه‌گرها'!$B:$B,$A116,'تجربه‌گرها'!$F:$F,J$1)</f>
        <v>0</v>
      </c>
      <c r="K116" s="242">
        <f>COUNTIFS('تجربه‌گرها'!$B:$B,$A116,'تجربه‌گرها'!$F:$F,K$1)</f>
        <v>0</v>
      </c>
      <c r="L116" s="242">
        <f>COUNTIFS('تجربه‌گرها'!$B:$B,$A116,'تجربه‌گرها'!$F:$F,L$1)</f>
        <v>0</v>
      </c>
      <c r="M116" s="242">
        <f>COUNTIFS('تجربه‌گرها'!$B:$B,$A116,'تجربه‌گرها'!$F:$F,M$1)</f>
        <v>0</v>
      </c>
      <c r="N116" s="242">
        <f>COUNTIFS('تجربه‌گرها'!$B:$B,$A116,'تجربه‌گرها'!$F:$F,N$1)</f>
        <v>0</v>
      </c>
      <c r="O116" s="242">
        <f>COUNTIFS('تجربه‌گرها'!$B:$B,$A116,'تجربه‌گرها'!$F:$F,O$1)</f>
        <v>0</v>
      </c>
      <c r="P116" s="242">
        <f>COUNTIFS('تجربه‌گرها'!$B:$B,$A116,'تجربه‌گرها'!$F:$F,P$1)</f>
        <v>0</v>
      </c>
      <c r="Q116" s="242">
        <f>COUNTIFS('تجربه‌گرها'!$B:$B,$A116,'تجربه‌گرها'!$F:$F,Q$1)</f>
        <v>0</v>
      </c>
      <c r="R116" s="242">
        <f>COUNTIFS('تجربه‌گرها'!$B:$B,$A116,'تجربه‌گرها'!$F:$F,R$1)</f>
        <v>0</v>
      </c>
      <c r="S116" s="242">
        <f>COUNTIFS('تجربه‌گرها'!$B:$B,$A116,'تجربه‌گرها'!$F:$F,S$1)</f>
        <v>0</v>
      </c>
      <c r="T116" s="242">
        <f>COUNTIFS('تجربه‌گرها'!$B:$B,$A116,'تجربه‌گرها'!$F:$F,T$1)</f>
        <v>0</v>
      </c>
      <c r="U116" s="242"/>
      <c r="V116" s="242"/>
      <c r="W116" s="242"/>
      <c r="X116" s="242"/>
      <c r="Y116" s="242"/>
      <c r="Z116" s="242"/>
      <c r="AA116" s="242"/>
      <c r="AB116" s="242"/>
    </row>
    <row r="117" hidden="1">
      <c r="A117" s="244" t="s">
        <v>1508</v>
      </c>
      <c r="B117" s="245" t="str">
        <f>VLOOKUP(A117,'تجربه‌گرها'!B:C,2,FALSE())</f>
        <v>9334443753</v>
      </c>
      <c r="C117" s="242"/>
      <c r="D117" s="242">
        <f t="shared" si="1"/>
        <v>1</v>
      </c>
      <c r="E117" s="242">
        <f>COUNTIFS('تجربه‌گرها'!$B:$B,$A117,'تجربه‌گرها'!$F:$F,E$1)</f>
        <v>1</v>
      </c>
      <c r="F117" s="242">
        <f>COUNTIFS('تجربه‌گرها'!$B:$B,$A117,'تجربه‌گرها'!$F:$F,F$1)</f>
        <v>0</v>
      </c>
      <c r="G117" s="242">
        <f>COUNTIFS('تجربه‌گرها'!$B:$B,$A117,'تجربه‌گرها'!$F:$F,G$1)</f>
        <v>0</v>
      </c>
      <c r="H117" s="242">
        <f>COUNTIFS('تجربه‌گرها'!$B:$B,$A117,'تجربه‌گرها'!$F:$F,H$1)</f>
        <v>0</v>
      </c>
      <c r="I117" s="242">
        <f>COUNTIFS('تجربه‌گرها'!$B:$B,$A117,'تجربه‌گرها'!$F:$F,I$1)</f>
        <v>0</v>
      </c>
      <c r="J117" s="242">
        <f>COUNTIFS('تجربه‌گرها'!$B:$B,$A117,'تجربه‌گرها'!$F:$F,J$1)</f>
        <v>0</v>
      </c>
      <c r="K117" s="242">
        <f>COUNTIFS('تجربه‌گرها'!$B:$B,$A117,'تجربه‌گرها'!$F:$F,K$1)</f>
        <v>0</v>
      </c>
      <c r="L117" s="242">
        <f>COUNTIFS('تجربه‌گرها'!$B:$B,$A117,'تجربه‌گرها'!$F:$F,L$1)</f>
        <v>0</v>
      </c>
      <c r="M117" s="242">
        <f>COUNTIFS('تجربه‌گرها'!$B:$B,$A117,'تجربه‌گرها'!$F:$F,M$1)</f>
        <v>0</v>
      </c>
      <c r="N117" s="242">
        <f>COUNTIFS('تجربه‌گرها'!$B:$B,$A117,'تجربه‌گرها'!$F:$F,N$1)</f>
        <v>0</v>
      </c>
      <c r="O117" s="242">
        <f>COUNTIFS('تجربه‌گرها'!$B:$B,$A117,'تجربه‌گرها'!$F:$F,O$1)</f>
        <v>0</v>
      </c>
      <c r="P117" s="242">
        <f>COUNTIFS('تجربه‌گرها'!$B:$B,$A117,'تجربه‌گرها'!$F:$F,P$1)</f>
        <v>0</v>
      </c>
      <c r="Q117" s="242">
        <f>COUNTIFS('تجربه‌گرها'!$B:$B,$A117,'تجربه‌گرها'!$F:$F,Q$1)</f>
        <v>0</v>
      </c>
      <c r="R117" s="242">
        <f>COUNTIFS('تجربه‌گرها'!$B:$B,$A117,'تجربه‌گرها'!$F:$F,R$1)</f>
        <v>0</v>
      </c>
      <c r="S117" s="242">
        <f>COUNTIFS('تجربه‌گرها'!$B:$B,$A117,'تجربه‌گرها'!$F:$F,S$1)</f>
        <v>0</v>
      </c>
      <c r="T117" s="242">
        <f>COUNTIFS('تجربه‌گرها'!$B:$B,$A117,'تجربه‌گرها'!$F:$F,T$1)</f>
        <v>0</v>
      </c>
      <c r="U117" s="242"/>
      <c r="V117" s="242"/>
      <c r="W117" s="242"/>
      <c r="X117" s="242"/>
      <c r="Y117" s="242"/>
      <c r="Z117" s="242"/>
      <c r="AA117" s="242"/>
      <c r="AB117" s="242"/>
    </row>
    <row r="118">
      <c r="A118" s="244" t="s">
        <v>1515</v>
      </c>
      <c r="B118" s="245" t="str">
        <f>VLOOKUP(A118,'تجربه‌گرها'!B:C,2,FALSE())</f>
        <v>9120840040</v>
      </c>
      <c r="C118" s="242"/>
      <c r="D118" s="242">
        <f t="shared" si="1"/>
        <v>2</v>
      </c>
      <c r="E118" s="242">
        <f>COUNTIFS('تجربه‌گرها'!$B:$B,$A118,'تجربه‌گرها'!$F:$F,E$1)</f>
        <v>1</v>
      </c>
      <c r="F118" s="242">
        <f>COUNTIFS('تجربه‌گرها'!$B:$B,$A118,'تجربه‌گرها'!$F:$F,F$1)</f>
        <v>1</v>
      </c>
      <c r="G118" s="242">
        <f>COUNTIFS('تجربه‌گرها'!$B:$B,$A118,'تجربه‌گرها'!$F:$F,G$1)</f>
        <v>0</v>
      </c>
      <c r="H118" s="242">
        <f>COUNTIFS('تجربه‌گرها'!$B:$B,$A118,'تجربه‌گرها'!$F:$F,H$1)</f>
        <v>0</v>
      </c>
      <c r="I118" s="242">
        <f>COUNTIFS('تجربه‌گرها'!$B:$B,$A118,'تجربه‌گرها'!$F:$F,I$1)</f>
        <v>0</v>
      </c>
      <c r="J118" s="242">
        <f>COUNTIFS('تجربه‌گرها'!$B:$B,$A118,'تجربه‌گرها'!$F:$F,J$1)</f>
        <v>0</v>
      </c>
      <c r="K118" s="242">
        <f>COUNTIFS('تجربه‌گرها'!$B:$B,$A118,'تجربه‌گرها'!$F:$F,K$1)</f>
        <v>0</v>
      </c>
      <c r="L118" s="242">
        <f>COUNTIFS('تجربه‌گرها'!$B:$B,$A118,'تجربه‌گرها'!$F:$F,L$1)</f>
        <v>0</v>
      </c>
      <c r="M118" s="242">
        <f>COUNTIFS('تجربه‌گرها'!$B:$B,$A118,'تجربه‌گرها'!$F:$F,M$1)</f>
        <v>0</v>
      </c>
      <c r="N118" s="242">
        <f>COUNTIFS('تجربه‌گرها'!$B:$B,$A118,'تجربه‌گرها'!$F:$F,N$1)</f>
        <v>0</v>
      </c>
      <c r="O118" s="242">
        <f>COUNTIFS('تجربه‌گرها'!$B:$B,$A118,'تجربه‌گرها'!$F:$F,O$1)</f>
        <v>0</v>
      </c>
      <c r="P118" s="242">
        <f>COUNTIFS('تجربه‌گرها'!$B:$B,$A118,'تجربه‌گرها'!$F:$F,P$1)</f>
        <v>0</v>
      </c>
      <c r="Q118" s="242">
        <f>COUNTIFS('تجربه‌گرها'!$B:$B,$A118,'تجربه‌گرها'!$F:$F,Q$1)</f>
        <v>0</v>
      </c>
      <c r="R118" s="242">
        <f>COUNTIFS('تجربه‌گرها'!$B:$B,$A118,'تجربه‌گرها'!$F:$F,R$1)</f>
        <v>0</v>
      </c>
      <c r="S118" s="242">
        <f>COUNTIFS('تجربه‌گرها'!$B:$B,$A118,'تجربه‌گرها'!$F:$F,S$1)</f>
        <v>0</v>
      </c>
      <c r="T118" s="242">
        <f>COUNTIFS('تجربه‌گرها'!$B:$B,$A118,'تجربه‌گرها'!$F:$F,T$1)</f>
        <v>0</v>
      </c>
      <c r="U118" s="242"/>
      <c r="V118" s="242"/>
      <c r="W118" s="242"/>
      <c r="X118" s="242"/>
      <c r="Y118" s="242"/>
      <c r="Z118" s="242"/>
      <c r="AA118" s="242"/>
      <c r="AB118" s="242"/>
    </row>
    <row r="119">
      <c r="A119" s="244" t="s">
        <v>1520</v>
      </c>
      <c r="B119" s="245" t="str">
        <f>VLOOKUP(A119,'تجربه‌گرها'!B:C,2,FALSE())</f>
        <v>9125991914</v>
      </c>
      <c r="C119" s="242"/>
      <c r="D119" s="242">
        <f t="shared" si="1"/>
        <v>2</v>
      </c>
      <c r="E119" s="242">
        <f>COUNTIFS('تجربه‌گرها'!$B:$B,$A119,'تجربه‌گرها'!$F:$F,E$1)</f>
        <v>1</v>
      </c>
      <c r="F119" s="242">
        <f>COUNTIFS('تجربه‌گرها'!$B:$B,$A119,'تجربه‌گرها'!$F:$F,F$1)</f>
        <v>1</v>
      </c>
      <c r="G119" s="242">
        <f>COUNTIFS('تجربه‌گرها'!$B:$B,$A119,'تجربه‌گرها'!$F:$F,G$1)</f>
        <v>0</v>
      </c>
      <c r="H119" s="242">
        <f>COUNTIFS('تجربه‌گرها'!$B:$B,$A119,'تجربه‌گرها'!$F:$F,H$1)</f>
        <v>0</v>
      </c>
      <c r="I119" s="242">
        <f>COUNTIFS('تجربه‌گرها'!$B:$B,$A119,'تجربه‌گرها'!$F:$F,I$1)</f>
        <v>0</v>
      </c>
      <c r="J119" s="242">
        <f>COUNTIFS('تجربه‌گرها'!$B:$B,$A119,'تجربه‌گرها'!$F:$F,J$1)</f>
        <v>0</v>
      </c>
      <c r="K119" s="242">
        <f>COUNTIFS('تجربه‌گرها'!$B:$B,$A119,'تجربه‌گرها'!$F:$F,K$1)</f>
        <v>0</v>
      </c>
      <c r="L119" s="242">
        <f>COUNTIFS('تجربه‌گرها'!$B:$B,$A119,'تجربه‌گرها'!$F:$F,L$1)</f>
        <v>0</v>
      </c>
      <c r="M119" s="242">
        <f>COUNTIFS('تجربه‌گرها'!$B:$B,$A119,'تجربه‌گرها'!$F:$F,M$1)</f>
        <v>0</v>
      </c>
      <c r="N119" s="242">
        <f>COUNTIFS('تجربه‌گرها'!$B:$B,$A119,'تجربه‌گرها'!$F:$F,N$1)</f>
        <v>0</v>
      </c>
      <c r="O119" s="242">
        <f>COUNTIFS('تجربه‌گرها'!$B:$B,$A119,'تجربه‌گرها'!$F:$F,O$1)</f>
        <v>0</v>
      </c>
      <c r="P119" s="242">
        <f>COUNTIFS('تجربه‌گرها'!$B:$B,$A119,'تجربه‌گرها'!$F:$F,P$1)</f>
        <v>0</v>
      </c>
      <c r="Q119" s="242">
        <f>COUNTIFS('تجربه‌گرها'!$B:$B,$A119,'تجربه‌گرها'!$F:$F,Q$1)</f>
        <v>0</v>
      </c>
      <c r="R119" s="242">
        <f>COUNTIFS('تجربه‌گرها'!$B:$B,$A119,'تجربه‌گرها'!$F:$F,R$1)</f>
        <v>0</v>
      </c>
      <c r="S119" s="242">
        <f>COUNTIFS('تجربه‌گرها'!$B:$B,$A119,'تجربه‌گرها'!$F:$F,S$1)</f>
        <v>0</v>
      </c>
      <c r="T119" s="242">
        <f>COUNTIFS('تجربه‌گرها'!$B:$B,$A119,'تجربه‌گرها'!$F:$F,T$1)</f>
        <v>0</v>
      </c>
      <c r="U119" s="242"/>
      <c r="V119" s="242"/>
      <c r="W119" s="242"/>
      <c r="X119" s="242"/>
      <c r="Y119" s="242"/>
      <c r="Z119" s="242"/>
      <c r="AA119" s="242"/>
      <c r="AB119" s="242"/>
    </row>
    <row r="120">
      <c r="A120" s="244" t="s">
        <v>1528</v>
      </c>
      <c r="B120" s="245" t="str">
        <f>VLOOKUP(A120,'تجربه‌گرها'!B:C,2,FALSE())</f>
        <v>#N/A</v>
      </c>
      <c r="C120" s="242"/>
      <c r="D120" s="242">
        <f t="shared" si="1"/>
        <v>2</v>
      </c>
      <c r="E120" s="242">
        <f>COUNTIFS('تجربه‌گرها'!$B:$B,$A120,'تجربه‌گرها'!$F:$F,E$1)</f>
        <v>1</v>
      </c>
      <c r="F120" s="242">
        <f>COUNTIFS('تجربه‌گرها'!$B:$B,$A120,'تجربه‌گرها'!$F:$F,F$1)</f>
        <v>1</v>
      </c>
      <c r="G120" s="242">
        <f>COUNTIFS('تجربه‌گرها'!$B:$B,$A120,'تجربه‌گرها'!$F:$F,G$1)</f>
        <v>0</v>
      </c>
      <c r="H120" s="242">
        <f>COUNTIFS('تجربه‌گرها'!$B:$B,$A120,'تجربه‌گرها'!$F:$F,H$1)</f>
        <v>0</v>
      </c>
      <c r="I120" s="242">
        <f>COUNTIFS('تجربه‌گرها'!$B:$B,$A120,'تجربه‌گرها'!$F:$F,I$1)</f>
        <v>0</v>
      </c>
      <c r="J120" s="242">
        <f>COUNTIFS('تجربه‌گرها'!$B:$B,$A120,'تجربه‌گرها'!$F:$F,J$1)</f>
        <v>0</v>
      </c>
      <c r="K120" s="242">
        <f>COUNTIFS('تجربه‌گرها'!$B:$B,$A120,'تجربه‌گرها'!$F:$F,K$1)</f>
        <v>0</v>
      </c>
      <c r="L120" s="242">
        <f>COUNTIFS('تجربه‌گرها'!$B:$B,$A120,'تجربه‌گرها'!$F:$F,L$1)</f>
        <v>0</v>
      </c>
      <c r="M120" s="242">
        <f>COUNTIFS('تجربه‌گرها'!$B:$B,$A120,'تجربه‌گرها'!$F:$F,M$1)</f>
        <v>0</v>
      </c>
      <c r="N120" s="242">
        <f>COUNTIFS('تجربه‌گرها'!$B:$B,$A120,'تجربه‌گرها'!$F:$F,N$1)</f>
        <v>0</v>
      </c>
      <c r="O120" s="242">
        <f>COUNTIFS('تجربه‌گرها'!$B:$B,$A120,'تجربه‌گرها'!$F:$F,O$1)</f>
        <v>0</v>
      </c>
      <c r="P120" s="242">
        <f>COUNTIFS('تجربه‌گرها'!$B:$B,$A120,'تجربه‌گرها'!$F:$F,P$1)</f>
        <v>0</v>
      </c>
      <c r="Q120" s="242">
        <f>COUNTIFS('تجربه‌گرها'!$B:$B,$A120,'تجربه‌گرها'!$F:$F,Q$1)</f>
        <v>0</v>
      </c>
      <c r="R120" s="242">
        <f>COUNTIFS('تجربه‌گرها'!$B:$B,$A120,'تجربه‌گرها'!$F:$F,R$1)</f>
        <v>0</v>
      </c>
      <c r="S120" s="242">
        <f>COUNTIFS('تجربه‌گرها'!$B:$B,$A120,'تجربه‌گرها'!$F:$F,S$1)</f>
        <v>0</v>
      </c>
      <c r="T120" s="242">
        <f>COUNTIFS('تجربه‌گرها'!$B:$B,$A120,'تجربه‌گرها'!$F:$F,T$1)</f>
        <v>0</v>
      </c>
      <c r="U120" s="242"/>
      <c r="V120" s="242"/>
      <c r="W120" s="242"/>
      <c r="X120" s="242"/>
      <c r="Y120" s="242"/>
      <c r="Z120" s="242"/>
      <c r="AA120" s="242"/>
      <c r="AB120" s="242"/>
    </row>
    <row r="121">
      <c r="A121" s="244" t="s">
        <v>1533</v>
      </c>
      <c r="B121" s="245" t="str">
        <f>VLOOKUP(A121,'تجربه‌گرها'!B:C,2,FALSE())</f>
        <v>#N/A</v>
      </c>
      <c r="C121" s="242"/>
      <c r="D121" s="242">
        <f t="shared" si="1"/>
        <v>2</v>
      </c>
      <c r="E121" s="242">
        <f>COUNTIFS('تجربه‌گرها'!$B:$B,$A121,'تجربه‌گرها'!$F:$F,E$1)</f>
        <v>1</v>
      </c>
      <c r="F121" s="242">
        <f>COUNTIFS('تجربه‌گرها'!$B:$B,$A121,'تجربه‌گرها'!$F:$F,F$1)</f>
        <v>1</v>
      </c>
      <c r="G121" s="242">
        <f>COUNTIFS('تجربه‌گرها'!$B:$B,$A121,'تجربه‌گرها'!$F:$F,G$1)</f>
        <v>0</v>
      </c>
      <c r="H121" s="242">
        <f>COUNTIFS('تجربه‌گرها'!$B:$B,$A121,'تجربه‌گرها'!$F:$F,H$1)</f>
        <v>0</v>
      </c>
      <c r="I121" s="242">
        <f>COUNTIFS('تجربه‌گرها'!$B:$B,$A121,'تجربه‌گرها'!$F:$F,I$1)</f>
        <v>0</v>
      </c>
      <c r="J121" s="242">
        <f>COUNTIFS('تجربه‌گرها'!$B:$B,$A121,'تجربه‌گرها'!$F:$F,J$1)</f>
        <v>0</v>
      </c>
      <c r="K121" s="242">
        <f>COUNTIFS('تجربه‌گرها'!$B:$B,$A121,'تجربه‌گرها'!$F:$F,K$1)</f>
        <v>0</v>
      </c>
      <c r="L121" s="242">
        <f>COUNTIFS('تجربه‌گرها'!$B:$B,$A121,'تجربه‌گرها'!$F:$F,L$1)</f>
        <v>0</v>
      </c>
      <c r="M121" s="242">
        <f>COUNTIFS('تجربه‌گرها'!$B:$B,$A121,'تجربه‌گرها'!$F:$F,M$1)</f>
        <v>0</v>
      </c>
      <c r="N121" s="242">
        <f>COUNTIFS('تجربه‌گرها'!$B:$B,$A121,'تجربه‌گرها'!$F:$F,N$1)</f>
        <v>0</v>
      </c>
      <c r="O121" s="242">
        <f>COUNTIFS('تجربه‌گرها'!$B:$B,$A121,'تجربه‌گرها'!$F:$F,O$1)</f>
        <v>0</v>
      </c>
      <c r="P121" s="242">
        <f>COUNTIFS('تجربه‌گرها'!$B:$B,$A121,'تجربه‌گرها'!$F:$F,P$1)</f>
        <v>0</v>
      </c>
      <c r="Q121" s="242">
        <f>COUNTIFS('تجربه‌گرها'!$B:$B,$A121,'تجربه‌گرها'!$F:$F,Q$1)</f>
        <v>0</v>
      </c>
      <c r="R121" s="242">
        <f>COUNTIFS('تجربه‌گرها'!$B:$B,$A121,'تجربه‌گرها'!$F:$F,R$1)</f>
        <v>0</v>
      </c>
      <c r="S121" s="242">
        <f>COUNTIFS('تجربه‌گرها'!$B:$B,$A121,'تجربه‌گرها'!$F:$F,S$1)</f>
        <v>0</v>
      </c>
      <c r="T121" s="242">
        <f>COUNTIFS('تجربه‌گرها'!$B:$B,$A121,'تجربه‌گرها'!$F:$F,T$1)</f>
        <v>0</v>
      </c>
      <c r="U121" s="242"/>
      <c r="V121" s="242"/>
      <c r="W121" s="242"/>
      <c r="X121" s="242"/>
      <c r="Y121" s="242"/>
      <c r="Z121" s="242"/>
      <c r="AA121" s="242"/>
      <c r="AB121" s="242"/>
    </row>
    <row r="122">
      <c r="A122" s="244" t="s">
        <v>1539</v>
      </c>
      <c r="B122" s="245" t="str">
        <f>VLOOKUP(A122,'تجربه‌گرها'!B:C,2,FALSE())</f>
        <v>9125549247</v>
      </c>
      <c r="C122" s="242"/>
      <c r="D122" s="242">
        <f t="shared" si="1"/>
        <v>2</v>
      </c>
      <c r="E122" s="242">
        <f>COUNTIFS('تجربه‌گرها'!$B:$B,$A122,'تجربه‌گرها'!$F:$F,E$1)</f>
        <v>1</v>
      </c>
      <c r="F122" s="242">
        <f>COUNTIFS('تجربه‌گرها'!$B:$B,$A122,'تجربه‌گرها'!$F:$F,F$1)</f>
        <v>1</v>
      </c>
      <c r="G122" s="242">
        <f>COUNTIFS('تجربه‌گرها'!$B:$B,$A122,'تجربه‌گرها'!$F:$F,G$1)</f>
        <v>0</v>
      </c>
      <c r="H122" s="242">
        <f>COUNTIFS('تجربه‌گرها'!$B:$B,$A122,'تجربه‌گرها'!$F:$F,H$1)</f>
        <v>0</v>
      </c>
      <c r="I122" s="242">
        <f>COUNTIFS('تجربه‌گرها'!$B:$B,$A122,'تجربه‌گرها'!$F:$F,I$1)</f>
        <v>0</v>
      </c>
      <c r="J122" s="242">
        <f>COUNTIFS('تجربه‌گرها'!$B:$B,$A122,'تجربه‌گرها'!$F:$F,J$1)</f>
        <v>0</v>
      </c>
      <c r="K122" s="242">
        <f>COUNTIFS('تجربه‌گرها'!$B:$B,$A122,'تجربه‌گرها'!$F:$F,K$1)</f>
        <v>0</v>
      </c>
      <c r="L122" s="242">
        <f>COUNTIFS('تجربه‌گرها'!$B:$B,$A122,'تجربه‌گرها'!$F:$F,L$1)</f>
        <v>0</v>
      </c>
      <c r="M122" s="242">
        <f>COUNTIFS('تجربه‌گرها'!$B:$B,$A122,'تجربه‌گرها'!$F:$F,M$1)</f>
        <v>0</v>
      </c>
      <c r="N122" s="242">
        <f>COUNTIFS('تجربه‌گرها'!$B:$B,$A122,'تجربه‌گرها'!$F:$F,N$1)</f>
        <v>0</v>
      </c>
      <c r="O122" s="242">
        <f>COUNTIFS('تجربه‌گرها'!$B:$B,$A122,'تجربه‌گرها'!$F:$F,O$1)</f>
        <v>0</v>
      </c>
      <c r="P122" s="242">
        <f>COUNTIFS('تجربه‌گرها'!$B:$B,$A122,'تجربه‌گرها'!$F:$F,P$1)</f>
        <v>0</v>
      </c>
      <c r="Q122" s="242">
        <f>COUNTIFS('تجربه‌گرها'!$B:$B,$A122,'تجربه‌گرها'!$F:$F,Q$1)</f>
        <v>0</v>
      </c>
      <c r="R122" s="242">
        <f>COUNTIFS('تجربه‌گرها'!$B:$B,$A122,'تجربه‌گرها'!$F:$F,R$1)</f>
        <v>0</v>
      </c>
      <c r="S122" s="242">
        <f>COUNTIFS('تجربه‌گرها'!$B:$B,$A122,'تجربه‌گرها'!$F:$F,S$1)</f>
        <v>0</v>
      </c>
      <c r="T122" s="242">
        <f>COUNTIFS('تجربه‌گرها'!$B:$B,$A122,'تجربه‌گرها'!$F:$F,T$1)</f>
        <v>0</v>
      </c>
      <c r="U122" s="242"/>
      <c r="V122" s="242"/>
      <c r="W122" s="242"/>
      <c r="X122" s="242"/>
      <c r="Y122" s="242"/>
      <c r="Z122" s="242"/>
      <c r="AA122" s="242"/>
      <c r="AB122" s="242"/>
    </row>
    <row r="123">
      <c r="A123" s="244" t="s">
        <v>1547</v>
      </c>
      <c r="B123" s="245" t="str">
        <f>VLOOKUP(A123,'تجربه‌گرها'!B:C,2,FALSE())</f>
        <v>#N/A</v>
      </c>
      <c r="C123" s="242"/>
      <c r="D123" s="242">
        <f t="shared" si="1"/>
        <v>2</v>
      </c>
      <c r="E123" s="242">
        <f>COUNTIFS('تجربه‌گرها'!$B:$B,$A123,'تجربه‌گرها'!$F:$F,E$1)</f>
        <v>1</v>
      </c>
      <c r="F123" s="242">
        <f>COUNTIFS('تجربه‌گرها'!$B:$B,$A123,'تجربه‌گرها'!$F:$F,F$1)</f>
        <v>1</v>
      </c>
      <c r="G123" s="242">
        <f>COUNTIFS('تجربه‌گرها'!$B:$B,$A123,'تجربه‌گرها'!$F:$F,G$1)</f>
        <v>0</v>
      </c>
      <c r="H123" s="242">
        <f>COUNTIFS('تجربه‌گرها'!$B:$B,$A123,'تجربه‌گرها'!$F:$F,H$1)</f>
        <v>0</v>
      </c>
      <c r="I123" s="242">
        <f>COUNTIFS('تجربه‌گرها'!$B:$B,$A123,'تجربه‌گرها'!$F:$F,I$1)</f>
        <v>0</v>
      </c>
      <c r="J123" s="242">
        <f>COUNTIFS('تجربه‌گرها'!$B:$B,$A123,'تجربه‌گرها'!$F:$F,J$1)</f>
        <v>0</v>
      </c>
      <c r="K123" s="242">
        <f>COUNTIFS('تجربه‌گرها'!$B:$B,$A123,'تجربه‌گرها'!$F:$F,K$1)</f>
        <v>0</v>
      </c>
      <c r="L123" s="242">
        <f>COUNTIFS('تجربه‌گرها'!$B:$B,$A123,'تجربه‌گرها'!$F:$F,L$1)</f>
        <v>0</v>
      </c>
      <c r="M123" s="242">
        <f>COUNTIFS('تجربه‌گرها'!$B:$B,$A123,'تجربه‌گرها'!$F:$F,M$1)</f>
        <v>0</v>
      </c>
      <c r="N123" s="242">
        <f>COUNTIFS('تجربه‌گرها'!$B:$B,$A123,'تجربه‌گرها'!$F:$F,N$1)</f>
        <v>0</v>
      </c>
      <c r="O123" s="242">
        <f>COUNTIFS('تجربه‌گرها'!$B:$B,$A123,'تجربه‌گرها'!$F:$F,O$1)</f>
        <v>0</v>
      </c>
      <c r="P123" s="242">
        <f>COUNTIFS('تجربه‌گرها'!$B:$B,$A123,'تجربه‌گرها'!$F:$F,P$1)</f>
        <v>0</v>
      </c>
      <c r="Q123" s="242">
        <f>COUNTIFS('تجربه‌گرها'!$B:$B,$A123,'تجربه‌گرها'!$F:$F,Q$1)</f>
        <v>0</v>
      </c>
      <c r="R123" s="242">
        <f>COUNTIFS('تجربه‌گرها'!$B:$B,$A123,'تجربه‌گرها'!$F:$F,R$1)</f>
        <v>0</v>
      </c>
      <c r="S123" s="242">
        <f>COUNTIFS('تجربه‌گرها'!$B:$B,$A123,'تجربه‌گرها'!$F:$F,S$1)</f>
        <v>0</v>
      </c>
      <c r="T123" s="242">
        <f>COUNTIFS('تجربه‌گرها'!$B:$B,$A123,'تجربه‌گرها'!$F:$F,T$1)</f>
        <v>0</v>
      </c>
      <c r="U123" s="242"/>
      <c r="V123" s="242"/>
      <c r="W123" s="242"/>
      <c r="X123" s="242"/>
      <c r="Y123" s="242"/>
      <c r="Z123" s="242"/>
      <c r="AA123" s="242"/>
      <c r="AB123" s="242"/>
    </row>
    <row r="124" hidden="1">
      <c r="A124" s="244" t="s">
        <v>1551</v>
      </c>
      <c r="B124" s="245" t="str">
        <f>VLOOKUP(A124,'تجربه‌گرها'!B:C,2,FALSE())</f>
        <v>#N/A</v>
      </c>
      <c r="C124" s="242"/>
      <c r="D124" s="242">
        <f t="shared" si="1"/>
        <v>1</v>
      </c>
      <c r="E124" s="242">
        <f>COUNTIFS('تجربه‌گرها'!$B:$B,$A124,'تجربه‌گرها'!$F:$F,E$1)</f>
        <v>1</v>
      </c>
      <c r="F124" s="242">
        <f>COUNTIFS('تجربه‌گرها'!$B:$B,$A124,'تجربه‌گرها'!$F:$F,F$1)</f>
        <v>0</v>
      </c>
      <c r="G124" s="242">
        <f>COUNTIFS('تجربه‌گرها'!$B:$B,$A124,'تجربه‌گرها'!$F:$F,G$1)</f>
        <v>0</v>
      </c>
      <c r="H124" s="242">
        <f>COUNTIFS('تجربه‌گرها'!$B:$B,$A124,'تجربه‌گرها'!$F:$F,H$1)</f>
        <v>0</v>
      </c>
      <c r="I124" s="242">
        <f>COUNTIFS('تجربه‌گرها'!$B:$B,$A124,'تجربه‌گرها'!$F:$F,I$1)</f>
        <v>0</v>
      </c>
      <c r="J124" s="242">
        <f>COUNTIFS('تجربه‌گرها'!$B:$B,$A124,'تجربه‌گرها'!$F:$F,J$1)</f>
        <v>0</v>
      </c>
      <c r="K124" s="242">
        <f>COUNTIFS('تجربه‌گرها'!$B:$B,$A124,'تجربه‌گرها'!$F:$F,K$1)</f>
        <v>0</v>
      </c>
      <c r="L124" s="242">
        <f>COUNTIFS('تجربه‌گرها'!$B:$B,$A124,'تجربه‌گرها'!$F:$F,L$1)</f>
        <v>0</v>
      </c>
      <c r="M124" s="242">
        <f>COUNTIFS('تجربه‌گرها'!$B:$B,$A124,'تجربه‌گرها'!$F:$F,M$1)</f>
        <v>0</v>
      </c>
      <c r="N124" s="242">
        <f>COUNTIFS('تجربه‌گرها'!$B:$B,$A124,'تجربه‌گرها'!$F:$F,N$1)</f>
        <v>0</v>
      </c>
      <c r="O124" s="242">
        <f>COUNTIFS('تجربه‌گرها'!$B:$B,$A124,'تجربه‌گرها'!$F:$F,O$1)</f>
        <v>0</v>
      </c>
      <c r="P124" s="242">
        <f>COUNTIFS('تجربه‌گرها'!$B:$B,$A124,'تجربه‌گرها'!$F:$F,P$1)</f>
        <v>0</v>
      </c>
      <c r="Q124" s="242">
        <f>COUNTIFS('تجربه‌گرها'!$B:$B,$A124,'تجربه‌گرها'!$F:$F,Q$1)</f>
        <v>0</v>
      </c>
      <c r="R124" s="242">
        <f>COUNTIFS('تجربه‌گرها'!$B:$B,$A124,'تجربه‌گرها'!$F:$F,R$1)</f>
        <v>0</v>
      </c>
      <c r="S124" s="242">
        <f>COUNTIFS('تجربه‌گرها'!$B:$B,$A124,'تجربه‌گرها'!$F:$F,S$1)</f>
        <v>0</v>
      </c>
      <c r="T124" s="242">
        <f>COUNTIFS('تجربه‌گرها'!$B:$B,$A124,'تجربه‌گرها'!$F:$F,T$1)</f>
        <v>0</v>
      </c>
      <c r="U124" s="242"/>
      <c r="V124" s="242"/>
      <c r="W124" s="242"/>
      <c r="X124" s="242"/>
      <c r="Y124" s="242"/>
      <c r="Z124" s="242"/>
      <c r="AA124" s="242"/>
      <c r="AB124" s="242"/>
    </row>
    <row r="125">
      <c r="A125" s="244" t="s">
        <v>1556</v>
      </c>
      <c r="B125" s="245" t="str">
        <f>VLOOKUP(A125,'تجربه‌گرها'!B:C,2,FALSE())</f>
        <v>9128093617</v>
      </c>
      <c r="C125" s="242"/>
      <c r="D125" s="242">
        <f t="shared" si="1"/>
        <v>3</v>
      </c>
      <c r="E125" s="242">
        <f>COUNTIFS('تجربه‌گرها'!$B:$B,$A125,'تجربه‌گرها'!$F:$F,E$1)</f>
        <v>1</v>
      </c>
      <c r="F125" s="242">
        <f>COUNTIFS('تجربه‌گرها'!$B:$B,$A125,'تجربه‌گرها'!$F:$F,F$1)</f>
        <v>0</v>
      </c>
      <c r="G125" s="242">
        <f>COUNTIFS('تجربه‌گرها'!$B:$B,$A125,'تجربه‌گرها'!$F:$F,G$1)</f>
        <v>0</v>
      </c>
      <c r="H125" s="242">
        <f>COUNTIFS('تجربه‌گرها'!$B:$B,$A125,'تجربه‌گرها'!$F:$F,H$1)</f>
        <v>0</v>
      </c>
      <c r="I125" s="242">
        <f>COUNTIFS('تجربه‌گرها'!$B:$B,$A125,'تجربه‌گرها'!$F:$F,I$1)</f>
        <v>0</v>
      </c>
      <c r="J125" s="242">
        <f>COUNTIFS('تجربه‌گرها'!$B:$B,$A125,'تجربه‌گرها'!$F:$F,J$1)</f>
        <v>0</v>
      </c>
      <c r="K125" s="242">
        <f>COUNTIFS('تجربه‌گرها'!$B:$B,$A125,'تجربه‌گرها'!$F:$F,K$1)</f>
        <v>0</v>
      </c>
      <c r="L125" s="242">
        <f>COUNTIFS('تجربه‌گرها'!$B:$B,$A125,'تجربه‌گرها'!$F:$F,L$1)</f>
        <v>0</v>
      </c>
      <c r="M125" s="242">
        <f>COUNTIFS('تجربه‌گرها'!$B:$B,$A125,'تجربه‌گرها'!$F:$F,M$1)</f>
        <v>1</v>
      </c>
      <c r="N125" s="242">
        <f>COUNTIFS('تجربه‌گرها'!$B:$B,$A125,'تجربه‌گرها'!$F:$F,N$1)</f>
        <v>1</v>
      </c>
      <c r="O125" s="242">
        <f>COUNTIFS('تجربه‌گرها'!$B:$B,$A125,'تجربه‌گرها'!$F:$F,O$1)</f>
        <v>0</v>
      </c>
      <c r="P125" s="242">
        <f>COUNTIFS('تجربه‌گرها'!$B:$B,$A125,'تجربه‌گرها'!$F:$F,P$1)</f>
        <v>0</v>
      </c>
      <c r="Q125" s="242">
        <f>COUNTIFS('تجربه‌گرها'!$B:$B,$A125,'تجربه‌گرها'!$F:$F,Q$1)</f>
        <v>0</v>
      </c>
      <c r="R125" s="242">
        <f>COUNTIFS('تجربه‌گرها'!$B:$B,$A125,'تجربه‌گرها'!$F:$F,R$1)</f>
        <v>0</v>
      </c>
      <c r="S125" s="242">
        <f>COUNTIFS('تجربه‌گرها'!$B:$B,$A125,'تجربه‌گرها'!$F:$F,S$1)</f>
        <v>0</v>
      </c>
      <c r="T125" s="242">
        <f>COUNTIFS('تجربه‌گرها'!$B:$B,$A125,'تجربه‌گرها'!$F:$F,T$1)</f>
        <v>0</v>
      </c>
      <c r="U125" s="242"/>
      <c r="V125" s="242"/>
      <c r="W125" s="242"/>
      <c r="X125" s="242"/>
      <c r="Y125" s="242"/>
      <c r="Z125" s="242"/>
      <c r="AA125" s="242"/>
      <c r="AB125" s="242"/>
    </row>
    <row r="126" hidden="1">
      <c r="A126" s="244" t="s">
        <v>1561</v>
      </c>
      <c r="B126" s="245" t="str">
        <f>VLOOKUP(A126,'تجربه‌گرها'!B:C,2,FALSE())</f>
        <v>9126953220</v>
      </c>
      <c r="C126" s="242"/>
      <c r="D126" s="242">
        <f t="shared" si="1"/>
        <v>1</v>
      </c>
      <c r="E126" s="242">
        <f>COUNTIFS('تجربه‌گرها'!$B:$B,$A126,'تجربه‌گرها'!$F:$F,E$1)</f>
        <v>1</v>
      </c>
      <c r="F126" s="242">
        <f>COUNTIFS('تجربه‌گرها'!$B:$B,$A126,'تجربه‌گرها'!$F:$F,F$1)</f>
        <v>0</v>
      </c>
      <c r="G126" s="242">
        <f>COUNTIFS('تجربه‌گرها'!$B:$B,$A126,'تجربه‌گرها'!$F:$F,G$1)</f>
        <v>0</v>
      </c>
      <c r="H126" s="242">
        <f>COUNTIFS('تجربه‌گرها'!$B:$B,$A126,'تجربه‌گرها'!$F:$F,H$1)</f>
        <v>0</v>
      </c>
      <c r="I126" s="242">
        <f>COUNTIFS('تجربه‌گرها'!$B:$B,$A126,'تجربه‌گرها'!$F:$F,I$1)</f>
        <v>0</v>
      </c>
      <c r="J126" s="242">
        <f>COUNTIFS('تجربه‌گرها'!$B:$B,$A126,'تجربه‌گرها'!$F:$F,J$1)</f>
        <v>0</v>
      </c>
      <c r="K126" s="242">
        <f>COUNTIFS('تجربه‌گرها'!$B:$B,$A126,'تجربه‌گرها'!$F:$F,K$1)</f>
        <v>0</v>
      </c>
      <c r="L126" s="242">
        <f>COUNTIFS('تجربه‌گرها'!$B:$B,$A126,'تجربه‌گرها'!$F:$F,L$1)</f>
        <v>0</v>
      </c>
      <c r="M126" s="242">
        <f>COUNTIFS('تجربه‌گرها'!$B:$B,$A126,'تجربه‌گرها'!$F:$F,M$1)</f>
        <v>0</v>
      </c>
      <c r="N126" s="242">
        <f>COUNTIFS('تجربه‌گرها'!$B:$B,$A126,'تجربه‌گرها'!$F:$F,N$1)</f>
        <v>0</v>
      </c>
      <c r="O126" s="242">
        <f>COUNTIFS('تجربه‌گرها'!$B:$B,$A126,'تجربه‌گرها'!$F:$F,O$1)</f>
        <v>0</v>
      </c>
      <c r="P126" s="242">
        <f>COUNTIFS('تجربه‌گرها'!$B:$B,$A126,'تجربه‌گرها'!$F:$F,P$1)</f>
        <v>0</v>
      </c>
      <c r="Q126" s="242">
        <f>COUNTIFS('تجربه‌گرها'!$B:$B,$A126,'تجربه‌گرها'!$F:$F,Q$1)</f>
        <v>0</v>
      </c>
      <c r="R126" s="242">
        <f>COUNTIFS('تجربه‌گرها'!$B:$B,$A126,'تجربه‌گرها'!$F:$F,R$1)</f>
        <v>0</v>
      </c>
      <c r="S126" s="242">
        <f>COUNTIFS('تجربه‌گرها'!$B:$B,$A126,'تجربه‌گرها'!$F:$F,S$1)</f>
        <v>0</v>
      </c>
      <c r="T126" s="242">
        <f>COUNTIFS('تجربه‌گرها'!$B:$B,$A126,'تجربه‌گرها'!$F:$F,T$1)</f>
        <v>0</v>
      </c>
      <c r="U126" s="242"/>
      <c r="V126" s="242"/>
      <c r="W126" s="242"/>
      <c r="X126" s="242"/>
      <c r="Y126" s="242"/>
      <c r="Z126" s="242"/>
      <c r="AA126" s="242"/>
      <c r="AB126" s="242"/>
    </row>
    <row r="127">
      <c r="A127" s="244" t="s">
        <v>1566</v>
      </c>
      <c r="B127" s="245" t="str">
        <f>VLOOKUP(A127,'تجربه‌گرها'!B:C,2,FALSE())</f>
        <v>9121039590</v>
      </c>
      <c r="C127" s="242"/>
      <c r="D127" s="242">
        <f t="shared" si="1"/>
        <v>2</v>
      </c>
      <c r="E127" s="242">
        <f>COUNTIFS('تجربه‌گرها'!$B:$B,$A127,'تجربه‌گرها'!$F:$F,E$1)</f>
        <v>1</v>
      </c>
      <c r="F127" s="242">
        <f>COUNTIFS('تجربه‌گرها'!$B:$B,$A127,'تجربه‌گرها'!$F:$F,F$1)</f>
        <v>1</v>
      </c>
      <c r="G127" s="242">
        <f>COUNTIFS('تجربه‌گرها'!$B:$B,$A127,'تجربه‌گرها'!$F:$F,G$1)</f>
        <v>0</v>
      </c>
      <c r="H127" s="242">
        <f>COUNTIFS('تجربه‌گرها'!$B:$B,$A127,'تجربه‌گرها'!$F:$F,H$1)</f>
        <v>0</v>
      </c>
      <c r="I127" s="242">
        <f>COUNTIFS('تجربه‌گرها'!$B:$B,$A127,'تجربه‌گرها'!$F:$F,I$1)</f>
        <v>0</v>
      </c>
      <c r="J127" s="242">
        <f>COUNTIFS('تجربه‌گرها'!$B:$B,$A127,'تجربه‌گرها'!$F:$F,J$1)</f>
        <v>0</v>
      </c>
      <c r="K127" s="242">
        <f>COUNTIFS('تجربه‌گرها'!$B:$B,$A127,'تجربه‌گرها'!$F:$F,K$1)</f>
        <v>0</v>
      </c>
      <c r="L127" s="242">
        <f>COUNTIFS('تجربه‌گرها'!$B:$B,$A127,'تجربه‌گرها'!$F:$F,L$1)</f>
        <v>0</v>
      </c>
      <c r="M127" s="242">
        <f>COUNTIFS('تجربه‌گرها'!$B:$B,$A127,'تجربه‌گرها'!$F:$F,M$1)</f>
        <v>0</v>
      </c>
      <c r="N127" s="242">
        <f>COUNTIFS('تجربه‌گرها'!$B:$B,$A127,'تجربه‌گرها'!$F:$F,N$1)</f>
        <v>0</v>
      </c>
      <c r="O127" s="242">
        <f>COUNTIFS('تجربه‌گرها'!$B:$B,$A127,'تجربه‌گرها'!$F:$F,O$1)</f>
        <v>0</v>
      </c>
      <c r="P127" s="242">
        <f>COUNTIFS('تجربه‌گرها'!$B:$B,$A127,'تجربه‌گرها'!$F:$F,P$1)</f>
        <v>0</v>
      </c>
      <c r="Q127" s="242">
        <f>COUNTIFS('تجربه‌گرها'!$B:$B,$A127,'تجربه‌گرها'!$F:$F,Q$1)</f>
        <v>0</v>
      </c>
      <c r="R127" s="242">
        <f>COUNTIFS('تجربه‌گرها'!$B:$B,$A127,'تجربه‌گرها'!$F:$F,R$1)</f>
        <v>0</v>
      </c>
      <c r="S127" s="242">
        <f>COUNTIFS('تجربه‌گرها'!$B:$B,$A127,'تجربه‌گرها'!$F:$F,S$1)</f>
        <v>0</v>
      </c>
      <c r="T127" s="242">
        <f>COUNTIFS('تجربه‌گرها'!$B:$B,$A127,'تجربه‌گرها'!$F:$F,T$1)</f>
        <v>0</v>
      </c>
      <c r="U127" s="242"/>
      <c r="V127" s="242"/>
      <c r="W127" s="242"/>
      <c r="X127" s="242"/>
      <c r="Y127" s="242"/>
      <c r="Z127" s="242"/>
      <c r="AA127" s="242"/>
      <c r="AB127" s="242"/>
    </row>
    <row r="128" hidden="1">
      <c r="A128" s="244" t="s">
        <v>1573</v>
      </c>
      <c r="B128" s="245" t="str">
        <f>VLOOKUP(A128,'تجربه‌گرها'!B:C,2,FALSE())</f>
        <v>9123839759</v>
      </c>
      <c r="C128" s="242"/>
      <c r="D128" s="242">
        <f t="shared" si="1"/>
        <v>1</v>
      </c>
      <c r="E128" s="242">
        <f>COUNTIFS('تجربه‌گرها'!$B:$B,$A128,'تجربه‌گرها'!$F:$F,E$1)</f>
        <v>1</v>
      </c>
      <c r="F128" s="242">
        <f>COUNTIFS('تجربه‌گرها'!$B:$B,$A128,'تجربه‌گرها'!$F:$F,F$1)</f>
        <v>0</v>
      </c>
      <c r="G128" s="242">
        <f>COUNTIFS('تجربه‌گرها'!$B:$B,$A128,'تجربه‌گرها'!$F:$F,G$1)</f>
        <v>0</v>
      </c>
      <c r="H128" s="242">
        <f>COUNTIFS('تجربه‌گرها'!$B:$B,$A128,'تجربه‌گرها'!$F:$F,H$1)</f>
        <v>0</v>
      </c>
      <c r="I128" s="242">
        <f>COUNTIFS('تجربه‌گرها'!$B:$B,$A128,'تجربه‌گرها'!$F:$F,I$1)</f>
        <v>0</v>
      </c>
      <c r="J128" s="242">
        <f>COUNTIFS('تجربه‌گرها'!$B:$B,$A128,'تجربه‌گرها'!$F:$F,J$1)</f>
        <v>0</v>
      </c>
      <c r="K128" s="242">
        <f>COUNTIFS('تجربه‌گرها'!$B:$B,$A128,'تجربه‌گرها'!$F:$F,K$1)</f>
        <v>0</v>
      </c>
      <c r="L128" s="242">
        <f>COUNTIFS('تجربه‌گرها'!$B:$B,$A128,'تجربه‌گرها'!$F:$F,L$1)</f>
        <v>0</v>
      </c>
      <c r="M128" s="242">
        <f>COUNTIFS('تجربه‌گرها'!$B:$B,$A128,'تجربه‌گرها'!$F:$F,M$1)</f>
        <v>0</v>
      </c>
      <c r="N128" s="242">
        <f>COUNTIFS('تجربه‌گرها'!$B:$B,$A128,'تجربه‌گرها'!$F:$F,N$1)</f>
        <v>0</v>
      </c>
      <c r="O128" s="242">
        <f>COUNTIFS('تجربه‌گرها'!$B:$B,$A128,'تجربه‌گرها'!$F:$F,O$1)</f>
        <v>0</v>
      </c>
      <c r="P128" s="242">
        <f>COUNTIFS('تجربه‌گرها'!$B:$B,$A128,'تجربه‌گرها'!$F:$F,P$1)</f>
        <v>0</v>
      </c>
      <c r="Q128" s="242">
        <f>COUNTIFS('تجربه‌گرها'!$B:$B,$A128,'تجربه‌گرها'!$F:$F,Q$1)</f>
        <v>0</v>
      </c>
      <c r="R128" s="242">
        <f>COUNTIFS('تجربه‌گرها'!$B:$B,$A128,'تجربه‌گرها'!$F:$F,R$1)</f>
        <v>0</v>
      </c>
      <c r="S128" s="242">
        <f>COUNTIFS('تجربه‌گرها'!$B:$B,$A128,'تجربه‌گرها'!$F:$F,S$1)</f>
        <v>0</v>
      </c>
      <c r="T128" s="242">
        <f>COUNTIFS('تجربه‌گرها'!$B:$B,$A128,'تجربه‌گرها'!$F:$F,T$1)</f>
        <v>0</v>
      </c>
      <c r="U128" s="242"/>
      <c r="V128" s="242"/>
      <c r="W128" s="242"/>
      <c r="X128" s="242"/>
      <c r="Y128" s="242"/>
      <c r="Z128" s="242"/>
      <c r="AA128" s="242"/>
      <c r="AB128" s="242"/>
    </row>
    <row r="129" hidden="1">
      <c r="A129" s="244" t="s">
        <v>1580</v>
      </c>
      <c r="B129" s="245" t="str">
        <f>VLOOKUP(A129,'تجربه‌گرها'!B:C,2,FALSE())</f>
        <v>9194057118</v>
      </c>
      <c r="C129" s="242"/>
      <c r="D129" s="242">
        <f t="shared" si="1"/>
        <v>1</v>
      </c>
      <c r="E129" s="242">
        <f>COUNTIFS('تجربه‌گرها'!$B:$B,$A129,'تجربه‌گرها'!$F:$F,E$1)</f>
        <v>1</v>
      </c>
      <c r="F129" s="242">
        <f>COUNTIFS('تجربه‌گرها'!$B:$B,$A129,'تجربه‌گرها'!$F:$F,F$1)</f>
        <v>0</v>
      </c>
      <c r="G129" s="242">
        <f>COUNTIFS('تجربه‌گرها'!$B:$B,$A129,'تجربه‌گرها'!$F:$F,G$1)</f>
        <v>0</v>
      </c>
      <c r="H129" s="242">
        <f>COUNTIFS('تجربه‌گرها'!$B:$B,$A129,'تجربه‌گرها'!$F:$F,H$1)</f>
        <v>0</v>
      </c>
      <c r="I129" s="242">
        <f>COUNTIFS('تجربه‌گرها'!$B:$B,$A129,'تجربه‌گرها'!$F:$F,I$1)</f>
        <v>0</v>
      </c>
      <c r="J129" s="242">
        <f>COUNTIFS('تجربه‌گرها'!$B:$B,$A129,'تجربه‌گرها'!$F:$F,J$1)</f>
        <v>0</v>
      </c>
      <c r="K129" s="242">
        <f>COUNTIFS('تجربه‌گرها'!$B:$B,$A129,'تجربه‌گرها'!$F:$F,K$1)</f>
        <v>0</v>
      </c>
      <c r="L129" s="242">
        <f>COUNTIFS('تجربه‌گرها'!$B:$B,$A129,'تجربه‌گرها'!$F:$F,L$1)</f>
        <v>0</v>
      </c>
      <c r="M129" s="242">
        <f>COUNTIFS('تجربه‌گرها'!$B:$B,$A129,'تجربه‌گرها'!$F:$F,M$1)</f>
        <v>0</v>
      </c>
      <c r="N129" s="242">
        <f>COUNTIFS('تجربه‌گرها'!$B:$B,$A129,'تجربه‌گرها'!$F:$F,N$1)</f>
        <v>0</v>
      </c>
      <c r="O129" s="242">
        <f>COUNTIFS('تجربه‌گرها'!$B:$B,$A129,'تجربه‌گرها'!$F:$F,O$1)</f>
        <v>0</v>
      </c>
      <c r="P129" s="242">
        <f>COUNTIFS('تجربه‌گرها'!$B:$B,$A129,'تجربه‌گرها'!$F:$F,P$1)</f>
        <v>0</v>
      </c>
      <c r="Q129" s="242">
        <f>COUNTIFS('تجربه‌گرها'!$B:$B,$A129,'تجربه‌گرها'!$F:$F,Q$1)</f>
        <v>0</v>
      </c>
      <c r="R129" s="242">
        <f>COUNTIFS('تجربه‌گرها'!$B:$B,$A129,'تجربه‌گرها'!$F:$F,R$1)</f>
        <v>0</v>
      </c>
      <c r="S129" s="242">
        <f>COUNTIFS('تجربه‌گرها'!$B:$B,$A129,'تجربه‌گرها'!$F:$F,S$1)</f>
        <v>0</v>
      </c>
      <c r="T129" s="242">
        <f>COUNTIFS('تجربه‌گرها'!$B:$B,$A129,'تجربه‌گرها'!$F:$F,T$1)</f>
        <v>0</v>
      </c>
      <c r="U129" s="242"/>
      <c r="V129" s="242"/>
      <c r="W129" s="242"/>
      <c r="X129" s="242"/>
      <c r="Y129" s="242"/>
      <c r="Z129" s="242"/>
      <c r="AA129" s="242"/>
      <c r="AB129" s="242"/>
    </row>
    <row r="130" hidden="1">
      <c r="A130" s="244" t="s">
        <v>1587</v>
      </c>
      <c r="B130" s="245" t="str">
        <f>VLOOKUP(A130,'تجربه‌گرها'!B:C,2,FALSE())</f>
        <v>9128486090</v>
      </c>
      <c r="C130" s="242"/>
      <c r="D130" s="242">
        <f t="shared" si="1"/>
        <v>1</v>
      </c>
      <c r="E130" s="242">
        <f>COUNTIFS('تجربه‌گرها'!$B:$B,$A130,'تجربه‌گرها'!$F:$F,E$1)</f>
        <v>1</v>
      </c>
      <c r="F130" s="242">
        <f>COUNTIFS('تجربه‌گرها'!$B:$B,$A130,'تجربه‌گرها'!$F:$F,F$1)</f>
        <v>0</v>
      </c>
      <c r="G130" s="242">
        <f>COUNTIFS('تجربه‌گرها'!$B:$B,$A130,'تجربه‌گرها'!$F:$F,G$1)</f>
        <v>0</v>
      </c>
      <c r="H130" s="242">
        <f>COUNTIFS('تجربه‌گرها'!$B:$B,$A130,'تجربه‌گرها'!$F:$F,H$1)</f>
        <v>0</v>
      </c>
      <c r="I130" s="242">
        <f>COUNTIFS('تجربه‌گرها'!$B:$B,$A130,'تجربه‌گرها'!$F:$F,I$1)</f>
        <v>0</v>
      </c>
      <c r="J130" s="242">
        <f>COUNTIFS('تجربه‌گرها'!$B:$B,$A130,'تجربه‌گرها'!$F:$F,J$1)</f>
        <v>0</v>
      </c>
      <c r="K130" s="242">
        <f>COUNTIFS('تجربه‌گرها'!$B:$B,$A130,'تجربه‌گرها'!$F:$F,K$1)</f>
        <v>0</v>
      </c>
      <c r="L130" s="242">
        <f>COUNTIFS('تجربه‌گرها'!$B:$B,$A130,'تجربه‌گرها'!$F:$F,L$1)</f>
        <v>0</v>
      </c>
      <c r="M130" s="242">
        <f>COUNTIFS('تجربه‌گرها'!$B:$B,$A130,'تجربه‌گرها'!$F:$F,M$1)</f>
        <v>0</v>
      </c>
      <c r="N130" s="242">
        <f>COUNTIFS('تجربه‌گرها'!$B:$B,$A130,'تجربه‌گرها'!$F:$F,N$1)</f>
        <v>0</v>
      </c>
      <c r="O130" s="242">
        <f>COUNTIFS('تجربه‌گرها'!$B:$B,$A130,'تجربه‌گرها'!$F:$F,O$1)</f>
        <v>0</v>
      </c>
      <c r="P130" s="242">
        <f>COUNTIFS('تجربه‌گرها'!$B:$B,$A130,'تجربه‌گرها'!$F:$F,P$1)</f>
        <v>0</v>
      </c>
      <c r="Q130" s="242">
        <f>COUNTIFS('تجربه‌گرها'!$B:$B,$A130,'تجربه‌گرها'!$F:$F,Q$1)</f>
        <v>0</v>
      </c>
      <c r="R130" s="242">
        <f>COUNTIFS('تجربه‌گرها'!$B:$B,$A130,'تجربه‌گرها'!$F:$F,R$1)</f>
        <v>0</v>
      </c>
      <c r="S130" s="242">
        <f>COUNTIFS('تجربه‌گرها'!$B:$B,$A130,'تجربه‌گرها'!$F:$F,S$1)</f>
        <v>0</v>
      </c>
      <c r="T130" s="242">
        <f>COUNTIFS('تجربه‌گرها'!$B:$B,$A130,'تجربه‌گرها'!$F:$F,T$1)</f>
        <v>0</v>
      </c>
      <c r="U130" s="242"/>
      <c r="V130" s="242"/>
      <c r="W130" s="242"/>
      <c r="X130" s="242"/>
      <c r="Y130" s="242"/>
      <c r="Z130" s="242"/>
      <c r="AA130" s="242"/>
      <c r="AB130" s="242"/>
    </row>
    <row r="131">
      <c r="A131" s="244" t="s">
        <v>1592</v>
      </c>
      <c r="B131" s="245" t="str">
        <f>VLOOKUP(A131,'تجربه‌گرها'!B:C,2,FALSE())</f>
        <v>9399887614</v>
      </c>
      <c r="C131" s="242"/>
      <c r="D131" s="242">
        <f t="shared" si="1"/>
        <v>5</v>
      </c>
      <c r="E131" s="242">
        <f>COUNTIFS('تجربه‌گرها'!$B:$B,$A131,'تجربه‌گرها'!$F:$F,E$1)</f>
        <v>1</v>
      </c>
      <c r="F131" s="242">
        <f>COUNTIFS('تجربه‌گرها'!$B:$B,$A131,'تجربه‌گرها'!$F:$F,F$1)</f>
        <v>1</v>
      </c>
      <c r="G131" s="242">
        <f>COUNTIFS('تجربه‌گرها'!$B:$B,$A131,'تجربه‌گرها'!$F:$F,G$1)</f>
        <v>2</v>
      </c>
      <c r="H131" s="242">
        <f>COUNTIFS('تجربه‌گرها'!$B:$B,$A131,'تجربه‌گرها'!$F:$F,H$1)</f>
        <v>0</v>
      </c>
      <c r="I131" s="242">
        <f>COUNTIFS('تجربه‌گرها'!$B:$B,$A131,'تجربه‌گرها'!$F:$F,I$1)</f>
        <v>0</v>
      </c>
      <c r="J131" s="242">
        <f>COUNTIFS('تجربه‌گرها'!$B:$B,$A131,'تجربه‌گرها'!$F:$F,J$1)</f>
        <v>0</v>
      </c>
      <c r="K131" s="242">
        <f>COUNTIFS('تجربه‌گرها'!$B:$B,$A131,'تجربه‌گرها'!$F:$F,K$1)</f>
        <v>0</v>
      </c>
      <c r="L131" s="242">
        <f>COUNTIFS('تجربه‌گرها'!$B:$B,$A131,'تجربه‌گرها'!$F:$F,L$1)</f>
        <v>0</v>
      </c>
      <c r="M131" s="242">
        <f>COUNTIFS('تجربه‌گرها'!$B:$B,$A131,'تجربه‌گرها'!$F:$F,M$1)</f>
        <v>0</v>
      </c>
      <c r="N131" s="242">
        <f>COUNTIFS('تجربه‌گرها'!$B:$B,$A131,'تجربه‌گرها'!$F:$F,N$1)</f>
        <v>0</v>
      </c>
      <c r="O131" s="242">
        <f>COUNTIFS('تجربه‌گرها'!$B:$B,$A131,'تجربه‌گرها'!$F:$F,O$1)</f>
        <v>0</v>
      </c>
      <c r="P131" s="242">
        <f>COUNTIFS('تجربه‌گرها'!$B:$B,$A131,'تجربه‌گرها'!$F:$F,P$1)</f>
        <v>1</v>
      </c>
      <c r="Q131" s="242">
        <f>COUNTIFS('تجربه‌گرها'!$B:$B,$A131,'تجربه‌گرها'!$F:$F,Q$1)</f>
        <v>0</v>
      </c>
      <c r="R131" s="242">
        <f>COUNTIFS('تجربه‌گرها'!$B:$B,$A131,'تجربه‌گرها'!$F:$F,R$1)</f>
        <v>0</v>
      </c>
      <c r="S131" s="242">
        <f>COUNTIFS('تجربه‌گرها'!$B:$B,$A131,'تجربه‌گرها'!$F:$F,S$1)</f>
        <v>0</v>
      </c>
      <c r="T131" s="242">
        <f>COUNTIFS('تجربه‌گرها'!$B:$B,$A131,'تجربه‌گرها'!$F:$F,T$1)</f>
        <v>0</v>
      </c>
      <c r="U131" s="242"/>
      <c r="V131" s="242"/>
      <c r="W131" s="242"/>
      <c r="X131" s="242"/>
      <c r="Y131" s="242"/>
      <c r="Z131" s="242"/>
      <c r="AA131" s="242"/>
      <c r="AB131" s="242"/>
    </row>
    <row r="132">
      <c r="A132" s="244" t="s">
        <v>1597</v>
      </c>
      <c r="B132" s="245" t="str">
        <f>VLOOKUP(A132,'تجربه‌گرها'!B:C,2,FALSE())</f>
        <v>9331991386</v>
      </c>
      <c r="C132" s="242"/>
      <c r="D132" s="242">
        <f t="shared" si="1"/>
        <v>3</v>
      </c>
      <c r="E132" s="242">
        <f>COUNTIFS('تجربه‌گرها'!$B:$B,$A132,'تجربه‌گرها'!$F:$F,E$1)</f>
        <v>1</v>
      </c>
      <c r="F132" s="242">
        <f>COUNTIFS('تجربه‌گرها'!$B:$B,$A132,'تجربه‌گرها'!$F:$F,F$1)</f>
        <v>1</v>
      </c>
      <c r="G132" s="242">
        <f>COUNTIFS('تجربه‌گرها'!$B:$B,$A132,'تجربه‌گرها'!$F:$F,G$1)</f>
        <v>0</v>
      </c>
      <c r="H132" s="242">
        <f>COUNTIFS('تجربه‌گرها'!$B:$B,$A132,'تجربه‌گرها'!$F:$F,H$1)</f>
        <v>0</v>
      </c>
      <c r="I132" s="242">
        <f>COUNTIFS('تجربه‌گرها'!$B:$B,$A132,'تجربه‌گرها'!$F:$F,I$1)</f>
        <v>0</v>
      </c>
      <c r="J132" s="242">
        <f>COUNTIFS('تجربه‌گرها'!$B:$B,$A132,'تجربه‌گرها'!$F:$F,J$1)</f>
        <v>0</v>
      </c>
      <c r="K132" s="242">
        <f>COUNTIFS('تجربه‌گرها'!$B:$B,$A132,'تجربه‌گرها'!$F:$F,K$1)</f>
        <v>1</v>
      </c>
      <c r="L132" s="242">
        <f>COUNTIFS('تجربه‌گرها'!$B:$B,$A132,'تجربه‌گرها'!$F:$F,L$1)</f>
        <v>0</v>
      </c>
      <c r="M132" s="242">
        <f>COUNTIFS('تجربه‌گرها'!$B:$B,$A132,'تجربه‌گرها'!$F:$F,M$1)</f>
        <v>0</v>
      </c>
      <c r="N132" s="242">
        <f>COUNTIFS('تجربه‌گرها'!$B:$B,$A132,'تجربه‌گرها'!$F:$F,N$1)</f>
        <v>0</v>
      </c>
      <c r="O132" s="242">
        <f>COUNTIFS('تجربه‌گرها'!$B:$B,$A132,'تجربه‌گرها'!$F:$F,O$1)</f>
        <v>0</v>
      </c>
      <c r="P132" s="242">
        <f>COUNTIFS('تجربه‌گرها'!$B:$B,$A132,'تجربه‌گرها'!$F:$F,P$1)</f>
        <v>0</v>
      </c>
      <c r="Q132" s="242">
        <f>COUNTIFS('تجربه‌گرها'!$B:$B,$A132,'تجربه‌گرها'!$F:$F,Q$1)</f>
        <v>0</v>
      </c>
      <c r="R132" s="242">
        <f>COUNTIFS('تجربه‌گرها'!$B:$B,$A132,'تجربه‌گرها'!$F:$F,R$1)</f>
        <v>0</v>
      </c>
      <c r="S132" s="242">
        <f>COUNTIFS('تجربه‌گرها'!$B:$B,$A132,'تجربه‌گرها'!$F:$F,S$1)</f>
        <v>0</v>
      </c>
      <c r="T132" s="242">
        <f>COUNTIFS('تجربه‌گرها'!$B:$B,$A132,'تجربه‌گرها'!$F:$F,T$1)</f>
        <v>0</v>
      </c>
      <c r="U132" s="242"/>
      <c r="V132" s="242"/>
      <c r="W132" s="242"/>
      <c r="X132" s="242"/>
      <c r="Y132" s="242"/>
      <c r="Z132" s="242"/>
      <c r="AA132" s="242"/>
      <c r="AB132" s="242"/>
    </row>
    <row r="133">
      <c r="A133" s="244" t="s">
        <v>1603</v>
      </c>
      <c r="B133" s="245" t="str">
        <f>VLOOKUP(A133,'تجربه‌گرها'!B:C,2,FALSE())</f>
        <v>9367498998</v>
      </c>
      <c r="C133" s="242"/>
      <c r="D133" s="242">
        <f t="shared" si="1"/>
        <v>2</v>
      </c>
      <c r="E133" s="242">
        <f>COUNTIFS('تجربه‌گرها'!$B:$B,$A133,'تجربه‌گرها'!$F:$F,E$1)</f>
        <v>1</v>
      </c>
      <c r="F133" s="242">
        <f>COUNTIFS('تجربه‌گرها'!$B:$B,$A133,'تجربه‌گرها'!$F:$F,F$1)</f>
        <v>0</v>
      </c>
      <c r="G133" s="242">
        <f>COUNTIFS('تجربه‌گرها'!$B:$B,$A133,'تجربه‌گرها'!$F:$F,G$1)</f>
        <v>1</v>
      </c>
      <c r="H133" s="242">
        <f>COUNTIFS('تجربه‌گرها'!$B:$B,$A133,'تجربه‌گرها'!$F:$F,H$1)</f>
        <v>0</v>
      </c>
      <c r="I133" s="242">
        <f>COUNTIFS('تجربه‌گرها'!$B:$B,$A133,'تجربه‌گرها'!$F:$F,I$1)</f>
        <v>0</v>
      </c>
      <c r="J133" s="242">
        <f>COUNTIFS('تجربه‌گرها'!$B:$B,$A133,'تجربه‌گرها'!$F:$F,J$1)</f>
        <v>0</v>
      </c>
      <c r="K133" s="242">
        <f>COUNTIFS('تجربه‌گرها'!$B:$B,$A133,'تجربه‌گرها'!$F:$F,K$1)</f>
        <v>0</v>
      </c>
      <c r="L133" s="242">
        <f>COUNTIFS('تجربه‌گرها'!$B:$B,$A133,'تجربه‌گرها'!$F:$F,L$1)</f>
        <v>0</v>
      </c>
      <c r="M133" s="242">
        <f>COUNTIFS('تجربه‌گرها'!$B:$B,$A133,'تجربه‌گرها'!$F:$F,M$1)</f>
        <v>0</v>
      </c>
      <c r="N133" s="242">
        <f>COUNTIFS('تجربه‌گرها'!$B:$B,$A133,'تجربه‌گرها'!$F:$F,N$1)</f>
        <v>0</v>
      </c>
      <c r="O133" s="242">
        <f>COUNTIFS('تجربه‌گرها'!$B:$B,$A133,'تجربه‌گرها'!$F:$F,O$1)</f>
        <v>0</v>
      </c>
      <c r="P133" s="242">
        <f>COUNTIFS('تجربه‌گرها'!$B:$B,$A133,'تجربه‌گرها'!$F:$F,P$1)</f>
        <v>0</v>
      </c>
      <c r="Q133" s="242">
        <f>COUNTIFS('تجربه‌گرها'!$B:$B,$A133,'تجربه‌گرها'!$F:$F,Q$1)</f>
        <v>0</v>
      </c>
      <c r="R133" s="242">
        <f>COUNTIFS('تجربه‌گرها'!$B:$B,$A133,'تجربه‌گرها'!$F:$F,R$1)</f>
        <v>0</v>
      </c>
      <c r="S133" s="242">
        <f>COUNTIFS('تجربه‌گرها'!$B:$B,$A133,'تجربه‌گرها'!$F:$F,S$1)</f>
        <v>0</v>
      </c>
      <c r="T133" s="242">
        <f>COUNTIFS('تجربه‌گرها'!$B:$B,$A133,'تجربه‌گرها'!$F:$F,T$1)</f>
        <v>0</v>
      </c>
      <c r="U133" s="242"/>
      <c r="V133" s="242"/>
      <c r="W133" s="242"/>
      <c r="X133" s="242"/>
      <c r="Y133" s="242"/>
      <c r="Z133" s="242"/>
      <c r="AA133" s="242"/>
      <c r="AB133" s="242"/>
    </row>
    <row r="134">
      <c r="A134" s="244" t="s">
        <v>1608</v>
      </c>
      <c r="B134" s="245" t="str">
        <f>VLOOKUP(A134,'تجربه‌گرها'!B:C,2,FALSE())</f>
        <v>9123049318</v>
      </c>
      <c r="C134" s="242"/>
      <c r="D134" s="242">
        <f t="shared" si="1"/>
        <v>3</v>
      </c>
      <c r="E134" s="242">
        <f>COUNTIFS('تجربه‌گرها'!$B:$B,$A134,'تجربه‌گرها'!$F:$F,E$1)</f>
        <v>1</v>
      </c>
      <c r="F134" s="242">
        <f>COUNTIFS('تجربه‌گرها'!$B:$B,$A134,'تجربه‌گرها'!$F:$F,F$1)</f>
        <v>1</v>
      </c>
      <c r="G134" s="242">
        <f>COUNTIFS('تجربه‌گرها'!$B:$B,$A134,'تجربه‌گرها'!$F:$F,G$1)</f>
        <v>0</v>
      </c>
      <c r="H134" s="242">
        <f>COUNTIFS('تجربه‌گرها'!$B:$B,$A134,'تجربه‌گرها'!$F:$F,H$1)</f>
        <v>0</v>
      </c>
      <c r="I134" s="242">
        <f>COUNTIFS('تجربه‌گرها'!$B:$B,$A134,'تجربه‌گرها'!$F:$F,I$1)</f>
        <v>0</v>
      </c>
      <c r="J134" s="242">
        <f>COUNTIFS('تجربه‌گرها'!$B:$B,$A134,'تجربه‌گرها'!$F:$F,J$1)</f>
        <v>0</v>
      </c>
      <c r="K134" s="242">
        <f>COUNTIFS('تجربه‌گرها'!$B:$B,$A134,'تجربه‌گرها'!$F:$F,K$1)</f>
        <v>0</v>
      </c>
      <c r="L134" s="242">
        <f>COUNTIFS('تجربه‌گرها'!$B:$B,$A134,'تجربه‌گرها'!$F:$F,L$1)</f>
        <v>0</v>
      </c>
      <c r="M134" s="242">
        <f>COUNTIFS('تجربه‌گرها'!$B:$B,$A134,'تجربه‌گرها'!$F:$F,M$1)</f>
        <v>0</v>
      </c>
      <c r="N134" s="242">
        <f>COUNTIFS('تجربه‌گرها'!$B:$B,$A134,'تجربه‌گرها'!$F:$F,N$1)</f>
        <v>1</v>
      </c>
      <c r="O134" s="242">
        <f>COUNTIFS('تجربه‌گرها'!$B:$B,$A134,'تجربه‌گرها'!$F:$F,O$1)</f>
        <v>0</v>
      </c>
      <c r="P134" s="242">
        <f>COUNTIFS('تجربه‌گرها'!$B:$B,$A134,'تجربه‌گرها'!$F:$F,P$1)</f>
        <v>0</v>
      </c>
      <c r="Q134" s="242">
        <f>COUNTIFS('تجربه‌گرها'!$B:$B,$A134,'تجربه‌گرها'!$F:$F,Q$1)</f>
        <v>0</v>
      </c>
      <c r="R134" s="242">
        <f>COUNTIFS('تجربه‌گرها'!$B:$B,$A134,'تجربه‌گرها'!$F:$F,R$1)</f>
        <v>0</v>
      </c>
      <c r="S134" s="242">
        <f>COUNTIFS('تجربه‌گرها'!$B:$B,$A134,'تجربه‌گرها'!$F:$F,S$1)</f>
        <v>0</v>
      </c>
      <c r="T134" s="242">
        <f>COUNTIFS('تجربه‌گرها'!$B:$B,$A134,'تجربه‌گرها'!$F:$F,T$1)</f>
        <v>0</v>
      </c>
      <c r="U134" s="242"/>
      <c r="V134" s="242"/>
      <c r="W134" s="242"/>
      <c r="X134" s="242"/>
      <c r="Y134" s="242"/>
      <c r="Z134" s="242"/>
      <c r="AA134" s="242"/>
      <c r="AB134" s="242"/>
    </row>
    <row r="135" hidden="1">
      <c r="A135" s="244" t="s">
        <v>1614</v>
      </c>
      <c r="B135" s="245" t="str">
        <f>VLOOKUP(A135,'تجربه‌گرها'!B:C,2,FALSE())</f>
        <v>9133159437</v>
      </c>
      <c r="C135" s="242"/>
      <c r="D135" s="242">
        <f t="shared" si="1"/>
        <v>1</v>
      </c>
      <c r="E135" s="242">
        <f>COUNTIFS('تجربه‌گرها'!$B:$B,$A135,'تجربه‌گرها'!$F:$F,E$1)</f>
        <v>1</v>
      </c>
      <c r="F135" s="242">
        <f>COUNTIFS('تجربه‌گرها'!$B:$B,$A135,'تجربه‌گرها'!$F:$F,F$1)</f>
        <v>0</v>
      </c>
      <c r="G135" s="242">
        <f>COUNTIFS('تجربه‌گرها'!$B:$B,$A135,'تجربه‌گرها'!$F:$F,G$1)</f>
        <v>0</v>
      </c>
      <c r="H135" s="242">
        <f>COUNTIFS('تجربه‌گرها'!$B:$B,$A135,'تجربه‌گرها'!$F:$F,H$1)</f>
        <v>0</v>
      </c>
      <c r="I135" s="242">
        <f>COUNTIFS('تجربه‌گرها'!$B:$B,$A135,'تجربه‌گرها'!$F:$F,I$1)</f>
        <v>0</v>
      </c>
      <c r="J135" s="242">
        <f>COUNTIFS('تجربه‌گرها'!$B:$B,$A135,'تجربه‌گرها'!$F:$F,J$1)</f>
        <v>0</v>
      </c>
      <c r="K135" s="242">
        <f>COUNTIFS('تجربه‌گرها'!$B:$B,$A135,'تجربه‌گرها'!$F:$F,K$1)</f>
        <v>0</v>
      </c>
      <c r="L135" s="242">
        <f>COUNTIFS('تجربه‌گرها'!$B:$B,$A135,'تجربه‌گرها'!$F:$F,L$1)</f>
        <v>0</v>
      </c>
      <c r="M135" s="242">
        <f>COUNTIFS('تجربه‌گرها'!$B:$B,$A135,'تجربه‌گرها'!$F:$F,M$1)</f>
        <v>0</v>
      </c>
      <c r="N135" s="242">
        <f>COUNTIFS('تجربه‌گرها'!$B:$B,$A135,'تجربه‌گرها'!$F:$F,N$1)</f>
        <v>0</v>
      </c>
      <c r="O135" s="242">
        <f>COUNTIFS('تجربه‌گرها'!$B:$B,$A135,'تجربه‌گرها'!$F:$F,O$1)</f>
        <v>0</v>
      </c>
      <c r="P135" s="242">
        <f>COUNTIFS('تجربه‌گرها'!$B:$B,$A135,'تجربه‌گرها'!$F:$F,P$1)</f>
        <v>0</v>
      </c>
      <c r="Q135" s="242">
        <f>COUNTIFS('تجربه‌گرها'!$B:$B,$A135,'تجربه‌گرها'!$F:$F,Q$1)</f>
        <v>0</v>
      </c>
      <c r="R135" s="242">
        <f>COUNTIFS('تجربه‌گرها'!$B:$B,$A135,'تجربه‌گرها'!$F:$F,R$1)</f>
        <v>0</v>
      </c>
      <c r="S135" s="242">
        <f>COUNTIFS('تجربه‌گرها'!$B:$B,$A135,'تجربه‌گرها'!$F:$F,S$1)</f>
        <v>0</v>
      </c>
      <c r="T135" s="242">
        <f>COUNTIFS('تجربه‌گرها'!$B:$B,$A135,'تجربه‌گرها'!$F:$F,T$1)</f>
        <v>0</v>
      </c>
      <c r="U135" s="242"/>
      <c r="V135" s="242"/>
      <c r="W135" s="242"/>
      <c r="X135" s="242"/>
      <c r="Y135" s="242"/>
      <c r="Z135" s="242"/>
      <c r="AA135" s="242"/>
      <c r="AB135" s="242"/>
    </row>
    <row r="136" hidden="1">
      <c r="A136" s="244" t="s">
        <v>1619</v>
      </c>
      <c r="B136" s="245" t="str">
        <f>VLOOKUP(A136,'تجربه‌گرها'!B:C,2,FALSE())</f>
        <v>9199690189</v>
      </c>
      <c r="C136" s="242"/>
      <c r="D136" s="242">
        <f t="shared" si="1"/>
        <v>1</v>
      </c>
      <c r="E136" s="242">
        <f>COUNTIFS('تجربه‌گرها'!$B:$B,$A136,'تجربه‌گرها'!$F:$F,E$1)</f>
        <v>1</v>
      </c>
      <c r="F136" s="242">
        <f>COUNTIFS('تجربه‌گرها'!$B:$B,$A136,'تجربه‌گرها'!$F:$F,F$1)</f>
        <v>0</v>
      </c>
      <c r="G136" s="242">
        <f>COUNTIFS('تجربه‌گرها'!$B:$B,$A136,'تجربه‌گرها'!$F:$F,G$1)</f>
        <v>0</v>
      </c>
      <c r="H136" s="242">
        <f>COUNTIFS('تجربه‌گرها'!$B:$B,$A136,'تجربه‌گرها'!$F:$F,H$1)</f>
        <v>0</v>
      </c>
      <c r="I136" s="242">
        <f>COUNTIFS('تجربه‌گرها'!$B:$B,$A136,'تجربه‌گرها'!$F:$F,I$1)</f>
        <v>0</v>
      </c>
      <c r="J136" s="242">
        <f>COUNTIFS('تجربه‌گرها'!$B:$B,$A136,'تجربه‌گرها'!$F:$F,J$1)</f>
        <v>0</v>
      </c>
      <c r="K136" s="242">
        <f>COUNTIFS('تجربه‌گرها'!$B:$B,$A136,'تجربه‌گرها'!$F:$F,K$1)</f>
        <v>0</v>
      </c>
      <c r="L136" s="242">
        <f>COUNTIFS('تجربه‌گرها'!$B:$B,$A136,'تجربه‌گرها'!$F:$F,L$1)</f>
        <v>0</v>
      </c>
      <c r="M136" s="242">
        <f>COUNTIFS('تجربه‌گرها'!$B:$B,$A136,'تجربه‌گرها'!$F:$F,M$1)</f>
        <v>0</v>
      </c>
      <c r="N136" s="242">
        <f>COUNTIFS('تجربه‌گرها'!$B:$B,$A136,'تجربه‌گرها'!$F:$F,N$1)</f>
        <v>0</v>
      </c>
      <c r="O136" s="242">
        <f>COUNTIFS('تجربه‌گرها'!$B:$B,$A136,'تجربه‌گرها'!$F:$F,O$1)</f>
        <v>0</v>
      </c>
      <c r="P136" s="242">
        <f>COUNTIFS('تجربه‌گرها'!$B:$B,$A136,'تجربه‌گرها'!$F:$F,P$1)</f>
        <v>0</v>
      </c>
      <c r="Q136" s="242">
        <f>COUNTIFS('تجربه‌گرها'!$B:$B,$A136,'تجربه‌گرها'!$F:$F,Q$1)</f>
        <v>0</v>
      </c>
      <c r="R136" s="242">
        <f>COUNTIFS('تجربه‌گرها'!$B:$B,$A136,'تجربه‌گرها'!$F:$F,R$1)</f>
        <v>0</v>
      </c>
      <c r="S136" s="242">
        <f>COUNTIFS('تجربه‌گرها'!$B:$B,$A136,'تجربه‌گرها'!$F:$F,S$1)</f>
        <v>0</v>
      </c>
      <c r="T136" s="242">
        <f>COUNTIFS('تجربه‌گرها'!$B:$B,$A136,'تجربه‌گرها'!$F:$F,T$1)</f>
        <v>0</v>
      </c>
      <c r="U136" s="242"/>
      <c r="V136" s="242"/>
      <c r="W136" s="242"/>
      <c r="X136" s="242"/>
      <c r="Y136" s="242"/>
      <c r="Z136" s="242"/>
      <c r="AA136" s="242"/>
      <c r="AB136" s="242"/>
    </row>
    <row r="137">
      <c r="A137" s="244" t="s">
        <v>1625</v>
      </c>
      <c r="B137" s="245" t="str">
        <f>VLOOKUP(A137,'تجربه‌گرها'!B:C,2,FALSE())</f>
        <v>9364046101</v>
      </c>
      <c r="C137" s="242"/>
      <c r="D137" s="242">
        <f t="shared" si="1"/>
        <v>2</v>
      </c>
      <c r="E137" s="242">
        <f>COUNTIFS('تجربه‌گرها'!$B:$B,$A137,'تجربه‌گرها'!$F:$F,E$1)</f>
        <v>1</v>
      </c>
      <c r="F137" s="242">
        <f>COUNTIFS('تجربه‌گرها'!$B:$B,$A137,'تجربه‌گرها'!$F:$F,F$1)</f>
        <v>1</v>
      </c>
      <c r="G137" s="242">
        <f>COUNTIFS('تجربه‌گرها'!$B:$B,$A137,'تجربه‌گرها'!$F:$F,G$1)</f>
        <v>0</v>
      </c>
      <c r="H137" s="242">
        <f>COUNTIFS('تجربه‌گرها'!$B:$B,$A137,'تجربه‌گرها'!$F:$F,H$1)</f>
        <v>0</v>
      </c>
      <c r="I137" s="242">
        <f>COUNTIFS('تجربه‌گرها'!$B:$B,$A137,'تجربه‌گرها'!$F:$F,I$1)</f>
        <v>0</v>
      </c>
      <c r="J137" s="242">
        <f>COUNTIFS('تجربه‌گرها'!$B:$B,$A137,'تجربه‌گرها'!$F:$F,J$1)</f>
        <v>0</v>
      </c>
      <c r="K137" s="242">
        <f>COUNTIFS('تجربه‌گرها'!$B:$B,$A137,'تجربه‌گرها'!$F:$F,K$1)</f>
        <v>0</v>
      </c>
      <c r="L137" s="242">
        <f>COUNTIFS('تجربه‌گرها'!$B:$B,$A137,'تجربه‌گرها'!$F:$F,L$1)</f>
        <v>0</v>
      </c>
      <c r="M137" s="242">
        <f>COUNTIFS('تجربه‌گرها'!$B:$B,$A137,'تجربه‌گرها'!$F:$F,M$1)</f>
        <v>0</v>
      </c>
      <c r="N137" s="242">
        <f>COUNTIFS('تجربه‌گرها'!$B:$B,$A137,'تجربه‌گرها'!$F:$F,N$1)</f>
        <v>0</v>
      </c>
      <c r="O137" s="242">
        <f>COUNTIFS('تجربه‌گرها'!$B:$B,$A137,'تجربه‌گرها'!$F:$F,O$1)</f>
        <v>0</v>
      </c>
      <c r="P137" s="242">
        <f>COUNTIFS('تجربه‌گرها'!$B:$B,$A137,'تجربه‌گرها'!$F:$F,P$1)</f>
        <v>0</v>
      </c>
      <c r="Q137" s="242">
        <f>COUNTIFS('تجربه‌گرها'!$B:$B,$A137,'تجربه‌گرها'!$F:$F,Q$1)</f>
        <v>0</v>
      </c>
      <c r="R137" s="242">
        <f>COUNTIFS('تجربه‌گرها'!$B:$B,$A137,'تجربه‌گرها'!$F:$F,R$1)</f>
        <v>0</v>
      </c>
      <c r="S137" s="242">
        <f>COUNTIFS('تجربه‌گرها'!$B:$B,$A137,'تجربه‌گرها'!$F:$F,S$1)</f>
        <v>0</v>
      </c>
      <c r="T137" s="242">
        <f>COUNTIFS('تجربه‌گرها'!$B:$B,$A137,'تجربه‌گرها'!$F:$F,T$1)</f>
        <v>0</v>
      </c>
      <c r="U137" s="242"/>
      <c r="V137" s="242"/>
      <c r="W137" s="242"/>
      <c r="X137" s="242"/>
      <c r="Y137" s="242"/>
      <c r="Z137" s="242"/>
      <c r="AA137" s="242"/>
      <c r="AB137" s="242"/>
    </row>
    <row r="138" hidden="1">
      <c r="A138" s="244" t="s">
        <v>1630</v>
      </c>
      <c r="B138" s="245" t="str">
        <f>VLOOKUP(A138,'تجربه‌گرها'!B:C,2,FALSE())</f>
        <v>9124386498</v>
      </c>
      <c r="C138" s="242"/>
      <c r="D138" s="242">
        <f t="shared" si="1"/>
        <v>1</v>
      </c>
      <c r="E138" s="242">
        <f>COUNTIFS('تجربه‌گرها'!$B:$B,$A138,'تجربه‌گرها'!$F:$F,E$1)</f>
        <v>1</v>
      </c>
      <c r="F138" s="242">
        <f>COUNTIFS('تجربه‌گرها'!$B:$B,$A138,'تجربه‌گرها'!$F:$F,F$1)</f>
        <v>0</v>
      </c>
      <c r="G138" s="242">
        <f>COUNTIFS('تجربه‌گرها'!$B:$B,$A138,'تجربه‌گرها'!$F:$F,G$1)</f>
        <v>0</v>
      </c>
      <c r="H138" s="242">
        <f>COUNTIFS('تجربه‌گرها'!$B:$B,$A138,'تجربه‌گرها'!$F:$F,H$1)</f>
        <v>0</v>
      </c>
      <c r="I138" s="242">
        <f>COUNTIFS('تجربه‌گرها'!$B:$B,$A138,'تجربه‌گرها'!$F:$F,I$1)</f>
        <v>0</v>
      </c>
      <c r="J138" s="242">
        <f>COUNTIFS('تجربه‌گرها'!$B:$B,$A138,'تجربه‌گرها'!$F:$F,J$1)</f>
        <v>0</v>
      </c>
      <c r="K138" s="242">
        <f>COUNTIFS('تجربه‌گرها'!$B:$B,$A138,'تجربه‌گرها'!$F:$F,K$1)</f>
        <v>0</v>
      </c>
      <c r="L138" s="242">
        <f>COUNTIFS('تجربه‌گرها'!$B:$B,$A138,'تجربه‌گرها'!$F:$F,L$1)</f>
        <v>0</v>
      </c>
      <c r="M138" s="242">
        <f>COUNTIFS('تجربه‌گرها'!$B:$B,$A138,'تجربه‌گرها'!$F:$F,M$1)</f>
        <v>0</v>
      </c>
      <c r="N138" s="242">
        <f>COUNTIFS('تجربه‌گرها'!$B:$B,$A138,'تجربه‌گرها'!$F:$F,N$1)</f>
        <v>0</v>
      </c>
      <c r="O138" s="242">
        <f>COUNTIFS('تجربه‌گرها'!$B:$B,$A138,'تجربه‌گرها'!$F:$F,O$1)</f>
        <v>0</v>
      </c>
      <c r="P138" s="242">
        <f>COUNTIFS('تجربه‌گرها'!$B:$B,$A138,'تجربه‌گرها'!$F:$F,P$1)</f>
        <v>0</v>
      </c>
      <c r="Q138" s="242">
        <f>COUNTIFS('تجربه‌گرها'!$B:$B,$A138,'تجربه‌گرها'!$F:$F,Q$1)</f>
        <v>0</v>
      </c>
      <c r="R138" s="242">
        <f>COUNTIFS('تجربه‌گرها'!$B:$B,$A138,'تجربه‌گرها'!$F:$F,R$1)</f>
        <v>0</v>
      </c>
      <c r="S138" s="242">
        <f>COUNTIFS('تجربه‌گرها'!$B:$B,$A138,'تجربه‌گرها'!$F:$F,S$1)</f>
        <v>0</v>
      </c>
      <c r="T138" s="242">
        <f>COUNTIFS('تجربه‌گرها'!$B:$B,$A138,'تجربه‌گرها'!$F:$F,T$1)</f>
        <v>0</v>
      </c>
      <c r="U138" s="242"/>
      <c r="V138" s="242"/>
      <c r="W138" s="242"/>
      <c r="X138" s="242"/>
      <c r="Y138" s="242"/>
      <c r="Z138" s="242"/>
      <c r="AA138" s="242"/>
      <c r="AB138" s="242"/>
    </row>
    <row r="139" hidden="1">
      <c r="A139" s="244" t="s">
        <v>1637</v>
      </c>
      <c r="B139" s="245" t="str">
        <f>VLOOKUP(A139,'تجربه‌گرها'!B:C,2,FALSE())</f>
        <v>9306609403</v>
      </c>
      <c r="C139" s="242"/>
      <c r="D139" s="242">
        <f t="shared" si="1"/>
        <v>1</v>
      </c>
      <c r="E139" s="242">
        <f>COUNTIFS('تجربه‌گرها'!$B:$B,$A139,'تجربه‌گرها'!$F:$F,E$1)</f>
        <v>1</v>
      </c>
      <c r="F139" s="242">
        <f>COUNTIFS('تجربه‌گرها'!$B:$B,$A139,'تجربه‌گرها'!$F:$F,F$1)</f>
        <v>0</v>
      </c>
      <c r="G139" s="242">
        <f>COUNTIFS('تجربه‌گرها'!$B:$B,$A139,'تجربه‌گرها'!$F:$F,G$1)</f>
        <v>0</v>
      </c>
      <c r="H139" s="242">
        <f>COUNTIFS('تجربه‌گرها'!$B:$B,$A139,'تجربه‌گرها'!$F:$F,H$1)</f>
        <v>0</v>
      </c>
      <c r="I139" s="242">
        <f>COUNTIFS('تجربه‌گرها'!$B:$B,$A139,'تجربه‌گرها'!$F:$F,I$1)</f>
        <v>0</v>
      </c>
      <c r="J139" s="242">
        <f>COUNTIFS('تجربه‌گرها'!$B:$B,$A139,'تجربه‌گرها'!$F:$F,J$1)</f>
        <v>0</v>
      </c>
      <c r="K139" s="242">
        <f>COUNTIFS('تجربه‌گرها'!$B:$B,$A139,'تجربه‌گرها'!$F:$F,K$1)</f>
        <v>0</v>
      </c>
      <c r="L139" s="242">
        <f>COUNTIFS('تجربه‌گرها'!$B:$B,$A139,'تجربه‌گرها'!$F:$F,L$1)</f>
        <v>0</v>
      </c>
      <c r="M139" s="242">
        <f>COUNTIFS('تجربه‌گرها'!$B:$B,$A139,'تجربه‌گرها'!$F:$F,M$1)</f>
        <v>0</v>
      </c>
      <c r="N139" s="242">
        <f>COUNTIFS('تجربه‌گرها'!$B:$B,$A139,'تجربه‌گرها'!$F:$F,N$1)</f>
        <v>0</v>
      </c>
      <c r="O139" s="242">
        <f>COUNTIFS('تجربه‌گرها'!$B:$B,$A139,'تجربه‌گرها'!$F:$F,O$1)</f>
        <v>0</v>
      </c>
      <c r="P139" s="242">
        <f>COUNTIFS('تجربه‌گرها'!$B:$B,$A139,'تجربه‌گرها'!$F:$F,P$1)</f>
        <v>0</v>
      </c>
      <c r="Q139" s="242">
        <f>COUNTIFS('تجربه‌گرها'!$B:$B,$A139,'تجربه‌گرها'!$F:$F,Q$1)</f>
        <v>0</v>
      </c>
      <c r="R139" s="242">
        <f>COUNTIFS('تجربه‌گرها'!$B:$B,$A139,'تجربه‌گرها'!$F:$F,R$1)</f>
        <v>0</v>
      </c>
      <c r="S139" s="242">
        <f>COUNTIFS('تجربه‌گرها'!$B:$B,$A139,'تجربه‌گرها'!$F:$F,S$1)</f>
        <v>0</v>
      </c>
      <c r="T139" s="242">
        <f>COUNTIFS('تجربه‌گرها'!$B:$B,$A139,'تجربه‌گرها'!$F:$F,T$1)</f>
        <v>0</v>
      </c>
      <c r="U139" s="242"/>
      <c r="V139" s="242"/>
      <c r="W139" s="242"/>
      <c r="X139" s="242"/>
      <c r="Y139" s="242"/>
      <c r="Z139" s="242"/>
      <c r="AA139" s="242"/>
      <c r="AB139" s="242"/>
    </row>
    <row r="140" hidden="1">
      <c r="A140" s="244" t="s">
        <v>1643</v>
      </c>
      <c r="B140" s="245" t="str">
        <f>VLOOKUP(A140,'تجربه‌گرها'!B:C,2,FALSE())</f>
        <v>9129246466</v>
      </c>
      <c r="C140" s="242"/>
      <c r="D140" s="242">
        <f t="shared" si="1"/>
        <v>1</v>
      </c>
      <c r="E140" s="242">
        <f>COUNTIFS('تجربه‌گرها'!$B:$B,$A140,'تجربه‌گرها'!$F:$F,E$1)</f>
        <v>1</v>
      </c>
      <c r="F140" s="242">
        <f>COUNTIFS('تجربه‌گرها'!$B:$B,$A140,'تجربه‌گرها'!$F:$F,F$1)</f>
        <v>0</v>
      </c>
      <c r="G140" s="242">
        <f>COUNTIFS('تجربه‌گرها'!$B:$B,$A140,'تجربه‌گرها'!$F:$F,G$1)</f>
        <v>0</v>
      </c>
      <c r="H140" s="242">
        <f>COUNTIFS('تجربه‌گرها'!$B:$B,$A140,'تجربه‌گرها'!$F:$F,H$1)</f>
        <v>0</v>
      </c>
      <c r="I140" s="242">
        <f>COUNTIFS('تجربه‌گرها'!$B:$B,$A140,'تجربه‌گرها'!$F:$F,I$1)</f>
        <v>0</v>
      </c>
      <c r="J140" s="242">
        <f>COUNTIFS('تجربه‌گرها'!$B:$B,$A140,'تجربه‌گرها'!$F:$F,J$1)</f>
        <v>0</v>
      </c>
      <c r="K140" s="242">
        <f>COUNTIFS('تجربه‌گرها'!$B:$B,$A140,'تجربه‌گرها'!$F:$F,K$1)</f>
        <v>0</v>
      </c>
      <c r="L140" s="242">
        <f>COUNTIFS('تجربه‌گرها'!$B:$B,$A140,'تجربه‌گرها'!$F:$F,L$1)</f>
        <v>0</v>
      </c>
      <c r="M140" s="242">
        <f>COUNTIFS('تجربه‌گرها'!$B:$B,$A140,'تجربه‌گرها'!$F:$F,M$1)</f>
        <v>0</v>
      </c>
      <c r="N140" s="242">
        <f>COUNTIFS('تجربه‌گرها'!$B:$B,$A140,'تجربه‌گرها'!$F:$F,N$1)</f>
        <v>0</v>
      </c>
      <c r="O140" s="242">
        <f>COUNTIFS('تجربه‌گرها'!$B:$B,$A140,'تجربه‌گرها'!$F:$F,O$1)</f>
        <v>0</v>
      </c>
      <c r="P140" s="242">
        <f>COUNTIFS('تجربه‌گرها'!$B:$B,$A140,'تجربه‌گرها'!$F:$F,P$1)</f>
        <v>0</v>
      </c>
      <c r="Q140" s="242">
        <f>COUNTIFS('تجربه‌گرها'!$B:$B,$A140,'تجربه‌گرها'!$F:$F,Q$1)</f>
        <v>0</v>
      </c>
      <c r="R140" s="242">
        <f>COUNTIFS('تجربه‌گرها'!$B:$B,$A140,'تجربه‌گرها'!$F:$F,R$1)</f>
        <v>0</v>
      </c>
      <c r="S140" s="242">
        <f>COUNTIFS('تجربه‌گرها'!$B:$B,$A140,'تجربه‌گرها'!$F:$F,S$1)</f>
        <v>0</v>
      </c>
      <c r="T140" s="242">
        <f>COUNTIFS('تجربه‌گرها'!$B:$B,$A140,'تجربه‌گرها'!$F:$F,T$1)</f>
        <v>0</v>
      </c>
      <c r="U140" s="242"/>
      <c r="V140" s="242"/>
      <c r="W140" s="242"/>
      <c r="X140" s="242"/>
      <c r="Y140" s="242"/>
      <c r="Z140" s="242"/>
      <c r="AA140" s="242"/>
      <c r="AB140" s="242"/>
    </row>
    <row r="141" hidden="1">
      <c r="A141" s="244" t="s">
        <v>1649</v>
      </c>
      <c r="B141" s="245" t="str">
        <f>VLOOKUP(A141,'تجربه‌گرها'!B:C,2,FALSE())</f>
        <v>9128300124</v>
      </c>
      <c r="C141" s="242"/>
      <c r="D141" s="242">
        <f t="shared" si="1"/>
        <v>1</v>
      </c>
      <c r="E141" s="242">
        <f>COUNTIFS('تجربه‌گرها'!$B:$B,$A141,'تجربه‌گرها'!$F:$F,E$1)</f>
        <v>1</v>
      </c>
      <c r="F141" s="242">
        <f>COUNTIFS('تجربه‌گرها'!$B:$B,$A141,'تجربه‌گرها'!$F:$F,F$1)</f>
        <v>0</v>
      </c>
      <c r="G141" s="242">
        <f>COUNTIFS('تجربه‌گرها'!$B:$B,$A141,'تجربه‌گرها'!$F:$F,G$1)</f>
        <v>0</v>
      </c>
      <c r="H141" s="242">
        <f>COUNTIFS('تجربه‌گرها'!$B:$B,$A141,'تجربه‌گرها'!$F:$F,H$1)</f>
        <v>0</v>
      </c>
      <c r="I141" s="242">
        <f>COUNTIFS('تجربه‌گرها'!$B:$B,$A141,'تجربه‌گرها'!$F:$F,I$1)</f>
        <v>0</v>
      </c>
      <c r="J141" s="242">
        <f>COUNTIFS('تجربه‌گرها'!$B:$B,$A141,'تجربه‌گرها'!$F:$F,J$1)</f>
        <v>0</v>
      </c>
      <c r="K141" s="242">
        <f>COUNTIFS('تجربه‌گرها'!$B:$B,$A141,'تجربه‌گرها'!$F:$F,K$1)</f>
        <v>0</v>
      </c>
      <c r="L141" s="242">
        <f>COUNTIFS('تجربه‌گرها'!$B:$B,$A141,'تجربه‌گرها'!$F:$F,L$1)</f>
        <v>0</v>
      </c>
      <c r="M141" s="242">
        <f>COUNTIFS('تجربه‌گرها'!$B:$B,$A141,'تجربه‌گرها'!$F:$F,M$1)</f>
        <v>0</v>
      </c>
      <c r="N141" s="242">
        <f>COUNTIFS('تجربه‌گرها'!$B:$B,$A141,'تجربه‌گرها'!$F:$F,N$1)</f>
        <v>0</v>
      </c>
      <c r="O141" s="242">
        <f>COUNTIFS('تجربه‌گرها'!$B:$B,$A141,'تجربه‌گرها'!$F:$F,O$1)</f>
        <v>0</v>
      </c>
      <c r="P141" s="242">
        <f>COUNTIFS('تجربه‌گرها'!$B:$B,$A141,'تجربه‌گرها'!$F:$F,P$1)</f>
        <v>0</v>
      </c>
      <c r="Q141" s="242">
        <f>COUNTIFS('تجربه‌گرها'!$B:$B,$A141,'تجربه‌گرها'!$F:$F,Q$1)</f>
        <v>0</v>
      </c>
      <c r="R141" s="242">
        <f>COUNTIFS('تجربه‌گرها'!$B:$B,$A141,'تجربه‌گرها'!$F:$F,R$1)</f>
        <v>0</v>
      </c>
      <c r="S141" s="242">
        <f>COUNTIFS('تجربه‌گرها'!$B:$B,$A141,'تجربه‌گرها'!$F:$F,S$1)</f>
        <v>0</v>
      </c>
      <c r="T141" s="242">
        <f>COUNTIFS('تجربه‌گرها'!$B:$B,$A141,'تجربه‌گرها'!$F:$F,T$1)</f>
        <v>0</v>
      </c>
      <c r="U141" s="242"/>
      <c r="V141" s="242"/>
      <c r="W141" s="242"/>
      <c r="X141" s="242"/>
      <c r="Y141" s="242"/>
      <c r="Z141" s="242"/>
      <c r="AA141" s="242"/>
      <c r="AB141" s="242"/>
    </row>
    <row r="142" hidden="1">
      <c r="A142" s="244" t="s">
        <v>1656</v>
      </c>
      <c r="B142" s="245" t="str">
        <f>VLOOKUP(A142,'تجربه‌گرها'!B:C,2,FALSE())</f>
        <v>9102242927</v>
      </c>
      <c r="C142" s="242"/>
      <c r="D142" s="242">
        <f t="shared" si="1"/>
        <v>1</v>
      </c>
      <c r="E142" s="242">
        <f>COUNTIFS('تجربه‌گرها'!$B:$B,$A142,'تجربه‌گرها'!$F:$F,E$1)</f>
        <v>1</v>
      </c>
      <c r="F142" s="242">
        <f>COUNTIFS('تجربه‌گرها'!$B:$B,$A142,'تجربه‌گرها'!$F:$F,F$1)</f>
        <v>0</v>
      </c>
      <c r="G142" s="242">
        <f>COUNTIFS('تجربه‌گرها'!$B:$B,$A142,'تجربه‌گرها'!$F:$F,G$1)</f>
        <v>0</v>
      </c>
      <c r="H142" s="242">
        <f>COUNTIFS('تجربه‌گرها'!$B:$B,$A142,'تجربه‌گرها'!$F:$F,H$1)</f>
        <v>0</v>
      </c>
      <c r="I142" s="242">
        <f>COUNTIFS('تجربه‌گرها'!$B:$B,$A142,'تجربه‌گرها'!$F:$F,I$1)</f>
        <v>0</v>
      </c>
      <c r="J142" s="242">
        <f>COUNTIFS('تجربه‌گرها'!$B:$B,$A142,'تجربه‌گرها'!$F:$F,J$1)</f>
        <v>0</v>
      </c>
      <c r="K142" s="242">
        <f>COUNTIFS('تجربه‌گرها'!$B:$B,$A142,'تجربه‌گرها'!$F:$F,K$1)</f>
        <v>0</v>
      </c>
      <c r="L142" s="242">
        <f>COUNTIFS('تجربه‌گرها'!$B:$B,$A142,'تجربه‌گرها'!$F:$F,L$1)</f>
        <v>0</v>
      </c>
      <c r="M142" s="242">
        <f>COUNTIFS('تجربه‌گرها'!$B:$B,$A142,'تجربه‌گرها'!$F:$F,M$1)</f>
        <v>0</v>
      </c>
      <c r="N142" s="242">
        <f>COUNTIFS('تجربه‌گرها'!$B:$B,$A142,'تجربه‌گرها'!$F:$F,N$1)</f>
        <v>0</v>
      </c>
      <c r="O142" s="242">
        <f>COUNTIFS('تجربه‌گرها'!$B:$B,$A142,'تجربه‌گرها'!$F:$F,O$1)</f>
        <v>0</v>
      </c>
      <c r="P142" s="242">
        <f>COUNTIFS('تجربه‌گرها'!$B:$B,$A142,'تجربه‌گرها'!$F:$F,P$1)</f>
        <v>0</v>
      </c>
      <c r="Q142" s="242">
        <f>COUNTIFS('تجربه‌گرها'!$B:$B,$A142,'تجربه‌گرها'!$F:$F,Q$1)</f>
        <v>0</v>
      </c>
      <c r="R142" s="242">
        <f>COUNTIFS('تجربه‌گرها'!$B:$B,$A142,'تجربه‌گرها'!$F:$F,R$1)</f>
        <v>0</v>
      </c>
      <c r="S142" s="242">
        <f>COUNTIFS('تجربه‌گرها'!$B:$B,$A142,'تجربه‌گرها'!$F:$F,S$1)</f>
        <v>0</v>
      </c>
      <c r="T142" s="242">
        <f>COUNTIFS('تجربه‌گرها'!$B:$B,$A142,'تجربه‌گرها'!$F:$F,T$1)</f>
        <v>0</v>
      </c>
      <c r="U142" s="242"/>
      <c r="V142" s="242"/>
      <c r="W142" s="242"/>
      <c r="X142" s="242"/>
      <c r="Y142" s="242"/>
      <c r="Z142" s="242"/>
      <c r="AA142" s="242"/>
      <c r="AB142" s="242"/>
    </row>
    <row r="143" hidden="1">
      <c r="A143" s="244" t="s">
        <v>1661</v>
      </c>
      <c r="B143" s="245" t="str">
        <f>VLOOKUP(A143,'تجربه‌گرها'!B:C,2,FALSE())</f>
        <v>9124156426</v>
      </c>
      <c r="C143" s="242"/>
      <c r="D143" s="242">
        <f t="shared" si="1"/>
        <v>1</v>
      </c>
      <c r="E143" s="242">
        <f>COUNTIFS('تجربه‌گرها'!$B:$B,$A143,'تجربه‌گرها'!$F:$F,E$1)</f>
        <v>1</v>
      </c>
      <c r="F143" s="242">
        <f>COUNTIFS('تجربه‌گرها'!$B:$B,$A143,'تجربه‌گرها'!$F:$F,F$1)</f>
        <v>0</v>
      </c>
      <c r="G143" s="242">
        <f>COUNTIFS('تجربه‌گرها'!$B:$B,$A143,'تجربه‌گرها'!$F:$F,G$1)</f>
        <v>0</v>
      </c>
      <c r="H143" s="242">
        <f>COUNTIFS('تجربه‌گرها'!$B:$B,$A143,'تجربه‌گرها'!$F:$F,H$1)</f>
        <v>0</v>
      </c>
      <c r="I143" s="242">
        <f>COUNTIFS('تجربه‌گرها'!$B:$B,$A143,'تجربه‌گرها'!$F:$F,I$1)</f>
        <v>0</v>
      </c>
      <c r="J143" s="242">
        <f>COUNTIFS('تجربه‌گرها'!$B:$B,$A143,'تجربه‌گرها'!$F:$F,J$1)</f>
        <v>0</v>
      </c>
      <c r="K143" s="242">
        <f>COUNTIFS('تجربه‌گرها'!$B:$B,$A143,'تجربه‌گرها'!$F:$F,K$1)</f>
        <v>0</v>
      </c>
      <c r="L143" s="242">
        <f>COUNTIFS('تجربه‌گرها'!$B:$B,$A143,'تجربه‌گرها'!$F:$F,L$1)</f>
        <v>0</v>
      </c>
      <c r="M143" s="242">
        <f>COUNTIFS('تجربه‌گرها'!$B:$B,$A143,'تجربه‌گرها'!$F:$F,M$1)</f>
        <v>0</v>
      </c>
      <c r="N143" s="242">
        <f>COUNTIFS('تجربه‌گرها'!$B:$B,$A143,'تجربه‌گرها'!$F:$F,N$1)</f>
        <v>0</v>
      </c>
      <c r="O143" s="242">
        <f>COUNTIFS('تجربه‌گرها'!$B:$B,$A143,'تجربه‌گرها'!$F:$F,O$1)</f>
        <v>0</v>
      </c>
      <c r="P143" s="242">
        <f>COUNTIFS('تجربه‌گرها'!$B:$B,$A143,'تجربه‌گرها'!$F:$F,P$1)</f>
        <v>0</v>
      </c>
      <c r="Q143" s="242">
        <f>COUNTIFS('تجربه‌گرها'!$B:$B,$A143,'تجربه‌گرها'!$F:$F,Q$1)</f>
        <v>0</v>
      </c>
      <c r="R143" s="242">
        <f>COUNTIFS('تجربه‌گرها'!$B:$B,$A143,'تجربه‌گرها'!$F:$F,R$1)</f>
        <v>0</v>
      </c>
      <c r="S143" s="242">
        <f>COUNTIFS('تجربه‌گرها'!$B:$B,$A143,'تجربه‌گرها'!$F:$F,S$1)</f>
        <v>0</v>
      </c>
      <c r="T143" s="242">
        <f>COUNTIFS('تجربه‌گرها'!$B:$B,$A143,'تجربه‌گرها'!$F:$F,T$1)</f>
        <v>0</v>
      </c>
      <c r="U143" s="242"/>
      <c r="V143" s="242"/>
      <c r="W143" s="242"/>
      <c r="X143" s="242"/>
      <c r="Y143" s="242"/>
      <c r="Z143" s="242"/>
      <c r="AA143" s="242"/>
      <c r="AB143" s="242"/>
    </row>
    <row r="144" hidden="1">
      <c r="A144" s="244" t="s">
        <v>1666</v>
      </c>
      <c r="B144" s="245" t="str">
        <f>VLOOKUP(A144,'تجربه‌گرها'!B:C,2,FALSE())</f>
        <v>9128454353</v>
      </c>
      <c r="C144" s="242"/>
      <c r="D144" s="242">
        <f t="shared" si="1"/>
        <v>1</v>
      </c>
      <c r="E144" s="242">
        <f>COUNTIFS('تجربه‌گرها'!$B:$B,$A144,'تجربه‌گرها'!$F:$F,E$1)</f>
        <v>1</v>
      </c>
      <c r="F144" s="242">
        <f>COUNTIFS('تجربه‌گرها'!$B:$B,$A144,'تجربه‌گرها'!$F:$F,F$1)</f>
        <v>0</v>
      </c>
      <c r="G144" s="242">
        <f>COUNTIFS('تجربه‌گرها'!$B:$B,$A144,'تجربه‌گرها'!$F:$F,G$1)</f>
        <v>0</v>
      </c>
      <c r="H144" s="242">
        <f>COUNTIFS('تجربه‌گرها'!$B:$B,$A144,'تجربه‌گرها'!$F:$F,H$1)</f>
        <v>0</v>
      </c>
      <c r="I144" s="242">
        <f>COUNTIFS('تجربه‌گرها'!$B:$B,$A144,'تجربه‌گرها'!$F:$F,I$1)</f>
        <v>0</v>
      </c>
      <c r="J144" s="242">
        <f>COUNTIFS('تجربه‌گرها'!$B:$B,$A144,'تجربه‌گرها'!$F:$F,J$1)</f>
        <v>0</v>
      </c>
      <c r="K144" s="242">
        <f>COUNTIFS('تجربه‌گرها'!$B:$B,$A144,'تجربه‌گرها'!$F:$F,K$1)</f>
        <v>0</v>
      </c>
      <c r="L144" s="242">
        <f>COUNTIFS('تجربه‌گرها'!$B:$B,$A144,'تجربه‌گرها'!$F:$F,L$1)</f>
        <v>0</v>
      </c>
      <c r="M144" s="242">
        <f>COUNTIFS('تجربه‌گرها'!$B:$B,$A144,'تجربه‌گرها'!$F:$F,M$1)</f>
        <v>0</v>
      </c>
      <c r="N144" s="242">
        <f>COUNTIFS('تجربه‌گرها'!$B:$B,$A144,'تجربه‌گرها'!$F:$F,N$1)</f>
        <v>0</v>
      </c>
      <c r="O144" s="242">
        <f>COUNTIFS('تجربه‌گرها'!$B:$B,$A144,'تجربه‌گرها'!$F:$F,O$1)</f>
        <v>0</v>
      </c>
      <c r="P144" s="242">
        <f>COUNTIFS('تجربه‌گرها'!$B:$B,$A144,'تجربه‌گرها'!$F:$F,P$1)</f>
        <v>0</v>
      </c>
      <c r="Q144" s="242">
        <f>COUNTIFS('تجربه‌گرها'!$B:$B,$A144,'تجربه‌گرها'!$F:$F,Q$1)</f>
        <v>0</v>
      </c>
      <c r="R144" s="242">
        <f>COUNTIFS('تجربه‌گرها'!$B:$B,$A144,'تجربه‌گرها'!$F:$F,R$1)</f>
        <v>0</v>
      </c>
      <c r="S144" s="242">
        <f>COUNTIFS('تجربه‌گرها'!$B:$B,$A144,'تجربه‌گرها'!$F:$F,S$1)</f>
        <v>0</v>
      </c>
      <c r="T144" s="242">
        <f>COUNTIFS('تجربه‌گرها'!$B:$B,$A144,'تجربه‌گرها'!$F:$F,T$1)</f>
        <v>0</v>
      </c>
      <c r="U144" s="242"/>
      <c r="V144" s="242"/>
      <c r="W144" s="242"/>
      <c r="X144" s="242"/>
      <c r="Y144" s="242"/>
      <c r="Z144" s="242"/>
      <c r="AA144" s="242"/>
      <c r="AB144" s="242"/>
    </row>
    <row r="145" hidden="1">
      <c r="A145" s="244" t="s">
        <v>1674</v>
      </c>
      <c r="B145" s="245" t="str">
        <f>VLOOKUP(A145,'تجربه‌گرها'!B:C,2,FALSE())</f>
        <v>9126798943</v>
      </c>
      <c r="C145" s="242"/>
      <c r="D145" s="242">
        <f t="shared" si="1"/>
        <v>1</v>
      </c>
      <c r="E145" s="242">
        <f>COUNTIFS('تجربه‌گرها'!$B:$B,$A145,'تجربه‌گرها'!$F:$F,E$1)</f>
        <v>1</v>
      </c>
      <c r="F145" s="242">
        <f>COUNTIFS('تجربه‌گرها'!$B:$B,$A145,'تجربه‌گرها'!$F:$F,F$1)</f>
        <v>0</v>
      </c>
      <c r="G145" s="242">
        <f>COUNTIFS('تجربه‌گرها'!$B:$B,$A145,'تجربه‌گرها'!$F:$F,G$1)</f>
        <v>0</v>
      </c>
      <c r="H145" s="242">
        <f>COUNTIFS('تجربه‌گرها'!$B:$B,$A145,'تجربه‌گرها'!$F:$F,H$1)</f>
        <v>0</v>
      </c>
      <c r="I145" s="242">
        <f>COUNTIFS('تجربه‌گرها'!$B:$B,$A145,'تجربه‌گرها'!$F:$F,I$1)</f>
        <v>0</v>
      </c>
      <c r="J145" s="242">
        <f>COUNTIFS('تجربه‌گرها'!$B:$B,$A145,'تجربه‌گرها'!$F:$F,J$1)</f>
        <v>0</v>
      </c>
      <c r="K145" s="242">
        <f>COUNTIFS('تجربه‌گرها'!$B:$B,$A145,'تجربه‌گرها'!$F:$F,K$1)</f>
        <v>0</v>
      </c>
      <c r="L145" s="242">
        <f>COUNTIFS('تجربه‌گرها'!$B:$B,$A145,'تجربه‌گرها'!$F:$F,L$1)</f>
        <v>0</v>
      </c>
      <c r="M145" s="242">
        <f>COUNTIFS('تجربه‌گرها'!$B:$B,$A145,'تجربه‌گرها'!$F:$F,M$1)</f>
        <v>0</v>
      </c>
      <c r="N145" s="242">
        <f>COUNTIFS('تجربه‌گرها'!$B:$B,$A145,'تجربه‌گرها'!$F:$F,N$1)</f>
        <v>0</v>
      </c>
      <c r="O145" s="242">
        <f>COUNTIFS('تجربه‌گرها'!$B:$B,$A145,'تجربه‌گرها'!$F:$F,O$1)</f>
        <v>0</v>
      </c>
      <c r="P145" s="242">
        <f>COUNTIFS('تجربه‌گرها'!$B:$B,$A145,'تجربه‌گرها'!$F:$F,P$1)</f>
        <v>0</v>
      </c>
      <c r="Q145" s="242">
        <f>COUNTIFS('تجربه‌گرها'!$B:$B,$A145,'تجربه‌گرها'!$F:$F,Q$1)</f>
        <v>0</v>
      </c>
      <c r="R145" s="242">
        <f>COUNTIFS('تجربه‌گرها'!$B:$B,$A145,'تجربه‌گرها'!$F:$F,R$1)</f>
        <v>0</v>
      </c>
      <c r="S145" s="242">
        <f>COUNTIFS('تجربه‌گرها'!$B:$B,$A145,'تجربه‌گرها'!$F:$F,S$1)</f>
        <v>0</v>
      </c>
      <c r="T145" s="242">
        <f>COUNTIFS('تجربه‌گرها'!$B:$B,$A145,'تجربه‌گرها'!$F:$F,T$1)</f>
        <v>0</v>
      </c>
      <c r="U145" s="242"/>
      <c r="V145" s="242"/>
      <c r="W145" s="242"/>
      <c r="X145" s="242"/>
      <c r="Y145" s="242"/>
      <c r="Z145" s="242"/>
      <c r="AA145" s="242"/>
      <c r="AB145" s="242"/>
    </row>
    <row r="146" hidden="1">
      <c r="A146" s="244" t="s">
        <v>1682</v>
      </c>
      <c r="B146" s="245" t="str">
        <f>VLOOKUP(A146,'تجربه‌گرها'!B:C,2,FALSE())</f>
        <v>9122078705</v>
      </c>
      <c r="C146" s="242"/>
      <c r="D146" s="242">
        <f t="shared" si="1"/>
        <v>1</v>
      </c>
      <c r="E146" s="242">
        <f>COUNTIFS('تجربه‌گرها'!$B:$B,$A146,'تجربه‌گرها'!$F:$F,E$1)</f>
        <v>1</v>
      </c>
      <c r="F146" s="242">
        <f>COUNTIFS('تجربه‌گرها'!$B:$B,$A146,'تجربه‌گرها'!$F:$F,F$1)</f>
        <v>0</v>
      </c>
      <c r="G146" s="242">
        <f>COUNTIFS('تجربه‌گرها'!$B:$B,$A146,'تجربه‌گرها'!$F:$F,G$1)</f>
        <v>0</v>
      </c>
      <c r="H146" s="242">
        <f>COUNTIFS('تجربه‌گرها'!$B:$B,$A146,'تجربه‌گرها'!$F:$F,H$1)</f>
        <v>0</v>
      </c>
      <c r="I146" s="242">
        <f>COUNTIFS('تجربه‌گرها'!$B:$B,$A146,'تجربه‌گرها'!$F:$F,I$1)</f>
        <v>0</v>
      </c>
      <c r="J146" s="242">
        <f>COUNTIFS('تجربه‌گرها'!$B:$B,$A146,'تجربه‌گرها'!$F:$F,J$1)</f>
        <v>0</v>
      </c>
      <c r="K146" s="242">
        <f>COUNTIFS('تجربه‌گرها'!$B:$B,$A146,'تجربه‌گرها'!$F:$F,K$1)</f>
        <v>0</v>
      </c>
      <c r="L146" s="242">
        <f>COUNTIFS('تجربه‌گرها'!$B:$B,$A146,'تجربه‌گرها'!$F:$F,L$1)</f>
        <v>0</v>
      </c>
      <c r="M146" s="242">
        <f>COUNTIFS('تجربه‌گرها'!$B:$B,$A146,'تجربه‌گرها'!$F:$F,M$1)</f>
        <v>0</v>
      </c>
      <c r="N146" s="242">
        <f>COUNTIFS('تجربه‌گرها'!$B:$B,$A146,'تجربه‌گرها'!$F:$F,N$1)</f>
        <v>0</v>
      </c>
      <c r="O146" s="242">
        <f>COUNTIFS('تجربه‌گرها'!$B:$B,$A146,'تجربه‌گرها'!$F:$F,O$1)</f>
        <v>0</v>
      </c>
      <c r="P146" s="242">
        <f>COUNTIFS('تجربه‌گرها'!$B:$B,$A146,'تجربه‌گرها'!$F:$F,P$1)</f>
        <v>0</v>
      </c>
      <c r="Q146" s="242">
        <f>COUNTIFS('تجربه‌گرها'!$B:$B,$A146,'تجربه‌گرها'!$F:$F,Q$1)</f>
        <v>0</v>
      </c>
      <c r="R146" s="242">
        <f>COUNTIFS('تجربه‌گرها'!$B:$B,$A146,'تجربه‌گرها'!$F:$F,R$1)</f>
        <v>0</v>
      </c>
      <c r="S146" s="242">
        <f>COUNTIFS('تجربه‌گرها'!$B:$B,$A146,'تجربه‌گرها'!$F:$F,S$1)</f>
        <v>0</v>
      </c>
      <c r="T146" s="242">
        <f>COUNTIFS('تجربه‌گرها'!$B:$B,$A146,'تجربه‌گرها'!$F:$F,T$1)</f>
        <v>0</v>
      </c>
      <c r="U146" s="242"/>
      <c r="V146" s="242"/>
      <c r="W146" s="242"/>
      <c r="X146" s="242"/>
      <c r="Y146" s="242"/>
      <c r="Z146" s="242"/>
      <c r="AA146" s="242"/>
      <c r="AB146" s="242"/>
    </row>
    <row r="147">
      <c r="A147" s="244" t="s">
        <v>1689</v>
      </c>
      <c r="B147" s="245" t="str">
        <f>VLOOKUP(A147,'تجربه‌گرها'!B:C,2,FALSE())</f>
        <v>9387470229</v>
      </c>
      <c r="C147" s="242"/>
      <c r="D147" s="242">
        <f t="shared" si="1"/>
        <v>2</v>
      </c>
      <c r="E147" s="242">
        <f>COUNTIFS('تجربه‌گرها'!$B:$B,$A147,'تجربه‌گرها'!$F:$F,E$1)</f>
        <v>1</v>
      </c>
      <c r="F147" s="242">
        <f>COUNTIFS('تجربه‌گرها'!$B:$B,$A147,'تجربه‌گرها'!$F:$F,F$1)</f>
        <v>1</v>
      </c>
      <c r="G147" s="242">
        <f>COUNTIFS('تجربه‌گرها'!$B:$B,$A147,'تجربه‌گرها'!$F:$F,G$1)</f>
        <v>0</v>
      </c>
      <c r="H147" s="242">
        <f>COUNTIFS('تجربه‌گرها'!$B:$B,$A147,'تجربه‌گرها'!$F:$F,H$1)</f>
        <v>0</v>
      </c>
      <c r="I147" s="242">
        <f>COUNTIFS('تجربه‌گرها'!$B:$B,$A147,'تجربه‌گرها'!$F:$F,I$1)</f>
        <v>0</v>
      </c>
      <c r="J147" s="242">
        <f>COUNTIFS('تجربه‌گرها'!$B:$B,$A147,'تجربه‌گرها'!$F:$F,J$1)</f>
        <v>0</v>
      </c>
      <c r="K147" s="242">
        <f>COUNTIFS('تجربه‌گرها'!$B:$B,$A147,'تجربه‌گرها'!$F:$F,K$1)</f>
        <v>0</v>
      </c>
      <c r="L147" s="242">
        <f>COUNTIFS('تجربه‌گرها'!$B:$B,$A147,'تجربه‌گرها'!$F:$F,L$1)</f>
        <v>0</v>
      </c>
      <c r="M147" s="242">
        <f>COUNTIFS('تجربه‌گرها'!$B:$B,$A147,'تجربه‌گرها'!$F:$F,M$1)</f>
        <v>0</v>
      </c>
      <c r="N147" s="242">
        <f>COUNTIFS('تجربه‌گرها'!$B:$B,$A147,'تجربه‌گرها'!$F:$F,N$1)</f>
        <v>0</v>
      </c>
      <c r="O147" s="242">
        <f>COUNTIFS('تجربه‌گرها'!$B:$B,$A147,'تجربه‌گرها'!$F:$F,O$1)</f>
        <v>0</v>
      </c>
      <c r="P147" s="242">
        <f>COUNTIFS('تجربه‌گرها'!$B:$B,$A147,'تجربه‌گرها'!$F:$F,P$1)</f>
        <v>0</v>
      </c>
      <c r="Q147" s="242">
        <f>COUNTIFS('تجربه‌گرها'!$B:$B,$A147,'تجربه‌گرها'!$F:$F,Q$1)</f>
        <v>0</v>
      </c>
      <c r="R147" s="242">
        <f>COUNTIFS('تجربه‌گرها'!$B:$B,$A147,'تجربه‌گرها'!$F:$F,R$1)</f>
        <v>0</v>
      </c>
      <c r="S147" s="242">
        <f>COUNTIFS('تجربه‌گرها'!$B:$B,$A147,'تجربه‌گرها'!$F:$F,S$1)</f>
        <v>0</v>
      </c>
      <c r="T147" s="242">
        <f>COUNTIFS('تجربه‌گرها'!$B:$B,$A147,'تجربه‌گرها'!$F:$F,T$1)</f>
        <v>0</v>
      </c>
      <c r="U147" s="242"/>
      <c r="V147" s="242"/>
      <c r="W147" s="242"/>
      <c r="X147" s="242"/>
      <c r="Y147" s="242"/>
      <c r="Z147" s="242"/>
      <c r="AA147" s="242"/>
      <c r="AB147" s="242"/>
    </row>
    <row r="148" hidden="1">
      <c r="A148" s="244" t="s">
        <v>1695</v>
      </c>
      <c r="B148" s="245" t="str">
        <f>VLOOKUP(A148,'تجربه‌گرها'!B:C,2,FALSE())</f>
        <v>9356615332</v>
      </c>
      <c r="C148" s="242"/>
      <c r="D148" s="242">
        <f t="shared" si="1"/>
        <v>1</v>
      </c>
      <c r="E148" s="242">
        <f>COUNTIFS('تجربه‌گرها'!$B:$B,$A148,'تجربه‌گرها'!$F:$F,E$1)</f>
        <v>1</v>
      </c>
      <c r="F148" s="242">
        <f>COUNTIFS('تجربه‌گرها'!$B:$B,$A148,'تجربه‌گرها'!$F:$F,F$1)</f>
        <v>0</v>
      </c>
      <c r="G148" s="242">
        <f>COUNTIFS('تجربه‌گرها'!$B:$B,$A148,'تجربه‌گرها'!$F:$F,G$1)</f>
        <v>0</v>
      </c>
      <c r="H148" s="242">
        <f>COUNTIFS('تجربه‌گرها'!$B:$B,$A148,'تجربه‌گرها'!$F:$F,H$1)</f>
        <v>0</v>
      </c>
      <c r="I148" s="242">
        <f>COUNTIFS('تجربه‌گرها'!$B:$B,$A148,'تجربه‌گرها'!$F:$F,I$1)</f>
        <v>0</v>
      </c>
      <c r="J148" s="242">
        <f>COUNTIFS('تجربه‌گرها'!$B:$B,$A148,'تجربه‌گرها'!$F:$F,J$1)</f>
        <v>0</v>
      </c>
      <c r="K148" s="242">
        <f>COUNTIFS('تجربه‌گرها'!$B:$B,$A148,'تجربه‌گرها'!$F:$F,K$1)</f>
        <v>0</v>
      </c>
      <c r="L148" s="242">
        <f>COUNTIFS('تجربه‌گرها'!$B:$B,$A148,'تجربه‌گرها'!$F:$F,L$1)</f>
        <v>0</v>
      </c>
      <c r="M148" s="242">
        <f>COUNTIFS('تجربه‌گرها'!$B:$B,$A148,'تجربه‌گرها'!$F:$F,M$1)</f>
        <v>0</v>
      </c>
      <c r="N148" s="242">
        <f>COUNTIFS('تجربه‌گرها'!$B:$B,$A148,'تجربه‌گرها'!$F:$F,N$1)</f>
        <v>0</v>
      </c>
      <c r="O148" s="242">
        <f>COUNTIFS('تجربه‌گرها'!$B:$B,$A148,'تجربه‌گرها'!$F:$F,O$1)</f>
        <v>0</v>
      </c>
      <c r="P148" s="242">
        <f>COUNTIFS('تجربه‌گرها'!$B:$B,$A148,'تجربه‌گرها'!$F:$F,P$1)</f>
        <v>0</v>
      </c>
      <c r="Q148" s="242">
        <f>COUNTIFS('تجربه‌گرها'!$B:$B,$A148,'تجربه‌گرها'!$F:$F,Q$1)</f>
        <v>0</v>
      </c>
      <c r="R148" s="242">
        <f>COUNTIFS('تجربه‌گرها'!$B:$B,$A148,'تجربه‌گرها'!$F:$F,R$1)</f>
        <v>0</v>
      </c>
      <c r="S148" s="242">
        <f>COUNTIFS('تجربه‌گرها'!$B:$B,$A148,'تجربه‌گرها'!$F:$F,S$1)</f>
        <v>0</v>
      </c>
      <c r="T148" s="242">
        <f>COUNTIFS('تجربه‌گرها'!$B:$B,$A148,'تجربه‌گرها'!$F:$F,T$1)</f>
        <v>0</v>
      </c>
      <c r="U148" s="242"/>
      <c r="V148" s="242"/>
      <c r="W148" s="242"/>
      <c r="X148" s="242"/>
      <c r="Y148" s="242"/>
      <c r="Z148" s="242"/>
      <c r="AA148" s="242"/>
      <c r="AB148" s="242"/>
    </row>
    <row r="149" hidden="1">
      <c r="A149" s="244" t="s">
        <v>1701</v>
      </c>
      <c r="B149" s="245" t="str">
        <f>VLOOKUP(A149,'تجربه‌گرها'!B:C,2,FALSE())</f>
        <v>9198131805</v>
      </c>
      <c r="C149" s="242"/>
      <c r="D149" s="242">
        <f t="shared" si="1"/>
        <v>1</v>
      </c>
      <c r="E149" s="242">
        <f>COUNTIFS('تجربه‌گرها'!$B:$B,$A149,'تجربه‌گرها'!$F:$F,E$1)</f>
        <v>1</v>
      </c>
      <c r="F149" s="242">
        <f>COUNTIFS('تجربه‌گرها'!$B:$B,$A149,'تجربه‌گرها'!$F:$F,F$1)</f>
        <v>0</v>
      </c>
      <c r="G149" s="242">
        <f>COUNTIFS('تجربه‌گرها'!$B:$B,$A149,'تجربه‌گرها'!$F:$F,G$1)</f>
        <v>0</v>
      </c>
      <c r="H149" s="242">
        <f>COUNTIFS('تجربه‌گرها'!$B:$B,$A149,'تجربه‌گرها'!$F:$F,H$1)</f>
        <v>0</v>
      </c>
      <c r="I149" s="242">
        <f>COUNTIFS('تجربه‌گرها'!$B:$B,$A149,'تجربه‌گرها'!$F:$F,I$1)</f>
        <v>0</v>
      </c>
      <c r="J149" s="242">
        <f>COUNTIFS('تجربه‌گرها'!$B:$B,$A149,'تجربه‌گرها'!$F:$F,J$1)</f>
        <v>0</v>
      </c>
      <c r="K149" s="242">
        <f>COUNTIFS('تجربه‌گرها'!$B:$B,$A149,'تجربه‌گرها'!$F:$F,K$1)</f>
        <v>0</v>
      </c>
      <c r="L149" s="242">
        <f>COUNTIFS('تجربه‌گرها'!$B:$B,$A149,'تجربه‌گرها'!$F:$F,L$1)</f>
        <v>0</v>
      </c>
      <c r="M149" s="242">
        <f>COUNTIFS('تجربه‌گرها'!$B:$B,$A149,'تجربه‌گرها'!$F:$F,M$1)</f>
        <v>0</v>
      </c>
      <c r="N149" s="242">
        <f>COUNTIFS('تجربه‌گرها'!$B:$B,$A149,'تجربه‌گرها'!$F:$F,N$1)</f>
        <v>0</v>
      </c>
      <c r="O149" s="242">
        <f>COUNTIFS('تجربه‌گرها'!$B:$B,$A149,'تجربه‌گرها'!$F:$F,O$1)</f>
        <v>0</v>
      </c>
      <c r="P149" s="242">
        <f>COUNTIFS('تجربه‌گرها'!$B:$B,$A149,'تجربه‌گرها'!$F:$F,P$1)</f>
        <v>0</v>
      </c>
      <c r="Q149" s="242">
        <f>COUNTIFS('تجربه‌گرها'!$B:$B,$A149,'تجربه‌گرها'!$F:$F,Q$1)</f>
        <v>0</v>
      </c>
      <c r="R149" s="242">
        <f>COUNTIFS('تجربه‌گرها'!$B:$B,$A149,'تجربه‌گرها'!$F:$F,R$1)</f>
        <v>0</v>
      </c>
      <c r="S149" s="242">
        <f>COUNTIFS('تجربه‌گرها'!$B:$B,$A149,'تجربه‌گرها'!$F:$F,S$1)</f>
        <v>0</v>
      </c>
      <c r="T149" s="242">
        <f>COUNTIFS('تجربه‌گرها'!$B:$B,$A149,'تجربه‌گرها'!$F:$F,T$1)</f>
        <v>0</v>
      </c>
      <c r="U149" s="242"/>
      <c r="V149" s="242"/>
      <c r="W149" s="242"/>
      <c r="X149" s="242"/>
      <c r="Y149" s="242"/>
      <c r="Z149" s="242"/>
      <c r="AA149" s="242"/>
      <c r="AB149" s="242"/>
    </row>
    <row r="150" hidden="1">
      <c r="A150" s="244" t="s">
        <v>1708</v>
      </c>
      <c r="B150" s="245" t="str">
        <f>VLOOKUP(A150,'تجربه‌گرها'!B:C,2,FALSE())</f>
        <v>9191081209</v>
      </c>
      <c r="C150" s="242"/>
      <c r="D150" s="242">
        <f t="shared" si="1"/>
        <v>1</v>
      </c>
      <c r="E150" s="242">
        <f>COUNTIFS('تجربه‌گرها'!$B:$B,$A150,'تجربه‌گرها'!$F:$F,E$1)</f>
        <v>1</v>
      </c>
      <c r="F150" s="242">
        <f>COUNTIFS('تجربه‌گرها'!$B:$B,$A150,'تجربه‌گرها'!$F:$F,F$1)</f>
        <v>0</v>
      </c>
      <c r="G150" s="242">
        <f>COUNTIFS('تجربه‌گرها'!$B:$B,$A150,'تجربه‌گرها'!$F:$F,G$1)</f>
        <v>0</v>
      </c>
      <c r="H150" s="242">
        <f>COUNTIFS('تجربه‌گرها'!$B:$B,$A150,'تجربه‌گرها'!$F:$F,H$1)</f>
        <v>0</v>
      </c>
      <c r="I150" s="242">
        <f>COUNTIFS('تجربه‌گرها'!$B:$B,$A150,'تجربه‌گرها'!$F:$F,I$1)</f>
        <v>0</v>
      </c>
      <c r="J150" s="242">
        <f>COUNTIFS('تجربه‌گرها'!$B:$B,$A150,'تجربه‌گرها'!$F:$F,J$1)</f>
        <v>0</v>
      </c>
      <c r="K150" s="242">
        <f>COUNTIFS('تجربه‌گرها'!$B:$B,$A150,'تجربه‌گرها'!$F:$F,K$1)</f>
        <v>0</v>
      </c>
      <c r="L150" s="242">
        <f>COUNTIFS('تجربه‌گرها'!$B:$B,$A150,'تجربه‌گرها'!$F:$F,L$1)</f>
        <v>0</v>
      </c>
      <c r="M150" s="242">
        <f>COUNTIFS('تجربه‌گرها'!$B:$B,$A150,'تجربه‌گرها'!$F:$F,M$1)</f>
        <v>0</v>
      </c>
      <c r="N150" s="242">
        <f>COUNTIFS('تجربه‌گرها'!$B:$B,$A150,'تجربه‌گرها'!$F:$F,N$1)</f>
        <v>0</v>
      </c>
      <c r="O150" s="242">
        <f>COUNTIFS('تجربه‌گرها'!$B:$B,$A150,'تجربه‌گرها'!$F:$F,O$1)</f>
        <v>0</v>
      </c>
      <c r="P150" s="242">
        <f>COUNTIFS('تجربه‌گرها'!$B:$B,$A150,'تجربه‌گرها'!$F:$F,P$1)</f>
        <v>0</v>
      </c>
      <c r="Q150" s="242">
        <f>COUNTIFS('تجربه‌گرها'!$B:$B,$A150,'تجربه‌گرها'!$F:$F,Q$1)</f>
        <v>0</v>
      </c>
      <c r="R150" s="242">
        <f>COUNTIFS('تجربه‌گرها'!$B:$B,$A150,'تجربه‌گرها'!$F:$F,R$1)</f>
        <v>0</v>
      </c>
      <c r="S150" s="242">
        <f>COUNTIFS('تجربه‌گرها'!$B:$B,$A150,'تجربه‌گرها'!$F:$F,S$1)</f>
        <v>0</v>
      </c>
      <c r="T150" s="242">
        <f>COUNTIFS('تجربه‌گرها'!$B:$B,$A150,'تجربه‌گرها'!$F:$F,T$1)</f>
        <v>0</v>
      </c>
      <c r="U150" s="242"/>
      <c r="V150" s="242"/>
      <c r="W150" s="242"/>
      <c r="X150" s="242"/>
      <c r="Y150" s="242"/>
      <c r="Z150" s="242"/>
      <c r="AA150" s="242"/>
      <c r="AB150" s="242"/>
    </row>
    <row r="151" hidden="1">
      <c r="A151" s="244" t="s">
        <v>1713</v>
      </c>
      <c r="B151" s="245" t="str">
        <f>VLOOKUP(A151,'تجربه‌گرها'!B:C,2,FALSE())</f>
        <v>9121407287</v>
      </c>
      <c r="C151" s="242"/>
      <c r="D151" s="242">
        <f t="shared" si="1"/>
        <v>1</v>
      </c>
      <c r="E151" s="242">
        <f>COUNTIFS('تجربه‌گرها'!$B:$B,$A151,'تجربه‌گرها'!$F:$F,E$1)</f>
        <v>1</v>
      </c>
      <c r="F151" s="242">
        <f>COUNTIFS('تجربه‌گرها'!$B:$B,$A151,'تجربه‌گرها'!$F:$F,F$1)</f>
        <v>0</v>
      </c>
      <c r="G151" s="242">
        <f>COUNTIFS('تجربه‌گرها'!$B:$B,$A151,'تجربه‌گرها'!$F:$F,G$1)</f>
        <v>0</v>
      </c>
      <c r="H151" s="242">
        <f>COUNTIFS('تجربه‌گرها'!$B:$B,$A151,'تجربه‌گرها'!$F:$F,H$1)</f>
        <v>0</v>
      </c>
      <c r="I151" s="242">
        <f>COUNTIFS('تجربه‌گرها'!$B:$B,$A151,'تجربه‌گرها'!$F:$F,I$1)</f>
        <v>0</v>
      </c>
      <c r="J151" s="242">
        <f>COUNTIFS('تجربه‌گرها'!$B:$B,$A151,'تجربه‌گرها'!$F:$F,J$1)</f>
        <v>0</v>
      </c>
      <c r="K151" s="242">
        <f>COUNTIFS('تجربه‌گرها'!$B:$B,$A151,'تجربه‌گرها'!$F:$F,K$1)</f>
        <v>0</v>
      </c>
      <c r="L151" s="242">
        <f>COUNTIFS('تجربه‌گرها'!$B:$B,$A151,'تجربه‌گرها'!$F:$F,L$1)</f>
        <v>0</v>
      </c>
      <c r="M151" s="242">
        <f>COUNTIFS('تجربه‌گرها'!$B:$B,$A151,'تجربه‌گرها'!$F:$F,M$1)</f>
        <v>0</v>
      </c>
      <c r="N151" s="242">
        <f>COUNTIFS('تجربه‌گرها'!$B:$B,$A151,'تجربه‌گرها'!$F:$F,N$1)</f>
        <v>0</v>
      </c>
      <c r="O151" s="242">
        <f>COUNTIFS('تجربه‌گرها'!$B:$B,$A151,'تجربه‌گرها'!$F:$F,O$1)</f>
        <v>0</v>
      </c>
      <c r="P151" s="242">
        <f>COUNTIFS('تجربه‌گرها'!$B:$B,$A151,'تجربه‌گرها'!$F:$F,P$1)</f>
        <v>0</v>
      </c>
      <c r="Q151" s="242">
        <f>COUNTIFS('تجربه‌گرها'!$B:$B,$A151,'تجربه‌گرها'!$F:$F,Q$1)</f>
        <v>0</v>
      </c>
      <c r="R151" s="242">
        <f>COUNTIFS('تجربه‌گرها'!$B:$B,$A151,'تجربه‌گرها'!$F:$F,R$1)</f>
        <v>0</v>
      </c>
      <c r="S151" s="242">
        <f>COUNTIFS('تجربه‌گرها'!$B:$B,$A151,'تجربه‌گرها'!$F:$F,S$1)</f>
        <v>0</v>
      </c>
      <c r="T151" s="242">
        <f>COUNTIFS('تجربه‌گرها'!$B:$B,$A151,'تجربه‌گرها'!$F:$F,T$1)</f>
        <v>0</v>
      </c>
      <c r="U151" s="242"/>
      <c r="V151" s="242"/>
      <c r="W151" s="242"/>
      <c r="X151" s="242"/>
      <c r="Y151" s="242"/>
      <c r="Z151" s="242"/>
      <c r="AA151" s="242"/>
      <c r="AB151" s="242"/>
    </row>
    <row r="152">
      <c r="A152" s="244" t="s">
        <v>1720</v>
      </c>
      <c r="B152" s="245" t="str">
        <f>VLOOKUP(A152,'تجربه‌گرها'!B:C,2,FALSE())</f>
        <v>14372990260</v>
      </c>
      <c r="C152" s="242"/>
      <c r="D152" s="242">
        <f t="shared" si="1"/>
        <v>2</v>
      </c>
      <c r="E152" s="242">
        <f>COUNTIFS('تجربه‌گرها'!$B:$B,$A152,'تجربه‌گرها'!$F:$F,E$1)</f>
        <v>1</v>
      </c>
      <c r="F152" s="242">
        <f>COUNTIFS('تجربه‌گرها'!$B:$B,$A152,'تجربه‌گرها'!$F:$F,F$1)</f>
        <v>0</v>
      </c>
      <c r="G152" s="242">
        <f>COUNTIFS('تجربه‌گرها'!$B:$B,$A152,'تجربه‌گرها'!$F:$F,G$1)</f>
        <v>0</v>
      </c>
      <c r="H152" s="242">
        <f>COUNTIFS('تجربه‌گرها'!$B:$B,$A152,'تجربه‌گرها'!$F:$F,H$1)</f>
        <v>0</v>
      </c>
      <c r="I152" s="242">
        <f>COUNTIFS('تجربه‌گرها'!$B:$B,$A152,'تجربه‌گرها'!$F:$F,I$1)</f>
        <v>0</v>
      </c>
      <c r="J152" s="242">
        <f>COUNTIFS('تجربه‌گرها'!$B:$B,$A152,'تجربه‌گرها'!$F:$F,J$1)</f>
        <v>0</v>
      </c>
      <c r="K152" s="242">
        <f>COUNTIFS('تجربه‌گرها'!$B:$B,$A152,'تجربه‌گرها'!$F:$F,K$1)</f>
        <v>0</v>
      </c>
      <c r="L152" s="242">
        <f>COUNTIFS('تجربه‌گرها'!$B:$B,$A152,'تجربه‌گرها'!$F:$F,L$1)</f>
        <v>0</v>
      </c>
      <c r="M152" s="242">
        <f>COUNTIFS('تجربه‌گرها'!$B:$B,$A152,'تجربه‌گرها'!$F:$F,M$1)</f>
        <v>0</v>
      </c>
      <c r="N152" s="242">
        <f>COUNTIFS('تجربه‌گرها'!$B:$B,$A152,'تجربه‌گرها'!$F:$F,N$1)</f>
        <v>0</v>
      </c>
      <c r="O152" s="242">
        <f>COUNTIFS('تجربه‌گرها'!$B:$B,$A152,'تجربه‌گرها'!$F:$F,O$1)</f>
        <v>1</v>
      </c>
      <c r="P152" s="242">
        <f>COUNTIFS('تجربه‌گرها'!$B:$B,$A152,'تجربه‌گرها'!$F:$F,P$1)</f>
        <v>0</v>
      </c>
      <c r="Q152" s="242">
        <f>COUNTIFS('تجربه‌گرها'!$B:$B,$A152,'تجربه‌گرها'!$F:$F,Q$1)</f>
        <v>0</v>
      </c>
      <c r="R152" s="242">
        <f>COUNTIFS('تجربه‌گرها'!$B:$B,$A152,'تجربه‌گرها'!$F:$F,R$1)</f>
        <v>0</v>
      </c>
      <c r="S152" s="242">
        <f>COUNTIFS('تجربه‌گرها'!$B:$B,$A152,'تجربه‌گرها'!$F:$F,S$1)</f>
        <v>0</v>
      </c>
      <c r="T152" s="242">
        <f>COUNTIFS('تجربه‌گرها'!$B:$B,$A152,'تجربه‌گرها'!$F:$F,T$1)</f>
        <v>0</v>
      </c>
      <c r="U152" s="242"/>
      <c r="V152" s="242"/>
      <c r="W152" s="242"/>
      <c r="X152" s="242"/>
      <c r="Y152" s="242"/>
      <c r="Z152" s="242"/>
      <c r="AA152" s="242"/>
      <c r="AB152" s="242"/>
    </row>
    <row r="153" hidden="1">
      <c r="A153" s="244" t="s">
        <v>1726</v>
      </c>
      <c r="B153" s="245" t="str">
        <f>VLOOKUP(A153,'تجربه‌گرها'!B:C,2,FALSE())</f>
        <v>9121044718</v>
      </c>
      <c r="C153" s="242"/>
      <c r="D153" s="242">
        <f t="shared" si="1"/>
        <v>1</v>
      </c>
      <c r="E153" s="242">
        <f>COUNTIFS('تجربه‌گرها'!$B:$B,$A153,'تجربه‌گرها'!$F:$F,E$1)</f>
        <v>1</v>
      </c>
      <c r="F153" s="242">
        <f>COUNTIFS('تجربه‌گرها'!$B:$B,$A153,'تجربه‌گرها'!$F:$F,F$1)</f>
        <v>0</v>
      </c>
      <c r="G153" s="242">
        <f>COUNTIFS('تجربه‌گرها'!$B:$B,$A153,'تجربه‌گرها'!$F:$F,G$1)</f>
        <v>0</v>
      </c>
      <c r="H153" s="242">
        <f>COUNTIFS('تجربه‌گرها'!$B:$B,$A153,'تجربه‌گرها'!$F:$F,H$1)</f>
        <v>0</v>
      </c>
      <c r="I153" s="242">
        <f>COUNTIFS('تجربه‌گرها'!$B:$B,$A153,'تجربه‌گرها'!$F:$F,I$1)</f>
        <v>0</v>
      </c>
      <c r="J153" s="242">
        <f>COUNTIFS('تجربه‌گرها'!$B:$B,$A153,'تجربه‌گرها'!$F:$F,J$1)</f>
        <v>0</v>
      </c>
      <c r="K153" s="242">
        <f>COUNTIFS('تجربه‌گرها'!$B:$B,$A153,'تجربه‌گرها'!$F:$F,K$1)</f>
        <v>0</v>
      </c>
      <c r="L153" s="242">
        <f>COUNTIFS('تجربه‌گرها'!$B:$B,$A153,'تجربه‌گرها'!$F:$F,L$1)</f>
        <v>0</v>
      </c>
      <c r="M153" s="242">
        <f>COUNTIFS('تجربه‌گرها'!$B:$B,$A153,'تجربه‌گرها'!$F:$F,M$1)</f>
        <v>0</v>
      </c>
      <c r="N153" s="242">
        <f>COUNTIFS('تجربه‌گرها'!$B:$B,$A153,'تجربه‌گرها'!$F:$F,N$1)</f>
        <v>0</v>
      </c>
      <c r="O153" s="242">
        <f>COUNTIFS('تجربه‌گرها'!$B:$B,$A153,'تجربه‌گرها'!$F:$F,O$1)</f>
        <v>0</v>
      </c>
      <c r="P153" s="242">
        <f>COUNTIFS('تجربه‌گرها'!$B:$B,$A153,'تجربه‌گرها'!$F:$F,P$1)</f>
        <v>0</v>
      </c>
      <c r="Q153" s="242">
        <f>COUNTIFS('تجربه‌گرها'!$B:$B,$A153,'تجربه‌گرها'!$F:$F,Q$1)</f>
        <v>0</v>
      </c>
      <c r="R153" s="242">
        <f>COUNTIFS('تجربه‌گرها'!$B:$B,$A153,'تجربه‌گرها'!$F:$F,R$1)</f>
        <v>0</v>
      </c>
      <c r="S153" s="242">
        <f>COUNTIFS('تجربه‌گرها'!$B:$B,$A153,'تجربه‌گرها'!$F:$F,S$1)</f>
        <v>0</v>
      </c>
      <c r="T153" s="242">
        <f>COUNTIFS('تجربه‌گرها'!$B:$B,$A153,'تجربه‌گرها'!$F:$F,T$1)</f>
        <v>0</v>
      </c>
      <c r="U153" s="242"/>
      <c r="V153" s="242"/>
      <c r="W153" s="242"/>
      <c r="X153" s="242"/>
      <c r="Y153" s="242"/>
      <c r="Z153" s="242"/>
      <c r="AA153" s="242"/>
      <c r="AB153" s="242"/>
    </row>
    <row r="154">
      <c r="A154" s="244" t="s">
        <v>1731</v>
      </c>
      <c r="B154" s="245" t="str">
        <f>VLOOKUP(A154,'تجربه‌گرها'!B:C,2,FALSE())</f>
        <v>9129306678</v>
      </c>
      <c r="C154" s="242"/>
      <c r="D154" s="242">
        <f t="shared" si="1"/>
        <v>2</v>
      </c>
      <c r="E154" s="242">
        <f>COUNTIFS('تجربه‌گرها'!$B:$B,$A154,'تجربه‌گرها'!$F:$F,E$1)</f>
        <v>1</v>
      </c>
      <c r="F154" s="242">
        <f>COUNTIFS('تجربه‌گرها'!$B:$B,$A154,'تجربه‌گرها'!$F:$F,F$1)</f>
        <v>1</v>
      </c>
      <c r="G154" s="242">
        <f>COUNTIFS('تجربه‌گرها'!$B:$B,$A154,'تجربه‌گرها'!$F:$F,G$1)</f>
        <v>0</v>
      </c>
      <c r="H154" s="242">
        <f>COUNTIFS('تجربه‌گرها'!$B:$B,$A154,'تجربه‌گرها'!$F:$F,H$1)</f>
        <v>0</v>
      </c>
      <c r="I154" s="242">
        <f>COUNTIFS('تجربه‌گرها'!$B:$B,$A154,'تجربه‌گرها'!$F:$F,I$1)</f>
        <v>0</v>
      </c>
      <c r="J154" s="242">
        <f>COUNTIFS('تجربه‌گرها'!$B:$B,$A154,'تجربه‌گرها'!$F:$F,J$1)</f>
        <v>0</v>
      </c>
      <c r="K154" s="242">
        <f>COUNTIFS('تجربه‌گرها'!$B:$B,$A154,'تجربه‌گرها'!$F:$F,K$1)</f>
        <v>0</v>
      </c>
      <c r="L154" s="242">
        <f>COUNTIFS('تجربه‌گرها'!$B:$B,$A154,'تجربه‌گرها'!$F:$F,L$1)</f>
        <v>0</v>
      </c>
      <c r="M154" s="242">
        <f>COUNTIFS('تجربه‌گرها'!$B:$B,$A154,'تجربه‌گرها'!$F:$F,M$1)</f>
        <v>0</v>
      </c>
      <c r="N154" s="242">
        <f>COUNTIFS('تجربه‌گرها'!$B:$B,$A154,'تجربه‌گرها'!$F:$F,N$1)</f>
        <v>0</v>
      </c>
      <c r="O154" s="242">
        <f>COUNTIFS('تجربه‌گرها'!$B:$B,$A154,'تجربه‌گرها'!$F:$F,O$1)</f>
        <v>0</v>
      </c>
      <c r="P154" s="242">
        <f>COUNTIFS('تجربه‌گرها'!$B:$B,$A154,'تجربه‌گرها'!$F:$F,P$1)</f>
        <v>0</v>
      </c>
      <c r="Q154" s="242">
        <f>COUNTIFS('تجربه‌گرها'!$B:$B,$A154,'تجربه‌گرها'!$F:$F,Q$1)</f>
        <v>0</v>
      </c>
      <c r="R154" s="242">
        <f>COUNTIFS('تجربه‌گرها'!$B:$B,$A154,'تجربه‌گرها'!$F:$F,R$1)</f>
        <v>0</v>
      </c>
      <c r="S154" s="242">
        <f>COUNTIFS('تجربه‌گرها'!$B:$B,$A154,'تجربه‌گرها'!$F:$F,S$1)</f>
        <v>0</v>
      </c>
      <c r="T154" s="242">
        <f>COUNTIFS('تجربه‌گرها'!$B:$B,$A154,'تجربه‌گرها'!$F:$F,T$1)</f>
        <v>0</v>
      </c>
      <c r="U154" s="242"/>
      <c r="V154" s="242"/>
      <c r="W154" s="242"/>
      <c r="X154" s="242"/>
      <c r="Y154" s="242"/>
      <c r="Z154" s="242"/>
      <c r="AA154" s="242"/>
      <c r="AB154" s="242"/>
    </row>
    <row r="155" hidden="1">
      <c r="A155" s="244" t="s">
        <v>1735</v>
      </c>
      <c r="B155" s="245" t="str">
        <f>VLOOKUP(A155,'تجربه‌گرها'!B:C,2,FALSE())</f>
        <v/>
      </c>
      <c r="C155" s="242"/>
      <c r="D155" s="242">
        <f t="shared" si="1"/>
        <v>1</v>
      </c>
      <c r="E155" s="242">
        <f>COUNTIFS('تجربه‌گرها'!$B:$B,$A155,'تجربه‌گرها'!$F:$F,E$1)</f>
        <v>1</v>
      </c>
      <c r="F155" s="242">
        <f>COUNTIFS('تجربه‌گرها'!$B:$B,$A155,'تجربه‌گرها'!$F:$F,F$1)</f>
        <v>0</v>
      </c>
      <c r="G155" s="242">
        <f>COUNTIFS('تجربه‌گرها'!$B:$B,$A155,'تجربه‌گرها'!$F:$F,G$1)</f>
        <v>0</v>
      </c>
      <c r="H155" s="242">
        <f>COUNTIFS('تجربه‌گرها'!$B:$B,$A155,'تجربه‌گرها'!$F:$F,H$1)</f>
        <v>0</v>
      </c>
      <c r="I155" s="242">
        <f>COUNTIFS('تجربه‌گرها'!$B:$B,$A155,'تجربه‌گرها'!$F:$F,I$1)</f>
        <v>0</v>
      </c>
      <c r="J155" s="242">
        <f>COUNTIFS('تجربه‌گرها'!$B:$B,$A155,'تجربه‌گرها'!$F:$F,J$1)</f>
        <v>0</v>
      </c>
      <c r="K155" s="242">
        <f>COUNTIFS('تجربه‌گرها'!$B:$B,$A155,'تجربه‌گرها'!$F:$F,K$1)</f>
        <v>0</v>
      </c>
      <c r="L155" s="242">
        <f>COUNTIFS('تجربه‌گرها'!$B:$B,$A155,'تجربه‌گرها'!$F:$F,L$1)</f>
        <v>0</v>
      </c>
      <c r="M155" s="242">
        <f>COUNTIFS('تجربه‌گرها'!$B:$B,$A155,'تجربه‌گرها'!$F:$F,M$1)</f>
        <v>0</v>
      </c>
      <c r="N155" s="242">
        <f>COUNTIFS('تجربه‌گرها'!$B:$B,$A155,'تجربه‌گرها'!$F:$F,N$1)</f>
        <v>0</v>
      </c>
      <c r="O155" s="242">
        <f>COUNTIFS('تجربه‌گرها'!$B:$B,$A155,'تجربه‌گرها'!$F:$F,O$1)</f>
        <v>0</v>
      </c>
      <c r="P155" s="242">
        <f>COUNTIFS('تجربه‌گرها'!$B:$B,$A155,'تجربه‌گرها'!$F:$F,P$1)</f>
        <v>0</v>
      </c>
      <c r="Q155" s="242">
        <f>COUNTIFS('تجربه‌گرها'!$B:$B,$A155,'تجربه‌گرها'!$F:$F,Q$1)</f>
        <v>0</v>
      </c>
      <c r="R155" s="242">
        <f>COUNTIFS('تجربه‌گرها'!$B:$B,$A155,'تجربه‌گرها'!$F:$F,R$1)</f>
        <v>0</v>
      </c>
      <c r="S155" s="242">
        <f>COUNTIFS('تجربه‌گرها'!$B:$B,$A155,'تجربه‌گرها'!$F:$F,S$1)</f>
        <v>0</v>
      </c>
      <c r="T155" s="242">
        <f>COUNTIFS('تجربه‌گرها'!$B:$B,$A155,'تجربه‌گرها'!$F:$F,T$1)</f>
        <v>0</v>
      </c>
      <c r="U155" s="242"/>
      <c r="V155" s="242"/>
      <c r="W155" s="242"/>
      <c r="X155" s="242"/>
      <c r="Y155" s="242"/>
      <c r="Z155" s="242"/>
      <c r="AA155" s="242"/>
      <c r="AB155" s="242"/>
    </row>
    <row r="156">
      <c r="A156" s="244" t="s">
        <v>1741</v>
      </c>
      <c r="B156" s="245" t="str">
        <f>VLOOKUP(A156,'تجربه‌گرها'!B:C,2,FALSE())</f>
        <v/>
      </c>
      <c r="C156" s="242"/>
      <c r="D156" s="242">
        <f t="shared" si="1"/>
        <v>2</v>
      </c>
      <c r="E156" s="242">
        <f>COUNTIFS('تجربه‌گرها'!$B:$B,$A156,'تجربه‌گرها'!$F:$F,E$1)</f>
        <v>1</v>
      </c>
      <c r="F156" s="242">
        <f>COUNTIFS('تجربه‌گرها'!$B:$B,$A156,'تجربه‌گرها'!$F:$F,F$1)</f>
        <v>0</v>
      </c>
      <c r="G156" s="242">
        <f>COUNTIFS('تجربه‌گرها'!$B:$B,$A156,'تجربه‌گرها'!$F:$F,G$1)</f>
        <v>0</v>
      </c>
      <c r="H156" s="242">
        <f>COUNTIFS('تجربه‌گرها'!$B:$B,$A156,'تجربه‌گرها'!$F:$F,H$1)</f>
        <v>0</v>
      </c>
      <c r="I156" s="242">
        <f>COUNTIFS('تجربه‌گرها'!$B:$B,$A156,'تجربه‌گرها'!$F:$F,I$1)</f>
        <v>0</v>
      </c>
      <c r="J156" s="242">
        <f>COUNTIFS('تجربه‌گرها'!$B:$B,$A156,'تجربه‌گرها'!$F:$F,J$1)</f>
        <v>0</v>
      </c>
      <c r="K156" s="242">
        <f>COUNTIFS('تجربه‌گرها'!$B:$B,$A156,'تجربه‌گرها'!$F:$F,K$1)</f>
        <v>0</v>
      </c>
      <c r="L156" s="242">
        <f>COUNTIFS('تجربه‌گرها'!$B:$B,$A156,'تجربه‌گرها'!$F:$F,L$1)</f>
        <v>0</v>
      </c>
      <c r="M156" s="242">
        <f>COUNTIFS('تجربه‌گرها'!$B:$B,$A156,'تجربه‌گرها'!$F:$F,M$1)</f>
        <v>1</v>
      </c>
      <c r="N156" s="242">
        <f>COUNTIFS('تجربه‌گرها'!$B:$B,$A156,'تجربه‌گرها'!$F:$F,N$1)</f>
        <v>0</v>
      </c>
      <c r="O156" s="242">
        <f>COUNTIFS('تجربه‌گرها'!$B:$B,$A156,'تجربه‌گرها'!$F:$F,O$1)</f>
        <v>0</v>
      </c>
      <c r="P156" s="242">
        <f>COUNTIFS('تجربه‌گرها'!$B:$B,$A156,'تجربه‌گرها'!$F:$F,P$1)</f>
        <v>0</v>
      </c>
      <c r="Q156" s="242">
        <f>COUNTIFS('تجربه‌گرها'!$B:$B,$A156,'تجربه‌گرها'!$F:$F,Q$1)</f>
        <v>0</v>
      </c>
      <c r="R156" s="242">
        <f>COUNTIFS('تجربه‌گرها'!$B:$B,$A156,'تجربه‌گرها'!$F:$F,R$1)</f>
        <v>0</v>
      </c>
      <c r="S156" s="242">
        <f>COUNTIFS('تجربه‌گرها'!$B:$B,$A156,'تجربه‌گرها'!$F:$F,S$1)</f>
        <v>0</v>
      </c>
      <c r="T156" s="242">
        <f>COUNTIFS('تجربه‌گرها'!$B:$B,$A156,'تجربه‌گرها'!$F:$F,T$1)</f>
        <v>0</v>
      </c>
      <c r="U156" s="242"/>
      <c r="V156" s="242"/>
      <c r="W156" s="242"/>
      <c r="X156" s="242"/>
      <c r="Y156" s="242"/>
      <c r="Z156" s="242"/>
      <c r="AA156" s="242"/>
      <c r="AB156" s="242"/>
    </row>
    <row r="157" hidden="1">
      <c r="A157" s="244" t="s">
        <v>1746</v>
      </c>
      <c r="B157" s="245" t="str">
        <f>VLOOKUP(A157,'تجربه‌گرها'!B:C,2,FALSE())</f>
        <v>9203109686</v>
      </c>
      <c r="C157" s="242"/>
      <c r="D157" s="242">
        <f t="shared" si="1"/>
        <v>1</v>
      </c>
      <c r="E157" s="242">
        <f>COUNTIFS('تجربه‌گرها'!$B:$B,$A157,'تجربه‌گرها'!$F:$F,E$1)</f>
        <v>1</v>
      </c>
      <c r="F157" s="242">
        <f>COUNTIFS('تجربه‌گرها'!$B:$B,$A157,'تجربه‌گرها'!$F:$F,F$1)</f>
        <v>0</v>
      </c>
      <c r="G157" s="242">
        <f>COUNTIFS('تجربه‌گرها'!$B:$B,$A157,'تجربه‌گرها'!$F:$F,G$1)</f>
        <v>0</v>
      </c>
      <c r="H157" s="242">
        <f>COUNTIFS('تجربه‌گرها'!$B:$B,$A157,'تجربه‌گرها'!$F:$F,H$1)</f>
        <v>0</v>
      </c>
      <c r="I157" s="242">
        <f>COUNTIFS('تجربه‌گرها'!$B:$B,$A157,'تجربه‌گرها'!$F:$F,I$1)</f>
        <v>0</v>
      </c>
      <c r="J157" s="242">
        <f>COUNTIFS('تجربه‌گرها'!$B:$B,$A157,'تجربه‌گرها'!$F:$F,J$1)</f>
        <v>0</v>
      </c>
      <c r="K157" s="242">
        <f>COUNTIFS('تجربه‌گرها'!$B:$B,$A157,'تجربه‌گرها'!$F:$F,K$1)</f>
        <v>0</v>
      </c>
      <c r="L157" s="242">
        <f>COUNTIFS('تجربه‌گرها'!$B:$B,$A157,'تجربه‌گرها'!$F:$F,L$1)</f>
        <v>0</v>
      </c>
      <c r="M157" s="242">
        <f>COUNTIFS('تجربه‌گرها'!$B:$B,$A157,'تجربه‌گرها'!$F:$F,M$1)</f>
        <v>0</v>
      </c>
      <c r="N157" s="242">
        <f>COUNTIFS('تجربه‌گرها'!$B:$B,$A157,'تجربه‌گرها'!$F:$F,N$1)</f>
        <v>0</v>
      </c>
      <c r="O157" s="242">
        <f>COUNTIFS('تجربه‌گرها'!$B:$B,$A157,'تجربه‌گرها'!$F:$F,O$1)</f>
        <v>0</v>
      </c>
      <c r="P157" s="242">
        <f>COUNTIFS('تجربه‌گرها'!$B:$B,$A157,'تجربه‌گرها'!$F:$F,P$1)</f>
        <v>0</v>
      </c>
      <c r="Q157" s="242">
        <f>COUNTIFS('تجربه‌گرها'!$B:$B,$A157,'تجربه‌گرها'!$F:$F,Q$1)</f>
        <v>0</v>
      </c>
      <c r="R157" s="242">
        <f>COUNTIFS('تجربه‌گرها'!$B:$B,$A157,'تجربه‌گرها'!$F:$F,R$1)</f>
        <v>0</v>
      </c>
      <c r="S157" s="242">
        <f>COUNTIFS('تجربه‌گرها'!$B:$B,$A157,'تجربه‌گرها'!$F:$F,S$1)</f>
        <v>0</v>
      </c>
      <c r="T157" s="242">
        <f>COUNTIFS('تجربه‌گرها'!$B:$B,$A157,'تجربه‌گرها'!$F:$F,T$1)</f>
        <v>0</v>
      </c>
      <c r="U157" s="242"/>
      <c r="V157" s="242"/>
      <c r="W157" s="242"/>
      <c r="X157" s="242"/>
      <c r="Y157" s="242"/>
      <c r="Z157" s="242"/>
      <c r="AA157" s="242"/>
      <c r="AB157" s="242"/>
    </row>
    <row r="158">
      <c r="A158" s="244" t="s">
        <v>1752</v>
      </c>
      <c r="B158" s="245" t="str">
        <f>VLOOKUP(A158,'تجربه‌گرها'!B:C,2,FALSE())</f>
        <v>9184764661</v>
      </c>
      <c r="C158" s="242"/>
      <c r="D158" s="242">
        <f t="shared" si="1"/>
        <v>2</v>
      </c>
      <c r="E158" s="242">
        <f>COUNTIFS('تجربه‌گرها'!$B:$B,$A158,'تجربه‌گرها'!$F:$F,E$1)</f>
        <v>1</v>
      </c>
      <c r="F158" s="242">
        <f>COUNTIFS('تجربه‌گرها'!$B:$B,$A158,'تجربه‌گرها'!$F:$F,F$1)</f>
        <v>1</v>
      </c>
      <c r="G158" s="242">
        <f>COUNTIFS('تجربه‌گرها'!$B:$B,$A158,'تجربه‌گرها'!$F:$F,G$1)</f>
        <v>0</v>
      </c>
      <c r="H158" s="242">
        <f>COUNTIFS('تجربه‌گرها'!$B:$B,$A158,'تجربه‌گرها'!$F:$F,H$1)</f>
        <v>0</v>
      </c>
      <c r="I158" s="242">
        <f>COUNTIFS('تجربه‌گرها'!$B:$B,$A158,'تجربه‌گرها'!$F:$F,I$1)</f>
        <v>0</v>
      </c>
      <c r="J158" s="242">
        <f>COUNTIFS('تجربه‌گرها'!$B:$B,$A158,'تجربه‌گرها'!$F:$F,J$1)</f>
        <v>0</v>
      </c>
      <c r="K158" s="242">
        <f>COUNTIFS('تجربه‌گرها'!$B:$B,$A158,'تجربه‌گرها'!$F:$F,K$1)</f>
        <v>0</v>
      </c>
      <c r="L158" s="242">
        <f>COUNTIFS('تجربه‌گرها'!$B:$B,$A158,'تجربه‌گرها'!$F:$F,L$1)</f>
        <v>0</v>
      </c>
      <c r="M158" s="242">
        <f>COUNTIFS('تجربه‌گرها'!$B:$B,$A158,'تجربه‌گرها'!$F:$F,M$1)</f>
        <v>0</v>
      </c>
      <c r="N158" s="242">
        <f>COUNTIFS('تجربه‌گرها'!$B:$B,$A158,'تجربه‌گرها'!$F:$F,N$1)</f>
        <v>0</v>
      </c>
      <c r="O158" s="242">
        <f>COUNTIFS('تجربه‌گرها'!$B:$B,$A158,'تجربه‌گرها'!$F:$F,O$1)</f>
        <v>0</v>
      </c>
      <c r="P158" s="242">
        <f>COUNTIFS('تجربه‌گرها'!$B:$B,$A158,'تجربه‌گرها'!$F:$F,P$1)</f>
        <v>0</v>
      </c>
      <c r="Q158" s="242">
        <f>COUNTIFS('تجربه‌گرها'!$B:$B,$A158,'تجربه‌گرها'!$F:$F,Q$1)</f>
        <v>0</v>
      </c>
      <c r="R158" s="242">
        <f>COUNTIFS('تجربه‌گرها'!$B:$B,$A158,'تجربه‌گرها'!$F:$F,R$1)</f>
        <v>0</v>
      </c>
      <c r="S158" s="242">
        <f>COUNTIFS('تجربه‌گرها'!$B:$B,$A158,'تجربه‌گرها'!$F:$F,S$1)</f>
        <v>0</v>
      </c>
      <c r="T158" s="242">
        <f>COUNTIFS('تجربه‌گرها'!$B:$B,$A158,'تجربه‌گرها'!$F:$F,T$1)</f>
        <v>0</v>
      </c>
      <c r="U158" s="242"/>
      <c r="V158" s="242"/>
      <c r="W158" s="242"/>
      <c r="X158" s="242"/>
      <c r="Y158" s="242"/>
      <c r="Z158" s="242"/>
      <c r="AA158" s="242"/>
      <c r="AB158" s="242"/>
    </row>
    <row r="159" hidden="1">
      <c r="A159" s="244" t="s">
        <v>1758</v>
      </c>
      <c r="B159" s="245" t="str">
        <f>VLOOKUP(A159,'تجربه‌گرها'!B:C,2,FALSE())</f>
        <v>9122086856</v>
      </c>
      <c r="C159" s="242"/>
      <c r="D159" s="242">
        <f t="shared" si="1"/>
        <v>1</v>
      </c>
      <c r="E159" s="242">
        <f>COUNTIFS('تجربه‌گرها'!$B:$B,$A159,'تجربه‌گرها'!$F:$F,E$1)</f>
        <v>1</v>
      </c>
      <c r="F159" s="242">
        <f>COUNTIFS('تجربه‌گرها'!$B:$B,$A159,'تجربه‌گرها'!$F:$F,F$1)</f>
        <v>0</v>
      </c>
      <c r="G159" s="242">
        <f>COUNTIFS('تجربه‌گرها'!$B:$B,$A159,'تجربه‌گرها'!$F:$F,G$1)</f>
        <v>0</v>
      </c>
      <c r="H159" s="242">
        <f>COUNTIFS('تجربه‌گرها'!$B:$B,$A159,'تجربه‌گرها'!$F:$F,H$1)</f>
        <v>0</v>
      </c>
      <c r="I159" s="242">
        <f>COUNTIFS('تجربه‌گرها'!$B:$B,$A159,'تجربه‌گرها'!$F:$F,I$1)</f>
        <v>0</v>
      </c>
      <c r="J159" s="242">
        <f>COUNTIFS('تجربه‌گرها'!$B:$B,$A159,'تجربه‌گرها'!$F:$F,J$1)</f>
        <v>0</v>
      </c>
      <c r="K159" s="242">
        <f>COUNTIFS('تجربه‌گرها'!$B:$B,$A159,'تجربه‌گرها'!$F:$F,K$1)</f>
        <v>0</v>
      </c>
      <c r="L159" s="242">
        <f>COUNTIFS('تجربه‌گرها'!$B:$B,$A159,'تجربه‌گرها'!$F:$F,L$1)</f>
        <v>0</v>
      </c>
      <c r="M159" s="242">
        <f>COUNTIFS('تجربه‌گرها'!$B:$B,$A159,'تجربه‌گرها'!$F:$F,M$1)</f>
        <v>0</v>
      </c>
      <c r="N159" s="242">
        <f>COUNTIFS('تجربه‌گرها'!$B:$B,$A159,'تجربه‌گرها'!$F:$F,N$1)</f>
        <v>0</v>
      </c>
      <c r="O159" s="242">
        <f>COUNTIFS('تجربه‌گرها'!$B:$B,$A159,'تجربه‌گرها'!$F:$F,O$1)</f>
        <v>0</v>
      </c>
      <c r="P159" s="242">
        <f>COUNTIFS('تجربه‌گرها'!$B:$B,$A159,'تجربه‌گرها'!$F:$F,P$1)</f>
        <v>0</v>
      </c>
      <c r="Q159" s="242">
        <f>COUNTIFS('تجربه‌گرها'!$B:$B,$A159,'تجربه‌گرها'!$F:$F,Q$1)</f>
        <v>0</v>
      </c>
      <c r="R159" s="242">
        <f>COUNTIFS('تجربه‌گرها'!$B:$B,$A159,'تجربه‌گرها'!$F:$F,R$1)</f>
        <v>0</v>
      </c>
      <c r="S159" s="242">
        <f>COUNTIFS('تجربه‌گرها'!$B:$B,$A159,'تجربه‌گرها'!$F:$F,S$1)</f>
        <v>0</v>
      </c>
      <c r="T159" s="242">
        <f>COUNTIFS('تجربه‌گرها'!$B:$B,$A159,'تجربه‌گرها'!$F:$F,T$1)</f>
        <v>0</v>
      </c>
      <c r="U159" s="242"/>
      <c r="V159" s="242"/>
      <c r="W159" s="242"/>
      <c r="X159" s="242"/>
      <c r="Y159" s="242"/>
      <c r="Z159" s="242"/>
      <c r="AA159" s="242"/>
      <c r="AB159" s="242"/>
    </row>
    <row r="160" hidden="1">
      <c r="A160" s="244" t="s">
        <v>1763</v>
      </c>
      <c r="B160" s="245" t="str">
        <f>VLOOKUP(A160,'تجربه‌گرها'!B:C,2,FALSE())</f>
        <v>9126190475</v>
      </c>
      <c r="C160" s="242"/>
      <c r="D160" s="242">
        <f t="shared" si="1"/>
        <v>1</v>
      </c>
      <c r="E160" s="242">
        <f>COUNTIFS('تجربه‌گرها'!$B:$B,$A160,'تجربه‌گرها'!$F:$F,E$1)</f>
        <v>1</v>
      </c>
      <c r="F160" s="242">
        <f>COUNTIFS('تجربه‌گرها'!$B:$B,$A160,'تجربه‌گرها'!$F:$F,F$1)</f>
        <v>0</v>
      </c>
      <c r="G160" s="242">
        <f>COUNTIFS('تجربه‌گرها'!$B:$B,$A160,'تجربه‌گرها'!$F:$F,G$1)</f>
        <v>0</v>
      </c>
      <c r="H160" s="242">
        <f>COUNTIFS('تجربه‌گرها'!$B:$B,$A160,'تجربه‌گرها'!$F:$F,H$1)</f>
        <v>0</v>
      </c>
      <c r="I160" s="242">
        <f>COUNTIFS('تجربه‌گرها'!$B:$B,$A160,'تجربه‌گرها'!$F:$F,I$1)</f>
        <v>0</v>
      </c>
      <c r="J160" s="242">
        <f>COUNTIFS('تجربه‌گرها'!$B:$B,$A160,'تجربه‌گرها'!$F:$F,J$1)</f>
        <v>0</v>
      </c>
      <c r="K160" s="242">
        <f>COUNTIFS('تجربه‌گرها'!$B:$B,$A160,'تجربه‌گرها'!$F:$F,K$1)</f>
        <v>0</v>
      </c>
      <c r="L160" s="242">
        <f>COUNTIFS('تجربه‌گرها'!$B:$B,$A160,'تجربه‌گرها'!$F:$F,L$1)</f>
        <v>0</v>
      </c>
      <c r="M160" s="242">
        <f>COUNTIFS('تجربه‌گرها'!$B:$B,$A160,'تجربه‌گرها'!$F:$F,M$1)</f>
        <v>0</v>
      </c>
      <c r="N160" s="242">
        <f>COUNTIFS('تجربه‌گرها'!$B:$B,$A160,'تجربه‌گرها'!$F:$F,N$1)</f>
        <v>0</v>
      </c>
      <c r="O160" s="242">
        <f>COUNTIFS('تجربه‌گرها'!$B:$B,$A160,'تجربه‌گرها'!$F:$F,O$1)</f>
        <v>0</v>
      </c>
      <c r="P160" s="242">
        <f>COUNTIFS('تجربه‌گرها'!$B:$B,$A160,'تجربه‌گرها'!$F:$F,P$1)</f>
        <v>0</v>
      </c>
      <c r="Q160" s="242">
        <f>COUNTIFS('تجربه‌گرها'!$B:$B,$A160,'تجربه‌گرها'!$F:$F,Q$1)</f>
        <v>0</v>
      </c>
      <c r="R160" s="242">
        <f>COUNTIFS('تجربه‌گرها'!$B:$B,$A160,'تجربه‌گرها'!$F:$F,R$1)</f>
        <v>0</v>
      </c>
      <c r="S160" s="242">
        <f>COUNTIFS('تجربه‌گرها'!$B:$B,$A160,'تجربه‌گرها'!$F:$F,S$1)</f>
        <v>0</v>
      </c>
      <c r="T160" s="242">
        <f>COUNTIFS('تجربه‌گرها'!$B:$B,$A160,'تجربه‌گرها'!$F:$F,T$1)</f>
        <v>0</v>
      </c>
      <c r="U160" s="242"/>
      <c r="V160" s="242"/>
      <c r="W160" s="242"/>
      <c r="X160" s="242"/>
      <c r="Y160" s="242"/>
      <c r="Z160" s="242"/>
      <c r="AA160" s="242"/>
      <c r="AB160" s="242"/>
    </row>
    <row r="161" hidden="1">
      <c r="A161" s="244" t="s">
        <v>1770</v>
      </c>
      <c r="B161" s="245" t="str">
        <f>VLOOKUP(A161,'تجربه‌گرها'!B:C,2,FALSE())</f>
        <v/>
      </c>
      <c r="C161" s="242"/>
      <c r="D161" s="242">
        <f t="shared" si="1"/>
        <v>1</v>
      </c>
      <c r="E161" s="242">
        <f>COUNTIFS('تجربه‌گرها'!$B:$B,$A161,'تجربه‌گرها'!$F:$F,E$1)</f>
        <v>1</v>
      </c>
      <c r="F161" s="242">
        <f>COUNTIFS('تجربه‌گرها'!$B:$B,$A161,'تجربه‌گرها'!$F:$F,F$1)</f>
        <v>0</v>
      </c>
      <c r="G161" s="242">
        <f>COUNTIFS('تجربه‌گرها'!$B:$B,$A161,'تجربه‌گرها'!$F:$F,G$1)</f>
        <v>0</v>
      </c>
      <c r="H161" s="242">
        <f>COUNTIFS('تجربه‌گرها'!$B:$B,$A161,'تجربه‌گرها'!$F:$F,H$1)</f>
        <v>0</v>
      </c>
      <c r="I161" s="242">
        <f>COUNTIFS('تجربه‌گرها'!$B:$B,$A161,'تجربه‌گرها'!$F:$F,I$1)</f>
        <v>0</v>
      </c>
      <c r="J161" s="242">
        <f>COUNTIFS('تجربه‌گرها'!$B:$B,$A161,'تجربه‌گرها'!$F:$F,J$1)</f>
        <v>0</v>
      </c>
      <c r="K161" s="242">
        <f>COUNTIFS('تجربه‌گرها'!$B:$B,$A161,'تجربه‌گرها'!$F:$F,K$1)</f>
        <v>0</v>
      </c>
      <c r="L161" s="242">
        <f>COUNTIFS('تجربه‌گرها'!$B:$B,$A161,'تجربه‌گرها'!$F:$F,L$1)</f>
        <v>0</v>
      </c>
      <c r="M161" s="242">
        <f>COUNTIFS('تجربه‌گرها'!$B:$B,$A161,'تجربه‌گرها'!$F:$F,M$1)</f>
        <v>0</v>
      </c>
      <c r="N161" s="242">
        <f>COUNTIFS('تجربه‌گرها'!$B:$B,$A161,'تجربه‌گرها'!$F:$F,N$1)</f>
        <v>0</v>
      </c>
      <c r="O161" s="242">
        <f>COUNTIFS('تجربه‌گرها'!$B:$B,$A161,'تجربه‌گرها'!$F:$F,O$1)</f>
        <v>0</v>
      </c>
      <c r="P161" s="242">
        <f>COUNTIFS('تجربه‌گرها'!$B:$B,$A161,'تجربه‌گرها'!$F:$F,P$1)</f>
        <v>0</v>
      </c>
      <c r="Q161" s="242">
        <f>COUNTIFS('تجربه‌گرها'!$B:$B,$A161,'تجربه‌گرها'!$F:$F,Q$1)</f>
        <v>0</v>
      </c>
      <c r="R161" s="242">
        <f>COUNTIFS('تجربه‌گرها'!$B:$B,$A161,'تجربه‌گرها'!$F:$F,R$1)</f>
        <v>0</v>
      </c>
      <c r="S161" s="242">
        <f>COUNTIFS('تجربه‌گرها'!$B:$B,$A161,'تجربه‌گرها'!$F:$F,S$1)</f>
        <v>0</v>
      </c>
      <c r="T161" s="242">
        <f>COUNTIFS('تجربه‌گرها'!$B:$B,$A161,'تجربه‌گرها'!$F:$F,T$1)</f>
        <v>0</v>
      </c>
      <c r="U161" s="242"/>
      <c r="V161" s="242"/>
      <c r="W161" s="242"/>
      <c r="X161" s="242"/>
      <c r="Y161" s="242"/>
      <c r="Z161" s="242"/>
      <c r="AA161" s="242"/>
      <c r="AB161" s="242"/>
    </row>
    <row r="162">
      <c r="A162" s="244" t="s">
        <v>1772</v>
      </c>
      <c r="B162" s="245" t="str">
        <f>VLOOKUP(A162,'تجربه‌گرها'!B:C,2,FALSE())</f>
        <v/>
      </c>
      <c r="C162" s="242"/>
      <c r="D162" s="242">
        <f t="shared" si="1"/>
        <v>4</v>
      </c>
      <c r="E162" s="242">
        <f>COUNTIFS('تجربه‌گرها'!$B:$B,$A162,'تجربه‌گرها'!$F:$F,E$1)</f>
        <v>1</v>
      </c>
      <c r="F162" s="242">
        <f>COUNTIFS('تجربه‌گرها'!$B:$B,$A162,'تجربه‌گرها'!$F:$F,F$1)</f>
        <v>0</v>
      </c>
      <c r="G162" s="242">
        <f>COUNTIFS('تجربه‌گرها'!$B:$B,$A162,'تجربه‌گرها'!$F:$F,G$1)</f>
        <v>0</v>
      </c>
      <c r="H162" s="242">
        <f>COUNTIFS('تجربه‌گرها'!$B:$B,$A162,'تجربه‌گرها'!$F:$F,H$1)</f>
        <v>0</v>
      </c>
      <c r="I162" s="242">
        <f>COUNTIFS('تجربه‌گرها'!$B:$B,$A162,'تجربه‌گرها'!$F:$F,I$1)</f>
        <v>1</v>
      </c>
      <c r="J162" s="242">
        <f>COUNTIFS('تجربه‌گرها'!$B:$B,$A162,'تجربه‌گرها'!$F:$F,J$1)</f>
        <v>0</v>
      </c>
      <c r="K162" s="242">
        <f>COUNTIFS('تجربه‌گرها'!$B:$B,$A162,'تجربه‌گرها'!$F:$F,K$1)</f>
        <v>0</v>
      </c>
      <c r="L162" s="242">
        <f>COUNTIFS('تجربه‌گرها'!$B:$B,$A162,'تجربه‌گرها'!$F:$F,L$1)</f>
        <v>1</v>
      </c>
      <c r="M162" s="242">
        <f>COUNTIFS('تجربه‌گرها'!$B:$B,$A162,'تجربه‌گرها'!$F:$F,M$1)</f>
        <v>0</v>
      </c>
      <c r="N162" s="242">
        <f>COUNTIFS('تجربه‌گرها'!$B:$B,$A162,'تجربه‌گرها'!$F:$F,N$1)</f>
        <v>1</v>
      </c>
      <c r="O162" s="242">
        <f>COUNTIFS('تجربه‌گرها'!$B:$B,$A162,'تجربه‌گرها'!$F:$F,O$1)</f>
        <v>0</v>
      </c>
      <c r="P162" s="242">
        <f>COUNTIFS('تجربه‌گرها'!$B:$B,$A162,'تجربه‌گرها'!$F:$F,P$1)</f>
        <v>0</v>
      </c>
      <c r="Q162" s="242">
        <f>COUNTIFS('تجربه‌گرها'!$B:$B,$A162,'تجربه‌گرها'!$F:$F,Q$1)</f>
        <v>0</v>
      </c>
      <c r="R162" s="242">
        <f>COUNTIFS('تجربه‌گرها'!$B:$B,$A162,'تجربه‌گرها'!$F:$F,R$1)</f>
        <v>0</v>
      </c>
      <c r="S162" s="242">
        <f>COUNTIFS('تجربه‌گرها'!$B:$B,$A162,'تجربه‌گرها'!$F:$F,S$1)</f>
        <v>0</v>
      </c>
      <c r="T162" s="242">
        <f>COUNTIFS('تجربه‌گرها'!$B:$B,$A162,'تجربه‌گرها'!$F:$F,T$1)</f>
        <v>0</v>
      </c>
      <c r="U162" s="242"/>
      <c r="V162" s="242"/>
      <c r="W162" s="242"/>
      <c r="X162" s="242"/>
      <c r="Y162" s="242"/>
      <c r="Z162" s="242"/>
      <c r="AA162" s="242"/>
      <c r="AB162" s="242"/>
    </row>
    <row r="163" hidden="1">
      <c r="A163" s="244" t="s">
        <v>1778</v>
      </c>
      <c r="B163" s="245" t="str">
        <f>VLOOKUP(A163,'تجربه‌گرها'!B:C,2,FALSE())</f>
        <v/>
      </c>
      <c r="C163" s="242"/>
      <c r="D163" s="242">
        <f t="shared" si="1"/>
        <v>1</v>
      </c>
      <c r="E163" s="242">
        <f>COUNTIFS('تجربه‌گرها'!$B:$B,$A163,'تجربه‌گرها'!$F:$F,E$1)</f>
        <v>1</v>
      </c>
      <c r="F163" s="242">
        <f>COUNTIFS('تجربه‌گرها'!$B:$B,$A163,'تجربه‌گرها'!$F:$F,F$1)</f>
        <v>0</v>
      </c>
      <c r="G163" s="242">
        <f>COUNTIFS('تجربه‌گرها'!$B:$B,$A163,'تجربه‌گرها'!$F:$F,G$1)</f>
        <v>0</v>
      </c>
      <c r="H163" s="242">
        <f>COUNTIFS('تجربه‌گرها'!$B:$B,$A163,'تجربه‌گرها'!$F:$F,H$1)</f>
        <v>0</v>
      </c>
      <c r="I163" s="242">
        <f>COUNTIFS('تجربه‌گرها'!$B:$B,$A163,'تجربه‌گرها'!$F:$F,I$1)</f>
        <v>0</v>
      </c>
      <c r="J163" s="242">
        <f>COUNTIFS('تجربه‌گرها'!$B:$B,$A163,'تجربه‌گرها'!$F:$F,J$1)</f>
        <v>0</v>
      </c>
      <c r="K163" s="242">
        <f>COUNTIFS('تجربه‌گرها'!$B:$B,$A163,'تجربه‌گرها'!$F:$F,K$1)</f>
        <v>0</v>
      </c>
      <c r="L163" s="242">
        <f>COUNTIFS('تجربه‌گرها'!$B:$B,$A163,'تجربه‌گرها'!$F:$F,L$1)</f>
        <v>0</v>
      </c>
      <c r="M163" s="242">
        <f>COUNTIFS('تجربه‌گرها'!$B:$B,$A163,'تجربه‌گرها'!$F:$F,M$1)</f>
        <v>0</v>
      </c>
      <c r="N163" s="242">
        <f>COUNTIFS('تجربه‌گرها'!$B:$B,$A163,'تجربه‌گرها'!$F:$F,N$1)</f>
        <v>0</v>
      </c>
      <c r="O163" s="242">
        <f>COUNTIFS('تجربه‌گرها'!$B:$B,$A163,'تجربه‌گرها'!$F:$F,O$1)</f>
        <v>0</v>
      </c>
      <c r="P163" s="242">
        <f>COUNTIFS('تجربه‌گرها'!$B:$B,$A163,'تجربه‌گرها'!$F:$F,P$1)</f>
        <v>0</v>
      </c>
      <c r="Q163" s="242">
        <f>COUNTIFS('تجربه‌گرها'!$B:$B,$A163,'تجربه‌گرها'!$F:$F,Q$1)</f>
        <v>0</v>
      </c>
      <c r="R163" s="242">
        <f>COUNTIFS('تجربه‌گرها'!$B:$B,$A163,'تجربه‌گرها'!$F:$F,R$1)</f>
        <v>0</v>
      </c>
      <c r="S163" s="242">
        <f>COUNTIFS('تجربه‌گرها'!$B:$B,$A163,'تجربه‌گرها'!$F:$F,S$1)</f>
        <v>0</v>
      </c>
      <c r="T163" s="242">
        <f>COUNTIFS('تجربه‌گرها'!$B:$B,$A163,'تجربه‌گرها'!$F:$F,T$1)</f>
        <v>0</v>
      </c>
      <c r="U163" s="242"/>
      <c r="V163" s="242"/>
      <c r="W163" s="242"/>
      <c r="X163" s="242"/>
      <c r="Y163" s="242"/>
      <c r="Z163" s="242"/>
      <c r="AA163" s="242"/>
      <c r="AB163" s="242"/>
    </row>
    <row r="164" hidden="1">
      <c r="A164" s="244" t="s">
        <v>1780</v>
      </c>
      <c r="B164" s="245" t="str">
        <f>VLOOKUP(A164,'تجربه‌گرها'!B:C,2,FALSE())</f>
        <v>9394310605</v>
      </c>
      <c r="C164" s="242"/>
      <c r="D164" s="242">
        <f t="shared" si="1"/>
        <v>1</v>
      </c>
      <c r="E164" s="242">
        <f>COUNTIFS('تجربه‌گرها'!$B:$B,$A164,'تجربه‌گرها'!$F:$F,E$1)</f>
        <v>1</v>
      </c>
      <c r="F164" s="242">
        <f>COUNTIFS('تجربه‌گرها'!$B:$B,$A164,'تجربه‌گرها'!$F:$F,F$1)</f>
        <v>0</v>
      </c>
      <c r="G164" s="242">
        <f>COUNTIFS('تجربه‌گرها'!$B:$B,$A164,'تجربه‌گرها'!$F:$F,G$1)</f>
        <v>0</v>
      </c>
      <c r="H164" s="242">
        <f>COUNTIFS('تجربه‌گرها'!$B:$B,$A164,'تجربه‌گرها'!$F:$F,H$1)</f>
        <v>0</v>
      </c>
      <c r="I164" s="242">
        <f>COUNTIFS('تجربه‌گرها'!$B:$B,$A164,'تجربه‌گرها'!$F:$F,I$1)</f>
        <v>0</v>
      </c>
      <c r="J164" s="242">
        <f>COUNTIFS('تجربه‌گرها'!$B:$B,$A164,'تجربه‌گرها'!$F:$F,J$1)</f>
        <v>0</v>
      </c>
      <c r="K164" s="242">
        <f>COUNTIFS('تجربه‌گرها'!$B:$B,$A164,'تجربه‌گرها'!$F:$F,K$1)</f>
        <v>0</v>
      </c>
      <c r="L164" s="242">
        <f>COUNTIFS('تجربه‌گرها'!$B:$B,$A164,'تجربه‌گرها'!$F:$F,L$1)</f>
        <v>0</v>
      </c>
      <c r="M164" s="242">
        <f>COUNTIFS('تجربه‌گرها'!$B:$B,$A164,'تجربه‌گرها'!$F:$F,M$1)</f>
        <v>0</v>
      </c>
      <c r="N164" s="242">
        <f>COUNTIFS('تجربه‌گرها'!$B:$B,$A164,'تجربه‌گرها'!$F:$F,N$1)</f>
        <v>0</v>
      </c>
      <c r="O164" s="242">
        <f>COUNTIFS('تجربه‌گرها'!$B:$B,$A164,'تجربه‌گرها'!$F:$F,O$1)</f>
        <v>0</v>
      </c>
      <c r="P164" s="242">
        <f>COUNTIFS('تجربه‌گرها'!$B:$B,$A164,'تجربه‌گرها'!$F:$F,P$1)</f>
        <v>0</v>
      </c>
      <c r="Q164" s="242">
        <f>COUNTIFS('تجربه‌گرها'!$B:$B,$A164,'تجربه‌گرها'!$F:$F,Q$1)</f>
        <v>0</v>
      </c>
      <c r="R164" s="242">
        <f>COUNTIFS('تجربه‌گرها'!$B:$B,$A164,'تجربه‌گرها'!$F:$F,R$1)</f>
        <v>0</v>
      </c>
      <c r="S164" s="242">
        <f>COUNTIFS('تجربه‌گرها'!$B:$B,$A164,'تجربه‌گرها'!$F:$F,S$1)</f>
        <v>0</v>
      </c>
      <c r="T164" s="242">
        <f>COUNTIFS('تجربه‌گرها'!$B:$B,$A164,'تجربه‌گرها'!$F:$F,T$1)</f>
        <v>0</v>
      </c>
      <c r="U164" s="242"/>
      <c r="V164" s="242"/>
      <c r="W164" s="242"/>
      <c r="X164" s="242"/>
      <c r="Y164" s="242"/>
      <c r="Z164" s="242"/>
      <c r="AA164" s="242"/>
      <c r="AB164" s="242"/>
    </row>
    <row r="165" hidden="1">
      <c r="A165" s="244" t="s">
        <v>1785</v>
      </c>
      <c r="B165" s="245" t="str">
        <f>VLOOKUP(A165,'تجربه‌گرها'!B:C,2,FALSE())</f>
        <v/>
      </c>
      <c r="C165" s="242"/>
      <c r="D165" s="242">
        <f t="shared" si="1"/>
        <v>1</v>
      </c>
      <c r="E165" s="242">
        <f>COUNTIFS('تجربه‌گرها'!$B:$B,$A165,'تجربه‌گرها'!$F:$F,E$1)</f>
        <v>1</v>
      </c>
      <c r="F165" s="242">
        <f>COUNTIFS('تجربه‌گرها'!$B:$B,$A165,'تجربه‌گرها'!$F:$F,F$1)</f>
        <v>0</v>
      </c>
      <c r="G165" s="242">
        <f>COUNTIFS('تجربه‌گرها'!$B:$B,$A165,'تجربه‌گرها'!$F:$F,G$1)</f>
        <v>0</v>
      </c>
      <c r="H165" s="242">
        <f>COUNTIFS('تجربه‌گرها'!$B:$B,$A165,'تجربه‌گرها'!$F:$F,H$1)</f>
        <v>0</v>
      </c>
      <c r="I165" s="242">
        <f>COUNTIFS('تجربه‌گرها'!$B:$B,$A165,'تجربه‌گرها'!$F:$F,I$1)</f>
        <v>0</v>
      </c>
      <c r="J165" s="242">
        <f>COUNTIFS('تجربه‌گرها'!$B:$B,$A165,'تجربه‌گرها'!$F:$F,J$1)</f>
        <v>0</v>
      </c>
      <c r="K165" s="242">
        <f>COUNTIFS('تجربه‌گرها'!$B:$B,$A165,'تجربه‌گرها'!$F:$F,K$1)</f>
        <v>0</v>
      </c>
      <c r="L165" s="242">
        <f>COUNTIFS('تجربه‌گرها'!$B:$B,$A165,'تجربه‌گرها'!$F:$F,L$1)</f>
        <v>0</v>
      </c>
      <c r="M165" s="242">
        <f>COUNTIFS('تجربه‌گرها'!$B:$B,$A165,'تجربه‌گرها'!$F:$F,M$1)</f>
        <v>0</v>
      </c>
      <c r="N165" s="242">
        <f>COUNTIFS('تجربه‌گرها'!$B:$B,$A165,'تجربه‌گرها'!$F:$F,N$1)</f>
        <v>0</v>
      </c>
      <c r="O165" s="242">
        <f>COUNTIFS('تجربه‌گرها'!$B:$B,$A165,'تجربه‌گرها'!$F:$F,O$1)</f>
        <v>0</v>
      </c>
      <c r="P165" s="242">
        <f>COUNTIFS('تجربه‌گرها'!$B:$B,$A165,'تجربه‌گرها'!$F:$F,P$1)</f>
        <v>0</v>
      </c>
      <c r="Q165" s="242">
        <f>COUNTIFS('تجربه‌گرها'!$B:$B,$A165,'تجربه‌گرها'!$F:$F,Q$1)</f>
        <v>0</v>
      </c>
      <c r="R165" s="242">
        <f>COUNTIFS('تجربه‌گرها'!$B:$B,$A165,'تجربه‌گرها'!$F:$F,R$1)</f>
        <v>0</v>
      </c>
      <c r="S165" s="242">
        <f>COUNTIFS('تجربه‌گرها'!$B:$B,$A165,'تجربه‌گرها'!$F:$F,S$1)</f>
        <v>0</v>
      </c>
      <c r="T165" s="242">
        <f>COUNTIFS('تجربه‌گرها'!$B:$B,$A165,'تجربه‌گرها'!$F:$F,T$1)</f>
        <v>0</v>
      </c>
      <c r="U165" s="242"/>
      <c r="V165" s="242"/>
      <c r="W165" s="242"/>
      <c r="X165" s="242"/>
      <c r="Y165" s="242"/>
      <c r="Z165" s="242"/>
      <c r="AA165" s="242"/>
      <c r="AB165" s="242"/>
    </row>
    <row r="166" hidden="1">
      <c r="A166" s="244" t="s">
        <v>1790</v>
      </c>
      <c r="B166" s="245" t="str">
        <f>VLOOKUP(A166,'تجربه‌گرها'!B:C,2,FALSE())</f>
        <v/>
      </c>
      <c r="C166" s="242"/>
      <c r="D166" s="242">
        <f t="shared" si="1"/>
        <v>1</v>
      </c>
      <c r="E166" s="242">
        <f>COUNTIFS('تجربه‌گرها'!$B:$B,$A166,'تجربه‌گرها'!$F:$F,E$1)</f>
        <v>1</v>
      </c>
      <c r="F166" s="242">
        <f>COUNTIFS('تجربه‌گرها'!$B:$B,$A166,'تجربه‌گرها'!$F:$F,F$1)</f>
        <v>0</v>
      </c>
      <c r="G166" s="242">
        <f>COUNTIFS('تجربه‌گرها'!$B:$B,$A166,'تجربه‌گرها'!$F:$F,G$1)</f>
        <v>0</v>
      </c>
      <c r="H166" s="242">
        <f>COUNTIFS('تجربه‌گرها'!$B:$B,$A166,'تجربه‌گرها'!$F:$F,H$1)</f>
        <v>0</v>
      </c>
      <c r="I166" s="242">
        <f>COUNTIFS('تجربه‌گرها'!$B:$B,$A166,'تجربه‌گرها'!$F:$F,I$1)</f>
        <v>0</v>
      </c>
      <c r="J166" s="242">
        <f>COUNTIFS('تجربه‌گرها'!$B:$B,$A166,'تجربه‌گرها'!$F:$F,J$1)</f>
        <v>0</v>
      </c>
      <c r="K166" s="242">
        <f>COUNTIFS('تجربه‌گرها'!$B:$B,$A166,'تجربه‌گرها'!$F:$F,K$1)</f>
        <v>0</v>
      </c>
      <c r="L166" s="242">
        <f>COUNTIFS('تجربه‌گرها'!$B:$B,$A166,'تجربه‌گرها'!$F:$F,L$1)</f>
        <v>0</v>
      </c>
      <c r="M166" s="242">
        <f>COUNTIFS('تجربه‌گرها'!$B:$B,$A166,'تجربه‌گرها'!$F:$F,M$1)</f>
        <v>0</v>
      </c>
      <c r="N166" s="242">
        <f>COUNTIFS('تجربه‌گرها'!$B:$B,$A166,'تجربه‌گرها'!$F:$F,N$1)</f>
        <v>0</v>
      </c>
      <c r="O166" s="242">
        <f>COUNTIFS('تجربه‌گرها'!$B:$B,$A166,'تجربه‌گرها'!$F:$F,O$1)</f>
        <v>0</v>
      </c>
      <c r="P166" s="242">
        <f>COUNTIFS('تجربه‌گرها'!$B:$B,$A166,'تجربه‌گرها'!$F:$F,P$1)</f>
        <v>0</v>
      </c>
      <c r="Q166" s="242">
        <f>COUNTIFS('تجربه‌گرها'!$B:$B,$A166,'تجربه‌گرها'!$F:$F,Q$1)</f>
        <v>0</v>
      </c>
      <c r="R166" s="242">
        <f>COUNTIFS('تجربه‌گرها'!$B:$B,$A166,'تجربه‌گرها'!$F:$F,R$1)</f>
        <v>0</v>
      </c>
      <c r="S166" s="242">
        <f>COUNTIFS('تجربه‌گرها'!$B:$B,$A166,'تجربه‌گرها'!$F:$F,S$1)</f>
        <v>0</v>
      </c>
      <c r="T166" s="242">
        <f>COUNTIFS('تجربه‌گرها'!$B:$B,$A166,'تجربه‌گرها'!$F:$F,T$1)</f>
        <v>0</v>
      </c>
      <c r="U166" s="242"/>
      <c r="V166" s="242"/>
      <c r="W166" s="242"/>
      <c r="X166" s="242"/>
      <c r="Y166" s="242"/>
      <c r="Z166" s="242"/>
      <c r="AA166" s="242"/>
      <c r="AB166" s="242"/>
    </row>
    <row r="167" hidden="1">
      <c r="A167" s="244" t="s">
        <v>1794</v>
      </c>
      <c r="B167" s="245" t="str">
        <f>VLOOKUP(A167,'تجربه‌گرها'!B:C,2,FALSE())</f>
        <v/>
      </c>
      <c r="C167" s="242"/>
      <c r="D167" s="242">
        <f t="shared" si="1"/>
        <v>1</v>
      </c>
      <c r="E167" s="242">
        <f>COUNTIFS('تجربه‌گرها'!$B:$B,$A167,'تجربه‌گرها'!$F:$F,E$1)</f>
        <v>1</v>
      </c>
      <c r="F167" s="242">
        <f>COUNTIFS('تجربه‌گرها'!$B:$B,$A167,'تجربه‌گرها'!$F:$F,F$1)</f>
        <v>0</v>
      </c>
      <c r="G167" s="242">
        <f>COUNTIFS('تجربه‌گرها'!$B:$B,$A167,'تجربه‌گرها'!$F:$F,G$1)</f>
        <v>0</v>
      </c>
      <c r="H167" s="242">
        <f>COUNTIFS('تجربه‌گرها'!$B:$B,$A167,'تجربه‌گرها'!$F:$F,H$1)</f>
        <v>0</v>
      </c>
      <c r="I167" s="242">
        <f>COUNTIFS('تجربه‌گرها'!$B:$B,$A167,'تجربه‌گرها'!$F:$F,I$1)</f>
        <v>0</v>
      </c>
      <c r="J167" s="242">
        <f>COUNTIFS('تجربه‌گرها'!$B:$B,$A167,'تجربه‌گرها'!$F:$F,J$1)</f>
        <v>0</v>
      </c>
      <c r="K167" s="242">
        <f>COUNTIFS('تجربه‌گرها'!$B:$B,$A167,'تجربه‌گرها'!$F:$F,K$1)</f>
        <v>0</v>
      </c>
      <c r="L167" s="242">
        <f>COUNTIFS('تجربه‌گرها'!$B:$B,$A167,'تجربه‌گرها'!$F:$F,L$1)</f>
        <v>0</v>
      </c>
      <c r="M167" s="242">
        <f>COUNTIFS('تجربه‌گرها'!$B:$B,$A167,'تجربه‌گرها'!$F:$F,M$1)</f>
        <v>0</v>
      </c>
      <c r="N167" s="242">
        <f>COUNTIFS('تجربه‌گرها'!$B:$B,$A167,'تجربه‌گرها'!$F:$F,N$1)</f>
        <v>0</v>
      </c>
      <c r="O167" s="242">
        <f>COUNTIFS('تجربه‌گرها'!$B:$B,$A167,'تجربه‌گرها'!$F:$F,O$1)</f>
        <v>0</v>
      </c>
      <c r="P167" s="242">
        <f>COUNTIFS('تجربه‌گرها'!$B:$B,$A167,'تجربه‌گرها'!$F:$F,P$1)</f>
        <v>0</v>
      </c>
      <c r="Q167" s="242">
        <f>COUNTIFS('تجربه‌گرها'!$B:$B,$A167,'تجربه‌گرها'!$F:$F,Q$1)</f>
        <v>0</v>
      </c>
      <c r="R167" s="242">
        <f>COUNTIFS('تجربه‌گرها'!$B:$B,$A167,'تجربه‌گرها'!$F:$F,R$1)</f>
        <v>0</v>
      </c>
      <c r="S167" s="242">
        <f>COUNTIFS('تجربه‌گرها'!$B:$B,$A167,'تجربه‌گرها'!$F:$F,S$1)</f>
        <v>0</v>
      </c>
      <c r="T167" s="242">
        <f>COUNTIFS('تجربه‌گرها'!$B:$B,$A167,'تجربه‌گرها'!$F:$F,T$1)</f>
        <v>0</v>
      </c>
      <c r="U167" s="242"/>
      <c r="V167" s="242"/>
      <c r="W167" s="242"/>
      <c r="X167" s="242"/>
      <c r="Y167" s="242"/>
      <c r="Z167" s="242"/>
      <c r="AA167" s="242"/>
      <c r="AB167" s="242"/>
    </row>
    <row r="168">
      <c r="A168" s="244" t="s">
        <v>1799</v>
      </c>
      <c r="B168" s="245" t="str">
        <f>VLOOKUP(A168,'تجربه‌گرها'!B:C,2,FALSE())</f>
        <v/>
      </c>
      <c r="C168" s="242"/>
      <c r="D168" s="242">
        <f t="shared" si="1"/>
        <v>4</v>
      </c>
      <c r="E168" s="242">
        <f>COUNTIFS('تجربه‌گرها'!$B:$B,$A168,'تجربه‌گرها'!$F:$F,E$1)</f>
        <v>1</v>
      </c>
      <c r="F168" s="242">
        <f>COUNTIFS('تجربه‌گرها'!$B:$B,$A168,'تجربه‌گرها'!$F:$F,F$1)</f>
        <v>0</v>
      </c>
      <c r="G168" s="242">
        <f>COUNTIFS('تجربه‌گرها'!$B:$B,$A168,'تجربه‌گرها'!$F:$F,G$1)</f>
        <v>0</v>
      </c>
      <c r="H168" s="242">
        <f>COUNTIFS('تجربه‌گرها'!$B:$B,$A168,'تجربه‌گرها'!$F:$F,H$1)</f>
        <v>0</v>
      </c>
      <c r="I168" s="242">
        <f>COUNTIFS('تجربه‌گرها'!$B:$B,$A168,'تجربه‌گرها'!$F:$F,I$1)</f>
        <v>0</v>
      </c>
      <c r="J168" s="242">
        <f>COUNTIFS('تجربه‌گرها'!$B:$B,$A168,'تجربه‌گرها'!$F:$F,J$1)</f>
        <v>0</v>
      </c>
      <c r="K168" s="242">
        <f>COUNTIFS('تجربه‌گرها'!$B:$B,$A168,'تجربه‌گرها'!$F:$F,K$1)</f>
        <v>1</v>
      </c>
      <c r="L168" s="242">
        <f>COUNTIFS('تجربه‌گرها'!$B:$B,$A168,'تجربه‌گرها'!$F:$F,L$1)</f>
        <v>0</v>
      </c>
      <c r="M168" s="242">
        <f>COUNTIFS('تجربه‌گرها'!$B:$B,$A168,'تجربه‌گرها'!$F:$F,M$1)</f>
        <v>1</v>
      </c>
      <c r="N168" s="242">
        <f>COUNTIFS('تجربه‌گرها'!$B:$B,$A168,'تجربه‌گرها'!$F:$F,N$1)</f>
        <v>1</v>
      </c>
      <c r="O168" s="242">
        <f>COUNTIFS('تجربه‌گرها'!$B:$B,$A168,'تجربه‌گرها'!$F:$F,O$1)</f>
        <v>0</v>
      </c>
      <c r="P168" s="242">
        <f>COUNTIFS('تجربه‌گرها'!$B:$B,$A168,'تجربه‌گرها'!$F:$F,P$1)</f>
        <v>0</v>
      </c>
      <c r="Q168" s="242">
        <f>COUNTIFS('تجربه‌گرها'!$B:$B,$A168,'تجربه‌گرها'!$F:$F,Q$1)</f>
        <v>0</v>
      </c>
      <c r="R168" s="242">
        <f>COUNTIFS('تجربه‌گرها'!$B:$B,$A168,'تجربه‌گرها'!$F:$F,R$1)</f>
        <v>0</v>
      </c>
      <c r="S168" s="242">
        <f>COUNTIFS('تجربه‌گرها'!$B:$B,$A168,'تجربه‌گرها'!$F:$F,S$1)</f>
        <v>0</v>
      </c>
      <c r="T168" s="242">
        <f>COUNTIFS('تجربه‌گرها'!$B:$B,$A168,'تجربه‌گرها'!$F:$F,T$1)</f>
        <v>0</v>
      </c>
      <c r="U168" s="242"/>
      <c r="V168" s="242"/>
      <c r="W168" s="242"/>
      <c r="X168" s="242"/>
      <c r="Y168" s="242"/>
      <c r="Z168" s="242"/>
      <c r="AA168" s="242"/>
      <c r="AB168" s="242"/>
    </row>
    <row r="169" hidden="1">
      <c r="A169" s="244" t="s">
        <v>1803</v>
      </c>
      <c r="B169" s="245" t="str">
        <f>VLOOKUP(A169,'تجربه‌گرها'!B:C,2,FALSE())</f>
        <v/>
      </c>
      <c r="C169" s="242"/>
      <c r="D169" s="242">
        <f t="shared" si="1"/>
        <v>1</v>
      </c>
      <c r="E169" s="242">
        <f>COUNTIFS('تجربه‌گرها'!$B:$B,$A169,'تجربه‌گرها'!$F:$F,E$1)</f>
        <v>1</v>
      </c>
      <c r="F169" s="242">
        <f>COUNTIFS('تجربه‌گرها'!$B:$B,$A169,'تجربه‌گرها'!$F:$F,F$1)</f>
        <v>0</v>
      </c>
      <c r="G169" s="242">
        <f>COUNTIFS('تجربه‌گرها'!$B:$B,$A169,'تجربه‌گرها'!$F:$F,G$1)</f>
        <v>0</v>
      </c>
      <c r="H169" s="242">
        <f>COUNTIFS('تجربه‌گرها'!$B:$B,$A169,'تجربه‌گرها'!$F:$F,H$1)</f>
        <v>0</v>
      </c>
      <c r="I169" s="242">
        <f>COUNTIFS('تجربه‌گرها'!$B:$B,$A169,'تجربه‌گرها'!$F:$F,I$1)</f>
        <v>0</v>
      </c>
      <c r="J169" s="242">
        <f>COUNTIFS('تجربه‌گرها'!$B:$B,$A169,'تجربه‌گرها'!$F:$F,J$1)</f>
        <v>0</v>
      </c>
      <c r="K169" s="242">
        <f>COUNTIFS('تجربه‌گرها'!$B:$B,$A169,'تجربه‌گرها'!$F:$F,K$1)</f>
        <v>0</v>
      </c>
      <c r="L169" s="242">
        <f>COUNTIFS('تجربه‌گرها'!$B:$B,$A169,'تجربه‌گرها'!$F:$F,L$1)</f>
        <v>0</v>
      </c>
      <c r="M169" s="242">
        <f>COUNTIFS('تجربه‌گرها'!$B:$B,$A169,'تجربه‌گرها'!$F:$F,M$1)</f>
        <v>0</v>
      </c>
      <c r="N169" s="242">
        <f>COUNTIFS('تجربه‌گرها'!$B:$B,$A169,'تجربه‌گرها'!$F:$F,N$1)</f>
        <v>0</v>
      </c>
      <c r="O169" s="242">
        <f>COUNTIFS('تجربه‌گرها'!$B:$B,$A169,'تجربه‌گرها'!$F:$F,O$1)</f>
        <v>0</v>
      </c>
      <c r="P169" s="242">
        <f>COUNTIFS('تجربه‌گرها'!$B:$B,$A169,'تجربه‌گرها'!$F:$F,P$1)</f>
        <v>0</v>
      </c>
      <c r="Q169" s="242">
        <f>COUNTIFS('تجربه‌گرها'!$B:$B,$A169,'تجربه‌گرها'!$F:$F,Q$1)</f>
        <v>0</v>
      </c>
      <c r="R169" s="242">
        <f>COUNTIFS('تجربه‌گرها'!$B:$B,$A169,'تجربه‌گرها'!$F:$F,R$1)</f>
        <v>0</v>
      </c>
      <c r="S169" s="242">
        <f>COUNTIFS('تجربه‌گرها'!$B:$B,$A169,'تجربه‌گرها'!$F:$F,S$1)</f>
        <v>0</v>
      </c>
      <c r="T169" s="242">
        <f>COUNTIFS('تجربه‌گرها'!$B:$B,$A169,'تجربه‌گرها'!$F:$F,T$1)</f>
        <v>0</v>
      </c>
      <c r="U169" s="242"/>
      <c r="V169" s="242"/>
      <c r="W169" s="242"/>
      <c r="X169" s="242"/>
      <c r="Y169" s="242"/>
      <c r="Z169" s="242"/>
      <c r="AA169" s="242"/>
      <c r="AB169" s="242"/>
    </row>
    <row r="170" hidden="1">
      <c r="A170" s="244" t="s">
        <v>1808</v>
      </c>
      <c r="B170" s="245" t="str">
        <f>VLOOKUP(A170,'تجربه‌گرها'!B:C,2,FALSE())</f>
        <v/>
      </c>
      <c r="C170" s="242"/>
      <c r="D170" s="242">
        <f t="shared" si="1"/>
        <v>1</v>
      </c>
      <c r="E170" s="242">
        <f>COUNTIFS('تجربه‌گرها'!$B:$B,$A170,'تجربه‌گرها'!$F:$F,E$1)</f>
        <v>1</v>
      </c>
      <c r="F170" s="242">
        <f>COUNTIFS('تجربه‌گرها'!$B:$B,$A170,'تجربه‌گرها'!$F:$F,F$1)</f>
        <v>0</v>
      </c>
      <c r="G170" s="242">
        <f>COUNTIFS('تجربه‌گرها'!$B:$B,$A170,'تجربه‌گرها'!$F:$F,G$1)</f>
        <v>0</v>
      </c>
      <c r="H170" s="242">
        <f>COUNTIFS('تجربه‌گرها'!$B:$B,$A170,'تجربه‌گرها'!$F:$F,H$1)</f>
        <v>0</v>
      </c>
      <c r="I170" s="242">
        <f>COUNTIFS('تجربه‌گرها'!$B:$B,$A170,'تجربه‌گرها'!$F:$F,I$1)</f>
        <v>0</v>
      </c>
      <c r="J170" s="242">
        <f>COUNTIFS('تجربه‌گرها'!$B:$B,$A170,'تجربه‌گرها'!$F:$F,J$1)</f>
        <v>0</v>
      </c>
      <c r="K170" s="242">
        <f>COUNTIFS('تجربه‌گرها'!$B:$B,$A170,'تجربه‌گرها'!$F:$F,K$1)</f>
        <v>0</v>
      </c>
      <c r="L170" s="242">
        <f>COUNTIFS('تجربه‌گرها'!$B:$B,$A170,'تجربه‌گرها'!$F:$F,L$1)</f>
        <v>0</v>
      </c>
      <c r="M170" s="242">
        <f>COUNTIFS('تجربه‌گرها'!$B:$B,$A170,'تجربه‌گرها'!$F:$F,M$1)</f>
        <v>0</v>
      </c>
      <c r="N170" s="242">
        <f>COUNTIFS('تجربه‌گرها'!$B:$B,$A170,'تجربه‌گرها'!$F:$F,N$1)</f>
        <v>0</v>
      </c>
      <c r="O170" s="242">
        <f>COUNTIFS('تجربه‌گرها'!$B:$B,$A170,'تجربه‌گرها'!$F:$F,O$1)</f>
        <v>0</v>
      </c>
      <c r="P170" s="242">
        <f>COUNTIFS('تجربه‌گرها'!$B:$B,$A170,'تجربه‌گرها'!$F:$F,P$1)</f>
        <v>0</v>
      </c>
      <c r="Q170" s="242">
        <f>COUNTIFS('تجربه‌گرها'!$B:$B,$A170,'تجربه‌گرها'!$F:$F,Q$1)</f>
        <v>0</v>
      </c>
      <c r="R170" s="242">
        <f>COUNTIFS('تجربه‌گرها'!$B:$B,$A170,'تجربه‌گرها'!$F:$F,R$1)</f>
        <v>0</v>
      </c>
      <c r="S170" s="242">
        <f>COUNTIFS('تجربه‌گرها'!$B:$B,$A170,'تجربه‌گرها'!$F:$F,S$1)</f>
        <v>0</v>
      </c>
      <c r="T170" s="242">
        <f>COUNTIFS('تجربه‌گرها'!$B:$B,$A170,'تجربه‌گرها'!$F:$F,T$1)</f>
        <v>0</v>
      </c>
      <c r="U170" s="242"/>
      <c r="V170" s="242"/>
      <c r="W170" s="242"/>
      <c r="X170" s="242"/>
      <c r="Y170" s="242"/>
      <c r="Z170" s="242"/>
      <c r="AA170" s="242"/>
      <c r="AB170" s="242"/>
    </row>
    <row r="171">
      <c r="A171" s="244" t="s">
        <v>1813</v>
      </c>
      <c r="B171" s="245" t="str">
        <f>VLOOKUP(A171,'تجربه‌گرها'!B:C,2,FALSE())</f>
        <v/>
      </c>
      <c r="C171" s="242"/>
      <c r="D171" s="242">
        <f t="shared" si="1"/>
        <v>2</v>
      </c>
      <c r="E171" s="242">
        <f>COUNTIFS('تجربه‌گرها'!$B:$B,$A171,'تجربه‌گرها'!$F:$F,E$1)</f>
        <v>1</v>
      </c>
      <c r="F171" s="242">
        <f>COUNTIFS('تجربه‌گرها'!$B:$B,$A171,'تجربه‌گرها'!$F:$F,F$1)</f>
        <v>0</v>
      </c>
      <c r="G171" s="242">
        <f>COUNTIFS('تجربه‌گرها'!$B:$B,$A171,'تجربه‌گرها'!$F:$F,G$1)</f>
        <v>0</v>
      </c>
      <c r="H171" s="242">
        <f>COUNTIFS('تجربه‌گرها'!$B:$B,$A171,'تجربه‌گرها'!$F:$F,H$1)</f>
        <v>1</v>
      </c>
      <c r="I171" s="242">
        <f>COUNTIFS('تجربه‌گرها'!$B:$B,$A171,'تجربه‌گرها'!$F:$F,I$1)</f>
        <v>0</v>
      </c>
      <c r="J171" s="242">
        <f>COUNTIFS('تجربه‌گرها'!$B:$B,$A171,'تجربه‌گرها'!$F:$F,J$1)</f>
        <v>0</v>
      </c>
      <c r="K171" s="242">
        <f>COUNTIFS('تجربه‌گرها'!$B:$B,$A171,'تجربه‌گرها'!$F:$F,K$1)</f>
        <v>0</v>
      </c>
      <c r="L171" s="242">
        <f>COUNTIFS('تجربه‌گرها'!$B:$B,$A171,'تجربه‌گرها'!$F:$F,L$1)</f>
        <v>0</v>
      </c>
      <c r="M171" s="242">
        <f>COUNTIFS('تجربه‌گرها'!$B:$B,$A171,'تجربه‌گرها'!$F:$F,M$1)</f>
        <v>0</v>
      </c>
      <c r="N171" s="242">
        <f>COUNTIFS('تجربه‌گرها'!$B:$B,$A171,'تجربه‌گرها'!$F:$F,N$1)</f>
        <v>0</v>
      </c>
      <c r="O171" s="242">
        <f>COUNTIFS('تجربه‌گرها'!$B:$B,$A171,'تجربه‌گرها'!$F:$F,O$1)</f>
        <v>0</v>
      </c>
      <c r="P171" s="242">
        <f>COUNTIFS('تجربه‌گرها'!$B:$B,$A171,'تجربه‌گرها'!$F:$F,P$1)</f>
        <v>0</v>
      </c>
      <c r="Q171" s="242">
        <f>COUNTIFS('تجربه‌گرها'!$B:$B,$A171,'تجربه‌گرها'!$F:$F,Q$1)</f>
        <v>0</v>
      </c>
      <c r="R171" s="242">
        <f>COUNTIFS('تجربه‌گرها'!$B:$B,$A171,'تجربه‌گرها'!$F:$F,R$1)</f>
        <v>0</v>
      </c>
      <c r="S171" s="242">
        <f>COUNTIFS('تجربه‌گرها'!$B:$B,$A171,'تجربه‌گرها'!$F:$F,S$1)</f>
        <v>0</v>
      </c>
      <c r="T171" s="242">
        <f>COUNTIFS('تجربه‌گرها'!$B:$B,$A171,'تجربه‌گرها'!$F:$F,T$1)</f>
        <v>0</v>
      </c>
      <c r="U171" s="242"/>
      <c r="V171" s="242"/>
      <c r="W171" s="242"/>
      <c r="X171" s="242"/>
      <c r="Y171" s="242"/>
      <c r="Z171" s="242"/>
      <c r="AA171" s="242"/>
      <c r="AB171" s="242"/>
    </row>
    <row r="172" hidden="1">
      <c r="A172" s="244" t="s">
        <v>1818</v>
      </c>
      <c r="B172" s="245" t="str">
        <f>VLOOKUP(A172,'تجربه‌گرها'!B:C,2,FALSE())</f>
        <v>9394310605</v>
      </c>
      <c r="C172" s="242"/>
      <c r="D172" s="242">
        <f t="shared" si="1"/>
        <v>1</v>
      </c>
      <c r="E172" s="242">
        <f>COUNTIFS('تجربه‌گرها'!$B:$B,$A172,'تجربه‌گرها'!$F:$F,E$1)</f>
        <v>1</v>
      </c>
      <c r="F172" s="242">
        <f>COUNTIFS('تجربه‌گرها'!$B:$B,$A172,'تجربه‌گرها'!$F:$F,F$1)</f>
        <v>0</v>
      </c>
      <c r="G172" s="242">
        <f>COUNTIFS('تجربه‌گرها'!$B:$B,$A172,'تجربه‌گرها'!$F:$F,G$1)</f>
        <v>0</v>
      </c>
      <c r="H172" s="242">
        <f>COUNTIFS('تجربه‌گرها'!$B:$B,$A172,'تجربه‌گرها'!$F:$F,H$1)</f>
        <v>0</v>
      </c>
      <c r="I172" s="242">
        <f>COUNTIFS('تجربه‌گرها'!$B:$B,$A172,'تجربه‌گرها'!$F:$F,I$1)</f>
        <v>0</v>
      </c>
      <c r="J172" s="242">
        <f>COUNTIFS('تجربه‌گرها'!$B:$B,$A172,'تجربه‌گرها'!$F:$F,J$1)</f>
        <v>0</v>
      </c>
      <c r="K172" s="242">
        <f>COUNTIFS('تجربه‌گرها'!$B:$B,$A172,'تجربه‌گرها'!$F:$F,K$1)</f>
        <v>0</v>
      </c>
      <c r="L172" s="242">
        <f>COUNTIFS('تجربه‌گرها'!$B:$B,$A172,'تجربه‌گرها'!$F:$F,L$1)</f>
        <v>0</v>
      </c>
      <c r="M172" s="242">
        <f>COUNTIFS('تجربه‌گرها'!$B:$B,$A172,'تجربه‌گرها'!$F:$F,M$1)</f>
        <v>0</v>
      </c>
      <c r="N172" s="242">
        <f>COUNTIFS('تجربه‌گرها'!$B:$B,$A172,'تجربه‌گرها'!$F:$F,N$1)</f>
        <v>0</v>
      </c>
      <c r="O172" s="242">
        <f>COUNTIFS('تجربه‌گرها'!$B:$B,$A172,'تجربه‌گرها'!$F:$F,O$1)</f>
        <v>0</v>
      </c>
      <c r="P172" s="242">
        <f>COUNTIFS('تجربه‌گرها'!$B:$B,$A172,'تجربه‌گرها'!$F:$F,P$1)</f>
        <v>0</v>
      </c>
      <c r="Q172" s="242">
        <f>COUNTIFS('تجربه‌گرها'!$B:$B,$A172,'تجربه‌گرها'!$F:$F,Q$1)</f>
        <v>0</v>
      </c>
      <c r="R172" s="242">
        <f>COUNTIFS('تجربه‌گرها'!$B:$B,$A172,'تجربه‌گرها'!$F:$F,R$1)</f>
        <v>0</v>
      </c>
      <c r="S172" s="242">
        <f>COUNTIFS('تجربه‌گرها'!$B:$B,$A172,'تجربه‌گرها'!$F:$F,S$1)</f>
        <v>0</v>
      </c>
      <c r="T172" s="242">
        <f>COUNTIFS('تجربه‌گرها'!$B:$B,$A172,'تجربه‌گرها'!$F:$F,T$1)</f>
        <v>0</v>
      </c>
      <c r="U172" s="242"/>
      <c r="V172" s="242"/>
      <c r="W172" s="242"/>
      <c r="X172" s="242"/>
      <c r="Y172" s="242"/>
      <c r="Z172" s="242"/>
      <c r="AA172" s="242"/>
      <c r="AB172" s="242"/>
    </row>
    <row r="173">
      <c r="A173" s="244" t="s">
        <v>1823</v>
      </c>
      <c r="B173" s="245" t="str">
        <f>VLOOKUP(A173,'تجربه‌گرها'!B:C,2,FALSE())</f>
        <v>9122017299</v>
      </c>
      <c r="C173" s="242"/>
      <c r="D173" s="242">
        <f t="shared" si="1"/>
        <v>3</v>
      </c>
      <c r="E173" s="242">
        <f>COUNTIFS('تجربه‌گرها'!$B:$B,$A173,'تجربه‌گرها'!$F:$F,E$1)</f>
        <v>1</v>
      </c>
      <c r="F173" s="242">
        <f>COUNTIFS('تجربه‌گرها'!$B:$B,$A173,'تجربه‌گرها'!$F:$F,F$1)</f>
        <v>0</v>
      </c>
      <c r="G173" s="242">
        <f>COUNTIFS('تجربه‌گرها'!$B:$B,$A173,'تجربه‌گرها'!$F:$F,G$1)</f>
        <v>1</v>
      </c>
      <c r="H173" s="242">
        <f>COUNTIFS('تجربه‌گرها'!$B:$B,$A173,'تجربه‌گرها'!$F:$F,H$1)</f>
        <v>0</v>
      </c>
      <c r="I173" s="242">
        <f>COUNTIFS('تجربه‌گرها'!$B:$B,$A173,'تجربه‌گرها'!$F:$F,I$1)</f>
        <v>0</v>
      </c>
      <c r="J173" s="242">
        <f>COUNTIFS('تجربه‌گرها'!$B:$B,$A173,'تجربه‌گرها'!$F:$F,J$1)</f>
        <v>0</v>
      </c>
      <c r="K173" s="242">
        <f>COUNTIFS('تجربه‌گرها'!$B:$B,$A173,'تجربه‌گرها'!$F:$F,K$1)</f>
        <v>0</v>
      </c>
      <c r="L173" s="242">
        <f>COUNTIFS('تجربه‌گرها'!$B:$B,$A173,'تجربه‌گرها'!$F:$F,L$1)</f>
        <v>0</v>
      </c>
      <c r="M173" s="242">
        <f>COUNTIFS('تجربه‌گرها'!$B:$B,$A173,'تجربه‌گرها'!$F:$F,M$1)</f>
        <v>0</v>
      </c>
      <c r="N173" s="242">
        <f>COUNTIFS('تجربه‌گرها'!$B:$B,$A173,'تجربه‌گرها'!$F:$F,N$1)</f>
        <v>1</v>
      </c>
      <c r="O173" s="242">
        <f>COUNTIFS('تجربه‌گرها'!$B:$B,$A173,'تجربه‌گرها'!$F:$F,O$1)</f>
        <v>0</v>
      </c>
      <c r="P173" s="242">
        <f>COUNTIFS('تجربه‌گرها'!$B:$B,$A173,'تجربه‌گرها'!$F:$F,P$1)</f>
        <v>0</v>
      </c>
      <c r="Q173" s="242">
        <f>COUNTIFS('تجربه‌گرها'!$B:$B,$A173,'تجربه‌گرها'!$F:$F,Q$1)</f>
        <v>0</v>
      </c>
      <c r="R173" s="242">
        <f>COUNTIFS('تجربه‌گرها'!$B:$B,$A173,'تجربه‌گرها'!$F:$F,R$1)</f>
        <v>0</v>
      </c>
      <c r="S173" s="242">
        <f>COUNTIFS('تجربه‌گرها'!$B:$B,$A173,'تجربه‌گرها'!$F:$F,S$1)</f>
        <v>0</v>
      </c>
      <c r="T173" s="242">
        <f>COUNTIFS('تجربه‌گرها'!$B:$B,$A173,'تجربه‌گرها'!$F:$F,T$1)</f>
        <v>0</v>
      </c>
      <c r="U173" s="242"/>
      <c r="V173" s="242"/>
      <c r="W173" s="242"/>
      <c r="X173" s="242"/>
      <c r="Y173" s="242"/>
      <c r="Z173" s="242"/>
      <c r="AA173" s="242"/>
      <c r="AB173" s="242"/>
    </row>
    <row r="174">
      <c r="A174" s="244" t="s">
        <v>1828</v>
      </c>
      <c r="B174" s="245" t="str">
        <f>VLOOKUP(A174,'تجربه‌گرها'!B:C,2,FALSE())</f>
        <v>9122409384</v>
      </c>
      <c r="C174" s="242"/>
      <c r="D174" s="242">
        <f t="shared" si="1"/>
        <v>2</v>
      </c>
      <c r="E174" s="242">
        <f>COUNTIFS('تجربه‌گرها'!$B:$B,$A174,'تجربه‌گرها'!$F:$F,E$1)</f>
        <v>1</v>
      </c>
      <c r="F174" s="242">
        <f>COUNTIFS('تجربه‌گرها'!$B:$B,$A174,'تجربه‌گرها'!$F:$F,F$1)</f>
        <v>1</v>
      </c>
      <c r="G174" s="242">
        <f>COUNTIFS('تجربه‌گرها'!$B:$B,$A174,'تجربه‌گرها'!$F:$F,G$1)</f>
        <v>0</v>
      </c>
      <c r="H174" s="242">
        <f>COUNTIFS('تجربه‌گرها'!$B:$B,$A174,'تجربه‌گرها'!$F:$F,H$1)</f>
        <v>0</v>
      </c>
      <c r="I174" s="242">
        <f>COUNTIFS('تجربه‌گرها'!$B:$B,$A174,'تجربه‌گرها'!$F:$F,I$1)</f>
        <v>0</v>
      </c>
      <c r="J174" s="242">
        <f>COUNTIFS('تجربه‌گرها'!$B:$B,$A174,'تجربه‌گرها'!$F:$F,J$1)</f>
        <v>0</v>
      </c>
      <c r="K174" s="242">
        <f>COUNTIFS('تجربه‌گرها'!$B:$B,$A174,'تجربه‌گرها'!$F:$F,K$1)</f>
        <v>0</v>
      </c>
      <c r="L174" s="242">
        <f>COUNTIFS('تجربه‌گرها'!$B:$B,$A174,'تجربه‌گرها'!$F:$F,L$1)</f>
        <v>0</v>
      </c>
      <c r="M174" s="242">
        <f>COUNTIFS('تجربه‌گرها'!$B:$B,$A174,'تجربه‌گرها'!$F:$F,M$1)</f>
        <v>0</v>
      </c>
      <c r="N174" s="242">
        <f>COUNTIFS('تجربه‌گرها'!$B:$B,$A174,'تجربه‌گرها'!$F:$F,N$1)</f>
        <v>0</v>
      </c>
      <c r="O174" s="242">
        <f>COUNTIFS('تجربه‌گرها'!$B:$B,$A174,'تجربه‌گرها'!$F:$F,O$1)</f>
        <v>0</v>
      </c>
      <c r="P174" s="242">
        <f>COUNTIFS('تجربه‌گرها'!$B:$B,$A174,'تجربه‌گرها'!$F:$F,P$1)</f>
        <v>0</v>
      </c>
      <c r="Q174" s="242">
        <f>COUNTIFS('تجربه‌گرها'!$B:$B,$A174,'تجربه‌گرها'!$F:$F,Q$1)</f>
        <v>0</v>
      </c>
      <c r="R174" s="242">
        <f>COUNTIFS('تجربه‌گرها'!$B:$B,$A174,'تجربه‌گرها'!$F:$F,R$1)</f>
        <v>0</v>
      </c>
      <c r="S174" s="242">
        <f>COUNTIFS('تجربه‌گرها'!$B:$B,$A174,'تجربه‌گرها'!$F:$F,S$1)</f>
        <v>0</v>
      </c>
      <c r="T174" s="242">
        <f>COUNTIFS('تجربه‌گرها'!$B:$B,$A174,'تجربه‌گرها'!$F:$F,T$1)</f>
        <v>0</v>
      </c>
      <c r="U174" s="242"/>
      <c r="V174" s="242"/>
      <c r="W174" s="242"/>
      <c r="X174" s="242"/>
      <c r="Y174" s="242"/>
      <c r="Z174" s="242"/>
      <c r="AA174" s="242"/>
      <c r="AB174" s="242"/>
    </row>
    <row r="175" hidden="1">
      <c r="A175" s="244" t="s">
        <v>1835</v>
      </c>
      <c r="B175" s="245" t="str">
        <f>VLOOKUP(A175,'تجربه‌گرها'!B:C,2,FALSE())</f>
        <v>9133586176</v>
      </c>
      <c r="C175" s="242"/>
      <c r="D175" s="242">
        <f t="shared" si="1"/>
        <v>1</v>
      </c>
      <c r="E175" s="242">
        <f>COUNTIFS('تجربه‌گرها'!$B:$B,$A175,'تجربه‌گرها'!$F:$F,E$1)</f>
        <v>1</v>
      </c>
      <c r="F175" s="242">
        <f>COUNTIFS('تجربه‌گرها'!$B:$B,$A175,'تجربه‌گرها'!$F:$F,F$1)</f>
        <v>0</v>
      </c>
      <c r="G175" s="242">
        <f>COUNTIFS('تجربه‌گرها'!$B:$B,$A175,'تجربه‌گرها'!$F:$F,G$1)</f>
        <v>0</v>
      </c>
      <c r="H175" s="242">
        <f>COUNTIFS('تجربه‌گرها'!$B:$B,$A175,'تجربه‌گرها'!$F:$F,H$1)</f>
        <v>0</v>
      </c>
      <c r="I175" s="242">
        <f>COUNTIFS('تجربه‌گرها'!$B:$B,$A175,'تجربه‌گرها'!$F:$F,I$1)</f>
        <v>0</v>
      </c>
      <c r="J175" s="242">
        <f>COUNTIFS('تجربه‌گرها'!$B:$B,$A175,'تجربه‌گرها'!$F:$F,J$1)</f>
        <v>0</v>
      </c>
      <c r="K175" s="242">
        <f>COUNTIFS('تجربه‌گرها'!$B:$B,$A175,'تجربه‌گرها'!$F:$F,K$1)</f>
        <v>0</v>
      </c>
      <c r="L175" s="242">
        <f>COUNTIFS('تجربه‌گرها'!$B:$B,$A175,'تجربه‌گرها'!$F:$F,L$1)</f>
        <v>0</v>
      </c>
      <c r="M175" s="242">
        <f>COUNTIFS('تجربه‌گرها'!$B:$B,$A175,'تجربه‌گرها'!$F:$F,M$1)</f>
        <v>0</v>
      </c>
      <c r="N175" s="242">
        <f>COUNTIFS('تجربه‌گرها'!$B:$B,$A175,'تجربه‌گرها'!$F:$F,N$1)</f>
        <v>0</v>
      </c>
      <c r="O175" s="242">
        <f>COUNTIFS('تجربه‌گرها'!$B:$B,$A175,'تجربه‌گرها'!$F:$F,O$1)</f>
        <v>0</v>
      </c>
      <c r="P175" s="242">
        <f>COUNTIFS('تجربه‌گرها'!$B:$B,$A175,'تجربه‌گرها'!$F:$F,P$1)</f>
        <v>0</v>
      </c>
      <c r="Q175" s="242">
        <f>COUNTIFS('تجربه‌گرها'!$B:$B,$A175,'تجربه‌گرها'!$F:$F,Q$1)</f>
        <v>0</v>
      </c>
      <c r="R175" s="242">
        <f>COUNTIFS('تجربه‌گرها'!$B:$B,$A175,'تجربه‌گرها'!$F:$F,R$1)</f>
        <v>0</v>
      </c>
      <c r="S175" s="242">
        <f>COUNTIFS('تجربه‌گرها'!$B:$B,$A175,'تجربه‌گرها'!$F:$F,S$1)</f>
        <v>0</v>
      </c>
      <c r="T175" s="242">
        <f>COUNTIFS('تجربه‌گرها'!$B:$B,$A175,'تجربه‌گرها'!$F:$F,T$1)</f>
        <v>0</v>
      </c>
      <c r="U175" s="242"/>
      <c r="V175" s="242"/>
      <c r="W175" s="242"/>
      <c r="X175" s="242"/>
      <c r="Y175" s="242"/>
      <c r="Z175" s="242"/>
      <c r="AA175" s="242"/>
      <c r="AB175" s="242"/>
    </row>
    <row r="176" hidden="1">
      <c r="A176" s="244" t="s">
        <v>1840</v>
      </c>
      <c r="B176" s="245" t="str">
        <f>VLOOKUP(A176,'تجربه‌گرها'!B:C,2,FALSE())</f>
        <v/>
      </c>
      <c r="C176" s="242"/>
      <c r="D176" s="242">
        <f t="shared" si="1"/>
        <v>1</v>
      </c>
      <c r="E176" s="242">
        <f>COUNTIFS('تجربه‌گرها'!$B:$B,$A176,'تجربه‌گرها'!$F:$F,E$1)</f>
        <v>1</v>
      </c>
      <c r="F176" s="242">
        <f>COUNTIFS('تجربه‌گرها'!$B:$B,$A176,'تجربه‌گرها'!$F:$F,F$1)</f>
        <v>0</v>
      </c>
      <c r="G176" s="242">
        <f>COUNTIFS('تجربه‌گرها'!$B:$B,$A176,'تجربه‌گرها'!$F:$F,G$1)</f>
        <v>0</v>
      </c>
      <c r="H176" s="242">
        <f>COUNTIFS('تجربه‌گرها'!$B:$B,$A176,'تجربه‌گرها'!$F:$F,H$1)</f>
        <v>0</v>
      </c>
      <c r="I176" s="242">
        <f>COUNTIFS('تجربه‌گرها'!$B:$B,$A176,'تجربه‌گرها'!$F:$F,I$1)</f>
        <v>0</v>
      </c>
      <c r="J176" s="242">
        <f>COUNTIFS('تجربه‌گرها'!$B:$B,$A176,'تجربه‌گرها'!$F:$F,J$1)</f>
        <v>0</v>
      </c>
      <c r="K176" s="242">
        <f>COUNTIFS('تجربه‌گرها'!$B:$B,$A176,'تجربه‌گرها'!$F:$F,K$1)</f>
        <v>0</v>
      </c>
      <c r="L176" s="242">
        <f>COUNTIFS('تجربه‌گرها'!$B:$B,$A176,'تجربه‌گرها'!$F:$F,L$1)</f>
        <v>0</v>
      </c>
      <c r="M176" s="242">
        <f>COUNTIFS('تجربه‌گرها'!$B:$B,$A176,'تجربه‌گرها'!$F:$F,M$1)</f>
        <v>0</v>
      </c>
      <c r="N176" s="242">
        <f>COUNTIFS('تجربه‌گرها'!$B:$B,$A176,'تجربه‌گرها'!$F:$F,N$1)</f>
        <v>0</v>
      </c>
      <c r="O176" s="242">
        <f>COUNTIFS('تجربه‌گرها'!$B:$B,$A176,'تجربه‌گرها'!$F:$F,O$1)</f>
        <v>0</v>
      </c>
      <c r="P176" s="242">
        <f>COUNTIFS('تجربه‌گرها'!$B:$B,$A176,'تجربه‌گرها'!$F:$F,P$1)</f>
        <v>0</v>
      </c>
      <c r="Q176" s="242">
        <f>COUNTIFS('تجربه‌گرها'!$B:$B,$A176,'تجربه‌گرها'!$F:$F,Q$1)</f>
        <v>0</v>
      </c>
      <c r="R176" s="242">
        <f>COUNTIFS('تجربه‌گرها'!$B:$B,$A176,'تجربه‌گرها'!$F:$F,R$1)</f>
        <v>0</v>
      </c>
      <c r="S176" s="242">
        <f>COUNTIFS('تجربه‌گرها'!$B:$B,$A176,'تجربه‌گرها'!$F:$F,S$1)</f>
        <v>0</v>
      </c>
      <c r="T176" s="242">
        <f>COUNTIFS('تجربه‌گرها'!$B:$B,$A176,'تجربه‌گرها'!$F:$F,T$1)</f>
        <v>0</v>
      </c>
      <c r="U176" s="242"/>
      <c r="V176" s="242"/>
      <c r="W176" s="242"/>
      <c r="X176" s="242"/>
      <c r="Y176" s="242"/>
      <c r="Z176" s="242"/>
      <c r="AA176" s="242"/>
      <c r="AB176" s="242"/>
    </row>
    <row r="177" hidden="1">
      <c r="A177" s="244" t="s">
        <v>1845</v>
      </c>
      <c r="B177" s="245" t="str">
        <f>VLOOKUP(A177,'تجربه‌گرها'!B:C,2,FALSE())</f>
        <v>9123078248</v>
      </c>
      <c r="C177" s="242"/>
      <c r="D177" s="242">
        <f t="shared" si="1"/>
        <v>1</v>
      </c>
      <c r="E177" s="242">
        <f>COUNTIFS('تجربه‌گرها'!$B:$B,$A177,'تجربه‌گرها'!$F:$F,E$1)</f>
        <v>1</v>
      </c>
      <c r="F177" s="242">
        <f>COUNTIFS('تجربه‌گرها'!$B:$B,$A177,'تجربه‌گرها'!$F:$F,F$1)</f>
        <v>0</v>
      </c>
      <c r="G177" s="242">
        <f>COUNTIFS('تجربه‌گرها'!$B:$B,$A177,'تجربه‌گرها'!$F:$F,G$1)</f>
        <v>0</v>
      </c>
      <c r="H177" s="242">
        <f>COUNTIFS('تجربه‌گرها'!$B:$B,$A177,'تجربه‌گرها'!$F:$F,H$1)</f>
        <v>0</v>
      </c>
      <c r="I177" s="242">
        <f>COUNTIFS('تجربه‌گرها'!$B:$B,$A177,'تجربه‌گرها'!$F:$F,I$1)</f>
        <v>0</v>
      </c>
      <c r="J177" s="242">
        <f>COUNTIFS('تجربه‌گرها'!$B:$B,$A177,'تجربه‌گرها'!$F:$F,J$1)</f>
        <v>0</v>
      </c>
      <c r="K177" s="242">
        <f>COUNTIFS('تجربه‌گرها'!$B:$B,$A177,'تجربه‌گرها'!$F:$F,K$1)</f>
        <v>0</v>
      </c>
      <c r="L177" s="242">
        <f>COUNTIFS('تجربه‌گرها'!$B:$B,$A177,'تجربه‌گرها'!$F:$F,L$1)</f>
        <v>0</v>
      </c>
      <c r="M177" s="242">
        <f>COUNTIFS('تجربه‌گرها'!$B:$B,$A177,'تجربه‌گرها'!$F:$F,M$1)</f>
        <v>0</v>
      </c>
      <c r="N177" s="242">
        <f>COUNTIFS('تجربه‌گرها'!$B:$B,$A177,'تجربه‌گرها'!$F:$F,N$1)</f>
        <v>0</v>
      </c>
      <c r="O177" s="242">
        <f>COUNTIFS('تجربه‌گرها'!$B:$B,$A177,'تجربه‌گرها'!$F:$F,O$1)</f>
        <v>0</v>
      </c>
      <c r="P177" s="242">
        <f>COUNTIFS('تجربه‌گرها'!$B:$B,$A177,'تجربه‌گرها'!$F:$F,P$1)</f>
        <v>0</v>
      </c>
      <c r="Q177" s="242">
        <f>COUNTIFS('تجربه‌گرها'!$B:$B,$A177,'تجربه‌گرها'!$F:$F,Q$1)</f>
        <v>0</v>
      </c>
      <c r="R177" s="242">
        <f>COUNTIFS('تجربه‌گرها'!$B:$B,$A177,'تجربه‌گرها'!$F:$F,R$1)</f>
        <v>0</v>
      </c>
      <c r="S177" s="242">
        <f>COUNTIFS('تجربه‌گرها'!$B:$B,$A177,'تجربه‌گرها'!$F:$F,S$1)</f>
        <v>0</v>
      </c>
      <c r="T177" s="242">
        <f>COUNTIFS('تجربه‌گرها'!$B:$B,$A177,'تجربه‌گرها'!$F:$F,T$1)</f>
        <v>0</v>
      </c>
      <c r="U177" s="242"/>
      <c r="V177" s="242"/>
      <c r="W177" s="242"/>
      <c r="X177" s="242"/>
      <c r="Y177" s="242"/>
      <c r="Z177" s="242"/>
      <c r="AA177" s="242"/>
      <c r="AB177" s="242"/>
    </row>
    <row r="178" hidden="1">
      <c r="A178" s="244" t="s">
        <v>1849</v>
      </c>
      <c r="B178" s="245" t="str">
        <f>VLOOKUP(A178,'تجربه‌گرها'!B:C,2,FALSE())</f>
        <v/>
      </c>
      <c r="C178" s="242"/>
      <c r="D178" s="242">
        <f t="shared" si="1"/>
        <v>1</v>
      </c>
      <c r="E178" s="242">
        <f>COUNTIFS('تجربه‌گرها'!$B:$B,$A178,'تجربه‌گرها'!$F:$F,E$1)</f>
        <v>1</v>
      </c>
      <c r="F178" s="242">
        <f>COUNTIFS('تجربه‌گرها'!$B:$B,$A178,'تجربه‌گرها'!$F:$F,F$1)</f>
        <v>0</v>
      </c>
      <c r="G178" s="242">
        <f>COUNTIFS('تجربه‌گرها'!$B:$B,$A178,'تجربه‌گرها'!$F:$F,G$1)</f>
        <v>0</v>
      </c>
      <c r="H178" s="242">
        <f>COUNTIFS('تجربه‌گرها'!$B:$B,$A178,'تجربه‌گرها'!$F:$F,H$1)</f>
        <v>0</v>
      </c>
      <c r="I178" s="242">
        <f>COUNTIFS('تجربه‌گرها'!$B:$B,$A178,'تجربه‌گرها'!$F:$F,I$1)</f>
        <v>0</v>
      </c>
      <c r="J178" s="242">
        <f>COUNTIFS('تجربه‌گرها'!$B:$B,$A178,'تجربه‌گرها'!$F:$F,J$1)</f>
        <v>0</v>
      </c>
      <c r="K178" s="242">
        <f>COUNTIFS('تجربه‌گرها'!$B:$B,$A178,'تجربه‌گرها'!$F:$F,K$1)</f>
        <v>0</v>
      </c>
      <c r="L178" s="242">
        <f>COUNTIFS('تجربه‌گرها'!$B:$B,$A178,'تجربه‌گرها'!$F:$F,L$1)</f>
        <v>0</v>
      </c>
      <c r="M178" s="242">
        <f>COUNTIFS('تجربه‌گرها'!$B:$B,$A178,'تجربه‌گرها'!$F:$F,M$1)</f>
        <v>0</v>
      </c>
      <c r="N178" s="242">
        <f>COUNTIFS('تجربه‌گرها'!$B:$B,$A178,'تجربه‌گرها'!$F:$F,N$1)</f>
        <v>0</v>
      </c>
      <c r="O178" s="242">
        <f>COUNTIFS('تجربه‌گرها'!$B:$B,$A178,'تجربه‌گرها'!$F:$F,O$1)</f>
        <v>0</v>
      </c>
      <c r="P178" s="242">
        <f>COUNTIFS('تجربه‌گرها'!$B:$B,$A178,'تجربه‌گرها'!$F:$F,P$1)</f>
        <v>0</v>
      </c>
      <c r="Q178" s="242">
        <f>COUNTIFS('تجربه‌گرها'!$B:$B,$A178,'تجربه‌گرها'!$F:$F,Q$1)</f>
        <v>0</v>
      </c>
      <c r="R178" s="242">
        <f>COUNTIFS('تجربه‌گرها'!$B:$B,$A178,'تجربه‌گرها'!$F:$F,R$1)</f>
        <v>0</v>
      </c>
      <c r="S178" s="242">
        <f>COUNTIFS('تجربه‌گرها'!$B:$B,$A178,'تجربه‌گرها'!$F:$F,S$1)</f>
        <v>0</v>
      </c>
      <c r="T178" s="242">
        <f>COUNTIFS('تجربه‌گرها'!$B:$B,$A178,'تجربه‌گرها'!$F:$F,T$1)</f>
        <v>0</v>
      </c>
      <c r="U178" s="242"/>
      <c r="V178" s="242"/>
      <c r="W178" s="242"/>
      <c r="X178" s="242"/>
      <c r="Y178" s="242"/>
      <c r="Z178" s="242"/>
      <c r="AA178" s="242"/>
      <c r="AB178" s="242"/>
    </row>
    <row r="179">
      <c r="A179" s="244" t="s">
        <v>1853</v>
      </c>
      <c r="B179" s="245" t="str">
        <f>VLOOKUP(A179,'تجربه‌گرها'!B:C,2,FALSE())</f>
        <v/>
      </c>
      <c r="C179" s="242"/>
      <c r="D179" s="242">
        <f t="shared" si="1"/>
        <v>2</v>
      </c>
      <c r="E179" s="242">
        <f>COUNTIFS('تجربه‌گرها'!$B:$B,$A179,'تجربه‌گرها'!$F:$F,E$1)</f>
        <v>1</v>
      </c>
      <c r="F179" s="242">
        <f>COUNTIFS('تجربه‌گرها'!$B:$B,$A179,'تجربه‌گرها'!$F:$F,F$1)</f>
        <v>1</v>
      </c>
      <c r="G179" s="242">
        <f>COUNTIFS('تجربه‌گرها'!$B:$B,$A179,'تجربه‌گرها'!$F:$F,G$1)</f>
        <v>0</v>
      </c>
      <c r="H179" s="242">
        <f>COUNTIFS('تجربه‌گرها'!$B:$B,$A179,'تجربه‌گرها'!$F:$F,H$1)</f>
        <v>0</v>
      </c>
      <c r="I179" s="242">
        <f>COUNTIFS('تجربه‌گرها'!$B:$B,$A179,'تجربه‌گرها'!$F:$F,I$1)</f>
        <v>0</v>
      </c>
      <c r="J179" s="242">
        <f>COUNTIFS('تجربه‌گرها'!$B:$B,$A179,'تجربه‌گرها'!$F:$F,J$1)</f>
        <v>0</v>
      </c>
      <c r="K179" s="242">
        <f>COUNTIFS('تجربه‌گرها'!$B:$B,$A179,'تجربه‌گرها'!$F:$F,K$1)</f>
        <v>0</v>
      </c>
      <c r="L179" s="242">
        <f>COUNTIFS('تجربه‌گرها'!$B:$B,$A179,'تجربه‌گرها'!$F:$F,L$1)</f>
        <v>0</v>
      </c>
      <c r="M179" s="242">
        <f>COUNTIFS('تجربه‌گرها'!$B:$B,$A179,'تجربه‌گرها'!$F:$F,M$1)</f>
        <v>0</v>
      </c>
      <c r="N179" s="242">
        <f>COUNTIFS('تجربه‌گرها'!$B:$B,$A179,'تجربه‌گرها'!$F:$F,N$1)</f>
        <v>0</v>
      </c>
      <c r="O179" s="242">
        <f>COUNTIFS('تجربه‌گرها'!$B:$B,$A179,'تجربه‌گرها'!$F:$F,O$1)</f>
        <v>0</v>
      </c>
      <c r="P179" s="242">
        <f>COUNTIFS('تجربه‌گرها'!$B:$B,$A179,'تجربه‌گرها'!$F:$F,P$1)</f>
        <v>0</v>
      </c>
      <c r="Q179" s="242">
        <f>COUNTIFS('تجربه‌گرها'!$B:$B,$A179,'تجربه‌گرها'!$F:$F,Q$1)</f>
        <v>0</v>
      </c>
      <c r="R179" s="242">
        <f>COUNTIFS('تجربه‌گرها'!$B:$B,$A179,'تجربه‌گرها'!$F:$F,R$1)</f>
        <v>0</v>
      </c>
      <c r="S179" s="242">
        <f>COUNTIFS('تجربه‌گرها'!$B:$B,$A179,'تجربه‌گرها'!$F:$F,S$1)</f>
        <v>0</v>
      </c>
      <c r="T179" s="242">
        <f>COUNTIFS('تجربه‌گرها'!$B:$B,$A179,'تجربه‌گرها'!$F:$F,T$1)</f>
        <v>0</v>
      </c>
      <c r="U179" s="242"/>
      <c r="V179" s="242"/>
      <c r="W179" s="242"/>
      <c r="X179" s="242"/>
      <c r="Y179" s="242"/>
      <c r="Z179" s="242"/>
      <c r="AA179" s="242"/>
      <c r="AB179" s="242"/>
    </row>
    <row r="180" hidden="1">
      <c r="A180" s="244" t="s">
        <v>1856</v>
      </c>
      <c r="B180" s="245" t="str">
        <f>VLOOKUP(A180,'تجربه‌گرها'!B:C,2,FALSE())</f>
        <v/>
      </c>
      <c r="C180" s="242"/>
      <c r="D180" s="242">
        <f t="shared" si="1"/>
        <v>1</v>
      </c>
      <c r="E180" s="242">
        <f>COUNTIFS('تجربه‌گرها'!$B:$B,$A180,'تجربه‌گرها'!$F:$F,E$1)</f>
        <v>1</v>
      </c>
      <c r="F180" s="242">
        <f>COUNTIFS('تجربه‌گرها'!$B:$B,$A180,'تجربه‌گرها'!$F:$F,F$1)</f>
        <v>0</v>
      </c>
      <c r="G180" s="242">
        <f>COUNTIFS('تجربه‌گرها'!$B:$B,$A180,'تجربه‌گرها'!$F:$F,G$1)</f>
        <v>0</v>
      </c>
      <c r="H180" s="242">
        <f>COUNTIFS('تجربه‌گرها'!$B:$B,$A180,'تجربه‌گرها'!$F:$F,H$1)</f>
        <v>0</v>
      </c>
      <c r="I180" s="242">
        <f>COUNTIFS('تجربه‌گرها'!$B:$B,$A180,'تجربه‌گرها'!$F:$F,I$1)</f>
        <v>0</v>
      </c>
      <c r="J180" s="242">
        <f>COUNTIFS('تجربه‌گرها'!$B:$B,$A180,'تجربه‌گرها'!$F:$F,J$1)</f>
        <v>0</v>
      </c>
      <c r="K180" s="242">
        <f>COUNTIFS('تجربه‌گرها'!$B:$B,$A180,'تجربه‌گرها'!$F:$F,K$1)</f>
        <v>0</v>
      </c>
      <c r="L180" s="242">
        <f>COUNTIFS('تجربه‌گرها'!$B:$B,$A180,'تجربه‌گرها'!$F:$F,L$1)</f>
        <v>0</v>
      </c>
      <c r="M180" s="242">
        <f>COUNTIFS('تجربه‌گرها'!$B:$B,$A180,'تجربه‌گرها'!$F:$F,M$1)</f>
        <v>0</v>
      </c>
      <c r="N180" s="242">
        <f>COUNTIFS('تجربه‌گرها'!$B:$B,$A180,'تجربه‌گرها'!$F:$F,N$1)</f>
        <v>0</v>
      </c>
      <c r="O180" s="242">
        <f>COUNTIFS('تجربه‌گرها'!$B:$B,$A180,'تجربه‌گرها'!$F:$F,O$1)</f>
        <v>0</v>
      </c>
      <c r="P180" s="242">
        <f>COUNTIFS('تجربه‌گرها'!$B:$B,$A180,'تجربه‌گرها'!$F:$F,P$1)</f>
        <v>0</v>
      </c>
      <c r="Q180" s="242">
        <f>COUNTIFS('تجربه‌گرها'!$B:$B,$A180,'تجربه‌گرها'!$F:$F,Q$1)</f>
        <v>0</v>
      </c>
      <c r="R180" s="242">
        <f>COUNTIFS('تجربه‌گرها'!$B:$B,$A180,'تجربه‌گرها'!$F:$F,R$1)</f>
        <v>0</v>
      </c>
      <c r="S180" s="242">
        <f>COUNTIFS('تجربه‌گرها'!$B:$B,$A180,'تجربه‌گرها'!$F:$F,S$1)</f>
        <v>0</v>
      </c>
      <c r="T180" s="242">
        <f>COUNTIFS('تجربه‌گرها'!$B:$B,$A180,'تجربه‌گرها'!$F:$F,T$1)</f>
        <v>0</v>
      </c>
      <c r="U180" s="242"/>
      <c r="V180" s="242"/>
      <c r="W180" s="242"/>
      <c r="X180" s="242"/>
      <c r="Y180" s="242"/>
      <c r="Z180" s="242"/>
      <c r="AA180" s="242"/>
      <c r="AB180" s="242"/>
    </row>
    <row r="181" hidden="1">
      <c r="A181" s="244" t="s">
        <v>1858</v>
      </c>
      <c r="B181" s="245" t="str">
        <f>VLOOKUP(A181,'تجربه‌گرها'!B:C,2,FALSE())</f>
        <v/>
      </c>
      <c r="C181" s="242"/>
      <c r="D181" s="242">
        <f t="shared" si="1"/>
        <v>1</v>
      </c>
      <c r="E181" s="242">
        <f>COUNTIFS('تجربه‌گرها'!$B:$B,$A181,'تجربه‌گرها'!$F:$F,E$1)</f>
        <v>1</v>
      </c>
      <c r="F181" s="242">
        <f>COUNTIFS('تجربه‌گرها'!$B:$B,$A181,'تجربه‌گرها'!$F:$F,F$1)</f>
        <v>0</v>
      </c>
      <c r="G181" s="242">
        <f>COUNTIFS('تجربه‌گرها'!$B:$B,$A181,'تجربه‌گرها'!$F:$F,G$1)</f>
        <v>0</v>
      </c>
      <c r="H181" s="242">
        <f>COUNTIFS('تجربه‌گرها'!$B:$B,$A181,'تجربه‌گرها'!$F:$F,H$1)</f>
        <v>0</v>
      </c>
      <c r="I181" s="242">
        <f>COUNTIFS('تجربه‌گرها'!$B:$B,$A181,'تجربه‌گرها'!$F:$F,I$1)</f>
        <v>0</v>
      </c>
      <c r="J181" s="242">
        <f>COUNTIFS('تجربه‌گرها'!$B:$B,$A181,'تجربه‌گرها'!$F:$F,J$1)</f>
        <v>0</v>
      </c>
      <c r="K181" s="242">
        <f>COUNTIFS('تجربه‌گرها'!$B:$B,$A181,'تجربه‌گرها'!$F:$F,K$1)</f>
        <v>0</v>
      </c>
      <c r="L181" s="242">
        <f>COUNTIFS('تجربه‌گرها'!$B:$B,$A181,'تجربه‌گرها'!$F:$F,L$1)</f>
        <v>0</v>
      </c>
      <c r="M181" s="242">
        <f>COUNTIFS('تجربه‌گرها'!$B:$B,$A181,'تجربه‌گرها'!$F:$F,M$1)</f>
        <v>0</v>
      </c>
      <c r="N181" s="242">
        <f>COUNTIFS('تجربه‌گرها'!$B:$B,$A181,'تجربه‌گرها'!$F:$F,N$1)</f>
        <v>0</v>
      </c>
      <c r="O181" s="242">
        <f>COUNTIFS('تجربه‌گرها'!$B:$B,$A181,'تجربه‌گرها'!$F:$F,O$1)</f>
        <v>0</v>
      </c>
      <c r="P181" s="242">
        <f>COUNTIFS('تجربه‌گرها'!$B:$B,$A181,'تجربه‌گرها'!$F:$F,P$1)</f>
        <v>0</v>
      </c>
      <c r="Q181" s="242">
        <f>COUNTIFS('تجربه‌گرها'!$B:$B,$A181,'تجربه‌گرها'!$F:$F,Q$1)</f>
        <v>0</v>
      </c>
      <c r="R181" s="242">
        <f>COUNTIFS('تجربه‌گرها'!$B:$B,$A181,'تجربه‌گرها'!$F:$F,R$1)</f>
        <v>0</v>
      </c>
      <c r="S181" s="242">
        <f>COUNTIFS('تجربه‌گرها'!$B:$B,$A181,'تجربه‌گرها'!$F:$F,S$1)</f>
        <v>0</v>
      </c>
      <c r="T181" s="242">
        <f>COUNTIFS('تجربه‌گرها'!$B:$B,$A181,'تجربه‌گرها'!$F:$F,T$1)</f>
        <v>0</v>
      </c>
      <c r="U181" s="242"/>
      <c r="V181" s="242"/>
      <c r="W181" s="242"/>
      <c r="X181" s="242"/>
      <c r="Y181" s="242"/>
      <c r="Z181" s="242"/>
      <c r="AA181" s="242"/>
      <c r="AB181" s="242"/>
    </row>
    <row r="182" hidden="1">
      <c r="A182" s="244" t="s">
        <v>1861</v>
      </c>
      <c r="B182" s="245" t="str">
        <f>VLOOKUP(A182,'تجربه‌گرها'!B:C,2,FALSE())</f>
        <v/>
      </c>
      <c r="C182" s="242"/>
      <c r="D182" s="242">
        <f t="shared" si="1"/>
        <v>1</v>
      </c>
      <c r="E182" s="242">
        <f>COUNTIFS('تجربه‌گرها'!$B:$B,$A182,'تجربه‌گرها'!$F:$F,E$1)</f>
        <v>1</v>
      </c>
      <c r="F182" s="242">
        <f>COUNTIFS('تجربه‌گرها'!$B:$B,$A182,'تجربه‌گرها'!$F:$F,F$1)</f>
        <v>0</v>
      </c>
      <c r="G182" s="242">
        <f>COUNTIFS('تجربه‌گرها'!$B:$B,$A182,'تجربه‌گرها'!$F:$F,G$1)</f>
        <v>0</v>
      </c>
      <c r="H182" s="242">
        <f>COUNTIFS('تجربه‌گرها'!$B:$B,$A182,'تجربه‌گرها'!$F:$F,H$1)</f>
        <v>0</v>
      </c>
      <c r="I182" s="242">
        <f>COUNTIFS('تجربه‌گرها'!$B:$B,$A182,'تجربه‌گرها'!$F:$F,I$1)</f>
        <v>0</v>
      </c>
      <c r="J182" s="242">
        <f>COUNTIFS('تجربه‌گرها'!$B:$B,$A182,'تجربه‌گرها'!$F:$F,J$1)</f>
        <v>0</v>
      </c>
      <c r="K182" s="242">
        <f>COUNTIFS('تجربه‌گرها'!$B:$B,$A182,'تجربه‌گرها'!$F:$F,K$1)</f>
        <v>0</v>
      </c>
      <c r="L182" s="242">
        <f>COUNTIFS('تجربه‌گرها'!$B:$B,$A182,'تجربه‌گرها'!$F:$F,L$1)</f>
        <v>0</v>
      </c>
      <c r="M182" s="242">
        <f>COUNTIFS('تجربه‌گرها'!$B:$B,$A182,'تجربه‌گرها'!$F:$F,M$1)</f>
        <v>0</v>
      </c>
      <c r="N182" s="242">
        <f>COUNTIFS('تجربه‌گرها'!$B:$B,$A182,'تجربه‌گرها'!$F:$F,N$1)</f>
        <v>0</v>
      </c>
      <c r="O182" s="242">
        <f>COUNTIFS('تجربه‌گرها'!$B:$B,$A182,'تجربه‌گرها'!$F:$F,O$1)</f>
        <v>0</v>
      </c>
      <c r="P182" s="242">
        <f>COUNTIFS('تجربه‌گرها'!$B:$B,$A182,'تجربه‌گرها'!$F:$F,P$1)</f>
        <v>0</v>
      </c>
      <c r="Q182" s="242">
        <f>COUNTIFS('تجربه‌گرها'!$B:$B,$A182,'تجربه‌گرها'!$F:$F,Q$1)</f>
        <v>0</v>
      </c>
      <c r="R182" s="242">
        <f>COUNTIFS('تجربه‌گرها'!$B:$B,$A182,'تجربه‌گرها'!$F:$F,R$1)</f>
        <v>0</v>
      </c>
      <c r="S182" s="242">
        <f>COUNTIFS('تجربه‌گرها'!$B:$B,$A182,'تجربه‌گرها'!$F:$F,S$1)</f>
        <v>0</v>
      </c>
      <c r="T182" s="242">
        <f>COUNTIFS('تجربه‌گرها'!$B:$B,$A182,'تجربه‌گرها'!$F:$F,T$1)</f>
        <v>0</v>
      </c>
      <c r="U182" s="242"/>
      <c r="V182" s="242"/>
      <c r="W182" s="242"/>
      <c r="X182" s="242"/>
      <c r="Y182" s="242"/>
      <c r="Z182" s="242"/>
      <c r="AA182" s="242"/>
      <c r="AB182" s="242"/>
    </row>
    <row r="183" hidden="1">
      <c r="A183" s="244" t="s">
        <v>1866</v>
      </c>
      <c r="B183" s="245" t="str">
        <f>VLOOKUP(A183,'تجربه‌گرها'!B:C,2,FALSE())</f>
        <v/>
      </c>
      <c r="C183" s="242"/>
      <c r="D183" s="242">
        <f t="shared" si="1"/>
        <v>1</v>
      </c>
      <c r="E183" s="242">
        <f>COUNTIFS('تجربه‌گرها'!$B:$B,$A183,'تجربه‌گرها'!$F:$F,E$1)</f>
        <v>1</v>
      </c>
      <c r="F183" s="242">
        <f>COUNTIFS('تجربه‌گرها'!$B:$B,$A183,'تجربه‌گرها'!$F:$F,F$1)</f>
        <v>0</v>
      </c>
      <c r="G183" s="242">
        <f>COUNTIFS('تجربه‌گرها'!$B:$B,$A183,'تجربه‌گرها'!$F:$F,G$1)</f>
        <v>0</v>
      </c>
      <c r="H183" s="242">
        <f>COUNTIFS('تجربه‌گرها'!$B:$B,$A183,'تجربه‌گرها'!$F:$F,H$1)</f>
        <v>0</v>
      </c>
      <c r="I183" s="242">
        <f>COUNTIFS('تجربه‌گرها'!$B:$B,$A183,'تجربه‌گرها'!$F:$F,I$1)</f>
        <v>0</v>
      </c>
      <c r="J183" s="242">
        <f>COUNTIFS('تجربه‌گرها'!$B:$B,$A183,'تجربه‌گرها'!$F:$F,J$1)</f>
        <v>0</v>
      </c>
      <c r="K183" s="242">
        <f>COUNTIFS('تجربه‌گرها'!$B:$B,$A183,'تجربه‌گرها'!$F:$F,K$1)</f>
        <v>0</v>
      </c>
      <c r="L183" s="242">
        <f>COUNTIFS('تجربه‌گرها'!$B:$B,$A183,'تجربه‌گرها'!$F:$F,L$1)</f>
        <v>0</v>
      </c>
      <c r="M183" s="242">
        <f>COUNTIFS('تجربه‌گرها'!$B:$B,$A183,'تجربه‌گرها'!$F:$F,M$1)</f>
        <v>0</v>
      </c>
      <c r="N183" s="242">
        <f>COUNTIFS('تجربه‌گرها'!$B:$B,$A183,'تجربه‌گرها'!$F:$F,N$1)</f>
        <v>0</v>
      </c>
      <c r="O183" s="242">
        <f>COUNTIFS('تجربه‌گرها'!$B:$B,$A183,'تجربه‌گرها'!$F:$F,O$1)</f>
        <v>0</v>
      </c>
      <c r="P183" s="242">
        <f>COUNTIFS('تجربه‌گرها'!$B:$B,$A183,'تجربه‌گرها'!$F:$F,P$1)</f>
        <v>0</v>
      </c>
      <c r="Q183" s="242">
        <f>COUNTIFS('تجربه‌گرها'!$B:$B,$A183,'تجربه‌گرها'!$F:$F,Q$1)</f>
        <v>0</v>
      </c>
      <c r="R183" s="242">
        <f>COUNTIFS('تجربه‌گرها'!$B:$B,$A183,'تجربه‌گرها'!$F:$F,R$1)</f>
        <v>0</v>
      </c>
      <c r="S183" s="242">
        <f>COUNTIFS('تجربه‌گرها'!$B:$B,$A183,'تجربه‌گرها'!$F:$F,S$1)</f>
        <v>0</v>
      </c>
      <c r="T183" s="242">
        <f>COUNTIFS('تجربه‌گرها'!$B:$B,$A183,'تجربه‌گرها'!$F:$F,T$1)</f>
        <v>0</v>
      </c>
      <c r="U183" s="242"/>
      <c r="V183" s="242"/>
      <c r="W183" s="242"/>
      <c r="X183" s="242"/>
      <c r="Y183" s="242"/>
      <c r="Z183" s="242"/>
      <c r="AA183" s="242"/>
      <c r="AB183" s="242"/>
    </row>
    <row r="184" hidden="1">
      <c r="A184" s="244" t="s">
        <v>1872</v>
      </c>
      <c r="B184" s="245" t="str">
        <f>VLOOKUP(A184,'تجربه‌گرها'!B:C,2,FALSE())</f>
        <v>9188787615</v>
      </c>
      <c r="C184" s="242"/>
      <c r="D184" s="242">
        <f t="shared" si="1"/>
        <v>1</v>
      </c>
      <c r="E184" s="242">
        <f>COUNTIFS('تجربه‌گرها'!$B:$B,$A184,'تجربه‌گرها'!$F:$F,E$1)</f>
        <v>0</v>
      </c>
      <c r="F184" s="242">
        <f>COUNTIFS('تجربه‌گرها'!$B:$B,$A184,'تجربه‌گرها'!$F:$F,F$1)</f>
        <v>1</v>
      </c>
      <c r="G184" s="242">
        <f>COUNTIFS('تجربه‌گرها'!$B:$B,$A184,'تجربه‌گرها'!$F:$F,G$1)</f>
        <v>0</v>
      </c>
      <c r="H184" s="242">
        <f>COUNTIFS('تجربه‌گرها'!$B:$B,$A184,'تجربه‌گرها'!$F:$F,H$1)</f>
        <v>0</v>
      </c>
      <c r="I184" s="242">
        <f>COUNTIFS('تجربه‌گرها'!$B:$B,$A184,'تجربه‌گرها'!$F:$F,I$1)</f>
        <v>0</v>
      </c>
      <c r="J184" s="242">
        <f>COUNTIFS('تجربه‌گرها'!$B:$B,$A184,'تجربه‌گرها'!$F:$F,J$1)</f>
        <v>0</v>
      </c>
      <c r="K184" s="242">
        <f>COUNTIFS('تجربه‌گرها'!$B:$B,$A184,'تجربه‌گرها'!$F:$F,K$1)</f>
        <v>0</v>
      </c>
      <c r="L184" s="242">
        <f>COUNTIFS('تجربه‌گرها'!$B:$B,$A184,'تجربه‌گرها'!$F:$F,L$1)</f>
        <v>0</v>
      </c>
      <c r="M184" s="242">
        <f>COUNTIFS('تجربه‌گرها'!$B:$B,$A184,'تجربه‌گرها'!$F:$F,M$1)</f>
        <v>0</v>
      </c>
      <c r="N184" s="242">
        <f>COUNTIFS('تجربه‌گرها'!$B:$B,$A184,'تجربه‌گرها'!$F:$F,N$1)</f>
        <v>0</v>
      </c>
      <c r="O184" s="242">
        <f>COUNTIFS('تجربه‌گرها'!$B:$B,$A184,'تجربه‌گرها'!$F:$F,O$1)</f>
        <v>0</v>
      </c>
      <c r="P184" s="242">
        <f>COUNTIFS('تجربه‌گرها'!$B:$B,$A184,'تجربه‌گرها'!$F:$F,P$1)</f>
        <v>0</v>
      </c>
      <c r="Q184" s="242">
        <f>COUNTIFS('تجربه‌گرها'!$B:$B,$A184,'تجربه‌گرها'!$F:$F,Q$1)</f>
        <v>0</v>
      </c>
      <c r="R184" s="242">
        <f>COUNTIFS('تجربه‌گرها'!$B:$B,$A184,'تجربه‌گرها'!$F:$F,R$1)</f>
        <v>0</v>
      </c>
      <c r="S184" s="242">
        <f>COUNTIFS('تجربه‌گرها'!$B:$B,$A184,'تجربه‌گرها'!$F:$F,S$1)</f>
        <v>0</v>
      </c>
      <c r="T184" s="242">
        <f>COUNTIFS('تجربه‌گرها'!$B:$B,$A184,'تجربه‌گرها'!$F:$F,T$1)</f>
        <v>0</v>
      </c>
      <c r="U184" s="242"/>
      <c r="V184" s="242"/>
      <c r="W184" s="242"/>
      <c r="X184" s="242"/>
      <c r="Y184" s="242"/>
      <c r="Z184" s="242"/>
      <c r="AA184" s="242"/>
      <c r="AB184" s="242"/>
    </row>
    <row r="185">
      <c r="A185" s="244" t="s">
        <v>1878</v>
      </c>
      <c r="B185" s="245" t="str">
        <f>VLOOKUP(A185,'تجربه‌گرها'!B:C,2,FALSE())</f>
        <v>9122822695</v>
      </c>
      <c r="C185" s="242"/>
      <c r="D185" s="242">
        <f t="shared" si="1"/>
        <v>2</v>
      </c>
      <c r="E185" s="242">
        <f>COUNTIFS('تجربه‌گرها'!$B:$B,$A185,'تجربه‌گرها'!$F:$F,E$1)</f>
        <v>0</v>
      </c>
      <c r="F185" s="242">
        <f>COUNTIFS('تجربه‌گرها'!$B:$B,$A185,'تجربه‌گرها'!$F:$F,F$1)</f>
        <v>1</v>
      </c>
      <c r="G185" s="242">
        <f>COUNTIFS('تجربه‌گرها'!$B:$B,$A185,'تجربه‌گرها'!$F:$F,G$1)</f>
        <v>0</v>
      </c>
      <c r="H185" s="242">
        <f>COUNTIFS('تجربه‌گرها'!$B:$B,$A185,'تجربه‌گرها'!$F:$F,H$1)</f>
        <v>0</v>
      </c>
      <c r="I185" s="242">
        <f>COUNTIFS('تجربه‌گرها'!$B:$B,$A185,'تجربه‌گرها'!$F:$F,I$1)</f>
        <v>0</v>
      </c>
      <c r="J185" s="242">
        <f>COUNTIFS('تجربه‌گرها'!$B:$B,$A185,'تجربه‌گرها'!$F:$F,J$1)</f>
        <v>0</v>
      </c>
      <c r="K185" s="242">
        <f>COUNTIFS('تجربه‌گرها'!$B:$B,$A185,'تجربه‌گرها'!$F:$F,K$1)</f>
        <v>0</v>
      </c>
      <c r="L185" s="242">
        <f>COUNTIFS('تجربه‌گرها'!$B:$B,$A185,'تجربه‌گرها'!$F:$F,L$1)</f>
        <v>0</v>
      </c>
      <c r="M185" s="242">
        <f>COUNTIFS('تجربه‌گرها'!$B:$B,$A185,'تجربه‌گرها'!$F:$F,M$1)</f>
        <v>0</v>
      </c>
      <c r="N185" s="242">
        <f>COUNTIFS('تجربه‌گرها'!$B:$B,$A185,'تجربه‌گرها'!$F:$F,N$1)</f>
        <v>1</v>
      </c>
      <c r="O185" s="242">
        <f>COUNTIFS('تجربه‌گرها'!$B:$B,$A185,'تجربه‌گرها'!$F:$F,O$1)</f>
        <v>0</v>
      </c>
      <c r="P185" s="242">
        <f>COUNTIFS('تجربه‌گرها'!$B:$B,$A185,'تجربه‌گرها'!$F:$F,P$1)</f>
        <v>0</v>
      </c>
      <c r="Q185" s="242">
        <f>COUNTIFS('تجربه‌گرها'!$B:$B,$A185,'تجربه‌گرها'!$F:$F,Q$1)</f>
        <v>0</v>
      </c>
      <c r="R185" s="242">
        <f>COUNTIFS('تجربه‌گرها'!$B:$B,$A185,'تجربه‌گرها'!$F:$F,R$1)</f>
        <v>0</v>
      </c>
      <c r="S185" s="242">
        <f>COUNTIFS('تجربه‌گرها'!$B:$B,$A185,'تجربه‌گرها'!$F:$F,S$1)</f>
        <v>0</v>
      </c>
      <c r="T185" s="242">
        <f>COUNTIFS('تجربه‌گرها'!$B:$B,$A185,'تجربه‌گرها'!$F:$F,T$1)</f>
        <v>0</v>
      </c>
      <c r="U185" s="242"/>
      <c r="V185" s="242"/>
      <c r="W185" s="242"/>
      <c r="X185" s="242"/>
      <c r="Y185" s="242"/>
      <c r="Z185" s="242"/>
      <c r="AA185" s="242"/>
      <c r="AB185" s="242"/>
    </row>
    <row r="186" hidden="1">
      <c r="A186" s="244" t="s">
        <v>1879</v>
      </c>
      <c r="B186" s="245" t="str">
        <f>VLOOKUP(A186,'تجربه‌گرها'!B:C,2,FALSE())</f>
        <v>9126798943</v>
      </c>
      <c r="C186" s="242"/>
      <c r="D186" s="242">
        <f t="shared" si="1"/>
        <v>1</v>
      </c>
      <c r="E186" s="242">
        <f>COUNTIFS('تجربه‌گرها'!$B:$B,$A186,'تجربه‌گرها'!$F:$F,E$1)</f>
        <v>0</v>
      </c>
      <c r="F186" s="242">
        <f>COUNTIFS('تجربه‌گرها'!$B:$B,$A186,'تجربه‌گرها'!$F:$F,F$1)</f>
        <v>1</v>
      </c>
      <c r="G186" s="242">
        <f>COUNTIFS('تجربه‌گرها'!$B:$B,$A186,'تجربه‌گرها'!$F:$F,G$1)</f>
        <v>0</v>
      </c>
      <c r="H186" s="242">
        <f>COUNTIFS('تجربه‌گرها'!$B:$B,$A186,'تجربه‌گرها'!$F:$F,H$1)</f>
        <v>0</v>
      </c>
      <c r="I186" s="242">
        <f>COUNTIFS('تجربه‌گرها'!$B:$B,$A186,'تجربه‌گرها'!$F:$F,I$1)</f>
        <v>0</v>
      </c>
      <c r="J186" s="242">
        <f>COUNTIFS('تجربه‌گرها'!$B:$B,$A186,'تجربه‌گرها'!$F:$F,J$1)</f>
        <v>0</v>
      </c>
      <c r="K186" s="242">
        <f>COUNTIFS('تجربه‌گرها'!$B:$B,$A186,'تجربه‌گرها'!$F:$F,K$1)</f>
        <v>0</v>
      </c>
      <c r="L186" s="242">
        <f>COUNTIFS('تجربه‌گرها'!$B:$B,$A186,'تجربه‌گرها'!$F:$F,L$1)</f>
        <v>0</v>
      </c>
      <c r="M186" s="242">
        <f>COUNTIFS('تجربه‌گرها'!$B:$B,$A186,'تجربه‌گرها'!$F:$F,M$1)</f>
        <v>0</v>
      </c>
      <c r="N186" s="242">
        <f>COUNTIFS('تجربه‌گرها'!$B:$B,$A186,'تجربه‌گرها'!$F:$F,N$1)</f>
        <v>0</v>
      </c>
      <c r="O186" s="242">
        <f>COUNTIFS('تجربه‌گرها'!$B:$B,$A186,'تجربه‌گرها'!$F:$F,O$1)</f>
        <v>0</v>
      </c>
      <c r="P186" s="242">
        <f>COUNTIFS('تجربه‌گرها'!$B:$B,$A186,'تجربه‌گرها'!$F:$F,P$1)</f>
        <v>0</v>
      </c>
      <c r="Q186" s="242">
        <f>COUNTIFS('تجربه‌گرها'!$B:$B,$A186,'تجربه‌گرها'!$F:$F,Q$1)</f>
        <v>0</v>
      </c>
      <c r="R186" s="242">
        <f>COUNTIFS('تجربه‌گرها'!$B:$B,$A186,'تجربه‌گرها'!$F:$F,R$1)</f>
        <v>0</v>
      </c>
      <c r="S186" s="242">
        <f>COUNTIFS('تجربه‌گرها'!$B:$B,$A186,'تجربه‌گرها'!$F:$F,S$1)</f>
        <v>0</v>
      </c>
      <c r="T186" s="242">
        <f>COUNTIFS('تجربه‌گرها'!$B:$B,$A186,'تجربه‌گرها'!$F:$F,T$1)</f>
        <v>0</v>
      </c>
      <c r="U186" s="242"/>
      <c r="V186" s="242"/>
      <c r="W186" s="242"/>
      <c r="X186" s="242"/>
      <c r="Y186" s="242"/>
      <c r="Z186" s="242"/>
      <c r="AA186" s="242"/>
      <c r="AB186" s="242"/>
    </row>
    <row r="187" hidden="1">
      <c r="A187" s="244" t="s">
        <v>1880</v>
      </c>
      <c r="B187" s="245" t="str">
        <f>VLOOKUP(A187,'تجربه‌گرها'!B:C,2,FALSE())</f>
        <v>9354205407</v>
      </c>
      <c r="C187" s="242"/>
      <c r="D187" s="242">
        <f t="shared" si="1"/>
        <v>1</v>
      </c>
      <c r="E187" s="242">
        <f>COUNTIFS('تجربه‌گرها'!$B:$B,$A187,'تجربه‌گرها'!$F:$F,E$1)</f>
        <v>0</v>
      </c>
      <c r="F187" s="242">
        <f>COUNTIFS('تجربه‌گرها'!$B:$B,$A187,'تجربه‌گرها'!$F:$F,F$1)</f>
        <v>1</v>
      </c>
      <c r="G187" s="242">
        <f>COUNTIFS('تجربه‌گرها'!$B:$B,$A187,'تجربه‌گرها'!$F:$F,G$1)</f>
        <v>0</v>
      </c>
      <c r="H187" s="242">
        <f>COUNTIFS('تجربه‌گرها'!$B:$B,$A187,'تجربه‌گرها'!$F:$F,H$1)</f>
        <v>0</v>
      </c>
      <c r="I187" s="242">
        <f>COUNTIFS('تجربه‌گرها'!$B:$B,$A187,'تجربه‌گرها'!$F:$F,I$1)</f>
        <v>0</v>
      </c>
      <c r="J187" s="242">
        <f>COUNTIFS('تجربه‌گرها'!$B:$B,$A187,'تجربه‌گرها'!$F:$F,J$1)</f>
        <v>0</v>
      </c>
      <c r="K187" s="242">
        <f>COUNTIFS('تجربه‌گرها'!$B:$B,$A187,'تجربه‌گرها'!$F:$F,K$1)</f>
        <v>0</v>
      </c>
      <c r="L187" s="242">
        <f>COUNTIFS('تجربه‌گرها'!$B:$B,$A187,'تجربه‌گرها'!$F:$F,L$1)</f>
        <v>0</v>
      </c>
      <c r="M187" s="242">
        <f>COUNTIFS('تجربه‌گرها'!$B:$B,$A187,'تجربه‌گرها'!$F:$F,M$1)</f>
        <v>0</v>
      </c>
      <c r="N187" s="242">
        <f>COUNTIFS('تجربه‌گرها'!$B:$B,$A187,'تجربه‌گرها'!$F:$F,N$1)</f>
        <v>0</v>
      </c>
      <c r="O187" s="242">
        <f>COUNTIFS('تجربه‌گرها'!$B:$B,$A187,'تجربه‌گرها'!$F:$F,O$1)</f>
        <v>0</v>
      </c>
      <c r="P187" s="242">
        <f>COUNTIFS('تجربه‌گرها'!$B:$B,$A187,'تجربه‌گرها'!$F:$F,P$1)</f>
        <v>0</v>
      </c>
      <c r="Q187" s="242">
        <f>COUNTIFS('تجربه‌گرها'!$B:$B,$A187,'تجربه‌گرها'!$F:$F,Q$1)</f>
        <v>0</v>
      </c>
      <c r="R187" s="242">
        <f>COUNTIFS('تجربه‌گرها'!$B:$B,$A187,'تجربه‌گرها'!$F:$F,R$1)</f>
        <v>0</v>
      </c>
      <c r="S187" s="242">
        <f>COUNTIFS('تجربه‌گرها'!$B:$B,$A187,'تجربه‌گرها'!$F:$F,S$1)</f>
        <v>0</v>
      </c>
      <c r="T187" s="242">
        <f>COUNTIFS('تجربه‌گرها'!$B:$B,$A187,'تجربه‌گرها'!$F:$F,T$1)</f>
        <v>0</v>
      </c>
      <c r="U187" s="242"/>
      <c r="V187" s="242"/>
      <c r="W187" s="242"/>
      <c r="X187" s="242"/>
      <c r="Y187" s="242"/>
      <c r="Z187" s="242"/>
      <c r="AA187" s="242"/>
      <c r="AB187" s="242"/>
    </row>
    <row r="188" hidden="1">
      <c r="A188" s="244" t="s">
        <v>1884</v>
      </c>
      <c r="B188" s="245" t="str">
        <f>VLOOKUP(A188,'تجربه‌گرها'!B:C,2,FALSE())</f>
        <v>9122840846</v>
      </c>
      <c r="C188" s="242"/>
      <c r="D188" s="242">
        <f t="shared" si="1"/>
        <v>1</v>
      </c>
      <c r="E188" s="242">
        <f>COUNTIFS('تجربه‌گرها'!$B:$B,$A188,'تجربه‌گرها'!$F:$F,E$1)</f>
        <v>0</v>
      </c>
      <c r="F188" s="242">
        <f>COUNTIFS('تجربه‌گرها'!$B:$B,$A188,'تجربه‌گرها'!$F:$F,F$1)</f>
        <v>1</v>
      </c>
      <c r="G188" s="242">
        <f>COUNTIFS('تجربه‌گرها'!$B:$B,$A188,'تجربه‌گرها'!$F:$F,G$1)</f>
        <v>0</v>
      </c>
      <c r="H188" s="242">
        <f>COUNTIFS('تجربه‌گرها'!$B:$B,$A188,'تجربه‌گرها'!$F:$F,H$1)</f>
        <v>0</v>
      </c>
      <c r="I188" s="242">
        <f>COUNTIFS('تجربه‌گرها'!$B:$B,$A188,'تجربه‌گرها'!$F:$F,I$1)</f>
        <v>0</v>
      </c>
      <c r="J188" s="242">
        <f>COUNTIFS('تجربه‌گرها'!$B:$B,$A188,'تجربه‌گرها'!$F:$F,J$1)</f>
        <v>0</v>
      </c>
      <c r="K188" s="242">
        <f>COUNTIFS('تجربه‌گرها'!$B:$B,$A188,'تجربه‌گرها'!$F:$F,K$1)</f>
        <v>0</v>
      </c>
      <c r="L188" s="242">
        <f>COUNTIFS('تجربه‌گرها'!$B:$B,$A188,'تجربه‌گرها'!$F:$F,L$1)</f>
        <v>0</v>
      </c>
      <c r="M188" s="242">
        <f>COUNTIFS('تجربه‌گرها'!$B:$B,$A188,'تجربه‌گرها'!$F:$F,M$1)</f>
        <v>0</v>
      </c>
      <c r="N188" s="242">
        <f>COUNTIFS('تجربه‌گرها'!$B:$B,$A188,'تجربه‌گرها'!$F:$F,N$1)</f>
        <v>0</v>
      </c>
      <c r="O188" s="242">
        <f>COUNTIFS('تجربه‌گرها'!$B:$B,$A188,'تجربه‌گرها'!$F:$F,O$1)</f>
        <v>0</v>
      </c>
      <c r="P188" s="242">
        <f>COUNTIFS('تجربه‌گرها'!$B:$B,$A188,'تجربه‌گرها'!$F:$F,P$1)</f>
        <v>0</v>
      </c>
      <c r="Q188" s="242">
        <f>COUNTIFS('تجربه‌گرها'!$B:$B,$A188,'تجربه‌گرها'!$F:$F,Q$1)</f>
        <v>0</v>
      </c>
      <c r="R188" s="242">
        <f>COUNTIFS('تجربه‌گرها'!$B:$B,$A188,'تجربه‌گرها'!$F:$F,R$1)</f>
        <v>0</v>
      </c>
      <c r="S188" s="242">
        <f>COUNTIFS('تجربه‌گرها'!$B:$B,$A188,'تجربه‌گرها'!$F:$F,S$1)</f>
        <v>0</v>
      </c>
      <c r="T188" s="242">
        <f>COUNTIFS('تجربه‌گرها'!$B:$B,$A188,'تجربه‌گرها'!$F:$F,T$1)</f>
        <v>0</v>
      </c>
      <c r="U188" s="242"/>
      <c r="V188" s="242"/>
      <c r="W188" s="242"/>
      <c r="X188" s="242"/>
      <c r="Y188" s="242"/>
      <c r="Z188" s="242"/>
      <c r="AA188" s="242"/>
      <c r="AB188" s="242"/>
    </row>
    <row r="189">
      <c r="A189" s="244" t="s">
        <v>1890</v>
      </c>
      <c r="B189" s="245" t="str">
        <f>VLOOKUP(A189,'تجربه‌گرها'!B:C,2,FALSE())</f>
        <v>9128908388</v>
      </c>
      <c r="C189" s="242"/>
      <c r="D189" s="242">
        <f t="shared" si="1"/>
        <v>2</v>
      </c>
      <c r="E189" s="242">
        <f>COUNTIFS('تجربه‌گرها'!$B:$B,$A189,'تجربه‌گرها'!$F:$F,E$1)</f>
        <v>0</v>
      </c>
      <c r="F189" s="242">
        <f>COUNTIFS('تجربه‌گرها'!$B:$B,$A189,'تجربه‌گرها'!$F:$F,F$1)</f>
        <v>1</v>
      </c>
      <c r="G189" s="242">
        <f>COUNTIFS('تجربه‌گرها'!$B:$B,$A189,'تجربه‌گرها'!$F:$F,G$1)</f>
        <v>0</v>
      </c>
      <c r="H189" s="242">
        <f>COUNTIFS('تجربه‌گرها'!$B:$B,$A189,'تجربه‌گرها'!$F:$F,H$1)</f>
        <v>0</v>
      </c>
      <c r="I189" s="242">
        <f>COUNTIFS('تجربه‌گرها'!$B:$B,$A189,'تجربه‌گرها'!$F:$F,I$1)</f>
        <v>0</v>
      </c>
      <c r="J189" s="242">
        <f>COUNTIFS('تجربه‌گرها'!$B:$B,$A189,'تجربه‌گرها'!$F:$F,J$1)</f>
        <v>0</v>
      </c>
      <c r="K189" s="242">
        <f>COUNTIFS('تجربه‌گرها'!$B:$B,$A189,'تجربه‌گرها'!$F:$F,K$1)</f>
        <v>0</v>
      </c>
      <c r="L189" s="242">
        <f>COUNTIFS('تجربه‌گرها'!$B:$B,$A189,'تجربه‌گرها'!$F:$F,L$1)</f>
        <v>1</v>
      </c>
      <c r="M189" s="242">
        <f>COUNTIFS('تجربه‌گرها'!$B:$B,$A189,'تجربه‌گرها'!$F:$F,M$1)</f>
        <v>0</v>
      </c>
      <c r="N189" s="242">
        <f>COUNTIFS('تجربه‌گرها'!$B:$B,$A189,'تجربه‌گرها'!$F:$F,N$1)</f>
        <v>0</v>
      </c>
      <c r="O189" s="242">
        <f>COUNTIFS('تجربه‌گرها'!$B:$B,$A189,'تجربه‌گرها'!$F:$F,O$1)</f>
        <v>0</v>
      </c>
      <c r="P189" s="242">
        <f>COUNTIFS('تجربه‌گرها'!$B:$B,$A189,'تجربه‌گرها'!$F:$F,P$1)</f>
        <v>0</v>
      </c>
      <c r="Q189" s="242">
        <f>COUNTIFS('تجربه‌گرها'!$B:$B,$A189,'تجربه‌گرها'!$F:$F,Q$1)</f>
        <v>0</v>
      </c>
      <c r="R189" s="242">
        <f>COUNTIFS('تجربه‌گرها'!$B:$B,$A189,'تجربه‌گرها'!$F:$F,R$1)</f>
        <v>0</v>
      </c>
      <c r="S189" s="242">
        <f>COUNTIFS('تجربه‌گرها'!$B:$B,$A189,'تجربه‌گرها'!$F:$F,S$1)</f>
        <v>0</v>
      </c>
      <c r="T189" s="242">
        <f>COUNTIFS('تجربه‌گرها'!$B:$B,$A189,'تجربه‌گرها'!$F:$F,T$1)</f>
        <v>0</v>
      </c>
      <c r="U189" s="242"/>
      <c r="V189" s="242"/>
      <c r="W189" s="242"/>
      <c r="X189" s="242"/>
      <c r="Y189" s="242"/>
      <c r="Z189" s="242"/>
      <c r="AA189" s="242"/>
      <c r="AB189" s="242"/>
    </row>
    <row r="190" hidden="1">
      <c r="A190" s="244" t="s">
        <v>1894</v>
      </c>
      <c r="B190" s="245" t="str">
        <f>VLOOKUP(A190,'تجربه‌گرها'!B:C,2,FALSE())</f>
        <v>9386888384</v>
      </c>
      <c r="C190" s="242"/>
      <c r="D190" s="242">
        <f t="shared" si="1"/>
        <v>1</v>
      </c>
      <c r="E190" s="242">
        <f>COUNTIFS('تجربه‌گرها'!$B:$B,$A190,'تجربه‌گرها'!$F:$F,E$1)</f>
        <v>0</v>
      </c>
      <c r="F190" s="242">
        <f>COUNTIFS('تجربه‌گرها'!$B:$B,$A190,'تجربه‌گرها'!$F:$F,F$1)</f>
        <v>1</v>
      </c>
      <c r="G190" s="242">
        <f>COUNTIFS('تجربه‌گرها'!$B:$B,$A190,'تجربه‌گرها'!$F:$F,G$1)</f>
        <v>0</v>
      </c>
      <c r="H190" s="242">
        <f>COUNTIFS('تجربه‌گرها'!$B:$B,$A190,'تجربه‌گرها'!$F:$F,H$1)</f>
        <v>0</v>
      </c>
      <c r="I190" s="242">
        <f>COUNTIFS('تجربه‌گرها'!$B:$B,$A190,'تجربه‌گرها'!$F:$F,I$1)</f>
        <v>0</v>
      </c>
      <c r="J190" s="242">
        <f>COUNTIFS('تجربه‌گرها'!$B:$B,$A190,'تجربه‌گرها'!$F:$F,J$1)</f>
        <v>0</v>
      </c>
      <c r="K190" s="242">
        <f>COUNTIFS('تجربه‌گرها'!$B:$B,$A190,'تجربه‌گرها'!$F:$F,K$1)</f>
        <v>0</v>
      </c>
      <c r="L190" s="242">
        <f>COUNTIFS('تجربه‌گرها'!$B:$B,$A190,'تجربه‌گرها'!$F:$F,L$1)</f>
        <v>0</v>
      </c>
      <c r="M190" s="242">
        <f>COUNTIFS('تجربه‌گرها'!$B:$B,$A190,'تجربه‌گرها'!$F:$F,M$1)</f>
        <v>0</v>
      </c>
      <c r="N190" s="242">
        <f>COUNTIFS('تجربه‌گرها'!$B:$B,$A190,'تجربه‌گرها'!$F:$F,N$1)</f>
        <v>0</v>
      </c>
      <c r="O190" s="242">
        <f>COUNTIFS('تجربه‌گرها'!$B:$B,$A190,'تجربه‌گرها'!$F:$F,O$1)</f>
        <v>0</v>
      </c>
      <c r="P190" s="242">
        <f>COUNTIFS('تجربه‌گرها'!$B:$B,$A190,'تجربه‌گرها'!$F:$F,P$1)</f>
        <v>0</v>
      </c>
      <c r="Q190" s="242">
        <f>COUNTIFS('تجربه‌گرها'!$B:$B,$A190,'تجربه‌گرها'!$F:$F,Q$1)</f>
        <v>0</v>
      </c>
      <c r="R190" s="242">
        <f>COUNTIFS('تجربه‌گرها'!$B:$B,$A190,'تجربه‌گرها'!$F:$F,R$1)</f>
        <v>0</v>
      </c>
      <c r="S190" s="242">
        <f>COUNTIFS('تجربه‌گرها'!$B:$B,$A190,'تجربه‌گرها'!$F:$F,S$1)</f>
        <v>0</v>
      </c>
      <c r="T190" s="242">
        <f>COUNTIFS('تجربه‌گرها'!$B:$B,$A190,'تجربه‌گرها'!$F:$F,T$1)</f>
        <v>0</v>
      </c>
      <c r="U190" s="242"/>
      <c r="V190" s="242"/>
      <c r="W190" s="242"/>
      <c r="X190" s="242"/>
      <c r="Y190" s="242"/>
      <c r="Z190" s="242"/>
      <c r="AA190" s="242"/>
      <c r="AB190" s="242"/>
    </row>
    <row r="191" hidden="1">
      <c r="A191" s="244" t="s">
        <v>1900</v>
      </c>
      <c r="B191" s="245" t="str">
        <f>VLOOKUP(A191,'تجربه‌گرها'!B:C,2,FALSE())</f>
        <v>9124024683</v>
      </c>
      <c r="C191" s="242"/>
      <c r="D191" s="242">
        <f t="shared" si="1"/>
        <v>1</v>
      </c>
      <c r="E191" s="242">
        <f>COUNTIFS('تجربه‌گرها'!$B:$B,$A191,'تجربه‌گرها'!$F:$F,E$1)</f>
        <v>0</v>
      </c>
      <c r="F191" s="242">
        <f>COUNTIFS('تجربه‌گرها'!$B:$B,$A191,'تجربه‌گرها'!$F:$F,F$1)</f>
        <v>1</v>
      </c>
      <c r="G191" s="242">
        <f>COUNTIFS('تجربه‌گرها'!$B:$B,$A191,'تجربه‌گرها'!$F:$F,G$1)</f>
        <v>0</v>
      </c>
      <c r="H191" s="242">
        <f>COUNTIFS('تجربه‌گرها'!$B:$B,$A191,'تجربه‌گرها'!$F:$F,H$1)</f>
        <v>0</v>
      </c>
      <c r="I191" s="242">
        <f>COUNTIFS('تجربه‌گرها'!$B:$B,$A191,'تجربه‌گرها'!$F:$F,I$1)</f>
        <v>0</v>
      </c>
      <c r="J191" s="242">
        <f>COUNTIFS('تجربه‌گرها'!$B:$B,$A191,'تجربه‌گرها'!$F:$F,J$1)</f>
        <v>0</v>
      </c>
      <c r="K191" s="242">
        <f>COUNTIFS('تجربه‌گرها'!$B:$B,$A191,'تجربه‌گرها'!$F:$F,K$1)</f>
        <v>0</v>
      </c>
      <c r="L191" s="242">
        <f>COUNTIFS('تجربه‌گرها'!$B:$B,$A191,'تجربه‌گرها'!$F:$F,L$1)</f>
        <v>0</v>
      </c>
      <c r="M191" s="242">
        <f>COUNTIFS('تجربه‌گرها'!$B:$B,$A191,'تجربه‌گرها'!$F:$F,M$1)</f>
        <v>0</v>
      </c>
      <c r="N191" s="242">
        <f>COUNTIFS('تجربه‌گرها'!$B:$B,$A191,'تجربه‌گرها'!$F:$F,N$1)</f>
        <v>0</v>
      </c>
      <c r="O191" s="242">
        <f>COUNTIFS('تجربه‌گرها'!$B:$B,$A191,'تجربه‌گرها'!$F:$F,O$1)</f>
        <v>0</v>
      </c>
      <c r="P191" s="242">
        <f>COUNTIFS('تجربه‌گرها'!$B:$B,$A191,'تجربه‌گرها'!$F:$F,P$1)</f>
        <v>0</v>
      </c>
      <c r="Q191" s="242">
        <f>COUNTIFS('تجربه‌گرها'!$B:$B,$A191,'تجربه‌گرها'!$F:$F,Q$1)</f>
        <v>0</v>
      </c>
      <c r="R191" s="242">
        <f>COUNTIFS('تجربه‌گرها'!$B:$B,$A191,'تجربه‌گرها'!$F:$F,R$1)</f>
        <v>0</v>
      </c>
      <c r="S191" s="242">
        <f>COUNTIFS('تجربه‌گرها'!$B:$B,$A191,'تجربه‌گرها'!$F:$F,S$1)</f>
        <v>0</v>
      </c>
      <c r="T191" s="242">
        <f>COUNTIFS('تجربه‌گرها'!$B:$B,$A191,'تجربه‌گرها'!$F:$F,T$1)</f>
        <v>0</v>
      </c>
      <c r="U191" s="242"/>
      <c r="V191" s="242"/>
      <c r="W191" s="242"/>
      <c r="X191" s="242"/>
      <c r="Y191" s="242"/>
      <c r="Z191" s="242"/>
      <c r="AA191" s="242"/>
      <c r="AB191" s="242"/>
    </row>
    <row r="192" hidden="1">
      <c r="A192" s="244" t="s">
        <v>1905</v>
      </c>
      <c r="B192" s="245" t="str">
        <f>VLOOKUP(A192,'تجربه‌گرها'!B:C,2,FALSE())</f>
        <v>9125904837</v>
      </c>
      <c r="C192" s="242"/>
      <c r="D192" s="242">
        <f t="shared" si="1"/>
        <v>1</v>
      </c>
      <c r="E192" s="242">
        <f>COUNTIFS('تجربه‌گرها'!$B:$B,$A192,'تجربه‌گرها'!$F:$F,E$1)</f>
        <v>0</v>
      </c>
      <c r="F192" s="242">
        <f>COUNTIFS('تجربه‌گرها'!$B:$B,$A192,'تجربه‌گرها'!$F:$F,F$1)</f>
        <v>1</v>
      </c>
      <c r="G192" s="242">
        <f>COUNTIFS('تجربه‌گرها'!$B:$B,$A192,'تجربه‌گرها'!$F:$F,G$1)</f>
        <v>0</v>
      </c>
      <c r="H192" s="242">
        <f>COUNTIFS('تجربه‌گرها'!$B:$B,$A192,'تجربه‌گرها'!$F:$F,H$1)</f>
        <v>0</v>
      </c>
      <c r="I192" s="242">
        <f>COUNTIFS('تجربه‌گرها'!$B:$B,$A192,'تجربه‌گرها'!$F:$F,I$1)</f>
        <v>0</v>
      </c>
      <c r="J192" s="242">
        <f>COUNTIFS('تجربه‌گرها'!$B:$B,$A192,'تجربه‌گرها'!$F:$F,J$1)</f>
        <v>0</v>
      </c>
      <c r="K192" s="242">
        <f>COUNTIFS('تجربه‌گرها'!$B:$B,$A192,'تجربه‌گرها'!$F:$F,K$1)</f>
        <v>0</v>
      </c>
      <c r="L192" s="242">
        <f>COUNTIFS('تجربه‌گرها'!$B:$B,$A192,'تجربه‌گرها'!$F:$F,L$1)</f>
        <v>0</v>
      </c>
      <c r="M192" s="242">
        <f>COUNTIFS('تجربه‌گرها'!$B:$B,$A192,'تجربه‌گرها'!$F:$F,M$1)</f>
        <v>0</v>
      </c>
      <c r="N192" s="242">
        <f>COUNTIFS('تجربه‌گرها'!$B:$B,$A192,'تجربه‌گرها'!$F:$F,N$1)</f>
        <v>0</v>
      </c>
      <c r="O192" s="242">
        <f>COUNTIFS('تجربه‌گرها'!$B:$B,$A192,'تجربه‌گرها'!$F:$F,O$1)</f>
        <v>0</v>
      </c>
      <c r="P192" s="242">
        <f>COUNTIFS('تجربه‌گرها'!$B:$B,$A192,'تجربه‌گرها'!$F:$F,P$1)</f>
        <v>0</v>
      </c>
      <c r="Q192" s="242">
        <f>COUNTIFS('تجربه‌گرها'!$B:$B,$A192,'تجربه‌گرها'!$F:$F,Q$1)</f>
        <v>0</v>
      </c>
      <c r="R192" s="242">
        <f>COUNTIFS('تجربه‌گرها'!$B:$B,$A192,'تجربه‌گرها'!$F:$F,R$1)</f>
        <v>0</v>
      </c>
      <c r="S192" s="242">
        <f>COUNTIFS('تجربه‌گرها'!$B:$B,$A192,'تجربه‌گرها'!$F:$F,S$1)</f>
        <v>0</v>
      </c>
      <c r="T192" s="242">
        <f>COUNTIFS('تجربه‌گرها'!$B:$B,$A192,'تجربه‌گرها'!$F:$F,T$1)</f>
        <v>0</v>
      </c>
      <c r="U192" s="242"/>
      <c r="V192" s="242"/>
      <c r="W192" s="242"/>
      <c r="X192" s="242"/>
      <c r="Y192" s="242"/>
      <c r="Z192" s="242"/>
      <c r="AA192" s="242"/>
      <c r="AB192" s="242"/>
    </row>
    <row r="193" hidden="1">
      <c r="A193" s="244" t="s">
        <v>1909</v>
      </c>
      <c r="B193" s="245" t="str">
        <f>VLOOKUP(A193,'تجربه‌گرها'!B:C,2,FALSE())</f>
        <v>9123611874</v>
      </c>
      <c r="C193" s="242"/>
      <c r="D193" s="242">
        <f t="shared" si="1"/>
        <v>1</v>
      </c>
      <c r="E193" s="242">
        <f>COUNTIFS('تجربه‌گرها'!$B:$B,$A193,'تجربه‌گرها'!$F:$F,E$1)</f>
        <v>0</v>
      </c>
      <c r="F193" s="242">
        <f>COUNTIFS('تجربه‌گرها'!$B:$B,$A193,'تجربه‌گرها'!$F:$F,F$1)</f>
        <v>1</v>
      </c>
      <c r="G193" s="242">
        <f>COUNTIFS('تجربه‌گرها'!$B:$B,$A193,'تجربه‌گرها'!$F:$F,G$1)</f>
        <v>0</v>
      </c>
      <c r="H193" s="242">
        <f>COUNTIFS('تجربه‌گرها'!$B:$B,$A193,'تجربه‌گرها'!$F:$F,H$1)</f>
        <v>0</v>
      </c>
      <c r="I193" s="242">
        <f>COUNTIFS('تجربه‌گرها'!$B:$B,$A193,'تجربه‌گرها'!$F:$F,I$1)</f>
        <v>0</v>
      </c>
      <c r="J193" s="242">
        <f>COUNTIFS('تجربه‌گرها'!$B:$B,$A193,'تجربه‌گرها'!$F:$F,J$1)</f>
        <v>0</v>
      </c>
      <c r="K193" s="242">
        <f>COUNTIFS('تجربه‌گرها'!$B:$B,$A193,'تجربه‌گرها'!$F:$F,K$1)</f>
        <v>0</v>
      </c>
      <c r="L193" s="242">
        <f>COUNTIFS('تجربه‌گرها'!$B:$B,$A193,'تجربه‌گرها'!$F:$F,L$1)</f>
        <v>0</v>
      </c>
      <c r="M193" s="242">
        <f>COUNTIFS('تجربه‌گرها'!$B:$B,$A193,'تجربه‌گرها'!$F:$F,M$1)</f>
        <v>0</v>
      </c>
      <c r="N193" s="242">
        <f>COUNTIFS('تجربه‌گرها'!$B:$B,$A193,'تجربه‌گرها'!$F:$F,N$1)</f>
        <v>0</v>
      </c>
      <c r="O193" s="242">
        <f>COUNTIFS('تجربه‌گرها'!$B:$B,$A193,'تجربه‌گرها'!$F:$F,O$1)</f>
        <v>0</v>
      </c>
      <c r="P193" s="242">
        <f>COUNTIFS('تجربه‌گرها'!$B:$B,$A193,'تجربه‌گرها'!$F:$F,P$1)</f>
        <v>0</v>
      </c>
      <c r="Q193" s="242">
        <f>COUNTIFS('تجربه‌گرها'!$B:$B,$A193,'تجربه‌گرها'!$F:$F,Q$1)</f>
        <v>0</v>
      </c>
      <c r="R193" s="242">
        <f>COUNTIFS('تجربه‌گرها'!$B:$B,$A193,'تجربه‌گرها'!$F:$F,R$1)</f>
        <v>0</v>
      </c>
      <c r="S193" s="242">
        <f>COUNTIFS('تجربه‌گرها'!$B:$B,$A193,'تجربه‌گرها'!$F:$F,S$1)</f>
        <v>0</v>
      </c>
      <c r="T193" s="242">
        <f>COUNTIFS('تجربه‌گرها'!$B:$B,$A193,'تجربه‌گرها'!$F:$F,T$1)</f>
        <v>0</v>
      </c>
      <c r="U193" s="242"/>
      <c r="V193" s="242"/>
      <c r="W193" s="242"/>
      <c r="X193" s="242"/>
      <c r="Y193" s="242"/>
      <c r="Z193" s="242"/>
      <c r="AA193" s="242"/>
      <c r="AB193" s="242"/>
    </row>
    <row r="194" hidden="1">
      <c r="A194" s="244" t="s">
        <v>1914</v>
      </c>
      <c r="B194" s="245" t="str">
        <f>VLOOKUP(A194,'تجربه‌گرها'!B:C,2,FALSE())</f>
        <v>9125147559</v>
      </c>
      <c r="C194" s="242"/>
      <c r="D194" s="242">
        <f t="shared" si="1"/>
        <v>1</v>
      </c>
      <c r="E194" s="242">
        <f>COUNTIFS('تجربه‌گرها'!$B:$B,$A194,'تجربه‌گرها'!$F:$F,E$1)</f>
        <v>0</v>
      </c>
      <c r="F194" s="242">
        <f>COUNTIFS('تجربه‌گرها'!$B:$B,$A194,'تجربه‌گرها'!$F:$F,F$1)</f>
        <v>1</v>
      </c>
      <c r="G194" s="242">
        <f>COUNTIFS('تجربه‌گرها'!$B:$B,$A194,'تجربه‌گرها'!$F:$F,G$1)</f>
        <v>0</v>
      </c>
      <c r="H194" s="242">
        <f>COUNTIFS('تجربه‌گرها'!$B:$B,$A194,'تجربه‌گرها'!$F:$F,H$1)</f>
        <v>0</v>
      </c>
      <c r="I194" s="242">
        <f>COUNTIFS('تجربه‌گرها'!$B:$B,$A194,'تجربه‌گرها'!$F:$F,I$1)</f>
        <v>0</v>
      </c>
      <c r="J194" s="242">
        <f>COUNTIFS('تجربه‌گرها'!$B:$B,$A194,'تجربه‌گرها'!$F:$F,J$1)</f>
        <v>0</v>
      </c>
      <c r="K194" s="242">
        <f>COUNTIFS('تجربه‌گرها'!$B:$B,$A194,'تجربه‌گرها'!$F:$F,K$1)</f>
        <v>0</v>
      </c>
      <c r="L194" s="242">
        <f>COUNTIFS('تجربه‌گرها'!$B:$B,$A194,'تجربه‌گرها'!$F:$F,L$1)</f>
        <v>0</v>
      </c>
      <c r="M194" s="242">
        <f>COUNTIFS('تجربه‌گرها'!$B:$B,$A194,'تجربه‌گرها'!$F:$F,M$1)</f>
        <v>0</v>
      </c>
      <c r="N194" s="242">
        <f>COUNTIFS('تجربه‌گرها'!$B:$B,$A194,'تجربه‌گرها'!$F:$F,N$1)</f>
        <v>0</v>
      </c>
      <c r="O194" s="242">
        <f>COUNTIFS('تجربه‌گرها'!$B:$B,$A194,'تجربه‌گرها'!$F:$F,O$1)</f>
        <v>0</v>
      </c>
      <c r="P194" s="242">
        <f>COUNTIFS('تجربه‌گرها'!$B:$B,$A194,'تجربه‌گرها'!$F:$F,P$1)</f>
        <v>0</v>
      </c>
      <c r="Q194" s="242">
        <f>COUNTIFS('تجربه‌گرها'!$B:$B,$A194,'تجربه‌گرها'!$F:$F,Q$1)</f>
        <v>0</v>
      </c>
      <c r="R194" s="242">
        <f>COUNTIFS('تجربه‌گرها'!$B:$B,$A194,'تجربه‌گرها'!$F:$F,R$1)</f>
        <v>0</v>
      </c>
      <c r="S194" s="242">
        <f>COUNTIFS('تجربه‌گرها'!$B:$B,$A194,'تجربه‌گرها'!$F:$F,S$1)</f>
        <v>0</v>
      </c>
      <c r="T194" s="242">
        <f>COUNTIFS('تجربه‌گرها'!$B:$B,$A194,'تجربه‌گرها'!$F:$F,T$1)</f>
        <v>0</v>
      </c>
      <c r="U194" s="242"/>
      <c r="V194" s="242"/>
      <c r="W194" s="242"/>
      <c r="X194" s="242"/>
      <c r="Y194" s="242"/>
      <c r="Z194" s="242"/>
      <c r="AA194" s="242"/>
      <c r="AB194" s="242"/>
    </row>
    <row r="195" hidden="1">
      <c r="A195" s="244" t="s">
        <v>1919</v>
      </c>
      <c r="B195" s="245" t="str">
        <f>VLOOKUP(A195,'تجربه‌گرها'!B:C,2,FALSE())</f>
        <v>NA</v>
      </c>
      <c r="C195" s="242"/>
      <c r="D195" s="242">
        <f t="shared" si="1"/>
        <v>1</v>
      </c>
      <c r="E195" s="242">
        <f>COUNTIFS('تجربه‌گرها'!$B:$B,$A195,'تجربه‌گرها'!$F:$F,E$1)</f>
        <v>0</v>
      </c>
      <c r="F195" s="242">
        <f>COUNTIFS('تجربه‌گرها'!$B:$B,$A195,'تجربه‌گرها'!$F:$F,F$1)</f>
        <v>1</v>
      </c>
      <c r="G195" s="242">
        <f>COUNTIFS('تجربه‌گرها'!$B:$B,$A195,'تجربه‌گرها'!$F:$F,G$1)</f>
        <v>0</v>
      </c>
      <c r="H195" s="242">
        <f>COUNTIFS('تجربه‌گرها'!$B:$B,$A195,'تجربه‌گرها'!$F:$F,H$1)</f>
        <v>0</v>
      </c>
      <c r="I195" s="242">
        <f>COUNTIFS('تجربه‌گرها'!$B:$B,$A195,'تجربه‌گرها'!$F:$F,I$1)</f>
        <v>0</v>
      </c>
      <c r="J195" s="242">
        <f>COUNTIFS('تجربه‌گرها'!$B:$B,$A195,'تجربه‌گرها'!$F:$F,J$1)</f>
        <v>0</v>
      </c>
      <c r="K195" s="242">
        <f>COUNTIFS('تجربه‌گرها'!$B:$B,$A195,'تجربه‌گرها'!$F:$F,K$1)</f>
        <v>0</v>
      </c>
      <c r="L195" s="242">
        <f>COUNTIFS('تجربه‌گرها'!$B:$B,$A195,'تجربه‌گرها'!$F:$F,L$1)</f>
        <v>0</v>
      </c>
      <c r="M195" s="242">
        <f>COUNTIFS('تجربه‌گرها'!$B:$B,$A195,'تجربه‌گرها'!$F:$F,M$1)</f>
        <v>0</v>
      </c>
      <c r="N195" s="242">
        <f>COUNTIFS('تجربه‌گرها'!$B:$B,$A195,'تجربه‌گرها'!$F:$F,N$1)</f>
        <v>0</v>
      </c>
      <c r="O195" s="242">
        <f>COUNTIFS('تجربه‌گرها'!$B:$B,$A195,'تجربه‌گرها'!$F:$F,O$1)</f>
        <v>0</v>
      </c>
      <c r="P195" s="242">
        <f>COUNTIFS('تجربه‌گرها'!$B:$B,$A195,'تجربه‌گرها'!$F:$F,P$1)</f>
        <v>0</v>
      </c>
      <c r="Q195" s="242">
        <f>COUNTIFS('تجربه‌گرها'!$B:$B,$A195,'تجربه‌گرها'!$F:$F,Q$1)</f>
        <v>0</v>
      </c>
      <c r="R195" s="242">
        <f>COUNTIFS('تجربه‌گرها'!$B:$B,$A195,'تجربه‌گرها'!$F:$F,R$1)</f>
        <v>0</v>
      </c>
      <c r="S195" s="242">
        <f>COUNTIFS('تجربه‌گرها'!$B:$B,$A195,'تجربه‌گرها'!$F:$F,S$1)</f>
        <v>0</v>
      </c>
      <c r="T195" s="242">
        <f>COUNTIFS('تجربه‌گرها'!$B:$B,$A195,'تجربه‌گرها'!$F:$F,T$1)</f>
        <v>0</v>
      </c>
      <c r="U195" s="242"/>
      <c r="V195" s="242"/>
      <c r="W195" s="242"/>
      <c r="X195" s="242"/>
      <c r="Y195" s="242"/>
      <c r="Z195" s="242"/>
      <c r="AA195" s="242"/>
      <c r="AB195" s="242"/>
    </row>
    <row r="196" hidden="1">
      <c r="A196" s="244" t="s">
        <v>1923</v>
      </c>
      <c r="B196" s="245" t="str">
        <f>VLOOKUP(A196,'تجربه‌گرها'!B:C,2,FALSE())</f>
        <v>9122091903</v>
      </c>
      <c r="C196" s="242"/>
      <c r="D196" s="242">
        <f t="shared" si="1"/>
        <v>1</v>
      </c>
      <c r="E196" s="242">
        <f>COUNTIFS('تجربه‌گرها'!$B:$B,$A196,'تجربه‌گرها'!$F:$F,E$1)</f>
        <v>0</v>
      </c>
      <c r="F196" s="242">
        <f>COUNTIFS('تجربه‌گرها'!$B:$B,$A196,'تجربه‌گرها'!$F:$F,F$1)</f>
        <v>1</v>
      </c>
      <c r="G196" s="242">
        <f>COUNTIFS('تجربه‌گرها'!$B:$B,$A196,'تجربه‌گرها'!$F:$F,G$1)</f>
        <v>0</v>
      </c>
      <c r="H196" s="242">
        <f>COUNTIFS('تجربه‌گرها'!$B:$B,$A196,'تجربه‌گرها'!$F:$F,H$1)</f>
        <v>0</v>
      </c>
      <c r="I196" s="242">
        <f>COUNTIFS('تجربه‌گرها'!$B:$B,$A196,'تجربه‌گرها'!$F:$F,I$1)</f>
        <v>0</v>
      </c>
      <c r="J196" s="242">
        <f>COUNTIFS('تجربه‌گرها'!$B:$B,$A196,'تجربه‌گرها'!$F:$F,J$1)</f>
        <v>0</v>
      </c>
      <c r="K196" s="242">
        <f>COUNTIFS('تجربه‌گرها'!$B:$B,$A196,'تجربه‌گرها'!$F:$F,K$1)</f>
        <v>0</v>
      </c>
      <c r="L196" s="242">
        <f>COUNTIFS('تجربه‌گرها'!$B:$B,$A196,'تجربه‌گرها'!$F:$F,L$1)</f>
        <v>0</v>
      </c>
      <c r="M196" s="242">
        <f>COUNTIFS('تجربه‌گرها'!$B:$B,$A196,'تجربه‌گرها'!$F:$F,M$1)</f>
        <v>0</v>
      </c>
      <c r="N196" s="242">
        <f>COUNTIFS('تجربه‌گرها'!$B:$B,$A196,'تجربه‌گرها'!$F:$F,N$1)</f>
        <v>0</v>
      </c>
      <c r="O196" s="242">
        <f>COUNTIFS('تجربه‌گرها'!$B:$B,$A196,'تجربه‌گرها'!$F:$F,O$1)</f>
        <v>0</v>
      </c>
      <c r="P196" s="242">
        <f>COUNTIFS('تجربه‌گرها'!$B:$B,$A196,'تجربه‌گرها'!$F:$F,P$1)</f>
        <v>0</v>
      </c>
      <c r="Q196" s="242">
        <f>COUNTIFS('تجربه‌گرها'!$B:$B,$A196,'تجربه‌گرها'!$F:$F,Q$1)</f>
        <v>0</v>
      </c>
      <c r="R196" s="242">
        <f>COUNTIFS('تجربه‌گرها'!$B:$B,$A196,'تجربه‌گرها'!$F:$F,R$1)</f>
        <v>0</v>
      </c>
      <c r="S196" s="242">
        <f>COUNTIFS('تجربه‌گرها'!$B:$B,$A196,'تجربه‌گرها'!$F:$F,S$1)</f>
        <v>0</v>
      </c>
      <c r="T196" s="242">
        <f>COUNTIFS('تجربه‌گرها'!$B:$B,$A196,'تجربه‌گرها'!$F:$F,T$1)</f>
        <v>0</v>
      </c>
      <c r="U196" s="242"/>
      <c r="V196" s="242"/>
      <c r="W196" s="242"/>
      <c r="X196" s="242"/>
      <c r="Y196" s="242"/>
      <c r="Z196" s="242"/>
      <c r="AA196" s="242"/>
      <c r="AB196" s="242"/>
    </row>
    <row r="197" hidden="1">
      <c r="A197" s="244" t="s">
        <v>1924</v>
      </c>
      <c r="B197" s="245" t="str">
        <f>VLOOKUP(A197,'تجربه‌گرها'!B:C,2,FALSE())</f>
        <v>9127987968</v>
      </c>
      <c r="C197" s="242"/>
      <c r="D197" s="242">
        <f t="shared" si="1"/>
        <v>1</v>
      </c>
      <c r="E197" s="242">
        <f>COUNTIFS('تجربه‌گرها'!$B:$B,$A197,'تجربه‌گرها'!$F:$F,E$1)</f>
        <v>0</v>
      </c>
      <c r="F197" s="242">
        <f>COUNTIFS('تجربه‌گرها'!$B:$B,$A197,'تجربه‌گرها'!$F:$F,F$1)</f>
        <v>1</v>
      </c>
      <c r="G197" s="242">
        <f>COUNTIFS('تجربه‌گرها'!$B:$B,$A197,'تجربه‌گرها'!$F:$F,G$1)</f>
        <v>0</v>
      </c>
      <c r="H197" s="242">
        <f>COUNTIFS('تجربه‌گرها'!$B:$B,$A197,'تجربه‌گرها'!$F:$F,H$1)</f>
        <v>0</v>
      </c>
      <c r="I197" s="242">
        <f>COUNTIFS('تجربه‌گرها'!$B:$B,$A197,'تجربه‌گرها'!$F:$F,I$1)</f>
        <v>0</v>
      </c>
      <c r="J197" s="242">
        <f>COUNTIFS('تجربه‌گرها'!$B:$B,$A197,'تجربه‌گرها'!$F:$F,J$1)</f>
        <v>0</v>
      </c>
      <c r="K197" s="242">
        <f>COUNTIFS('تجربه‌گرها'!$B:$B,$A197,'تجربه‌گرها'!$F:$F,K$1)</f>
        <v>0</v>
      </c>
      <c r="L197" s="242">
        <f>COUNTIFS('تجربه‌گرها'!$B:$B,$A197,'تجربه‌گرها'!$F:$F,L$1)</f>
        <v>0</v>
      </c>
      <c r="M197" s="242">
        <f>COUNTIFS('تجربه‌گرها'!$B:$B,$A197,'تجربه‌گرها'!$F:$F,M$1)</f>
        <v>0</v>
      </c>
      <c r="N197" s="242">
        <f>COUNTIFS('تجربه‌گرها'!$B:$B,$A197,'تجربه‌گرها'!$F:$F,N$1)</f>
        <v>0</v>
      </c>
      <c r="O197" s="242">
        <f>COUNTIFS('تجربه‌گرها'!$B:$B,$A197,'تجربه‌گرها'!$F:$F,O$1)</f>
        <v>0</v>
      </c>
      <c r="P197" s="242">
        <f>COUNTIFS('تجربه‌گرها'!$B:$B,$A197,'تجربه‌گرها'!$F:$F,P$1)</f>
        <v>0</v>
      </c>
      <c r="Q197" s="242">
        <f>COUNTIFS('تجربه‌گرها'!$B:$B,$A197,'تجربه‌گرها'!$F:$F,Q$1)</f>
        <v>0</v>
      </c>
      <c r="R197" s="242">
        <f>COUNTIFS('تجربه‌گرها'!$B:$B,$A197,'تجربه‌گرها'!$F:$F,R$1)</f>
        <v>0</v>
      </c>
      <c r="S197" s="242">
        <f>COUNTIFS('تجربه‌گرها'!$B:$B,$A197,'تجربه‌گرها'!$F:$F,S$1)</f>
        <v>0</v>
      </c>
      <c r="T197" s="242">
        <f>COUNTIFS('تجربه‌گرها'!$B:$B,$A197,'تجربه‌گرها'!$F:$F,T$1)</f>
        <v>0</v>
      </c>
      <c r="U197" s="242"/>
      <c r="V197" s="242"/>
      <c r="W197" s="242"/>
      <c r="X197" s="242"/>
      <c r="Y197" s="242"/>
      <c r="Z197" s="242"/>
      <c r="AA197" s="242"/>
      <c r="AB197" s="242"/>
    </row>
    <row r="198" hidden="1">
      <c r="A198" s="244" t="s">
        <v>1930</v>
      </c>
      <c r="B198" s="245" t="str">
        <f>VLOOKUP(A198,'تجربه‌گرها'!B:C,2,FALSE())</f>
        <v>9102383352</v>
      </c>
      <c r="C198" s="242"/>
      <c r="D198" s="242">
        <f t="shared" si="1"/>
        <v>1</v>
      </c>
      <c r="E198" s="242">
        <f>COUNTIFS('تجربه‌گرها'!$B:$B,$A198,'تجربه‌گرها'!$F:$F,E$1)</f>
        <v>0</v>
      </c>
      <c r="F198" s="242">
        <f>COUNTIFS('تجربه‌گرها'!$B:$B,$A198,'تجربه‌گرها'!$F:$F,F$1)</f>
        <v>1</v>
      </c>
      <c r="G198" s="242">
        <f>COUNTIFS('تجربه‌گرها'!$B:$B,$A198,'تجربه‌گرها'!$F:$F,G$1)</f>
        <v>0</v>
      </c>
      <c r="H198" s="242">
        <f>COUNTIFS('تجربه‌گرها'!$B:$B,$A198,'تجربه‌گرها'!$F:$F,H$1)</f>
        <v>0</v>
      </c>
      <c r="I198" s="242">
        <f>COUNTIFS('تجربه‌گرها'!$B:$B,$A198,'تجربه‌گرها'!$F:$F,I$1)</f>
        <v>0</v>
      </c>
      <c r="J198" s="242">
        <f>COUNTIFS('تجربه‌گرها'!$B:$B,$A198,'تجربه‌گرها'!$F:$F,J$1)</f>
        <v>0</v>
      </c>
      <c r="K198" s="242">
        <f>COUNTIFS('تجربه‌گرها'!$B:$B,$A198,'تجربه‌گرها'!$F:$F,K$1)</f>
        <v>0</v>
      </c>
      <c r="L198" s="242">
        <f>COUNTIFS('تجربه‌گرها'!$B:$B,$A198,'تجربه‌گرها'!$F:$F,L$1)</f>
        <v>0</v>
      </c>
      <c r="M198" s="242">
        <f>COUNTIFS('تجربه‌گرها'!$B:$B,$A198,'تجربه‌گرها'!$F:$F,M$1)</f>
        <v>0</v>
      </c>
      <c r="N198" s="242">
        <f>COUNTIFS('تجربه‌گرها'!$B:$B,$A198,'تجربه‌گرها'!$F:$F,N$1)</f>
        <v>0</v>
      </c>
      <c r="O198" s="242">
        <f>COUNTIFS('تجربه‌گرها'!$B:$B,$A198,'تجربه‌گرها'!$F:$F,O$1)</f>
        <v>0</v>
      </c>
      <c r="P198" s="242">
        <f>COUNTIFS('تجربه‌گرها'!$B:$B,$A198,'تجربه‌گرها'!$F:$F,P$1)</f>
        <v>0</v>
      </c>
      <c r="Q198" s="242">
        <f>COUNTIFS('تجربه‌گرها'!$B:$B,$A198,'تجربه‌گرها'!$F:$F,Q$1)</f>
        <v>0</v>
      </c>
      <c r="R198" s="242">
        <f>COUNTIFS('تجربه‌گرها'!$B:$B,$A198,'تجربه‌گرها'!$F:$F,R$1)</f>
        <v>0</v>
      </c>
      <c r="S198" s="242">
        <f>COUNTIFS('تجربه‌گرها'!$B:$B,$A198,'تجربه‌گرها'!$F:$F,S$1)</f>
        <v>0</v>
      </c>
      <c r="T198" s="242">
        <f>COUNTIFS('تجربه‌گرها'!$B:$B,$A198,'تجربه‌گرها'!$F:$F,T$1)</f>
        <v>0</v>
      </c>
      <c r="U198" s="242"/>
      <c r="V198" s="242"/>
      <c r="W198" s="242"/>
      <c r="X198" s="242"/>
      <c r="Y198" s="242"/>
      <c r="Z198" s="242"/>
      <c r="AA198" s="242"/>
      <c r="AB198" s="242"/>
    </row>
    <row r="199" hidden="1">
      <c r="A199" s="244" t="s">
        <v>1935</v>
      </c>
      <c r="B199" s="245" t="str">
        <f>VLOOKUP(A199,'تجربه‌گرها'!B:C,2,FALSE())</f>
        <v>9102107976</v>
      </c>
      <c r="C199" s="242"/>
      <c r="D199" s="242">
        <f t="shared" si="1"/>
        <v>1</v>
      </c>
      <c r="E199" s="242">
        <f>COUNTIFS('تجربه‌گرها'!$B:$B,$A199,'تجربه‌گرها'!$F:$F,E$1)</f>
        <v>0</v>
      </c>
      <c r="F199" s="242">
        <f>COUNTIFS('تجربه‌گرها'!$B:$B,$A199,'تجربه‌گرها'!$F:$F,F$1)</f>
        <v>1</v>
      </c>
      <c r="G199" s="242">
        <f>COUNTIFS('تجربه‌گرها'!$B:$B,$A199,'تجربه‌گرها'!$F:$F,G$1)</f>
        <v>0</v>
      </c>
      <c r="H199" s="242">
        <f>COUNTIFS('تجربه‌گرها'!$B:$B,$A199,'تجربه‌گرها'!$F:$F,H$1)</f>
        <v>0</v>
      </c>
      <c r="I199" s="242">
        <f>COUNTIFS('تجربه‌گرها'!$B:$B,$A199,'تجربه‌گرها'!$F:$F,I$1)</f>
        <v>0</v>
      </c>
      <c r="J199" s="242">
        <f>COUNTIFS('تجربه‌گرها'!$B:$B,$A199,'تجربه‌گرها'!$F:$F,J$1)</f>
        <v>0</v>
      </c>
      <c r="K199" s="242">
        <f>COUNTIFS('تجربه‌گرها'!$B:$B,$A199,'تجربه‌گرها'!$F:$F,K$1)</f>
        <v>0</v>
      </c>
      <c r="L199" s="242">
        <f>COUNTIFS('تجربه‌گرها'!$B:$B,$A199,'تجربه‌گرها'!$F:$F,L$1)</f>
        <v>0</v>
      </c>
      <c r="M199" s="242">
        <f>COUNTIFS('تجربه‌گرها'!$B:$B,$A199,'تجربه‌گرها'!$F:$F,M$1)</f>
        <v>0</v>
      </c>
      <c r="N199" s="242">
        <f>COUNTIFS('تجربه‌گرها'!$B:$B,$A199,'تجربه‌گرها'!$F:$F,N$1)</f>
        <v>0</v>
      </c>
      <c r="O199" s="242">
        <f>COUNTIFS('تجربه‌گرها'!$B:$B,$A199,'تجربه‌گرها'!$F:$F,O$1)</f>
        <v>0</v>
      </c>
      <c r="P199" s="242">
        <f>COUNTIFS('تجربه‌گرها'!$B:$B,$A199,'تجربه‌گرها'!$F:$F,P$1)</f>
        <v>0</v>
      </c>
      <c r="Q199" s="242">
        <f>COUNTIFS('تجربه‌گرها'!$B:$B,$A199,'تجربه‌گرها'!$F:$F,Q$1)</f>
        <v>0</v>
      </c>
      <c r="R199" s="242">
        <f>COUNTIFS('تجربه‌گرها'!$B:$B,$A199,'تجربه‌گرها'!$F:$F,R$1)</f>
        <v>0</v>
      </c>
      <c r="S199" s="242">
        <f>COUNTIFS('تجربه‌گرها'!$B:$B,$A199,'تجربه‌گرها'!$F:$F,S$1)</f>
        <v>0</v>
      </c>
      <c r="T199" s="242">
        <f>COUNTIFS('تجربه‌گرها'!$B:$B,$A199,'تجربه‌گرها'!$F:$F,T$1)</f>
        <v>0</v>
      </c>
      <c r="U199" s="242"/>
      <c r="V199" s="242"/>
      <c r="W199" s="242"/>
      <c r="X199" s="242"/>
      <c r="Y199" s="242"/>
      <c r="Z199" s="242"/>
      <c r="AA199" s="242"/>
      <c r="AB199" s="242"/>
    </row>
    <row r="200" hidden="1">
      <c r="A200" s="244" t="s">
        <v>1940</v>
      </c>
      <c r="B200" s="245" t="str">
        <f>VLOOKUP(A200,'تجربه‌گرها'!B:C,2,FALSE())</f>
        <v>9351413277</v>
      </c>
      <c r="C200" s="242"/>
      <c r="D200" s="242">
        <f t="shared" si="1"/>
        <v>1</v>
      </c>
      <c r="E200" s="242">
        <f>COUNTIFS('تجربه‌گرها'!$B:$B,$A200,'تجربه‌گرها'!$F:$F,E$1)</f>
        <v>0</v>
      </c>
      <c r="F200" s="242">
        <f>COUNTIFS('تجربه‌گرها'!$B:$B,$A200,'تجربه‌گرها'!$F:$F,F$1)</f>
        <v>1</v>
      </c>
      <c r="G200" s="242">
        <f>COUNTIFS('تجربه‌گرها'!$B:$B,$A200,'تجربه‌گرها'!$F:$F,G$1)</f>
        <v>0</v>
      </c>
      <c r="H200" s="242">
        <f>COUNTIFS('تجربه‌گرها'!$B:$B,$A200,'تجربه‌گرها'!$F:$F,H$1)</f>
        <v>0</v>
      </c>
      <c r="I200" s="242">
        <f>COUNTIFS('تجربه‌گرها'!$B:$B,$A200,'تجربه‌گرها'!$F:$F,I$1)</f>
        <v>0</v>
      </c>
      <c r="J200" s="242">
        <f>COUNTIFS('تجربه‌گرها'!$B:$B,$A200,'تجربه‌گرها'!$F:$F,J$1)</f>
        <v>0</v>
      </c>
      <c r="K200" s="242">
        <f>COUNTIFS('تجربه‌گرها'!$B:$B,$A200,'تجربه‌گرها'!$F:$F,K$1)</f>
        <v>0</v>
      </c>
      <c r="L200" s="242">
        <f>COUNTIFS('تجربه‌گرها'!$B:$B,$A200,'تجربه‌گرها'!$F:$F,L$1)</f>
        <v>0</v>
      </c>
      <c r="M200" s="242">
        <f>COUNTIFS('تجربه‌گرها'!$B:$B,$A200,'تجربه‌گرها'!$F:$F,M$1)</f>
        <v>0</v>
      </c>
      <c r="N200" s="242">
        <f>COUNTIFS('تجربه‌گرها'!$B:$B,$A200,'تجربه‌گرها'!$F:$F,N$1)</f>
        <v>0</v>
      </c>
      <c r="O200" s="242">
        <f>COUNTIFS('تجربه‌گرها'!$B:$B,$A200,'تجربه‌گرها'!$F:$F,O$1)</f>
        <v>0</v>
      </c>
      <c r="P200" s="242">
        <f>COUNTIFS('تجربه‌گرها'!$B:$B,$A200,'تجربه‌گرها'!$F:$F,P$1)</f>
        <v>0</v>
      </c>
      <c r="Q200" s="242">
        <f>COUNTIFS('تجربه‌گرها'!$B:$B,$A200,'تجربه‌گرها'!$F:$F,Q$1)</f>
        <v>0</v>
      </c>
      <c r="R200" s="242">
        <f>COUNTIFS('تجربه‌گرها'!$B:$B,$A200,'تجربه‌گرها'!$F:$F,R$1)</f>
        <v>0</v>
      </c>
      <c r="S200" s="242">
        <f>COUNTIFS('تجربه‌گرها'!$B:$B,$A200,'تجربه‌گرها'!$F:$F,S$1)</f>
        <v>0</v>
      </c>
      <c r="T200" s="242">
        <f>COUNTIFS('تجربه‌گرها'!$B:$B,$A200,'تجربه‌گرها'!$F:$F,T$1)</f>
        <v>0</v>
      </c>
      <c r="U200" s="242"/>
      <c r="V200" s="242"/>
      <c r="W200" s="242"/>
      <c r="X200" s="242"/>
      <c r="Y200" s="242"/>
      <c r="Z200" s="242"/>
      <c r="AA200" s="242"/>
      <c r="AB200" s="242"/>
    </row>
    <row r="201" hidden="1">
      <c r="A201" s="244" t="s">
        <v>1947</v>
      </c>
      <c r="B201" s="245" t="str">
        <f>VLOOKUP(A201,'تجربه‌گرها'!B:C,2,FALSE())</f>
        <v>9128837331</v>
      </c>
      <c r="C201" s="242"/>
      <c r="D201" s="242">
        <f t="shared" si="1"/>
        <v>1</v>
      </c>
      <c r="E201" s="242">
        <f>COUNTIFS('تجربه‌گرها'!$B:$B,$A201,'تجربه‌گرها'!$F:$F,E$1)</f>
        <v>0</v>
      </c>
      <c r="F201" s="242">
        <f>COUNTIFS('تجربه‌گرها'!$B:$B,$A201,'تجربه‌گرها'!$F:$F,F$1)</f>
        <v>1</v>
      </c>
      <c r="G201" s="242">
        <f>COUNTIFS('تجربه‌گرها'!$B:$B,$A201,'تجربه‌گرها'!$F:$F,G$1)</f>
        <v>0</v>
      </c>
      <c r="H201" s="242">
        <f>COUNTIFS('تجربه‌گرها'!$B:$B,$A201,'تجربه‌گرها'!$F:$F,H$1)</f>
        <v>0</v>
      </c>
      <c r="I201" s="242">
        <f>COUNTIFS('تجربه‌گرها'!$B:$B,$A201,'تجربه‌گرها'!$F:$F,I$1)</f>
        <v>0</v>
      </c>
      <c r="J201" s="242">
        <f>COUNTIFS('تجربه‌گرها'!$B:$B,$A201,'تجربه‌گرها'!$F:$F,J$1)</f>
        <v>0</v>
      </c>
      <c r="K201" s="242">
        <f>COUNTIFS('تجربه‌گرها'!$B:$B,$A201,'تجربه‌گرها'!$F:$F,K$1)</f>
        <v>0</v>
      </c>
      <c r="L201" s="242">
        <f>COUNTIFS('تجربه‌گرها'!$B:$B,$A201,'تجربه‌گرها'!$F:$F,L$1)</f>
        <v>0</v>
      </c>
      <c r="M201" s="242">
        <f>COUNTIFS('تجربه‌گرها'!$B:$B,$A201,'تجربه‌گرها'!$F:$F,M$1)</f>
        <v>0</v>
      </c>
      <c r="N201" s="242">
        <f>COUNTIFS('تجربه‌گرها'!$B:$B,$A201,'تجربه‌گرها'!$F:$F,N$1)</f>
        <v>0</v>
      </c>
      <c r="O201" s="242">
        <f>COUNTIFS('تجربه‌گرها'!$B:$B,$A201,'تجربه‌گرها'!$F:$F,O$1)</f>
        <v>0</v>
      </c>
      <c r="P201" s="242">
        <f>COUNTIFS('تجربه‌گرها'!$B:$B,$A201,'تجربه‌گرها'!$F:$F,P$1)</f>
        <v>0</v>
      </c>
      <c r="Q201" s="242">
        <f>COUNTIFS('تجربه‌گرها'!$B:$B,$A201,'تجربه‌گرها'!$F:$F,Q$1)</f>
        <v>0</v>
      </c>
      <c r="R201" s="242">
        <f>COUNTIFS('تجربه‌گرها'!$B:$B,$A201,'تجربه‌گرها'!$F:$F,R$1)</f>
        <v>0</v>
      </c>
      <c r="S201" s="242">
        <f>COUNTIFS('تجربه‌گرها'!$B:$B,$A201,'تجربه‌گرها'!$F:$F,S$1)</f>
        <v>0</v>
      </c>
      <c r="T201" s="242">
        <f>COUNTIFS('تجربه‌گرها'!$B:$B,$A201,'تجربه‌گرها'!$F:$F,T$1)</f>
        <v>0</v>
      </c>
      <c r="U201" s="242"/>
      <c r="V201" s="242"/>
      <c r="W201" s="242"/>
      <c r="X201" s="242"/>
      <c r="Y201" s="242"/>
      <c r="Z201" s="242"/>
      <c r="AA201" s="242"/>
      <c r="AB201" s="242"/>
    </row>
    <row r="202" hidden="1">
      <c r="A202" s="244" t="s">
        <v>1952</v>
      </c>
      <c r="B202" s="245" t="str">
        <f>VLOOKUP(A202,'تجربه‌گرها'!B:C,2,FALSE())</f>
        <v>9120375156</v>
      </c>
      <c r="C202" s="242"/>
      <c r="D202" s="242">
        <f t="shared" si="1"/>
        <v>1</v>
      </c>
      <c r="E202" s="242">
        <f>COUNTIFS('تجربه‌گرها'!$B:$B,$A202,'تجربه‌گرها'!$F:$F,E$1)</f>
        <v>0</v>
      </c>
      <c r="F202" s="242">
        <f>COUNTIFS('تجربه‌گرها'!$B:$B,$A202,'تجربه‌گرها'!$F:$F,F$1)</f>
        <v>1</v>
      </c>
      <c r="G202" s="242">
        <f>COUNTIFS('تجربه‌گرها'!$B:$B,$A202,'تجربه‌گرها'!$F:$F,G$1)</f>
        <v>0</v>
      </c>
      <c r="H202" s="242">
        <f>COUNTIFS('تجربه‌گرها'!$B:$B,$A202,'تجربه‌گرها'!$F:$F,H$1)</f>
        <v>0</v>
      </c>
      <c r="I202" s="242">
        <f>COUNTIFS('تجربه‌گرها'!$B:$B,$A202,'تجربه‌گرها'!$F:$F,I$1)</f>
        <v>0</v>
      </c>
      <c r="J202" s="242">
        <f>COUNTIFS('تجربه‌گرها'!$B:$B,$A202,'تجربه‌گرها'!$F:$F,J$1)</f>
        <v>0</v>
      </c>
      <c r="K202" s="242">
        <f>COUNTIFS('تجربه‌گرها'!$B:$B,$A202,'تجربه‌گرها'!$F:$F,K$1)</f>
        <v>0</v>
      </c>
      <c r="L202" s="242">
        <f>COUNTIFS('تجربه‌گرها'!$B:$B,$A202,'تجربه‌گرها'!$F:$F,L$1)</f>
        <v>0</v>
      </c>
      <c r="M202" s="242">
        <f>COUNTIFS('تجربه‌گرها'!$B:$B,$A202,'تجربه‌گرها'!$F:$F,M$1)</f>
        <v>0</v>
      </c>
      <c r="N202" s="242">
        <f>COUNTIFS('تجربه‌گرها'!$B:$B,$A202,'تجربه‌گرها'!$F:$F,N$1)</f>
        <v>0</v>
      </c>
      <c r="O202" s="242">
        <f>COUNTIFS('تجربه‌گرها'!$B:$B,$A202,'تجربه‌گرها'!$F:$F,O$1)</f>
        <v>0</v>
      </c>
      <c r="P202" s="242">
        <f>COUNTIFS('تجربه‌گرها'!$B:$B,$A202,'تجربه‌گرها'!$F:$F,P$1)</f>
        <v>0</v>
      </c>
      <c r="Q202" s="242">
        <f>COUNTIFS('تجربه‌گرها'!$B:$B,$A202,'تجربه‌گرها'!$F:$F,Q$1)</f>
        <v>0</v>
      </c>
      <c r="R202" s="242">
        <f>COUNTIFS('تجربه‌گرها'!$B:$B,$A202,'تجربه‌گرها'!$F:$F,R$1)</f>
        <v>0</v>
      </c>
      <c r="S202" s="242">
        <f>COUNTIFS('تجربه‌گرها'!$B:$B,$A202,'تجربه‌گرها'!$F:$F,S$1)</f>
        <v>0</v>
      </c>
      <c r="T202" s="242">
        <f>COUNTIFS('تجربه‌گرها'!$B:$B,$A202,'تجربه‌گرها'!$F:$F,T$1)</f>
        <v>0</v>
      </c>
      <c r="U202" s="242"/>
      <c r="V202" s="242"/>
      <c r="W202" s="242"/>
      <c r="X202" s="242"/>
      <c r="Y202" s="242"/>
      <c r="Z202" s="242"/>
      <c r="AA202" s="242"/>
      <c r="AB202" s="242"/>
    </row>
    <row r="203" hidden="1">
      <c r="A203" s="244" t="s">
        <v>1957</v>
      </c>
      <c r="B203" s="245" t="str">
        <f>VLOOKUP(A203,'تجربه‌گرها'!B:C,2,FALSE())</f>
        <v>9391347201</v>
      </c>
      <c r="C203" s="242"/>
      <c r="D203" s="242">
        <f t="shared" si="1"/>
        <v>1</v>
      </c>
      <c r="E203" s="242">
        <f>COUNTIFS('تجربه‌گرها'!$B:$B,$A203,'تجربه‌گرها'!$F:$F,E$1)</f>
        <v>0</v>
      </c>
      <c r="F203" s="242">
        <f>COUNTIFS('تجربه‌گرها'!$B:$B,$A203,'تجربه‌گرها'!$F:$F,F$1)</f>
        <v>1</v>
      </c>
      <c r="G203" s="242">
        <f>COUNTIFS('تجربه‌گرها'!$B:$B,$A203,'تجربه‌گرها'!$F:$F,G$1)</f>
        <v>0</v>
      </c>
      <c r="H203" s="242">
        <f>COUNTIFS('تجربه‌گرها'!$B:$B,$A203,'تجربه‌گرها'!$F:$F,H$1)</f>
        <v>0</v>
      </c>
      <c r="I203" s="242">
        <f>COUNTIFS('تجربه‌گرها'!$B:$B,$A203,'تجربه‌گرها'!$F:$F,I$1)</f>
        <v>0</v>
      </c>
      <c r="J203" s="242">
        <f>COUNTIFS('تجربه‌گرها'!$B:$B,$A203,'تجربه‌گرها'!$F:$F,J$1)</f>
        <v>0</v>
      </c>
      <c r="K203" s="242">
        <f>COUNTIFS('تجربه‌گرها'!$B:$B,$A203,'تجربه‌گرها'!$F:$F,K$1)</f>
        <v>0</v>
      </c>
      <c r="L203" s="242">
        <f>COUNTIFS('تجربه‌گرها'!$B:$B,$A203,'تجربه‌گرها'!$F:$F,L$1)</f>
        <v>0</v>
      </c>
      <c r="M203" s="242">
        <f>COUNTIFS('تجربه‌گرها'!$B:$B,$A203,'تجربه‌گرها'!$F:$F,M$1)</f>
        <v>0</v>
      </c>
      <c r="N203" s="242">
        <f>COUNTIFS('تجربه‌گرها'!$B:$B,$A203,'تجربه‌گرها'!$F:$F,N$1)</f>
        <v>0</v>
      </c>
      <c r="O203" s="242">
        <f>COUNTIFS('تجربه‌گرها'!$B:$B,$A203,'تجربه‌گرها'!$F:$F,O$1)</f>
        <v>0</v>
      </c>
      <c r="P203" s="242">
        <f>COUNTIFS('تجربه‌گرها'!$B:$B,$A203,'تجربه‌گرها'!$F:$F,P$1)</f>
        <v>0</v>
      </c>
      <c r="Q203" s="242">
        <f>COUNTIFS('تجربه‌گرها'!$B:$B,$A203,'تجربه‌گرها'!$F:$F,Q$1)</f>
        <v>0</v>
      </c>
      <c r="R203" s="242">
        <f>COUNTIFS('تجربه‌گرها'!$B:$B,$A203,'تجربه‌گرها'!$F:$F,R$1)</f>
        <v>0</v>
      </c>
      <c r="S203" s="242">
        <f>COUNTIFS('تجربه‌گرها'!$B:$B,$A203,'تجربه‌گرها'!$F:$F,S$1)</f>
        <v>0</v>
      </c>
      <c r="T203" s="242">
        <f>COUNTIFS('تجربه‌گرها'!$B:$B,$A203,'تجربه‌گرها'!$F:$F,T$1)</f>
        <v>0</v>
      </c>
      <c r="U203" s="242"/>
      <c r="V203" s="242"/>
      <c r="W203" s="242"/>
      <c r="X203" s="242"/>
      <c r="Y203" s="242"/>
      <c r="Z203" s="242"/>
      <c r="AA203" s="242"/>
      <c r="AB203" s="242"/>
    </row>
    <row r="204" hidden="1">
      <c r="A204" s="244" t="s">
        <v>1962</v>
      </c>
      <c r="B204" s="245" t="str">
        <f>VLOOKUP(A204,'تجربه‌گرها'!B:C,2,FALSE())</f>
        <v>9353282218</v>
      </c>
      <c r="C204" s="242"/>
      <c r="D204" s="242">
        <f t="shared" si="1"/>
        <v>1</v>
      </c>
      <c r="E204" s="242">
        <f>COUNTIFS('تجربه‌گرها'!$B:$B,$A204,'تجربه‌گرها'!$F:$F,E$1)</f>
        <v>0</v>
      </c>
      <c r="F204" s="242">
        <f>COUNTIFS('تجربه‌گرها'!$B:$B,$A204,'تجربه‌گرها'!$F:$F,F$1)</f>
        <v>1</v>
      </c>
      <c r="G204" s="242">
        <f>COUNTIFS('تجربه‌گرها'!$B:$B,$A204,'تجربه‌گرها'!$F:$F,G$1)</f>
        <v>0</v>
      </c>
      <c r="H204" s="242">
        <f>COUNTIFS('تجربه‌گرها'!$B:$B,$A204,'تجربه‌گرها'!$F:$F,H$1)</f>
        <v>0</v>
      </c>
      <c r="I204" s="242">
        <f>COUNTIFS('تجربه‌گرها'!$B:$B,$A204,'تجربه‌گرها'!$F:$F,I$1)</f>
        <v>0</v>
      </c>
      <c r="J204" s="242">
        <f>COUNTIFS('تجربه‌گرها'!$B:$B,$A204,'تجربه‌گرها'!$F:$F,J$1)</f>
        <v>0</v>
      </c>
      <c r="K204" s="242">
        <f>COUNTIFS('تجربه‌گرها'!$B:$B,$A204,'تجربه‌گرها'!$F:$F,K$1)</f>
        <v>0</v>
      </c>
      <c r="L204" s="242">
        <f>COUNTIFS('تجربه‌گرها'!$B:$B,$A204,'تجربه‌گرها'!$F:$F,L$1)</f>
        <v>0</v>
      </c>
      <c r="M204" s="242">
        <f>COUNTIFS('تجربه‌گرها'!$B:$B,$A204,'تجربه‌گرها'!$F:$F,M$1)</f>
        <v>0</v>
      </c>
      <c r="N204" s="242">
        <f>COUNTIFS('تجربه‌گرها'!$B:$B,$A204,'تجربه‌گرها'!$F:$F,N$1)</f>
        <v>0</v>
      </c>
      <c r="O204" s="242">
        <f>COUNTIFS('تجربه‌گرها'!$B:$B,$A204,'تجربه‌گرها'!$F:$F,O$1)</f>
        <v>0</v>
      </c>
      <c r="P204" s="242">
        <f>COUNTIFS('تجربه‌گرها'!$B:$B,$A204,'تجربه‌گرها'!$F:$F,P$1)</f>
        <v>0</v>
      </c>
      <c r="Q204" s="242">
        <f>COUNTIFS('تجربه‌گرها'!$B:$B,$A204,'تجربه‌گرها'!$F:$F,Q$1)</f>
        <v>0</v>
      </c>
      <c r="R204" s="242">
        <f>COUNTIFS('تجربه‌گرها'!$B:$B,$A204,'تجربه‌گرها'!$F:$F,R$1)</f>
        <v>0</v>
      </c>
      <c r="S204" s="242">
        <f>COUNTIFS('تجربه‌گرها'!$B:$B,$A204,'تجربه‌گرها'!$F:$F,S$1)</f>
        <v>0</v>
      </c>
      <c r="T204" s="242">
        <f>COUNTIFS('تجربه‌گرها'!$B:$B,$A204,'تجربه‌گرها'!$F:$F,T$1)</f>
        <v>0</v>
      </c>
      <c r="U204" s="242"/>
      <c r="V204" s="242"/>
      <c r="W204" s="242"/>
      <c r="X204" s="242"/>
      <c r="Y204" s="242"/>
      <c r="Z204" s="242"/>
      <c r="AA204" s="242"/>
      <c r="AB204" s="242"/>
    </row>
    <row r="205" hidden="1">
      <c r="A205" s="244" t="s">
        <v>1968</v>
      </c>
      <c r="B205" s="245" t="str">
        <f>VLOOKUP(A205,'تجربه‌گرها'!B:C,2,FALSE())</f>
        <v>9364005357</v>
      </c>
      <c r="C205" s="242"/>
      <c r="D205" s="242">
        <f t="shared" si="1"/>
        <v>1</v>
      </c>
      <c r="E205" s="242">
        <f>COUNTIFS('تجربه‌گرها'!$B:$B,$A205,'تجربه‌گرها'!$F:$F,E$1)</f>
        <v>0</v>
      </c>
      <c r="F205" s="242">
        <f>COUNTIFS('تجربه‌گرها'!$B:$B,$A205,'تجربه‌گرها'!$F:$F,F$1)</f>
        <v>1</v>
      </c>
      <c r="G205" s="242">
        <f>COUNTIFS('تجربه‌گرها'!$B:$B,$A205,'تجربه‌گرها'!$F:$F,G$1)</f>
        <v>0</v>
      </c>
      <c r="H205" s="242">
        <f>COUNTIFS('تجربه‌گرها'!$B:$B,$A205,'تجربه‌گرها'!$F:$F,H$1)</f>
        <v>0</v>
      </c>
      <c r="I205" s="242">
        <f>COUNTIFS('تجربه‌گرها'!$B:$B,$A205,'تجربه‌گرها'!$F:$F,I$1)</f>
        <v>0</v>
      </c>
      <c r="J205" s="242">
        <f>COUNTIFS('تجربه‌گرها'!$B:$B,$A205,'تجربه‌گرها'!$F:$F,J$1)</f>
        <v>0</v>
      </c>
      <c r="K205" s="242">
        <f>COUNTIFS('تجربه‌گرها'!$B:$B,$A205,'تجربه‌گرها'!$F:$F,K$1)</f>
        <v>0</v>
      </c>
      <c r="L205" s="242">
        <f>COUNTIFS('تجربه‌گرها'!$B:$B,$A205,'تجربه‌گرها'!$F:$F,L$1)</f>
        <v>0</v>
      </c>
      <c r="M205" s="242">
        <f>COUNTIFS('تجربه‌گرها'!$B:$B,$A205,'تجربه‌گرها'!$F:$F,M$1)</f>
        <v>0</v>
      </c>
      <c r="N205" s="242">
        <f>COUNTIFS('تجربه‌گرها'!$B:$B,$A205,'تجربه‌گرها'!$F:$F,N$1)</f>
        <v>0</v>
      </c>
      <c r="O205" s="242">
        <f>COUNTIFS('تجربه‌گرها'!$B:$B,$A205,'تجربه‌گرها'!$F:$F,O$1)</f>
        <v>0</v>
      </c>
      <c r="P205" s="242">
        <f>COUNTIFS('تجربه‌گرها'!$B:$B,$A205,'تجربه‌گرها'!$F:$F,P$1)</f>
        <v>0</v>
      </c>
      <c r="Q205" s="242">
        <f>COUNTIFS('تجربه‌گرها'!$B:$B,$A205,'تجربه‌گرها'!$F:$F,Q$1)</f>
        <v>0</v>
      </c>
      <c r="R205" s="242">
        <f>COUNTIFS('تجربه‌گرها'!$B:$B,$A205,'تجربه‌گرها'!$F:$F,R$1)</f>
        <v>0</v>
      </c>
      <c r="S205" s="242">
        <f>COUNTIFS('تجربه‌گرها'!$B:$B,$A205,'تجربه‌گرها'!$F:$F,S$1)</f>
        <v>0</v>
      </c>
      <c r="T205" s="242">
        <f>COUNTIFS('تجربه‌گرها'!$B:$B,$A205,'تجربه‌گرها'!$F:$F,T$1)</f>
        <v>0</v>
      </c>
      <c r="U205" s="242"/>
      <c r="V205" s="242"/>
      <c r="W205" s="242"/>
      <c r="X205" s="242"/>
      <c r="Y205" s="242"/>
      <c r="Z205" s="242"/>
      <c r="AA205" s="242"/>
      <c r="AB205" s="242"/>
    </row>
    <row r="206" hidden="1">
      <c r="A206" s="244" t="s">
        <v>1973</v>
      </c>
      <c r="B206" s="245" t="str">
        <f>VLOOKUP(A206,'تجربه‌گرها'!B:C,2,FALSE())</f>
        <v>9203109686</v>
      </c>
      <c r="C206" s="242"/>
      <c r="D206" s="242">
        <f t="shared" si="1"/>
        <v>1</v>
      </c>
      <c r="E206" s="242">
        <f>COUNTIFS('تجربه‌گرها'!$B:$B,$A206,'تجربه‌گرها'!$F:$F,E$1)</f>
        <v>0</v>
      </c>
      <c r="F206" s="242">
        <f>COUNTIFS('تجربه‌گرها'!$B:$B,$A206,'تجربه‌گرها'!$F:$F,F$1)</f>
        <v>1</v>
      </c>
      <c r="G206" s="242">
        <f>COUNTIFS('تجربه‌گرها'!$B:$B,$A206,'تجربه‌گرها'!$F:$F,G$1)</f>
        <v>0</v>
      </c>
      <c r="H206" s="242">
        <f>COUNTIFS('تجربه‌گرها'!$B:$B,$A206,'تجربه‌گرها'!$F:$F,H$1)</f>
        <v>0</v>
      </c>
      <c r="I206" s="242">
        <f>COUNTIFS('تجربه‌گرها'!$B:$B,$A206,'تجربه‌گرها'!$F:$F,I$1)</f>
        <v>0</v>
      </c>
      <c r="J206" s="242">
        <f>COUNTIFS('تجربه‌گرها'!$B:$B,$A206,'تجربه‌گرها'!$F:$F,J$1)</f>
        <v>0</v>
      </c>
      <c r="K206" s="242">
        <f>COUNTIFS('تجربه‌گرها'!$B:$B,$A206,'تجربه‌گرها'!$F:$F,K$1)</f>
        <v>0</v>
      </c>
      <c r="L206" s="242">
        <f>COUNTIFS('تجربه‌گرها'!$B:$B,$A206,'تجربه‌گرها'!$F:$F,L$1)</f>
        <v>0</v>
      </c>
      <c r="M206" s="242">
        <f>COUNTIFS('تجربه‌گرها'!$B:$B,$A206,'تجربه‌گرها'!$F:$F,M$1)</f>
        <v>0</v>
      </c>
      <c r="N206" s="242">
        <f>COUNTIFS('تجربه‌گرها'!$B:$B,$A206,'تجربه‌گرها'!$F:$F,N$1)</f>
        <v>0</v>
      </c>
      <c r="O206" s="242">
        <f>COUNTIFS('تجربه‌گرها'!$B:$B,$A206,'تجربه‌گرها'!$F:$F,O$1)</f>
        <v>0</v>
      </c>
      <c r="P206" s="242">
        <f>COUNTIFS('تجربه‌گرها'!$B:$B,$A206,'تجربه‌گرها'!$F:$F,P$1)</f>
        <v>0</v>
      </c>
      <c r="Q206" s="242">
        <f>COUNTIFS('تجربه‌گرها'!$B:$B,$A206,'تجربه‌گرها'!$F:$F,Q$1)</f>
        <v>0</v>
      </c>
      <c r="R206" s="242">
        <f>COUNTIFS('تجربه‌گرها'!$B:$B,$A206,'تجربه‌گرها'!$F:$F,R$1)</f>
        <v>0</v>
      </c>
      <c r="S206" s="242">
        <f>COUNTIFS('تجربه‌گرها'!$B:$B,$A206,'تجربه‌گرها'!$F:$F,S$1)</f>
        <v>0</v>
      </c>
      <c r="T206" s="242">
        <f>COUNTIFS('تجربه‌گرها'!$B:$B,$A206,'تجربه‌گرها'!$F:$F,T$1)</f>
        <v>0</v>
      </c>
      <c r="U206" s="242"/>
      <c r="V206" s="242"/>
      <c r="W206" s="242"/>
      <c r="X206" s="242"/>
      <c r="Y206" s="242"/>
      <c r="Z206" s="242"/>
      <c r="AA206" s="242"/>
      <c r="AB206" s="242"/>
    </row>
    <row r="207" hidden="1">
      <c r="A207" s="244" t="s">
        <v>1977</v>
      </c>
      <c r="B207" s="245" t="str">
        <f>VLOOKUP(A207,'تجربه‌گرها'!B:C,2,FALSE())</f>
        <v/>
      </c>
      <c r="C207" s="242"/>
      <c r="D207" s="242">
        <f t="shared" si="1"/>
        <v>1</v>
      </c>
      <c r="E207" s="242">
        <f>COUNTIFS('تجربه‌گرها'!$B:$B,$A207,'تجربه‌گرها'!$F:$F,E$1)</f>
        <v>0</v>
      </c>
      <c r="F207" s="242">
        <f>COUNTIFS('تجربه‌گرها'!$B:$B,$A207,'تجربه‌گرها'!$F:$F,F$1)</f>
        <v>1</v>
      </c>
      <c r="G207" s="242">
        <f>COUNTIFS('تجربه‌گرها'!$B:$B,$A207,'تجربه‌گرها'!$F:$F,G$1)</f>
        <v>0</v>
      </c>
      <c r="H207" s="242">
        <f>COUNTIFS('تجربه‌گرها'!$B:$B,$A207,'تجربه‌گرها'!$F:$F,H$1)</f>
        <v>0</v>
      </c>
      <c r="I207" s="242">
        <f>COUNTIFS('تجربه‌گرها'!$B:$B,$A207,'تجربه‌گرها'!$F:$F,I$1)</f>
        <v>0</v>
      </c>
      <c r="J207" s="242">
        <f>COUNTIFS('تجربه‌گرها'!$B:$B,$A207,'تجربه‌گرها'!$F:$F,J$1)</f>
        <v>0</v>
      </c>
      <c r="K207" s="242">
        <f>COUNTIFS('تجربه‌گرها'!$B:$B,$A207,'تجربه‌گرها'!$F:$F,K$1)</f>
        <v>0</v>
      </c>
      <c r="L207" s="242">
        <f>COUNTIFS('تجربه‌گرها'!$B:$B,$A207,'تجربه‌گرها'!$F:$F,L$1)</f>
        <v>0</v>
      </c>
      <c r="M207" s="242">
        <f>COUNTIFS('تجربه‌گرها'!$B:$B,$A207,'تجربه‌گرها'!$F:$F,M$1)</f>
        <v>0</v>
      </c>
      <c r="N207" s="242">
        <f>COUNTIFS('تجربه‌گرها'!$B:$B,$A207,'تجربه‌گرها'!$F:$F,N$1)</f>
        <v>0</v>
      </c>
      <c r="O207" s="242">
        <f>COUNTIFS('تجربه‌گرها'!$B:$B,$A207,'تجربه‌گرها'!$F:$F,O$1)</f>
        <v>0</v>
      </c>
      <c r="P207" s="242">
        <f>COUNTIFS('تجربه‌گرها'!$B:$B,$A207,'تجربه‌گرها'!$F:$F,P$1)</f>
        <v>0</v>
      </c>
      <c r="Q207" s="242">
        <f>COUNTIFS('تجربه‌گرها'!$B:$B,$A207,'تجربه‌گرها'!$F:$F,Q$1)</f>
        <v>0</v>
      </c>
      <c r="R207" s="242">
        <f>COUNTIFS('تجربه‌گرها'!$B:$B,$A207,'تجربه‌گرها'!$F:$F,R$1)</f>
        <v>0</v>
      </c>
      <c r="S207" s="242">
        <f>COUNTIFS('تجربه‌گرها'!$B:$B,$A207,'تجربه‌گرها'!$F:$F,S$1)</f>
        <v>0</v>
      </c>
      <c r="T207" s="242">
        <f>COUNTIFS('تجربه‌گرها'!$B:$B,$A207,'تجربه‌گرها'!$F:$F,T$1)</f>
        <v>0</v>
      </c>
      <c r="U207" s="242"/>
      <c r="V207" s="242"/>
      <c r="W207" s="242"/>
      <c r="X207" s="242"/>
      <c r="Y207" s="242"/>
      <c r="Z207" s="242"/>
      <c r="AA207" s="242"/>
      <c r="AB207" s="242"/>
    </row>
    <row r="208" hidden="1">
      <c r="A208" s="244" t="s">
        <v>1980</v>
      </c>
      <c r="B208" s="245" t="str">
        <f>VLOOKUP(A208,'تجربه‌گرها'!B:C,2,FALSE())</f>
        <v>NA</v>
      </c>
      <c r="C208" s="242"/>
      <c r="D208" s="242">
        <f t="shared" si="1"/>
        <v>1</v>
      </c>
      <c r="E208" s="242">
        <f>COUNTIFS('تجربه‌گرها'!$B:$B,$A208,'تجربه‌گرها'!$F:$F,E$1)</f>
        <v>0</v>
      </c>
      <c r="F208" s="242">
        <f>COUNTIFS('تجربه‌گرها'!$B:$B,$A208,'تجربه‌گرها'!$F:$F,F$1)</f>
        <v>1</v>
      </c>
      <c r="G208" s="242">
        <f>COUNTIFS('تجربه‌گرها'!$B:$B,$A208,'تجربه‌گرها'!$F:$F,G$1)</f>
        <v>0</v>
      </c>
      <c r="H208" s="242">
        <f>COUNTIFS('تجربه‌گرها'!$B:$B,$A208,'تجربه‌گرها'!$F:$F,H$1)</f>
        <v>0</v>
      </c>
      <c r="I208" s="242">
        <f>COUNTIFS('تجربه‌گرها'!$B:$B,$A208,'تجربه‌گرها'!$F:$F,I$1)</f>
        <v>0</v>
      </c>
      <c r="J208" s="242">
        <f>COUNTIFS('تجربه‌گرها'!$B:$B,$A208,'تجربه‌گرها'!$F:$F,J$1)</f>
        <v>0</v>
      </c>
      <c r="K208" s="242">
        <f>COUNTIFS('تجربه‌گرها'!$B:$B,$A208,'تجربه‌گرها'!$F:$F,K$1)</f>
        <v>0</v>
      </c>
      <c r="L208" s="242">
        <f>COUNTIFS('تجربه‌گرها'!$B:$B,$A208,'تجربه‌گرها'!$F:$F,L$1)</f>
        <v>0</v>
      </c>
      <c r="M208" s="242">
        <f>COUNTIFS('تجربه‌گرها'!$B:$B,$A208,'تجربه‌گرها'!$F:$F,M$1)</f>
        <v>0</v>
      </c>
      <c r="N208" s="242">
        <f>COUNTIFS('تجربه‌گرها'!$B:$B,$A208,'تجربه‌گرها'!$F:$F,N$1)</f>
        <v>0</v>
      </c>
      <c r="O208" s="242">
        <f>COUNTIFS('تجربه‌گرها'!$B:$B,$A208,'تجربه‌گرها'!$F:$F,O$1)</f>
        <v>0</v>
      </c>
      <c r="P208" s="242">
        <f>COUNTIFS('تجربه‌گرها'!$B:$B,$A208,'تجربه‌گرها'!$F:$F,P$1)</f>
        <v>0</v>
      </c>
      <c r="Q208" s="242">
        <f>COUNTIFS('تجربه‌گرها'!$B:$B,$A208,'تجربه‌گرها'!$F:$F,Q$1)</f>
        <v>0</v>
      </c>
      <c r="R208" s="242">
        <f>COUNTIFS('تجربه‌گرها'!$B:$B,$A208,'تجربه‌گرها'!$F:$F,R$1)</f>
        <v>0</v>
      </c>
      <c r="S208" s="242">
        <f>COUNTIFS('تجربه‌گرها'!$B:$B,$A208,'تجربه‌گرها'!$F:$F,S$1)</f>
        <v>0</v>
      </c>
      <c r="T208" s="242">
        <f>COUNTIFS('تجربه‌گرها'!$B:$B,$A208,'تجربه‌گرها'!$F:$F,T$1)</f>
        <v>0</v>
      </c>
      <c r="U208" s="242"/>
      <c r="V208" s="242"/>
      <c r="W208" s="242"/>
      <c r="X208" s="242"/>
      <c r="Y208" s="242"/>
      <c r="Z208" s="242"/>
      <c r="AA208" s="242"/>
      <c r="AB208" s="242"/>
    </row>
    <row r="209" hidden="1">
      <c r="A209" s="244" t="s">
        <v>1983</v>
      </c>
      <c r="B209" s="245" t="str">
        <f>VLOOKUP(A209,'تجربه‌گرها'!B:C,2,FALSE())</f>
        <v>NA</v>
      </c>
      <c r="C209" s="242"/>
      <c r="D209" s="242">
        <f t="shared" si="1"/>
        <v>1</v>
      </c>
      <c r="E209" s="242">
        <f>COUNTIFS('تجربه‌گرها'!$B:$B,$A209,'تجربه‌گرها'!$F:$F,E$1)</f>
        <v>0</v>
      </c>
      <c r="F209" s="242">
        <f>COUNTIFS('تجربه‌گرها'!$B:$B,$A209,'تجربه‌گرها'!$F:$F,F$1)</f>
        <v>1</v>
      </c>
      <c r="G209" s="242">
        <f>COUNTIFS('تجربه‌گرها'!$B:$B,$A209,'تجربه‌گرها'!$F:$F,G$1)</f>
        <v>0</v>
      </c>
      <c r="H209" s="242">
        <f>COUNTIFS('تجربه‌گرها'!$B:$B,$A209,'تجربه‌گرها'!$F:$F,H$1)</f>
        <v>0</v>
      </c>
      <c r="I209" s="242">
        <f>COUNTIFS('تجربه‌گرها'!$B:$B,$A209,'تجربه‌گرها'!$F:$F,I$1)</f>
        <v>0</v>
      </c>
      <c r="J209" s="242">
        <f>COUNTIFS('تجربه‌گرها'!$B:$B,$A209,'تجربه‌گرها'!$F:$F,J$1)</f>
        <v>0</v>
      </c>
      <c r="K209" s="242">
        <f>COUNTIFS('تجربه‌گرها'!$B:$B,$A209,'تجربه‌گرها'!$F:$F,K$1)</f>
        <v>0</v>
      </c>
      <c r="L209" s="242">
        <f>COUNTIFS('تجربه‌گرها'!$B:$B,$A209,'تجربه‌گرها'!$F:$F,L$1)</f>
        <v>0</v>
      </c>
      <c r="M209" s="242">
        <f>COUNTIFS('تجربه‌گرها'!$B:$B,$A209,'تجربه‌گرها'!$F:$F,M$1)</f>
        <v>0</v>
      </c>
      <c r="N209" s="242">
        <f>COUNTIFS('تجربه‌گرها'!$B:$B,$A209,'تجربه‌گرها'!$F:$F,N$1)</f>
        <v>0</v>
      </c>
      <c r="O209" s="242">
        <f>COUNTIFS('تجربه‌گرها'!$B:$B,$A209,'تجربه‌گرها'!$F:$F,O$1)</f>
        <v>0</v>
      </c>
      <c r="P209" s="242">
        <f>COUNTIFS('تجربه‌گرها'!$B:$B,$A209,'تجربه‌گرها'!$F:$F,P$1)</f>
        <v>0</v>
      </c>
      <c r="Q209" s="242">
        <f>COUNTIFS('تجربه‌گرها'!$B:$B,$A209,'تجربه‌گرها'!$F:$F,Q$1)</f>
        <v>0</v>
      </c>
      <c r="R209" s="242">
        <f>COUNTIFS('تجربه‌گرها'!$B:$B,$A209,'تجربه‌گرها'!$F:$F,R$1)</f>
        <v>0</v>
      </c>
      <c r="S209" s="242">
        <f>COUNTIFS('تجربه‌گرها'!$B:$B,$A209,'تجربه‌گرها'!$F:$F,S$1)</f>
        <v>0</v>
      </c>
      <c r="T209" s="242">
        <f>COUNTIFS('تجربه‌گرها'!$B:$B,$A209,'تجربه‌گرها'!$F:$F,T$1)</f>
        <v>0</v>
      </c>
      <c r="U209" s="242"/>
      <c r="V209" s="242"/>
      <c r="W209" s="242"/>
      <c r="X209" s="242"/>
      <c r="Y209" s="242"/>
      <c r="Z209" s="242"/>
      <c r="AA209" s="242"/>
      <c r="AB209" s="242"/>
    </row>
    <row r="210" hidden="1">
      <c r="A210" s="244" t="s">
        <v>1988</v>
      </c>
      <c r="B210" s="245" t="str">
        <f>VLOOKUP(A210,'تجربه‌گرها'!B:C,2,FALSE())</f>
        <v>9375566608</v>
      </c>
      <c r="C210" s="242"/>
      <c r="D210" s="242">
        <f t="shared" si="1"/>
        <v>1</v>
      </c>
      <c r="E210" s="242">
        <f>COUNTIFS('تجربه‌گرها'!$B:$B,$A210,'تجربه‌گرها'!$F:$F,E$1)</f>
        <v>0</v>
      </c>
      <c r="F210" s="242">
        <f>COUNTIFS('تجربه‌گرها'!$B:$B,$A210,'تجربه‌گرها'!$F:$F,F$1)</f>
        <v>1</v>
      </c>
      <c r="G210" s="242">
        <f>COUNTIFS('تجربه‌گرها'!$B:$B,$A210,'تجربه‌گرها'!$F:$F,G$1)</f>
        <v>0</v>
      </c>
      <c r="H210" s="242">
        <f>COUNTIFS('تجربه‌گرها'!$B:$B,$A210,'تجربه‌گرها'!$F:$F,H$1)</f>
        <v>0</v>
      </c>
      <c r="I210" s="242">
        <f>COUNTIFS('تجربه‌گرها'!$B:$B,$A210,'تجربه‌گرها'!$F:$F,I$1)</f>
        <v>0</v>
      </c>
      <c r="J210" s="242">
        <f>COUNTIFS('تجربه‌گرها'!$B:$B,$A210,'تجربه‌گرها'!$F:$F,J$1)</f>
        <v>0</v>
      </c>
      <c r="K210" s="242">
        <f>COUNTIFS('تجربه‌گرها'!$B:$B,$A210,'تجربه‌گرها'!$F:$F,K$1)</f>
        <v>0</v>
      </c>
      <c r="L210" s="242">
        <f>COUNTIFS('تجربه‌گرها'!$B:$B,$A210,'تجربه‌گرها'!$F:$F,L$1)</f>
        <v>0</v>
      </c>
      <c r="M210" s="242">
        <f>COUNTIFS('تجربه‌گرها'!$B:$B,$A210,'تجربه‌گرها'!$F:$F,M$1)</f>
        <v>0</v>
      </c>
      <c r="N210" s="242">
        <f>COUNTIFS('تجربه‌گرها'!$B:$B,$A210,'تجربه‌گرها'!$F:$F,N$1)</f>
        <v>0</v>
      </c>
      <c r="O210" s="242">
        <f>COUNTIFS('تجربه‌گرها'!$B:$B,$A210,'تجربه‌گرها'!$F:$F,O$1)</f>
        <v>0</v>
      </c>
      <c r="P210" s="242">
        <f>COUNTIFS('تجربه‌گرها'!$B:$B,$A210,'تجربه‌گرها'!$F:$F,P$1)</f>
        <v>0</v>
      </c>
      <c r="Q210" s="242">
        <f>COUNTIFS('تجربه‌گرها'!$B:$B,$A210,'تجربه‌گرها'!$F:$F,Q$1)</f>
        <v>0</v>
      </c>
      <c r="R210" s="242">
        <f>COUNTIFS('تجربه‌گرها'!$B:$B,$A210,'تجربه‌گرها'!$F:$F,R$1)</f>
        <v>0</v>
      </c>
      <c r="S210" s="242">
        <f>COUNTIFS('تجربه‌گرها'!$B:$B,$A210,'تجربه‌گرها'!$F:$F,S$1)</f>
        <v>0</v>
      </c>
      <c r="T210" s="242">
        <f>COUNTIFS('تجربه‌گرها'!$B:$B,$A210,'تجربه‌گرها'!$F:$F,T$1)</f>
        <v>0</v>
      </c>
      <c r="U210" s="242"/>
      <c r="V210" s="242"/>
      <c r="W210" s="242"/>
      <c r="X210" s="242"/>
      <c r="Y210" s="242"/>
      <c r="Z210" s="242"/>
      <c r="AA210" s="242"/>
      <c r="AB210" s="242"/>
    </row>
    <row r="211" hidden="1">
      <c r="A211" s="244" t="s">
        <v>1994</v>
      </c>
      <c r="B211" s="245" t="str">
        <f>VLOOKUP(A211,'تجربه‌گرها'!B:C,2,FALSE())</f>
        <v>9359966652</v>
      </c>
      <c r="C211" s="242"/>
      <c r="D211" s="242">
        <f t="shared" si="1"/>
        <v>1</v>
      </c>
      <c r="E211" s="242">
        <f>COUNTIFS('تجربه‌گرها'!$B:$B,$A211,'تجربه‌گرها'!$F:$F,E$1)</f>
        <v>0</v>
      </c>
      <c r="F211" s="242">
        <f>COUNTIFS('تجربه‌گرها'!$B:$B,$A211,'تجربه‌گرها'!$F:$F,F$1)</f>
        <v>1</v>
      </c>
      <c r="G211" s="242">
        <f>COUNTIFS('تجربه‌گرها'!$B:$B,$A211,'تجربه‌گرها'!$F:$F,G$1)</f>
        <v>0</v>
      </c>
      <c r="H211" s="242">
        <f>COUNTIFS('تجربه‌گرها'!$B:$B,$A211,'تجربه‌گرها'!$F:$F,H$1)</f>
        <v>0</v>
      </c>
      <c r="I211" s="242">
        <f>COUNTIFS('تجربه‌گرها'!$B:$B,$A211,'تجربه‌گرها'!$F:$F,I$1)</f>
        <v>0</v>
      </c>
      <c r="J211" s="242">
        <f>COUNTIFS('تجربه‌گرها'!$B:$B,$A211,'تجربه‌گرها'!$F:$F,J$1)</f>
        <v>0</v>
      </c>
      <c r="K211" s="242">
        <f>COUNTIFS('تجربه‌گرها'!$B:$B,$A211,'تجربه‌گرها'!$F:$F,K$1)</f>
        <v>0</v>
      </c>
      <c r="L211" s="242">
        <f>COUNTIFS('تجربه‌گرها'!$B:$B,$A211,'تجربه‌گرها'!$F:$F,L$1)</f>
        <v>0</v>
      </c>
      <c r="M211" s="242">
        <f>COUNTIFS('تجربه‌گرها'!$B:$B,$A211,'تجربه‌گرها'!$F:$F,M$1)</f>
        <v>0</v>
      </c>
      <c r="N211" s="242">
        <f>COUNTIFS('تجربه‌گرها'!$B:$B,$A211,'تجربه‌گرها'!$F:$F,N$1)</f>
        <v>0</v>
      </c>
      <c r="O211" s="242">
        <f>COUNTIFS('تجربه‌گرها'!$B:$B,$A211,'تجربه‌گرها'!$F:$F,O$1)</f>
        <v>0</v>
      </c>
      <c r="P211" s="242">
        <f>COUNTIFS('تجربه‌گرها'!$B:$B,$A211,'تجربه‌گرها'!$F:$F,P$1)</f>
        <v>0</v>
      </c>
      <c r="Q211" s="242">
        <f>COUNTIFS('تجربه‌گرها'!$B:$B,$A211,'تجربه‌گرها'!$F:$F,Q$1)</f>
        <v>0</v>
      </c>
      <c r="R211" s="242">
        <f>COUNTIFS('تجربه‌گرها'!$B:$B,$A211,'تجربه‌گرها'!$F:$F,R$1)</f>
        <v>0</v>
      </c>
      <c r="S211" s="242">
        <f>COUNTIFS('تجربه‌گرها'!$B:$B,$A211,'تجربه‌گرها'!$F:$F,S$1)</f>
        <v>0</v>
      </c>
      <c r="T211" s="242">
        <f>COUNTIFS('تجربه‌گرها'!$B:$B,$A211,'تجربه‌گرها'!$F:$F,T$1)</f>
        <v>0</v>
      </c>
      <c r="U211" s="242"/>
      <c r="V211" s="242"/>
      <c r="W211" s="242"/>
      <c r="X211" s="242"/>
      <c r="Y211" s="242"/>
      <c r="Z211" s="242"/>
      <c r="AA211" s="242"/>
      <c r="AB211" s="242"/>
    </row>
    <row r="212" hidden="1">
      <c r="A212" s="244" t="s">
        <v>2000</v>
      </c>
      <c r="B212" s="245" t="str">
        <f>VLOOKUP(A212,'تجربه‌گرها'!B:C,2,FALSE())</f>
        <v>9125041081</v>
      </c>
      <c r="C212" s="242"/>
      <c r="D212" s="242">
        <f t="shared" si="1"/>
        <v>1</v>
      </c>
      <c r="E212" s="242">
        <f>COUNTIFS('تجربه‌گرها'!$B:$B,$A212,'تجربه‌گرها'!$F:$F,E$1)</f>
        <v>0</v>
      </c>
      <c r="F212" s="242">
        <f>COUNTIFS('تجربه‌گرها'!$B:$B,$A212,'تجربه‌گرها'!$F:$F,F$1)</f>
        <v>1</v>
      </c>
      <c r="G212" s="242">
        <f>COUNTIFS('تجربه‌گرها'!$B:$B,$A212,'تجربه‌گرها'!$F:$F,G$1)</f>
        <v>0</v>
      </c>
      <c r="H212" s="242">
        <f>COUNTIFS('تجربه‌گرها'!$B:$B,$A212,'تجربه‌گرها'!$F:$F,H$1)</f>
        <v>0</v>
      </c>
      <c r="I212" s="242">
        <f>COUNTIFS('تجربه‌گرها'!$B:$B,$A212,'تجربه‌گرها'!$F:$F,I$1)</f>
        <v>0</v>
      </c>
      <c r="J212" s="242">
        <f>COUNTIFS('تجربه‌گرها'!$B:$B,$A212,'تجربه‌گرها'!$F:$F,J$1)</f>
        <v>0</v>
      </c>
      <c r="K212" s="242">
        <f>COUNTIFS('تجربه‌گرها'!$B:$B,$A212,'تجربه‌گرها'!$F:$F,K$1)</f>
        <v>0</v>
      </c>
      <c r="L212" s="242">
        <f>COUNTIFS('تجربه‌گرها'!$B:$B,$A212,'تجربه‌گرها'!$F:$F,L$1)</f>
        <v>0</v>
      </c>
      <c r="M212" s="242">
        <f>COUNTIFS('تجربه‌گرها'!$B:$B,$A212,'تجربه‌گرها'!$F:$F,M$1)</f>
        <v>0</v>
      </c>
      <c r="N212" s="242">
        <f>COUNTIFS('تجربه‌گرها'!$B:$B,$A212,'تجربه‌گرها'!$F:$F,N$1)</f>
        <v>0</v>
      </c>
      <c r="O212" s="242">
        <f>COUNTIFS('تجربه‌گرها'!$B:$B,$A212,'تجربه‌گرها'!$F:$F,O$1)</f>
        <v>0</v>
      </c>
      <c r="P212" s="242">
        <f>COUNTIFS('تجربه‌گرها'!$B:$B,$A212,'تجربه‌گرها'!$F:$F,P$1)</f>
        <v>0</v>
      </c>
      <c r="Q212" s="242">
        <f>COUNTIFS('تجربه‌گرها'!$B:$B,$A212,'تجربه‌گرها'!$F:$F,Q$1)</f>
        <v>0</v>
      </c>
      <c r="R212" s="242">
        <f>COUNTIFS('تجربه‌گرها'!$B:$B,$A212,'تجربه‌گرها'!$F:$F,R$1)</f>
        <v>0</v>
      </c>
      <c r="S212" s="242">
        <f>COUNTIFS('تجربه‌گرها'!$B:$B,$A212,'تجربه‌گرها'!$F:$F,S$1)</f>
        <v>0</v>
      </c>
      <c r="T212" s="242">
        <f>COUNTIFS('تجربه‌گرها'!$B:$B,$A212,'تجربه‌گرها'!$F:$F,T$1)</f>
        <v>0</v>
      </c>
      <c r="U212" s="242"/>
      <c r="V212" s="242"/>
      <c r="W212" s="242"/>
      <c r="X212" s="242"/>
      <c r="Y212" s="242"/>
      <c r="Z212" s="242"/>
      <c r="AA212" s="242"/>
      <c r="AB212" s="242"/>
    </row>
    <row r="213" hidden="1">
      <c r="A213" s="244" t="s">
        <v>2006</v>
      </c>
      <c r="B213" s="245" t="str">
        <f>VLOOKUP(A213,'تجربه‌گرها'!B:C,2,FALSE())</f>
        <v>9121009490</v>
      </c>
      <c r="C213" s="242"/>
      <c r="D213" s="242">
        <f t="shared" si="1"/>
        <v>1</v>
      </c>
      <c r="E213" s="242">
        <f>COUNTIFS('تجربه‌گرها'!$B:$B,$A213,'تجربه‌گرها'!$F:$F,E$1)</f>
        <v>0</v>
      </c>
      <c r="F213" s="242">
        <f>COUNTIFS('تجربه‌گرها'!$B:$B,$A213,'تجربه‌گرها'!$F:$F,F$1)</f>
        <v>1</v>
      </c>
      <c r="G213" s="242">
        <f>COUNTIFS('تجربه‌گرها'!$B:$B,$A213,'تجربه‌گرها'!$F:$F,G$1)</f>
        <v>0</v>
      </c>
      <c r="H213" s="242">
        <f>COUNTIFS('تجربه‌گرها'!$B:$B,$A213,'تجربه‌گرها'!$F:$F,H$1)</f>
        <v>0</v>
      </c>
      <c r="I213" s="242">
        <f>COUNTIFS('تجربه‌گرها'!$B:$B,$A213,'تجربه‌گرها'!$F:$F,I$1)</f>
        <v>0</v>
      </c>
      <c r="J213" s="242">
        <f>COUNTIFS('تجربه‌گرها'!$B:$B,$A213,'تجربه‌گرها'!$F:$F,J$1)</f>
        <v>0</v>
      </c>
      <c r="K213" s="242">
        <f>COUNTIFS('تجربه‌گرها'!$B:$B,$A213,'تجربه‌گرها'!$F:$F,K$1)</f>
        <v>0</v>
      </c>
      <c r="L213" s="242">
        <f>COUNTIFS('تجربه‌گرها'!$B:$B,$A213,'تجربه‌گرها'!$F:$F,L$1)</f>
        <v>0</v>
      </c>
      <c r="M213" s="242">
        <f>COUNTIFS('تجربه‌گرها'!$B:$B,$A213,'تجربه‌گرها'!$F:$F,M$1)</f>
        <v>0</v>
      </c>
      <c r="N213" s="242">
        <f>COUNTIFS('تجربه‌گرها'!$B:$B,$A213,'تجربه‌گرها'!$F:$F,N$1)</f>
        <v>0</v>
      </c>
      <c r="O213" s="242">
        <f>COUNTIFS('تجربه‌گرها'!$B:$B,$A213,'تجربه‌گرها'!$F:$F,O$1)</f>
        <v>0</v>
      </c>
      <c r="P213" s="242">
        <f>COUNTIFS('تجربه‌گرها'!$B:$B,$A213,'تجربه‌گرها'!$F:$F,P$1)</f>
        <v>0</v>
      </c>
      <c r="Q213" s="242">
        <f>COUNTIFS('تجربه‌گرها'!$B:$B,$A213,'تجربه‌گرها'!$F:$F,Q$1)</f>
        <v>0</v>
      </c>
      <c r="R213" s="242">
        <f>COUNTIFS('تجربه‌گرها'!$B:$B,$A213,'تجربه‌گرها'!$F:$F,R$1)</f>
        <v>0</v>
      </c>
      <c r="S213" s="242">
        <f>COUNTIFS('تجربه‌گرها'!$B:$B,$A213,'تجربه‌گرها'!$F:$F,S$1)</f>
        <v>0</v>
      </c>
      <c r="T213" s="242">
        <f>COUNTIFS('تجربه‌گرها'!$B:$B,$A213,'تجربه‌گرها'!$F:$F,T$1)</f>
        <v>0</v>
      </c>
      <c r="U213" s="242"/>
      <c r="V213" s="242"/>
      <c r="W213" s="242"/>
      <c r="X213" s="242"/>
      <c r="Y213" s="242"/>
      <c r="Z213" s="242"/>
      <c r="AA213" s="242"/>
      <c r="AB213" s="242"/>
    </row>
    <row r="214" hidden="1">
      <c r="A214" s="244" t="s">
        <v>2010</v>
      </c>
      <c r="B214" s="245" t="str">
        <f>VLOOKUP(A214,'تجربه‌گرها'!B:C,2,FALSE())</f>
        <v>9124337301</v>
      </c>
      <c r="C214" s="242"/>
      <c r="D214" s="242">
        <f t="shared" si="1"/>
        <v>1</v>
      </c>
      <c r="E214" s="242">
        <f>COUNTIFS('تجربه‌گرها'!$B:$B,$A214,'تجربه‌گرها'!$F:$F,E$1)</f>
        <v>0</v>
      </c>
      <c r="F214" s="242">
        <f>COUNTIFS('تجربه‌گرها'!$B:$B,$A214,'تجربه‌گرها'!$F:$F,F$1)</f>
        <v>1</v>
      </c>
      <c r="G214" s="242">
        <f>COUNTIFS('تجربه‌گرها'!$B:$B,$A214,'تجربه‌گرها'!$F:$F,G$1)</f>
        <v>0</v>
      </c>
      <c r="H214" s="242">
        <f>COUNTIFS('تجربه‌گرها'!$B:$B,$A214,'تجربه‌گرها'!$F:$F,H$1)</f>
        <v>0</v>
      </c>
      <c r="I214" s="242">
        <f>COUNTIFS('تجربه‌گرها'!$B:$B,$A214,'تجربه‌گرها'!$F:$F,I$1)</f>
        <v>0</v>
      </c>
      <c r="J214" s="242">
        <f>COUNTIFS('تجربه‌گرها'!$B:$B,$A214,'تجربه‌گرها'!$F:$F,J$1)</f>
        <v>0</v>
      </c>
      <c r="K214" s="242">
        <f>COUNTIFS('تجربه‌گرها'!$B:$B,$A214,'تجربه‌گرها'!$F:$F,K$1)</f>
        <v>0</v>
      </c>
      <c r="L214" s="242">
        <f>COUNTIFS('تجربه‌گرها'!$B:$B,$A214,'تجربه‌گرها'!$F:$F,L$1)</f>
        <v>0</v>
      </c>
      <c r="M214" s="242">
        <f>COUNTIFS('تجربه‌گرها'!$B:$B,$A214,'تجربه‌گرها'!$F:$F,M$1)</f>
        <v>0</v>
      </c>
      <c r="N214" s="242">
        <f>COUNTIFS('تجربه‌گرها'!$B:$B,$A214,'تجربه‌گرها'!$F:$F,N$1)</f>
        <v>0</v>
      </c>
      <c r="O214" s="242">
        <f>COUNTIFS('تجربه‌گرها'!$B:$B,$A214,'تجربه‌گرها'!$F:$F,O$1)</f>
        <v>0</v>
      </c>
      <c r="P214" s="242">
        <f>COUNTIFS('تجربه‌گرها'!$B:$B,$A214,'تجربه‌گرها'!$F:$F,P$1)</f>
        <v>0</v>
      </c>
      <c r="Q214" s="242">
        <f>COUNTIFS('تجربه‌گرها'!$B:$B,$A214,'تجربه‌گرها'!$F:$F,Q$1)</f>
        <v>0</v>
      </c>
      <c r="R214" s="242">
        <f>COUNTIFS('تجربه‌گرها'!$B:$B,$A214,'تجربه‌گرها'!$F:$F,R$1)</f>
        <v>0</v>
      </c>
      <c r="S214" s="242">
        <f>COUNTIFS('تجربه‌گرها'!$B:$B,$A214,'تجربه‌گرها'!$F:$F,S$1)</f>
        <v>0</v>
      </c>
      <c r="T214" s="242">
        <f>COUNTIFS('تجربه‌گرها'!$B:$B,$A214,'تجربه‌گرها'!$F:$F,T$1)</f>
        <v>0</v>
      </c>
      <c r="U214" s="242"/>
      <c r="V214" s="242"/>
      <c r="W214" s="242"/>
      <c r="X214" s="242"/>
      <c r="Y214" s="242"/>
      <c r="Z214" s="242"/>
      <c r="AA214" s="242"/>
      <c r="AB214" s="242"/>
    </row>
    <row r="215" hidden="1">
      <c r="A215" s="244" t="s">
        <v>2014</v>
      </c>
      <c r="B215" s="245" t="str">
        <f>VLOOKUP(A215,'تجربه‌گرها'!B:C,2,FALSE())</f>
        <v>9192065596</v>
      </c>
      <c r="C215" s="242"/>
      <c r="D215" s="242">
        <f t="shared" si="1"/>
        <v>1</v>
      </c>
      <c r="E215" s="242">
        <f>COUNTIFS('تجربه‌گرها'!$B:$B,$A215,'تجربه‌گرها'!$F:$F,E$1)</f>
        <v>0</v>
      </c>
      <c r="F215" s="242">
        <f>COUNTIFS('تجربه‌گرها'!$B:$B,$A215,'تجربه‌گرها'!$F:$F,F$1)</f>
        <v>1</v>
      </c>
      <c r="G215" s="242">
        <f>COUNTIFS('تجربه‌گرها'!$B:$B,$A215,'تجربه‌گرها'!$F:$F,G$1)</f>
        <v>0</v>
      </c>
      <c r="H215" s="242">
        <f>COUNTIFS('تجربه‌گرها'!$B:$B,$A215,'تجربه‌گرها'!$F:$F,H$1)</f>
        <v>0</v>
      </c>
      <c r="I215" s="242">
        <f>COUNTIFS('تجربه‌گرها'!$B:$B,$A215,'تجربه‌گرها'!$F:$F,I$1)</f>
        <v>0</v>
      </c>
      <c r="J215" s="242">
        <f>COUNTIFS('تجربه‌گرها'!$B:$B,$A215,'تجربه‌گرها'!$F:$F,J$1)</f>
        <v>0</v>
      </c>
      <c r="K215" s="242">
        <f>COUNTIFS('تجربه‌گرها'!$B:$B,$A215,'تجربه‌گرها'!$F:$F,K$1)</f>
        <v>0</v>
      </c>
      <c r="L215" s="242">
        <f>COUNTIFS('تجربه‌گرها'!$B:$B,$A215,'تجربه‌گرها'!$F:$F,L$1)</f>
        <v>0</v>
      </c>
      <c r="M215" s="242">
        <f>COUNTIFS('تجربه‌گرها'!$B:$B,$A215,'تجربه‌گرها'!$F:$F,M$1)</f>
        <v>0</v>
      </c>
      <c r="N215" s="242">
        <f>COUNTIFS('تجربه‌گرها'!$B:$B,$A215,'تجربه‌گرها'!$F:$F,N$1)</f>
        <v>0</v>
      </c>
      <c r="O215" s="242">
        <f>COUNTIFS('تجربه‌گرها'!$B:$B,$A215,'تجربه‌گرها'!$F:$F,O$1)</f>
        <v>0</v>
      </c>
      <c r="P215" s="242">
        <f>COUNTIFS('تجربه‌گرها'!$B:$B,$A215,'تجربه‌گرها'!$F:$F,P$1)</f>
        <v>0</v>
      </c>
      <c r="Q215" s="242">
        <f>COUNTIFS('تجربه‌گرها'!$B:$B,$A215,'تجربه‌گرها'!$F:$F,Q$1)</f>
        <v>0</v>
      </c>
      <c r="R215" s="242">
        <f>COUNTIFS('تجربه‌گرها'!$B:$B,$A215,'تجربه‌گرها'!$F:$F,R$1)</f>
        <v>0</v>
      </c>
      <c r="S215" s="242">
        <f>COUNTIFS('تجربه‌گرها'!$B:$B,$A215,'تجربه‌گرها'!$F:$F,S$1)</f>
        <v>0</v>
      </c>
      <c r="T215" s="242">
        <f>COUNTIFS('تجربه‌گرها'!$B:$B,$A215,'تجربه‌گرها'!$F:$F,T$1)</f>
        <v>0</v>
      </c>
      <c r="U215" s="242"/>
      <c r="V215" s="242"/>
      <c r="W215" s="242"/>
      <c r="X215" s="242"/>
      <c r="Y215" s="242"/>
      <c r="Z215" s="242"/>
      <c r="AA215" s="242"/>
      <c r="AB215" s="242"/>
    </row>
    <row r="216" hidden="1">
      <c r="A216" s="244" t="s">
        <v>2020</v>
      </c>
      <c r="B216" s="245" t="str">
        <f>VLOOKUP(A216,'تجربه‌گرها'!B:C,2,FALSE())</f>
        <v>9122487256</v>
      </c>
      <c r="C216" s="242"/>
      <c r="D216" s="242">
        <f t="shared" si="1"/>
        <v>1</v>
      </c>
      <c r="E216" s="242">
        <f>COUNTIFS('تجربه‌گرها'!$B:$B,$A216,'تجربه‌گرها'!$F:$F,E$1)</f>
        <v>0</v>
      </c>
      <c r="F216" s="242">
        <f>COUNTIFS('تجربه‌گرها'!$B:$B,$A216,'تجربه‌گرها'!$F:$F,F$1)</f>
        <v>1</v>
      </c>
      <c r="G216" s="242">
        <f>COUNTIFS('تجربه‌گرها'!$B:$B,$A216,'تجربه‌گرها'!$F:$F,G$1)</f>
        <v>0</v>
      </c>
      <c r="H216" s="242">
        <f>COUNTIFS('تجربه‌گرها'!$B:$B,$A216,'تجربه‌گرها'!$F:$F,H$1)</f>
        <v>0</v>
      </c>
      <c r="I216" s="242">
        <f>COUNTIFS('تجربه‌گرها'!$B:$B,$A216,'تجربه‌گرها'!$F:$F,I$1)</f>
        <v>0</v>
      </c>
      <c r="J216" s="242">
        <f>COUNTIFS('تجربه‌گرها'!$B:$B,$A216,'تجربه‌گرها'!$F:$F,J$1)</f>
        <v>0</v>
      </c>
      <c r="K216" s="242">
        <f>COUNTIFS('تجربه‌گرها'!$B:$B,$A216,'تجربه‌گرها'!$F:$F,K$1)</f>
        <v>0</v>
      </c>
      <c r="L216" s="242">
        <f>COUNTIFS('تجربه‌گرها'!$B:$B,$A216,'تجربه‌گرها'!$F:$F,L$1)</f>
        <v>0</v>
      </c>
      <c r="M216" s="242">
        <f>COUNTIFS('تجربه‌گرها'!$B:$B,$A216,'تجربه‌گرها'!$F:$F,M$1)</f>
        <v>0</v>
      </c>
      <c r="N216" s="242">
        <f>COUNTIFS('تجربه‌گرها'!$B:$B,$A216,'تجربه‌گرها'!$F:$F,N$1)</f>
        <v>0</v>
      </c>
      <c r="O216" s="242">
        <f>COUNTIFS('تجربه‌گرها'!$B:$B,$A216,'تجربه‌گرها'!$F:$F,O$1)</f>
        <v>0</v>
      </c>
      <c r="P216" s="242">
        <f>COUNTIFS('تجربه‌گرها'!$B:$B,$A216,'تجربه‌گرها'!$F:$F,P$1)</f>
        <v>0</v>
      </c>
      <c r="Q216" s="242">
        <f>COUNTIFS('تجربه‌گرها'!$B:$B,$A216,'تجربه‌گرها'!$F:$F,Q$1)</f>
        <v>0</v>
      </c>
      <c r="R216" s="242">
        <f>COUNTIFS('تجربه‌گرها'!$B:$B,$A216,'تجربه‌گرها'!$F:$F,R$1)</f>
        <v>0</v>
      </c>
      <c r="S216" s="242">
        <f>COUNTIFS('تجربه‌گرها'!$B:$B,$A216,'تجربه‌گرها'!$F:$F,S$1)</f>
        <v>0</v>
      </c>
      <c r="T216" s="242">
        <f>COUNTIFS('تجربه‌گرها'!$B:$B,$A216,'تجربه‌گرها'!$F:$F,T$1)</f>
        <v>0</v>
      </c>
      <c r="U216" s="242"/>
      <c r="V216" s="242"/>
      <c r="W216" s="242"/>
      <c r="X216" s="242"/>
      <c r="Y216" s="242"/>
      <c r="Z216" s="242"/>
      <c r="AA216" s="242"/>
      <c r="AB216" s="242"/>
    </row>
    <row r="217" hidden="1">
      <c r="A217" s="244" t="s">
        <v>2024</v>
      </c>
      <c r="B217" s="245" t="str">
        <f>VLOOKUP(A217,'تجربه‌گرها'!B:C,2,FALSE())</f>
        <v>9124147140</v>
      </c>
      <c r="C217" s="242"/>
      <c r="D217" s="242">
        <f t="shared" si="1"/>
        <v>1</v>
      </c>
      <c r="E217" s="242">
        <f>COUNTIFS('تجربه‌گرها'!$B:$B,$A217,'تجربه‌گرها'!$F:$F,E$1)</f>
        <v>0</v>
      </c>
      <c r="F217" s="242">
        <f>COUNTIFS('تجربه‌گرها'!$B:$B,$A217,'تجربه‌گرها'!$F:$F,F$1)</f>
        <v>1</v>
      </c>
      <c r="G217" s="242">
        <f>COUNTIFS('تجربه‌گرها'!$B:$B,$A217,'تجربه‌گرها'!$F:$F,G$1)</f>
        <v>0</v>
      </c>
      <c r="H217" s="242">
        <f>COUNTIFS('تجربه‌گرها'!$B:$B,$A217,'تجربه‌گرها'!$F:$F,H$1)</f>
        <v>0</v>
      </c>
      <c r="I217" s="242">
        <f>COUNTIFS('تجربه‌گرها'!$B:$B,$A217,'تجربه‌گرها'!$F:$F,I$1)</f>
        <v>0</v>
      </c>
      <c r="J217" s="242">
        <f>COUNTIFS('تجربه‌گرها'!$B:$B,$A217,'تجربه‌گرها'!$F:$F,J$1)</f>
        <v>0</v>
      </c>
      <c r="K217" s="242">
        <f>COUNTIFS('تجربه‌گرها'!$B:$B,$A217,'تجربه‌گرها'!$F:$F,K$1)</f>
        <v>0</v>
      </c>
      <c r="L217" s="242">
        <f>COUNTIFS('تجربه‌گرها'!$B:$B,$A217,'تجربه‌گرها'!$F:$F,L$1)</f>
        <v>0</v>
      </c>
      <c r="M217" s="242">
        <f>COUNTIFS('تجربه‌گرها'!$B:$B,$A217,'تجربه‌گرها'!$F:$F,M$1)</f>
        <v>0</v>
      </c>
      <c r="N217" s="242">
        <f>COUNTIFS('تجربه‌گرها'!$B:$B,$A217,'تجربه‌گرها'!$F:$F,N$1)</f>
        <v>0</v>
      </c>
      <c r="O217" s="242">
        <f>COUNTIFS('تجربه‌گرها'!$B:$B,$A217,'تجربه‌گرها'!$F:$F,O$1)</f>
        <v>0</v>
      </c>
      <c r="P217" s="242">
        <f>COUNTIFS('تجربه‌گرها'!$B:$B,$A217,'تجربه‌گرها'!$F:$F,P$1)</f>
        <v>0</v>
      </c>
      <c r="Q217" s="242">
        <f>COUNTIFS('تجربه‌گرها'!$B:$B,$A217,'تجربه‌گرها'!$F:$F,Q$1)</f>
        <v>0</v>
      </c>
      <c r="R217" s="242">
        <f>COUNTIFS('تجربه‌گرها'!$B:$B,$A217,'تجربه‌گرها'!$F:$F,R$1)</f>
        <v>0</v>
      </c>
      <c r="S217" s="242">
        <f>COUNTIFS('تجربه‌گرها'!$B:$B,$A217,'تجربه‌گرها'!$F:$F,S$1)</f>
        <v>0</v>
      </c>
      <c r="T217" s="242">
        <f>COUNTIFS('تجربه‌گرها'!$B:$B,$A217,'تجربه‌گرها'!$F:$F,T$1)</f>
        <v>0</v>
      </c>
      <c r="U217" s="242"/>
      <c r="V217" s="242"/>
      <c r="W217" s="242"/>
      <c r="X217" s="242"/>
      <c r="Y217" s="242"/>
      <c r="Z217" s="242"/>
      <c r="AA217" s="242"/>
      <c r="AB217" s="242"/>
    </row>
    <row r="218" hidden="1">
      <c r="A218" s="244" t="s">
        <v>2028</v>
      </c>
      <c r="B218" s="245" t="str">
        <f>VLOOKUP(A218,'تجربه‌گرها'!B:C,2,FALSE())</f>
        <v>9364658668</v>
      </c>
      <c r="C218" s="242"/>
      <c r="D218" s="242">
        <f t="shared" si="1"/>
        <v>1</v>
      </c>
      <c r="E218" s="242">
        <f>COUNTIFS('تجربه‌گرها'!$B:$B,$A218,'تجربه‌گرها'!$F:$F,E$1)</f>
        <v>0</v>
      </c>
      <c r="F218" s="242">
        <f>COUNTIFS('تجربه‌گرها'!$B:$B,$A218,'تجربه‌گرها'!$F:$F,F$1)</f>
        <v>1</v>
      </c>
      <c r="G218" s="242">
        <f>COUNTIFS('تجربه‌گرها'!$B:$B,$A218,'تجربه‌گرها'!$F:$F,G$1)</f>
        <v>0</v>
      </c>
      <c r="H218" s="242">
        <f>COUNTIFS('تجربه‌گرها'!$B:$B,$A218,'تجربه‌گرها'!$F:$F,H$1)</f>
        <v>0</v>
      </c>
      <c r="I218" s="242">
        <f>COUNTIFS('تجربه‌گرها'!$B:$B,$A218,'تجربه‌گرها'!$F:$F,I$1)</f>
        <v>0</v>
      </c>
      <c r="J218" s="242">
        <f>COUNTIFS('تجربه‌گرها'!$B:$B,$A218,'تجربه‌گرها'!$F:$F,J$1)</f>
        <v>0</v>
      </c>
      <c r="K218" s="242">
        <f>COUNTIFS('تجربه‌گرها'!$B:$B,$A218,'تجربه‌گرها'!$F:$F,K$1)</f>
        <v>0</v>
      </c>
      <c r="L218" s="242">
        <f>COUNTIFS('تجربه‌گرها'!$B:$B,$A218,'تجربه‌گرها'!$F:$F,L$1)</f>
        <v>0</v>
      </c>
      <c r="M218" s="242">
        <f>COUNTIFS('تجربه‌گرها'!$B:$B,$A218,'تجربه‌گرها'!$F:$F,M$1)</f>
        <v>0</v>
      </c>
      <c r="N218" s="242">
        <f>COUNTIFS('تجربه‌گرها'!$B:$B,$A218,'تجربه‌گرها'!$F:$F,N$1)</f>
        <v>0</v>
      </c>
      <c r="O218" s="242">
        <f>COUNTIFS('تجربه‌گرها'!$B:$B,$A218,'تجربه‌گرها'!$F:$F,O$1)</f>
        <v>0</v>
      </c>
      <c r="P218" s="242">
        <f>COUNTIFS('تجربه‌گرها'!$B:$B,$A218,'تجربه‌گرها'!$F:$F,P$1)</f>
        <v>0</v>
      </c>
      <c r="Q218" s="242">
        <f>COUNTIFS('تجربه‌گرها'!$B:$B,$A218,'تجربه‌گرها'!$F:$F,Q$1)</f>
        <v>0</v>
      </c>
      <c r="R218" s="242">
        <f>COUNTIFS('تجربه‌گرها'!$B:$B,$A218,'تجربه‌گرها'!$F:$F,R$1)</f>
        <v>0</v>
      </c>
      <c r="S218" s="242">
        <f>COUNTIFS('تجربه‌گرها'!$B:$B,$A218,'تجربه‌گرها'!$F:$F,S$1)</f>
        <v>0</v>
      </c>
      <c r="T218" s="242">
        <f>COUNTIFS('تجربه‌گرها'!$B:$B,$A218,'تجربه‌گرها'!$F:$F,T$1)</f>
        <v>0</v>
      </c>
      <c r="U218" s="242"/>
      <c r="V218" s="242"/>
      <c r="W218" s="242"/>
      <c r="X218" s="242"/>
      <c r="Y218" s="242"/>
      <c r="Z218" s="242"/>
      <c r="AA218" s="242"/>
      <c r="AB218" s="242"/>
    </row>
    <row r="219" hidden="1">
      <c r="A219" s="244" t="s">
        <v>2032</v>
      </c>
      <c r="B219" s="245" t="str">
        <f>VLOOKUP(A219,'تجربه‌گرها'!B:C,2,FALSE())</f>
        <v>9124843386</v>
      </c>
      <c r="C219" s="242"/>
      <c r="D219" s="242">
        <f t="shared" si="1"/>
        <v>1</v>
      </c>
      <c r="E219" s="242">
        <f>COUNTIFS('تجربه‌گرها'!$B:$B,$A219,'تجربه‌گرها'!$F:$F,E$1)</f>
        <v>0</v>
      </c>
      <c r="F219" s="242">
        <f>COUNTIFS('تجربه‌گرها'!$B:$B,$A219,'تجربه‌گرها'!$F:$F,F$1)</f>
        <v>1</v>
      </c>
      <c r="G219" s="242">
        <f>COUNTIFS('تجربه‌گرها'!$B:$B,$A219,'تجربه‌گرها'!$F:$F,G$1)</f>
        <v>0</v>
      </c>
      <c r="H219" s="242">
        <f>COUNTIFS('تجربه‌گرها'!$B:$B,$A219,'تجربه‌گرها'!$F:$F,H$1)</f>
        <v>0</v>
      </c>
      <c r="I219" s="242">
        <f>COUNTIFS('تجربه‌گرها'!$B:$B,$A219,'تجربه‌گرها'!$F:$F,I$1)</f>
        <v>0</v>
      </c>
      <c r="J219" s="242">
        <f>COUNTIFS('تجربه‌گرها'!$B:$B,$A219,'تجربه‌گرها'!$F:$F,J$1)</f>
        <v>0</v>
      </c>
      <c r="K219" s="242">
        <f>COUNTIFS('تجربه‌گرها'!$B:$B,$A219,'تجربه‌گرها'!$F:$F,K$1)</f>
        <v>0</v>
      </c>
      <c r="L219" s="242">
        <f>COUNTIFS('تجربه‌گرها'!$B:$B,$A219,'تجربه‌گرها'!$F:$F,L$1)</f>
        <v>0</v>
      </c>
      <c r="M219" s="242">
        <f>COUNTIFS('تجربه‌گرها'!$B:$B,$A219,'تجربه‌گرها'!$F:$F,M$1)</f>
        <v>0</v>
      </c>
      <c r="N219" s="242">
        <f>COUNTIFS('تجربه‌گرها'!$B:$B,$A219,'تجربه‌گرها'!$F:$F,N$1)</f>
        <v>0</v>
      </c>
      <c r="O219" s="242">
        <f>COUNTIFS('تجربه‌گرها'!$B:$B,$A219,'تجربه‌گرها'!$F:$F,O$1)</f>
        <v>0</v>
      </c>
      <c r="P219" s="242">
        <f>COUNTIFS('تجربه‌گرها'!$B:$B,$A219,'تجربه‌گرها'!$F:$F,P$1)</f>
        <v>0</v>
      </c>
      <c r="Q219" s="242">
        <f>COUNTIFS('تجربه‌گرها'!$B:$B,$A219,'تجربه‌گرها'!$F:$F,Q$1)</f>
        <v>0</v>
      </c>
      <c r="R219" s="242">
        <f>COUNTIFS('تجربه‌گرها'!$B:$B,$A219,'تجربه‌گرها'!$F:$F,R$1)</f>
        <v>0</v>
      </c>
      <c r="S219" s="242">
        <f>COUNTIFS('تجربه‌گرها'!$B:$B,$A219,'تجربه‌گرها'!$F:$F,S$1)</f>
        <v>0</v>
      </c>
      <c r="T219" s="242">
        <f>COUNTIFS('تجربه‌گرها'!$B:$B,$A219,'تجربه‌گرها'!$F:$F,T$1)</f>
        <v>0</v>
      </c>
      <c r="U219" s="242"/>
      <c r="V219" s="242"/>
      <c r="W219" s="242"/>
      <c r="X219" s="242"/>
      <c r="Y219" s="242"/>
      <c r="Z219" s="242"/>
      <c r="AA219" s="242"/>
      <c r="AB219" s="242"/>
    </row>
    <row r="220" hidden="1">
      <c r="A220" s="244" t="s">
        <v>2036</v>
      </c>
      <c r="B220" s="245" t="str">
        <f>VLOOKUP(A220,'تجربه‌گرها'!B:C,2,FALSE())</f>
        <v>9122623715</v>
      </c>
      <c r="C220" s="242"/>
      <c r="D220" s="242">
        <f t="shared" si="1"/>
        <v>1</v>
      </c>
      <c r="E220" s="242">
        <f>COUNTIFS('تجربه‌گرها'!$B:$B,$A220,'تجربه‌گرها'!$F:$F,E$1)</f>
        <v>0</v>
      </c>
      <c r="F220" s="242">
        <f>COUNTIFS('تجربه‌گرها'!$B:$B,$A220,'تجربه‌گرها'!$F:$F,F$1)</f>
        <v>1</v>
      </c>
      <c r="G220" s="242">
        <f>COUNTIFS('تجربه‌گرها'!$B:$B,$A220,'تجربه‌گرها'!$F:$F,G$1)</f>
        <v>0</v>
      </c>
      <c r="H220" s="242">
        <f>COUNTIFS('تجربه‌گرها'!$B:$B,$A220,'تجربه‌گرها'!$F:$F,H$1)</f>
        <v>0</v>
      </c>
      <c r="I220" s="242">
        <f>COUNTIFS('تجربه‌گرها'!$B:$B,$A220,'تجربه‌گرها'!$F:$F,I$1)</f>
        <v>0</v>
      </c>
      <c r="J220" s="242">
        <f>COUNTIFS('تجربه‌گرها'!$B:$B,$A220,'تجربه‌گرها'!$F:$F,J$1)</f>
        <v>0</v>
      </c>
      <c r="K220" s="242">
        <f>COUNTIFS('تجربه‌گرها'!$B:$B,$A220,'تجربه‌گرها'!$F:$F,K$1)</f>
        <v>0</v>
      </c>
      <c r="L220" s="242">
        <f>COUNTIFS('تجربه‌گرها'!$B:$B,$A220,'تجربه‌گرها'!$F:$F,L$1)</f>
        <v>0</v>
      </c>
      <c r="M220" s="242">
        <f>COUNTIFS('تجربه‌گرها'!$B:$B,$A220,'تجربه‌گرها'!$F:$F,M$1)</f>
        <v>0</v>
      </c>
      <c r="N220" s="242">
        <f>COUNTIFS('تجربه‌گرها'!$B:$B,$A220,'تجربه‌گرها'!$F:$F,N$1)</f>
        <v>0</v>
      </c>
      <c r="O220" s="242">
        <f>COUNTIFS('تجربه‌گرها'!$B:$B,$A220,'تجربه‌گرها'!$F:$F,O$1)</f>
        <v>0</v>
      </c>
      <c r="P220" s="242">
        <f>COUNTIFS('تجربه‌گرها'!$B:$B,$A220,'تجربه‌گرها'!$F:$F,P$1)</f>
        <v>0</v>
      </c>
      <c r="Q220" s="242">
        <f>COUNTIFS('تجربه‌گرها'!$B:$B,$A220,'تجربه‌گرها'!$F:$F,Q$1)</f>
        <v>0</v>
      </c>
      <c r="R220" s="242">
        <f>COUNTIFS('تجربه‌گرها'!$B:$B,$A220,'تجربه‌گرها'!$F:$F,R$1)</f>
        <v>0</v>
      </c>
      <c r="S220" s="242">
        <f>COUNTIFS('تجربه‌گرها'!$B:$B,$A220,'تجربه‌گرها'!$F:$F,S$1)</f>
        <v>0</v>
      </c>
      <c r="T220" s="242">
        <f>COUNTIFS('تجربه‌گرها'!$B:$B,$A220,'تجربه‌گرها'!$F:$F,T$1)</f>
        <v>0</v>
      </c>
      <c r="U220" s="242"/>
      <c r="V220" s="242"/>
      <c r="W220" s="242"/>
      <c r="X220" s="242"/>
      <c r="Y220" s="242"/>
      <c r="Z220" s="242"/>
      <c r="AA220" s="242"/>
      <c r="AB220" s="242"/>
    </row>
    <row r="221" hidden="1">
      <c r="A221" s="244" t="s">
        <v>2041</v>
      </c>
      <c r="B221" s="245" t="str">
        <f>VLOOKUP(A221,'تجربه‌گرها'!B:C,2,FALSE())</f>
        <v>9123685485</v>
      </c>
      <c r="C221" s="242"/>
      <c r="D221" s="242">
        <f t="shared" si="1"/>
        <v>1</v>
      </c>
      <c r="E221" s="242">
        <f>COUNTIFS('تجربه‌گرها'!$B:$B,$A221,'تجربه‌گرها'!$F:$F,E$1)</f>
        <v>0</v>
      </c>
      <c r="F221" s="242">
        <f>COUNTIFS('تجربه‌گرها'!$B:$B,$A221,'تجربه‌گرها'!$F:$F,F$1)</f>
        <v>1</v>
      </c>
      <c r="G221" s="242">
        <f>COUNTIFS('تجربه‌گرها'!$B:$B,$A221,'تجربه‌گرها'!$F:$F,G$1)</f>
        <v>0</v>
      </c>
      <c r="H221" s="242">
        <f>COUNTIFS('تجربه‌گرها'!$B:$B,$A221,'تجربه‌گرها'!$F:$F,H$1)</f>
        <v>0</v>
      </c>
      <c r="I221" s="242">
        <f>COUNTIFS('تجربه‌گرها'!$B:$B,$A221,'تجربه‌گرها'!$F:$F,I$1)</f>
        <v>0</v>
      </c>
      <c r="J221" s="242">
        <f>COUNTIFS('تجربه‌گرها'!$B:$B,$A221,'تجربه‌گرها'!$F:$F,J$1)</f>
        <v>0</v>
      </c>
      <c r="K221" s="242">
        <f>COUNTIFS('تجربه‌گرها'!$B:$B,$A221,'تجربه‌گرها'!$F:$F,K$1)</f>
        <v>0</v>
      </c>
      <c r="L221" s="242">
        <f>COUNTIFS('تجربه‌گرها'!$B:$B,$A221,'تجربه‌گرها'!$F:$F,L$1)</f>
        <v>0</v>
      </c>
      <c r="M221" s="242">
        <f>COUNTIFS('تجربه‌گرها'!$B:$B,$A221,'تجربه‌گرها'!$F:$F,M$1)</f>
        <v>0</v>
      </c>
      <c r="N221" s="242">
        <f>COUNTIFS('تجربه‌گرها'!$B:$B,$A221,'تجربه‌گرها'!$F:$F,N$1)</f>
        <v>0</v>
      </c>
      <c r="O221" s="242">
        <f>COUNTIFS('تجربه‌گرها'!$B:$B,$A221,'تجربه‌گرها'!$F:$F,O$1)</f>
        <v>0</v>
      </c>
      <c r="P221" s="242">
        <f>COUNTIFS('تجربه‌گرها'!$B:$B,$A221,'تجربه‌گرها'!$F:$F,P$1)</f>
        <v>0</v>
      </c>
      <c r="Q221" s="242">
        <f>COUNTIFS('تجربه‌گرها'!$B:$B,$A221,'تجربه‌گرها'!$F:$F,Q$1)</f>
        <v>0</v>
      </c>
      <c r="R221" s="242">
        <f>COUNTIFS('تجربه‌گرها'!$B:$B,$A221,'تجربه‌گرها'!$F:$F,R$1)</f>
        <v>0</v>
      </c>
      <c r="S221" s="242">
        <f>COUNTIFS('تجربه‌گرها'!$B:$B,$A221,'تجربه‌گرها'!$F:$F,S$1)</f>
        <v>0</v>
      </c>
      <c r="T221" s="242">
        <f>COUNTIFS('تجربه‌گرها'!$B:$B,$A221,'تجربه‌گرها'!$F:$F,T$1)</f>
        <v>0</v>
      </c>
      <c r="U221" s="242"/>
      <c r="V221" s="242"/>
      <c r="W221" s="242"/>
      <c r="X221" s="242"/>
      <c r="Y221" s="242"/>
      <c r="Z221" s="242"/>
      <c r="AA221" s="242"/>
      <c r="AB221" s="242"/>
    </row>
    <row r="222" hidden="1">
      <c r="A222" s="244" t="s">
        <v>2046</v>
      </c>
      <c r="B222" s="245" t="str">
        <f>VLOOKUP(A222,'تجربه‌گرها'!B:C,2,FALSE())</f>
        <v>9352449300</v>
      </c>
      <c r="C222" s="242"/>
      <c r="D222" s="242">
        <f t="shared" si="1"/>
        <v>1</v>
      </c>
      <c r="E222" s="242">
        <f>COUNTIFS('تجربه‌گرها'!$B:$B,$A222,'تجربه‌گرها'!$F:$F,E$1)</f>
        <v>0</v>
      </c>
      <c r="F222" s="242">
        <f>COUNTIFS('تجربه‌گرها'!$B:$B,$A222,'تجربه‌گرها'!$F:$F,F$1)</f>
        <v>1</v>
      </c>
      <c r="G222" s="242">
        <f>COUNTIFS('تجربه‌گرها'!$B:$B,$A222,'تجربه‌گرها'!$F:$F,G$1)</f>
        <v>0</v>
      </c>
      <c r="H222" s="242">
        <f>COUNTIFS('تجربه‌گرها'!$B:$B,$A222,'تجربه‌گرها'!$F:$F,H$1)</f>
        <v>0</v>
      </c>
      <c r="I222" s="242">
        <f>COUNTIFS('تجربه‌گرها'!$B:$B,$A222,'تجربه‌گرها'!$F:$F,I$1)</f>
        <v>0</v>
      </c>
      <c r="J222" s="242">
        <f>COUNTIFS('تجربه‌گرها'!$B:$B,$A222,'تجربه‌گرها'!$F:$F,J$1)</f>
        <v>0</v>
      </c>
      <c r="K222" s="242">
        <f>COUNTIFS('تجربه‌گرها'!$B:$B,$A222,'تجربه‌گرها'!$F:$F,K$1)</f>
        <v>0</v>
      </c>
      <c r="L222" s="242">
        <f>COUNTIFS('تجربه‌گرها'!$B:$B,$A222,'تجربه‌گرها'!$F:$F,L$1)</f>
        <v>0</v>
      </c>
      <c r="M222" s="242">
        <f>COUNTIFS('تجربه‌گرها'!$B:$B,$A222,'تجربه‌گرها'!$F:$F,M$1)</f>
        <v>0</v>
      </c>
      <c r="N222" s="242">
        <f>COUNTIFS('تجربه‌گرها'!$B:$B,$A222,'تجربه‌گرها'!$F:$F,N$1)</f>
        <v>0</v>
      </c>
      <c r="O222" s="242">
        <f>COUNTIFS('تجربه‌گرها'!$B:$B,$A222,'تجربه‌گرها'!$F:$F,O$1)</f>
        <v>0</v>
      </c>
      <c r="P222" s="242">
        <f>COUNTIFS('تجربه‌گرها'!$B:$B,$A222,'تجربه‌گرها'!$F:$F,P$1)</f>
        <v>0</v>
      </c>
      <c r="Q222" s="242">
        <f>COUNTIFS('تجربه‌گرها'!$B:$B,$A222,'تجربه‌گرها'!$F:$F,Q$1)</f>
        <v>0</v>
      </c>
      <c r="R222" s="242">
        <f>COUNTIFS('تجربه‌گرها'!$B:$B,$A222,'تجربه‌گرها'!$F:$F,R$1)</f>
        <v>0</v>
      </c>
      <c r="S222" s="242">
        <f>COUNTIFS('تجربه‌گرها'!$B:$B,$A222,'تجربه‌گرها'!$F:$F,S$1)</f>
        <v>0</v>
      </c>
      <c r="T222" s="242">
        <f>COUNTIFS('تجربه‌گرها'!$B:$B,$A222,'تجربه‌گرها'!$F:$F,T$1)</f>
        <v>0</v>
      </c>
      <c r="U222" s="242"/>
      <c r="V222" s="242"/>
      <c r="W222" s="242"/>
      <c r="X222" s="242"/>
      <c r="Y222" s="242"/>
      <c r="Z222" s="242"/>
      <c r="AA222" s="242"/>
      <c r="AB222" s="242"/>
    </row>
    <row r="223" hidden="1">
      <c r="A223" s="244" t="s">
        <v>2051</v>
      </c>
      <c r="B223" s="245" t="str">
        <f>VLOOKUP(A223,'تجربه‌گرها'!B:C,2,FALSE())</f>
        <v>9373358797</v>
      </c>
      <c r="C223" s="242"/>
      <c r="D223" s="242">
        <f t="shared" si="1"/>
        <v>1</v>
      </c>
      <c r="E223" s="242">
        <f>COUNTIFS('تجربه‌گرها'!$B:$B,$A223,'تجربه‌گرها'!$F:$F,E$1)</f>
        <v>0</v>
      </c>
      <c r="F223" s="242">
        <f>COUNTIFS('تجربه‌گرها'!$B:$B,$A223,'تجربه‌گرها'!$F:$F,F$1)</f>
        <v>1</v>
      </c>
      <c r="G223" s="242">
        <f>COUNTIFS('تجربه‌گرها'!$B:$B,$A223,'تجربه‌گرها'!$F:$F,G$1)</f>
        <v>0</v>
      </c>
      <c r="H223" s="242">
        <f>COUNTIFS('تجربه‌گرها'!$B:$B,$A223,'تجربه‌گرها'!$F:$F,H$1)</f>
        <v>0</v>
      </c>
      <c r="I223" s="242">
        <f>COUNTIFS('تجربه‌گرها'!$B:$B,$A223,'تجربه‌گرها'!$F:$F,I$1)</f>
        <v>0</v>
      </c>
      <c r="J223" s="242">
        <f>COUNTIFS('تجربه‌گرها'!$B:$B,$A223,'تجربه‌گرها'!$F:$F,J$1)</f>
        <v>0</v>
      </c>
      <c r="K223" s="242">
        <f>COUNTIFS('تجربه‌گرها'!$B:$B,$A223,'تجربه‌گرها'!$F:$F,K$1)</f>
        <v>0</v>
      </c>
      <c r="L223" s="242">
        <f>COUNTIFS('تجربه‌گرها'!$B:$B,$A223,'تجربه‌گرها'!$F:$F,L$1)</f>
        <v>0</v>
      </c>
      <c r="M223" s="242">
        <f>COUNTIFS('تجربه‌گرها'!$B:$B,$A223,'تجربه‌گرها'!$F:$F,M$1)</f>
        <v>0</v>
      </c>
      <c r="N223" s="242">
        <f>COUNTIFS('تجربه‌گرها'!$B:$B,$A223,'تجربه‌گرها'!$F:$F,N$1)</f>
        <v>0</v>
      </c>
      <c r="O223" s="242">
        <f>COUNTIFS('تجربه‌گرها'!$B:$B,$A223,'تجربه‌گرها'!$F:$F,O$1)</f>
        <v>0</v>
      </c>
      <c r="P223" s="242">
        <f>COUNTIFS('تجربه‌گرها'!$B:$B,$A223,'تجربه‌گرها'!$F:$F,P$1)</f>
        <v>0</v>
      </c>
      <c r="Q223" s="242">
        <f>COUNTIFS('تجربه‌گرها'!$B:$B,$A223,'تجربه‌گرها'!$F:$F,Q$1)</f>
        <v>0</v>
      </c>
      <c r="R223" s="242">
        <f>COUNTIFS('تجربه‌گرها'!$B:$B,$A223,'تجربه‌گرها'!$F:$F,R$1)</f>
        <v>0</v>
      </c>
      <c r="S223" s="242">
        <f>COUNTIFS('تجربه‌گرها'!$B:$B,$A223,'تجربه‌گرها'!$F:$F,S$1)</f>
        <v>0</v>
      </c>
      <c r="T223" s="242">
        <f>COUNTIFS('تجربه‌گرها'!$B:$B,$A223,'تجربه‌گرها'!$F:$F,T$1)</f>
        <v>0</v>
      </c>
      <c r="U223" s="242"/>
      <c r="V223" s="242"/>
      <c r="W223" s="242"/>
      <c r="X223" s="242"/>
      <c r="Y223" s="242"/>
      <c r="Z223" s="242"/>
      <c r="AA223" s="242"/>
      <c r="AB223" s="242"/>
    </row>
    <row r="224" hidden="1">
      <c r="A224" s="244" t="s">
        <v>2056</v>
      </c>
      <c r="B224" s="245" t="str">
        <f>VLOOKUP(A224,'تجربه‌گرها'!B:C,2,FALSE())</f>
        <v>9398465449</v>
      </c>
      <c r="C224" s="242"/>
      <c r="D224" s="242">
        <f t="shared" si="1"/>
        <v>1</v>
      </c>
      <c r="E224" s="242">
        <f>COUNTIFS('تجربه‌گرها'!$B:$B,$A224,'تجربه‌گرها'!$F:$F,E$1)</f>
        <v>0</v>
      </c>
      <c r="F224" s="242">
        <f>COUNTIFS('تجربه‌گرها'!$B:$B,$A224,'تجربه‌گرها'!$F:$F,F$1)</f>
        <v>1</v>
      </c>
      <c r="G224" s="242">
        <f>COUNTIFS('تجربه‌گرها'!$B:$B,$A224,'تجربه‌گرها'!$F:$F,G$1)</f>
        <v>0</v>
      </c>
      <c r="H224" s="242">
        <f>COUNTIFS('تجربه‌گرها'!$B:$B,$A224,'تجربه‌گرها'!$F:$F,H$1)</f>
        <v>0</v>
      </c>
      <c r="I224" s="242">
        <f>COUNTIFS('تجربه‌گرها'!$B:$B,$A224,'تجربه‌گرها'!$F:$F,I$1)</f>
        <v>0</v>
      </c>
      <c r="J224" s="242">
        <f>COUNTIFS('تجربه‌گرها'!$B:$B,$A224,'تجربه‌گرها'!$F:$F,J$1)</f>
        <v>0</v>
      </c>
      <c r="K224" s="242">
        <f>COUNTIFS('تجربه‌گرها'!$B:$B,$A224,'تجربه‌گرها'!$F:$F,K$1)</f>
        <v>0</v>
      </c>
      <c r="L224" s="242">
        <f>COUNTIFS('تجربه‌گرها'!$B:$B,$A224,'تجربه‌گرها'!$F:$F,L$1)</f>
        <v>0</v>
      </c>
      <c r="M224" s="242">
        <f>COUNTIFS('تجربه‌گرها'!$B:$B,$A224,'تجربه‌گرها'!$F:$F,M$1)</f>
        <v>0</v>
      </c>
      <c r="N224" s="242">
        <f>COUNTIFS('تجربه‌گرها'!$B:$B,$A224,'تجربه‌گرها'!$F:$F,N$1)</f>
        <v>0</v>
      </c>
      <c r="O224" s="242">
        <f>COUNTIFS('تجربه‌گرها'!$B:$B,$A224,'تجربه‌گرها'!$F:$F,O$1)</f>
        <v>0</v>
      </c>
      <c r="P224" s="242">
        <f>COUNTIFS('تجربه‌گرها'!$B:$B,$A224,'تجربه‌گرها'!$F:$F,P$1)</f>
        <v>0</v>
      </c>
      <c r="Q224" s="242">
        <f>COUNTIFS('تجربه‌گرها'!$B:$B,$A224,'تجربه‌گرها'!$F:$F,Q$1)</f>
        <v>0</v>
      </c>
      <c r="R224" s="242">
        <f>COUNTIFS('تجربه‌گرها'!$B:$B,$A224,'تجربه‌گرها'!$F:$F,R$1)</f>
        <v>0</v>
      </c>
      <c r="S224" s="242">
        <f>COUNTIFS('تجربه‌گرها'!$B:$B,$A224,'تجربه‌گرها'!$F:$F,S$1)</f>
        <v>0</v>
      </c>
      <c r="T224" s="242">
        <f>COUNTIFS('تجربه‌گرها'!$B:$B,$A224,'تجربه‌گرها'!$F:$F,T$1)</f>
        <v>0</v>
      </c>
      <c r="U224" s="242"/>
      <c r="V224" s="242"/>
      <c r="W224" s="242"/>
      <c r="X224" s="242"/>
      <c r="Y224" s="242"/>
      <c r="Z224" s="242"/>
      <c r="AA224" s="242"/>
      <c r="AB224" s="242"/>
    </row>
    <row r="225" hidden="1">
      <c r="A225" s="244" t="s">
        <v>2060</v>
      </c>
      <c r="B225" s="245" t="str">
        <f>VLOOKUP(A225,'تجربه‌گرها'!B:C,2,FALSE())</f>
        <v>9120218166</v>
      </c>
      <c r="C225" s="242"/>
      <c r="D225" s="242">
        <f t="shared" si="1"/>
        <v>1</v>
      </c>
      <c r="E225" s="242">
        <f>COUNTIFS('تجربه‌گرها'!$B:$B,$A225,'تجربه‌گرها'!$F:$F,E$1)</f>
        <v>0</v>
      </c>
      <c r="F225" s="242">
        <f>COUNTIFS('تجربه‌گرها'!$B:$B,$A225,'تجربه‌گرها'!$F:$F,F$1)</f>
        <v>1</v>
      </c>
      <c r="G225" s="242">
        <f>COUNTIFS('تجربه‌گرها'!$B:$B,$A225,'تجربه‌گرها'!$F:$F,G$1)</f>
        <v>0</v>
      </c>
      <c r="H225" s="242">
        <f>COUNTIFS('تجربه‌گرها'!$B:$B,$A225,'تجربه‌گرها'!$F:$F,H$1)</f>
        <v>0</v>
      </c>
      <c r="I225" s="242">
        <f>COUNTIFS('تجربه‌گرها'!$B:$B,$A225,'تجربه‌گرها'!$F:$F,I$1)</f>
        <v>0</v>
      </c>
      <c r="J225" s="242">
        <f>COUNTIFS('تجربه‌گرها'!$B:$B,$A225,'تجربه‌گرها'!$F:$F,J$1)</f>
        <v>0</v>
      </c>
      <c r="K225" s="242">
        <f>COUNTIFS('تجربه‌گرها'!$B:$B,$A225,'تجربه‌گرها'!$F:$F,K$1)</f>
        <v>0</v>
      </c>
      <c r="L225" s="242">
        <f>COUNTIFS('تجربه‌گرها'!$B:$B,$A225,'تجربه‌گرها'!$F:$F,L$1)</f>
        <v>0</v>
      </c>
      <c r="M225" s="242">
        <f>COUNTIFS('تجربه‌گرها'!$B:$B,$A225,'تجربه‌گرها'!$F:$F,M$1)</f>
        <v>0</v>
      </c>
      <c r="N225" s="242">
        <f>COUNTIFS('تجربه‌گرها'!$B:$B,$A225,'تجربه‌گرها'!$F:$F,N$1)</f>
        <v>0</v>
      </c>
      <c r="O225" s="242">
        <f>COUNTIFS('تجربه‌گرها'!$B:$B,$A225,'تجربه‌گرها'!$F:$F,O$1)</f>
        <v>0</v>
      </c>
      <c r="P225" s="242">
        <f>COUNTIFS('تجربه‌گرها'!$B:$B,$A225,'تجربه‌گرها'!$F:$F,P$1)</f>
        <v>0</v>
      </c>
      <c r="Q225" s="242">
        <f>COUNTIFS('تجربه‌گرها'!$B:$B,$A225,'تجربه‌گرها'!$F:$F,Q$1)</f>
        <v>0</v>
      </c>
      <c r="R225" s="242">
        <f>COUNTIFS('تجربه‌گرها'!$B:$B,$A225,'تجربه‌گرها'!$F:$F,R$1)</f>
        <v>0</v>
      </c>
      <c r="S225" s="242">
        <f>COUNTIFS('تجربه‌گرها'!$B:$B,$A225,'تجربه‌گرها'!$F:$F,S$1)</f>
        <v>0</v>
      </c>
      <c r="T225" s="242">
        <f>COUNTIFS('تجربه‌گرها'!$B:$B,$A225,'تجربه‌گرها'!$F:$F,T$1)</f>
        <v>0</v>
      </c>
      <c r="U225" s="242"/>
      <c r="V225" s="242"/>
      <c r="W225" s="242"/>
      <c r="X225" s="242"/>
      <c r="Y225" s="242"/>
      <c r="Z225" s="242"/>
      <c r="AA225" s="242"/>
      <c r="AB225" s="242"/>
    </row>
    <row r="226" hidden="1">
      <c r="A226" s="244" t="s">
        <v>2065</v>
      </c>
      <c r="B226" s="245" t="str">
        <f>VLOOKUP(A226,'تجربه‌گرها'!B:C,2,FALSE())</f>
        <v>9123441962</v>
      </c>
      <c r="C226" s="242"/>
      <c r="D226" s="242">
        <f t="shared" si="1"/>
        <v>2</v>
      </c>
      <c r="E226" s="242">
        <f>COUNTIFS('تجربه‌گرها'!$B:$B,$A226,'تجربه‌گرها'!$F:$F,E$1)</f>
        <v>1</v>
      </c>
      <c r="F226" s="242">
        <f>COUNTIFS('تجربه‌گرها'!$B:$B,$A226,'تجربه‌گرها'!$F:$F,F$1)</f>
        <v>1</v>
      </c>
      <c r="G226" s="242">
        <f>COUNTIFS('تجربه‌گرها'!$B:$B,$A226,'تجربه‌گرها'!$F:$F,G$1)</f>
        <v>0</v>
      </c>
      <c r="H226" s="242">
        <f>COUNTIFS('تجربه‌گرها'!$B:$B,$A226,'تجربه‌گرها'!$F:$F,H$1)</f>
        <v>0</v>
      </c>
      <c r="I226" s="242">
        <f>COUNTIFS('تجربه‌گرها'!$B:$B,$A226,'تجربه‌گرها'!$F:$F,I$1)</f>
        <v>0</v>
      </c>
      <c r="J226" s="242">
        <f>COUNTIFS('تجربه‌گرها'!$B:$B,$A226,'تجربه‌گرها'!$F:$F,J$1)</f>
        <v>0</v>
      </c>
      <c r="K226" s="242">
        <f>COUNTIFS('تجربه‌گرها'!$B:$B,$A226,'تجربه‌گرها'!$F:$F,K$1)</f>
        <v>0</v>
      </c>
      <c r="L226" s="242">
        <f>COUNTIFS('تجربه‌گرها'!$B:$B,$A226,'تجربه‌گرها'!$F:$F,L$1)</f>
        <v>0</v>
      </c>
      <c r="M226" s="242">
        <f>COUNTIFS('تجربه‌گرها'!$B:$B,$A226,'تجربه‌گرها'!$F:$F,M$1)</f>
        <v>0</v>
      </c>
      <c r="N226" s="242">
        <f>COUNTIFS('تجربه‌گرها'!$B:$B,$A226,'تجربه‌گرها'!$F:$F,N$1)</f>
        <v>0</v>
      </c>
      <c r="O226" s="242">
        <f>COUNTIFS('تجربه‌گرها'!$B:$B,$A226,'تجربه‌گرها'!$F:$F,O$1)</f>
        <v>0</v>
      </c>
      <c r="P226" s="242">
        <f>COUNTIFS('تجربه‌گرها'!$B:$B,$A226,'تجربه‌گرها'!$F:$F,P$1)</f>
        <v>0</v>
      </c>
      <c r="Q226" s="242">
        <f>COUNTIFS('تجربه‌گرها'!$B:$B,$A226,'تجربه‌گرها'!$F:$F,Q$1)</f>
        <v>0</v>
      </c>
      <c r="R226" s="242">
        <f>COUNTIFS('تجربه‌گرها'!$B:$B,$A226,'تجربه‌گرها'!$F:$F,R$1)</f>
        <v>0</v>
      </c>
      <c r="S226" s="242">
        <f>COUNTIFS('تجربه‌گرها'!$B:$B,$A226,'تجربه‌گرها'!$F:$F,S$1)</f>
        <v>0</v>
      </c>
      <c r="T226" s="242">
        <f>COUNTIFS('تجربه‌گرها'!$B:$B,$A226,'تجربه‌گرها'!$F:$F,T$1)</f>
        <v>0</v>
      </c>
      <c r="U226" s="242"/>
      <c r="V226" s="242"/>
      <c r="W226" s="242"/>
      <c r="X226" s="242"/>
      <c r="Y226" s="242"/>
      <c r="Z226" s="242"/>
      <c r="AA226" s="242"/>
      <c r="AB226" s="242"/>
    </row>
    <row r="227" hidden="1">
      <c r="A227" s="244" t="s">
        <v>2068</v>
      </c>
      <c r="B227" s="245" t="str">
        <f>VLOOKUP(A227,'تجربه‌گرها'!B:C,2,FALSE())</f>
        <v>9199355646</v>
      </c>
      <c r="C227" s="242"/>
      <c r="D227" s="242">
        <f t="shared" si="1"/>
        <v>1</v>
      </c>
      <c r="E227" s="242">
        <f>COUNTIFS('تجربه‌گرها'!$B:$B,$A227,'تجربه‌گرها'!$F:$F,E$1)</f>
        <v>0</v>
      </c>
      <c r="F227" s="242">
        <f>COUNTIFS('تجربه‌گرها'!$B:$B,$A227,'تجربه‌گرها'!$F:$F,F$1)</f>
        <v>1</v>
      </c>
      <c r="G227" s="242">
        <f>COUNTIFS('تجربه‌گرها'!$B:$B,$A227,'تجربه‌گرها'!$F:$F,G$1)</f>
        <v>0</v>
      </c>
      <c r="H227" s="242">
        <f>COUNTIFS('تجربه‌گرها'!$B:$B,$A227,'تجربه‌گرها'!$F:$F,H$1)</f>
        <v>0</v>
      </c>
      <c r="I227" s="242">
        <f>COUNTIFS('تجربه‌گرها'!$B:$B,$A227,'تجربه‌گرها'!$F:$F,I$1)</f>
        <v>0</v>
      </c>
      <c r="J227" s="242">
        <f>COUNTIFS('تجربه‌گرها'!$B:$B,$A227,'تجربه‌گرها'!$F:$F,J$1)</f>
        <v>0</v>
      </c>
      <c r="K227" s="242">
        <f>COUNTIFS('تجربه‌گرها'!$B:$B,$A227,'تجربه‌گرها'!$F:$F,K$1)</f>
        <v>0</v>
      </c>
      <c r="L227" s="242">
        <f>COUNTIFS('تجربه‌گرها'!$B:$B,$A227,'تجربه‌گرها'!$F:$F,L$1)</f>
        <v>0</v>
      </c>
      <c r="M227" s="242">
        <f>COUNTIFS('تجربه‌گرها'!$B:$B,$A227,'تجربه‌گرها'!$F:$F,M$1)</f>
        <v>0</v>
      </c>
      <c r="N227" s="242">
        <f>COUNTIFS('تجربه‌گرها'!$B:$B,$A227,'تجربه‌گرها'!$F:$F,N$1)</f>
        <v>0</v>
      </c>
      <c r="O227" s="242">
        <f>COUNTIFS('تجربه‌گرها'!$B:$B,$A227,'تجربه‌گرها'!$F:$F,O$1)</f>
        <v>0</v>
      </c>
      <c r="P227" s="242">
        <f>COUNTIFS('تجربه‌گرها'!$B:$B,$A227,'تجربه‌گرها'!$F:$F,P$1)</f>
        <v>0</v>
      </c>
      <c r="Q227" s="242">
        <f>COUNTIFS('تجربه‌گرها'!$B:$B,$A227,'تجربه‌گرها'!$F:$F,Q$1)</f>
        <v>0</v>
      </c>
      <c r="R227" s="242">
        <f>COUNTIFS('تجربه‌گرها'!$B:$B,$A227,'تجربه‌گرها'!$F:$F,R$1)</f>
        <v>0</v>
      </c>
      <c r="S227" s="242">
        <f>COUNTIFS('تجربه‌گرها'!$B:$B,$A227,'تجربه‌گرها'!$F:$F,S$1)</f>
        <v>0</v>
      </c>
      <c r="T227" s="242">
        <f>COUNTIFS('تجربه‌گرها'!$B:$B,$A227,'تجربه‌گرها'!$F:$F,T$1)</f>
        <v>0</v>
      </c>
      <c r="U227" s="242"/>
      <c r="V227" s="242"/>
      <c r="W227" s="242"/>
      <c r="X227" s="242"/>
      <c r="Y227" s="242"/>
      <c r="Z227" s="242"/>
      <c r="AA227" s="242"/>
      <c r="AB227" s="242"/>
    </row>
    <row r="228">
      <c r="A228" s="244" t="s">
        <v>2072</v>
      </c>
      <c r="B228" s="245" t="str">
        <f>VLOOKUP(A228,'تجربه‌گرها'!B:C,2,FALSE())</f>
        <v>9121323741</v>
      </c>
      <c r="C228" s="242"/>
      <c r="D228" s="242">
        <f t="shared" si="1"/>
        <v>1</v>
      </c>
      <c r="E228" s="242">
        <f>COUNTIFS('تجربه‌گرها'!$B:$B,$A228,'تجربه‌گرها'!$F:$F,E$1)</f>
        <v>0</v>
      </c>
      <c r="F228" s="242">
        <f>COUNTIFS('تجربه‌گرها'!$B:$B,$A228,'تجربه‌گرها'!$F:$F,F$1)</f>
        <v>1</v>
      </c>
      <c r="G228" s="242">
        <f>COUNTIFS('تجربه‌گرها'!$B:$B,$A228,'تجربه‌گرها'!$F:$F,G$1)</f>
        <v>0</v>
      </c>
      <c r="H228" s="242">
        <f>COUNTIFS('تجربه‌گرها'!$B:$B,$A228,'تجربه‌گرها'!$F:$F,H$1)</f>
        <v>0</v>
      </c>
      <c r="I228" s="242">
        <f>COUNTIFS('تجربه‌گرها'!$B:$B,$A228,'تجربه‌گرها'!$F:$F,I$1)</f>
        <v>0</v>
      </c>
      <c r="J228" s="242">
        <f>COUNTIFS('تجربه‌گرها'!$B:$B,$A228,'تجربه‌گرها'!$F:$F,J$1)</f>
        <v>0</v>
      </c>
      <c r="K228" s="242">
        <f>COUNTIFS('تجربه‌گرها'!$B:$B,$A228,'تجربه‌گرها'!$F:$F,K$1)</f>
        <v>0</v>
      </c>
      <c r="L228" s="242">
        <f>COUNTIFS('تجربه‌گرها'!$B:$B,$A228,'تجربه‌گرها'!$F:$F,L$1)</f>
        <v>0</v>
      </c>
      <c r="M228" s="242">
        <f>COUNTIFS('تجربه‌گرها'!$B:$B,$A228,'تجربه‌گرها'!$F:$F,M$1)</f>
        <v>0</v>
      </c>
      <c r="N228" s="242">
        <f>COUNTIFS('تجربه‌گرها'!$B:$B,$A228,'تجربه‌گرها'!$F:$F,N$1)</f>
        <v>0</v>
      </c>
      <c r="O228" s="242">
        <f>COUNTIFS('تجربه‌گرها'!$B:$B,$A228,'تجربه‌گرها'!$F:$F,O$1)</f>
        <v>0</v>
      </c>
      <c r="P228" s="242">
        <f>COUNTIFS('تجربه‌گرها'!$B:$B,$A228,'تجربه‌گرها'!$F:$F,P$1)</f>
        <v>0</v>
      </c>
      <c r="Q228" s="242">
        <f>COUNTIFS('تجربه‌گرها'!$B:$B,$A228,'تجربه‌گرها'!$F:$F,Q$1)</f>
        <v>0</v>
      </c>
      <c r="R228" s="242">
        <f>COUNTIFS('تجربه‌گرها'!$B:$B,$A228,'تجربه‌گرها'!$F:$F,R$1)</f>
        <v>0</v>
      </c>
      <c r="S228" s="242">
        <f>COUNTIFS('تجربه‌گرها'!$B:$B,$A228,'تجربه‌گرها'!$F:$F,S$1)</f>
        <v>0</v>
      </c>
      <c r="T228" s="242">
        <f>COUNTIFS('تجربه‌گرها'!$B:$B,$A228,'تجربه‌گرها'!$F:$F,T$1)</f>
        <v>0</v>
      </c>
      <c r="U228" s="242"/>
      <c r="V228" s="242"/>
      <c r="W228" s="242"/>
      <c r="X228" s="242"/>
      <c r="Y228" s="242"/>
      <c r="Z228" s="242"/>
      <c r="AA228" s="242"/>
      <c r="AB228" s="242"/>
    </row>
    <row r="229" hidden="1">
      <c r="A229" s="244" t="s">
        <v>2078</v>
      </c>
      <c r="B229" s="245" t="str">
        <f>VLOOKUP(A229,'تجربه‌گرها'!B:C,2,FALSE())</f>
        <v>9121328677</v>
      </c>
      <c r="C229" s="242"/>
      <c r="D229" s="242">
        <f t="shared" si="1"/>
        <v>2</v>
      </c>
      <c r="E229" s="242">
        <f>COUNTIFS('تجربه‌گرها'!$B:$B,$A229,'تجربه‌گرها'!$F:$F,E$1)</f>
        <v>0</v>
      </c>
      <c r="F229" s="242">
        <f>COUNTIFS('تجربه‌گرها'!$B:$B,$A229,'تجربه‌گرها'!$F:$F,F$1)</f>
        <v>1</v>
      </c>
      <c r="G229" s="242">
        <f>COUNTIFS('تجربه‌گرها'!$B:$B,$A229,'تجربه‌گرها'!$F:$F,G$1)</f>
        <v>0</v>
      </c>
      <c r="H229" s="242">
        <f>COUNTIFS('تجربه‌گرها'!$B:$B,$A229,'تجربه‌گرها'!$F:$F,H$1)</f>
        <v>0</v>
      </c>
      <c r="I229" s="242">
        <f>COUNTIFS('تجربه‌گرها'!$B:$B,$A229,'تجربه‌گرها'!$F:$F,I$1)</f>
        <v>0</v>
      </c>
      <c r="J229" s="242">
        <f>COUNTIFS('تجربه‌گرها'!$B:$B,$A229,'تجربه‌گرها'!$F:$F,J$1)</f>
        <v>0</v>
      </c>
      <c r="K229" s="242">
        <f>COUNTIFS('تجربه‌گرها'!$B:$B,$A229,'تجربه‌گرها'!$F:$F,K$1)</f>
        <v>0</v>
      </c>
      <c r="L229" s="242">
        <f>COUNTIFS('تجربه‌گرها'!$B:$B,$A229,'تجربه‌گرها'!$F:$F,L$1)</f>
        <v>0</v>
      </c>
      <c r="M229" s="242">
        <f>COUNTIFS('تجربه‌گرها'!$B:$B,$A229,'تجربه‌گرها'!$F:$F,M$1)</f>
        <v>0</v>
      </c>
      <c r="N229" s="242">
        <f>COUNTIFS('تجربه‌گرها'!$B:$B,$A229,'تجربه‌گرها'!$F:$F,N$1)</f>
        <v>1</v>
      </c>
      <c r="O229" s="242">
        <f>COUNTIFS('تجربه‌گرها'!$B:$B,$A229,'تجربه‌گرها'!$F:$F,O$1)</f>
        <v>0</v>
      </c>
      <c r="P229" s="242">
        <f>COUNTIFS('تجربه‌گرها'!$B:$B,$A229,'تجربه‌گرها'!$F:$F,P$1)</f>
        <v>0</v>
      </c>
      <c r="Q229" s="242">
        <f>COUNTIFS('تجربه‌گرها'!$B:$B,$A229,'تجربه‌گرها'!$F:$F,Q$1)</f>
        <v>0</v>
      </c>
      <c r="R229" s="242">
        <f>COUNTIFS('تجربه‌گرها'!$B:$B,$A229,'تجربه‌گرها'!$F:$F,R$1)</f>
        <v>0</v>
      </c>
      <c r="S229" s="242">
        <f>COUNTIFS('تجربه‌گرها'!$B:$B,$A229,'تجربه‌گرها'!$F:$F,S$1)</f>
        <v>0</v>
      </c>
      <c r="T229" s="242">
        <f>COUNTIFS('تجربه‌گرها'!$B:$B,$A229,'تجربه‌گرها'!$F:$F,T$1)</f>
        <v>0</v>
      </c>
      <c r="U229" s="242"/>
      <c r="V229" s="242"/>
      <c r="W229" s="242"/>
      <c r="X229" s="242"/>
      <c r="Y229" s="242"/>
      <c r="Z229" s="242"/>
      <c r="AA229" s="242"/>
      <c r="AB229" s="242"/>
    </row>
    <row r="230" hidden="1">
      <c r="A230" s="244" t="s">
        <v>2083</v>
      </c>
      <c r="B230" s="245" t="str">
        <f>VLOOKUP(A230,'تجربه‌گرها'!B:C,2,FALSE())</f>
        <v>9390372267</v>
      </c>
      <c r="C230" s="242"/>
      <c r="D230" s="242">
        <f t="shared" si="1"/>
        <v>1</v>
      </c>
      <c r="E230" s="242">
        <f>COUNTIFS('تجربه‌گرها'!$B:$B,$A230,'تجربه‌گرها'!$F:$F,E$1)</f>
        <v>0</v>
      </c>
      <c r="F230" s="242">
        <f>COUNTIFS('تجربه‌گرها'!$B:$B,$A230,'تجربه‌گرها'!$F:$F,F$1)</f>
        <v>1</v>
      </c>
      <c r="G230" s="242">
        <f>COUNTIFS('تجربه‌گرها'!$B:$B,$A230,'تجربه‌گرها'!$F:$F,G$1)</f>
        <v>0</v>
      </c>
      <c r="H230" s="242">
        <f>COUNTIFS('تجربه‌گرها'!$B:$B,$A230,'تجربه‌گرها'!$F:$F,H$1)</f>
        <v>0</v>
      </c>
      <c r="I230" s="242">
        <f>COUNTIFS('تجربه‌گرها'!$B:$B,$A230,'تجربه‌گرها'!$F:$F,I$1)</f>
        <v>0</v>
      </c>
      <c r="J230" s="242">
        <f>COUNTIFS('تجربه‌گرها'!$B:$B,$A230,'تجربه‌گرها'!$F:$F,J$1)</f>
        <v>0</v>
      </c>
      <c r="K230" s="242">
        <f>COUNTIFS('تجربه‌گرها'!$B:$B,$A230,'تجربه‌گرها'!$F:$F,K$1)</f>
        <v>0</v>
      </c>
      <c r="L230" s="242">
        <f>COUNTIFS('تجربه‌گرها'!$B:$B,$A230,'تجربه‌گرها'!$F:$F,L$1)</f>
        <v>0</v>
      </c>
      <c r="M230" s="242">
        <f>COUNTIFS('تجربه‌گرها'!$B:$B,$A230,'تجربه‌گرها'!$F:$F,M$1)</f>
        <v>0</v>
      </c>
      <c r="N230" s="242">
        <f>COUNTIFS('تجربه‌گرها'!$B:$B,$A230,'تجربه‌گرها'!$F:$F,N$1)</f>
        <v>0</v>
      </c>
      <c r="O230" s="242">
        <f>COUNTIFS('تجربه‌گرها'!$B:$B,$A230,'تجربه‌گرها'!$F:$F,O$1)</f>
        <v>0</v>
      </c>
      <c r="P230" s="242">
        <f>COUNTIFS('تجربه‌گرها'!$B:$B,$A230,'تجربه‌گرها'!$F:$F,P$1)</f>
        <v>0</v>
      </c>
      <c r="Q230" s="242">
        <f>COUNTIFS('تجربه‌گرها'!$B:$B,$A230,'تجربه‌گرها'!$F:$F,Q$1)</f>
        <v>0</v>
      </c>
      <c r="R230" s="242">
        <f>COUNTIFS('تجربه‌گرها'!$B:$B,$A230,'تجربه‌گرها'!$F:$F,R$1)</f>
        <v>0</v>
      </c>
      <c r="S230" s="242">
        <f>COUNTIFS('تجربه‌گرها'!$B:$B,$A230,'تجربه‌گرها'!$F:$F,S$1)</f>
        <v>0</v>
      </c>
      <c r="T230" s="242">
        <f>COUNTIFS('تجربه‌گرها'!$B:$B,$A230,'تجربه‌گرها'!$F:$F,T$1)</f>
        <v>0</v>
      </c>
      <c r="U230" s="242"/>
      <c r="V230" s="242"/>
      <c r="W230" s="242"/>
      <c r="X230" s="242"/>
      <c r="Y230" s="242"/>
      <c r="Z230" s="242"/>
      <c r="AA230" s="242"/>
      <c r="AB230" s="242"/>
    </row>
    <row r="231">
      <c r="A231" s="244" t="s">
        <v>2087</v>
      </c>
      <c r="B231" s="245" t="str">
        <f>VLOOKUP(A231,'تجربه‌گرها'!B:C,2,FALSE())</f>
        <v>9358306041</v>
      </c>
      <c r="C231" s="242"/>
      <c r="D231" s="242">
        <f t="shared" si="1"/>
        <v>1</v>
      </c>
      <c r="E231" s="242">
        <f>COUNTIFS('تجربه‌گرها'!$B:$B,$A231,'تجربه‌گرها'!$F:$F,E$1)</f>
        <v>0</v>
      </c>
      <c r="F231" s="242">
        <f>COUNTIFS('تجربه‌گرها'!$B:$B,$A231,'تجربه‌گرها'!$F:$F,F$1)</f>
        <v>1</v>
      </c>
      <c r="G231" s="242">
        <f>COUNTIFS('تجربه‌گرها'!$B:$B,$A231,'تجربه‌گرها'!$F:$F,G$1)</f>
        <v>0</v>
      </c>
      <c r="H231" s="242">
        <f>COUNTIFS('تجربه‌گرها'!$B:$B,$A231,'تجربه‌گرها'!$F:$F,H$1)</f>
        <v>0</v>
      </c>
      <c r="I231" s="242">
        <f>COUNTIFS('تجربه‌گرها'!$B:$B,$A231,'تجربه‌گرها'!$F:$F,I$1)</f>
        <v>0</v>
      </c>
      <c r="J231" s="242">
        <f>COUNTIFS('تجربه‌گرها'!$B:$B,$A231,'تجربه‌گرها'!$F:$F,J$1)</f>
        <v>0</v>
      </c>
      <c r="K231" s="242">
        <f>COUNTIFS('تجربه‌گرها'!$B:$B,$A231,'تجربه‌گرها'!$F:$F,K$1)</f>
        <v>0</v>
      </c>
      <c r="L231" s="242">
        <f>COUNTIFS('تجربه‌گرها'!$B:$B,$A231,'تجربه‌گرها'!$F:$F,L$1)</f>
        <v>0</v>
      </c>
      <c r="M231" s="242">
        <f>COUNTIFS('تجربه‌گرها'!$B:$B,$A231,'تجربه‌گرها'!$F:$F,M$1)</f>
        <v>0</v>
      </c>
      <c r="N231" s="242">
        <f>COUNTIFS('تجربه‌گرها'!$B:$B,$A231,'تجربه‌گرها'!$F:$F,N$1)</f>
        <v>0</v>
      </c>
      <c r="O231" s="242">
        <f>COUNTIFS('تجربه‌گرها'!$B:$B,$A231,'تجربه‌گرها'!$F:$F,O$1)</f>
        <v>0</v>
      </c>
      <c r="P231" s="242">
        <f>COUNTIFS('تجربه‌گرها'!$B:$B,$A231,'تجربه‌گرها'!$F:$F,P$1)</f>
        <v>0</v>
      </c>
      <c r="Q231" s="242">
        <f>COUNTIFS('تجربه‌گرها'!$B:$B,$A231,'تجربه‌گرها'!$F:$F,Q$1)</f>
        <v>0</v>
      </c>
      <c r="R231" s="242">
        <f>COUNTIFS('تجربه‌گرها'!$B:$B,$A231,'تجربه‌گرها'!$F:$F,R$1)</f>
        <v>0</v>
      </c>
      <c r="S231" s="242">
        <f>COUNTIFS('تجربه‌گرها'!$B:$B,$A231,'تجربه‌گرها'!$F:$F,S$1)</f>
        <v>0</v>
      </c>
      <c r="T231" s="242">
        <f>COUNTIFS('تجربه‌گرها'!$B:$B,$A231,'تجربه‌گرها'!$F:$F,T$1)</f>
        <v>0</v>
      </c>
      <c r="U231" s="242"/>
      <c r="V231" s="242"/>
      <c r="W231" s="242"/>
      <c r="X231" s="242"/>
      <c r="Y231" s="242"/>
      <c r="Z231" s="242"/>
      <c r="AA231" s="242"/>
      <c r="AB231" s="242"/>
    </row>
    <row r="232" hidden="1">
      <c r="A232" s="244" t="s">
        <v>2092</v>
      </c>
      <c r="B232" s="245" t="str">
        <f>VLOOKUP(A232,'تجربه‌گرها'!B:C,2,FALSE())</f>
        <v>9124900132</v>
      </c>
      <c r="C232" s="242"/>
      <c r="D232" s="242">
        <f t="shared" si="1"/>
        <v>1</v>
      </c>
      <c r="E232" s="242">
        <f>COUNTIFS('تجربه‌گرها'!$B:$B,$A232,'تجربه‌گرها'!$F:$F,E$1)</f>
        <v>0</v>
      </c>
      <c r="F232" s="242">
        <f>COUNTIFS('تجربه‌گرها'!$B:$B,$A232,'تجربه‌گرها'!$F:$F,F$1)</f>
        <v>1</v>
      </c>
      <c r="G232" s="242">
        <f>COUNTIFS('تجربه‌گرها'!$B:$B,$A232,'تجربه‌گرها'!$F:$F,G$1)</f>
        <v>0</v>
      </c>
      <c r="H232" s="242">
        <f>COUNTIFS('تجربه‌گرها'!$B:$B,$A232,'تجربه‌گرها'!$F:$F,H$1)</f>
        <v>0</v>
      </c>
      <c r="I232" s="242">
        <f>COUNTIFS('تجربه‌گرها'!$B:$B,$A232,'تجربه‌گرها'!$F:$F,I$1)</f>
        <v>0</v>
      </c>
      <c r="J232" s="242">
        <f>COUNTIFS('تجربه‌گرها'!$B:$B,$A232,'تجربه‌گرها'!$F:$F,J$1)</f>
        <v>0</v>
      </c>
      <c r="K232" s="242">
        <f>COUNTIFS('تجربه‌گرها'!$B:$B,$A232,'تجربه‌گرها'!$F:$F,K$1)</f>
        <v>0</v>
      </c>
      <c r="L232" s="242">
        <f>COUNTIFS('تجربه‌گرها'!$B:$B,$A232,'تجربه‌گرها'!$F:$F,L$1)</f>
        <v>0</v>
      </c>
      <c r="M232" s="242">
        <f>COUNTIFS('تجربه‌گرها'!$B:$B,$A232,'تجربه‌گرها'!$F:$F,M$1)</f>
        <v>0</v>
      </c>
      <c r="N232" s="242">
        <f>COUNTIFS('تجربه‌گرها'!$B:$B,$A232,'تجربه‌گرها'!$F:$F,N$1)</f>
        <v>0</v>
      </c>
      <c r="O232" s="242">
        <f>COUNTIFS('تجربه‌گرها'!$B:$B,$A232,'تجربه‌گرها'!$F:$F,O$1)</f>
        <v>0</v>
      </c>
      <c r="P232" s="242">
        <f>COUNTIFS('تجربه‌گرها'!$B:$B,$A232,'تجربه‌گرها'!$F:$F,P$1)</f>
        <v>0</v>
      </c>
      <c r="Q232" s="242">
        <f>COUNTIFS('تجربه‌گرها'!$B:$B,$A232,'تجربه‌گرها'!$F:$F,Q$1)</f>
        <v>0</v>
      </c>
      <c r="R232" s="242">
        <f>COUNTIFS('تجربه‌گرها'!$B:$B,$A232,'تجربه‌گرها'!$F:$F,R$1)</f>
        <v>0</v>
      </c>
      <c r="S232" s="242">
        <f>COUNTIFS('تجربه‌گرها'!$B:$B,$A232,'تجربه‌گرها'!$F:$F,S$1)</f>
        <v>0</v>
      </c>
      <c r="T232" s="242">
        <f>COUNTIFS('تجربه‌گرها'!$B:$B,$A232,'تجربه‌گرها'!$F:$F,T$1)</f>
        <v>0</v>
      </c>
      <c r="U232" s="242"/>
      <c r="V232" s="242"/>
      <c r="W232" s="242"/>
      <c r="X232" s="242"/>
      <c r="Y232" s="242"/>
      <c r="Z232" s="242"/>
      <c r="AA232" s="242"/>
      <c r="AB232" s="242"/>
    </row>
    <row r="233" hidden="1">
      <c r="A233" s="244" t="s">
        <v>2097</v>
      </c>
      <c r="B233" s="245" t="str">
        <f>VLOOKUP(A233,'تجربه‌گرها'!B:C,2,FALSE())</f>
        <v>9122769645</v>
      </c>
      <c r="C233" s="242"/>
      <c r="D233" s="242">
        <f t="shared" si="1"/>
        <v>1</v>
      </c>
      <c r="E233" s="242">
        <f>COUNTIFS('تجربه‌گرها'!$B:$B,$A233,'تجربه‌گرها'!$F:$F,E$1)</f>
        <v>0</v>
      </c>
      <c r="F233" s="242">
        <f>COUNTIFS('تجربه‌گرها'!$B:$B,$A233,'تجربه‌گرها'!$F:$F,F$1)</f>
        <v>1</v>
      </c>
      <c r="G233" s="242">
        <f>COUNTIFS('تجربه‌گرها'!$B:$B,$A233,'تجربه‌گرها'!$F:$F,G$1)</f>
        <v>0</v>
      </c>
      <c r="H233" s="242">
        <f>COUNTIFS('تجربه‌گرها'!$B:$B,$A233,'تجربه‌گرها'!$F:$F,H$1)</f>
        <v>0</v>
      </c>
      <c r="I233" s="242">
        <f>COUNTIFS('تجربه‌گرها'!$B:$B,$A233,'تجربه‌گرها'!$F:$F,I$1)</f>
        <v>0</v>
      </c>
      <c r="J233" s="242">
        <f>COUNTIFS('تجربه‌گرها'!$B:$B,$A233,'تجربه‌گرها'!$F:$F,J$1)</f>
        <v>0</v>
      </c>
      <c r="K233" s="242">
        <f>COUNTIFS('تجربه‌گرها'!$B:$B,$A233,'تجربه‌گرها'!$F:$F,K$1)</f>
        <v>0</v>
      </c>
      <c r="L233" s="242">
        <f>COUNTIFS('تجربه‌گرها'!$B:$B,$A233,'تجربه‌گرها'!$F:$F,L$1)</f>
        <v>0</v>
      </c>
      <c r="M233" s="242">
        <f>COUNTIFS('تجربه‌گرها'!$B:$B,$A233,'تجربه‌گرها'!$F:$F,M$1)</f>
        <v>0</v>
      </c>
      <c r="N233" s="242">
        <f>COUNTIFS('تجربه‌گرها'!$B:$B,$A233,'تجربه‌گرها'!$F:$F,N$1)</f>
        <v>0</v>
      </c>
      <c r="O233" s="242">
        <f>COUNTIFS('تجربه‌گرها'!$B:$B,$A233,'تجربه‌گرها'!$F:$F,O$1)</f>
        <v>0</v>
      </c>
      <c r="P233" s="242">
        <f>COUNTIFS('تجربه‌گرها'!$B:$B,$A233,'تجربه‌گرها'!$F:$F,P$1)</f>
        <v>0</v>
      </c>
      <c r="Q233" s="242">
        <f>COUNTIFS('تجربه‌گرها'!$B:$B,$A233,'تجربه‌گرها'!$F:$F,Q$1)</f>
        <v>0</v>
      </c>
      <c r="R233" s="242">
        <f>COUNTIFS('تجربه‌گرها'!$B:$B,$A233,'تجربه‌گرها'!$F:$F,R$1)</f>
        <v>0</v>
      </c>
      <c r="S233" s="242">
        <f>COUNTIFS('تجربه‌گرها'!$B:$B,$A233,'تجربه‌گرها'!$F:$F,S$1)</f>
        <v>0</v>
      </c>
      <c r="T233" s="242">
        <f>COUNTIFS('تجربه‌گرها'!$B:$B,$A233,'تجربه‌گرها'!$F:$F,T$1)</f>
        <v>0</v>
      </c>
      <c r="U233" s="242"/>
      <c r="V233" s="242"/>
      <c r="W233" s="242"/>
      <c r="X233" s="242"/>
      <c r="Y233" s="242"/>
      <c r="Z233" s="242"/>
      <c r="AA233" s="242"/>
      <c r="AB233" s="242"/>
    </row>
    <row r="234" hidden="1">
      <c r="A234" s="244" t="s">
        <v>2102</v>
      </c>
      <c r="B234" s="245" t="str">
        <f>VLOOKUP(A234,'تجربه‌گرها'!B:C,2,FALSE())</f>
        <v>9124968165</v>
      </c>
      <c r="C234" s="242"/>
      <c r="D234" s="242">
        <f t="shared" si="1"/>
        <v>1</v>
      </c>
      <c r="E234" s="242">
        <f>COUNTIFS('تجربه‌گرها'!$B:$B,$A234,'تجربه‌گرها'!$F:$F,E$1)</f>
        <v>0</v>
      </c>
      <c r="F234" s="242">
        <f>COUNTIFS('تجربه‌گرها'!$B:$B,$A234,'تجربه‌گرها'!$F:$F,F$1)</f>
        <v>1</v>
      </c>
      <c r="G234" s="242">
        <f>COUNTIFS('تجربه‌گرها'!$B:$B,$A234,'تجربه‌گرها'!$F:$F,G$1)</f>
        <v>0</v>
      </c>
      <c r="H234" s="242">
        <f>COUNTIFS('تجربه‌گرها'!$B:$B,$A234,'تجربه‌گرها'!$F:$F,H$1)</f>
        <v>0</v>
      </c>
      <c r="I234" s="242">
        <f>COUNTIFS('تجربه‌گرها'!$B:$B,$A234,'تجربه‌گرها'!$F:$F,I$1)</f>
        <v>0</v>
      </c>
      <c r="J234" s="242">
        <f>COUNTIFS('تجربه‌گرها'!$B:$B,$A234,'تجربه‌گرها'!$F:$F,J$1)</f>
        <v>0</v>
      </c>
      <c r="K234" s="242">
        <f>COUNTIFS('تجربه‌گرها'!$B:$B,$A234,'تجربه‌گرها'!$F:$F,K$1)</f>
        <v>0</v>
      </c>
      <c r="L234" s="242">
        <f>COUNTIFS('تجربه‌گرها'!$B:$B,$A234,'تجربه‌گرها'!$F:$F,L$1)</f>
        <v>0</v>
      </c>
      <c r="M234" s="242">
        <f>COUNTIFS('تجربه‌گرها'!$B:$B,$A234,'تجربه‌گرها'!$F:$F,M$1)</f>
        <v>0</v>
      </c>
      <c r="N234" s="242">
        <f>COUNTIFS('تجربه‌گرها'!$B:$B,$A234,'تجربه‌گرها'!$F:$F,N$1)</f>
        <v>0</v>
      </c>
      <c r="O234" s="242">
        <f>COUNTIFS('تجربه‌گرها'!$B:$B,$A234,'تجربه‌گرها'!$F:$F,O$1)</f>
        <v>0</v>
      </c>
      <c r="P234" s="242">
        <f>COUNTIFS('تجربه‌گرها'!$B:$B,$A234,'تجربه‌گرها'!$F:$F,P$1)</f>
        <v>0</v>
      </c>
      <c r="Q234" s="242">
        <f>COUNTIFS('تجربه‌گرها'!$B:$B,$A234,'تجربه‌گرها'!$F:$F,Q$1)</f>
        <v>0</v>
      </c>
      <c r="R234" s="242">
        <f>COUNTIFS('تجربه‌گرها'!$B:$B,$A234,'تجربه‌گرها'!$F:$F,R$1)</f>
        <v>0</v>
      </c>
      <c r="S234" s="242">
        <f>COUNTIFS('تجربه‌گرها'!$B:$B,$A234,'تجربه‌گرها'!$F:$F,S$1)</f>
        <v>0</v>
      </c>
      <c r="T234" s="242">
        <f>COUNTIFS('تجربه‌گرها'!$B:$B,$A234,'تجربه‌گرها'!$F:$F,T$1)</f>
        <v>0</v>
      </c>
      <c r="U234" s="242"/>
      <c r="V234" s="242"/>
      <c r="W234" s="242"/>
      <c r="X234" s="242"/>
      <c r="Y234" s="242"/>
      <c r="Z234" s="242"/>
      <c r="AA234" s="242"/>
      <c r="AB234" s="242"/>
    </row>
    <row r="235" hidden="1">
      <c r="A235" s="244" t="s">
        <v>2107</v>
      </c>
      <c r="B235" s="245" t="str">
        <f>VLOOKUP(A235,'تجربه‌گرها'!B:C,2,FALSE())</f>
        <v>9366205771</v>
      </c>
      <c r="C235" s="242"/>
      <c r="D235" s="242">
        <f t="shared" si="1"/>
        <v>3</v>
      </c>
      <c r="E235" s="242">
        <f>COUNTIFS('تجربه‌گرها'!$B:$B,$A235,'تجربه‌گرها'!$F:$F,E$1)</f>
        <v>0</v>
      </c>
      <c r="F235" s="242">
        <f>COUNTIFS('تجربه‌گرها'!$B:$B,$A235,'تجربه‌گرها'!$F:$F,F$1)</f>
        <v>1</v>
      </c>
      <c r="G235" s="242">
        <f>COUNTIFS('تجربه‌گرها'!$B:$B,$A235,'تجربه‌گرها'!$F:$F,G$1)</f>
        <v>0</v>
      </c>
      <c r="H235" s="242">
        <f>COUNTIFS('تجربه‌گرها'!$B:$B,$A235,'تجربه‌گرها'!$F:$F,H$1)</f>
        <v>1</v>
      </c>
      <c r="I235" s="242">
        <f>COUNTIFS('تجربه‌گرها'!$B:$B,$A235,'تجربه‌گرها'!$F:$F,I$1)</f>
        <v>0</v>
      </c>
      <c r="J235" s="242">
        <f>COUNTIFS('تجربه‌گرها'!$B:$B,$A235,'تجربه‌گرها'!$F:$F,J$1)</f>
        <v>0</v>
      </c>
      <c r="K235" s="242">
        <f>COUNTIFS('تجربه‌گرها'!$B:$B,$A235,'تجربه‌گرها'!$F:$F,K$1)</f>
        <v>1</v>
      </c>
      <c r="L235" s="242">
        <f>COUNTIFS('تجربه‌گرها'!$B:$B,$A235,'تجربه‌گرها'!$F:$F,L$1)</f>
        <v>0</v>
      </c>
      <c r="M235" s="242">
        <f>COUNTIFS('تجربه‌گرها'!$B:$B,$A235,'تجربه‌گرها'!$F:$F,M$1)</f>
        <v>0</v>
      </c>
      <c r="N235" s="242">
        <f>COUNTIFS('تجربه‌گرها'!$B:$B,$A235,'تجربه‌گرها'!$F:$F,N$1)</f>
        <v>0</v>
      </c>
      <c r="O235" s="242">
        <f>COUNTIFS('تجربه‌گرها'!$B:$B,$A235,'تجربه‌گرها'!$F:$F,O$1)</f>
        <v>0</v>
      </c>
      <c r="P235" s="242">
        <f>COUNTIFS('تجربه‌گرها'!$B:$B,$A235,'تجربه‌گرها'!$F:$F,P$1)</f>
        <v>0</v>
      </c>
      <c r="Q235" s="242">
        <f>COUNTIFS('تجربه‌گرها'!$B:$B,$A235,'تجربه‌گرها'!$F:$F,Q$1)</f>
        <v>0</v>
      </c>
      <c r="R235" s="242">
        <f>COUNTIFS('تجربه‌گرها'!$B:$B,$A235,'تجربه‌گرها'!$F:$F,R$1)</f>
        <v>0</v>
      </c>
      <c r="S235" s="242">
        <f>COUNTIFS('تجربه‌گرها'!$B:$B,$A235,'تجربه‌گرها'!$F:$F,S$1)</f>
        <v>0</v>
      </c>
      <c r="T235" s="242">
        <f>COUNTIFS('تجربه‌گرها'!$B:$B,$A235,'تجربه‌گرها'!$F:$F,T$1)</f>
        <v>0</v>
      </c>
      <c r="U235" s="242"/>
      <c r="V235" s="242"/>
      <c r="W235" s="242"/>
      <c r="X235" s="242"/>
      <c r="Y235" s="242"/>
      <c r="Z235" s="242"/>
      <c r="AA235" s="242"/>
      <c r="AB235" s="242"/>
    </row>
    <row r="236" hidden="1">
      <c r="A236" s="244" t="s">
        <v>2110</v>
      </c>
      <c r="B236" s="245" t="str">
        <f>VLOOKUP(A236,'تجربه‌گرها'!B:C,2,FALSE())</f>
        <v>9143457756</v>
      </c>
      <c r="C236" s="242"/>
      <c r="D236" s="242">
        <f t="shared" si="1"/>
        <v>1</v>
      </c>
      <c r="E236" s="242">
        <f>COUNTIFS('تجربه‌گرها'!$B:$B,$A236,'تجربه‌گرها'!$F:$F,E$1)</f>
        <v>0</v>
      </c>
      <c r="F236" s="242">
        <f>COUNTIFS('تجربه‌گرها'!$B:$B,$A236,'تجربه‌گرها'!$F:$F,F$1)</f>
        <v>1</v>
      </c>
      <c r="G236" s="242">
        <f>COUNTIFS('تجربه‌گرها'!$B:$B,$A236,'تجربه‌گرها'!$F:$F,G$1)</f>
        <v>0</v>
      </c>
      <c r="H236" s="242">
        <f>COUNTIFS('تجربه‌گرها'!$B:$B,$A236,'تجربه‌گرها'!$F:$F,H$1)</f>
        <v>0</v>
      </c>
      <c r="I236" s="242">
        <f>COUNTIFS('تجربه‌گرها'!$B:$B,$A236,'تجربه‌گرها'!$F:$F,I$1)</f>
        <v>0</v>
      </c>
      <c r="J236" s="242">
        <f>COUNTIFS('تجربه‌گرها'!$B:$B,$A236,'تجربه‌گرها'!$F:$F,J$1)</f>
        <v>0</v>
      </c>
      <c r="K236" s="242">
        <f>COUNTIFS('تجربه‌گرها'!$B:$B,$A236,'تجربه‌گرها'!$F:$F,K$1)</f>
        <v>0</v>
      </c>
      <c r="L236" s="242">
        <f>COUNTIFS('تجربه‌گرها'!$B:$B,$A236,'تجربه‌گرها'!$F:$F,L$1)</f>
        <v>0</v>
      </c>
      <c r="M236" s="242">
        <f>COUNTIFS('تجربه‌گرها'!$B:$B,$A236,'تجربه‌گرها'!$F:$F,M$1)</f>
        <v>0</v>
      </c>
      <c r="N236" s="242">
        <f>COUNTIFS('تجربه‌گرها'!$B:$B,$A236,'تجربه‌گرها'!$F:$F,N$1)</f>
        <v>0</v>
      </c>
      <c r="O236" s="242">
        <f>COUNTIFS('تجربه‌گرها'!$B:$B,$A236,'تجربه‌گرها'!$F:$F,O$1)</f>
        <v>0</v>
      </c>
      <c r="P236" s="242">
        <f>COUNTIFS('تجربه‌گرها'!$B:$B,$A236,'تجربه‌گرها'!$F:$F,P$1)</f>
        <v>0</v>
      </c>
      <c r="Q236" s="242">
        <f>COUNTIFS('تجربه‌گرها'!$B:$B,$A236,'تجربه‌گرها'!$F:$F,Q$1)</f>
        <v>0</v>
      </c>
      <c r="R236" s="242">
        <f>COUNTIFS('تجربه‌گرها'!$B:$B,$A236,'تجربه‌گرها'!$F:$F,R$1)</f>
        <v>0</v>
      </c>
      <c r="S236" s="242">
        <f>COUNTIFS('تجربه‌گرها'!$B:$B,$A236,'تجربه‌گرها'!$F:$F,S$1)</f>
        <v>0</v>
      </c>
      <c r="T236" s="242">
        <f>COUNTIFS('تجربه‌گرها'!$B:$B,$A236,'تجربه‌گرها'!$F:$F,T$1)</f>
        <v>0</v>
      </c>
      <c r="U236" s="242"/>
      <c r="V236" s="242"/>
      <c r="W236" s="242"/>
      <c r="X236" s="242"/>
      <c r="Y236" s="242"/>
      <c r="Z236" s="242"/>
      <c r="AA236" s="242"/>
      <c r="AB236" s="242"/>
    </row>
    <row r="237">
      <c r="A237" s="244" t="s">
        <v>2116</v>
      </c>
      <c r="B237" s="245" t="str">
        <f>VLOOKUP(A237,'تجربه‌گرها'!B:C,2,FALSE())</f>
        <v>9125970461</v>
      </c>
      <c r="C237" s="242"/>
      <c r="D237" s="242">
        <f t="shared" si="1"/>
        <v>1</v>
      </c>
      <c r="E237" s="242">
        <f>COUNTIFS('تجربه‌گرها'!$B:$B,$A237,'تجربه‌گرها'!$F:$F,E$1)</f>
        <v>0</v>
      </c>
      <c r="F237" s="242">
        <f>COUNTIFS('تجربه‌گرها'!$B:$B,$A237,'تجربه‌گرها'!$F:$F,F$1)</f>
        <v>1</v>
      </c>
      <c r="G237" s="242">
        <f>COUNTIFS('تجربه‌گرها'!$B:$B,$A237,'تجربه‌گرها'!$F:$F,G$1)</f>
        <v>0</v>
      </c>
      <c r="H237" s="242">
        <f>COUNTIFS('تجربه‌گرها'!$B:$B,$A237,'تجربه‌گرها'!$F:$F,H$1)</f>
        <v>0</v>
      </c>
      <c r="I237" s="242">
        <f>COUNTIFS('تجربه‌گرها'!$B:$B,$A237,'تجربه‌گرها'!$F:$F,I$1)</f>
        <v>0</v>
      </c>
      <c r="J237" s="242">
        <f>COUNTIFS('تجربه‌گرها'!$B:$B,$A237,'تجربه‌گرها'!$F:$F,J$1)</f>
        <v>0</v>
      </c>
      <c r="K237" s="242">
        <f>COUNTIFS('تجربه‌گرها'!$B:$B,$A237,'تجربه‌گرها'!$F:$F,K$1)</f>
        <v>0</v>
      </c>
      <c r="L237" s="242">
        <f>COUNTIFS('تجربه‌گرها'!$B:$B,$A237,'تجربه‌گرها'!$F:$F,L$1)</f>
        <v>0</v>
      </c>
      <c r="M237" s="242">
        <f>COUNTIFS('تجربه‌گرها'!$B:$B,$A237,'تجربه‌گرها'!$F:$F,M$1)</f>
        <v>0</v>
      </c>
      <c r="N237" s="242">
        <f>COUNTIFS('تجربه‌گرها'!$B:$B,$A237,'تجربه‌گرها'!$F:$F,N$1)</f>
        <v>0</v>
      </c>
      <c r="O237" s="242">
        <f>COUNTIFS('تجربه‌گرها'!$B:$B,$A237,'تجربه‌گرها'!$F:$F,O$1)</f>
        <v>0</v>
      </c>
      <c r="P237" s="242">
        <f>COUNTIFS('تجربه‌گرها'!$B:$B,$A237,'تجربه‌گرها'!$F:$F,P$1)</f>
        <v>0</v>
      </c>
      <c r="Q237" s="242">
        <f>COUNTIFS('تجربه‌گرها'!$B:$B,$A237,'تجربه‌گرها'!$F:$F,Q$1)</f>
        <v>0</v>
      </c>
      <c r="R237" s="242">
        <f>COUNTIFS('تجربه‌گرها'!$B:$B,$A237,'تجربه‌گرها'!$F:$F,R$1)</f>
        <v>0</v>
      </c>
      <c r="S237" s="242">
        <f>COUNTIFS('تجربه‌گرها'!$B:$B,$A237,'تجربه‌گرها'!$F:$F,S$1)</f>
        <v>0</v>
      </c>
      <c r="T237" s="242">
        <f>COUNTIFS('تجربه‌گرها'!$B:$B,$A237,'تجربه‌گرها'!$F:$F,T$1)</f>
        <v>0</v>
      </c>
      <c r="U237" s="242"/>
      <c r="V237" s="242"/>
      <c r="W237" s="242"/>
      <c r="X237" s="242"/>
      <c r="Y237" s="242"/>
      <c r="Z237" s="242"/>
      <c r="AA237" s="242"/>
      <c r="AB237" s="242"/>
    </row>
    <row r="238" hidden="1">
      <c r="A238" s="244" t="s">
        <v>2121</v>
      </c>
      <c r="B238" s="245" t="str">
        <f>VLOOKUP(A238,'تجربه‌گرها'!B:C,2,FALSE())</f>
        <v>9127221674</v>
      </c>
      <c r="C238" s="242"/>
      <c r="D238" s="242">
        <f t="shared" si="1"/>
        <v>1</v>
      </c>
      <c r="E238" s="242">
        <f>COUNTIFS('تجربه‌گرها'!$B:$B,$A238,'تجربه‌گرها'!$F:$F,E$1)</f>
        <v>0</v>
      </c>
      <c r="F238" s="242">
        <f>COUNTIFS('تجربه‌گرها'!$B:$B,$A238,'تجربه‌گرها'!$F:$F,F$1)</f>
        <v>1</v>
      </c>
      <c r="G238" s="242">
        <f>COUNTIFS('تجربه‌گرها'!$B:$B,$A238,'تجربه‌گرها'!$F:$F,G$1)</f>
        <v>0</v>
      </c>
      <c r="H238" s="242">
        <f>COUNTIFS('تجربه‌گرها'!$B:$B,$A238,'تجربه‌گرها'!$F:$F,H$1)</f>
        <v>0</v>
      </c>
      <c r="I238" s="242">
        <f>COUNTIFS('تجربه‌گرها'!$B:$B,$A238,'تجربه‌گرها'!$F:$F,I$1)</f>
        <v>0</v>
      </c>
      <c r="J238" s="242">
        <f>COUNTIFS('تجربه‌گرها'!$B:$B,$A238,'تجربه‌گرها'!$F:$F,J$1)</f>
        <v>0</v>
      </c>
      <c r="K238" s="242">
        <f>COUNTIFS('تجربه‌گرها'!$B:$B,$A238,'تجربه‌گرها'!$F:$F,K$1)</f>
        <v>0</v>
      </c>
      <c r="L238" s="242">
        <f>COUNTIFS('تجربه‌گرها'!$B:$B,$A238,'تجربه‌گرها'!$F:$F,L$1)</f>
        <v>0</v>
      </c>
      <c r="M238" s="242">
        <f>COUNTIFS('تجربه‌گرها'!$B:$B,$A238,'تجربه‌گرها'!$F:$F,M$1)</f>
        <v>0</v>
      </c>
      <c r="N238" s="242">
        <f>COUNTIFS('تجربه‌گرها'!$B:$B,$A238,'تجربه‌گرها'!$F:$F,N$1)</f>
        <v>0</v>
      </c>
      <c r="O238" s="242">
        <f>COUNTIFS('تجربه‌گرها'!$B:$B,$A238,'تجربه‌گرها'!$F:$F,O$1)</f>
        <v>0</v>
      </c>
      <c r="P238" s="242">
        <f>COUNTIFS('تجربه‌گرها'!$B:$B,$A238,'تجربه‌گرها'!$F:$F,P$1)</f>
        <v>0</v>
      </c>
      <c r="Q238" s="242">
        <f>COUNTIFS('تجربه‌گرها'!$B:$B,$A238,'تجربه‌گرها'!$F:$F,Q$1)</f>
        <v>0</v>
      </c>
      <c r="R238" s="242">
        <f>COUNTIFS('تجربه‌گرها'!$B:$B,$A238,'تجربه‌گرها'!$F:$F,R$1)</f>
        <v>0</v>
      </c>
      <c r="S238" s="242">
        <f>COUNTIFS('تجربه‌گرها'!$B:$B,$A238,'تجربه‌گرها'!$F:$F,S$1)</f>
        <v>0</v>
      </c>
      <c r="T238" s="242">
        <f>COUNTIFS('تجربه‌گرها'!$B:$B,$A238,'تجربه‌گرها'!$F:$F,T$1)</f>
        <v>0</v>
      </c>
      <c r="U238" s="242"/>
      <c r="V238" s="242"/>
      <c r="W238" s="242"/>
      <c r="X238" s="242"/>
      <c r="Y238" s="242"/>
      <c r="Z238" s="242"/>
      <c r="AA238" s="242"/>
      <c r="AB238" s="242"/>
    </row>
    <row r="239" hidden="1">
      <c r="A239" s="244" t="s">
        <v>2125</v>
      </c>
      <c r="B239" s="245" t="str">
        <f>VLOOKUP(A239,'تجربه‌گرها'!B:C,2,FALSE())</f>
        <v>NA</v>
      </c>
      <c r="C239" s="242"/>
      <c r="D239" s="242">
        <f t="shared" si="1"/>
        <v>1</v>
      </c>
      <c r="E239" s="242">
        <f>COUNTIFS('تجربه‌گرها'!$B:$B,$A239,'تجربه‌گرها'!$F:$F,E$1)</f>
        <v>0</v>
      </c>
      <c r="F239" s="242">
        <f>COUNTIFS('تجربه‌گرها'!$B:$B,$A239,'تجربه‌گرها'!$F:$F,F$1)</f>
        <v>1</v>
      </c>
      <c r="G239" s="242">
        <f>COUNTIFS('تجربه‌گرها'!$B:$B,$A239,'تجربه‌گرها'!$F:$F,G$1)</f>
        <v>0</v>
      </c>
      <c r="H239" s="242">
        <f>COUNTIFS('تجربه‌گرها'!$B:$B,$A239,'تجربه‌گرها'!$F:$F,H$1)</f>
        <v>0</v>
      </c>
      <c r="I239" s="242">
        <f>COUNTIFS('تجربه‌گرها'!$B:$B,$A239,'تجربه‌گرها'!$F:$F,I$1)</f>
        <v>0</v>
      </c>
      <c r="J239" s="242">
        <f>COUNTIFS('تجربه‌گرها'!$B:$B,$A239,'تجربه‌گرها'!$F:$F,J$1)</f>
        <v>0</v>
      </c>
      <c r="K239" s="242">
        <f>COUNTIFS('تجربه‌گرها'!$B:$B,$A239,'تجربه‌گرها'!$F:$F,K$1)</f>
        <v>0</v>
      </c>
      <c r="L239" s="242">
        <f>COUNTIFS('تجربه‌گرها'!$B:$B,$A239,'تجربه‌گرها'!$F:$F,L$1)</f>
        <v>0</v>
      </c>
      <c r="M239" s="242">
        <f>COUNTIFS('تجربه‌گرها'!$B:$B,$A239,'تجربه‌گرها'!$F:$F,M$1)</f>
        <v>0</v>
      </c>
      <c r="N239" s="242">
        <f>COUNTIFS('تجربه‌گرها'!$B:$B,$A239,'تجربه‌گرها'!$F:$F,N$1)</f>
        <v>0</v>
      </c>
      <c r="O239" s="242">
        <f>COUNTIFS('تجربه‌گرها'!$B:$B,$A239,'تجربه‌گرها'!$F:$F,O$1)</f>
        <v>0</v>
      </c>
      <c r="P239" s="242">
        <f>COUNTIFS('تجربه‌گرها'!$B:$B,$A239,'تجربه‌گرها'!$F:$F,P$1)</f>
        <v>0</v>
      </c>
      <c r="Q239" s="242">
        <f>COUNTIFS('تجربه‌گرها'!$B:$B,$A239,'تجربه‌گرها'!$F:$F,Q$1)</f>
        <v>0</v>
      </c>
      <c r="R239" s="242">
        <f>COUNTIFS('تجربه‌گرها'!$B:$B,$A239,'تجربه‌گرها'!$F:$F,R$1)</f>
        <v>0</v>
      </c>
      <c r="S239" s="242">
        <f>COUNTIFS('تجربه‌گرها'!$B:$B,$A239,'تجربه‌گرها'!$F:$F,S$1)</f>
        <v>0</v>
      </c>
      <c r="T239" s="242">
        <f>COUNTIFS('تجربه‌گرها'!$B:$B,$A239,'تجربه‌گرها'!$F:$F,T$1)</f>
        <v>0</v>
      </c>
      <c r="U239" s="242"/>
      <c r="V239" s="242"/>
      <c r="W239" s="242"/>
      <c r="X239" s="242"/>
      <c r="Y239" s="242"/>
      <c r="Z239" s="242"/>
      <c r="AA239" s="242"/>
      <c r="AB239" s="242"/>
    </row>
    <row r="240" hidden="1">
      <c r="A240" s="244" t="s">
        <v>2128</v>
      </c>
      <c r="B240" s="245" t="str">
        <f>VLOOKUP(A240,'تجربه‌گرها'!B:C,2,FALSE())</f>
        <v>9351850366</v>
      </c>
      <c r="C240" s="242"/>
      <c r="D240" s="242">
        <f t="shared" si="1"/>
        <v>1</v>
      </c>
      <c r="E240" s="242">
        <f>COUNTIFS('تجربه‌گرها'!$B:$B,$A240,'تجربه‌گرها'!$F:$F,E$1)</f>
        <v>0</v>
      </c>
      <c r="F240" s="242">
        <f>COUNTIFS('تجربه‌گرها'!$B:$B,$A240,'تجربه‌گرها'!$F:$F,F$1)</f>
        <v>1</v>
      </c>
      <c r="G240" s="242">
        <f>COUNTIFS('تجربه‌گرها'!$B:$B,$A240,'تجربه‌گرها'!$F:$F,G$1)</f>
        <v>0</v>
      </c>
      <c r="H240" s="242">
        <f>COUNTIFS('تجربه‌گرها'!$B:$B,$A240,'تجربه‌گرها'!$F:$F,H$1)</f>
        <v>0</v>
      </c>
      <c r="I240" s="242">
        <f>COUNTIFS('تجربه‌گرها'!$B:$B,$A240,'تجربه‌گرها'!$F:$F,I$1)</f>
        <v>0</v>
      </c>
      <c r="J240" s="242">
        <f>COUNTIFS('تجربه‌گرها'!$B:$B,$A240,'تجربه‌گرها'!$F:$F,J$1)</f>
        <v>0</v>
      </c>
      <c r="K240" s="242">
        <f>COUNTIFS('تجربه‌گرها'!$B:$B,$A240,'تجربه‌گرها'!$F:$F,K$1)</f>
        <v>0</v>
      </c>
      <c r="L240" s="242">
        <f>COUNTIFS('تجربه‌گرها'!$B:$B,$A240,'تجربه‌گرها'!$F:$F,L$1)</f>
        <v>0</v>
      </c>
      <c r="M240" s="242">
        <f>COUNTIFS('تجربه‌گرها'!$B:$B,$A240,'تجربه‌گرها'!$F:$F,M$1)</f>
        <v>0</v>
      </c>
      <c r="N240" s="242">
        <f>COUNTIFS('تجربه‌گرها'!$B:$B,$A240,'تجربه‌گرها'!$F:$F,N$1)</f>
        <v>0</v>
      </c>
      <c r="O240" s="242">
        <f>COUNTIFS('تجربه‌گرها'!$B:$B,$A240,'تجربه‌گرها'!$F:$F,O$1)</f>
        <v>0</v>
      </c>
      <c r="P240" s="242">
        <f>COUNTIFS('تجربه‌گرها'!$B:$B,$A240,'تجربه‌گرها'!$F:$F,P$1)</f>
        <v>0</v>
      </c>
      <c r="Q240" s="242">
        <f>COUNTIFS('تجربه‌گرها'!$B:$B,$A240,'تجربه‌گرها'!$F:$F,Q$1)</f>
        <v>0</v>
      </c>
      <c r="R240" s="242">
        <f>COUNTIFS('تجربه‌گرها'!$B:$B,$A240,'تجربه‌گرها'!$F:$F,R$1)</f>
        <v>0</v>
      </c>
      <c r="S240" s="242">
        <f>COUNTIFS('تجربه‌گرها'!$B:$B,$A240,'تجربه‌گرها'!$F:$F,S$1)</f>
        <v>0</v>
      </c>
      <c r="T240" s="242">
        <f>COUNTIFS('تجربه‌گرها'!$B:$B,$A240,'تجربه‌گرها'!$F:$F,T$1)</f>
        <v>0</v>
      </c>
      <c r="U240" s="242"/>
      <c r="V240" s="242"/>
      <c r="W240" s="242"/>
      <c r="X240" s="242"/>
      <c r="Y240" s="242"/>
      <c r="Z240" s="242"/>
      <c r="AA240" s="242"/>
      <c r="AB240" s="242"/>
    </row>
    <row r="241" hidden="1">
      <c r="A241" s="244" t="s">
        <v>2132</v>
      </c>
      <c r="B241" s="245" t="str">
        <f>VLOOKUP(A241,'تجربه‌گرها'!B:C,2,FALSE())</f>
        <v/>
      </c>
      <c r="C241" s="242"/>
      <c r="D241" s="242">
        <f t="shared" si="1"/>
        <v>1</v>
      </c>
      <c r="E241" s="242">
        <f>COUNTIFS('تجربه‌گرها'!$B:$B,$A241,'تجربه‌گرها'!$F:$F,E$1)</f>
        <v>0</v>
      </c>
      <c r="F241" s="242">
        <f>COUNTIFS('تجربه‌گرها'!$B:$B,$A241,'تجربه‌گرها'!$F:$F,F$1)</f>
        <v>1</v>
      </c>
      <c r="G241" s="242">
        <f>COUNTIFS('تجربه‌گرها'!$B:$B,$A241,'تجربه‌گرها'!$F:$F,G$1)</f>
        <v>0</v>
      </c>
      <c r="H241" s="242">
        <f>COUNTIFS('تجربه‌گرها'!$B:$B,$A241,'تجربه‌گرها'!$F:$F,H$1)</f>
        <v>0</v>
      </c>
      <c r="I241" s="242">
        <f>COUNTIFS('تجربه‌گرها'!$B:$B,$A241,'تجربه‌گرها'!$F:$F,I$1)</f>
        <v>0</v>
      </c>
      <c r="J241" s="242">
        <f>COUNTIFS('تجربه‌گرها'!$B:$B,$A241,'تجربه‌گرها'!$F:$F,J$1)</f>
        <v>0</v>
      </c>
      <c r="K241" s="242">
        <f>COUNTIFS('تجربه‌گرها'!$B:$B,$A241,'تجربه‌گرها'!$F:$F,K$1)</f>
        <v>0</v>
      </c>
      <c r="L241" s="242">
        <f>COUNTIFS('تجربه‌گرها'!$B:$B,$A241,'تجربه‌گرها'!$F:$F,L$1)</f>
        <v>0</v>
      </c>
      <c r="M241" s="242">
        <f>COUNTIFS('تجربه‌گرها'!$B:$B,$A241,'تجربه‌گرها'!$F:$F,M$1)</f>
        <v>0</v>
      </c>
      <c r="N241" s="242">
        <f>COUNTIFS('تجربه‌گرها'!$B:$B,$A241,'تجربه‌گرها'!$F:$F,N$1)</f>
        <v>0</v>
      </c>
      <c r="O241" s="242">
        <f>COUNTIFS('تجربه‌گرها'!$B:$B,$A241,'تجربه‌گرها'!$F:$F,O$1)</f>
        <v>0</v>
      </c>
      <c r="P241" s="242">
        <f>COUNTIFS('تجربه‌گرها'!$B:$B,$A241,'تجربه‌گرها'!$F:$F,P$1)</f>
        <v>0</v>
      </c>
      <c r="Q241" s="242">
        <f>COUNTIFS('تجربه‌گرها'!$B:$B,$A241,'تجربه‌گرها'!$F:$F,Q$1)</f>
        <v>0</v>
      </c>
      <c r="R241" s="242">
        <f>COUNTIFS('تجربه‌گرها'!$B:$B,$A241,'تجربه‌گرها'!$F:$F,R$1)</f>
        <v>0</v>
      </c>
      <c r="S241" s="242">
        <f>COUNTIFS('تجربه‌گرها'!$B:$B,$A241,'تجربه‌گرها'!$F:$F,S$1)</f>
        <v>0</v>
      </c>
      <c r="T241" s="242">
        <f>COUNTIFS('تجربه‌گرها'!$B:$B,$A241,'تجربه‌گرها'!$F:$F,T$1)</f>
        <v>0</v>
      </c>
      <c r="U241" s="242"/>
      <c r="V241" s="242"/>
      <c r="W241" s="242"/>
      <c r="X241" s="242"/>
      <c r="Y241" s="242"/>
      <c r="Z241" s="242"/>
      <c r="AA241" s="242"/>
      <c r="AB241" s="242"/>
    </row>
    <row r="242" hidden="1">
      <c r="A242" s="244" t="s">
        <v>2135</v>
      </c>
      <c r="B242" s="245" t="str">
        <f>VLOOKUP(A242,'تجربه‌گرها'!B:C,2,FALSE())</f>
        <v>9122093788</v>
      </c>
      <c r="C242" s="242"/>
      <c r="D242" s="242">
        <f t="shared" si="1"/>
        <v>1</v>
      </c>
      <c r="E242" s="242">
        <f>COUNTIFS('تجربه‌گرها'!$B:$B,$A242,'تجربه‌گرها'!$F:$F,E$1)</f>
        <v>0</v>
      </c>
      <c r="F242" s="242">
        <f>COUNTIFS('تجربه‌گرها'!$B:$B,$A242,'تجربه‌گرها'!$F:$F,F$1)</f>
        <v>1</v>
      </c>
      <c r="G242" s="242">
        <f>COUNTIFS('تجربه‌گرها'!$B:$B,$A242,'تجربه‌گرها'!$F:$F,G$1)</f>
        <v>0</v>
      </c>
      <c r="H242" s="242">
        <f>COUNTIFS('تجربه‌گرها'!$B:$B,$A242,'تجربه‌گرها'!$F:$F,H$1)</f>
        <v>0</v>
      </c>
      <c r="I242" s="242">
        <f>COUNTIFS('تجربه‌گرها'!$B:$B,$A242,'تجربه‌گرها'!$F:$F,I$1)</f>
        <v>0</v>
      </c>
      <c r="J242" s="242">
        <f>COUNTIFS('تجربه‌گرها'!$B:$B,$A242,'تجربه‌گرها'!$F:$F,J$1)</f>
        <v>0</v>
      </c>
      <c r="K242" s="242">
        <f>COUNTIFS('تجربه‌گرها'!$B:$B,$A242,'تجربه‌گرها'!$F:$F,K$1)</f>
        <v>0</v>
      </c>
      <c r="L242" s="242">
        <f>COUNTIFS('تجربه‌گرها'!$B:$B,$A242,'تجربه‌گرها'!$F:$F,L$1)</f>
        <v>0</v>
      </c>
      <c r="M242" s="242">
        <f>COUNTIFS('تجربه‌گرها'!$B:$B,$A242,'تجربه‌گرها'!$F:$F,M$1)</f>
        <v>0</v>
      </c>
      <c r="N242" s="242">
        <f>COUNTIFS('تجربه‌گرها'!$B:$B,$A242,'تجربه‌گرها'!$F:$F,N$1)</f>
        <v>0</v>
      </c>
      <c r="O242" s="242">
        <f>COUNTIFS('تجربه‌گرها'!$B:$B,$A242,'تجربه‌گرها'!$F:$F,O$1)</f>
        <v>0</v>
      </c>
      <c r="P242" s="242">
        <f>COUNTIFS('تجربه‌گرها'!$B:$B,$A242,'تجربه‌گرها'!$F:$F,P$1)</f>
        <v>0</v>
      </c>
      <c r="Q242" s="242">
        <f>COUNTIFS('تجربه‌گرها'!$B:$B,$A242,'تجربه‌گرها'!$F:$F,Q$1)</f>
        <v>0</v>
      </c>
      <c r="R242" s="242">
        <f>COUNTIFS('تجربه‌گرها'!$B:$B,$A242,'تجربه‌گرها'!$F:$F,R$1)</f>
        <v>0</v>
      </c>
      <c r="S242" s="242">
        <f>COUNTIFS('تجربه‌گرها'!$B:$B,$A242,'تجربه‌گرها'!$F:$F,S$1)</f>
        <v>0</v>
      </c>
      <c r="T242" s="242">
        <f>COUNTIFS('تجربه‌گرها'!$B:$B,$A242,'تجربه‌گرها'!$F:$F,T$1)</f>
        <v>0</v>
      </c>
      <c r="U242" s="242"/>
      <c r="V242" s="242"/>
      <c r="W242" s="242"/>
      <c r="X242" s="242"/>
      <c r="Y242" s="242"/>
      <c r="Z242" s="242"/>
      <c r="AA242" s="242"/>
      <c r="AB242" s="242"/>
    </row>
    <row r="243" hidden="1">
      <c r="A243" s="244" t="s">
        <v>2140</v>
      </c>
      <c r="B243" s="245" t="str">
        <f>VLOOKUP(A243,'تجربه‌گرها'!B:C,2,FALSE())</f>
        <v/>
      </c>
      <c r="C243" s="242"/>
      <c r="D243" s="242">
        <f t="shared" si="1"/>
        <v>1</v>
      </c>
      <c r="E243" s="242">
        <f>COUNTIFS('تجربه‌گرها'!$B:$B,$A243,'تجربه‌گرها'!$F:$F,E$1)</f>
        <v>0</v>
      </c>
      <c r="F243" s="242">
        <f>COUNTIFS('تجربه‌گرها'!$B:$B,$A243,'تجربه‌گرها'!$F:$F,F$1)</f>
        <v>1</v>
      </c>
      <c r="G243" s="242">
        <f>COUNTIFS('تجربه‌گرها'!$B:$B,$A243,'تجربه‌گرها'!$F:$F,G$1)</f>
        <v>0</v>
      </c>
      <c r="H243" s="242">
        <f>COUNTIFS('تجربه‌گرها'!$B:$B,$A243,'تجربه‌گرها'!$F:$F,H$1)</f>
        <v>0</v>
      </c>
      <c r="I243" s="242">
        <f>COUNTIFS('تجربه‌گرها'!$B:$B,$A243,'تجربه‌گرها'!$F:$F,I$1)</f>
        <v>0</v>
      </c>
      <c r="J243" s="242">
        <f>COUNTIFS('تجربه‌گرها'!$B:$B,$A243,'تجربه‌گرها'!$F:$F,J$1)</f>
        <v>0</v>
      </c>
      <c r="K243" s="242">
        <f>COUNTIFS('تجربه‌گرها'!$B:$B,$A243,'تجربه‌گرها'!$F:$F,K$1)</f>
        <v>0</v>
      </c>
      <c r="L243" s="242">
        <f>COUNTIFS('تجربه‌گرها'!$B:$B,$A243,'تجربه‌گرها'!$F:$F,L$1)</f>
        <v>0</v>
      </c>
      <c r="M243" s="242">
        <f>COUNTIFS('تجربه‌گرها'!$B:$B,$A243,'تجربه‌گرها'!$F:$F,M$1)</f>
        <v>0</v>
      </c>
      <c r="N243" s="242">
        <f>COUNTIFS('تجربه‌گرها'!$B:$B,$A243,'تجربه‌گرها'!$F:$F,N$1)</f>
        <v>0</v>
      </c>
      <c r="O243" s="242">
        <f>COUNTIFS('تجربه‌گرها'!$B:$B,$A243,'تجربه‌گرها'!$F:$F,O$1)</f>
        <v>0</v>
      </c>
      <c r="P243" s="242">
        <f>COUNTIFS('تجربه‌گرها'!$B:$B,$A243,'تجربه‌گرها'!$F:$F,P$1)</f>
        <v>0</v>
      </c>
      <c r="Q243" s="242">
        <f>COUNTIFS('تجربه‌گرها'!$B:$B,$A243,'تجربه‌گرها'!$F:$F,Q$1)</f>
        <v>0</v>
      </c>
      <c r="R243" s="242">
        <f>COUNTIFS('تجربه‌گرها'!$B:$B,$A243,'تجربه‌گرها'!$F:$F,R$1)</f>
        <v>0</v>
      </c>
      <c r="S243" s="242">
        <f>COUNTIFS('تجربه‌گرها'!$B:$B,$A243,'تجربه‌گرها'!$F:$F,S$1)</f>
        <v>0</v>
      </c>
      <c r="T243" s="242">
        <f>COUNTIFS('تجربه‌گرها'!$B:$B,$A243,'تجربه‌گرها'!$F:$F,T$1)</f>
        <v>0</v>
      </c>
      <c r="U243" s="242"/>
      <c r="V243" s="242"/>
      <c r="W243" s="242"/>
      <c r="X243" s="242"/>
      <c r="Y243" s="242"/>
      <c r="Z243" s="242"/>
      <c r="AA243" s="242"/>
      <c r="AB243" s="242"/>
    </row>
    <row r="244" hidden="1">
      <c r="A244" s="244" t="s">
        <v>2142</v>
      </c>
      <c r="B244" s="245" t="str">
        <f>VLOOKUP(A244,'تجربه‌گرها'!B:C,2,FALSE())</f>
        <v>9122209406</v>
      </c>
      <c r="C244" s="242"/>
      <c r="D244" s="242">
        <f t="shared" si="1"/>
        <v>1</v>
      </c>
      <c r="E244" s="242">
        <f>COUNTIFS('تجربه‌گرها'!$B:$B,$A244,'تجربه‌گرها'!$F:$F,E$1)</f>
        <v>0</v>
      </c>
      <c r="F244" s="242">
        <f>COUNTIFS('تجربه‌گرها'!$B:$B,$A244,'تجربه‌گرها'!$F:$F,F$1)</f>
        <v>1</v>
      </c>
      <c r="G244" s="242">
        <f>COUNTIFS('تجربه‌گرها'!$B:$B,$A244,'تجربه‌گرها'!$F:$F,G$1)</f>
        <v>0</v>
      </c>
      <c r="H244" s="242">
        <f>COUNTIFS('تجربه‌گرها'!$B:$B,$A244,'تجربه‌گرها'!$F:$F,H$1)</f>
        <v>0</v>
      </c>
      <c r="I244" s="242">
        <f>COUNTIFS('تجربه‌گرها'!$B:$B,$A244,'تجربه‌گرها'!$F:$F,I$1)</f>
        <v>0</v>
      </c>
      <c r="J244" s="242">
        <f>COUNTIFS('تجربه‌گرها'!$B:$B,$A244,'تجربه‌گرها'!$F:$F,J$1)</f>
        <v>0</v>
      </c>
      <c r="K244" s="242">
        <f>COUNTIFS('تجربه‌گرها'!$B:$B,$A244,'تجربه‌گرها'!$F:$F,K$1)</f>
        <v>0</v>
      </c>
      <c r="L244" s="242">
        <f>COUNTIFS('تجربه‌گرها'!$B:$B,$A244,'تجربه‌گرها'!$F:$F,L$1)</f>
        <v>0</v>
      </c>
      <c r="M244" s="242">
        <f>COUNTIFS('تجربه‌گرها'!$B:$B,$A244,'تجربه‌گرها'!$F:$F,M$1)</f>
        <v>0</v>
      </c>
      <c r="N244" s="242">
        <f>COUNTIFS('تجربه‌گرها'!$B:$B,$A244,'تجربه‌گرها'!$F:$F,N$1)</f>
        <v>0</v>
      </c>
      <c r="O244" s="242">
        <f>COUNTIFS('تجربه‌گرها'!$B:$B,$A244,'تجربه‌گرها'!$F:$F,O$1)</f>
        <v>0</v>
      </c>
      <c r="P244" s="242">
        <f>COUNTIFS('تجربه‌گرها'!$B:$B,$A244,'تجربه‌گرها'!$F:$F,P$1)</f>
        <v>0</v>
      </c>
      <c r="Q244" s="242">
        <f>COUNTIFS('تجربه‌گرها'!$B:$B,$A244,'تجربه‌گرها'!$F:$F,Q$1)</f>
        <v>0</v>
      </c>
      <c r="R244" s="242">
        <f>COUNTIFS('تجربه‌گرها'!$B:$B,$A244,'تجربه‌گرها'!$F:$F,R$1)</f>
        <v>0</v>
      </c>
      <c r="S244" s="242">
        <f>COUNTIFS('تجربه‌گرها'!$B:$B,$A244,'تجربه‌گرها'!$F:$F,S$1)</f>
        <v>0</v>
      </c>
      <c r="T244" s="242">
        <f>COUNTIFS('تجربه‌گرها'!$B:$B,$A244,'تجربه‌گرها'!$F:$F,T$1)</f>
        <v>0</v>
      </c>
      <c r="U244" s="242"/>
      <c r="V244" s="242"/>
      <c r="W244" s="242"/>
      <c r="X244" s="242"/>
      <c r="Y244" s="242"/>
      <c r="Z244" s="242"/>
      <c r="AA244" s="242"/>
      <c r="AB244" s="242"/>
    </row>
    <row r="245" hidden="1">
      <c r="A245" s="244" t="s">
        <v>2148</v>
      </c>
      <c r="B245" s="245" t="str">
        <f>VLOOKUP(A245,'تجربه‌گرها'!B:C,2,FALSE())</f>
        <v>9192180514</v>
      </c>
      <c r="C245" s="242"/>
      <c r="D245" s="242">
        <f t="shared" si="1"/>
        <v>1</v>
      </c>
      <c r="E245" s="242">
        <f>COUNTIFS('تجربه‌گرها'!$B:$B,$A245,'تجربه‌گرها'!$F:$F,E$1)</f>
        <v>0</v>
      </c>
      <c r="F245" s="242">
        <f>COUNTIFS('تجربه‌گرها'!$B:$B,$A245,'تجربه‌گرها'!$F:$F,F$1)</f>
        <v>1</v>
      </c>
      <c r="G245" s="242">
        <f>COUNTIFS('تجربه‌گرها'!$B:$B,$A245,'تجربه‌گرها'!$F:$F,G$1)</f>
        <v>0</v>
      </c>
      <c r="H245" s="242">
        <f>COUNTIFS('تجربه‌گرها'!$B:$B,$A245,'تجربه‌گرها'!$F:$F,H$1)</f>
        <v>0</v>
      </c>
      <c r="I245" s="242">
        <f>COUNTIFS('تجربه‌گرها'!$B:$B,$A245,'تجربه‌گرها'!$F:$F,I$1)</f>
        <v>0</v>
      </c>
      <c r="J245" s="242">
        <f>COUNTIFS('تجربه‌گرها'!$B:$B,$A245,'تجربه‌گرها'!$F:$F,J$1)</f>
        <v>0</v>
      </c>
      <c r="K245" s="242">
        <f>COUNTIFS('تجربه‌گرها'!$B:$B,$A245,'تجربه‌گرها'!$F:$F,K$1)</f>
        <v>0</v>
      </c>
      <c r="L245" s="242">
        <f>COUNTIFS('تجربه‌گرها'!$B:$B,$A245,'تجربه‌گرها'!$F:$F,L$1)</f>
        <v>0</v>
      </c>
      <c r="M245" s="242">
        <f>COUNTIFS('تجربه‌گرها'!$B:$B,$A245,'تجربه‌گرها'!$F:$F,M$1)</f>
        <v>0</v>
      </c>
      <c r="N245" s="242">
        <f>COUNTIFS('تجربه‌گرها'!$B:$B,$A245,'تجربه‌گرها'!$F:$F,N$1)</f>
        <v>0</v>
      </c>
      <c r="O245" s="242">
        <f>COUNTIFS('تجربه‌گرها'!$B:$B,$A245,'تجربه‌گرها'!$F:$F,O$1)</f>
        <v>0</v>
      </c>
      <c r="P245" s="242">
        <f>COUNTIFS('تجربه‌گرها'!$B:$B,$A245,'تجربه‌گرها'!$F:$F,P$1)</f>
        <v>0</v>
      </c>
      <c r="Q245" s="242">
        <f>COUNTIFS('تجربه‌گرها'!$B:$B,$A245,'تجربه‌گرها'!$F:$F,Q$1)</f>
        <v>0</v>
      </c>
      <c r="R245" s="242">
        <f>COUNTIFS('تجربه‌گرها'!$B:$B,$A245,'تجربه‌گرها'!$F:$F,R$1)</f>
        <v>0</v>
      </c>
      <c r="S245" s="242">
        <f>COUNTIFS('تجربه‌گرها'!$B:$B,$A245,'تجربه‌گرها'!$F:$F,S$1)</f>
        <v>0</v>
      </c>
      <c r="T245" s="242">
        <f>COUNTIFS('تجربه‌گرها'!$B:$B,$A245,'تجربه‌گرها'!$F:$F,T$1)</f>
        <v>0</v>
      </c>
      <c r="U245" s="242"/>
      <c r="V245" s="242"/>
      <c r="W245" s="242"/>
      <c r="X245" s="242"/>
      <c r="Y245" s="242"/>
      <c r="Z245" s="242"/>
      <c r="AA245" s="242"/>
      <c r="AB245" s="242"/>
    </row>
    <row r="246" hidden="1">
      <c r="A246" s="244" t="s">
        <v>2153</v>
      </c>
      <c r="B246" s="245" t="str">
        <f>VLOOKUP(A246,'تجربه‌گرها'!B:C,2,FALSE())</f>
        <v>9387967905</v>
      </c>
      <c r="C246" s="242"/>
      <c r="D246" s="242">
        <f t="shared" si="1"/>
        <v>1</v>
      </c>
      <c r="E246" s="242">
        <f>COUNTIFS('تجربه‌گرها'!$B:$B,$A246,'تجربه‌گرها'!$F:$F,E$1)</f>
        <v>0</v>
      </c>
      <c r="F246" s="242">
        <f>COUNTIFS('تجربه‌گرها'!$B:$B,$A246,'تجربه‌گرها'!$F:$F,F$1)</f>
        <v>1</v>
      </c>
      <c r="G246" s="242">
        <f>COUNTIFS('تجربه‌گرها'!$B:$B,$A246,'تجربه‌گرها'!$F:$F,G$1)</f>
        <v>0</v>
      </c>
      <c r="H246" s="242">
        <f>COUNTIFS('تجربه‌گرها'!$B:$B,$A246,'تجربه‌گرها'!$F:$F,H$1)</f>
        <v>0</v>
      </c>
      <c r="I246" s="242">
        <f>COUNTIFS('تجربه‌گرها'!$B:$B,$A246,'تجربه‌گرها'!$F:$F,I$1)</f>
        <v>0</v>
      </c>
      <c r="J246" s="242">
        <f>COUNTIFS('تجربه‌گرها'!$B:$B,$A246,'تجربه‌گرها'!$F:$F,J$1)</f>
        <v>0</v>
      </c>
      <c r="K246" s="242">
        <f>COUNTIFS('تجربه‌گرها'!$B:$B,$A246,'تجربه‌گرها'!$F:$F,K$1)</f>
        <v>0</v>
      </c>
      <c r="L246" s="242">
        <f>COUNTIFS('تجربه‌گرها'!$B:$B,$A246,'تجربه‌گرها'!$F:$F,L$1)</f>
        <v>0</v>
      </c>
      <c r="M246" s="242">
        <f>COUNTIFS('تجربه‌گرها'!$B:$B,$A246,'تجربه‌گرها'!$F:$F,M$1)</f>
        <v>0</v>
      </c>
      <c r="N246" s="242">
        <f>COUNTIFS('تجربه‌گرها'!$B:$B,$A246,'تجربه‌گرها'!$F:$F,N$1)</f>
        <v>0</v>
      </c>
      <c r="O246" s="242">
        <f>COUNTIFS('تجربه‌گرها'!$B:$B,$A246,'تجربه‌گرها'!$F:$F,O$1)</f>
        <v>0</v>
      </c>
      <c r="P246" s="242">
        <f>COUNTIFS('تجربه‌گرها'!$B:$B,$A246,'تجربه‌گرها'!$F:$F,P$1)</f>
        <v>0</v>
      </c>
      <c r="Q246" s="242">
        <f>COUNTIFS('تجربه‌گرها'!$B:$B,$A246,'تجربه‌گرها'!$F:$F,Q$1)</f>
        <v>0</v>
      </c>
      <c r="R246" s="242">
        <f>COUNTIFS('تجربه‌گرها'!$B:$B,$A246,'تجربه‌گرها'!$F:$F,R$1)</f>
        <v>0</v>
      </c>
      <c r="S246" s="242">
        <f>COUNTIFS('تجربه‌گرها'!$B:$B,$A246,'تجربه‌گرها'!$F:$F,S$1)</f>
        <v>0</v>
      </c>
      <c r="T246" s="242">
        <f>COUNTIFS('تجربه‌گرها'!$B:$B,$A246,'تجربه‌گرها'!$F:$F,T$1)</f>
        <v>0</v>
      </c>
      <c r="U246" s="242"/>
      <c r="V246" s="242"/>
      <c r="W246" s="242"/>
      <c r="X246" s="242"/>
      <c r="Y246" s="242"/>
      <c r="Z246" s="242"/>
      <c r="AA246" s="242"/>
      <c r="AB246" s="242"/>
    </row>
    <row r="247" hidden="1">
      <c r="A247" s="244" t="s">
        <v>2158</v>
      </c>
      <c r="B247" s="245" t="str">
        <f>VLOOKUP(A247,'تجربه‌گرها'!B:C,2,FALSE())</f>
        <v>9128665530</v>
      </c>
      <c r="C247" s="242"/>
      <c r="D247" s="242">
        <f t="shared" si="1"/>
        <v>1</v>
      </c>
      <c r="E247" s="242">
        <f>COUNTIFS('تجربه‌گرها'!$B:$B,$A247,'تجربه‌گرها'!$F:$F,E$1)</f>
        <v>0</v>
      </c>
      <c r="F247" s="242">
        <f>COUNTIFS('تجربه‌گرها'!$B:$B,$A247,'تجربه‌گرها'!$F:$F,F$1)</f>
        <v>1</v>
      </c>
      <c r="G247" s="242">
        <f>COUNTIFS('تجربه‌گرها'!$B:$B,$A247,'تجربه‌گرها'!$F:$F,G$1)</f>
        <v>0</v>
      </c>
      <c r="H247" s="242">
        <f>COUNTIFS('تجربه‌گرها'!$B:$B,$A247,'تجربه‌گرها'!$F:$F,H$1)</f>
        <v>0</v>
      </c>
      <c r="I247" s="242">
        <f>COUNTIFS('تجربه‌گرها'!$B:$B,$A247,'تجربه‌گرها'!$F:$F,I$1)</f>
        <v>0</v>
      </c>
      <c r="J247" s="242">
        <f>COUNTIFS('تجربه‌گرها'!$B:$B,$A247,'تجربه‌گرها'!$F:$F,J$1)</f>
        <v>0</v>
      </c>
      <c r="K247" s="242">
        <f>COUNTIFS('تجربه‌گرها'!$B:$B,$A247,'تجربه‌گرها'!$F:$F,K$1)</f>
        <v>0</v>
      </c>
      <c r="L247" s="242">
        <f>COUNTIFS('تجربه‌گرها'!$B:$B,$A247,'تجربه‌گرها'!$F:$F,L$1)</f>
        <v>0</v>
      </c>
      <c r="M247" s="242">
        <f>COUNTIFS('تجربه‌گرها'!$B:$B,$A247,'تجربه‌گرها'!$F:$F,M$1)</f>
        <v>0</v>
      </c>
      <c r="N247" s="242">
        <f>COUNTIFS('تجربه‌گرها'!$B:$B,$A247,'تجربه‌گرها'!$F:$F,N$1)</f>
        <v>0</v>
      </c>
      <c r="O247" s="242">
        <f>COUNTIFS('تجربه‌گرها'!$B:$B,$A247,'تجربه‌گرها'!$F:$F,O$1)</f>
        <v>0</v>
      </c>
      <c r="P247" s="242">
        <f>COUNTIFS('تجربه‌گرها'!$B:$B,$A247,'تجربه‌گرها'!$F:$F,P$1)</f>
        <v>0</v>
      </c>
      <c r="Q247" s="242">
        <f>COUNTIFS('تجربه‌گرها'!$B:$B,$A247,'تجربه‌گرها'!$F:$F,Q$1)</f>
        <v>0</v>
      </c>
      <c r="R247" s="242">
        <f>COUNTIFS('تجربه‌گرها'!$B:$B,$A247,'تجربه‌گرها'!$F:$F,R$1)</f>
        <v>0</v>
      </c>
      <c r="S247" s="242">
        <f>COUNTIFS('تجربه‌گرها'!$B:$B,$A247,'تجربه‌گرها'!$F:$F,S$1)</f>
        <v>0</v>
      </c>
      <c r="T247" s="242">
        <f>COUNTIFS('تجربه‌گرها'!$B:$B,$A247,'تجربه‌گرها'!$F:$F,T$1)</f>
        <v>0</v>
      </c>
      <c r="U247" s="242"/>
      <c r="V247" s="242"/>
      <c r="W247" s="242"/>
      <c r="X247" s="242"/>
      <c r="Y247" s="242"/>
      <c r="Z247" s="242"/>
      <c r="AA247" s="242"/>
      <c r="AB247" s="242"/>
    </row>
    <row r="248" hidden="1">
      <c r="A248" s="244" t="s">
        <v>2163</v>
      </c>
      <c r="B248" s="245" t="str">
        <f>VLOOKUP(A248,'تجربه‌گرها'!B:C,2,FALSE())</f>
        <v>9395209689</v>
      </c>
      <c r="C248" s="242"/>
      <c r="D248" s="242">
        <f t="shared" si="1"/>
        <v>1</v>
      </c>
      <c r="E248" s="242">
        <f>COUNTIFS('تجربه‌گرها'!$B:$B,$A248,'تجربه‌گرها'!$F:$F,E$1)</f>
        <v>0</v>
      </c>
      <c r="F248" s="242">
        <f>COUNTIFS('تجربه‌گرها'!$B:$B,$A248,'تجربه‌گرها'!$F:$F,F$1)</f>
        <v>1</v>
      </c>
      <c r="G248" s="242">
        <f>COUNTIFS('تجربه‌گرها'!$B:$B,$A248,'تجربه‌گرها'!$F:$F,G$1)</f>
        <v>0</v>
      </c>
      <c r="H248" s="242">
        <f>COUNTIFS('تجربه‌گرها'!$B:$B,$A248,'تجربه‌گرها'!$F:$F,H$1)</f>
        <v>0</v>
      </c>
      <c r="I248" s="242">
        <f>COUNTIFS('تجربه‌گرها'!$B:$B,$A248,'تجربه‌گرها'!$F:$F,I$1)</f>
        <v>0</v>
      </c>
      <c r="J248" s="242">
        <f>COUNTIFS('تجربه‌گرها'!$B:$B,$A248,'تجربه‌گرها'!$F:$F,J$1)</f>
        <v>0</v>
      </c>
      <c r="K248" s="242">
        <f>COUNTIFS('تجربه‌گرها'!$B:$B,$A248,'تجربه‌گرها'!$F:$F,K$1)</f>
        <v>0</v>
      </c>
      <c r="L248" s="242">
        <f>COUNTIFS('تجربه‌گرها'!$B:$B,$A248,'تجربه‌گرها'!$F:$F,L$1)</f>
        <v>0</v>
      </c>
      <c r="M248" s="242">
        <f>COUNTIFS('تجربه‌گرها'!$B:$B,$A248,'تجربه‌گرها'!$F:$F,M$1)</f>
        <v>0</v>
      </c>
      <c r="N248" s="242">
        <f>COUNTIFS('تجربه‌گرها'!$B:$B,$A248,'تجربه‌گرها'!$F:$F,N$1)</f>
        <v>0</v>
      </c>
      <c r="O248" s="242">
        <f>COUNTIFS('تجربه‌گرها'!$B:$B,$A248,'تجربه‌گرها'!$F:$F,O$1)</f>
        <v>0</v>
      </c>
      <c r="P248" s="242">
        <f>COUNTIFS('تجربه‌گرها'!$B:$B,$A248,'تجربه‌گرها'!$F:$F,P$1)</f>
        <v>0</v>
      </c>
      <c r="Q248" s="242">
        <f>COUNTIFS('تجربه‌گرها'!$B:$B,$A248,'تجربه‌گرها'!$F:$F,Q$1)</f>
        <v>0</v>
      </c>
      <c r="R248" s="242">
        <f>COUNTIFS('تجربه‌گرها'!$B:$B,$A248,'تجربه‌گرها'!$F:$F,R$1)</f>
        <v>0</v>
      </c>
      <c r="S248" s="242">
        <f>COUNTIFS('تجربه‌گرها'!$B:$B,$A248,'تجربه‌گرها'!$F:$F,S$1)</f>
        <v>0</v>
      </c>
      <c r="T248" s="242">
        <f>COUNTIFS('تجربه‌گرها'!$B:$B,$A248,'تجربه‌گرها'!$F:$F,T$1)</f>
        <v>0</v>
      </c>
      <c r="U248" s="242"/>
      <c r="V248" s="242"/>
      <c r="W248" s="242"/>
      <c r="X248" s="242"/>
      <c r="Y248" s="242"/>
      <c r="Z248" s="242"/>
      <c r="AA248" s="242"/>
      <c r="AB248" s="242"/>
    </row>
    <row r="249" hidden="1">
      <c r="A249" s="244" t="s">
        <v>2168</v>
      </c>
      <c r="B249" s="245" t="str">
        <f>VLOOKUP(A249,'تجربه‌گرها'!B:C,2,FALSE())</f>
        <v>9363134423</v>
      </c>
      <c r="C249" s="242"/>
      <c r="D249" s="242">
        <f t="shared" si="1"/>
        <v>1</v>
      </c>
      <c r="E249" s="242">
        <f>COUNTIFS('تجربه‌گرها'!$B:$B,$A249,'تجربه‌گرها'!$F:$F,E$1)</f>
        <v>0</v>
      </c>
      <c r="F249" s="242">
        <f>COUNTIFS('تجربه‌گرها'!$B:$B,$A249,'تجربه‌گرها'!$F:$F,F$1)</f>
        <v>1</v>
      </c>
      <c r="G249" s="242">
        <f>COUNTIFS('تجربه‌گرها'!$B:$B,$A249,'تجربه‌گرها'!$F:$F,G$1)</f>
        <v>0</v>
      </c>
      <c r="H249" s="242">
        <f>COUNTIFS('تجربه‌گرها'!$B:$B,$A249,'تجربه‌گرها'!$F:$F,H$1)</f>
        <v>0</v>
      </c>
      <c r="I249" s="242">
        <f>COUNTIFS('تجربه‌گرها'!$B:$B,$A249,'تجربه‌گرها'!$F:$F,I$1)</f>
        <v>0</v>
      </c>
      <c r="J249" s="242">
        <f>COUNTIFS('تجربه‌گرها'!$B:$B,$A249,'تجربه‌گرها'!$F:$F,J$1)</f>
        <v>0</v>
      </c>
      <c r="K249" s="242">
        <f>COUNTIFS('تجربه‌گرها'!$B:$B,$A249,'تجربه‌گرها'!$F:$F,K$1)</f>
        <v>0</v>
      </c>
      <c r="L249" s="242">
        <f>COUNTIFS('تجربه‌گرها'!$B:$B,$A249,'تجربه‌گرها'!$F:$F,L$1)</f>
        <v>0</v>
      </c>
      <c r="M249" s="242">
        <f>COUNTIFS('تجربه‌گرها'!$B:$B,$A249,'تجربه‌گرها'!$F:$F,M$1)</f>
        <v>0</v>
      </c>
      <c r="N249" s="242">
        <f>COUNTIFS('تجربه‌گرها'!$B:$B,$A249,'تجربه‌گرها'!$F:$F,N$1)</f>
        <v>0</v>
      </c>
      <c r="O249" s="242">
        <f>COUNTIFS('تجربه‌گرها'!$B:$B,$A249,'تجربه‌گرها'!$F:$F,O$1)</f>
        <v>0</v>
      </c>
      <c r="P249" s="242">
        <f>COUNTIFS('تجربه‌گرها'!$B:$B,$A249,'تجربه‌گرها'!$F:$F,P$1)</f>
        <v>0</v>
      </c>
      <c r="Q249" s="242">
        <f>COUNTIFS('تجربه‌گرها'!$B:$B,$A249,'تجربه‌گرها'!$F:$F,Q$1)</f>
        <v>0</v>
      </c>
      <c r="R249" s="242">
        <f>COUNTIFS('تجربه‌گرها'!$B:$B,$A249,'تجربه‌گرها'!$F:$F,R$1)</f>
        <v>0</v>
      </c>
      <c r="S249" s="242">
        <f>COUNTIFS('تجربه‌گرها'!$B:$B,$A249,'تجربه‌گرها'!$F:$F,S$1)</f>
        <v>0</v>
      </c>
      <c r="T249" s="242">
        <f>COUNTIFS('تجربه‌گرها'!$B:$B,$A249,'تجربه‌گرها'!$F:$F,T$1)</f>
        <v>0</v>
      </c>
      <c r="U249" s="242"/>
      <c r="V249" s="242"/>
      <c r="W249" s="242"/>
      <c r="X249" s="242"/>
      <c r="Y249" s="242"/>
      <c r="Z249" s="242"/>
      <c r="AA249" s="242"/>
      <c r="AB249" s="242"/>
    </row>
    <row r="250" hidden="1">
      <c r="A250" s="244" t="s">
        <v>2173</v>
      </c>
      <c r="B250" s="245" t="str">
        <f>VLOOKUP(A250,'تجربه‌گرها'!B:C,2,FALSE())</f>
        <v>9124805019</v>
      </c>
      <c r="C250" s="242"/>
      <c r="D250" s="242">
        <f t="shared" si="1"/>
        <v>1</v>
      </c>
      <c r="E250" s="242">
        <f>COUNTIFS('تجربه‌گرها'!$B:$B,$A250,'تجربه‌گرها'!$F:$F,E$1)</f>
        <v>0</v>
      </c>
      <c r="F250" s="242">
        <f>COUNTIFS('تجربه‌گرها'!$B:$B,$A250,'تجربه‌گرها'!$F:$F,F$1)</f>
        <v>1</v>
      </c>
      <c r="G250" s="242">
        <f>COUNTIFS('تجربه‌گرها'!$B:$B,$A250,'تجربه‌گرها'!$F:$F,G$1)</f>
        <v>0</v>
      </c>
      <c r="H250" s="242">
        <f>COUNTIFS('تجربه‌گرها'!$B:$B,$A250,'تجربه‌گرها'!$F:$F,H$1)</f>
        <v>0</v>
      </c>
      <c r="I250" s="242">
        <f>COUNTIFS('تجربه‌گرها'!$B:$B,$A250,'تجربه‌گرها'!$F:$F,I$1)</f>
        <v>0</v>
      </c>
      <c r="J250" s="242">
        <f>COUNTIFS('تجربه‌گرها'!$B:$B,$A250,'تجربه‌گرها'!$F:$F,J$1)</f>
        <v>0</v>
      </c>
      <c r="K250" s="242">
        <f>COUNTIFS('تجربه‌گرها'!$B:$B,$A250,'تجربه‌گرها'!$F:$F,K$1)</f>
        <v>0</v>
      </c>
      <c r="L250" s="242">
        <f>COUNTIFS('تجربه‌گرها'!$B:$B,$A250,'تجربه‌گرها'!$F:$F,L$1)</f>
        <v>0</v>
      </c>
      <c r="M250" s="242">
        <f>COUNTIFS('تجربه‌گرها'!$B:$B,$A250,'تجربه‌گرها'!$F:$F,M$1)</f>
        <v>0</v>
      </c>
      <c r="N250" s="242">
        <f>COUNTIFS('تجربه‌گرها'!$B:$B,$A250,'تجربه‌گرها'!$F:$F,N$1)</f>
        <v>0</v>
      </c>
      <c r="O250" s="242">
        <f>COUNTIFS('تجربه‌گرها'!$B:$B,$A250,'تجربه‌گرها'!$F:$F,O$1)</f>
        <v>0</v>
      </c>
      <c r="P250" s="242">
        <f>COUNTIFS('تجربه‌گرها'!$B:$B,$A250,'تجربه‌گرها'!$F:$F,P$1)</f>
        <v>0</v>
      </c>
      <c r="Q250" s="242">
        <f>COUNTIFS('تجربه‌گرها'!$B:$B,$A250,'تجربه‌گرها'!$F:$F,Q$1)</f>
        <v>0</v>
      </c>
      <c r="R250" s="242">
        <f>COUNTIFS('تجربه‌گرها'!$B:$B,$A250,'تجربه‌گرها'!$F:$F,R$1)</f>
        <v>0</v>
      </c>
      <c r="S250" s="242">
        <f>COUNTIFS('تجربه‌گرها'!$B:$B,$A250,'تجربه‌گرها'!$F:$F,S$1)</f>
        <v>0</v>
      </c>
      <c r="T250" s="242">
        <f>COUNTIFS('تجربه‌گرها'!$B:$B,$A250,'تجربه‌گرها'!$F:$F,T$1)</f>
        <v>0</v>
      </c>
      <c r="U250" s="242"/>
      <c r="V250" s="242"/>
      <c r="W250" s="242"/>
      <c r="X250" s="242"/>
      <c r="Y250" s="242"/>
      <c r="Z250" s="242"/>
      <c r="AA250" s="242"/>
      <c r="AB250" s="242"/>
    </row>
    <row r="251" hidden="1">
      <c r="A251" s="244" t="s">
        <v>2178</v>
      </c>
      <c r="B251" s="245" t="str">
        <f>VLOOKUP(A251,'تجربه‌گرها'!B:C,2,FALSE())</f>
        <v>9194203646</v>
      </c>
      <c r="C251" s="242"/>
      <c r="D251" s="242">
        <f t="shared" si="1"/>
        <v>1</v>
      </c>
      <c r="E251" s="242">
        <f>COUNTIFS('تجربه‌گرها'!$B:$B,$A251,'تجربه‌گرها'!$F:$F,E$1)</f>
        <v>0</v>
      </c>
      <c r="F251" s="242">
        <f>COUNTIFS('تجربه‌گرها'!$B:$B,$A251,'تجربه‌گرها'!$F:$F,F$1)</f>
        <v>1</v>
      </c>
      <c r="G251" s="242">
        <f>COUNTIFS('تجربه‌گرها'!$B:$B,$A251,'تجربه‌گرها'!$F:$F,G$1)</f>
        <v>0</v>
      </c>
      <c r="H251" s="242">
        <f>COUNTIFS('تجربه‌گرها'!$B:$B,$A251,'تجربه‌گرها'!$F:$F,H$1)</f>
        <v>0</v>
      </c>
      <c r="I251" s="242">
        <f>COUNTIFS('تجربه‌گرها'!$B:$B,$A251,'تجربه‌گرها'!$F:$F,I$1)</f>
        <v>0</v>
      </c>
      <c r="J251" s="242">
        <f>COUNTIFS('تجربه‌گرها'!$B:$B,$A251,'تجربه‌گرها'!$F:$F,J$1)</f>
        <v>0</v>
      </c>
      <c r="K251" s="242">
        <f>COUNTIFS('تجربه‌گرها'!$B:$B,$A251,'تجربه‌گرها'!$F:$F,K$1)</f>
        <v>0</v>
      </c>
      <c r="L251" s="242">
        <f>COUNTIFS('تجربه‌گرها'!$B:$B,$A251,'تجربه‌گرها'!$F:$F,L$1)</f>
        <v>0</v>
      </c>
      <c r="M251" s="242">
        <f>COUNTIFS('تجربه‌گرها'!$B:$B,$A251,'تجربه‌گرها'!$F:$F,M$1)</f>
        <v>0</v>
      </c>
      <c r="N251" s="242">
        <f>COUNTIFS('تجربه‌گرها'!$B:$B,$A251,'تجربه‌گرها'!$F:$F,N$1)</f>
        <v>0</v>
      </c>
      <c r="O251" s="242">
        <f>COUNTIFS('تجربه‌گرها'!$B:$B,$A251,'تجربه‌گرها'!$F:$F,O$1)</f>
        <v>0</v>
      </c>
      <c r="P251" s="242">
        <f>COUNTIFS('تجربه‌گرها'!$B:$B,$A251,'تجربه‌گرها'!$F:$F,P$1)</f>
        <v>0</v>
      </c>
      <c r="Q251" s="242">
        <f>COUNTIFS('تجربه‌گرها'!$B:$B,$A251,'تجربه‌گرها'!$F:$F,Q$1)</f>
        <v>0</v>
      </c>
      <c r="R251" s="242">
        <f>COUNTIFS('تجربه‌گرها'!$B:$B,$A251,'تجربه‌گرها'!$F:$F,R$1)</f>
        <v>0</v>
      </c>
      <c r="S251" s="242">
        <f>COUNTIFS('تجربه‌گرها'!$B:$B,$A251,'تجربه‌گرها'!$F:$F,S$1)</f>
        <v>0</v>
      </c>
      <c r="T251" s="242">
        <f>COUNTIFS('تجربه‌گرها'!$B:$B,$A251,'تجربه‌گرها'!$F:$F,T$1)</f>
        <v>0</v>
      </c>
      <c r="U251" s="242"/>
      <c r="V251" s="242"/>
      <c r="W251" s="242"/>
      <c r="X251" s="242"/>
      <c r="Y251" s="242"/>
      <c r="Z251" s="242"/>
      <c r="AA251" s="242"/>
      <c r="AB251" s="242"/>
    </row>
    <row r="252" hidden="1">
      <c r="A252" s="244" t="s">
        <v>2180</v>
      </c>
      <c r="B252" s="245" t="str">
        <f>VLOOKUP(A252,'تجربه‌گرها'!B:C,2,FALSE())</f>
        <v>9129452968</v>
      </c>
      <c r="C252" s="242"/>
      <c r="D252" s="242">
        <f t="shared" si="1"/>
        <v>1</v>
      </c>
      <c r="E252" s="242">
        <f>COUNTIFS('تجربه‌گرها'!$B:$B,$A252,'تجربه‌گرها'!$F:$F,E$1)</f>
        <v>0</v>
      </c>
      <c r="F252" s="242">
        <f>COUNTIFS('تجربه‌گرها'!$B:$B,$A252,'تجربه‌گرها'!$F:$F,F$1)</f>
        <v>1</v>
      </c>
      <c r="G252" s="242">
        <f>COUNTIFS('تجربه‌گرها'!$B:$B,$A252,'تجربه‌گرها'!$F:$F,G$1)</f>
        <v>0</v>
      </c>
      <c r="H252" s="242">
        <f>COUNTIFS('تجربه‌گرها'!$B:$B,$A252,'تجربه‌گرها'!$F:$F,H$1)</f>
        <v>0</v>
      </c>
      <c r="I252" s="242">
        <f>COUNTIFS('تجربه‌گرها'!$B:$B,$A252,'تجربه‌گرها'!$F:$F,I$1)</f>
        <v>0</v>
      </c>
      <c r="J252" s="242">
        <f>COUNTIFS('تجربه‌گرها'!$B:$B,$A252,'تجربه‌گرها'!$F:$F,J$1)</f>
        <v>0</v>
      </c>
      <c r="K252" s="242">
        <f>COUNTIFS('تجربه‌گرها'!$B:$B,$A252,'تجربه‌گرها'!$F:$F,K$1)</f>
        <v>0</v>
      </c>
      <c r="L252" s="242">
        <f>COUNTIFS('تجربه‌گرها'!$B:$B,$A252,'تجربه‌گرها'!$F:$F,L$1)</f>
        <v>0</v>
      </c>
      <c r="M252" s="242">
        <f>COUNTIFS('تجربه‌گرها'!$B:$B,$A252,'تجربه‌گرها'!$F:$F,M$1)</f>
        <v>0</v>
      </c>
      <c r="N252" s="242">
        <f>COUNTIFS('تجربه‌گرها'!$B:$B,$A252,'تجربه‌گرها'!$F:$F,N$1)</f>
        <v>0</v>
      </c>
      <c r="O252" s="242">
        <f>COUNTIFS('تجربه‌گرها'!$B:$B,$A252,'تجربه‌گرها'!$F:$F,O$1)</f>
        <v>0</v>
      </c>
      <c r="P252" s="242">
        <f>COUNTIFS('تجربه‌گرها'!$B:$B,$A252,'تجربه‌گرها'!$F:$F,P$1)</f>
        <v>0</v>
      </c>
      <c r="Q252" s="242">
        <f>COUNTIFS('تجربه‌گرها'!$B:$B,$A252,'تجربه‌گرها'!$F:$F,Q$1)</f>
        <v>0</v>
      </c>
      <c r="R252" s="242">
        <f>COUNTIFS('تجربه‌گرها'!$B:$B,$A252,'تجربه‌گرها'!$F:$F,R$1)</f>
        <v>0</v>
      </c>
      <c r="S252" s="242">
        <f>COUNTIFS('تجربه‌گرها'!$B:$B,$A252,'تجربه‌گرها'!$F:$F,S$1)</f>
        <v>0</v>
      </c>
      <c r="T252" s="242">
        <f>COUNTIFS('تجربه‌گرها'!$B:$B,$A252,'تجربه‌گرها'!$F:$F,T$1)</f>
        <v>0</v>
      </c>
      <c r="U252" s="242"/>
      <c r="V252" s="242"/>
      <c r="W252" s="242"/>
      <c r="X252" s="242"/>
      <c r="Y252" s="242"/>
      <c r="Z252" s="242"/>
      <c r="AA252" s="242"/>
      <c r="AB252" s="242"/>
    </row>
    <row r="253" hidden="1">
      <c r="A253" s="244" t="s">
        <v>2192</v>
      </c>
      <c r="B253" s="245" t="str">
        <f>VLOOKUP(A253,'تجربه‌گرها'!B:C,2,FALSE())</f>
        <v/>
      </c>
      <c r="C253" s="242"/>
      <c r="D253" s="242">
        <f t="shared" si="1"/>
        <v>2</v>
      </c>
      <c r="E253" s="242">
        <f>COUNTIFS('تجربه‌گرها'!$B:$B,$A253,'تجربه‌گرها'!$F:$F,E$1)</f>
        <v>0</v>
      </c>
      <c r="F253" s="242">
        <f>COUNTIFS('تجربه‌گرها'!$B:$B,$A253,'تجربه‌گرها'!$F:$F,F$1)</f>
        <v>1</v>
      </c>
      <c r="G253" s="242">
        <f>COUNTIFS('تجربه‌گرها'!$B:$B,$A253,'تجربه‌گرها'!$F:$F,G$1)</f>
        <v>0</v>
      </c>
      <c r="H253" s="242">
        <f>COUNTIFS('تجربه‌گرها'!$B:$B,$A253,'تجربه‌گرها'!$F:$F,H$1)</f>
        <v>0</v>
      </c>
      <c r="I253" s="242">
        <f>COUNTIFS('تجربه‌گرها'!$B:$B,$A253,'تجربه‌گرها'!$F:$F,I$1)</f>
        <v>0</v>
      </c>
      <c r="J253" s="242">
        <f>COUNTIFS('تجربه‌گرها'!$B:$B,$A253,'تجربه‌گرها'!$F:$F,J$1)</f>
        <v>0</v>
      </c>
      <c r="K253" s="242">
        <f>COUNTIFS('تجربه‌گرها'!$B:$B,$A253,'تجربه‌گرها'!$F:$F,K$1)</f>
        <v>0</v>
      </c>
      <c r="L253" s="242">
        <f>COUNTIFS('تجربه‌گرها'!$B:$B,$A253,'تجربه‌گرها'!$F:$F,L$1)</f>
        <v>0</v>
      </c>
      <c r="M253" s="242">
        <f>COUNTIFS('تجربه‌گرها'!$B:$B,$A253,'تجربه‌گرها'!$F:$F,M$1)</f>
        <v>0</v>
      </c>
      <c r="N253" s="242">
        <f>COUNTIFS('تجربه‌گرها'!$B:$B,$A253,'تجربه‌گرها'!$F:$F,N$1)</f>
        <v>1</v>
      </c>
      <c r="O253" s="242">
        <f>COUNTIFS('تجربه‌گرها'!$B:$B,$A253,'تجربه‌گرها'!$F:$F,O$1)</f>
        <v>0</v>
      </c>
      <c r="P253" s="242">
        <f>COUNTIFS('تجربه‌گرها'!$B:$B,$A253,'تجربه‌گرها'!$F:$F,P$1)</f>
        <v>0</v>
      </c>
      <c r="Q253" s="242">
        <f>COUNTIFS('تجربه‌گرها'!$B:$B,$A253,'تجربه‌گرها'!$F:$F,Q$1)</f>
        <v>0</v>
      </c>
      <c r="R253" s="242">
        <f>COUNTIFS('تجربه‌گرها'!$B:$B,$A253,'تجربه‌گرها'!$F:$F,R$1)</f>
        <v>0</v>
      </c>
      <c r="S253" s="242">
        <f>COUNTIFS('تجربه‌گرها'!$B:$B,$A253,'تجربه‌گرها'!$F:$F,S$1)</f>
        <v>0</v>
      </c>
      <c r="T253" s="242">
        <f>COUNTIFS('تجربه‌گرها'!$B:$B,$A253,'تجربه‌گرها'!$F:$F,T$1)</f>
        <v>0</v>
      </c>
      <c r="U253" s="242"/>
      <c r="V253" s="242"/>
      <c r="W253" s="242"/>
      <c r="X253" s="242"/>
      <c r="Y253" s="242"/>
      <c r="Z253" s="242"/>
      <c r="AA253" s="242"/>
      <c r="AB253" s="242"/>
    </row>
    <row r="254" hidden="1">
      <c r="A254" s="244" t="s">
        <v>2193</v>
      </c>
      <c r="B254" s="245" t="str">
        <f>VLOOKUP(A254,'تجربه‌گرها'!B:C,2,FALSE())</f>
        <v/>
      </c>
      <c r="C254" s="242"/>
      <c r="D254" s="242">
        <f t="shared" si="1"/>
        <v>1</v>
      </c>
      <c r="E254" s="242">
        <f>COUNTIFS('تجربه‌گرها'!$B:$B,$A254,'تجربه‌گرها'!$F:$F,E$1)</f>
        <v>0</v>
      </c>
      <c r="F254" s="242">
        <f>COUNTIFS('تجربه‌گرها'!$B:$B,$A254,'تجربه‌گرها'!$F:$F,F$1)</f>
        <v>1</v>
      </c>
      <c r="G254" s="242">
        <f>COUNTIFS('تجربه‌گرها'!$B:$B,$A254,'تجربه‌گرها'!$F:$F,G$1)</f>
        <v>0</v>
      </c>
      <c r="H254" s="242">
        <f>COUNTIFS('تجربه‌گرها'!$B:$B,$A254,'تجربه‌گرها'!$F:$F,H$1)</f>
        <v>0</v>
      </c>
      <c r="I254" s="242">
        <f>COUNTIFS('تجربه‌گرها'!$B:$B,$A254,'تجربه‌گرها'!$F:$F,I$1)</f>
        <v>0</v>
      </c>
      <c r="J254" s="242">
        <f>COUNTIFS('تجربه‌گرها'!$B:$B,$A254,'تجربه‌گرها'!$F:$F,J$1)</f>
        <v>0</v>
      </c>
      <c r="K254" s="242">
        <f>COUNTIFS('تجربه‌گرها'!$B:$B,$A254,'تجربه‌گرها'!$F:$F,K$1)</f>
        <v>0</v>
      </c>
      <c r="L254" s="242">
        <f>COUNTIFS('تجربه‌گرها'!$B:$B,$A254,'تجربه‌گرها'!$F:$F,L$1)</f>
        <v>0</v>
      </c>
      <c r="M254" s="242">
        <f>COUNTIFS('تجربه‌گرها'!$B:$B,$A254,'تجربه‌گرها'!$F:$F,M$1)</f>
        <v>0</v>
      </c>
      <c r="N254" s="242">
        <f>COUNTIFS('تجربه‌گرها'!$B:$B,$A254,'تجربه‌گرها'!$F:$F,N$1)</f>
        <v>0</v>
      </c>
      <c r="O254" s="242">
        <f>COUNTIFS('تجربه‌گرها'!$B:$B,$A254,'تجربه‌گرها'!$F:$F,O$1)</f>
        <v>0</v>
      </c>
      <c r="P254" s="242">
        <f>COUNTIFS('تجربه‌گرها'!$B:$B,$A254,'تجربه‌گرها'!$F:$F,P$1)</f>
        <v>0</v>
      </c>
      <c r="Q254" s="242">
        <f>COUNTIFS('تجربه‌گرها'!$B:$B,$A254,'تجربه‌گرها'!$F:$F,Q$1)</f>
        <v>0</v>
      </c>
      <c r="R254" s="242">
        <f>COUNTIFS('تجربه‌گرها'!$B:$B,$A254,'تجربه‌گرها'!$F:$F,R$1)</f>
        <v>0</v>
      </c>
      <c r="S254" s="242">
        <f>COUNTIFS('تجربه‌گرها'!$B:$B,$A254,'تجربه‌گرها'!$F:$F,S$1)</f>
        <v>0</v>
      </c>
      <c r="T254" s="242">
        <f>COUNTIFS('تجربه‌گرها'!$B:$B,$A254,'تجربه‌گرها'!$F:$F,T$1)</f>
        <v>0</v>
      </c>
      <c r="U254" s="242"/>
      <c r="V254" s="242"/>
      <c r="W254" s="242"/>
      <c r="X254" s="242"/>
      <c r="Y254" s="242"/>
      <c r="Z254" s="242"/>
      <c r="AA254" s="242"/>
      <c r="AB254" s="242"/>
    </row>
    <row r="255">
      <c r="A255" s="244" t="s">
        <v>2197</v>
      </c>
      <c r="B255" s="245" t="str">
        <f>VLOOKUP(A255,'تجربه‌گرها'!B:C,2,FALSE())</f>
        <v>9127202144</v>
      </c>
      <c r="C255" s="242"/>
      <c r="D255" s="242">
        <f t="shared" si="1"/>
        <v>1</v>
      </c>
      <c r="E255" s="242">
        <f>COUNTIFS('تجربه‌گرها'!$B:$B,$A255,'تجربه‌گرها'!$F:$F,E$1)</f>
        <v>0</v>
      </c>
      <c r="F255" s="242">
        <f>COUNTIFS('تجربه‌گرها'!$B:$B,$A255,'تجربه‌گرها'!$F:$F,F$1)</f>
        <v>1</v>
      </c>
      <c r="G255" s="242">
        <f>COUNTIFS('تجربه‌گرها'!$B:$B,$A255,'تجربه‌گرها'!$F:$F,G$1)</f>
        <v>0</v>
      </c>
      <c r="H255" s="242">
        <f>COUNTIFS('تجربه‌گرها'!$B:$B,$A255,'تجربه‌گرها'!$F:$F,H$1)</f>
        <v>0</v>
      </c>
      <c r="I255" s="242">
        <f>COUNTIFS('تجربه‌گرها'!$B:$B,$A255,'تجربه‌گرها'!$F:$F,I$1)</f>
        <v>0</v>
      </c>
      <c r="J255" s="242">
        <f>COUNTIFS('تجربه‌گرها'!$B:$B,$A255,'تجربه‌گرها'!$F:$F,J$1)</f>
        <v>0</v>
      </c>
      <c r="K255" s="242">
        <f>COUNTIFS('تجربه‌گرها'!$B:$B,$A255,'تجربه‌گرها'!$F:$F,K$1)</f>
        <v>0</v>
      </c>
      <c r="L255" s="242">
        <f>COUNTIFS('تجربه‌گرها'!$B:$B,$A255,'تجربه‌گرها'!$F:$F,L$1)</f>
        <v>0</v>
      </c>
      <c r="M255" s="242">
        <f>COUNTIFS('تجربه‌گرها'!$B:$B,$A255,'تجربه‌گرها'!$F:$F,M$1)</f>
        <v>0</v>
      </c>
      <c r="N255" s="242">
        <f>COUNTIFS('تجربه‌گرها'!$B:$B,$A255,'تجربه‌گرها'!$F:$F,N$1)</f>
        <v>0</v>
      </c>
      <c r="O255" s="242">
        <f>COUNTIFS('تجربه‌گرها'!$B:$B,$A255,'تجربه‌گرها'!$F:$F,O$1)</f>
        <v>0</v>
      </c>
      <c r="P255" s="242">
        <f>COUNTIFS('تجربه‌گرها'!$B:$B,$A255,'تجربه‌گرها'!$F:$F,P$1)</f>
        <v>0</v>
      </c>
      <c r="Q255" s="242">
        <f>COUNTIFS('تجربه‌گرها'!$B:$B,$A255,'تجربه‌گرها'!$F:$F,Q$1)</f>
        <v>0</v>
      </c>
      <c r="R255" s="242">
        <f>COUNTIFS('تجربه‌گرها'!$B:$B,$A255,'تجربه‌گرها'!$F:$F,R$1)</f>
        <v>0</v>
      </c>
      <c r="S255" s="242">
        <f>COUNTIFS('تجربه‌گرها'!$B:$B,$A255,'تجربه‌گرها'!$F:$F,S$1)</f>
        <v>0</v>
      </c>
      <c r="T255" s="242">
        <f>COUNTIFS('تجربه‌گرها'!$B:$B,$A255,'تجربه‌گرها'!$F:$F,T$1)</f>
        <v>0</v>
      </c>
      <c r="U255" s="242"/>
      <c r="V255" s="242"/>
      <c r="W255" s="242"/>
      <c r="X255" s="242"/>
      <c r="Y255" s="242"/>
      <c r="Z255" s="242"/>
      <c r="AA255" s="242"/>
      <c r="AB255" s="242"/>
    </row>
    <row r="256">
      <c r="A256" s="244" t="s">
        <v>2202</v>
      </c>
      <c r="B256" s="245" t="str">
        <f>VLOOKUP(A256,'تجربه‌گرها'!B:C,2,FALSE())</f>
        <v>9126330975</v>
      </c>
      <c r="C256" s="242"/>
      <c r="D256" s="242">
        <f t="shared" si="1"/>
        <v>1</v>
      </c>
      <c r="E256" s="242">
        <f>COUNTIFS('تجربه‌گرها'!$B:$B,$A256,'تجربه‌گرها'!$F:$F,E$1)</f>
        <v>0</v>
      </c>
      <c r="F256" s="242">
        <f>COUNTIFS('تجربه‌گرها'!$B:$B,$A256,'تجربه‌گرها'!$F:$F,F$1)</f>
        <v>1</v>
      </c>
      <c r="G256" s="242">
        <f>COUNTIFS('تجربه‌گرها'!$B:$B,$A256,'تجربه‌گرها'!$F:$F,G$1)</f>
        <v>0</v>
      </c>
      <c r="H256" s="242">
        <f>COUNTIFS('تجربه‌گرها'!$B:$B,$A256,'تجربه‌گرها'!$F:$F,H$1)</f>
        <v>0</v>
      </c>
      <c r="I256" s="242">
        <f>COUNTIFS('تجربه‌گرها'!$B:$B,$A256,'تجربه‌گرها'!$F:$F,I$1)</f>
        <v>0</v>
      </c>
      <c r="J256" s="242">
        <f>COUNTIFS('تجربه‌گرها'!$B:$B,$A256,'تجربه‌گرها'!$F:$F,J$1)</f>
        <v>0</v>
      </c>
      <c r="K256" s="242">
        <f>COUNTIFS('تجربه‌گرها'!$B:$B,$A256,'تجربه‌گرها'!$F:$F,K$1)</f>
        <v>0</v>
      </c>
      <c r="L256" s="242">
        <f>COUNTIFS('تجربه‌گرها'!$B:$B,$A256,'تجربه‌گرها'!$F:$F,L$1)</f>
        <v>0</v>
      </c>
      <c r="M256" s="242">
        <f>COUNTIFS('تجربه‌گرها'!$B:$B,$A256,'تجربه‌گرها'!$F:$F,M$1)</f>
        <v>0</v>
      </c>
      <c r="N256" s="242">
        <f>COUNTIFS('تجربه‌گرها'!$B:$B,$A256,'تجربه‌گرها'!$F:$F,N$1)</f>
        <v>0</v>
      </c>
      <c r="O256" s="242">
        <f>COUNTIFS('تجربه‌گرها'!$B:$B,$A256,'تجربه‌گرها'!$F:$F,O$1)</f>
        <v>0</v>
      </c>
      <c r="P256" s="242">
        <f>COUNTIFS('تجربه‌گرها'!$B:$B,$A256,'تجربه‌گرها'!$F:$F,P$1)</f>
        <v>0</v>
      </c>
      <c r="Q256" s="242">
        <f>COUNTIFS('تجربه‌گرها'!$B:$B,$A256,'تجربه‌گرها'!$F:$F,Q$1)</f>
        <v>0</v>
      </c>
      <c r="R256" s="242">
        <f>COUNTIFS('تجربه‌گرها'!$B:$B,$A256,'تجربه‌گرها'!$F:$F,R$1)</f>
        <v>0</v>
      </c>
      <c r="S256" s="242">
        <f>COUNTIFS('تجربه‌گرها'!$B:$B,$A256,'تجربه‌گرها'!$F:$F,S$1)</f>
        <v>0</v>
      </c>
      <c r="T256" s="242">
        <f>COUNTIFS('تجربه‌گرها'!$B:$B,$A256,'تجربه‌گرها'!$F:$F,T$1)</f>
        <v>0</v>
      </c>
      <c r="U256" s="242"/>
      <c r="V256" s="242"/>
      <c r="W256" s="242"/>
      <c r="X256" s="242"/>
      <c r="Y256" s="242"/>
      <c r="Z256" s="242"/>
      <c r="AA256" s="242"/>
      <c r="AB256" s="242"/>
    </row>
    <row r="257" hidden="1">
      <c r="A257" s="244" t="s">
        <v>2206</v>
      </c>
      <c r="B257" s="245" t="str">
        <f>VLOOKUP(A257,'تجربه‌گرها'!B:C,2,FALSE())</f>
        <v>9124386498</v>
      </c>
      <c r="C257" s="242"/>
      <c r="D257" s="242">
        <f t="shared" si="1"/>
        <v>1</v>
      </c>
      <c r="E257" s="242">
        <f>COUNTIFS('تجربه‌گرها'!$B:$B,$A257,'تجربه‌گرها'!$F:$F,E$1)</f>
        <v>0</v>
      </c>
      <c r="F257" s="242">
        <f>COUNTIFS('تجربه‌گرها'!$B:$B,$A257,'تجربه‌گرها'!$F:$F,F$1)</f>
        <v>1</v>
      </c>
      <c r="G257" s="242">
        <f>COUNTIFS('تجربه‌گرها'!$B:$B,$A257,'تجربه‌گرها'!$F:$F,G$1)</f>
        <v>0</v>
      </c>
      <c r="H257" s="242">
        <f>COUNTIFS('تجربه‌گرها'!$B:$B,$A257,'تجربه‌گرها'!$F:$F,H$1)</f>
        <v>0</v>
      </c>
      <c r="I257" s="242">
        <f>COUNTIFS('تجربه‌گرها'!$B:$B,$A257,'تجربه‌گرها'!$F:$F,I$1)</f>
        <v>0</v>
      </c>
      <c r="J257" s="242">
        <f>COUNTIFS('تجربه‌گرها'!$B:$B,$A257,'تجربه‌گرها'!$F:$F,J$1)</f>
        <v>0</v>
      </c>
      <c r="K257" s="242">
        <f>COUNTIFS('تجربه‌گرها'!$B:$B,$A257,'تجربه‌گرها'!$F:$F,K$1)</f>
        <v>0</v>
      </c>
      <c r="L257" s="242">
        <f>COUNTIFS('تجربه‌گرها'!$B:$B,$A257,'تجربه‌گرها'!$F:$F,L$1)</f>
        <v>0</v>
      </c>
      <c r="M257" s="242">
        <f>COUNTIFS('تجربه‌گرها'!$B:$B,$A257,'تجربه‌گرها'!$F:$F,M$1)</f>
        <v>0</v>
      </c>
      <c r="N257" s="242">
        <f>COUNTIFS('تجربه‌گرها'!$B:$B,$A257,'تجربه‌گرها'!$F:$F,N$1)</f>
        <v>0</v>
      </c>
      <c r="O257" s="242">
        <f>COUNTIFS('تجربه‌گرها'!$B:$B,$A257,'تجربه‌گرها'!$F:$F,O$1)</f>
        <v>0</v>
      </c>
      <c r="P257" s="242">
        <f>COUNTIFS('تجربه‌گرها'!$B:$B,$A257,'تجربه‌گرها'!$F:$F,P$1)</f>
        <v>0</v>
      </c>
      <c r="Q257" s="242">
        <f>COUNTIFS('تجربه‌گرها'!$B:$B,$A257,'تجربه‌گرها'!$F:$F,Q$1)</f>
        <v>0</v>
      </c>
      <c r="R257" s="242">
        <f>COUNTIFS('تجربه‌گرها'!$B:$B,$A257,'تجربه‌گرها'!$F:$F,R$1)</f>
        <v>0</v>
      </c>
      <c r="S257" s="242">
        <f>COUNTIFS('تجربه‌گرها'!$B:$B,$A257,'تجربه‌گرها'!$F:$F,S$1)</f>
        <v>0</v>
      </c>
      <c r="T257" s="242">
        <f>COUNTIFS('تجربه‌گرها'!$B:$B,$A257,'تجربه‌گرها'!$F:$F,T$1)</f>
        <v>0</v>
      </c>
      <c r="U257" s="242"/>
      <c r="V257" s="242"/>
      <c r="W257" s="242"/>
      <c r="X257" s="242"/>
      <c r="Y257" s="242"/>
      <c r="Z257" s="242"/>
      <c r="AA257" s="242"/>
      <c r="AB257" s="242"/>
    </row>
    <row r="258" hidden="1">
      <c r="A258" s="244" t="s">
        <v>2209</v>
      </c>
      <c r="B258" s="245" t="str">
        <f>VLOOKUP(A258,'تجربه‌گرها'!B:C,2,FALSE())</f>
        <v>9197050074</v>
      </c>
      <c r="C258" s="242"/>
      <c r="D258" s="242">
        <f t="shared" si="1"/>
        <v>1</v>
      </c>
      <c r="E258" s="242">
        <f>COUNTIFS('تجربه‌گرها'!$B:$B,$A258,'تجربه‌گرها'!$F:$F,E$1)</f>
        <v>0</v>
      </c>
      <c r="F258" s="242">
        <f>COUNTIFS('تجربه‌گرها'!$B:$B,$A258,'تجربه‌گرها'!$F:$F,F$1)</f>
        <v>1</v>
      </c>
      <c r="G258" s="242">
        <f>COUNTIFS('تجربه‌گرها'!$B:$B,$A258,'تجربه‌گرها'!$F:$F,G$1)</f>
        <v>0</v>
      </c>
      <c r="H258" s="242">
        <f>COUNTIFS('تجربه‌گرها'!$B:$B,$A258,'تجربه‌گرها'!$F:$F,H$1)</f>
        <v>0</v>
      </c>
      <c r="I258" s="242">
        <f>COUNTIFS('تجربه‌گرها'!$B:$B,$A258,'تجربه‌گرها'!$F:$F,I$1)</f>
        <v>0</v>
      </c>
      <c r="J258" s="242">
        <f>COUNTIFS('تجربه‌گرها'!$B:$B,$A258,'تجربه‌گرها'!$F:$F,J$1)</f>
        <v>0</v>
      </c>
      <c r="K258" s="242">
        <f>COUNTIFS('تجربه‌گرها'!$B:$B,$A258,'تجربه‌گرها'!$F:$F,K$1)</f>
        <v>0</v>
      </c>
      <c r="L258" s="242">
        <f>COUNTIFS('تجربه‌گرها'!$B:$B,$A258,'تجربه‌گرها'!$F:$F,L$1)</f>
        <v>0</v>
      </c>
      <c r="M258" s="242">
        <f>COUNTIFS('تجربه‌گرها'!$B:$B,$A258,'تجربه‌گرها'!$F:$F,M$1)</f>
        <v>0</v>
      </c>
      <c r="N258" s="242">
        <f>COUNTIFS('تجربه‌گرها'!$B:$B,$A258,'تجربه‌گرها'!$F:$F,N$1)</f>
        <v>0</v>
      </c>
      <c r="O258" s="242">
        <f>COUNTIFS('تجربه‌گرها'!$B:$B,$A258,'تجربه‌گرها'!$F:$F,O$1)</f>
        <v>0</v>
      </c>
      <c r="P258" s="242">
        <f>COUNTIFS('تجربه‌گرها'!$B:$B,$A258,'تجربه‌گرها'!$F:$F,P$1)</f>
        <v>0</v>
      </c>
      <c r="Q258" s="242">
        <f>COUNTIFS('تجربه‌گرها'!$B:$B,$A258,'تجربه‌گرها'!$F:$F,Q$1)</f>
        <v>0</v>
      </c>
      <c r="R258" s="242">
        <f>COUNTIFS('تجربه‌گرها'!$B:$B,$A258,'تجربه‌گرها'!$F:$F,R$1)</f>
        <v>0</v>
      </c>
      <c r="S258" s="242">
        <f>COUNTIFS('تجربه‌گرها'!$B:$B,$A258,'تجربه‌گرها'!$F:$F,S$1)</f>
        <v>0</v>
      </c>
      <c r="T258" s="242">
        <f>COUNTIFS('تجربه‌گرها'!$B:$B,$A258,'تجربه‌گرها'!$F:$F,T$1)</f>
        <v>0</v>
      </c>
      <c r="U258" s="242"/>
      <c r="V258" s="242"/>
      <c r="W258" s="242"/>
      <c r="X258" s="242"/>
      <c r="Y258" s="242"/>
      <c r="Z258" s="242"/>
      <c r="AA258" s="242"/>
      <c r="AB258" s="242"/>
    </row>
    <row r="259" hidden="1">
      <c r="A259" s="244" t="s">
        <v>2213</v>
      </c>
      <c r="B259" s="245" t="str">
        <f>VLOOKUP(A259,'تجربه‌گرها'!B:C,2,FALSE())</f>
        <v>9037199579</v>
      </c>
      <c r="C259" s="242"/>
      <c r="D259" s="242">
        <f t="shared" si="1"/>
        <v>1</v>
      </c>
      <c r="E259" s="242">
        <f>COUNTIFS('تجربه‌گرها'!$B:$B,$A259,'تجربه‌گرها'!$F:$F,E$1)</f>
        <v>0</v>
      </c>
      <c r="F259" s="242">
        <f>COUNTIFS('تجربه‌گرها'!$B:$B,$A259,'تجربه‌گرها'!$F:$F,F$1)</f>
        <v>1</v>
      </c>
      <c r="G259" s="242">
        <f>COUNTIFS('تجربه‌گرها'!$B:$B,$A259,'تجربه‌گرها'!$F:$F,G$1)</f>
        <v>0</v>
      </c>
      <c r="H259" s="242">
        <f>COUNTIFS('تجربه‌گرها'!$B:$B,$A259,'تجربه‌گرها'!$F:$F,H$1)</f>
        <v>0</v>
      </c>
      <c r="I259" s="242">
        <f>COUNTIFS('تجربه‌گرها'!$B:$B,$A259,'تجربه‌گرها'!$F:$F,I$1)</f>
        <v>0</v>
      </c>
      <c r="J259" s="242">
        <f>COUNTIFS('تجربه‌گرها'!$B:$B,$A259,'تجربه‌گرها'!$F:$F,J$1)</f>
        <v>0</v>
      </c>
      <c r="K259" s="242">
        <f>COUNTIFS('تجربه‌گرها'!$B:$B,$A259,'تجربه‌گرها'!$F:$F,K$1)</f>
        <v>0</v>
      </c>
      <c r="L259" s="242">
        <f>COUNTIFS('تجربه‌گرها'!$B:$B,$A259,'تجربه‌گرها'!$F:$F,L$1)</f>
        <v>0</v>
      </c>
      <c r="M259" s="242">
        <f>COUNTIFS('تجربه‌گرها'!$B:$B,$A259,'تجربه‌گرها'!$F:$F,M$1)</f>
        <v>0</v>
      </c>
      <c r="N259" s="242">
        <f>COUNTIFS('تجربه‌گرها'!$B:$B,$A259,'تجربه‌گرها'!$F:$F,N$1)</f>
        <v>0</v>
      </c>
      <c r="O259" s="242">
        <f>COUNTIFS('تجربه‌گرها'!$B:$B,$A259,'تجربه‌گرها'!$F:$F,O$1)</f>
        <v>0</v>
      </c>
      <c r="P259" s="242">
        <f>COUNTIFS('تجربه‌گرها'!$B:$B,$A259,'تجربه‌گرها'!$F:$F,P$1)</f>
        <v>0</v>
      </c>
      <c r="Q259" s="242">
        <f>COUNTIFS('تجربه‌گرها'!$B:$B,$A259,'تجربه‌گرها'!$F:$F,Q$1)</f>
        <v>0</v>
      </c>
      <c r="R259" s="242">
        <f>COUNTIFS('تجربه‌گرها'!$B:$B,$A259,'تجربه‌گرها'!$F:$F,R$1)</f>
        <v>0</v>
      </c>
      <c r="S259" s="242">
        <f>COUNTIFS('تجربه‌گرها'!$B:$B,$A259,'تجربه‌گرها'!$F:$F,S$1)</f>
        <v>0</v>
      </c>
      <c r="T259" s="242">
        <f>COUNTIFS('تجربه‌گرها'!$B:$B,$A259,'تجربه‌گرها'!$F:$F,T$1)</f>
        <v>0</v>
      </c>
      <c r="U259" s="242"/>
      <c r="V259" s="242"/>
      <c r="W259" s="242"/>
      <c r="X259" s="242"/>
      <c r="Y259" s="242"/>
      <c r="Z259" s="242"/>
      <c r="AA259" s="242"/>
      <c r="AB259" s="242"/>
    </row>
    <row r="260" hidden="1">
      <c r="A260" s="244" t="s">
        <v>2218</v>
      </c>
      <c r="B260" s="245" t="str">
        <f>VLOOKUP(A260,'تجربه‌گرها'!B:C,2,FALSE())</f>
        <v>9163077757</v>
      </c>
      <c r="C260" s="242"/>
      <c r="D260" s="242">
        <f t="shared" si="1"/>
        <v>1</v>
      </c>
      <c r="E260" s="242">
        <f>COUNTIFS('تجربه‌گرها'!$B:$B,$A260,'تجربه‌گرها'!$F:$F,E$1)</f>
        <v>0</v>
      </c>
      <c r="F260" s="242">
        <f>COUNTIFS('تجربه‌گرها'!$B:$B,$A260,'تجربه‌گرها'!$F:$F,F$1)</f>
        <v>1</v>
      </c>
      <c r="G260" s="242">
        <f>COUNTIFS('تجربه‌گرها'!$B:$B,$A260,'تجربه‌گرها'!$F:$F,G$1)</f>
        <v>0</v>
      </c>
      <c r="H260" s="242">
        <f>COUNTIFS('تجربه‌گرها'!$B:$B,$A260,'تجربه‌گرها'!$F:$F,H$1)</f>
        <v>0</v>
      </c>
      <c r="I260" s="242">
        <f>COUNTIFS('تجربه‌گرها'!$B:$B,$A260,'تجربه‌گرها'!$F:$F,I$1)</f>
        <v>0</v>
      </c>
      <c r="J260" s="242">
        <f>COUNTIFS('تجربه‌گرها'!$B:$B,$A260,'تجربه‌گرها'!$F:$F,J$1)</f>
        <v>0</v>
      </c>
      <c r="K260" s="242">
        <f>COUNTIFS('تجربه‌گرها'!$B:$B,$A260,'تجربه‌گرها'!$F:$F,K$1)</f>
        <v>0</v>
      </c>
      <c r="L260" s="242">
        <f>COUNTIFS('تجربه‌گرها'!$B:$B,$A260,'تجربه‌گرها'!$F:$F,L$1)</f>
        <v>0</v>
      </c>
      <c r="M260" s="242">
        <f>COUNTIFS('تجربه‌گرها'!$B:$B,$A260,'تجربه‌گرها'!$F:$F,M$1)</f>
        <v>0</v>
      </c>
      <c r="N260" s="242">
        <f>COUNTIFS('تجربه‌گرها'!$B:$B,$A260,'تجربه‌گرها'!$F:$F,N$1)</f>
        <v>0</v>
      </c>
      <c r="O260" s="242">
        <f>COUNTIFS('تجربه‌گرها'!$B:$B,$A260,'تجربه‌گرها'!$F:$F,O$1)</f>
        <v>0</v>
      </c>
      <c r="P260" s="242">
        <f>COUNTIFS('تجربه‌گرها'!$B:$B,$A260,'تجربه‌گرها'!$F:$F,P$1)</f>
        <v>0</v>
      </c>
      <c r="Q260" s="242">
        <f>COUNTIFS('تجربه‌گرها'!$B:$B,$A260,'تجربه‌گرها'!$F:$F,Q$1)</f>
        <v>0</v>
      </c>
      <c r="R260" s="242">
        <f>COUNTIFS('تجربه‌گرها'!$B:$B,$A260,'تجربه‌گرها'!$F:$F,R$1)</f>
        <v>0</v>
      </c>
      <c r="S260" s="242">
        <f>COUNTIFS('تجربه‌گرها'!$B:$B,$A260,'تجربه‌گرها'!$F:$F,S$1)</f>
        <v>0</v>
      </c>
      <c r="T260" s="242">
        <f>COUNTIFS('تجربه‌گرها'!$B:$B,$A260,'تجربه‌گرها'!$F:$F,T$1)</f>
        <v>0</v>
      </c>
      <c r="U260" s="242"/>
      <c r="V260" s="242"/>
      <c r="W260" s="242"/>
      <c r="X260" s="242"/>
      <c r="Y260" s="242"/>
      <c r="Z260" s="242"/>
      <c r="AA260" s="242"/>
      <c r="AB260" s="242"/>
    </row>
    <row r="261" hidden="1">
      <c r="A261" s="244" t="s">
        <v>2224</v>
      </c>
      <c r="B261" s="245" t="str">
        <f>VLOOKUP(A261,'تجربه‌گرها'!B:C,2,FALSE())</f>
        <v>9128881277</v>
      </c>
      <c r="C261" s="242"/>
      <c r="D261" s="242">
        <f t="shared" si="1"/>
        <v>1</v>
      </c>
      <c r="E261" s="242">
        <f>COUNTIFS('تجربه‌گرها'!$B:$B,$A261,'تجربه‌گرها'!$F:$F,E$1)</f>
        <v>0</v>
      </c>
      <c r="F261" s="242">
        <f>COUNTIFS('تجربه‌گرها'!$B:$B,$A261,'تجربه‌گرها'!$F:$F,F$1)</f>
        <v>1</v>
      </c>
      <c r="G261" s="242">
        <f>COUNTIFS('تجربه‌گرها'!$B:$B,$A261,'تجربه‌گرها'!$F:$F,G$1)</f>
        <v>0</v>
      </c>
      <c r="H261" s="242">
        <f>COUNTIFS('تجربه‌گرها'!$B:$B,$A261,'تجربه‌گرها'!$F:$F,H$1)</f>
        <v>0</v>
      </c>
      <c r="I261" s="242">
        <f>COUNTIFS('تجربه‌گرها'!$B:$B,$A261,'تجربه‌گرها'!$F:$F,I$1)</f>
        <v>0</v>
      </c>
      <c r="J261" s="242">
        <f>COUNTIFS('تجربه‌گرها'!$B:$B,$A261,'تجربه‌گرها'!$F:$F,J$1)</f>
        <v>0</v>
      </c>
      <c r="K261" s="242">
        <f>COUNTIFS('تجربه‌گرها'!$B:$B,$A261,'تجربه‌گرها'!$F:$F,K$1)</f>
        <v>0</v>
      </c>
      <c r="L261" s="242">
        <f>COUNTIFS('تجربه‌گرها'!$B:$B,$A261,'تجربه‌گرها'!$F:$F,L$1)</f>
        <v>0</v>
      </c>
      <c r="M261" s="242">
        <f>COUNTIFS('تجربه‌گرها'!$B:$B,$A261,'تجربه‌گرها'!$F:$F,M$1)</f>
        <v>0</v>
      </c>
      <c r="N261" s="242">
        <f>COUNTIFS('تجربه‌گرها'!$B:$B,$A261,'تجربه‌گرها'!$F:$F,N$1)</f>
        <v>0</v>
      </c>
      <c r="O261" s="242">
        <f>COUNTIFS('تجربه‌گرها'!$B:$B,$A261,'تجربه‌گرها'!$F:$F,O$1)</f>
        <v>0</v>
      </c>
      <c r="P261" s="242">
        <f>COUNTIFS('تجربه‌گرها'!$B:$B,$A261,'تجربه‌گرها'!$F:$F,P$1)</f>
        <v>0</v>
      </c>
      <c r="Q261" s="242">
        <f>COUNTIFS('تجربه‌گرها'!$B:$B,$A261,'تجربه‌گرها'!$F:$F,Q$1)</f>
        <v>0</v>
      </c>
      <c r="R261" s="242">
        <f>COUNTIFS('تجربه‌گرها'!$B:$B,$A261,'تجربه‌گرها'!$F:$F,R$1)</f>
        <v>0</v>
      </c>
      <c r="S261" s="242">
        <f>COUNTIFS('تجربه‌گرها'!$B:$B,$A261,'تجربه‌گرها'!$F:$F,S$1)</f>
        <v>0</v>
      </c>
      <c r="T261" s="242">
        <f>COUNTIFS('تجربه‌گرها'!$B:$B,$A261,'تجربه‌گرها'!$F:$F,T$1)</f>
        <v>0</v>
      </c>
      <c r="U261" s="242"/>
      <c r="V261" s="242"/>
      <c r="W261" s="242"/>
      <c r="X261" s="242"/>
      <c r="Y261" s="242"/>
      <c r="Z261" s="242"/>
      <c r="AA261" s="242"/>
      <c r="AB261" s="242"/>
    </row>
    <row r="262" hidden="1">
      <c r="A262" s="244" t="s">
        <v>2230</v>
      </c>
      <c r="B262" s="245" t="str">
        <f>VLOOKUP(A262,'تجربه‌گرها'!B:C,2,FALSE())</f>
        <v>9125715934</v>
      </c>
      <c r="C262" s="242"/>
      <c r="D262" s="242">
        <f t="shared" si="1"/>
        <v>1</v>
      </c>
      <c r="E262" s="242">
        <f>COUNTIFS('تجربه‌گرها'!$B:$B,$A262,'تجربه‌گرها'!$F:$F,E$1)</f>
        <v>0</v>
      </c>
      <c r="F262" s="242">
        <f>COUNTIFS('تجربه‌گرها'!$B:$B,$A262,'تجربه‌گرها'!$F:$F,F$1)</f>
        <v>1</v>
      </c>
      <c r="G262" s="242">
        <f>COUNTIFS('تجربه‌گرها'!$B:$B,$A262,'تجربه‌گرها'!$F:$F,G$1)</f>
        <v>0</v>
      </c>
      <c r="H262" s="242">
        <f>COUNTIFS('تجربه‌گرها'!$B:$B,$A262,'تجربه‌گرها'!$F:$F,H$1)</f>
        <v>0</v>
      </c>
      <c r="I262" s="242">
        <f>COUNTIFS('تجربه‌گرها'!$B:$B,$A262,'تجربه‌گرها'!$F:$F,I$1)</f>
        <v>0</v>
      </c>
      <c r="J262" s="242">
        <f>COUNTIFS('تجربه‌گرها'!$B:$B,$A262,'تجربه‌گرها'!$F:$F,J$1)</f>
        <v>0</v>
      </c>
      <c r="K262" s="242">
        <f>COUNTIFS('تجربه‌گرها'!$B:$B,$A262,'تجربه‌گرها'!$F:$F,K$1)</f>
        <v>0</v>
      </c>
      <c r="L262" s="242">
        <f>COUNTIFS('تجربه‌گرها'!$B:$B,$A262,'تجربه‌گرها'!$F:$F,L$1)</f>
        <v>0</v>
      </c>
      <c r="M262" s="242">
        <f>COUNTIFS('تجربه‌گرها'!$B:$B,$A262,'تجربه‌گرها'!$F:$F,M$1)</f>
        <v>0</v>
      </c>
      <c r="N262" s="242">
        <f>COUNTIFS('تجربه‌گرها'!$B:$B,$A262,'تجربه‌گرها'!$F:$F,N$1)</f>
        <v>0</v>
      </c>
      <c r="O262" s="242">
        <f>COUNTIFS('تجربه‌گرها'!$B:$B,$A262,'تجربه‌گرها'!$F:$F,O$1)</f>
        <v>0</v>
      </c>
      <c r="P262" s="242">
        <f>COUNTIFS('تجربه‌گرها'!$B:$B,$A262,'تجربه‌گرها'!$F:$F,P$1)</f>
        <v>0</v>
      </c>
      <c r="Q262" s="242">
        <f>COUNTIFS('تجربه‌گرها'!$B:$B,$A262,'تجربه‌گرها'!$F:$F,Q$1)</f>
        <v>0</v>
      </c>
      <c r="R262" s="242">
        <f>COUNTIFS('تجربه‌گرها'!$B:$B,$A262,'تجربه‌گرها'!$F:$F,R$1)</f>
        <v>0</v>
      </c>
      <c r="S262" s="242">
        <f>COUNTIFS('تجربه‌گرها'!$B:$B,$A262,'تجربه‌گرها'!$F:$F,S$1)</f>
        <v>0</v>
      </c>
      <c r="T262" s="242">
        <f>COUNTIFS('تجربه‌گرها'!$B:$B,$A262,'تجربه‌گرها'!$F:$F,T$1)</f>
        <v>0</v>
      </c>
      <c r="U262" s="242"/>
      <c r="V262" s="242"/>
      <c r="W262" s="242"/>
      <c r="X262" s="242"/>
      <c r="Y262" s="242"/>
      <c r="Z262" s="242"/>
      <c r="AA262" s="242"/>
      <c r="AB262" s="242"/>
    </row>
    <row r="263" hidden="1">
      <c r="A263" s="244" t="s">
        <v>2235</v>
      </c>
      <c r="B263" s="245" t="str">
        <f>VLOOKUP(A263,'تجربه‌گرها'!B:C,2,FALSE())</f>
        <v>9395490277</v>
      </c>
      <c r="C263" s="242"/>
      <c r="D263" s="242">
        <f t="shared" si="1"/>
        <v>1</v>
      </c>
      <c r="E263" s="242">
        <f>COUNTIFS('تجربه‌گرها'!$B:$B,$A263,'تجربه‌گرها'!$F:$F,E$1)</f>
        <v>0</v>
      </c>
      <c r="F263" s="242">
        <f>COUNTIFS('تجربه‌گرها'!$B:$B,$A263,'تجربه‌گرها'!$F:$F,F$1)</f>
        <v>1</v>
      </c>
      <c r="G263" s="242">
        <f>COUNTIFS('تجربه‌گرها'!$B:$B,$A263,'تجربه‌گرها'!$F:$F,G$1)</f>
        <v>0</v>
      </c>
      <c r="H263" s="242">
        <f>COUNTIFS('تجربه‌گرها'!$B:$B,$A263,'تجربه‌گرها'!$F:$F,H$1)</f>
        <v>0</v>
      </c>
      <c r="I263" s="242">
        <f>COUNTIFS('تجربه‌گرها'!$B:$B,$A263,'تجربه‌گرها'!$F:$F,I$1)</f>
        <v>0</v>
      </c>
      <c r="J263" s="242">
        <f>COUNTIFS('تجربه‌گرها'!$B:$B,$A263,'تجربه‌گرها'!$F:$F,J$1)</f>
        <v>0</v>
      </c>
      <c r="K263" s="242">
        <f>COUNTIFS('تجربه‌گرها'!$B:$B,$A263,'تجربه‌گرها'!$F:$F,K$1)</f>
        <v>0</v>
      </c>
      <c r="L263" s="242">
        <f>COUNTIFS('تجربه‌گرها'!$B:$B,$A263,'تجربه‌گرها'!$F:$F,L$1)</f>
        <v>0</v>
      </c>
      <c r="M263" s="242">
        <f>COUNTIFS('تجربه‌گرها'!$B:$B,$A263,'تجربه‌گرها'!$F:$F,M$1)</f>
        <v>0</v>
      </c>
      <c r="N263" s="242">
        <f>COUNTIFS('تجربه‌گرها'!$B:$B,$A263,'تجربه‌گرها'!$F:$F,N$1)</f>
        <v>0</v>
      </c>
      <c r="O263" s="242">
        <f>COUNTIFS('تجربه‌گرها'!$B:$B,$A263,'تجربه‌گرها'!$F:$F,O$1)</f>
        <v>0</v>
      </c>
      <c r="P263" s="242">
        <f>COUNTIFS('تجربه‌گرها'!$B:$B,$A263,'تجربه‌گرها'!$F:$F,P$1)</f>
        <v>0</v>
      </c>
      <c r="Q263" s="242">
        <f>COUNTIFS('تجربه‌گرها'!$B:$B,$A263,'تجربه‌گرها'!$F:$F,Q$1)</f>
        <v>0</v>
      </c>
      <c r="R263" s="242">
        <f>COUNTIFS('تجربه‌گرها'!$B:$B,$A263,'تجربه‌گرها'!$F:$F,R$1)</f>
        <v>0</v>
      </c>
      <c r="S263" s="242">
        <f>COUNTIFS('تجربه‌گرها'!$B:$B,$A263,'تجربه‌گرها'!$F:$F,S$1)</f>
        <v>0</v>
      </c>
      <c r="T263" s="242">
        <f>COUNTIFS('تجربه‌گرها'!$B:$B,$A263,'تجربه‌گرها'!$F:$F,T$1)</f>
        <v>0</v>
      </c>
      <c r="U263" s="242"/>
      <c r="V263" s="242"/>
      <c r="W263" s="242"/>
      <c r="X263" s="242"/>
      <c r="Y263" s="242"/>
      <c r="Z263" s="242"/>
      <c r="AA263" s="242"/>
      <c r="AB263" s="242"/>
    </row>
    <row r="264" hidden="1">
      <c r="A264" s="244" t="s">
        <v>2238</v>
      </c>
      <c r="B264" s="245" t="str">
        <f>VLOOKUP(A264,'تجربه‌گرها'!B:C,2,FALSE())</f>
        <v>9194964516</v>
      </c>
      <c r="C264" s="242"/>
      <c r="D264" s="242">
        <f t="shared" si="1"/>
        <v>1</v>
      </c>
      <c r="E264" s="242">
        <f>COUNTIFS('تجربه‌گرها'!$B:$B,$A264,'تجربه‌گرها'!$F:$F,E$1)</f>
        <v>0</v>
      </c>
      <c r="F264" s="242">
        <f>COUNTIFS('تجربه‌گرها'!$B:$B,$A264,'تجربه‌گرها'!$F:$F,F$1)</f>
        <v>1</v>
      </c>
      <c r="G264" s="242">
        <f>COUNTIFS('تجربه‌گرها'!$B:$B,$A264,'تجربه‌گرها'!$F:$F,G$1)</f>
        <v>0</v>
      </c>
      <c r="H264" s="242">
        <f>COUNTIFS('تجربه‌گرها'!$B:$B,$A264,'تجربه‌گرها'!$F:$F,H$1)</f>
        <v>0</v>
      </c>
      <c r="I264" s="242">
        <f>COUNTIFS('تجربه‌گرها'!$B:$B,$A264,'تجربه‌گرها'!$F:$F,I$1)</f>
        <v>0</v>
      </c>
      <c r="J264" s="242">
        <f>COUNTIFS('تجربه‌گرها'!$B:$B,$A264,'تجربه‌گرها'!$F:$F,J$1)</f>
        <v>0</v>
      </c>
      <c r="K264" s="242">
        <f>COUNTIFS('تجربه‌گرها'!$B:$B,$A264,'تجربه‌گرها'!$F:$F,K$1)</f>
        <v>0</v>
      </c>
      <c r="L264" s="242">
        <f>COUNTIFS('تجربه‌گرها'!$B:$B,$A264,'تجربه‌گرها'!$F:$F,L$1)</f>
        <v>0</v>
      </c>
      <c r="M264" s="242">
        <f>COUNTIFS('تجربه‌گرها'!$B:$B,$A264,'تجربه‌گرها'!$F:$F,M$1)</f>
        <v>0</v>
      </c>
      <c r="N264" s="242">
        <f>COUNTIFS('تجربه‌گرها'!$B:$B,$A264,'تجربه‌گرها'!$F:$F,N$1)</f>
        <v>0</v>
      </c>
      <c r="O264" s="242">
        <f>COUNTIFS('تجربه‌گرها'!$B:$B,$A264,'تجربه‌گرها'!$F:$F,O$1)</f>
        <v>0</v>
      </c>
      <c r="P264" s="242">
        <f>COUNTIFS('تجربه‌گرها'!$B:$B,$A264,'تجربه‌گرها'!$F:$F,P$1)</f>
        <v>0</v>
      </c>
      <c r="Q264" s="242">
        <f>COUNTIFS('تجربه‌گرها'!$B:$B,$A264,'تجربه‌گرها'!$F:$F,Q$1)</f>
        <v>0</v>
      </c>
      <c r="R264" s="242">
        <f>COUNTIFS('تجربه‌گرها'!$B:$B,$A264,'تجربه‌گرها'!$F:$F,R$1)</f>
        <v>0</v>
      </c>
      <c r="S264" s="242">
        <f>COUNTIFS('تجربه‌گرها'!$B:$B,$A264,'تجربه‌گرها'!$F:$F,S$1)</f>
        <v>0</v>
      </c>
      <c r="T264" s="242">
        <f>COUNTIFS('تجربه‌گرها'!$B:$B,$A264,'تجربه‌گرها'!$F:$F,T$1)</f>
        <v>0</v>
      </c>
      <c r="U264" s="242"/>
      <c r="V264" s="242"/>
      <c r="W264" s="242"/>
      <c r="X264" s="242"/>
      <c r="Y264" s="242"/>
      <c r="Z264" s="242"/>
      <c r="AA264" s="242"/>
      <c r="AB264" s="242"/>
    </row>
    <row r="265" hidden="1">
      <c r="A265" s="244" t="s">
        <v>2242</v>
      </c>
      <c r="B265" s="245" t="str">
        <f>VLOOKUP(A265,'تجربه‌گرها'!B:C,2,FALSE())</f>
        <v>9125431920</v>
      </c>
      <c r="C265" s="242"/>
      <c r="D265" s="242">
        <f t="shared" si="1"/>
        <v>1</v>
      </c>
      <c r="E265" s="242">
        <f>COUNTIFS('تجربه‌گرها'!$B:$B,$A265,'تجربه‌گرها'!$F:$F,E$1)</f>
        <v>0</v>
      </c>
      <c r="F265" s="242">
        <f>COUNTIFS('تجربه‌گرها'!$B:$B,$A265,'تجربه‌گرها'!$F:$F,F$1)</f>
        <v>1</v>
      </c>
      <c r="G265" s="242">
        <f>COUNTIFS('تجربه‌گرها'!$B:$B,$A265,'تجربه‌گرها'!$F:$F,G$1)</f>
        <v>0</v>
      </c>
      <c r="H265" s="242">
        <f>COUNTIFS('تجربه‌گرها'!$B:$B,$A265,'تجربه‌گرها'!$F:$F,H$1)</f>
        <v>0</v>
      </c>
      <c r="I265" s="242">
        <f>COUNTIFS('تجربه‌گرها'!$B:$B,$A265,'تجربه‌گرها'!$F:$F,I$1)</f>
        <v>0</v>
      </c>
      <c r="J265" s="242">
        <f>COUNTIFS('تجربه‌گرها'!$B:$B,$A265,'تجربه‌گرها'!$F:$F,J$1)</f>
        <v>0</v>
      </c>
      <c r="K265" s="242">
        <f>COUNTIFS('تجربه‌گرها'!$B:$B,$A265,'تجربه‌گرها'!$F:$F,K$1)</f>
        <v>0</v>
      </c>
      <c r="L265" s="242">
        <f>COUNTIFS('تجربه‌گرها'!$B:$B,$A265,'تجربه‌گرها'!$F:$F,L$1)</f>
        <v>0</v>
      </c>
      <c r="M265" s="242">
        <f>COUNTIFS('تجربه‌گرها'!$B:$B,$A265,'تجربه‌گرها'!$F:$F,M$1)</f>
        <v>0</v>
      </c>
      <c r="N265" s="242">
        <f>COUNTIFS('تجربه‌گرها'!$B:$B,$A265,'تجربه‌گرها'!$F:$F,N$1)</f>
        <v>0</v>
      </c>
      <c r="O265" s="242">
        <f>COUNTIFS('تجربه‌گرها'!$B:$B,$A265,'تجربه‌گرها'!$F:$F,O$1)</f>
        <v>0</v>
      </c>
      <c r="P265" s="242">
        <f>COUNTIFS('تجربه‌گرها'!$B:$B,$A265,'تجربه‌گرها'!$F:$F,P$1)</f>
        <v>0</v>
      </c>
      <c r="Q265" s="242">
        <f>COUNTIFS('تجربه‌گرها'!$B:$B,$A265,'تجربه‌گرها'!$F:$F,Q$1)</f>
        <v>0</v>
      </c>
      <c r="R265" s="242">
        <f>COUNTIFS('تجربه‌گرها'!$B:$B,$A265,'تجربه‌گرها'!$F:$F,R$1)</f>
        <v>0</v>
      </c>
      <c r="S265" s="242">
        <f>COUNTIFS('تجربه‌گرها'!$B:$B,$A265,'تجربه‌گرها'!$F:$F,S$1)</f>
        <v>0</v>
      </c>
      <c r="T265" s="242">
        <f>COUNTIFS('تجربه‌گرها'!$B:$B,$A265,'تجربه‌گرها'!$F:$F,T$1)</f>
        <v>0</v>
      </c>
      <c r="U265" s="242"/>
      <c r="V265" s="242"/>
      <c r="W265" s="242"/>
      <c r="X265" s="242"/>
      <c r="Y265" s="242"/>
      <c r="Z265" s="242"/>
      <c r="AA265" s="242"/>
      <c r="AB265" s="242"/>
    </row>
    <row r="266" hidden="1">
      <c r="A266" s="244" t="s">
        <v>2247</v>
      </c>
      <c r="B266" s="245" t="str">
        <f>VLOOKUP(A266,'تجربه‌گرها'!B:C,2,FALSE())</f>
        <v/>
      </c>
      <c r="C266" s="242"/>
      <c r="D266" s="242">
        <f t="shared" si="1"/>
        <v>1</v>
      </c>
      <c r="E266" s="242">
        <f>COUNTIFS('تجربه‌گرها'!$B:$B,$A266,'تجربه‌گرها'!$F:$F,E$1)</f>
        <v>0</v>
      </c>
      <c r="F266" s="242">
        <f>COUNTIFS('تجربه‌گرها'!$B:$B,$A266,'تجربه‌گرها'!$F:$F,F$1)</f>
        <v>1</v>
      </c>
      <c r="G266" s="242">
        <f>COUNTIFS('تجربه‌گرها'!$B:$B,$A266,'تجربه‌گرها'!$F:$F,G$1)</f>
        <v>0</v>
      </c>
      <c r="H266" s="242">
        <f>COUNTIFS('تجربه‌گرها'!$B:$B,$A266,'تجربه‌گرها'!$F:$F,H$1)</f>
        <v>0</v>
      </c>
      <c r="I266" s="242">
        <f>COUNTIFS('تجربه‌گرها'!$B:$B,$A266,'تجربه‌گرها'!$F:$F,I$1)</f>
        <v>0</v>
      </c>
      <c r="J266" s="242">
        <f>COUNTIFS('تجربه‌گرها'!$B:$B,$A266,'تجربه‌گرها'!$F:$F,J$1)</f>
        <v>0</v>
      </c>
      <c r="K266" s="242">
        <f>COUNTIFS('تجربه‌گرها'!$B:$B,$A266,'تجربه‌گرها'!$F:$F,K$1)</f>
        <v>0</v>
      </c>
      <c r="L266" s="242">
        <f>COUNTIFS('تجربه‌گرها'!$B:$B,$A266,'تجربه‌گرها'!$F:$F,L$1)</f>
        <v>0</v>
      </c>
      <c r="M266" s="242">
        <f>COUNTIFS('تجربه‌گرها'!$B:$B,$A266,'تجربه‌گرها'!$F:$F,M$1)</f>
        <v>0</v>
      </c>
      <c r="N266" s="242">
        <f>COUNTIFS('تجربه‌گرها'!$B:$B,$A266,'تجربه‌گرها'!$F:$F,N$1)</f>
        <v>0</v>
      </c>
      <c r="O266" s="242">
        <f>COUNTIFS('تجربه‌گرها'!$B:$B,$A266,'تجربه‌گرها'!$F:$F,O$1)</f>
        <v>0</v>
      </c>
      <c r="P266" s="242">
        <f>COUNTIFS('تجربه‌گرها'!$B:$B,$A266,'تجربه‌گرها'!$F:$F,P$1)</f>
        <v>0</v>
      </c>
      <c r="Q266" s="242">
        <f>COUNTIFS('تجربه‌گرها'!$B:$B,$A266,'تجربه‌گرها'!$F:$F,Q$1)</f>
        <v>0</v>
      </c>
      <c r="R266" s="242">
        <f>COUNTIFS('تجربه‌گرها'!$B:$B,$A266,'تجربه‌گرها'!$F:$F,R$1)</f>
        <v>0</v>
      </c>
      <c r="S266" s="242">
        <f>COUNTIFS('تجربه‌گرها'!$B:$B,$A266,'تجربه‌گرها'!$F:$F,S$1)</f>
        <v>0</v>
      </c>
      <c r="T266" s="242">
        <f>COUNTIFS('تجربه‌گرها'!$B:$B,$A266,'تجربه‌گرها'!$F:$F,T$1)</f>
        <v>0</v>
      </c>
      <c r="U266" s="242"/>
      <c r="V266" s="242"/>
      <c r="W266" s="242"/>
      <c r="X266" s="242"/>
      <c r="Y266" s="242"/>
      <c r="Z266" s="242"/>
      <c r="AA266" s="242"/>
      <c r="AB266" s="242"/>
    </row>
    <row r="267" hidden="1">
      <c r="A267" s="244" t="s">
        <v>2250</v>
      </c>
      <c r="B267" s="245" t="str">
        <f>VLOOKUP(A267,'تجربه‌گرها'!B:C,2,FALSE())</f>
        <v>9361425985</v>
      </c>
      <c r="C267" s="242"/>
      <c r="D267" s="242">
        <f t="shared" si="1"/>
        <v>1</v>
      </c>
      <c r="E267" s="242">
        <f>COUNTIFS('تجربه‌گرها'!$B:$B,$A267,'تجربه‌گرها'!$F:$F,E$1)</f>
        <v>0</v>
      </c>
      <c r="F267" s="242">
        <f>COUNTIFS('تجربه‌گرها'!$B:$B,$A267,'تجربه‌گرها'!$F:$F,F$1)</f>
        <v>1</v>
      </c>
      <c r="G267" s="242">
        <f>COUNTIFS('تجربه‌گرها'!$B:$B,$A267,'تجربه‌گرها'!$F:$F,G$1)</f>
        <v>0</v>
      </c>
      <c r="H267" s="242">
        <f>COUNTIFS('تجربه‌گرها'!$B:$B,$A267,'تجربه‌گرها'!$F:$F,H$1)</f>
        <v>0</v>
      </c>
      <c r="I267" s="242">
        <f>COUNTIFS('تجربه‌گرها'!$B:$B,$A267,'تجربه‌گرها'!$F:$F,I$1)</f>
        <v>0</v>
      </c>
      <c r="J267" s="242">
        <f>COUNTIFS('تجربه‌گرها'!$B:$B,$A267,'تجربه‌گرها'!$F:$F,J$1)</f>
        <v>0</v>
      </c>
      <c r="K267" s="242">
        <f>COUNTIFS('تجربه‌گرها'!$B:$B,$A267,'تجربه‌گرها'!$F:$F,K$1)</f>
        <v>0</v>
      </c>
      <c r="L267" s="242">
        <f>COUNTIFS('تجربه‌گرها'!$B:$B,$A267,'تجربه‌گرها'!$F:$F,L$1)</f>
        <v>0</v>
      </c>
      <c r="M267" s="242">
        <f>COUNTIFS('تجربه‌گرها'!$B:$B,$A267,'تجربه‌گرها'!$F:$F,M$1)</f>
        <v>0</v>
      </c>
      <c r="N267" s="242">
        <f>COUNTIFS('تجربه‌گرها'!$B:$B,$A267,'تجربه‌گرها'!$F:$F,N$1)</f>
        <v>0</v>
      </c>
      <c r="O267" s="242">
        <f>COUNTIFS('تجربه‌گرها'!$B:$B,$A267,'تجربه‌گرها'!$F:$F,O$1)</f>
        <v>0</v>
      </c>
      <c r="P267" s="242">
        <f>COUNTIFS('تجربه‌گرها'!$B:$B,$A267,'تجربه‌گرها'!$F:$F,P$1)</f>
        <v>0</v>
      </c>
      <c r="Q267" s="242">
        <f>COUNTIFS('تجربه‌گرها'!$B:$B,$A267,'تجربه‌گرها'!$F:$F,Q$1)</f>
        <v>0</v>
      </c>
      <c r="R267" s="242">
        <f>COUNTIFS('تجربه‌گرها'!$B:$B,$A267,'تجربه‌گرها'!$F:$F,R$1)</f>
        <v>0</v>
      </c>
      <c r="S267" s="242">
        <f>COUNTIFS('تجربه‌گرها'!$B:$B,$A267,'تجربه‌گرها'!$F:$F,S$1)</f>
        <v>0</v>
      </c>
      <c r="T267" s="242">
        <f>COUNTIFS('تجربه‌گرها'!$B:$B,$A267,'تجربه‌گرها'!$F:$F,T$1)</f>
        <v>0</v>
      </c>
      <c r="U267" s="242"/>
      <c r="V267" s="242"/>
      <c r="W267" s="242"/>
      <c r="X267" s="242"/>
      <c r="Y267" s="242"/>
      <c r="Z267" s="242"/>
      <c r="AA267" s="242"/>
      <c r="AB267" s="242"/>
    </row>
    <row r="268" hidden="1">
      <c r="A268" s="244" t="s">
        <v>2256</v>
      </c>
      <c r="B268" s="245" t="str">
        <f>VLOOKUP(A268,'تجربه‌گرها'!B:C,2,FALSE())</f>
        <v>9125961343</v>
      </c>
      <c r="C268" s="242"/>
      <c r="D268" s="242">
        <f t="shared" si="1"/>
        <v>1</v>
      </c>
      <c r="E268" s="242">
        <f>COUNTIFS('تجربه‌گرها'!$B:$B,$A268,'تجربه‌گرها'!$F:$F,E$1)</f>
        <v>0</v>
      </c>
      <c r="F268" s="242">
        <f>COUNTIFS('تجربه‌گرها'!$B:$B,$A268,'تجربه‌گرها'!$F:$F,F$1)</f>
        <v>1</v>
      </c>
      <c r="G268" s="242">
        <f>COUNTIFS('تجربه‌گرها'!$B:$B,$A268,'تجربه‌گرها'!$F:$F,G$1)</f>
        <v>0</v>
      </c>
      <c r="H268" s="242">
        <f>COUNTIFS('تجربه‌گرها'!$B:$B,$A268,'تجربه‌گرها'!$F:$F,H$1)</f>
        <v>0</v>
      </c>
      <c r="I268" s="242">
        <f>COUNTIFS('تجربه‌گرها'!$B:$B,$A268,'تجربه‌گرها'!$F:$F,I$1)</f>
        <v>0</v>
      </c>
      <c r="J268" s="242">
        <f>COUNTIFS('تجربه‌گرها'!$B:$B,$A268,'تجربه‌گرها'!$F:$F,J$1)</f>
        <v>0</v>
      </c>
      <c r="K268" s="242">
        <f>COUNTIFS('تجربه‌گرها'!$B:$B,$A268,'تجربه‌گرها'!$F:$F,K$1)</f>
        <v>0</v>
      </c>
      <c r="L268" s="242">
        <f>COUNTIFS('تجربه‌گرها'!$B:$B,$A268,'تجربه‌گرها'!$F:$F,L$1)</f>
        <v>0</v>
      </c>
      <c r="M268" s="242">
        <f>COUNTIFS('تجربه‌گرها'!$B:$B,$A268,'تجربه‌گرها'!$F:$F,M$1)</f>
        <v>0</v>
      </c>
      <c r="N268" s="242">
        <f>COUNTIFS('تجربه‌گرها'!$B:$B,$A268,'تجربه‌گرها'!$F:$F,N$1)</f>
        <v>0</v>
      </c>
      <c r="O268" s="242">
        <f>COUNTIFS('تجربه‌گرها'!$B:$B,$A268,'تجربه‌گرها'!$F:$F,O$1)</f>
        <v>0</v>
      </c>
      <c r="P268" s="242">
        <f>COUNTIFS('تجربه‌گرها'!$B:$B,$A268,'تجربه‌گرها'!$F:$F,P$1)</f>
        <v>0</v>
      </c>
      <c r="Q268" s="242">
        <f>COUNTIFS('تجربه‌گرها'!$B:$B,$A268,'تجربه‌گرها'!$F:$F,Q$1)</f>
        <v>0</v>
      </c>
      <c r="R268" s="242">
        <f>COUNTIFS('تجربه‌گرها'!$B:$B,$A268,'تجربه‌گرها'!$F:$F,R$1)</f>
        <v>0</v>
      </c>
      <c r="S268" s="242">
        <f>COUNTIFS('تجربه‌گرها'!$B:$B,$A268,'تجربه‌گرها'!$F:$F,S$1)</f>
        <v>0</v>
      </c>
      <c r="T268" s="242">
        <f>COUNTIFS('تجربه‌گرها'!$B:$B,$A268,'تجربه‌گرها'!$F:$F,T$1)</f>
        <v>0</v>
      </c>
      <c r="U268" s="242"/>
      <c r="V268" s="242"/>
      <c r="W268" s="242"/>
      <c r="X268" s="242"/>
      <c r="Y268" s="242"/>
      <c r="Z268" s="242"/>
      <c r="AA268" s="242"/>
      <c r="AB268" s="242"/>
    </row>
    <row r="269" hidden="1">
      <c r="A269" s="244" t="s">
        <v>2260</v>
      </c>
      <c r="B269" s="245" t="str">
        <f>VLOOKUP(A269,'تجربه‌گرها'!B:C,2,FALSE())</f>
        <v>9128355965</v>
      </c>
      <c r="C269" s="242"/>
      <c r="D269" s="242">
        <f t="shared" si="1"/>
        <v>1</v>
      </c>
      <c r="E269" s="242">
        <f>COUNTIFS('تجربه‌گرها'!$B:$B,$A269,'تجربه‌گرها'!$F:$F,E$1)</f>
        <v>0</v>
      </c>
      <c r="F269" s="242">
        <f>COUNTIFS('تجربه‌گرها'!$B:$B,$A269,'تجربه‌گرها'!$F:$F,F$1)</f>
        <v>1</v>
      </c>
      <c r="G269" s="242">
        <f>COUNTIFS('تجربه‌گرها'!$B:$B,$A269,'تجربه‌گرها'!$F:$F,G$1)</f>
        <v>0</v>
      </c>
      <c r="H269" s="242">
        <f>COUNTIFS('تجربه‌گرها'!$B:$B,$A269,'تجربه‌گرها'!$F:$F,H$1)</f>
        <v>0</v>
      </c>
      <c r="I269" s="242">
        <f>COUNTIFS('تجربه‌گرها'!$B:$B,$A269,'تجربه‌گرها'!$F:$F,I$1)</f>
        <v>0</v>
      </c>
      <c r="J269" s="242">
        <f>COUNTIFS('تجربه‌گرها'!$B:$B,$A269,'تجربه‌گرها'!$F:$F,J$1)</f>
        <v>0</v>
      </c>
      <c r="K269" s="242">
        <f>COUNTIFS('تجربه‌گرها'!$B:$B,$A269,'تجربه‌گرها'!$F:$F,K$1)</f>
        <v>0</v>
      </c>
      <c r="L269" s="242">
        <f>COUNTIFS('تجربه‌گرها'!$B:$B,$A269,'تجربه‌گرها'!$F:$F,L$1)</f>
        <v>0</v>
      </c>
      <c r="M269" s="242">
        <f>COUNTIFS('تجربه‌گرها'!$B:$B,$A269,'تجربه‌گرها'!$F:$F,M$1)</f>
        <v>0</v>
      </c>
      <c r="N269" s="242">
        <f>COUNTIFS('تجربه‌گرها'!$B:$B,$A269,'تجربه‌گرها'!$F:$F,N$1)</f>
        <v>0</v>
      </c>
      <c r="O269" s="242">
        <f>COUNTIFS('تجربه‌گرها'!$B:$B,$A269,'تجربه‌گرها'!$F:$F,O$1)</f>
        <v>0</v>
      </c>
      <c r="P269" s="242">
        <f>COUNTIFS('تجربه‌گرها'!$B:$B,$A269,'تجربه‌گرها'!$F:$F,P$1)</f>
        <v>0</v>
      </c>
      <c r="Q269" s="242">
        <f>COUNTIFS('تجربه‌گرها'!$B:$B,$A269,'تجربه‌گرها'!$F:$F,Q$1)</f>
        <v>0</v>
      </c>
      <c r="R269" s="242">
        <f>COUNTIFS('تجربه‌گرها'!$B:$B,$A269,'تجربه‌گرها'!$F:$F,R$1)</f>
        <v>0</v>
      </c>
      <c r="S269" s="242">
        <f>COUNTIFS('تجربه‌گرها'!$B:$B,$A269,'تجربه‌گرها'!$F:$F,S$1)</f>
        <v>0</v>
      </c>
      <c r="T269" s="242">
        <f>COUNTIFS('تجربه‌گرها'!$B:$B,$A269,'تجربه‌گرها'!$F:$F,T$1)</f>
        <v>0</v>
      </c>
      <c r="U269" s="242"/>
      <c r="V269" s="242"/>
      <c r="W269" s="242"/>
      <c r="X269" s="242"/>
      <c r="Y269" s="242"/>
      <c r="Z269" s="242"/>
      <c r="AA269" s="242"/>
      <c r="AB269" s="242"/>
    </row>
    <row r="270" hidden="1">
      <c r="A270" s="244" t="s">
        <v>2265</v>
      </c>
      <c r="B270" s="245" t="str">
        <f>VLOOKUP(A270,'تجربه‌گرها'!B:C,2,FALSE())</f>
        <v>9121259786</v>
      </c>
      <c r="C270" s="242"/>
      <c r="D270" s="242">
        <f t="shared" si="1"/>
        <v>1</v>
      </c>
      <c r="E270" s="242">
        <f>COUNTIFS('تجربه‌گرها'!$B:$B,$A270,'تجربه‌گرها'!$F:$F,E$1)</f>
        <v>0</v>
      </c>
      <c r="F270" s="242">
        <f>COUNTIFS('تجربه‌گرها'!$B:$B,$A270,'تجربه‌گرها'!$F:$F,F$1)</f>
        <v>1</v>
      </c>
      <c r="G270" s="242">
        <f>COUNTIFS('تجربه‌گرها'!$B:$B,$A270,'تجربه‌گرها'!$F:$F,G$1)</f>
        <v>0</v>
      </c>
      <c r="H270" s="242">
        <f>COUNTIFS('تجربه‌گرها'!$B:$B,$A270,'تجربه‌گرها'!$F:$F,H$1)</f>
        <v>0</v>
      </c>
      <c r="I270" s="242">
        <f>COUNTIFS('تجربه‌گرها'!$B:$B,$A270,'تجربه‌گرها'!$F:$F,I$1)</f>
        <v>0</v>
      </c>
      <c r="J270" s="242">
        <f>COUNTIFS('تجربه‌گرها'!$B:$B,$A270,'تجربه‌گرها'!$F:$F,J$1)</f>
        <v>0</v>
      </c>
      <c r="K270" s="242">
        <f>COUNTIFS('تجربه‌گرها'!$B:$B,$A270,'تجربه‌گرها'!$F:$F,K$1)</f>
        <v>0</v>
      </c>
      <c r="L270" s="242">
        <f>COUNTIFS('تجربه‌گرها'!$B:$B,$A270,'تجربه‌گرها'!$F:$F,L$1)</f>
        <v>0</v>
      </c>
      <c r="M270" s="242">
        <f>COUNTIFS('تجربه‌گرها'!$B:$B,$A270,'تجربه‌گرها'!$F:$F,M$1)</f>
        <v>0</v>
      </c>
      <c r="N270" s="242">
        <f>COUNTIFS('تجربه‌گرها'!$B:$B,$A270,'تجربه‌گرها'!$F:$F,N$1)</f>
        <v>0</v>
      </c>
      <c r="O270" s="242">
        <f>COUNTIFS('تجربه‌گرها'!$B:$B,$A270,'تجربه‌گرها'!$F:$F,O$1)</f>
        <v>0</v>
      </c>
      <c r="P270" s="242">
        <f>COUNTIFS('تجربه‌گرها'!$B:$B,$A270,'تجربه‌گرها'!$F:$F,P$1)</f>
        <v>0</v>
      </c>
      <c r="Q270" s="242">
        <f>COUNTIFS('تجربه‌گرها'!$B:$B,$A270,'تجربه‌گرها'!$F:$F,Q$1)</f>
        <v>0</v>
      </c>
      <c r="R270" s="242">
        <f>COUNTIFS('تجربه‌گرها'!$B:$B,$A270,'تجربه‌گرها'!$F:$F,R$1)</f>
        <v>0</v>
      </c>
      <c r="S270" s="242">
        <f>COUNTIFS('تجربه‌گرها'!$B:$B,$A270,'تجربه‌گرها'!$F:$F,S$1)</f>
        <v>0</v>
      </c>
      <c r="T270" s="242">
        <f>COUNTIFS('تجربه‌گرها'!$B:$B,$A270,'تجربه‌گرها'!$F:$F,T$1)</f>
        <v>0</v>
      </c>
      <c r="U270" s="242"/>
      <c r="V270" s="242"/>
      <c r="W270" s="242"/>
      <c r="X270" s="242"/>
      <c r="Y270" s="242"/>
      <c r="Z270" s="242"/>
      <c r="AA270" s="242"/>
      <c r="AB270" s="242"/>
    </row>
    <row r="271" hidden="1">
      <c r="A271" s="244" t="s">
        <v>2276</v>
      </c>
      <c r="B271" s="245" t="str">
        <f>VLOOKUP(A271,'تجربه‌گرها'!B:C,2,FALSE())</f>
        <v>9366673711</v>
      </c>
      <c r="C271" s="242"/>
      <c r="D271" s="242">
        <f t="shared" si="1"/>
        <v>1</v>
      </c>
      <c r="E271" s="242">
        <f>COUNTIFS('تجربه‌گرها'!$B:$B,$A271,'تجربه‌گرها'!$F:$F,E$1)</f>
        <v>0</v>
      </c>
      <c r="F271" s="242">
        <f>COUNTIFS('تجربه‌گرها'!$B:$B,$A271,'تجربه‌گرها'!$F:$F,F$1)</f>
        <v>1</v>
      </c>
      <c r="G271" s="242">
        <f>COUNTIFS('تجربه‌گرها'!$B:$B,$A271,'تجربه‌گرها'!$F:$F,G$1)</f>
        <v>0</v>
      </c>
      <c r="H271" s="242">
        <f>COUNTIFS('تجربه‌گرها'!$B:$B,$A271,'تجربه‌گرها'!$F:$F,H$1)</f>
        <v>0</v>
      </c>
      <c r="I271" s="242">
        <f>COUNTIFS('تجربه‌گرها'!$B:$B,$A271,'تجربه‌گرها'!$F:$F,I$1)</f>
        <v>0</v>
      </c>
      <c r="J271" s="242">
        <f>COUNTIFS('تجربه‌گرها'!$B:$B,$A271,'تجربه‌گرها'!$F:$F,J$1)</f>
        <v>0</v>
      </c>
      <c r="K271" s="242">
        <f>COUNTIFS('تجربه‌گرها'!$B:$B,$A271,'تجربه‌گرها'!$F:$F,K$1)</f>
        <v>0</v>
      </c>
      <c r="L271" s="242">
        <f>COUNTIFS('تجربه‌گرها'!$B:$B,$A271,'تجربه‌گرها'!$F:$F,L$1)</f>
        <v>0</v>
      </c>
      <c r="M271" s="242">
        <f>COUNTIFS('تجربه‌گرها'!$B:$B,$A271,'تجربه‌گرها'!$F:$F,M$1)</f>
        <v>0</v>
      </c>
      <c r="N271" s="242">
        <f>COUNTIFS('تجربه‌گرها'!$B:$B,$A271,'تجربه‌گرها'!$F:$F,N$1)</f>
        <v>0</v>
      </c>
      <c r="O271" s="242">
        <f>COUNTIFS('تجربه‌گرها'!$B:$B,$A271,'تجربه‌گرها'!$F:$F,O$1)</f>
        <v>0</v>
      </c>
      <c r="P271" s="242">
        <f>COUNTIFS('تجربه‌گرها'!$B:$B,$A271,'تجربه‌گرها'!$F:$F,P$1)</f>
        <v>0</v>
      </c>
      <c r="Q271" s="242">
        <f>COUNTIFS('تجربه‌گرها'!$B:$B,$A271,'تجربه‌گرها'!$F:$F,Q$1)</f>
        <v>0</v>
      </c>
      <c r="R271" s="242">
        <f>COUNTIFS('تجربه‌گرها'!$B:$B,$A271,'تجربه‌گرها'!$F:$F,R$1)</f>
        <v>0</v>
      </c>
      <c r="S271" s="242">
        <f>COUNTIFS('تجربه‌گرها'!$B:$B,$A271,'تجربه‌گرها'!$F:$F,S$1)</f>
        <v>0</v>
      </c>
      <c r="T271" s="242">
        <f>COUNTIFS('تجربه‌گرها'!$B:$B,$A271,'تجربه‌گرها'!$F:$F,T$1)</f>
        <v>0</v>
      </c>
      <c r="U271" s="242"/>
      <c r="V271" s="242"/>
      <c r="W271" s="242"/>
      <c r="X271" s="242"/>
      <c r="Y271" s="242"/>
      <c r="Z271" s="242"/>
      <c r="AA271" s="242"/>
      <c r="AB271" s="242"/>
    </row>
    <row r="272" hidden="1">
      <c r="A272" s="244" t="s">
        <v>2282</v>
      </c>
      <c r="B272" s="245" t="str">
        <f>VLOOKUP(A272,'تجربه‌گرها'!B:C,2,FALSE())</f>
        <v>9918859951</v>
      </c>
      <c r="C272" s="242"/>
      <c r="D272" s="242">
        <f t="shared" si="1"/>
        <v>1</v>
      </c>
      <c r="E272" s="242">
        <f>COUNTIFS('تجربه‌گرها'!$B:$B,$A272,'تجربه‌گرها'!$F:$F,E$1)</f>
        <v>0</v>
      </c>
      <c r="F272" s="242">
        <f>COUNTIFS('تجربه‌گرها'!$B:$B,$A272,'تجربه‌گرها'!$F:$F,F$1)</f>
        <v>1</v>
      </c>
      <c r="G272" s="242">
        <f>COUNTIFS('تجربه‌گرها'!$B:$B,$A272,'تجربه‌گرها'!$F:$F,G$1)</f>
        <v>0</v>
      </c>
      <c r="H272" s="242">
        <f>COUNTIFS('تجربه‌گرها'!$B:$B,$A272,'تجربه‌گرها'!$F:$F,H$1)</f>
        <v>0</v>
      </c>
      <c r="I272" s="242">
        <f>COUNTIFS('تجربه‌گرها'!$B:$B,$A272,'تجربه‌گرها'!$F:$F,I$1)</f>
        <v>0</v>
      </c>
      <c r="J272" s="242">
        <f>COUNTIFS('تجربه‌گرها'!$B:$B,$A272,'تجربه‌گرها'!$F:$F,J$1)</f>
        <v>0</v>
      </c>
      <c r="K272" s="242">
        <f>COUNTIFS('تجربه‌گرها'!$B:$B,$A272,'تجربه‌گرها'!$F:$F,K$1)</f>
        <v>0</v>
      </c>
      <c r="L272" s="242">
        <f>COUNTIFS('تجربه‌گرها'!$B:$B,$A272,'تجربه‌گرها'!$F:$F,L$1)</f>
        <v>0</v>
      </c>
      <c r="M272" s="242">
        <f>COUNTIFS('تجربه‌گرها'!$B:$B,$A272,'تجربه‌گرها'!$F:$F,M$1)</f>
        <v>0</v>
      </c>
      <c r="N272" s="242">
        <f>COUNTIFS('تجربه‌گرها'!$B:$B,$A272,'تجربه‌گرها'!$F:$F,N$1)</f>
        <v>0</v>
      </c>
      <c r="O272" s="242">
        <f>COUNTIFS('تجربه‌گرها'!$B:$B,$A272,'تجربه‌گرها'!$F:$F,O$1)</f>
        <v>0</v>
      </c>
      <c r="P272" s="242">
        <f>COUNTIFS('تجربه‌گرها'!$B:$B,$A272,'تجربه‌گرها'!$F:$F,P$1)</f>
        <v>0</v>
      </c>
      <c r="Q272" s="242">
        <f>COUNTIFS('تجربه‌گرها'!$B:$B,$A272,'تجربه‌گرها'!$F:$F,Q$1)</f>
        <v>0</v>
      </c>
      <c r="R272" s="242">
        <f>COUNTIFS('تجربه‌گرها'!$B:$B,$A272,'تجربه‌گرها'!$F:$F,R$1)</f>
        <v>0</v>
      </c>
      <c r="S272" s="242">
        <f>COUNTIFS('تجربه‌گرها'!$B:$B,$A272,'تجربه‌گرها'!$F:$F,S$1)</f>
        <v>0</v>
      </c>
      <c r="T272" s="242">
        <f>COUNTIFS('تجربه‌گرها'!$B:$B,$A272,'تجربه‌گرها'!$F:$F,T$1)</f>
        <v>0</v>
      </c>
      <c r="U272" s="242"/>
      <c r="V272" s="242"/>
      <c r="W272" s="242"/>
      <c r="X272" s="242"/>
      <c r="Y272" s="242"/>
      <c r="Z272" s="242"/>
      <c r="AA272" s="242"/>
      <c r="AB272" s="242"/>
    </row>
    <row r="273" hidden="1">
      <c r="A273" s="244" t="s">
        <v>2287</v>
      </c>
      <c r="B273" s="245" t="str">
        <f>VLOOKUP(A273,'تجربه‌گرها'!B:C,2,FALSE())</f>
        <v>9129580296</v>
      </c>
      <c r="C273" s="242"/>
      <c r="D273" s="242">
        <f t="shared" si="1"/>
        <v>1</v>
      </c>
      <c r="E273" s="242">
        <f>COUNTIFS('تجربه‌گرها'!$B:$B,$A273,'تجربه‌گرها'!$F:$F,E$1)</f>
        <v>0</v>
      </c>
      <c r="F273" s="242">
        <f>COUNTIFS('تجربه‌گرها'!$B:$B,$A273,'تجربه‌گرها'!$F:$F,F$1)</f>
        <v>1</v>
      </c>
      <c r="G273" s="242">
        <f>COUNTIFS('تجربه‌گرها'!$B:$B,$A273,'تجربه‌گرها'!$F:$F,G$1)</f>
        <v>0</v>
      </c>
      <c r="H273" s="242">
        <f>COUNTIFS('تجربه‌گرها'!$B:$B,$A273,'تجربه‌گرها'!$F:$F,H$1)</f>
        <v>0</v>
      </c>
      <c r="I273" s="242">
        <f>COUNTIFS('تجربه‌گرها'!$B:$B,$A273,'تجربه‌گرها'!$F:$F,I$1)</f>
        <v>0</v>
      </c>
      <c r="J273" s="242">
        <f>COUNTIFS('تجربه‌گرها'!$B:$B,$A273,'تجربه‌گرها'!$F:$F,J$1)</f>
        <v>0</v>
      </c>
      <c r="K273" s="242">
        <f>COUNTIFS('تجربه‌گرها'!$B:$B,$A273,'تجربه‌گرها'!$F:$F,K$1)</f>
        <v>0</v>
      </c>
      <c r="L273" s="242">
        <f>COUNTIFS('تجربه‌گرها'!$B:$B,$A273,'تجربه‌گرها'!$F:$F,L$1)</f>
        <v>0</v>
      </c>
      <c r="M273" s="242">
        <f>COUNTIFS('تجربه‌گرها'!$B:$B,$A273,'تجربه‌گرها'!$F:$F,M$1)</f>
        <v>0</v>
      </c>
      <c r="N273" s="242">
        <f>COUNTIFS('تجربه‌گرها'!$B:$B,$A273,'تجربه‌گرها'!$F:$F,N$1)</f>
        <v>0</v>
      </c>
      <c r="O273" s="242">
        <f>COUNTIFS('تجربه‌گرها'!$B:$B,$A273,'تجربه‌گرها'!$F:$F,O$1)</f>
        <v>0</v>
      </c>
      <c r="P273" s="242">
        <f>COUNTIFS('تجربه‌گرها'!$B:$B,$A273,'تجربه‌گرها'!$F:$F,P$1)</f>
        <v>0</v>
      </c>
      <c r="Q273" s="242">
        <f>COUNTIFS('تجربه‌گرها'!$B:$B,$A273,'تجربه‌گرها'!$F:$F,Q$1)</f>
        <v>0</v>
      </c>
      <c r="R273" s="242">
        <f>COUNTIFS('تجربه‌گرها'!$B:$B,$A273,'تجربه‌گرها'!$F:$F,R$1)</f>
        <v>0</v>
      </c>
      <c r="S273" s="242">
        <f>COUNTIFS('تجربه‌گرها'!$B:$B,$A273,'تجربه‌گرها'!$F:$F,S$1)</f>
        <v>0</v>
      </c>
      <c r="T273" s="242">
        <f>COUNTIFS('تجربه‌گرها'!$B:$B,$A273,'تجربه‌گرها'!$F:$F,T$1)</f>
        <v>0</v>
      </c>
      <c r="U273" s="242"/>
      <c r="V273" s="242"/>
      <c r="W273" s="242"/>
      <c r="X273" s="242"/>
      <c r="Y273" s="242"/>
      <c r="Z273" s="242"/>
      <c r="AA273" s="242"/>
      <c r="AB273" s="242"/>
    </row>
    <row r="274" hidden="1">
      <c r="A274" s="244" t="s">
        <v>2292</v>
      </c>
      <c r="B274" s="245" t="str">
        <f>VLOOKUP(A274,'تجربه‌گرها'!B:C,2,FALSE())</f>
        <v>9125277216</v>
      </c>
      <c r="C274" s="242"/>
      <c r="D274" s="242">
        <f t="shared" si="1"/>
        <v>1</v>
      </c>
      <c r="E274" s="242">
        <f>COUNTIFS('تجربه‌گرها'!$B:$B,$A274,'تجربه‌گرها'!$F:$F,E$1)</f>
        <v>0</v>
      </c>
      <c r="F274" s="242">
        <f>COUNTIFS('تجربه‌گرها'!$B:$B,$A274,'تجربه‌گرها'!$F:$F,F$1)</f>
        <v>1</v>
      </c>
      <c r="G274" s="242">
        <f>COUNTIFS('تجربه‌گرها'!$B:$B,$A274,'تجربه‌گرها'!$F:$F,G$1)</f>
        <v>0</v>
      </c>
      <c r="H274" s="242">
        <f>COUNTIFS('تجربه‌گرها'!$B:$B,$A274,'تجربه‌گرها'!$F:$F,H$1)</f>
        <v>0</v>
      </c>
      <c r="I274" s="242">
        <f>COUNTIFS('تجربه‌گرها'!$B:$B,$A274,'تجربه‌گرها'!$F:$F,I$1)</f>
        <v>0</v>
      </c>
      <c r="J274" s="242">
        <f>COUNTIFS('تجربه‌گرها'!$B:$B,$A274,'تجربه‌گرها'!$F:$F,J$1)</f>
        <v>0</v>
      </c>
      <c r="K274" s="242">
        <f>COUNTIFS('تجربه‌گرها'!$B:$B,$A274,'تجربه‌گرها'!$F:$F,K$1)</f>
        <v>0</v>
      </c>
      <c r="L274" s="242">
        <f>COUNTIFS('تجربه‌گرها'!$B:$B,$A274,'تجربه‌گرها'!$F:$F,L$1)</f>
        <v>0</v>
      </c>
      <c r="M274" s="242">
        <f>COUNTIFS('تجربه‌گرها'!$B:$B,$A274,'تجربه‌گرها'!$F:$F,M$1)</f>
        <v>0</v>
      </c>
      <c r="N274" s="242">
        <f>COUNTIFS('تجربه‌گرها'!$B:$B,$A274,'تجربه‌گرها'!$F:$F,N$1)</f>
        <v>0</v>
      </c>
      <c r="O274" s="242">
        <f>COUNTIFS('تجربه‌گرها'!$B:$B,$A274,'تجربه‌گرها'!$F:$F,O$1)</f>
        <v>0</v>
      </c>
      <c r="P274" s="242">
        <f>COUNTIFS('تجربه‌گرها'!$B:$B,$A274,'تجربه‌گرها'!$F:$F,P$1)</f>
        <v>0</v>
      </c>
      <c r="Q274" s="242">
        <f>COUNTIFS('تجربه‌گرها'!$B:$B,$A274,'تجربه‌گرها'!$F:$F,Q$1)</f>
        <v>0</v>
      </c>
      <c r="R274" s="242">
        <f>COUNTIFS('تجربه‌گرها'!$B:$B,$A274,'تجربه‌گرها'!$F:$F,R$1)</f>
        <v>0</v>
      </c>
      <c r="S274" s="242">
        <f>COUNTIFS('تجربه‌گرها'!$B:$B,$A274,'تجربه‌گرها'!$F:$F,S$1)</f>
        <v>0</v>
      </c>
      <c r="T274" s="242">
        <f>COUNTIFS('تجربه‌گرها'!$B:$B,$A274,'تجربه‌گرها'!$F:$F,T$1)</f>
        <v>0</v>
      </c>
      <c r="U274" s="242"/>
      <c r="V274" s="242"/>
      <c r="W274" s="242"/>
      <c r="X274" s="242"/>
      <c r="Y274" s="242"/>
      <c r="Z274" s="242"/>
      <c r="AA274" s="242"/>
      <c r="AB274" s="242"/>
    </row>
    <row r="275" hidden="1">
      <c r="A275" s="244" t="s">
        <v>2297</v>
      </c>
      <c r="B275" s="245" t="str">
        <f>VLOOKUP(A275,'تجربه‌گرها'!B:C,2,FALSE())</f>
        <v>9127129074</v>
      </c>
      <c r="C275" s="242"/>
      <c r="D275" s="242">
        <f t="shared" si="1"/>
        <v>1</v>
      </c>
      <c r="E275" s="242">
        <f>COUNTIFS('تجربه‌گرها'!$B:$B,$A275,'تجربه‌گرها'!$F:$F,E$1)</f>
        <v>0</v>
      </c>
      <c r="F275" s="242">
        <f>COUNTIFS('تجربه‌گرها'!$B:$B,$A275,'تجربه‌گرها'!$F:$F,F$1)</f>
        <v>1</v>
      </c>
      <c r="G275" s="242">
        <f>COUNTIFS('تجربه‌گرها'!$B:$B,$A275,'تجربه‌گرها'!$F:$F,G$1)</f>
        <v>0</v>
      </c>
      <c r="H275" s="242">
        <f>COUNTIFS('تجربه‌گرها'!$B:$B,$A275,'تجربه‌گرها'!$F:$F,H$1)</f>
        <v>0</v>
      </c>
      <c r="I275" s="242">
        <f>COUNTIFS('تجربه‌گرها'!$B:$B,$A275,'تجربه‌گرها'!$F:$F,I$1)</f>
        <v>0</v>
      </c>
      <c r="J275" s="242">
        <f>COUNTIFS('تجربه‌گرها'!$B:$B,$A275,'تجربه‌گرها'!$F:$F,J$1)</f>
        <v>0</v>
      </c>
      <c r="K275" s="242">
        <f>COUNTIFS('تجربه‌گرها'!$B:$B,$A275,'تجربه‌گرها'!$F:$F,K$1)</f>
        <v>0</v>
      </c>
      <c r="L275" s="242">
        <f>COUNTIFS('تجربه‌گرها'!$B:$B,$A275,'تجربه‌گرها'!$F:$F,L$1)</f>
        <v>0</v>
      </c>
      <c r="M275" s="242">
        <f>COUNTIFS('تجربه‌گرها'!$B:$B,$A275,'تجربه‌گرها'!$F:$F,M$1)</f>
        <v>0</v>
      </c>
      <c r="N275" s="242">
        <f>COUNTIFS('تجربه‌گرها'!$B:$B,$A275,'تجربه‌گرها'!$F:$F,N$1)</f>
        <v>0</v>
      </c>
      <c r="O275" s="242">
        <f>COUNTIFS('تجربه‌گرها'!$B:$B,$A275,'تجربه‌گرها'!$F:$F,O$1)</f>
        <v>0</v>
      </c>
      <c r="P275" s="242">
        <f>COUNTIFS('تجربه‌گرها'!$B:$B,$A275,'تجربه‌گرها'!$F:$F,P$1)</f>
        <v>0</v>
      </c>
      <c r="Q275" s="242">
        <f>COUNTIFS('تجربه‌گرها'!$B:$B,$A275,'تجربه‌گرها'!$F:$F,Q$1)</f>
        <v>0</v>
      </c>
      <c r="R275" s="242">
        <f>COUNTIFS('تجربه‌گرها'!$B:$B,$A275,'تجربه‌گرها'!$F:$F,R$1)</f>
        <v>0</v>
      </c>
      <c r="S275" s="242">
        <f>COUNTIFS('تجربه‌گرها'!$B:$B,$A275,'تجربه‌گرها'!$F:$F,S$1)</f>
        <v>0</v>
      </c>
      <c r="T275" s="242">
        <f>COUNTIFS('تجربه‌گرها'!$B:$B,$A275,'تجربه‌گرها'!$F:$F,T$1)</f>
        <v>0</v>
      </c>
      <c r="U275" s="242"/>
      <c r="V275" s="242"/>
      <c r="W275" s="242"/>
      <c r="X275" s="242"/>
      <c r="Y275" s="242"/>
      <c r="Z275" s="242"/>
      <c r="AA275" s="242"/>
      <c r="AB275" s="242"/>
    </row>
    <row r="276" hidden="1">
      <c r="A276" s="244" t="s">
        <v>2301</v>
      </c>
      <c r="B276" s="245" t="str">
        <f>VLOOKUP(A276,'تجربه‌گرها'!B:C,2,FALSE())</f>
        <v/>
      </c>
      <c r="C276" s="242"/>
      <c r="D276" s="242">
        <f t="shared" si="1"/>
        <v>1</v>
      </c>
      <c r="E276" s="242">
        <f>COUNTIFS('تجربه‌گرها'!$B:$B,$A276,'تجربه‌گرها'!$F:$F,E$1)</f>
        <v>0</v>
      </c>
      <c r="F276" s="242">
        <f>COUNTIFS('تجربه‌گرها'!$B:$B,$A276,'تجربه‌گرها'!$F:$F,F$1)</f>
        <v>1</v>
      </c>
      <c r="G276" s="242">
        <f>COUNTIFS('تجربه‌گرها'!$B:$B,$A276,'تجربه‌گرها'!$F:$F,G$1)</f>
        <v>0</v>
      </c>
      <c r="H276" s="242">
        <f>COUNTIFS('تجربه‌گرها'!$B:$B,$A276,'تجربه‌گرها'!$F:$F,H$1)</f>
        <v>0</v>
      </c>
      <c r="I276" s="242">
        <f>COUNTIFS('تجربه‌گرها'!$B:$B,$A276,'تجربه‌گرها'!$F:$F,I$1)</f>
        <v>0</v>
      </c>
      <c r="J276" s="242">
        <f>COUNTIFS('تجربه‌گرها'!$B:$B,$A276,'تجربه‌گرها'!$F:$F,J$1)</f>
        <v>0</v>
      </c>
      <c r="K276" s="242">
        <f>COUNTIFS('تجربه‌گرها'!$B:$B,$A276,'تجربه‌گرها'!$F:$F,K$1)</f>
        <v>0</v>
      </c>
      <c r="L276" s="242">
        <f>COUNTIFS('تجربه‌گرها'!$B:$B,$A276,'تجربه‌گرها'!$F:$F,L$1)</f>
        <v>0</v>
      </c>
      <c r="M276" s="242">
        <f>COUNTIFS('تجربه‌گرها'!$B:$B,$A276,'تجربه‌گرها'!$F:$F,M$1)</f>
        <v>0</v>
      </c>
      <c r="N276" s="242">
        <f>COUNTIFS('تجربه‌گرها'!$B:$B,$A276,'تجربه‌گرها'!$F:$F,N$1)</f>
        <v>0</v>
      </c>
      <c r="O276" s="242">
        <f>COUNTIFS('تجربه‌گرها'!$B:$B,$A276,'تجربه‌گرها'!$F:$F,O$1)</f>
        <v>0</v>
      </c>
      <c r="P276" s="242">
        <f>COUNTIFS('تجربه‌گرها'!$B:$B,$A276,'تجربه‌گرها'!$F:$F,P$1)</f>
        <v>0</v>
      </c>
      <c r="Q276" s="242">
        <f>COUNTIFS('تجربه‌گرها'!$B:$B,$A276,'تجربه‌گرها'!$F:$F,Q$1)</f>
        <v>0</v>
      </c>
      <c r="R276" s="242">
        <f>COUNTIFS('تجربه‌گرها'!$B:$B,$A276,'تجربه‌گرها'!$F:$F,R$1)</f>
        <v>0</v>
      </c>
      <c r="S276" s="242">
        <f>COUNTIFS('تجربه‌گرها'!$B:$B,$A276,'تجربه‌گرها'!$F:$F,S$1)</f>
        <v>0</v>
      </c>
      <c r="T276" s="242">
        <f>COUNTIFS('تجربه‌گرها'!$B:$B,$A276,'تجربه‌گرها'!$F:$F,T$1)</f>
        <v>0</v>
      </c>
      <c r="U276" s="242"/>
      <c r="V276" s="242"/>
      <c r="W276" s="242"/>
      <c r="X276" s="242"/>
      <c r="Y276" s="242"/>
      <c r="Z276" s="242"/>
      <c r="AA276" s="242"/>
      <c r="AB276" s="242"/>
    </row>
    <row r="277" hidden="1">
      <c r="A277" s="244" t="s">
        <v>2303</v>
      </c>
      <c r="B277" s="245" t="str">
        <f>VLOOKUP(A277,'تجربه‌گرها'!B:C,2,FALSE())</f>
        <v>9121501411</v>
      </c>
      <c r="C277" s="242"/>
      <c r="D277" s="242">
        <f t="shared" si="1"/>
        <v>2</v>
      </c>
      <c r="E277" s="242">
        <f>COUNTIFS('تجربه‌گرها'!$B:$B,$A277,'تجربه‌گرها'!$F:$F,E$1)</f>
        <v>0</v>
      </c>
      <c r="F277" s="242">
        <f>COUNTIFS('تجربه‌گرها'!$B:$B,$A277,'تجربه‌گرها'!$F:$F,F$1)</f>
        <v>1</v>
      </c>
      <c r="G277" s="242">
        <f>COUNTIFS('تجربه‌گرها'!$B:$B,$A277,'تجربه‌گرها'!$F:$F,G$1)</f>
        <v>1</v>
      </c>
      <c r="H277" s="242">
        <f>COUNTIFS('تجربه‌گرها'!$B:$B,$A277,'تجربه‌گرها'!$F:$F,H$1)</f>
        <v>0</v>
      </c>
      <c r="I277" s="242">
        <f>COUNTIFS('تجربه‌گرها'!$B:$B,$A277,'تجربه‌گرها'!$F:$F,I$1)</f>
        <v>0</v>
      </c>
      <c r="J277" s="242">
        <f>COUNTIFS('تجربه‌گرها'!$B:$B,$A277,'تجربه‌گرها'!$F:$F,J$1)</f>
        <v>0</v>
      </c>
      <c r="K277" s="242">
        <f>COUNTIFS('تجربه‌گرها'!$B:$B,$A277,'تجربه‌گرها'!$F:$F,K$1)</f>
        <v>0</v>
      </c>
      <c r="L277" s="242">
        <f>COUNTIFS('تجربه‌گرها'!$B:$B,$A277,'تجربه‌گرها'!$F:$F,L$1)</f>
        <v>0</v>
      </c>
      <c r="M277" s="242">
        <f>COUNTIFS('تجربه‌گرها'!$B:$B,$A277,'تجربه‌گرها'!$F:$F,M$1)</f>
        <v>0</v>
      </c>
      <c r="N277" s="242">
        <f>COUNTIFS('تجربه‌گرها'!$B:$B,$A277,'تجربه‌گرها'!$F:$F,N$1)</f>
        <v>0</v>
      </c>
      <c r="O277" s="242">
        <f>COUNTIFS('تجربه‌گرها'!$B:$B,$A277,'تجربه‌گرها'!$F:$F,O$1)</f>
        <v>0</v>
      </c>
      <c r="P277" s="242">
        <f>COUNTIFS('تجربه‌گرها'!$B:$B,$A277,'تجربه‌گرها'!$F:$F,P$1)</f>
        <v>0</v>
      </c>
      <c r="Q277" s="242">
        <f>COUNTIFS('تجربه‌گرها'!$B:$B,$A277,'تجربه‌گرها'!$F:$F,Q$1)</f>
        <v>0</v>
      </c>
      <c r="R277" s="242">
        <f>COUNTIFS('تجربه‌گرها'!$B:$B,$A277,'تجربه‌گرها'!$F:$F,R$1)</f>
        <v>0</v>
      </c>
      <c r="S277" s="242">
        <f>COUNTIFS('تجربه‌گرها'!$B:$B,$A277,'تجربه‌گرها'!$F:$F,S$1)</f>
        <v>0</v>
      </c>
      <c r="T277" s="242">
        <f>COUNTIFS('تجربه‌گرها'!$B:$B,$A277,'تجربه‌گرها'!$F:$F,T$1)</f>
        <v>0</v>
      </c>
      <c r="U277" s="242"/>
      <c r="V277" s="242"/>
      <c r="W277" s="242"/>
      <c r="X277" s="242"/>
      <c r="Y277" s="242"/>
      <c r="Z277" s="242"/>
      <c r="AA277" s="242"/>
      <c r="AB277" s="242"/>
    </row>
    <row r="278" hidden="1">
      <c r="A278" s="244" t="s">
        <v>2308</v>
      </c>
      <c r="B278" s="245" t="str">
        <f>VLOOKUP(A278,'تجربه‌گرها'!B:C,2,FALSE())</f>
        <v>9129464843</v>
      </c>
      <c r="C278" s="242"/>
      <c r="D278" s="242">
        <f t="shared" si="1"/>
        <v>1</v>
      </c>
      <c r="E278" s="242">
        <f>COUNTIFS('تجربه‌گرها'!$B:$B,$A278,'تجربه‌گرها'!$F:$F,E$1)</f>
        <v>0</v>
      </c>
      <c r="F278" s="242">
        <f>COUNTIFS('تجربه‌گرها'!$B:$B,$A278,'تجربه‌گرها'!$F:$F,F$1)</f>
        <v>1</v>
      </c>
      <c r="G278" s="242">
        <f>COUNTIFS('تجربه‌گرها'!$B:$B,$A278,'تجربه‌گرها'!$F:$F,G$1)</f>
        <v>0</v>
      </c>
      <c r="H278" s="242">
        <f>COUNTIFS('تجربه‌گرها'!$B:$B,$A278,'تجربه‌گرها'!$F:$F,H$1)</f>
        <v>0</v>
      </c>
      <c r="I278" s="242">
        <f>COUNTIFS('تجربه‌گرها'!$B:$B,$A278,'تجربه‌گرها'!$F:$F,I$1)</f>
        <v>0</v>
      </c>
      <c r="J278" s="242">
        <f>COUNTIFS('تجربه‌گرها'!$B:$B,$A278,'تجربه‌گرها'!$F:$F,J$1)</f>
        <v>0</v>
      </c>
      <c r="K278" s="242">
        <f>COUNTIFS('تجربه‌گرها'!$B:$B,$A278,'تجربه‌گرها'!$F:$F,K$1)</f>
        <v>0</v>
      </c>
      <c r="L278" s="242">
        <f>COUNTIFS('تجربه‌گرها'!$B:$B,$A278,'تجربه‌گرها'!$F:$F,L$1)</f>
        <v>0</v>
      </c>
      <c r="M278" s="242">
        <f>COUNTIFS('تجربه‌گرها'!$B:$B,$A278,'تجربه‌گرها'!$F:$F,M$1)</f>
        <v>0</v>
      </c>
      <c r="N278" s="242">
        <f>COUNTIFS('تجربه‌گرها'!$B:$B,$A278,'تجربه‌گرها'!$F:$F,N$1)</f>
        <v>0</v>
      </c>
      <c r="O278" s="242">
        <f>COUNTIFS('تجربه‌گرها'!$B:$B,$A278,'تجربه‌گرها'!$F:$F,O$1)</f>
        <v>0</v>
      </c>
      <c r="P278" s="242">
        <f>COUNTIFS('تجربه‌گرها'!$B:$B,$A278,'تجربه‌گرها'!$F:$F,P$1)</f>
        <v>0</v>
      </c>
      <c r="Q278" s="242">
        <f>COUNTIFS('تجربه‌گرها'!$B:$B,$A278,'تجربه‌گرها'!$F:$F,Q$1)</f>
        <v>0</v>
      </c>
      <c r="R278" s="242">
        <f>COUNTIFS('تجربه‌گرها'!$B:$B,$A278,'تجربه‌گرها'!$F:$F,R$1)</f>
        <v>0</v>
      </c>
      <c r="S278" s="242">
        <f>COUNTIFS('تجربه‌گرها'!$B:$B,$A278,'تجربه‌گرها'!$F:$F,S$1)</f>
        <v>0</v>
      </c>
      <c r="T278" s="242">
        <f>COUNTIFS('تجربه‌گرها'!$B:$B,$A278,'تجربه‌گرها'!$F:$F,T$1)</f>
        <v>0</v>
      </c>
      <c r="U278" s="242"/>
      <c r="V278" s="242"/>
      <c r="W278" s="242"/>
      <c r="X278" s="242"/>
      <c r="Y278" s="242"/>
      <c r="Z278" s="242"/>
      <c r="AA278" s="242"/>
      <c r="AB278" s="242"/>
    </row>
    <row r="279" hidden="1">
      <c r="A279" s="244" t="s">
        <v>2313</v>
      </c>
      <c r="B279" s="245" t="str">
        <f>VLOOKUP(A279,'تجربه‌گرها'!B:C,2,FALSE())</f>
        <v>9367704992</v>
      </c>
      <c r="C279" s="242"/>
      <c r="D279" s="242">
        <f t="shared" si="1"/>
        <v>1</v>
      </c>
      <c r="E279" s="242">
        <f>COUNTIFS('تجربه‌گرها'!$B:$B,$A279,'تجربه‌گرها'!$F:$F,E$1)</f>
        <v>0</v>
      </c>
      <c r="F279" s="242">
        <f>COUNTIFS('تجربه‌گرها'!$B:$B,$A279,'تجربه‌گرها'!$F:$F,F$1)</f>
        <v>1</v>
      </c>
      <c r="G279" s="242">
        <f>COUNTIFS('تجربه‌گرها'!$B:$B,$A279,'تجربه‌گرها'!$F:$F,G$1)</f>
        <v>0</v>
      </c>
      <c r="H279" s="242">
        <f>COUNTIFS('تجربه‌گرها'!$B:$B,$A279,'تجربه‌گرها'!$F:$F,H$1)</f>
        <v>0</v>
      </c>
      <c r="I279" s="242">
        <f>COUNTIFS('تجربه‌گرها'!$B:$B,$A279,'تجربه‌گرها'!$F:$F,I$1)</f>
        <v>0</v>
      </c>
      <c r="J279" s="242">
        <f>COUNTIFS('تجربه‌گرها'!$B:$B,$A279,'تجربه‌گرها'!$F:$F,J$1)</f>
        <v>0</v>
      </c>
      <c r="K279" s="242">
        <f>COUNTIFS('تجربه‌گرها'!$B:$B,$A279,'تجربه‌گرها'!$F:$F,K$1)</f>
        <v>0</v>
      </c>
      <c r="L279" s="242">
        <f>COUNTIFS('تجربه‌گرها'!$B:$B,$A279,'تجربه‌گرها'!$F:$F,L$1)</f>
        <v>0</v>
      </c>
      <c r="M279" s="242">
        <f>COUNTIFS('تجربه‌گرها'!$B:$B,$A279,'تجربه‌گرها'!$F:$F,M$1)</f>
        <v>0</v>
      </c>
      <c r="N279" s="242">
        <f>COUNTIFS('تجربه‌گرها'!$B:$B,$A279,'تجربه‌گرها'!$F:$F,N$1)</f>
        <v>0</v>
      </c>
      <c r="O279" s="242">
        <f>COUNTIFS('تجربه‌گرها'!$B:$B,$A279,'تجربه‌گرها'!$F:$F,O$1)</f>
        <v>0</v>
      </c>
      <c r="P279" s="242">
        <f>COUNTIFS('تجربه‌گرها'!$B:$B,$A279,'تجربه‌گرها'!$F:$F,P$1)</f>
        <v>0</v>
      </c>
      <c r="Q279" s="242">
        <f>COUNTIFS('تجربه‌گرها'!$B:$B,$A279,'تجربه‌گرها'!$F:$F,Q$1)</f>
        <v>0</v>
      </c>
      <c r="R279" s="242">
        <f>COUNTIFS('تجربه‌گرها'!$B:$B,$A279,'تجربه‌گرها'!$F:$F,R$1)</f>
        <v>0</v>
      </c>
      <c r="S279" s="242">
        <f>COUNTIFS('تجربه‌گرها'!$B:$B,$A279,'تجربه‌گرها'!$F:$F,S$1)</f>
        <v>0</v>
      </c>
      <c r="T279" s="242">
        <f>COUNTIFS('تجربه‌گرها'!$B:$B,$A279,'تجربه‌گرها'!$F:$F,T$1)</f>
        <v>0</v>
      </c>
      <c r="U279" s="242"/>
      <c r="V279" s="242"/>
      <c r="W279" s="242"/>
      <c r="X279" s="242"/>
      <c r="Y279" s="242"/>
      <c r="Z279" s="242"/>
      <c r="AA279" s="242"/>
      <c r="AB279" s="242"/>
    </row>
    <row r="280">
      <c r="A280" s="244" t="s">
        <v>2319</v>
      </c>
      <c r="B280" s="245" t="str">
        <f>VLOOKUP(A280,'تجربه‌گرها'!B:C,2,FALSE())</f>
        <v>9125905693</v>
      </c>
      <c r="C280" s="242"/>
      <c r="D280" s="242">
        <f t="shared" si="1"/>
        <v>1</v>
      </c>
      <c r="E280" s="242">
        <f>COUNTIFS('تجربه‌گرها'!$B:$B,$A280,'تجربه‌گرها'!$F:$F,E$1)</f>
        <v>0</v>
      </c>
      <c r="F280" s="242">
        <f>COUNTIFS('تجربه‌گرها'!$B:$B,$A280,'تجربه‌گرها'!$F:$F,F$1)</f>
        <v>1</v>
      </c>
      <c r="G280" s="242">
        <f>COUNTIFS('تجربه‌گرها'!$B:$B,$A280,'تجربه‌گرها'!$F:$F,G$1)</f>
        <v>0</v>
      </c>
      <c r="H280" s="242">
        <f>COUNTIFS('تجربه‌گرها'!$B:$B,$A280,'تجربه‌گرها'!$F:$F,H$1)</f>
        <v>0</v>
      </c>
      <c r="I280" s="242">
        <f>COUNTIFS('تجربه‌گرها'!$B:$B,$A280,'تجربه‌گرها'!$F:$F,I$1)</f>
        <v>0</v>
      </c>
      <c r="J280" s="242">
        <f>COUNTIFS('تجربه‌گرها'!$B:$B,$A280,'تجربه‌گرها'!$F:$F,J$1)</f>
        <v>0</v>
      </c>
      <c r="K280" s="242">
        <f>COUNTIFS('تجربه‌گرها'!$B:$B,$A280,'تجربه‌گرها'!$F:$F,K$1)</f>
        <v>0</v>
      </c>
      <c r="L280" s="242">
        <f>COUNTIFS('تجربه‌گرها'!$B:$B,$A280,'تجربه‌گرها'!$F:$F,L$1)</f>
        <v>0</v>
      </c>
      <c r="M280" s="242">
        <f>COUNTIFS('تجربه‌گرها'!$B:$B,$A280,'تجربه‌گرها'!$F:$F,M$1)</f>
        <v>0</v>
      </c>
      <c r="N280" s="242">
        <f>COUNTIFS('تجربه‌گرها'!$B:$B,$A280,'تجربه‌گرها'!$F:$F,N$1)</f>
        <v>0</v>
      </c>
      <c r="O280" s="242">
        <f>COUNTIFS('تجربه‌گرها'!$B:$B,$A280,'تجربه‌گرها'!$F:$F,O$1)</f>
        <v>0</v>
      </c>
      <c r="P280" s="242">
        <f>COUNTIFS('تجربه‌گرها'!$B:$B,$A280,'تجربه‌گرها'!$F:$F,P$1)</f>
        <v>0</v>
      </c>
      <c r="Q280" s="242">
        <f>COUNTIFS('تجربه‌گرها'!$B:$B,$A280,'تجربه‌گرها'!$F:$F,Q$1)</f>
        <v>0</v>
      </c>
      <c r="R280" s="242">
        <f>COUNTIFS('تجربه‌گرها'!$B:$B,$A280,'تجربه‌گرها'!$F:$F,R$1)</f>
        <v>0</v>
      </c>
      <c r="S280" s="242">
        <f>COUNTIFS('تجربه‌گرها'!$B:$B,$A280,'تجربه‌گرها'!$F:$F,S$1)</f>
        <v>0</v>
      </c>
      <c r="T280" s="242">
        <f>COUNTIFS('تجربه‌گرها'!$B:$B,$A280,'تجربه‌گرها'!$F:$F,T$1)</f>
        <v>0</v>
      </c>
      <c r="U280" s="242"/>
      <c r="V280" s="242"/>
      <c r="W280" s="242"/>
      <c r="X280" s="242"/>
      <c r="Y280" s="242"/>
      <c r="Z280" s="242"/>
      <c r="AA280" s="242"/>
      <c r="AB280" s="242"/>
    </row>
    <row r="281" hidden="1">
      <c r="A281" s="244" t="s">
        <v>2325</v>
      </c>
      <c r="B281" s="245" t="str">
        <f>VLOOKUP(A281,'تجربه‌گرها'!B:C,2,FALSE())</f>
        <v>9126335887</v>
      </c>
      <c r="C281" s="242"/>
      <c r="D281" s="242">
        <f t="shared" si="1"/>
        <v>1</v>
      </c>
      <c r="E281" s="242">
        <f>COUNTIFS('تجربه‌گرها'!$B:$B,$A281,'تجربه‌گرها'!$F:$F,E$1)</f>
        <v>0</v>
      </c>
      <c r="F281" s="242">
        <f>COUNTIFS('تجربه‌گرها'!$B:$B,$A281,'تجربه‌گرها'!$F:$F,F$1)</f>
        <v>1</v>
      </c>
      <c r="G281" s="242">
        <f>COUNTIFS('تجربه‌گرها'!$B:$B,$A281,'تجربه‌گرها'!$F:$F,G$1)</f>
        <v>0</v>
      </c>
      <c r="H281" s="242">
        <f>COUNTIFS('تجربه‌گرها'!$B:$B,$A281,'تجربه‌گرها'!$F:$F,H$1)</f>
        <v>0</v>
      </c>
      <c r="I281" s="242">
        <f>COUNTIFS('تجربه‌گرها'!$B:$B,$A281,'تجربه‌گرها'!$F:$F,I$1)</f>
        <v>0</v>
      </c>
      <c r="J281" s="242">
        <f>COUNTIFS('تجربه‌گرها'!$B:$B,$A281,'تجربه‌گرها'!$F:$F,J$1)</f>
        <v>0</v>
      </c>
      <c r="K281" s="242">
        <f>COUNTIFS('تجربه‌گرها'!$B:$B,$A281,'تجربه‌گرها'!$F:$F,K$1)</f>
        <v>0</v>
      </c>
      <c r="L281" s="242">
        <f>COUNTIFS('تجربه‌گرها'!$B:$B,$A281,'تجربه‌گرها'!$F:$F,L$1)</f>
        <v>0</v>
      </c>
      <c r="M281" s="242">
        <f>COUNTIFS('تجربه‌گرها'!$B:$B,$A281,'تجربه‌گرها'!$F:$F,M$1)</f>
        <v>0</v>
      </c>
      <c r="N281" s="242">
        <f>COUNTIFS('تجربه‌گرها'!$B:$B,$A281,'تجربه‌گرها'!$F:$F,N$1)</f>
        <v>0</v>
      </c>
      <c r="O281" s="242">
        <f>COUNTIFS('تجربه‌گرها'!$B:$B,$A281,'تجربه‌گرها'!$F:$F,O$1)</f>
        <v>0</v>
      </c>
      <c r="P281" s="242">
        <f>COUNTIFS('تجربه‌گرها'!$B:$B,$A281,'تجربه‌گرها'!$F:$F,P$1)</f>
        <v>0</v>
      </c>
      <c r="Q281" s="242">
        <f>COUNTIFS('تجربه‌گرها'!$B:$B,$A281,'تجربه‌گرها'!$F:$F,Q$1)</f>
        <v>0</v>
      </c>
      <c r="R281" s="242">
        <f>COUNTIFS('تجربه‌گرها'!$B:$B,$A281,'تجربه‌گرها'!$F:$F,R$1)</f>
        <v>0</v>
      </c>
      <c r="S281" s="242">
        <f>COUNTIFS('تجربه‌گرها'!$B:$B,$A281,'تجربه‌گرها'!$F:$F,S$1)</f>
        <v>0</v>
      </c>
      <c r="T281" s="242">
        <f>COUNTIFS('تجربه‌گرها'!$B:$B,$A281,'تجربه‌گرها'!$F:$F,T$1)</f>
        <v>0</v>
      </c>
      <c r="U281" s="242"/>
      <c r="V281" s="242"/>
      <c r="W281" s="242"/>
      <c r="X281" s="242"/>
      <c r="Y281" s="242"/>
      <c r="Z281" s="242"/>
      <c r="AA281" s="242"/>
      <c r="AB281" s="242"/>
    </row>
    <row r="282" hidden="1">
      <c r="A282" s="244" t="s">
        <v>2330</v>
      </c>
      <c r="B282" s="245" t="str">
        <f>VLOOKUP(A282,'تجربه‌گرها'!B:C,2,FALSE())</f>
        <v>NA</v>
      </c>
      <c r="C282" s="242"/>
      <c r="D282" s="242">
        <f t="shared" si="1"/>
        <v>1</v>
      </c>
      <c r="E282" s="242">
        <f>COUNTIFS('تجربه‌گرها'!$B:$B,$A282,'تجربه‌گرها'!$F:$F,E$1)</f>
        <v>0</v>
      </c>
      <c r="F282" s="242">
        <f>COUNTIFS('تجربه‌گرها'!$B:$B,$A282,'تجربه‌گرها'!$F:$F,F$1)</f>
        <v>1</v>
      </c>
      <c r="G282" s="242">
        <f>COUNTIFS('تجربه‌گرها'!$B:$B,$A282,'تجربه‌گرها'!$F:$F,G$1)</f>
        <v>0</v>
      </c>
      <c r="H282" s="242">
        <f>COUNTIFS('تجربه‌گرها'!$B:$B,$A282,'تجربه‌گرها'!$F:$F,H$1)</f>
        <v>0</v>
      </c>
      <c r="I282" s="242">
        <f>COUNTIFS('تجربه‌گرها'!$B:$B,$A282,'تجربه‌گرها'!$F:$F,I$1)</f>
        <v>0</v>
      </c>
      <c r="J282" s="242">
        <f>COUNTIFS('تجربه‌گرها'!$B:$B,$A282,'تجربه‌گرها'!$F:$F,J$1)</f>
        <v>0</v>
      </c>
      <c r="K282" s="242">
        <f>COUNTIFS('تجربه‌گرها'!$B:$B,$A282,'تجربه‌گرها'!$F:$F,K$1)</f>
        <v>0</v>
      </c>
      <c r="L282" s="242">
        <f>COUNTIFS('تجربه‌گرها'!$B:$B,$A282,'تجربه‌گرها'!$F:$F,L$1)</f>
        <v>0</v>
      </c>
      <c r="M282" s="242">
        <f>COUNTIFS('تجربه‌گرها'!$B:$B,$A282,'تجربه‌گرها'!$F:$F,M$1)</f>
        <v>0</v>
      </c>
      <c r="N282" s="242">
        <f>COUNTIFS('تجربه‌گرها'!$B:$B,$A282,'تجربه‌گرها'!$F:$F,N$1)</f>
        <v>0</v>
      </c>
      <c r="O282" s="242">
        <f>COUNTIFS('تجربه‌گرها'!$B:$B,$A282,'تجربه‌گرها'!$F:$F,O$1)</f>
        <v>0</v>
      </c>
      <c r="P282" s="242">
        <f>COUNTIFS('تجربه‌گرها'!$B:$B,$A282,'تجربه‌گرها'!$F:$F,P$1)</f>
        <v>0</v>
      </c>
      <c r="Q282" s="242">
        <f>COUNTIFS('تجربه‌گرها'!$B:$B,$A282,'تجربه‌گرها'!$F:$F,Q$1)</f>
        <v>0</v>
      </c>
      <c r="R282" s="242">
        <f>COUNTIFS('تجربه‌گرها'!$B:$B,$A282,'تجربه‌گرها'!$F:$F,R$1)</f>
        <v>0</v>
      </c>
      <c r="S282" s="242">
        <f>COUNTIFS('تجربه‌گرها'!$B:$B,$A282,'تجربه‌گرها'!$F:$F,S$1)</f>
        <v>0</v>
      </c>
      <c r="T282" s="242">
        <f>COUNTIFS('تجربه‌گرها'!$B:$B,$A282,'تجربه‌گرها'!$F:$F,T$1)</f>
        <v>0</v>
      </c>
      <c r="U282" s="242"/>
      <c r="V282" s="242"/>
      <c r="W282" s="242"/>
      <c r="X282" s="242"/>
      <c r="Y282" s="242"/>
      <c r="Z282" s="242"/>
      <c r="AA282" s="242"/>
      <c r="AB282" s="242"/>
    </row>
    <row r="283" hidden="1">
      <c r="A283" s="244" t="s">
        <v>2332</v>
      </c>
      <c r="B283" s="245" t="str">
        <f>VLOOKUP(A283,'تجربه‌گرها'!B:C,2,FALSE())</f>
        <v>NA</v>
      </c>
      <c r="C283" s="242"/>
      <c r="D283" s="242">
        <f t="shared" si="1"/>
        <v>1</v>
      </c>
      <c r="E283" s="242">
        <f>COUNTIFS('تجربه‌گرها'!$B:$B,$A283,'تجربه‌گرها'!$F:$F,E$1)</f>
        <v>0</v>
      </c>
      <c r="F283" s="242">
        <f>COUNTIFS('تجربه‌گرها'!$B:$B,$A283,'تجربه‌گرها'!$F:$F,F$1)</f>
        <v>1</v>
      </c>
      <c r="G283" s="242">
        <f>COUNTIFS('تجربه‌گرها'!$B:$B,$A283,'تجربه‌گرها'!$F:$F,G$1)</f>
        <v>0</v>
      </c>
      <c r="H283" s="242">
        <f>COUNTIFS('تجربه‌گرها'!$B:$B,$A283,'تجربه‌گرها'!$F:$F,H$1)</f>
        <v>0</v>
      </c>
      <c r="I283" s="242">
        <f>COUNTIFS('تجربه‌گرها'!$B:$B,$A283,'تجربه‌گرها'!$F:$F,I$1)</f>
        <v>0</v>
      </c>
      <c r="J283" s="242">
        <f>COUNTIFS('تجربه‌گرها'!$B:$B,$A283,'تجربه‌گرها'!$F:$F,J$1)</f>
        <v>0</v>
      </c>
      <c r="K283" s="242">
        <f>COUNTIFS('تجربه‌گرها'!$B:$B,$A283,'تجربه‌گرها'!$F:$F,K$1)</f>
        <v>0</v>
      </c>
      <c r="L283" s="242">
        <f>COUNTIFS('تجربه‌گرها'!$B:$B,$A283,'تجربه‌گرها'!$F:$F,L$1)</f>
        <v>0</v>
      </c>
      <c r="M283" s="242">
        <f>COUNTIFS('تجربه‌گرها'!$B:$B,$A283,'تجربه‌گرها'!$F:$F,M$1)</f>
        <v>0</v>
      </c>
      <c r="N283" s="242">
        <f>COUNTIFS('تجربه‌گرها'!$B:$B,$A283,'تجربه‌گرها'!$F:$F,N$1)</f>
        <v>0</v>
      </c>
      <c r="O283" s="242">
        <f>COUNTIFS('تجربه‌گرها'!$B:$B,$A283,'تجربه‌گرها'!$F:$F,O$1)</f>
        <v>0</v>
      </c>
      <c r="P283" s="242">
        <f>COUNTIFS('تجربه‌گرها'!$B:$B,$A283,'تجربه‌گرها'!$F:$F,P$1)</f>
        <v>0</v>
      </c>
      <c r="Q283" s="242">
        <f>COUNTIFS('تجربه‌گرها'!$B:$B,$A283,'تجربه‌گرها'!$F:$F,Q$1)</f>
        <v>0</v>
      </c>
      <c r="R283" s="242">
        <f>COUNTIFS('تجربه‌گرها'!$B:$B,$A283,'تجربه‌گرها'!$F:$F,R$1)</f>
        <v>0</v>
      </c>
      <c r="S283" s="242">
        <f>COUNTIFS('تجربه‌گرها'!$B:$B,$A283,'تجربه‌گرها'!$F:$F,S$1)</f>
        <v>0</v>
      </c>
      <c r="T283" s="242">
        <f>COUNTIFS('تجربه‌گرها'!$B:$B,$A283,'تجربه‌گرها'!$F:$F,T$1)</f>
        <v>0</v>
      </c>
      <c r="U283" s="242"/>
      <c r="V283" s="242"/>
      <c r="W283" s="242"/>
      <c r="X283" s="242"/>
      <c r="Y283" s="242"/>
      <c r="Z283" s="242"/>
      <c r="AA283" s="242"/>
      <c r="AB283" s="242"/>
    </row>
    <row r="284" hidden="1">
      <c r="A284" s="244" t="s">
        <v>2334</v>
      </c>
      <c r="B284" s="245" t="str">
        <f>VLOOKUP(A284,'تجربه‌گرها'!B:C,2,FALSE())</f>
        <v>9126861091</v>
      </c>
      <c r="C284" s="242"/>
      <c r="D284" s="242">
        <f t="shared" si="1"/>
        <v>1</v>
      </c>
      <c r="E284" s="242">
        <f>COUNTIFS('تجربه‌گرها'!$B:$B,$A284,'تجربه‌گرها'!$F:$F,E$1)</f>
        <v>0</v>
      </c>
      <c r="F284" s="242">
        <f>COUNTIFS('تجربه‌گرها'!$B:$B,$A284,'تجربه‌گرها'!$F:$F,F$1)</f>
        <v>1</v>
      </c>
      <c r="G284" s="242">
        <f>COUNTIFS('تجربه‌گرها'!$B:$B,$A284,'تجربه‌گرها'!$F:$F,G$1)</f>
        <v>0</v>
      </c>
      <c r="H284" s="242">
        <f>COUNTIFS('تجربه‌گرها'!$B:$B,$A284,'تجربه‌گرها'!$F:$F,H$1)</f>
        <v>0</v>
      </c>
      <c r="I284" s="242">
        <f>COUNTIFS('تجربه‌گرها'!$B:$B,$A284,'تجربه‌گرها'!$F:$F,I$1)</f>
        <v>0</v>
      </c>
      <c r="J284" s="242">
        <f>COUNTIFS('تجربه‌گرها'!$B:$B,$A284,'تجربه‌گرها'!$F:$F,J$1)</f>
        <v>0</v>
      </c>
      <c r="K284" s="242">
        <f>COUNTIFS('تجربه‌گرها'!$B:$B,$A284,'تجربه‌گرها'!$F:$F,K$1)</f>
        <v>0</v>
      </c>
      <c r="L284" s="242">
        <f>COUNTIFS('تجربه‌گرها'!$B:$B,$A284,'تجربه‌گرها'!$F:$F,L$1)</f>
        <v>0</v>
      </c>
      <c r="M284" s="242">
        <f>COUNTIFS('تجربه‌گرها'!$B:$B,$A284,'تجربه‌گرها'!$F:$F,M$1)</f>
        <v>0</v>
      </c>
      <c r="N284" s="242">
        <f>COUNTIFS('تجربه‌گرها'!$B:$B,$A284,'تجربه‌گرها'!$F:$F,N$1)</f>
        <v>0</v>
      </c>
      <c r="O284" s="242">
        <f>COUNTIFS('تجربه‌گرها'!$B:$B,$A284,'تجربه‌گرها'!$F:$F,O$1)</f>
        <v>0</v>
      </c>
      <c r="P284" s="242">
        <f>COUNTIFS('تجربه‌گرها'!$B:$B,$A284,'تجربه‌گرها'!$F:$F,P$1)</f>
        <v>0</v>
      </c>
      <c r="Q284" s="242">
        <f>COUNTIFS('تجربه‌گرها'!$B:$B,$A284,'تجربه‌گرها'!$F:$F,Q$1)</f>
        <v>0</v>
      </c>
      <c r="R284" s="242">
        <f>COUNTIFS('تجربه‌گرها'!$B:$B,$A284,'تجربه‌گرها'!$F:$F,R$1)</f>
        <v>0</v>
      </c>
      <c r="S284" s="242">
        <f>COUNTIFS('تجربه‌گرها'!$B:$B,$A284,'تجربه‌گرها'!$F:$F,S$1)</f>
        <v>0</v>
      </c>
      <c r="T284" s="242">
        <f>COUNTIFS('تجربه‌گرها'!$B:$B,$A284,'تجربه‌گرها'!$F:$F,T$1)</f>
        <v>0</v>
      </c>
      <c r="U284" s="242"/>
      <c r="V284" s="242"/>
      <c r="W284" s="242"/>
      <c r="X284" s="242"/>
      <c r="Y284" s="242"/>
      <c r="Z284" s="242"/>
      <c r="AA284" s="242"/>
      <c r="AB284" s="242"/>
    </row>
    <row r="285" hidden="1">
      <c r="A285" s="244" t="s">
        <v>2338</v>
      </c>
      <c r="B285" s="245" t="str">
        <f>VLOOKUP(A285,'تجربه‌گرها'!B:C,2,FALSE())</f>
        <v>9141594478</v>
      </c>
      <c r="C285" s="242"/>
      <c r="D285" s="242">
        <f t="shared" si="1"/>
        <v>1</v>
      </c>
      <c r="E285" s="242">
        <f>COUNTIFS('تجربه‌گرها'!$B:$B,$A285,'تجربه‌گرها'!$F:$F,E$1)</f>
        <v>0</v>
      </c>
      <c r="F285" s="242">
        <f>COUNTIFS('تجربه‌گرها'!$B:$B,$A285,'تجربه‌گرها'!$F:$F,F$1)</f>
        <v>1</v>
      </c>
      <c r="G285" s="242">
        <f>COUNTIFS('تجربه‌گرها'!$B:$B,$A285,'تجربه‌گرها'!$F:$F,G$1)</f>
        <v>0</v>
      </c>
      <c r="H285" s="242">
        <f>COUNTIFS('تجربه‌گرها'!$B:$B,$A285,'تجربه‌گرها'!$F:$F,H$1)</f>
        <v>0</v>
      </c>
      <c r="I285" s="242">
        <f>COUNTIFS('تجربه‌گرها'!$B:$B,$A285,'تجربه‌گرها'!$F:$F,I$1)</f>
        <v>0</v>
      </c>
      <c r="J285" s="242">
        <f>COUNTIFS('تجربه‌گرها'!$B:$B,$A285,'تجربه‌گرها'!$F:$F,J$1)</f>
        <v>0</v>
      </c>
      <c r="K285" s="242">
        <f>COUNTIFS('تجربه‌گرها'!$B:$B,$A285,'تجربه‌گرها'!$F:$F,K$1)</f>
        <v>0</v>
      </c>
      <c r="L285" s="242">
        <f>COUNTIFS('تجربه‌گرها'!$B:$B,$A285,'تجربه‌گرها'!$F:$F,L$1)</f>
        <v>0</v>
      </c>
      <c r="M285" s="242">
        <f>COUNTIFS('تجربه‌گرها'!$B:$B,$A285,'تجربه‌گرها'!$F:$F,M$1)</f>
        <v>0</v>
      </c>
      <c r="N285" s="242">
        <f>COUNTIFS('تجربه‌گرها'!$B:$B,$A285,'تجربه‌گرها'!$F:$F,N$1)</f>
        <v>0</v>
      </c>
      <c r="O285" s="242">
        <f>COUNTIFS('تجربه‌گرها'!$B:$B,$A285,'تجربه‌گرها'!$F:$F,O$1)</f>
        <v>0</v>
      </c>
      <c r="P285" s="242">
        <f>COUNTIFS('تجربه‌گرها'!$B:$B,$A285,'تجربه‌گرها'!$F:$F,P$1)</f>
        <v>0</v>
      </c>
      <c r="Q285" s="242">
        <f>COUNTIFS('تجربه‌گرها'!$B:$B,$A285,'تجربه‌گرها'!$F:$F,Q$1)</f>
        <v>0</v>
      </c>
      <c r="R285" s="242">
        <f>COUNTIFS('تجربه‌گرها'!$B:$B,$A285,'تجربه‌گرها'!$F:$F,R$1)</f>
        <v>0</v>
      </c>
      <c r="S285" s="242">
        <f>COUNTIFS('تجربه‌گرها'!$B:$B,$A285,'تجربه‌گرها'!$F:$F,S$1)</f>
        <v>0</v>
      </c>
      <c r="T285" s="242">
        <f>COUNTIFS('تجربه‌گرها'!$B:$B,$A285,'تجربه‌گرها'!$F:$F,T$1)</f>
        <v>0</v>
      </c>
      <c r="U285" s="242"/>
      <c r="V285" s="242"/>
      <c r="W285" s="242"/>
      <c r="X285" s="242"/>
      <c r="Y285" s="242"/>
      <c r="Z285" s="242"/>
      <c r="AA285" s="242"/>
      <c r="AB285" s="242"/>
    </row>
    <row r="286" hidden="1">
      <c r="A286" s="244" t="s">
        <v>2343</v>
      </c>
      <c r="B286" s="245" t="str">
        <f>VLOOKUP(A286,'تجربه‌گرها'!B:C,2,FALSE())</f>
        <v>9127646953</v>
      </c>
      <c r="C286" s="242"/>
      <c r="D286" s="242">
        <f t="shared" si="1"/>
        <v>1</v>
      </c>
      <c r="E286" s="242">
        <f>COUNTIFS('تجربه‌گرها'!$B:$B,$A286,'تجربه‌گرها'!$F:$F,E$1)</f>
        <v>0</v>
      </c>
      <c r="F286" s="242">
        <f>COUNTIFS('تجربه‌گرها'!$B:$B,$A286,'تجربه‌گرها'!$F:$F,F$1)</f>
        <v>1</v>
      </c>
      <c r="G286" s="242">
        <f>COUNTIFS('تجربه‌گرها'!$B:$B,$A286,'تجربه‌گرها'!$F:$F,G$1)</f>
        <v>0</v>
      </c>
      <c r="H286" s="242">
        <f>COUNTIFS('تجربه‌گرها'!$B:$B,$A286,'تجربه‌گرها'!$F:$F,H$1)</f>
        <v>0</v>
      </c>
      <c r="I286" s="242">
        <f>COUNTIFS('تجربه‌گرها'!$B:$B,$A286,'تجربه‌گرها'!$F:$F,I$1)</f>
        <v>0</v>
      </c>
      <c r="J286" s="242">
        <f>COUNTIFS('تجربه‌گرها'!$B:$B,$A286,'تجربه‌گرها'!$F:$F,J$1)</f>
        <v>0</v>
      </c>
      <c r="K286" s="242">
        <f>COUNTIFS('تجربه‌گرها'!$B:$B,$A286,'تجربه‌گرها'!$F:$F,K$1)</f>
        <v>0</v>
      </c>
      <c r="L286" s="242">
        <f>COUNTIFS('تجربه‌گرها'!$B:$B,$A286,'تجربه‌گرها'!$F:$F,L$1)</f>
        <v>0</v>
      </c>
      <c r="M286" s="242">
        <f>COUNTIFS('تجربه‌گرها'!$B:$B,$A286,'تجربه‌گرها'!$F:$F,M$1)</f>
        <v>0</v>
      </c>
      <c r="N286" s="242">
        <f>COUNTIFS('تجربه‌گرها'!$B:$B,$A286,'تجربه‌گرها'!$F:$F,N$1)</f>
        <v>0</v>
      </c>
      <c r="O286" s="242">
        <f>COUNTIFS('تجربه‌گرها'!$B:$B,$A286,'تجربه‌گرها'!$F:$F,O$1)</f>
        <v>0</v>
      </c>
      <c r="P286" s="242">
        <f>COUNTIFS('تجربه‌گرها'!$B:$B,$A286,'تجربه‌گرها'!$F:$F,P$1)</f>
        <v>0</v>
      </c>
      <c r="Q286" s="242">
        <f>COUNTIFS('تجربه‌گرها'!$B:$B,$A286,'تجربه‌گرها'!$F:$F,Q$1)</f>
        <v>0</v>
      </c>
      <c r="R286" s="242">
        <f>COUNTIFS('تجربه‌گرها'!$B:$B,$A286,'تجربه‌گرها'!$F:$F,R$1)</f>
        <v>0</v>
      </c>
      <c r="S286" s="242">
        <f>COUNTIFS('تجربه‌گرها'!$B:$B,$A286,'تجربه‌گرها'!$F:$F,S$1)</f>
        <v>0</v>
      </c>
      <c r="T286" s="242">
        <f>COUNTIFS('تجربه‌گرها'!$B:$B,$A286,'تجربه‌گرها'!$F:$F,T$1)</f>
        <v>0</v>
      </c>
      <c r="U286" s="242"/>
      <c r="V286" s="242"/>
      <c r="W286" s="242"/>
      <c r="X286" s="242"/>
      <c r="Y286" s="242"/>
      <c r="Z286" s="242"/>
      <c r="AA286" s="242"/>
      <c r="AB286" s="242"/>
    </row>
    <row r="287" hidden="1">
      <c r="A287" s="244" t="s">
        <v>2349</v>
      </c>
      <c r="B287" s="245" t="str">
        <f>VLOOKUP(A287,'تجربه‌گرها'!B:C,2,FALSE())</f>
        <v>9124582691</v>
      </c>
      <c r="C287" s="242"/>
      <c r="D287" s="242">
        <f t="shared" si="1"/>
        <v>1</v>
      </c>
      <c r="E287" s="242">
        <f>COUNTIFS('تجربه‌گرها'!$B:$B,$A287,'تجربه‌گرها'!$F:$F,E$1)</f>
        <v>0</v>
      </c>
      <c r="F287" s="242">
        <f>COUNTIFS('تجربه‌گرها'!$B:$B,$A287,'تجربه‌گرها'!$F:$F,F$1)</f>
        <v>1</v>
      </c>
      <c r="G287" s="242">
        <f>COUNTIFS('تجربه‌گرها'!$B:$B,$A287,'تجربه‌گرها'!$F:$F,G$1)</f>
        <v>0</v>
      </c>
      <c r="H287" s="242">
        <f>COUNTIFS('تجربه‌گرها'!$B:$B,$A287,'تجربه‌گرها'!$F:$F,H$1)</f>
        <v>0</v>
      </c>
      <c r="I287" s="242">
        <f>COUNTIFS('تجربه‌گرها'!$B:$B,$A287,'تجربه‌گرها'!$F:$F,I$1)</f>
        <v>0</v>
      </c>
      <c r="J287" s="242">
        <f>COUNTIFS('تجربه‌گرها'!$B:$B,$A287,'تجربه‌گرها'!$F:$F,J$1)</f>
        <v>0</v>
      </c>
      <c r="K287" s="242">
        <f>COUNTIFS('تجربه‌گرها'!$B:$B,$A287,'تجربه‌گرها'!$F:$F,K$1)</f>
        <v>0</v>
      </c>
      <c r="L287" s="242">
        <f>COUNTIFS('تجربه‌گرها'!$B:$B,$A287,'تجربه‌گرها'!$F:$F,L$1)</f>
        <v>0</v>
      </c>
      <c r="M287" s="242">
        <f>COUNTIFS('تجربه‌گرها'!$B:$B,$A287,'تجربه‌گرها'!$F:$F,M$1)</f>
        <v>0</v>
      </c>
      <c r="N287" s="242">
        <f>COUNTIFS('تجربه‌گرها'!$B:$B,$A287,'تجربه‌گرها'!$F:$F,N$1)</f>
        <v>0</v>
      </c>
      <c r="O287" s="242">
        <f>COUNTIFS('تجربه‌گرها'!$B:$B,$A287,'تجربه‌گرها'!$F:$F,O$1)</f>
        <v>0</v>
      </c>
      <c r="P287" s="242">
        <f>COUNTIFS('تجربه‌گرها'!$B:$B,$A287,'تجربه‌گرها'!$F:$F,P$1)</f>
        <v>0</v>
      </c>
      <c r="Q287" s="242">
        <f>COUNTIFS('تجربه‌گرها'!$B:$B,$A287,'تجربه‌گرها'!$F:$F,Q$1)</f>
        <v>0</v>
      </c>
      <c r="R287" s="242">
        <f>COUNTIFS('تجربه‌گرها'!$B:$B,$A287,'تجربه‌گرها'!$F:$F,R$1)</f>
        <v>0</v>
      </c>
      <c r="S287" s="242">
        <f>COUNTIFS('تجربه‌گرها'!$B:$B,$A287,'تجربه‌گرها'!$F:$F,S$1)</f>
        <v>0</v>
      </c>
      <c r="T287" s="242">
        <f>COUNTIFS('تجربه‌گرها'!$B:$B,$A287,'تجربه‌گرها'!$F:$F,T$1)</f>
        <v>0</v>
      </c>
      <c r="U287" s="242"/>
      <c r="V287" s="242"/>
      <c r="W287" s="242"/>
      <c r="X287" s="242"/>
      <c r="Y287" s="242"/>
      <c r="Z287" s="242"/>
      <c r="AA287" s="242"/>
      <c r="AB287" s="242"/>
    </row>
    <row r="288" hidden="1">
      <c r="A288" s="244" t="s">
        <v>2354</v>
      </c>
      <c r="B288" s="245" t="str">
        <f>VLOOKUP(A288,'تجربه‌گرها'!B:C,2,FALSE())</f>
        <v/>
      </c>
      <c r="C288" s="242"/>
      <c r="D288" s="242">
        <f t="shared" si="1"/>
        <v>2</v>
      </c>
      <c r="E288" s="242">
        <f>COUNTIFS('تجربه‌گرها'!$B:$B,$A288,'تجربه‌گرها'!$F:$F,E$1)</f>
        <v>0</v>
      </c>
      <c r="F288" s="242">
        <f>COUNTIFS('تجربه‌گرها'!$B:$B,$A288,'تجربه‌گرها'!$F:$F,F$1)</f>
        <v>2</v>
      </c>
      <c r="G288" s="242">
        <f>COUNTIFS('تجربه‌گرها'!$B:$B,$A288,'تجربه‌گرها'!$F:$F,G$1)</f>
        <v>0</v>
      </c>
      <c r="H288" s="242">
        <f>COUNTIFS('تجربه‌گرها'!$B:$B,$A288,'تجربه‌گرها'!$F:$F,H$1)</f>
        <v>0</v>
      </c>
      <c r="I288" s="242">
        <f>COUNTIFS('تجربه‌گرها'!$B:$B,$A288,'تجربه‌گرها'!$F:$F,I$1)</f>
        <v>0</v>
      </c>
      <c r="J288" s="242">
        <f>COUNTIFS('تجربه‌گرها'!$B:$B,$A288,'تجربه‌گرها'!$F:$F,J$1)</f>
        <v>0</v>
      </c>
      <c r="K288" s="242">
        <f>COUNTIFS('تجربه‌گرها'!$B:$B,$A288,'تجربه‌گرها'!$F:$F,K$1)</f>
        <v>0</v>
      </c>
      <c r="L288" s="242">
        <f>COUNTIFS('تجربه‌گرها'!$B:$B,$A288,'تجربه‌گرها'!$F:$F,L$1)</f>
        <v>0</v>
      </c>
      <c r="M288" s="242">
        <f>COUNTIFS('تجربه‌گرها'!$B:$B,$A288,'تجربه‌گرها'!$F:$F,M$1)</f>
        <v>0</v>
      </c>
      <c r="N288" s="242">
        <f>COUNTIFS('تجربه‌گرها'!$B:$B,$A288,'تجربه‌گرها'!$F:$F,N$1)</f>
        <v>0</v>
      </c>
      <c r="O288" s="242">
        <f>COUNTIFS('تجربه‌گرها'!$B:$B,$A288,'تجربه‌گرها'!$F:$F,O$1)</f>
        <v>0</v>
      </c>
      <c r="P288" s="242">
        <f>COUNTIFS('تجربه‌گرها'!$B:$B,$A288,'تجربه‌گرها'!$F:$F,P$1)</f>
        <v>0</v>
      </c>
      <c r="Q288" s="242">
        <f>COUNTIFS('تجربه‌گرها'!$B:$B,$A288,'تجربه‌گرها'!$F:$F,Q$1)</f>
        <v>0</v>
      </c>
      <c r="R288" s="242">
        <f>COUNTIFS('تجربه‌گرها'!$B:$B,$A288,'تجربه‌گرها'!$F:$F,R$1)</f>
        <v>0</v>
      </c>
      <c r="S288" s="242">
        <f>COUNTIFS('تجربه‌گرها'!$B:$B,$A288,'تجربه‌گرها'!$F:$F,S$1)</f>
        <v>0</v>
      </c>
      <c r="T288" s="242">
        <f>COUNTIFS('تجربه‌گرها'!$B:$B,$A288,'تجربه‌گرها'!$F:$F,T$1)</f>
        <v>0</v>
      </c>
      <c r="U288" s="242"/>
      <c r="V288" s="242"/>
      <c r="W288" s="242"/>
      <c r="X288" s="242"/>
      <c r="Y288" s="242"/>
      <c r="Z288" s="242"/>
      <c r="AA288" s="242"/>
      <c r="AB288" s="242"/>
    </row>
    <row r="289" hidden="1">
      <c r="A289" s="244" t="s">
        <v>2357</v>
      </c>
      <c r="B289" s="245" t="str">
        <f>VLOOKUP(A289,'تجربه‌گرها'!B:C,2,FALSE())</f>
        <v>9122102955</v>
      </c>
      <c r="C289" s="242"/>
      <c r="D289" s="242">
        <f t="shared" si="1"/>
        <v>2</v>
      </c>
      <c r="E289" s="242">
        <f>COUNTIFS('تجربه‌گرها'!$B:$B,$A289,'تجربه‌گرها'!$F:$F,E$1)</f>
        <v>0</v>
      </c>
      <c r="F289" s="242">
        <f>COUNTIFS('تجربه‌گرها'!$B:$B,$A289,'تجربه‌گرها'!$F:$F,F$1)</f>
        <v>1</v>
      </c>
      <c r="G289" s="242">
        <f>COUNTIFS('تجربه‌گرها'!$B:$B,$A289,'تجربه‌گرها'!$F:$F,G$1)</f>
        <v>0</v>
      </c>
      <c r="H289" s="242">
        <f>COUNTIFS('تجربه‌گرها'!$B:$B,$A289,'تجربه‌گرها'!$F:$F,H$1)</f>
        <v>0</v>
      </c>
      <c r="I289" s="242">
        <f>COUNTIFS('تجربه‌گرها'!$B:$B,$A289,'تجربه‌گرها'!$F:$F,I$1)</f>
        <v>0</v>
      </c>
      <c r="J289" s="242">
        <f>COUNTIFS('تجربه‌گرها'!$B:$B,$A289,'تجربه‌گرها'!$F:$F,J$1)</f>
        <v>0</v>
      </c>
      <c r="K289" s="242">
        <f>COUNTIFS('تجربه‌گرها'!$B:$B,$A289,'تجربه‌گرها'!$F:$F,K$1)</f>
        <v>0</v>
      </c>
      <c r="L289" s="242">
        <f>COUNTIFS('تجربه‌گرها'!$B:$B,$A289,'تجربه‌گرها'!$F:$F,L$1)</f>
        <v>0</v>
      </c>
      <c r="M289" s="242">
        <f>COUNTIFS('تجربه‌گرها'!$B:$B,$A289,'تجربه‌گرها'!$F:$F,M$1)</f>
        <v>0</v>
      </c>
      <c r="N289" s="242">
        <f>COUNTIFS('تجربه‌گرها'!$B:$B,$A289,'تجربه‌گرها'!$F:$F,N$1)</f>
        <v>0</v>
      </c>
      <c r="O289" s="242">
        <f>COUNTIFS('تجربه‌گرها'!$B:$B,$A289,'تجربه‌گرها'!$F:$F,O$1)</f>
        <v>0</v>
      </c>
      <c r="P289" s="242">
        <f>COUNTIFS('تجربه‌گرها'!$B:$B,$A289,'تجربه‌گرها'!$F:$F,P$1)</f>
        <v>0</v>
      </c>
      <c r="Q289" s="242">
        <f>COUNTIFS('تجربه‌گرها'!$B:$B,$A289,'تجربه‌گرها'!$F:$F,Q$1)</f>
        <v>0</v>
      </c>
      <c r="R289" s="242">
        <f>COUNTIFS('تجربه‌گرها'!$B:$B,$A289,'تجربه‌گرها'!$F:$F,R$1)</f>
        <v>0</v>
      </c>
      <c r="S289" s="242">
        <f>COUNTIFS('تجربه‌گرها'!$B:$B,$A289,'تجربه‌گرها'!$F:$F,S$1)</f>
        <v>0</v>
      </c>
      <c r="T289" s="242">
        <f>COUNTIFS('تجربه‌گرها'!$B:$B,$A289,'تجربه‌گرها'!$F:$F,T$1)</f>
        <v>1</v>
      </c>
      <c r="U289" s="242"/>
      <c r="V289" s="242"/>
      <c r="W289" s="242"/>
      <c r="X289" s="242"/>
      <c r="Y289" s="242"/>
      <c r="Z289" s="242"/>
      <c r="AA289" s="242"/>
      <c r="AB289" s="242"/>
    </row>
    <row r="290" hidden="1">
      <c r="A290" s="244" t="s">
        <v>2361</v>
      </c>
      <c r="B290" s="245" t="str">
        <f>VLOOKUP(A290,'تجربه‌گرها'!B:C,2,FALSE())</f>
        <v>9121473921</v>
      </c>
      <c r="C290" s="242"/>
      <c r="D290" s="242">
        <f t="shared" si="1"/>
        <v>2</v>
      </c>
      <c r="E290" s="242">
        <f>COUNTIFS('تجربه‌گرها'!$B:$B,$A290,'تجربه‌گرها'!$F:$F,E$1)</f>
        <v>0</v>
      </c>
      <c r="F290" s="242">
        <f>COUNTIFS('تجربه‌گرها'!$B:$B,$A290,'تجربه‌گرها'!$F:$F,F$1)</f>
        <v>1</v>
      </c>
      <c r="G290" s="242">
        <f>COUNTIFS('تجربه‌گرها'!$B:$B,$A290,'تجربه‌گرها'!$F:$F,G$1)</f>
        <v>0</v>
      </c>
      <c r="H290" s="242">
        <f>COUNTIFS('تجربه‌گرها'!$B:$B,$A290,'تجربه‌گرها'!$F:$F,H$1)</f>
        <v>0</v>
      </c>
      <c r="I290" s="242">
        <f>COUNTIFS('تجربه‌گرها'!$B:$B,$A290,'تجربه‌گرها'!$F:$F,I$1)</f>
        <v>0</v>
      </c>
      <c r="J290" s="242">
        <f>COUNTIFS('تجربه‌گرها'!$B:$B,$A290,'تجربه‌گرها'!$F:$F,J$1)</f>
        <v>0</v>
      </c>
      <c r="K290" s="242">
        <f>COUNTIFS('تجربه‌گرها'!$B:$B,$A290,'تجربه‌گرها'!$F:$F,K$1)</f>
        <v>0</v>
      </c>
      <c r="L290" s="242">
        <f>COUNTIFS('تجربه‌گرها'!$B:$B,$A290,'تجربه‌گرها'!$F:$F,L$1)</f>
        <v>0</v>
      </c>
      <c r="M290" s="242">
        <f>COUNTIFS('تجربه‌گرها'!$B:$B,$A290,'تجربه‌گرها'!$F:$F,M$1)</f>
        <v>0</v>
      </c>
      <c r="N290" s="242">
        <f>COUNTIFS('تجربه‌گرها'!$B:$B,$A290,'تجربه‌گرها'!$F:$F,N$1)</f>
        <v>0</v>
      </c>
      <c r="O290" s="242">
        <f>COUNTIFS('تجربه‌گرها'!$B:$B,$A290,'تجربه‌گرها'!$F:$F,O$1)</f>
        <v>0</v>
      </c>
      <c r="P290" s="242">
        <f>COUNTIFS('تجربه‌گرها'!$B:$B,$A290,'تجربه‌گرها'!$F:$F,P$1)</f>
        <v>0</v>
      </c>
      <c r="Q290" s="242">
        <f>COUNTIFS('تجربه‌گرها'!$B:$B,$A290,'تجربه‌گرها'!$F:$F,Q$1)</f>
        <v>0</v>
      </c>
      <c r="R290" s="242">
        <f>COUNTIFS('تجربه‌گرها'!$B:$B,$A290,'تجربه‌گرها'!$F:$F,R$1)</f>
        <v>0</v>
      </c>
      <c r="S290" s="242">
        <f>COUNTIFS('تجربه‌گرها'!$B:$B,$A290,'تجربه‌گرها'!$F:$F,S$1)</f>
        <v>0</v>
      </c>
      <c r="T290" s="242">
        <f>COUNTIFS('تجربه‌گرها'!$B:$B,$A290,'تجربه‌گرها'!$F:$F,T$1)</f>
        <v>1</v>
      </c>
      <c r="U290" s="242"/>
      <c r="V290" s="242"/>
      <c r="W290" s="242"/>
      <c r="X290" s="242"/>
      <c r="Y290" s="242"/>
      <c r="Z290" s="242"/>
      <c r="AA290" s="242"/>
      <c r="AB290" s="242"/>
    </row>
    <row r="291">
      <c r="A291" s="244" t="s">
        <v>2366</v>
      </c>
      <c r="B291" s="245" t="str">
        <f>VLOOKUP(A291,'تجربه‌گرها'!B:C,2,FALSE())</f>
        <v>NA</v>
      </c>
      <c r="C291" s="242"/>
      <c r="D291" s="242">
        <f t="shared" si="1"/>
        <v>1</v>
      </c>
      <c r="E291" s="242">
        <f>COUNTIFS('تجربه‌گرها'!$B:$B,$A291,'تجربه‌گرها'!$F:$F,E$1)</f>
        <v>0</v>
      </c>
      <c r="F291" s="242">
        <f>COUNTIFS('تجربه‌گرها'!$B:$B,$A291,'تجربه‌گرها'!$F:$F,F$1)</f>
        <v>1</v>
      </c>
      <c r="G291" s="242">
        <f>COUNTIFS('تجربه‌گرها'!$B:$B,$A291,'تجربه‌گرها'!$F:$F,G$1)</f>
        <v>0</v>
      </c>
      <c r="H291" s="242">
        <f>COUNTIFS('تجربه‌گرها'!$B:$B,$A291,'تجربه‌گرها'!$F:$F,H$1)</f>
        <v>0</v>
      </c>
      <c r="I291" s="242">
        <f>COUNTIFS('تجربه‌گرها'!$B:$B,$A291,'تجربه‌گرها'!$F:$F,I$1)</f>
        <v>0</v>
      </c>
      <c r="J291" s="242">
        <f>COUNTIFS('تجربه‌گرها'!$B:$B,$A291,'تجربه‌گرها'!$F:$F,J$1)</f>
        <v>0</v>
      </c>
      <c r="K291" s="242">
        <f>COUNTIFS('تجربه‌گرها'!$B:$B,$A291,'تجربه‌گرها'!$F:$F,K$1)</f>
        <v>0</v>
      </c>
      <c r="L291" s="242">
        <f>COUNTIFS('تجربه‌گرها'!$B:$B,$A291,'تجربه‌گرها'!$F:$F,L$1)</f>
        <v>0</v>
      </c>
      <c r="M291" s="242">
        <f>COUNTIFS('تجربه‌گرها'!$B:$B,$A291,'تجربه‌گرها'!$F:$F,M$1)</f>
        <v>0</v>
      </c>
      <c r="N291" s="242">
        <f>COUNTIFS('تجربه‌گرها'!$B:$B,$A291,'تجربه‌گرها'!$F:$F,N$1)</f>
        <v>0</v>
      </c>
      <c r="O291" s="242">
        <f>COUNTIFS('تجربه‌گرها'!$B:$B,$A291,'تجربه‌گرها'!$F:$F,O$1)</f>
        <v>0</v>
      </c>
      <c r="P291" s="242">
        <f>COUNTIFS('تجربه‌گرها'!$B:$B,$A291,'تجربه‌گرها'!$F:$F,P$1)</f>
        <v>0</v>
      </c>
      <c r="Q291" s="242">
        <f>COUNTIFS('تجربه‌گرها'!$B:$B,$A291,'تجربه‌گرها'!$F:$F,Q$1)</f>
        <v>0</v>
      </c>
      <c r="R291" s="242">
        <f>COUNTIFS('تجربه‌گرها'!$B:$B,$A291,'تجربه‌گرها'!$F:$F,R$1)</f>
        <v>0</v>
      </c>
      <c r="S291" s="242">
        <f>COUNTIFS('تجربه‌گرها'!$B:$B,$A291,'تجربه‌گرها'!$F:$F,S$1)</f>
        <v>0</v>
      </c>
      <c r="T291" s="242">
        <f>COUNTIFS('تجربه‌گرها'!$B:$B,$A291,'تجربه‌گرها'!$F:$F,T$1)</f>
        <v>0</v>
      </c>
      <c r="U291" s="242"/>
      <c r="V291" s="242"/>
      <c r="W291" s="242"/>
      <c r="X291" s="242"/>
      <c r="Y291" s="242"/>
      <c r="Z291" s="242"/>
      <c r="AA291" s="242"/>
      <c r="AB291" s="242"/>
    </row>
    <row r="292">
      <c r="A292" s="244" t="s">
        <v>2368</v>
      </c>
      <c r="B292" s="245" t="str">
        <f>VLOOKUP(A292,'تجربه‌گرها'!B:C,2,FALSE())</f>
        <v>NA</v>
      </c>
      <c r="C292" s="242"/>
      <c r="D292" s="242">
        <f t="shared" si="1"/>
        <v>1</v>
      </c>
      <c r="E292" s="242">
        <f>COUNTIFS('تجربه‌گرها'!$B:$B,$A292,'تجربه‌گرها'!$F:$F,E$1)</f>
        <v>0</v>
      </c>
      <c r="F292" s="242">
        <f>COUNTIFS('تجربه‌گرها'!$B:$B,$A292,'تجربه‌گرها'!$F:$F,F$1)</f>
        <v>1</v>
      </c>
      <c r="G292" s="242">
        <f>COUNTIFS('تجربه‌گرها'!$B:$B,$A292,'تجربه‌گرها'!$F:$F,G$1)</f>
        <v>0</v>
      </c>
      <c r="H292" s="242">
        <f>COUNTIFS('تجربه‌گرها'!$B:$B,$A292,'تجربه‌گرها'!$F:$F,H$1)</f>
        <v>0</v>
      </c>
      <c r="I292" s="242">
        <f>COUNTIFS('تجربه‌گرها'!$B:$B,$A292,'تجربه‌گرها'!$F:$F,I$1)</f>
        <v>0</v>
      </c>
      <c r="J292" s="242">
        <f>COUNTIFS('تجربه‌گرها'!$B:$B,$A292,'تجربه‌گرها'!$F:$F,J$1)</f>
        <v>0</v>
      </c>
      <c r="K292" s="242">
        <f>COUNTIFS('تجربه‌گرها'!$B:$B,$A292,'تجربه‌گرها'!$F:$F,K$1)</f>
        <v>0</v>
      </c>
      <c r="L292" s="242">
        <f>COUNTIFS('تجربه‌گرها'!$B:$B,$A292,'تجربه‌گرها'!$F:$F,L$1)</f>
        <v>0</v>
      </c>
      <c r="M292" s="242">
        <f>COUNTIFS('تجربه‌گرها'!$B:$B,$A292,'تجربه‌گرها'!$F:$F,M$1)</f>
        <v>0</v>
      </c>
      <c r="N292" s="242">
        <f>COUNTIFS('تجربه‌گرها'!$B:$B,$A292,'تجربه‌گرها'!$F:$F,N$1)</f>
        <v>0</v>
      </c>
      <c r="O292" s="242">
        <f>COUNTIFS('تجربه‌گرها'!$B:$B,$A292,'تجربه‌گرها'!$F:$F,O$1)</f>
        <v>0</v>
      </c>
      <c r="P292" s="242">
        <f>COUNTIFS('تجربه‌گرها'!$B:$B,$A292,'تجربه‌گرها'!$F:$F,P$1)</f>
        <v>0</v>
      </c>
      <c r="Q292" s="242">
        <f>COUNTIFS('تجربه‌گرها'!$B:$B,$A292,'تجربه‌گرها'!$F:$F,Q$1)</f>
        <v>0</v>
      </c>
      <c r="R292" s="242">
        <f>COUNTIFS('تجربه‌گرها'!$B:$B,$A292,'تجربه‌گرها'!$F:$F,R$1)</f>
        <v>0</v>
      </c>
      <c r="S292" s="242">
        <f>COUNTIFS('تجربه‌گرها'!$B:$B,$A292,'تجربه‌گرها'!$F:$F,S$1)</f>
        <v>0</v>
      </c>
      <c r="T292" s="242">
        <f>COUNTIFS('تجربه‌گرها'!$B:$B,$A292,'تجربه‌گرها'!$F:$F,T$1)</f>
        <v>0</v>
      </c>
      <c r="U292" s="242"/>
      <c r="V292" s="242"/>
      <c r="W292" s="242"/>
      <c r="X292" s="242"/>
      <c r="Y292" s="242"/>
      <c r="Z292" s="242"/>
      <c r="AA292" s="242"/>
      <c r="AB292" s="242"/>
    </row>
    <row r="293">
      <c r="A293" s="244" t="s">
        <v>2370</v>
      </c>
      <c r="B293" s="245" t="str">
        <f>VLOOKUP(A293,'تجربه‌گرها'!B:C,2,FALSE())</f>
        <v>9126101060</v>
      </c>
      <c r="C293" s="242"/>
      <c r="D293" s="242">
        <f t="shared" si="1"/>
        <v>1</v>
      </c>
      <c r="E293" s="242">
        <f>COUNTIFS('تجربه‌گرها'!$B:$B,$A293,'تجربه‌گرها'!$F:$F,E$1)</f>
        <v>0</v>
      </c>
      <c r="F293" s="242">
        <f>COUNTIFS('تجربه‌گرها'!$B:$B,$A293,'تجربه‌گرها'!$F:$F,F$1)</f>
        <v>1</v>
      </c>
      <c r="G293" s="242">
        <f>COUNTIFS('تجربه‌گرها'!$B:$B,$A293,'تجربه‌گرها'!$F:$F,G$1)</f>
        <v>0</v>
      </c>
      <c r="H293" s="242">
        <f>COUNTIFS('تجربه‌گرها'!$B:$B,$A293,'تجربه‌گرها'!$F:$F,H$1)</f>
        <v>0</v>
      </c>
      <c r="I293" s="242">
        <f>COUNTIFS('تجربه‌گرها'!$B:$B,$A293,'تجربه‌گرها'!$F:$F,I$1)</f>
        <v>0</v>
      </c>
      <c r="J293" s="242">
        <f>COUNTIFS('تجربه‌گرها'!$B:$B,$A293,'تجربه‌گرها'!$F:$F,J$1)</f>
        <v>0</v>
      </c>
      <c r="K293" s="242">
        <f>COUNTIFS('تجربه‌گرها'!$B:$B,$A293,'تجربه‌گرها'!$F:$F,K$1)</f>
        <v>0</v>
      </c>
      <c r="L293" s="242">
        <f>COUNTIFS('تجربه‌گرها'!$B:$B,$A293,'تجربه‌گرها'!$F:$F,L$1)</f>
        <v>0</v>
      </c>
      <c r="M293" s="242">
        <f>COUNTIFS('تجربه‌گرها'!$B:$B,$A293,'تجربه‌گرها'!$F:$F,M$1)</f>
        <v>0</v>
      </c>
      <c r="N293" s="242">
        <f>COUNTIFS('تجربه‌گرها'!$B:$B,$A293,'تجربه‌گرها'!$F:$F,N$1)</f>
        <v>0</v>
      </c>
      <c r="O293" s="242">
        <f>COUNTIFS('تجربه‌گرها'!$B:$B,$A293,'تجربه‌گرها'!$F:$F,O$1)</f>
        <v>0</v>
      </c>
      <c r="P293" s="242">
        <f>COUNTIFS('تجربه‌گرها'!$B:$B,$A293,'تجربه‌گرها'!$F:$F,P$1)</f>
        <v>0</v>
      </c>
      <c r="Q293" s="242">
        <f>COUNTIFS('تجربه‌گرها'!$B:$B,$A293,'تجربه‌گرها'!$F:$F,Q$1)</f>
        <v>0</v>
      </c>
      <c r="R293" s="242">
        <f>COUNTIFS('تجربه‌گرها'!$B:$B,$A293,'تجربه‌گرها'!$F:$F,R$1)</f>
        <v>0</v>
      </c>
      <c r="S293" s="242">
        <f>COUNTIFS('تجربه‌گرها'!$B:$B,$A293,'تجربه‌گرها'!$F:$F,S$1)</f>
        <v>0</v>
      </c>
      <c r="T293" s="242">
        <f>COUNTIFS('تجربه‌گرها'!$B:$B,$A293,'تجربه‌گرها'!$F:$F,T$1)</f>
        <v>0</v>
      </c>
      <c r="U293" s="242"/>
      <c r="V293" s="242"/>
      <c r="W293" s="242"/>
      <c r="X293" s="242"/>
      <c r="Y293" s="242"/>
      <c r="Z293" s="242"/>
      <c r="AA293" s="242"/>
      <c r="AB293" s="242"/>
    </row>
    <row r="294" hidden="1">
      <c r="A294" s="244" t="s">
        <v>2374</v>
      </c>
      <c r="B294" s="245" t="str">
        <f>VLOOKUP(A294,'تجربه‌گرها'!B:C,2,FALSE())</f>
        <v>9126351076</v>
      </c>
      <c r="C294" s="242"/>
      <c r="D294" s="242">
        <f t="shared" si="1"/>
        <v>1</v>
      </c>
      <c r="E294" s="242">
        <f>COUNTIFS('تجربه‌گرها'!$B:$B,$A294,'تجربه‌گرها'!$F:$F,E$1)</f>
        <v>0</v>
      </c>
      <c r="F294" s="242">
        <f>COUNTIFS('تجربه‌گرها'!$B:$B,$A294,'تجربه‌گرها'!$F:$F,F$1)</f>
        <v>1</v>
      </c>
      <c r="G294" s="242">
        <f>COUNTIFS('تجربه‌گرها'!$B:$B,$A294,'تجربه‌گرها'!$F:$F,G$1)</f>
        <v>0</v>
      </c>
      <c r="H294" s="242">
        <f>COUNTIFS('تجربه‌گرها'!$B:$B,$A294,'تجربه‌گرها'!$F:$F,H$1)</f>
        <v>0</v>
      </c>
      <c r="I294" s="242">
        <f>COUNTIFS('تجربه‌گرها'!$B:$B,$A294,'تجربه‌گرها'!$F:$F,I$1)</f>
        <v>0</v>
      </c>
      <c r="J294" s="242">
        <f>COUNTIFS('تجربه‌گرها'!$B:$B,$A294,'تجربه‌گرها'!$F:$F,J$1)</f>
        <v>0</v>
      </c>
      <c r="K294" s="242">
        <f>COUNTIFS('تجربه‌گرها'!$B:$B,$A294,'تجربه‌گرها'!$F:$F,K$1)</f>
        <v>0</v>
      </c>
      <c r="L294" s="242">
        <f>COUNTIFS('تجربه‌گرها'!$B:$B,$A294,'تجربه‌گرها'!$F:$F,L$1)</f>
        <v>0</v>
      </c>
      <c r="M294" s="242">
        <f>COUNTIFS('تجربه‌گرها'!$B:$B,$A294,'تجربه‌گرها'!$F:$F,M$1)</f>
        <v>0</v>
      </c>
      <c r="N294" s="242">
        <f>COUNTIFS('تجربه‌گرها'!$B:$B,$A294,'تجربه‌گرها'!$F:$F,N$1)</f>
        <v>0</v>
      </c>
      <c r="O294" s="242">
        <f>COUNTIFS('تجربه‌گرها'!$B:$B,$A294,'تجربه‌گرها'!$F:$F,O$1)</f>
        <v>0</v>
      </c>
      <c r="P294" s="242">
        <f>COUNTIFS('تجربه‌گرها'!$B:$B,$A294,'تجربه‌گرها'!$F:$F,P$1)</f>
        <v>0</v>
      </c>
      <c r="Q294" s="242">
        <f>COUNTIFS('تجربه‌گرها'!$B:$B,$A294,'تجربه‌گرها'!$F:$F,Q$1)</f>
        <v>0</v>
      </c>
      <c r="R294" s="242">
        <f>COUNTIFS('تجربه‌گرها'!$B:$B,$A294,'تجربه‌گرها'!$F:$F,R$1)</f>
        <v>0</v>
      </c>
      <c r="S294" s="242">
        <f>COUNTIFS('تجربه‌گرها'!$B:$B,$A294,'تجربه‌گرها'!$F:$F,S$1)</f>
        <v>0</v>
      </c>
      <c r="T294" s="242">
        <f>COUNTIFS('تجربه‌گرها'!$B:$B,$A294,'تجربه‌گرها'!$F:$F,T$1)</f>
        <v>0</v>
      </c>
      <c r="U294" s="242"/>
      <c r="V294" s="242"/>
      <c r="W294" s="242"/>
      <c r="X294" s="242"/>
      <c r="Y294" s="242"/>
      <c r="Z294" s="242"/>
      <c r="AA294" s="242"/>
      <c r="AB294" s="242"/>
    </row>
    <row r="295" hidden="1">
      <c r="A295" s="244" t="s">
        <v>2378</v>
      </c>
      <c r="B295" s="245" t="str">
        <f>VLOOKUP(A295,'تجربه‌گرها'!B:C,2,FALSE())</f>
        <v/>
      </c>
      <c r="C295" s="242"/>
      <c r="D295" s="242">
        <f t="shared" si="1"/>
        <v>1</v>
      </c>
      <c r="E295" s="242">
        <f>COUNTIFS('تجربه‌گرها'!$B:$B,$A295,'تجربه‌گرها'!$F:$F,E$1)</f>
        <v>0</v>
      </c>
      <c r="F295" s="242">
        <f>COUNTIFS('تجربه‌گرها'!$B:$B,$A295,'تجربه‌گرها'!$F:$F,F$1)</f>
        <v>1</v>
      </c>
      <c r="G295" s="242">
        <f>COUNTIFS('تجربه‌گرها'!$B:$B,$A295,'تجربه‌گرها'!$F:$F,G$1)</f>
        <v>0</v>
      </c>
      <c r="H295" s="242">
        <f>COUNTIFS('تجربه‌گرها'!$B:$B,$A295,'تجربه‌گرها'!$F:$F,H$1)</f>
        <v>0</v>
      </c>
      <c r="I295" s="242">
        <f>COUNTIFS('تجربه‌گرها'!$B:$B,$A295,'تجربه‌گرها'!$F:$F,I$1)</f>
        <v>0</v>
      </c>
      <c r="J295" s="242">
        <f>COUNTIFS('تجربه‌گرها'!$B:$B,$A295,'تجربه‌گرها'!$F:$F,J$1)</f>
        <v>0</v>
      </c>
      <c r="K295" s="242">
        <f>COUNTIFS('تجربه‌گرها'!$B:$B,$A295,'تجربه‌گرها'!$F:$F,K$1)</f>
        <v>0</v>
      </c>
      <c r="L295" s="242">
        <f>COUNTIFS('تجربه‌گرها'!$B:$B,$A295,'تجربه‌گرها'!$F:$F,L$1)</f>
        <v>0</v>
      </c>
      <c r="M295" s="242">
        <f>COUNTIFS('تجربه‌گرها'!$B:$B,$A295,'تجربه‌گرها'!$F:$F,M$1)</f>
        <v>0</v>
      </c>
      <c r="N295" s="242">
        <f>COUNTIFS('تجربه‌گرها'!$B:$B,$A295,'تجربه‌گرها'!$F:$F,N$1)</f>
        <v>0</v>
      </c>
      <c r="O295" s="242">
        <f>COUNTIFS('تجربه‌گرها'!$B:$B,$A295,'تجربه‌گرها'!$F:$F,O$1)</f>
        <v>0</v>
      </c>
      <c r="P295" s="242">
        <f>COUNTIFS('تجربه‌گرها'!$B:$B,$A295,'تجربه‌گرها'!$F:$F,P$1)</f>
        <v>0</v>
      </c>
      <c r="Q295" s="242">
        <f>COUNTIFS('تجربه‌گرها'!$B:$B,$A295,'تجربه‌گرها'!$F:$F,Q$1)</f>
        <v>0</v>
      </c>
      <c r="R295" s="242">
        <f>COUNTIFS('تجربه‌گرها'!$B:$B,$A295,'تجربه‌گرها'!$F:$F,R$1)</f>
        <v>0</v>
      </c>
      <c r="S295" s="242">
        <f>COUNTIFS('تجربه‌گرها'!$B:$B,$A295,'تجربه‌گرها'!$F:$F,S$1)</f>
        <v>0</v>
      </c>
      <c r="T295" s="242">
        <f>COUNTIFS('تجربه‌گرها'!$B:$B,$A295,'تجربه‌گرها'!$F:$F,T$1)</f>
        <v>0</v>
      </c>
      <c r="U295" s="242"/>
      <c r="V295" s="242"/>
      <c r="W295" s="242"/>
      <c r="X295" s="242"/>
      <c r="Y295" s="242"/>
      <c r="Z295" s="242"/>
      <c r="AA295" s="242"/>
      <c r="AB295" s="242"/>
    </row>
    <row r="296" hidden="1">
      <c r="A296" s="244" t="s">
        <v>2380</v>
      </c>
      <c r="B296" s="245" t="str">
        <f>VLOOKUP(A296,'تجربه‌گرها'!B:C,2,FALSE())</f>
        <v/>
      </c>
      <c r="C296" s="242"/>
      <c r="D296" s="242">
        <f t="shared" si="1"/>
        <v>1</v>
      </c>
      <c r="E296" s="242">
        <f>COUNTIFS('تجربه‌گرها'!$B:$B,$A296,'تجربه‌گرها'!$F:$F,E$1)</f>
        <v>0</v>
      </c>
      <c r="F296" s="242">
        <f>COUNTIFS('تجربه‌گرها'!$B:$B,$A296,'تجربه‌گرها'!$F:$F,F$1)</f>
        <v>1</v>
      </c>
      <c r="G296" s="242">
        <f>COUNTIFS('تجربه‌گرها'!$B:$B,$A296,'تجربه‌گرها'!$F:$F,G$1)</f>
        <v>0</v>
      </c>
      <c r="H296" s="242">
        <f>COUNTIFS('تجربه‌گرها'!$B:$B,$A296,'تجربه‌گرها'!$F:$F,H$1)</f>
        <v>0</v>
      </c>
      <c r="I296" s="242">
        <f>COUNTIFS('تجربه‌گرها'!$B:$B,$A296,'تجربه‌گرها'!$F:$F,I$1)</f>
        <v>0</v>
      </c>
      <c r="J296" s="242">
        <f>COUNTIFS('تجربه‌گرها'!$B:$B,$A296,'تجربه‌گرها'!$F:$F,J$1)</f>
        <v>0</v>
      </c>
      <c r="K296" s="242">
        <f>COUNTIFS('تجربه‌گرها'!$B:$B,$A296,'تجربه‌گرها'!$F:$F,K$1)</f>
        <v>0</v>
      </c>
      <c r="L296" s="242">
        <f>COUNTIFS('تجربه‌گرها'!$B:$B,$A296,'تجربه‌گرها'!$F:$F,L$1)</f>
        <v>0</v>
      </c>
      <c r="M296" s="242">
        <f>COUNTIFS('تجربه‌گرها'!$B:$B,$A296,'تجربه‌گرها'!$F:$F,M$1)</f>
        <v>0</v>
      </c>
      <c r="N296" s="242">
        <f>COUNTIFS('تجربه‌گرها'!$B:$B,$A296,'تجربه‌گرها'!$F:$F,N$1)</f>
        <v>0</v>
      </c>
      <c r="O296" s="242">
        <f>COUNTIFS('تجربه‌گرها'!$B:$B,$A296,'تجربه‌گرها'!$F:$F,O$1)</f>
        <v>0</v>
      </c>
      <c r="P296" s="242">
        <f>COUNTIFS('تجربه‌گرها'!$B:$B,$A296,'تجربه‌گرها'!$F:$F,P$1)</f>
        <v>0</v>
      </c>
      <c r="Q296" s="242">
        <f>COUNTIFS('تجربه‌گرها'!$B:$B,$A296,'تجربه‌گرها'!$F:$F,Q$1)</f>
        <v>0</v>
      </c>
      <c r="R296" s="242">
        <f>COUNTIFS('تجربه‌گرها'!$B:$B,$A296,'تجربه‌گرها'!$F:$F,R$1)</f>
        <v>0</v>
      </c>
      <c r="S296" s="242">
        <f>COUNTIFS('تجربه‌گرها'!$B:$B,$A296,'تجربه‌گرها'!$F:$F,S$1)</f>
        <v>0</v>
      </c>
      <c r="T296" s="242">
        <f>COUNTIFS('تجربه‌گرها'!$B:$B,$A296,'تجربه‌گرها'!$F:$F,T$1)</f>
        <v>0</v>
      </c>
      <c r="U296" s="242"/>
      <c r="V296" s="242"/>
      <c r="W296" s="242"/>
      <c r="X296" s="242"/>
      <c r="Y296" s="242"/>
      <c r="Z296" s="242"/>
      <c r="AA296" s="242"/>
      <c r="AB296" s="242"/>
    </row>
    <row r="297" hidden="1">
      <c r="A297" s="244" t="s">
        <v>2382</v>
      </c>
      <c r="B297" s="245" t="str">
        <f>VLOOKUP(A297,'تجربه‌گرها'!B:C,2,FALSE())</f>
        <v>9354200350</v>
      </c>
      <c r="C297" s="242"/>
      <c r="D297" s="242">
        <f t="shared" si="1"/>
        <v>1</v>
      </c>
      <c r="E297" s="242">
        <f>COUNTIFS('تجربه‌گرها'!$B:$B,$A297,'تجربه‌گرها'!$F:$F,E$1)</f>
        <v>0</v>
      </c>
      <c r="F297" s="242">
        <f>COUNTIFS('تجربه‌گرها'!$B:$B,$A297,'تجربه‌گرها'!$F:$F,F$1)</f>
        <v>1</v>
      </c>
      <c r="G297" s="242">
        <f>COUNTIFS('تجربه‌گرها'!$B:$B,$A297,'تجربه‌گرها'!$F:$F,G$1)</f>
        <v>0</v>
      </c>
      <c r="H297" s="242">
        <f>COUNTIFS('تجربه‌گرها'!$B:$B,$A297,'تجربه‌گرها'!$F:$F,H$1)</f>
        <v>0</v>
      </c>
      <c r="I297" s="242">
        <f>COUNTIFS('تجربه‌گرها'!$B:$B,$A297,'تجربه‌گرها'!$F:$F,I$1)</f>
        <v>0</v>
      </c>
      <c r="J297" s="242">
        <f>COUNTIFS('تجربه‌گرها'!$B:$B,$A297,'تجربه‌گرها'!$F:$F,J$1)</f>
        <v>0</v>
      </c>
      <c r="K297" s="242">
        <f>COUNTIFS('تجربه‌گرها'!$B:$B,$A297,'تجربه‌گرها'!$F:$F,K$1)</f>
        <v>0</v>
      </c>
      <c r="L297" s="242">
        <f>COUNTIFS('تجربه‌گرها'!$B:$B,$A297,'تجربه‌گرها'!$F:$F,L$1)</f>
        <v>0</v>
      </c>
      <c r="M297" s="242">
        <f>COUNTIFS('تجربه‌گرها'!$B:$B,$A297,'تجربه‌گرها'!$F:$F,M$1)</f>
        <v>0</v>
      </c>
      <c r="N297" s="242">
        <f>COUNTIFS('تجربه‌گرها'!$B:$B,$A297,'تجربه‌گرها'!$F:$F,N$1)</f>
        <v>0</v>
      </c>
      <c r="O297" s="242">
        <f>COUNTIFS('تجربه‌گرها'!$B:$B,$A297,'تجربه‌گرها'!$F:$F,O$1)</f>
        <v>0</v>
      </c>
      <c r="P297" s="242">
        <f>COUNTIFS('تجربه‌گرها'!$B:$B,$A297,'تجربه‌گرها'!$F:$F,P$1)</f>
        <v>0</v>
      </c>
      <c r="Q297" s="242">
        <f>COUNTIFS('تجربه‌گرها'!$B:$B,$A297,'تجربه‌گرها'!$F:$F,Q$1)</f>
        <v>0</v>
      </c>
      <c r="R297" s="242">
        <f>COUNTIFS('تجربه‌گرها'!$B:$B,$A297,'تجربه‌گرها'!$F:$F,R$1)</f>
        <v>0</v>
      </c>
      <c r="S297" s="242">
        <f>COUNTIFS('تجربه‌گرها'!$B:$B,$A297,'تجربه‌گرها'!$F:$F,S$1)</f>
        <v>0</v>
      </c>
      <c r="T297" s="242">
        <f>COUNTIFS('تجربه‌گرها'!$B:$B,$A297,'تجربه‌گرها'!$F:$F,T$1)</f>
        <v>0</v>
      </c>
      <c r="U297" s="242"/>
      <c r="V297" s="242"/>
      <c r="W297" s="242"/>
      <c r="X297" s="242"/>
      <c r="Y297" s="242"/>
      <c r="Z297" s="242"/>
      <c r="AA297" s="242"/>
      <c r="AB297" s="242"/>
    </row>
    <row r="298" hidden="1">
      <c r="A298" s="244" t="s">
        <v>2387</v>
      </c>
      <c r="B298" s="245" t="str">
        <f>VLOOKUP(A298,'تجربه‌گرها'!B:C,2,FALSE())</f>
        <v>9122613400</v>
      </c>
      <c r="C298" s="242"/>
      <c r="D298" s="242">
        <f t="shared" si="1"/>
        <v>1</v>
      </c>
      <c r="E298" s="242">
        <f>COUNTIFS('تجربه‌گرها'!$B:$B,$A298,'تجربه‌گرها'!$F:$F,E$1)</f>
        <v>0</v>
      </c>
      <c r="F298" s="242">
        <f>COUNTIFS('تجربه‌گرها'!$B:$B,$A298,'تجربه‌گرها'!$F:$F,F$1)</f>
        <v>1</v>
      </c>
      <c r="G298" s="242">
        <f>COUNTIFS('تجربه‌گرها'!$B:$B,$A298,'تجربه‌گرها'!$F:$F,G$1)</f>
        <v>0</v>
      </c>
      <c r="H298" s="242">
        <f>COUNTIFS('تجربه‌گرها'!$B:$B,$A298,'تجربه‌گرها'!$F:$F,H$1)</f>
        <v>0</v>
      </c>
      <c r="I298" s="242">
        <f>COUNTIFS('تجربه‌گرها'!$B:$B,$A298,'تجربه‌گرها'!$F:$F,I$1)</f>
        <v>0</v>
      </c>
      <c r="J298" s="242">
        <f>COUNTIFS('تجربه‌گرها'!$B:$B,$A298,'تجربه‌گرها'!$F:$F,J$1)</f>
        <v>0</v>
      </c>
      <c r="K298" s="242">
        <f>COUNTIFS('تجربه‌گرها'!$B:$B,$A298,'تجربه‌گرها'!$F:$F,K$1)</f>
        <v>0</v>
      </c>
      <c r="L298" s="242">
        <f>COUNTIFS('تجربه‌گرها'!$B:$B,$A298,'تجربه‌گرها'!$F:$F,L$1)</f>
        <v>0</v>
      </c>
      <c r="M298" s="242">
        <f>COUNTIFS('تجربه‌گرها'!$B:$B,$A298,'تجربه‌گرها'!$F:$F,M$1)</f>
        <v>0</v>
      </c>
      <c r="N298" s="242">
        <f>COUNTIFS('تجربه‌گرها'!$B:$B,$A298,'تجربه‌گرها'!$F:$F,N$1)</f>
        <v>0</v>
      </c>
      <c r="O298" s="242">
        <f>COUNTIFS('تجربه‌گرها'!$B:$B,$A298,'تجربه‌گرها'!$F:$F,O$1)</f>
        <v>0</v>
      </c>
      <c r="P298" s="242">
        <f>COUNTIFS('تجربه‌گرها'!$B:$B,$A298,'تجربه‌گرها'!$F:$F,P$1)</f>
        <v>0</v>
      </c>
      <c r="Q298" s="242">
        <f>COUNTIFS('تجربه‌گرها'!$B:$B,$A298,'تجربه‌گرها'!$F:$F,Q$1)</f>
        <v>0</v>
      </c>
      <c r="R298" s="242">
        <f>COUNTIFS('تجربه‌گرها'!$B:$B,$A298,'تجربه‌گرها'!$F:$F,R$1)</f>
        <v>0</v>
      </c>
      <c r="S298" s="242">
        <f>COUNTIFS('تجربه‌گرها'!$B:$B,$A298,'تجربه‌گرها'!$F:$F,S$1)</f>
        <v>0</v>
      </c>
      <c r="T298" s="242">
        <f>COUNTIFS('تجربه‌گرها'!$B:$B,$A298,'تجربه‌گرها'!$F:$F,T$1)</f>
        <v>0</v>
      </c>
      <c r="U298" s="242"/>
      <c r="V298" s="242"/>
      <c r="W298" s="242"/>
      <c r="X298" s="242"/>
      <c r="Y298" s="242"/>
      <c r="Z298" s="242"/>
      <c r="AA298" s="242"/>
      <c r="AB298" s="242"/>
    </row>
    <row r="299" hidden="1">
      <c r="A299" s="244" t="s">
        <v>2391</v>
      </c>
      <c r="B299" s="245" t="str">
        <f>VLOOKUP(A299,'تجربه‌گرها'!B:C,2,FALSE())</f>
        <v>9122834309</v>
      </c>
      <c r="C299" s="242"/>
      <c r="D299" s="242">
        <f t="shared" si="1"/>
        <v>1</v>
      </c>
      <c r="E299" s="242">
        <f>COUNTIFS('تجربه‌گرها'!$B:$B,$A299,'تجربه‌گرها'!$F:$F,E$1)</f>
        <v>0</v>
      </c>
      <c r="F299" s="242">
        <f>COUNTIFS('تجربه‌گرها'!$B:$B,$A299,'تجربه‌گرها'!$F:$F,F$1)</f>
        <v>1</v>
      </c>
      <c r="G299" s="242">
        <f>COUNTIFS('تجربه‌گرها'!$B:$B,$A299,'تجربه‌گرها'!$F:$F,G$1)</f>
        <v>0</v>
      </c>
      <c r="H299" s="242">
        <f>COUNTIFS('تجربه‌گرها'!$B:$B,$A299,'تجربه‌گرها'!$F:$F,H$1)</f>
        <v>0</v>
      </c>
      <c r="I299" s="242">
        <f>COUNTIFS('تجربه‌گرها'!$B:$B,$A299,'تجربه‌گرها'!$F:$F,I$1)</f>
        <v>0</v>
      </c>
      <c r="J299" s="242">
        <f>COUNTIFS('تجربه‌گرها'!$B:$B,$A299,'تجربه‌گرها'!$F:$F,J$1)</f>
        <v>0</v>
      </c>
      <c r="K299" s="242">
        <f>COUNTIFS('تجربه‌گرها'!$B:$B,$A299,'تجربه‌گرها'!$F:$F,K$1)</f>
        <v>0</v>
      </c>
      <c r="L299" s="242">
        <f>COUNTIFS('تجربه‌گرها'!$B:$B,$A299,'تجربه‌گرها'!$F:$F,L$1)</f>
        <v>0</v>
      </c>
      <c r="M299" s="242">
        <f>COUNTIFS('تجربه‌گرها'!$B:$B,$A299,'تجربه‌گرها'!$F:$F,M$1)</f>
        <v>0</v>
      </c>
      <c r="N299" s="242">
        <f>COUNTIFS('تجربه‌گرها'!$B:$B,$A299,'تجربه‌گرها'!$F:$F,N$1)</f>
        <v>0</v>
      </c>
      <c r="O299" s="242">
        <f>COUNTIFS('تجربه‌گرها'!$B:$B,$A299,'تجربه‌گرها'!$F:$F,O$1)</f>
        <v>0</v>
      </c>
      <c r="P299" s="242">
        <f>COUNTIFS('تجربه‌گرها'!$B:$B,$A299,'تجربه‌گرها'!$F:$F,P$1)</f>
        <v>0</v>
      </c>
      <c r="Q299" s="242">
        <f>COUNTIFS('تجربه‌گرها'!$B:$B,$A299,'تجربه‌گرها'!$F:$F,Q$1)</f>
        <v>0</v>
      </c>
      <c r="R299" s="242">
        <f>COUNTIFS('تجربه‌گرها'!$B:$B,$A299,'تجربه‌گرها'!$F:$F,R$1)</f>
        <v>0</v>
      </c>
      <c r="S299" s="242">
        <f>COUNTIFS('تجربه‌گرها'!$B:$B,$A299,'تجربه‌گرها'!$F:$F,S$1)</f>
        <v>0</v>
      </c>
      <c r="T299" s="242">
        <f>COUNTIFS('تجربه‌گرها'!$B:$B,$A299,'تجربه‌گرها'!$F:$F,T$1)</f>
        <v>0</v>
      </c>
      <c r="U299" s="242"/>
      <c r="V299" s="242"/>
      <c r="W299" s="242"/>
      <c r="X299" s="242"/>
      <c r="Y299" s="242"/>
      <c r="Z299" s="242"/>
      <c r="AA299" s="242"/>
      <c r="AB299" s="242"/>
    </row>
    <row r="300" hidden="1">
      <c r="A300" s="244" t="s">
        <v>2395</v>
      </c>
      <c r="B300" s="245" t="str">
        <f>VLOOKUP(A300,'تجربه‌گرها'!B:C,2,FALSE())</f>
        <v>NA</v>
      </c>
      <c r="C300" s="242"/>
      <c r="D300" s="242">
        <f t="shared" si="1"/>
        <v>1</v>
      </c>
      <c r="E300" s="242">
        <f>COUNTIFS('تجربه‌گرها'!$B:$B,$A300,'تجربه‌گرها'!$F:$F,E$1)</f>
        <v>0</v>
      </c>
      <c r="F300" s="242">
        <f>COUNTIFS('تجربه‌گرها'!$B:$B,$A300,'تجربه‌گرها'!$F:$F,F$1)</f>
        <v>1</v>
      </c>
      <c r="G300" s="242">
        <f>COUNTIFS('تجربه‌گرها'!$B:$B,$A300,'تجربه‌گرها'!$F:$F,G$1)</f>
        <v>0</v>
      </c>
      <c r="H300" s="242">
        <f>COUNTIFS('تجربه‌گرها'!$B:$B,$A300,'تجربه‌گرها'!$F:$F,H$1)</f>
        <v>0</v>
      </c>
      <c r="I300" s="242">
        <f>COUNTIFS('تجربه‌گرها'!$B:$B,$A300,'تجربه‌گرها'!$F:$F,I$1)</f>
        <v>0</v>
      </c>
      <c r="J300" s="242">
        <f>COUNTIFS('تجربه‌گرها'!$B:$B,$A300,'تجربه‌گرها'!$F:$F,J$1)</f>
        <v>0</v>
      </c>
      <c r="K300" s="242">
        <f>COUNTIFS('تجربه‌گرها'!$B:$B,$A300,'تجربه‌گرها'!$F:$F,K$1)</f>
        <v>0</v>
      </c>
      <c r="L300" s="242">
        <f>COUNTIFS('تجربه‌گرها'!$B:$B,$A300,'تجربه‌گرها'!$F:$F,L$1)</f>
        <v>0</v>
      </c>
      <c r="M300" s="242">
        <f>COUNTIFS('تجربه‌گرها'!$B:$B,$A300,'تجربه‌گرها'!$F:$F,M$1)</f>
        <v>0</v>
      </c>
      <c r="N300" s="242">
        <f>COUNTIFS('تجربه‌گرها'!$B:$B,$A300,'تجربه‌گرها'!$F:$F,N$1)</f>
        <v>0</v>
      </c>
      <c r="O300" s="242">
        <f>COUNTIFS('تجربه‌گرها'!$B:$B,$A300,'تجربه‌گرها'!$F:$F,O$1)</f>
        <v>0</v>
      </c>
      <c r="P300" s="242">
        <f>COUNTIFS('تجربه‌گرها'!$B:$B,$A300,'تجربه‌گرها'!$F:$F,P$1)</f>
        <v>0</v>
      </c>
      <c r="Q300" s="242">
        <f>COUNTIFS('تجربه‌گرها'!$B:$B,$A300,'تجربه‌گرها'!$F:$F,Q$1)</f>
        <v>0</v>
      </c>
      <c r="R300" s="242">
        <f>COUNTIFS('تجربه‌گرها'!$B:$B,$A300,'تجربه‌گرها'!$F:$F,R$1)</f>
        <v>0</v>
      </c>
      <c r="S300" s="242">
        <f>COUNTIFS('تجربه‌گرها'!$B:$B,$A300,'تجربه‌گرها'!$F:$F,S$1)</f>
        <v>0</v>
      </c>
      <c r="T300" s="242">
        <f>COUNTIFS('تجربه‌گرها'!$B:$B,$A300,'تجربه‌گرها'!$F:$F,T$1)</f>
        <v>0</v>
      </c>
      <c r="U300" s="242"/>
      <c r="V300" s="242"/>
      <c r="W300" s="242"/>
      <c r="X300" s="242"/>
      <c r="Y300" s="242"/>
      <c r="Z300" s="242"/>
      <c r="AA300" s="242"/>
      <c r="AB300" s="242"/>
    </row>
    <row r="301" hidden="1">
      <c r="A301" s="244" t="s">
        <v>2398</v>
      </c>
      <c r="B301" s="245" t="str">
        <f>VLOOKUP(A301,'تجربه‌گرها'!B:C,2,FALSE())</f>
        <v>9128300124</v>
      </c>
      <c r="C301" s="242"/>
      <c r="D301" s="242">
        <f t="shared" si="1"/>
        <v>1</v>
      </c>
      <c r="E301" s="242">
        <f>COUNTIFS('تجربه‌گرها'!$B:$B,$A301,'تجربه‌گرها'!$F:$F,E$1)</f>
        <v>0</v>
      </c>
      <c r="F301" s="242">
        <f>COUNTIFS('تجربه‌گرها'!$B:$B,$A301,'تجربه‌گرها'!$F:$F,F$1)</f>
        <v>1</v>
      </c>
      <c r="G301" s="242">
        <f>COUNTIFS('تجربه‌گرها'!$B:$B,$A301,'تجربه‌گرها'!$F:$F,G$1)</f>
        <v>0</v>
      </c>
      <c r="H301" s="242">
        <f>COUNTIFS('تجربه‌گرها'!$B:$B,$A301,'تجربه‌گرها'!$F:$F,H$1)</f>
        <v>0</v>
      </c>
      <c r="I301" s="242">
        <f>COUNTIFS('تجربه‌گرها'!$B:$B,$A301,'تجربه‌گرها'!$F:$F,I$1)</f>
        <v>0</v>
      </c>
      <c r="J301" s="242">
        <f>COUNTIFS('تجربه‌گرها'!$B:$B,$A301,'تجربه‌گرها'!$F:$F,J$1)</f>
        <v>0</v>
      </c>
      <c r="K301" s="242">
        <f>COUNTIFS('تجربه‌گرها'!$B:$B,$A301,'تجربه‌گرها'!$F:$F,K$1)</f>
        <v>0</v>
      </c>
      <c r="L301" s="242">
        <f>COUNTIFS('تجربه‌گرها'!$B:$B,$A301,'تجربه‌گرها'!$F:$F,L$1)</f>
        <v>0</v>
      </c>
      <c r="M301" s="242">
        <f>COUNTIFS('تجربه‌گرها'!$B:$B,$A301,'تجربه‌گرها'!$F:$F,M$1)</f>
        <v>0</v>
      </c>
      <c r="N301" s="242">
        <f>COUNTIFS('تجربه‌گرها'!$B:$B,$A301,'تجربه‌گرها'!$F:$F,N$1)</f>
        <v>0</v>
      </c>
      <c r="O301" s="242">
        <f>COUNTIFS('تجربه‌گرها'!$B:$B,$A301,'تجربه‌گرها'!$F:$F,O$1)</f>
        <v>0</v>
      </c>
      <c r="P301" s="242">
        <f>COUNTIFS('تجربه‌گرها'!$B:$B,$A301,'تجربه‌گرها'!$F:$F,P$1)</f>
        <v>0</v>
      </c>
      <c r="Q301" s="242">
        <f>COUNTIFS('تجربه‌گرها'!$B:$B,$A301,'تجربه‌گرها'!$F:$F,Q$1)</f>
        <v>0</v>
      </c>
      <c r="R301" s="242">
        <f>COUNTIFS('تجربه‌گرها'!$B:$B,$A301,'تجربه‌گرها'!$F:$F,R$1)</f>
        <v>0</v>
      </c>
      <c r="S301" s="242">
        <f>COUNTIFS('تجربه‌گرها'!$B:$B,$A301,'تجربه‌گرها'!$F:$F,S$1)</f>
        <v>0</v>
      </c>
      <c r="T301" s="242">
        <f>COUNTIFS('تجربه‌گرها'!$B:$B,$A301,'تجربه‌گرها'!$F:$F,T$1)</f>
        <v>0</v>
      </c>
      <c r="U301" s="242"/>
      <c r="V301" s="242"/>
      <c r="W301" s="242"/>
      <c r="X301" s="242"/>
      <c r="Y301" s="242"/>
      <c r="Z301" s="242"/>
      <c r="AA301" s="242"/>
      <c r="AB301" s="242"/>
    </row>
    <row r="302" hidden="1">
      <c r="A302" s="244" t="s">
        <v>2401</v>
      </c>
      <c r="B302" s="245" t="str">
        <f>VLOOKUP(A302,'تجربه‌گرها'!B:C,2,FALSE())</f>
        <v/>
      </c>
      <c r="C302" s="242"/>
      <c r="D302" s="242">
        <f t="shared" si="1"/>
        <v>1</v>
      </c>
      <c r="E302" s="242">
        <f>COUNTIFS('تجربه‌گرها'!$B:$B,$A302,'تجربه‌گرها'!$F:$F,E$1)</f>
        <v>0</v>
      </c>
      <c r="F302" s="242">
        <f>COUNTIFS('تجربه‌گرها'!$B:$B,$A302,'تجربه‌گرها'!$F:$F,F$1)</f>
        <v>1</v>
      </c>
      <c r="G302" s="242">
        <f>COUNTIFS('تجربه‌گرها'!$B:$B,$A302,'تجربه‌گرها'!$F:$F,G$1)</f>
        <v>0</v>
      </c>
      <c r="H302" s="242">
        <f>COUNTIFS('تجربه‌گرها'!$B:$B,$A302,'تجربه‌گرها'!$F:$F,H$1)</f>
        <v>0</v>
      </c>
      <c r="I302" s="242">
        <f>COUNTIFS('تجربه‌گرها'!$B:$B,$A302,'تجربه‌گرها'!$F:$F,I$1)</f>
        <v>0</v>
      </c>
      <c r="J302" s="242">
        <f>COUNTIFS('تجربه‌گرها'!$B:$B,$A302,'تجربه‌گرها'!$F:$F,J$1)</f>
        <v>0</v>
      </c>
      <c r="K302" s="242">
        <f>COUNTIFS('تجربه‌گرها'!$B:$B,$A302,'تجربه‌گرها'!$F:$F,K$1)</f>
        <v>0</v>
      </c>
      <c r="L302" s="242">
        <f>COUNTIFS('تجربه‌گرها'!$B:$B,$A302,'تجربه‌گرها'!$F:$F,L$1)</f>
        <v>0</v>
      </c>
      <c r="M302" s="242">
        <f>COUNTIFS('تجربه‌گرها'!$B:$B,$A302,'تجربه‌گرها'!$F:$F,M$1)</f>
        <v>0</v>
      </c>
      <c r="N302" s="242">
        <f>COUNTIFS('تجربه‌گرها'!$B:$B,$A302,'تجربه‌گرها'!$F:$F,N$1)</f>
        <v>0</v>
      </c>
      <c r="O302" s="242">
        <f>COUNTIFS('تجربه‌گرها'!$B:$B,$A302,'تجربه‌گرها'!$F:$F,O$1)</f>
        <v>0</v>
      </c>
      <c r="P302" s="242">
        <f>COUNTIFS('تجربه‌گرها'!$B:$B,$A302,'تجربه‌گرها'!$F:$F,P$1)</f>
        <v>0</v>
      </c>
      <c r="Q302" s="242">
        <f>COUNTIFS('تجربه‌گرها'!$B:$B,$A302,'تجربه‌گرها'!$F:$F,Q$1)</f>
        <v>0</v>
      </c>
      <c r="R302" s="242">
        <f>COUNTIFS('تجربه‌گرها'!$B:$B,$A302,'تجربه‌گرها'!$F:$F,R$1)</f>
        <v>0</v>
      </c>
      <c r="S302" s="242">
        <f>COUNTIFS('تجربه‌گرها'!$B:$B,$A302,'تجربه‌گرها'!$F:$F,S$1)</f>
        <v>0</v>
      </c>
      <c r="T302" s="242">
        <f>COUNTIFS('تجربه‌گرها'!$B:$B,$A302,'تجربه‌گرها'!$F:$F,T$1)</f>
        <v>0</v>
      </c>
      <c r="U302" s="242"/>
      <c r="V302" s="242"/>
      <c r="W302" s="242"/>
      <c r="X302" s="242"/>
      <c r="Y302" s="242"/>
      <c r="Z302" s="242"/>
      <c r="AA302" s="242"/>
      <c r="AB302" s="242"/>
    </row>
    <row r="303" hidden="1">
      <c r="A303" s="244" t="s">
        <v>2403</v>
      </c>
      <c r="B303" s="245" t="str">
        <f>VLOOKUP(A303,'تجربه‌گرها'!B:C,2,FALSE())</f>
        <v>9121168744</v>
      </c>
      <c r="C303" s="242"/>
      <c r="D303" s="242">
        <f t="shared" si="1"/>
        <v>1</v>
      </c>
      <c r="E303" s="242">
        <f>COUNTIFS('تجربه‌گرها'!$B:$B,$A303,'تجربه‌گرها'!$F:$F,E$1)</f>
        <v>0</v>
      </c>
      <c r="F303" s="242">
        <f>COUNTIFS('تجربه‌گرها'!$B:$B,$A303,'تجربه‌گرها'!$F:$F,F$1)</f>
        <v>1</v>
      </c>
      <c r="G303" s="242">
        <f>COUNTIFS('تجربه‌گرها'!$B:$B,$A303,'تجربه‌گرها'!$F:$F,G$1)</f>
        <v>0</v>
      </c>
      <c r="H303" s="242">
        <f>COUNTIFS('تجربه‌گرها'!$B:$B,$A303,'تجربه‌گرها'!$F:$F,H$1)</f>
        <v>0</v>
      </c>
      <c r="I303" s="242">
        <f>COUNTIFS('تجربه‌گرها'!$B:$B,$A303,'تجربه‌گرها'!$F:$F,I$1)</f>
        <v>0</v>
      </c>
      <c r="J303" s="242">
        <f>COUNTIFS('تجربه‌گرها'!$B:$B,$A303,'تجربه‌گرها'!$F:$F,J$1)</f>
        <v>0</v>
      </c>
      <c r="K303" s="242">
        <f>COUNTIFS('تجربه‌گرها'!$B:$B,$A303,'تجربه‌گرها'!$F:$F,K$1)</f>
        <v>0</v>
      </c>
      <c r="L303" s="242">
        <f>COUNTIFS('تجربه‌گرها'!$B:$B,$A303,'تجربه‌گرها'!$F:$F,L$1)</f>
        <v>0</v>
      </c>
      <c r="M303" s="242">
        <f>COUNTIFS('تجربه‌گرها'!$B:$B,$A303,'تجربه‌گرها'!$F:$F,M$1)</f>
        <v>0</v>
      </c>
      <c r="N303" s="242">
        <f>COUNTIFS('تجربه‌گرها'!$B:$B,$A303,'تجربه‌گرها'!$F:$F,N$1)</f>
        <v>0</v>
      </c>
      <c r="O303" s="242">
        <f>COUNTIFS('تجربه‌گرها'!$B:$B,$A303,'تجربه‌گرها'!$F:$F,O$1)</f>
        <v>0</v>
      </c>
      <c r="P303" s="242">
        <f>COUNTIFS('تجربه‌گرها'!$B:$B,$A303,'تجربه‌گرها'!$F:$F,P$1)</f>
        <v>0</v>
      </c>
      <c r="Q303" s="242">
        <f>COUNTIFS('تجربه‌گرها'!$B:$B,$A303,'تجربه‌گرها'!$F:$F,Q$1)</f>
        <v>0</v>
      </c>
      <c r="R303" s="242">
        <f>COUNTIFS('تجربه‌گرها'!$B:$B,$A303,'تجربه‌گرها'!$F:$F,R$1)</f>
        <v>0</v>
      </c>
      <c r="S303" s="242">
        <f>COUNTIFS('تجربه‌گرها'!$B:$B,$A303,'تجربه‌گرها'!$F:$F,S$1)</f>
        <v>0</v>
      </c>
      <c r="T303" s="242">
        <f>COUNTIFS('تجربه‌گرها'!$B:$B,$A303,'تجربه‌گرها'!$F:$F,T$1)</f>
        <v>0</v>
      </c>
      <c r="U303" s="242"/>
      <c r="V303" s="242"/>
      <c r="W303" s="242"/>
      <c r="X303" s="242"/>
      <c r="Y303" s="242"/>
      <c r="Z303" s="242"/>
      <c r="AA303" s="242"/>
      <c r="AB303" s="242"/>
    </row>
    <row r="304" hidden="1">
      <c r="A304" s="244" t="s">
        <v>2409</v>
      </c>
      <c r="B304" s="245" t="str">
        <f>VLOOKUP(A304,'تجربه‌گرها'!B:C,2,FALSE())</f>
        <v>9124943107</v>
      </c>
      <c r="C304" s="242"/>
      <c r="D304" s="242">
        <f t="shared" si="1"/>
        <v>1</v>
      </c>
      <c r="E304" s="242">
        <f>COUNTIFS('تجربه‌گرها'!$B:$B,$A304,'تجربه‌گرها'!$F:$F,E$1)</f>
        <v>0</v>
      </c>
      <c r="F304" s="242">
        <f>COUNTIFS('تجربه‌گرها'!$B:$B,$A304,'تجربه‌گرها'!$F:$F,F$1)</f>
        <v>1</v>
      </c>
      <c r="G304" s="242">
        <f>COUNTIFS('تجربه‌گرها'!$B:$B,$A304,'تجربه‌گرها'!$F:$F,G$1)</f>
        <v>0</v>
      </c>
      <c r="H304" s="242">
        <f>COUNTIFS('تجربه‌گرها'!$B:$B,$A304,'تجربه‌گرها'!$F:$F,H$1)</f>
        <v>0</v>
      </c>
      <c r="I304" s="242">
        <f>COUNTIFS('تجربه‌گرها'!$B:$B,$A304,'تجربه‌گرها'!$F:$F,I$1)</f>
        <v>0</v>
      </c>
      <c r="J304" s="242">
        <f>COUNTIFS('تجربه‌گرها'!$B:$B,$A304,'تجربه‌گرها'!$F:$F,J$1)</f>
        <v>0</v>
      </c>
      <c r="K304" s="242">
        <f>COUNTIFS('تجربه‌گرها'!$B:$B,$A304,'تجربه‌گرها'!$F:$F,K$1)</f>
        <v>0</v>
      </c>
      <c r="L304" s="242">
        <f>COUNTIFS('تجربه‌گرها'!$B:$B,$A304,'تجربه‌گرها'!$F:$F,L$1)</f>
        <v>0</v>
      </c>
      <c r="M304" s="242">
        <f>COUNTIFS('تجربه‌گرها'!$B:$B,$A304,'تجربه‌گرها'!$F:$F,M$1)</f>
        <v>0</v>
      </c>
      <c r="N304" s="242">
        <f>COUNTIFS('تجربه‌گرها'!$B:$B,$A304,'تجربه‌گرها'!$F:$F,N$1)</f>
        <v>0</v>
      </c>
      <c r="O304" s="242">
        <f>COUNTIFS('تجربه‌گرها'!$B:$B,$A304,'تجربه‌گرها'!$F:$F,O$1)</f>
        <v>0</v>
      </c>
      <c r="P304" s="242">
        <f>COUNTIFS('تجربه‌گرها'!$B:$B,$A304,'تجربه‌گرها'!$F:$F,P$1)</f>
        <v>0</v>
      </c>
      <c r="Q304" s="242">
        <f>COUNTIFS('تجربه‌گرها'!$B:$B,$A304,'تجربه‌گرها'!$F:$F,Q$1)</f>
        <v>0</v>
      </c>
      <c r="R304" s="242">
        <f>COUNTIFS('تجربه‌گرها'!$B:$B,$A304,'تجربه‌گرها'!$F:$F,R$1)</f>
        <v>0</v>
      </c>
      <c r="S304" s="242">
        <f>COUNTIFS('تجربه‌گرها'!$B:$B,$A304,'تجربه‌گرها'!$F:$F,S$1)</f>
        <v>0</v>
      </c>
      <c r="T304" s="242">
        <f>COUNTIFS('تجربه‌گرها'!$B:$B,$A304,'تجربه‌گرها'!$F:$F,T$1)</f>
        <v>0</v>
      </c>
      <c r="U304" s="242"/>
      <c r="V304" s="242"/>
      <c r="W304" s="242"/>
      <c r="X304" s="242"/>
      <c r="Y304" s="242"/>
      <c r="Z304" s="242"/>
      <c r="AA304" s="242"/>
      <c r="AB304" s="242"/>
    </row>
    <row r="305" hidden="1">
      <c r="A305" s="244" t="s">
        <v>2414</v>
      </c>
      <c r="B305" s="245" t="str">
        <f>VLOOKUP(A305,'تجربه‌گرها'!B:C,2,FALSE())</f>
        <v>9122659154</v>
      </c>
      <c r="C305" s="242"/>
      <c r="D305" s="242">
        <f t="shared" si="1"/>
        <v>2</v>
      </c>
      <c r="E305" s="242">
        <f>COUNTIFS('تجربه‌گرها'!$B:$B,$A305,'تجربه‌گرها'!$F:$F,E$1)</f>
        <v>0</v>
      </c>
      <c r="F305" s="242">
        <f>COUNTIFS('تجربه‌گرها'!$B:$B,$A305,'تجربه‌گرها'!$F:$F,F$1)</f>
        <v>1</v>
      </c>
      <c r="G305" s="242">
        <f>COUNTIFS('تجربه‌گرها'!$B:$B,$A305,'تجربه‌گرها'!$F:$F,G$1)</f>
        <v>1</v>
      </c>
      <c r="H305" s="242">
        <f>COUNTIFS('تجربه‌گرها'!$B:$B,$A305,'تجربه‌گرها'!$F:$F,H$1)</f>
        <v>0</v>
      </c>
      <c r="I305" s="242">
        <f>COUNTIFS('تجربه‌گرها'!$B:$B,$A305,'تجربه‌گرها'!$F:$F,I$1)</f>
        <v>0</v>
      </c>
      <c r="J305" s="242">
        <f>COUNTIFS('تجربه‌گرها'!$B:$B,$A305,'تجربه‌گرها'!$F:$F,J$1)</f>
        <v>0</v>
      </c>
      <c r="K305" s="242">
        <f>COUNTIFS('تجربه‌گرها'!$B:$B,$A305,'تجربه‌گرها'!$F:$F,K$1)</f>
        <v>0</v>
      </c>
      <c r="L305" s="242">
        <f>COUNTIFS('تجربه‌گرها'!$B:$B,$A305,'تجربه‌گرها'!$F:$F,L$1)</f>
        <v>0</v>
      </c>
      <c r="M305" s="242">
        <f>COUNTIFS('تجربه‌گرها'!$B:$B,$A305,'تجربه‌گرها'!$F:$F,M$1)</f>
        <v>0</v>
      </c>
      <c r="N305" s="242">
        <f>COUNTIFS('تجربه‌گرها'!$B:$B,$A305,'تجربه‌گرها'!$F:$F,N$1)</f>
        <v>0</v>
      </c>
      <c r="O305" s="242">
        <f>COUNTIFS('تجربه‌گرها'!$B:$B,$A305,'تجربه‌گرها'!$F:$F,O$1)</f>
        <v>0</v>
      </c>
      <c r="P305" s="242">
        <f>COUNTIFS('تجربه‌گرها'!$B:$B,$A305,'تجربه‌گرها'!$F:$F,P$1)</f>
        <v>0</v>
      </c>
      <c r="Q305" s="242">
        <f>COUNTIFS('تجربه‌گرها'!$B:$B,$A305,'تجربه‌گرها'!$F:$F,Q$1)</f>
        <v>0</v>
      </c>
      <c r="R305" s="242">
        <f>COUNTIFS('تجربه‌گرها'!$B:$B,$A305,'تجربه‌گرها'!$F:$F,R$1)</f>
        <v>0</v>
      </c>
      <c r="S305" s="242">
        <f>COUNTIFS('تجربه‌گرها'!$B:$B,$A305,'تجربه‌گرها'!$F:$F,S$1)</f>
        <v>0</v>
      </c>
      <c r="T305" s="242">
        <f>COUNTIFS('تجربه‌گرها'!$B:$B,$A305,'تجربه‌گرها'!$F:$F,T$1)</f>
        <v>0</v>
      </c>
      <c r="U305" s="242"/>
      <c r="V305" s="242"/>
      <c r="W305" s="242"/>
      <c r="X305" s="242"/>
      <c r="Y305" s="242"/>
      <c r="Z305" s="242"/>
      <c r="AA305" s="242"/>
      <c r="AB305" s="242"/>
    </row>
    <row r="306" hidden="1">
      <c r="A306" s="244" t="s">
        <v>2417</v>
      </c>
      <c r="B306" s="245" t="str">
        <f>VLOOKUP(A306,'تجربه‌گرها'!B:C,2,FALSE())</f>
        <v>9122211132</v>
      </c>
      <c r="C306" s="242"/>
      <c r="D306" s="242">
        <f t="shared" si="1"/>
        <v>1</v>
      </c>
      <c r="E306" s="242">
        <f>COUNTIFS('تجربه‌گرها'!$B:$B,$A306,'تجربه‌گرها'!$F:$F,E$1)</f>
        <v>0</v>
      </c>
      <c r="F306" s="242">
        <f>COUNTIFS('تجربه‌گرها'!$B:$B,$A306,'تجربه‌گرها'!$F:$F,F$1)</f>
        <v>1</v>
      </c>
      <c r="G306" s="242">
        <f>COUNTIFS('تجربه‌گرها'!$B:$B,$A306,'تجربه‌گرها'!$F:$F,G$1)</f>
        <v>0</v>
      </c>
      <c r="H306" s="242">
        <f>COUNTIFS('تجربه‌گرها'!$B:$B,$A306,'تجربه‌گرها'!$F:$F,H$1)</f>
        <v>0</v>
      </c>
      <c r="I306" s="242">
        <f>COUNTIFS('تجربه‌گرها'!$B:$B,$A306,'تجربه‌گرها'!$F:$F,I$1)</f>
        <v>0</v>
      </c>
      <c r="J306" s="242">
        <f>COUNTIFS('تجربه‌گرها'!$B:$B,$A306,'تجربه‌گرها'!$F:$F,J$1)</f>
        <v>0</v>
      </c>
      <c r="K306" s="242">
        <f>COUNTIFS('تجربه‌گرها'!$B:$B,$A306,'تجربه‌گرها'!$F:$F,K$1)</f>
        <v>0</v>
      </c>
      <c r="L306" s="242">
        <f>COUNTIFS('تجربه‌گرها'!$B:$B,$A306,'تجربه‌گرها'!$F:$F,L$1)</f>
        <v>0</v>
      </c>
      <c r="M306" s="242">
        <f>COUNTIFS('تجربه‌گرها'!$B:$B,$A306,'تجربه‌گرها'!$F:$F,M$1)</f>
        <v>0</v>
      </c>
      <c r="N306" s="242">
        <f>COUNTIFS('تجربه‌گرها'!$B:$B,$A306,'تجربه‌گرها'!$F:$F,N$1)</f>
        <v>0</v>
      </c>
      <c r="O306" s="242">
        <f>COUNTIFS('تجربه‌گرها'!$B:$B,$A306,'تجربه‌گرها'!$F:$F,O$1)</f>
        <v>0</v>
      </c>
      <c r="P306" s="242">
        <f>COUNTIFS('تجربه‌گرها'!$B:$B,$A306,'تجربه‌گرها'!$F:$F,P$1)</f>
        <v>0</v>
      </c>
      <c r="Q306" s="242">
        <f>COUNTIFS('تجربه‌گرها'!$B:$B,$A306,'تجربه‌گرها'!$F:$F,Q$1)</f>
        <v>0</v>
      </c>
      <c r="R306" s="242">
        <f>COUNTIFS('تجربه‌گرها'!$B:$B,$A306,'تجربه‌گرها'!$F:$F,R$1)</f>
        <v>0</v>
      </c>
      <c r="S306" s="242">
        <f>COUNTIFS('تجربه‌گرها'!$B:$B,$A306,'تجربه‌گرها'!$F:$F,S$1)</f>
        <v>0</v>
      </c>
      <c r="T306" s="242">
        <f>COUNTIFS('تجربه‌گرها'!$B:$B,$A306,'تجربه‌گرها'!$F:$F,T$1)</f>
        <v>0</v>
      </c>
      <c r="U306" s="242"/>
      <c r="V306" s="242"/>
      <c r="W306" s="242"/>
      <c r="X306" s="242"/>
      <c r="Y306" s="242"/>
      <c r="Z306" s="242"/>
      <c r="AA306" s="242"/>
      <c r="AB306" s="242"/>
    </row>
    <row r="307" hidden="1">
      <c r="A307" s="244" t="s">
        <v>2423</v>
      </c>
      <c r="B307" s="245" t="str">
        <f>VLOOKUP(A307,'تجربه‌گرها'!B:C,2,FALSE())</f>
        <v>9122333878</v>
      </c>
      <c r="C307" s="242"/>
      <c r="D307" s="242">
        <f t="shared" si="1"/>
        <v>1</v>
      </c>
      <c r="E307" s="242">
        <f>COUNTIFS('تجربه‌گرها'!$B:$B,$A307,'تجربه‌گرها'!$F:$F,E$1)</f>
        <v>0</v>
      </c>
      <c r="F307" s="242">
        <f>COUNTIFS('تجربه‌گرها'!$B:$B,$A307,'تجربه‌گرها'!$F:$F,F$1)</f>
        <v>1</v>
      </c>
      <c r="G307" s="242">
        <f>COUNTIFS('تجربه‌گرها'!$B:$B,$A307,'تجربه‌گرها'!$F:$F,G$1)</f>
        <v>0</v>
      </c>
      <c r="H307" s="242">
        <f>COUNTIFS('تجربه‌گرها'!$B:$B,$A307,'تجربه‌گرها'!$F:$F,H$1)</f>
        <v>0</v>
      </c>
      <c r="I307" s="242">
        <f>COUNTIFS('تجربه‌گرها'!$B:$B,$A307,'تجربه‌گرها'!$F:$F,I$1)</f>
        <v>0</v>
      </c>
      <c r="J307" s="242">
        <f>COUNTIFS('تجربه‌گرها'!$B:$B,$A307,'تجربه‌گرها'!$F:$F,J$1)</f>
        <v>0</v>
      </c>
      <c r="K307" s="242">
        <f>COUNTIFS('تجربه‌گرها'!$B:$B,$A307,'تجربه‌گرها'!$F:$F,K$1)</f>
        <v>0</v>
      </c>
      <c r="L307" s="242">
        <f>COUNTIFS('تجربه‌گرها'!$B:$B,$A307,'تجربه‌گرها'!$F:$F,L$1)</f>
        <v>0</v>
      </c>
      <c r="M307" s="242">
        <f>COUNTIFS('تجربه‌گرها'!$B:$B,$A307,'تجربه‌گرها'!$F:$F,M$1)</f>
        <v>0</v>
      </c>
      <c r="N307" s="242">
        <f>COUNTIFS('تجربه‌گرها'!$B:$B,$A307,'تجربه‌گرها'!$F:$F,N$1)</f>
        <v>0</v>
      </c>
      <c r="O307" s="242">
        <f>COUNTIFS('تجربه‌گرها'!$B:$B,$A307,'تجربه‌گرها'!$F:$F,O$1)</f>
        <v>0</v>
      </c>
      <c r="P307" s="242">
        <f>COUNTIFS('تجربه‌گرها'!$B:$B,$A307,'تجربه‌گرها'!$F:$F,P$1)</f>
        <v>0</v>
      </c>
      <c r="Q307" s="242">
        <f>COUNTIFS('تجربه‌گرها'!$B:$B,$A307,'تجربه‌گرها'!$F:$F,Q$1)</f>
        <v>0</v>
      </c>
      <c r="R307" s="242">
        <f>COUNTIFS('تجربه‌گرها'!$B:$B,$A307,'تجربه‌گرها'!$F:$F,R$1)</f>
        <v>0</v>
      </c>
      <c r="S307" s="242">
        <f>COUNTIFS('تجربه‌گرها'!$B:$B,$A307,'تجربه‌گرها'!$F:$F,S$1)</f>
        <v>0</v>
      </c>
      <c r="T307" s="242">
        <f>COUNTIFS('تجربه‌گرها'!$B:$B,$A307,'تجربه‌گرها'!$F:$F,T$1)</f>
        <v>0</v>
      </c>
      <c r="U307" s="242"/>
      <c r="V307" s="242"/>
      <c r="W307" s="242"/>
      <c r="X307" s="242"/>
      <c r="Y307" s="242"/>
      <c r="Z307" s="242"/>
      <c r="AA307" s="242"/>
      <c r="AB307" s="242"/>
    </row>
    <row r="308">
      <c r="A308" s="244" t="s">
        <v>2428</v>
      </c>
      <c r="B308" s="245" t="str">
        <f>VLOOKUP(A308,'تجربه‌گرها'!B:C,2,FALSE())</f>
        <v>9351527313</v>
      </c>
      <c r="C308" s="242"/>
      <c r="D308" s="242">
        <f t="shared" si="1"/>
        <v>1</v>
      </c>
      <c r="E308" s="242">
        <f>COUNTIFS('تجربه‌گرها'!$B:$B,$A308,'تجربه‌گرها'!$F:$F,E$1)</f>
        <v>0</v>
      </c>
      <c r="F308" s="242">
        <f>COUNTIFS('تجربه‌گرها'!$B:$B,$A308,'تجربه‌گرها'!$F:$F,F$1)</f>
        <v>1</v>
      </c>
      <c r="G308" s="242">
        <f>COUNTIFS('تجربه‌گرها'!$B:$B,$A308,'تجربه‌گرها'!$F:$F,G$1)</f>
        <v>0</v>
      </c>
      <c r="H308" s="242">
        <f>COUNTIFS('تجربه‌گرها'!$B:$B,$A308,'تجربه‌گرها'!$F:$F,H$1)</f>
        <v>0</v>
      </c>
      <c r="I308" s="242">
        <f>COUNTIFS('تجربه‌گرها'!$B:$B,$A308,'تجربه‌گرها'!$F:$F,I$1)</f>
        <v>0</v>
      </c>
      <c r="J308" s="242">
        <f>COUNTIFS('تجربه‌گرها'!$B:$B,$A308,'تجربه‌گرها'!$F:$F,J$1)</f>
        <v>0</v>
      </c>
      <c r="K308" s="242">
        <f>COUNTIFS('تجربه‌گرها'!$B:$B,$A308,'تجربه‌گرها'!$F:$F,K$1)</f>
        <v>0</v>
      </c>
      <c r="L308" s="242">
        <f>COUNTIFS('تجربه‌گرها'!$B:$B,$A308,'تجربه‌گرها'!$F:$F,L$1)</f>
        <v>0</v>
      </c>
      <c r="M308" s="242">
        <f>COUNTIFS('تجربه‌گرها'!$B:$B,$A308,'تجربه‌گرها'!$F:$F,M$1)</f>
        <v>0</v>
      </c>
      <c r="N308" s="242">
        <f>COUNTIFS('تجربه‌گرها'!$B:$B,$A308,'تجربه‌گرها'!$F:$F,N$1)</f>
        <v>0</v>
      </c>
      <c r="O308" s="242">
        <f>COUNTIFS('تجربه‌گرها'!$B:$B,$A308,'تجربه‌گرها'!$F:$F,O$1)</f>
        <v>0</v>
      </c>
      <c r="P308" s="242">
        <f>COUNTIFS('تجربه‌گرها'!$B:$B,$A308,'تجربه‌گرها'!$F:$F,P$1)</f>
        <v>0</v>
      </c>
      <c r="Q308" s="242">
        <f>COUNTIFS('تجربه‌گرها'!$B:$B,$A308,'تجربه‌گرها'!$F:$F,Q$1)</f>
        <v>0</v>
      </c>
      <c r="R308" s="242">
        <f>COUNTIFS('تجربه‌گرها'!$B:$B,$A308,'تجربه‌گرها'!$F:$F,R$1)</f>
        <v>0</v>
      </c>
      <c r="S308" s="242">
        <f>COUNTIFS('تجربه‌گرها'!$B:$B,$A308,'تجربه‌گرها'!$F:$F,S$1)</f>
        <v>0</v>
      </c>
      <c r="T308" s="242">
        <f>COUNTIFS('تجربه‌گرها'!$B:$B,$A308,'تجربه‌گرها'!$F:$F,T$1)</f>
        <v>0</v>
      </c>
      <c r="U308" s="242"/>
      <c r="V308" s="242"/>
      <c r="W308" s="242"/>
      <c r="X308" s="242"/>
      <c r="Y308" s="242"/>
      <c r="Z308" s="242"/>
      <c r="AA308" s="242"/>
      <c r="AB308" s="242"/>
    </row>
    <row r="309" hidden="1">
      <c r="A309" s="244" t="s">
        <v>2433</v>
      </c>
      <c r="B309" s="245" t="str">
        <f>VLOOKUP(A309,'تجربه‌گرها'!B:C,2,FALSE())</f>
        <v>9199928832</v>
      </c>
      <c r="C309" s="242"/>
      <c r="D309" s="242">
        <f t="shared" si="1"/>
        <v>4</v>
      </c>
      <c r="E309" s="242">
        <f>COUNTIFS('تجربه‌گرها'!$B:$B,$A309,'تجربه‌گرها'!$F:$F,E$1)</f>
        <v>0</v>
      </c>
      <c r="F309" s="242">
        <f>COUNTIFS('تجربه‌گرها'!$B:$B,$A309,'تجربه‌گرها'!$F:$F,F$1)</f>
        <v>1</v>
      </c>
      <c r="G309" s="242">
        <f>COUNTIFS('تجربه‌گرها'!$B:$B,$A309,'تجربه‌گرها'!$F:$F,G$1)</f>
        <v>0</v>
      </c>
      <c r="H309" s="242">
        <f>COUNTIFS('تجربه‌گرها'!$B:$B,$A309,'تجربه‌گرها'!$F:$F,H$1)</f>
        <v>0</v>
      </c>
      <c r="I309" s="242">
        <f>COUNTIFS('تجربه‌گرها'!$B:$B,$A309,'تجربه‌گرها'!$F:$F,I$1)</f>
        <v>0</v>
      </c>
      <c r="J309" s="242">
        <f>COUNTIFS('تجربه‌گرها'!$B:$B,$A309,'تجربه‌گرها'!$F:$F,J$1)</f>
        <v>0</v>
      </c>
      <c r="K309" s="242">
        <f>COUNTIFS('تجربه‌گرها'!$B:$B,$A309,'تجربه‌گرها'!$F:$F,K$1)</f>
        <v>1</v>
      </c>
      <c r="L309" s="242">
        <f>COUNTIFS('تجربه‌گرها'!$B:$B,$A309,'تجربه‌گرها'!$F:$F,L$1)</f>
        <v>0</v>
      </c>
      <c r="M309" s="242">
        <f>COUNTIFS('تجربه‌گرها'!$B:$B,$A309,'تجربه‌گرها'!$F:$F,M$1)</f>
        <v>1</v>
      </c>
      <c r="N309" s="242">
        <f>COUNTIFS('تجربه‌گرها'!$B:$B,$A309,'تجربه‌گرها'!$F:$F,N$1)</f>
        <v>1</v>
      </c>
      <c r="O309" s="242">
        <f>COUNTIFS('تجربه‌گرها'!$B:$B,$A309,'تجربه‌گرها'!$F:$F,O$1)</f>
        <v>0</v>
      </c>
      <c r="P309" s="242">
        <f>COUNTIFS('تجربه‌گرها'!$B:$B,$A309,'تجربه‌گرها'!$F:$F,P$1)</f>
        <v>0</v>
      </c>
      <c r="Q309" s="242">
        <f>COUNTIFS('تجربه‌گرها'!$B:$B,$A309,'تجربه‌گرها'!$F:$F,Q$1)</f>
        <v>0</v>
      </c>
      <c r="R309" s="242">
        <f>COUNTIFS('تجربه‌گرها'!$B:$B,$A309,'تجربه‌گرها'!$F:$F,R$1)</f>
        <v>0</v>
      </c>
      <c r="S309" s="242">
        <f>COUNTIFS('تجربه‌گرها'!$B:$B,$A309,'تجربه‌گرها'!$F:$F,S$1)</f>
        <v>0</v>
      </c>
      <c r="T309" s="242">
        <f>COUNTIFS('تجربه‌گرها'!$B:$B,$A309,'تجربه‌گرها'!$F:$F,T$1)</f>
        <v>0</v>
      </c>
      <c r="U309" s="242"/>
      <c r="V309" s="242"/>
      <c r="W309" s="242"/>
      <c r="X309" s="242"/>
      <c r="Y309" s="242"/>
      <c r="Z309" s="242"/>
      <c r="AA309" s="242"/>
      <c r="AB309" s="242"/>
    </row>
    <row r="310" hidden="1">
      <c r="A310" s="244" t="s">
        <v>2437</v>
      </c>
      <c r="B310" s="245" t="str">
        <f>VLOOKUP(A310,'تجربه‌گرها'!B:C,2,FALSE())</f>
        <v>9121385290</v>
      </c>
      <c r="C310" s="242"/>
      <c r="D310" s="242">
        <f t="shared" si="1"/>
        <v>1</v>
      </c>
      <c r="E310" s="242">
        <f>COUNTIFS('تجربه‌گرها'!$B:$B,$A310,'تجربه‌گرها'!$F:$F,E$1)</f>
        <v>0</v>
      </c>
      <c r="F310" s="242">
        <f>COUNTIFS('تجربه‌گرها'!$B:$B,$A310,'تجربه‌گرها'!$F:$F,F$1)</f>
        <v>1</v>
      </c>
      <c r="G310" s="242">
        <f>COUNTIFS('تجربه‌گرها'!$B:$B,$A310,'تجربه‌گرها'!$F:$F,G$1)</f>
        <v>0</v>
      </c>
      <c r="H310" s="242">
        <f>COUNTIFS('تجربه‌گرها'!$B:$B,$A310,'تجربه‌گرها'!$F:$F,H$1)</f>
        <v>0</v>
      </c>
      <c r="I310" s="242">
        <f>COUNTIFS('تجربه‌گرها'!$B:$B,$A310,'تجربه‌گرها'!$F:$F,I$1)</f>
        <v>0</v>
      </c>
      <c r="J310" s="242">
        <f>COUNTIFS('تجربه‌گرها'!$B:$B,$A310,'تجربه‌گرها'!$F:$F,J$1)</f>
        <v>0</v>
      </c>
      <c r="K310" s="242">
        <f>COUNTIFS('تجربه‌گرها'!$B:$B,$A310,'تجربه‌گرها'!$F:$F,K$1)</f>
        <v>0</v>
      </c>
      <c r="L310" s="242">
        <f>COUNTIFS('تجربه‌گرها'!$B:$B,$A310,'تجربه‌گرها'!$F:$F,L$1)</f>
        <v>0</v>
      </c>
      <c r="M310" s="242">
        <f>COUNTIFS('تجربه‌گرها'!$B:$B,$A310,'تجربه‌گرها'!$F:$F,M$1)</f>
        <v>0</v>
      </c>
      <c r="N310" s="242">
        <f>COUNTIFS('تجربه‌گرها'!$B:$B,$A310,'تجربه‌گرها'!$F:$F,N$1)</f>
        <v>0</v>
      </c>
      <c r="O310" s="242">
        <f>COUNTIFS('تجربه‌گرها'!$B:$B,$A310,'تجربه‌گرها'!$F:$F,O$1)</f>
        <v>0</v>
      </c>
      <c r="P310" s="242">
        <f>COUNTIFS('تجربه‌گرها'!$B:$B,$A310,'تجربه‌گرها'!$F:$F,P$1)</f>
        <v>0</v>
      </c>
      <c r="Q310" s="242">
        <f>COUNTIFS('تجربه‌گرها'!$B:$B,$A310,'تجربه‌گرها'!$F:$F,Q$1)</f>
        <v>0</v>
      </c>
      <c r="R310" s="242">
        <f>COUNTIFS('تجربه‌گرها'!$B:$B,$A310,'تجربه‌گرها'!$F:$F,R$1)</f>
        <v>0</v>
      </c>
      <c r="S310" s="242">
        <f>COUNTIFS('تجربه‌گرها'!$B:$B,$A310,'تجربه‌گرها'!$F:$F,S$1)</f>
        <v>0</v>
      </c>
      <c r="T310" s="242">
        <f>COUNTIFS('تجربه‌گرها'!$B:$B,$A310,'تجربه‌گرها'!$F:$F,T$1)</f>
        <v>0</v>
      </c>
      <c r="U310" s="242"/>
      <c r="V310" s="242"/>
      <c r="W310" s="242"/>
      <c r="X310" s="242"/>
      <c r="Y310" s="242"/>
      <c r="Z310" s="242"/>
      <c r="AA310" s="242"/>
      <c r="AB310" s="242"/>
    </row>
    <row r="311" hidden="1">
      <c r="A311" s="244" t="s">
        <v>2441</v>
      </c>
      <c r="B311" s="245" t="str">
        <f>VLOOKUP(A311,'تجربه‌گرها'!B:C,2,FALSE())</f>
        <v>9365245121</v>
      </c>
      <c r="C311" s="242"/>
      <c r="D311" s="242">
        <f t="shared" si="1"/>
        <v>1</v>
      </c>
      <c r="E311" s="242">
        <f>COUNTIFS('تجربه‌گرها'!$B:$B,$A311,'تجربه‌گرها'!$F:$F,E$1)</f>
        <v>0</v>
      </c>
      <c r="F311" s="242">
        <f>COUNTIFS('تجربه‌گرها'!$B:$B,$A311,'تجربه‌گرها'!$F:$F,F$1)</f>
        <v>1</v>
      </c>
      <c r="G311" s="242">
        <f>COUNTIFS('تجربه‌گرها'!$B:$B,$A311,'تجربه‌گرها'!$F:$F,G$1)</f>
        <v>0</v>
      </c>
      <c r="H311" s="242">
        <f>COUNTIFS('تجربه‌گرها'!$B:$B,$A311,'تجربه‌گرها'!$F:$F,H$1)</f>
        <v>0</v>
      </c>
      <c r="I311" s="242">
        <f>COUNTIFS('تجربه‌گرها'!$B:$B,$A311,'تجربه‌گرها'!$F:$F,I$1)</f>
        <v>0</v>
      </c>
      <c r="J311" s="242">
        <f>COUNTIFS('تجربه‌گرها'!$B:$B,$A311,'تجربه‌گرها'!$F:$F,J$1)</f>
        <v>0</v>
      </c>
      <c r="K311" s="242">
        <f>COUNTIFS('تجربه‌گرها'!$B:$B,$A311,'تجربه‌گرها'!$F:$F,K$1)</f>
        <v>0</v>
      </c>
      <c r="L311" s="242">
        <f>COUNTIFS('تجربه‌گرها'!$B:$B,$A311,'تجربه‌گرها'!$F:$F,L$1)</f>
        <v>0</v>
      </c>
      <c r="M311" s="242">
        <f>COUNTIFS('تجربه‌گرها'!$B:$B,$A311,'تجربه‌گرها'!$F:$F,M$1)</f>
        <v>0</v>
      </c>
      <c r="N311" s="242">
        <f>COUNTIFS('تجربه‌گرها'!$B:$B,$A311,'تجربه‌گرها'!$F:$F,N$1)</f>
        <v>0</v>
      </c>
      <c r="O311" s="242">
        <f>COUNTIFS('تجربه‌گرها'!$B:$B,$A311,'تجربه‌گرها'!$F:$F,O$1)</f>
        <v>0</v>
      </c>
      <c r="P311" s="242">
        <f>COUNTIFS('تجربه‌گرها'!$B:$B,$A311,'تجربه‌گرها'!$F:$F,P$1)</f>
        <v>0</v>
      </c>
      <c r="Q311" s="242">
        <f>COUNTIFS('تجربه‌گرها'!$B:$B,$A311,'تجربه‌گرها'!$F:$F,Q$1)</f>
        <v>0</v>
      </c>
      <c r="R311" s="242">
        <f>COUNTIFS('تجربه‌گرها'!$B:$B,$A311,'تجربه‌گرها'!$F:$F,R$1)</f>
        <v>0</v>
      </c>
      <c r="S311" s="242">
        <f>COUNTIFS('تجربه‌گرها'!$B:$B,$A311,'تجربه‌گرها'!$F:$F,S$1)</f>
        <v>0</v>
      </c>
      <c r="T311" s="242">
        <f>COUNTIFS('تجربه‌گرها'!$B:$B,$A311,'تجربه‌گرها'!$F:$F,T$1)</f>
        <v>0</v>
      </c>
      <c r="U311" s="242"/>
      <c r="V311" s="242"/>
      <c r="W311" s="242"/>
      <c r="X311" s="242"/>
      <c r="Y311" s="242"/>
      <c r="Z311" s="242"/>
      <c r="AA311" s="242"/>
      <c r="AB311" s="242"/>
    </row>
    <row r="312">
      <c r="A312" s="244" t="s">
        <v>2446</v>
      </c>
      <c r="B312" s="245" t="str">
        <f>VLOOKUP(A312,'تجربه‌گرها'!B:C,2,FALSE())</f>
        <v>9122967627</v>
      </c>
      <c r="C312" s="242"/>
      <c r="D312" s="242">
        <f t="shared" si="1"/>
        <v>1</v>
      </c>
      <c r="E312" s="242">
        <f>COUNTIFS('تجربه‌گرها'!$B:$B,$A312,'تجربه‌گرها'!$F:$F,E$1)</f>
        <v>0</v>
      </c>
      <c r="F312" s="242">
        <f>COUNTIFS('تجربه‌گرها'!$B:$B,$A312,'تجربه‌گرها'!$F:$F,F$1)</f>
        <v>1</v>
      </c>
      <c r="G312" s="242">
        <f>COUNTIFS('تجربه‌گرها'!$B:$B,$A312,'تجربه‌گرها'!$F:$F,G$1)</f>
        <v>0</v>
      </c>
      <c r="H312" s="242">
        <f>COUNTIFS('تجربه‌گرها'!$B:$B,$A312,'تجربه‌گرها'!$F:$F,H$1)</f>
        <v>0</v>
      </c>
      <c r="I312" s="242">
        <f>COUNTIFS('تجربه‌گرها'!$B:$B,$A312,'تجربه‌گرها'!$F:$F,I$1)</f>
        <v>0</v>
      </c>
      <c r="J312" s="242">
        <f>COUNTIFS('تجربه‌گرها'!$B:$B,$A312,'تجربه‌گرها'!$F:$F,J$1)</f>
        <v>0</v>
      </c>
      <c r="K312" s="242">
        <f>COUNTIFS('تجربه‌گرها'!$B:$B,$A312,'تجربه‌گرها'!$F:$F,K$1)</f>
        <v>0</v>
      </c>
      <c r="L312" s="242">
        <f>COUNTIFS('تجربه‌گرها'!$B:$B,$A312,'تجربه‌گرها'!$F:$F,L$1)</f>
        <v>0</v>
      </c>
      <c r="M312" s="242">
        <f>COUNTIFS('تجربه‌گرها'!$B:$B,$A312,'تجربه‌گرها'!$F:$F,M$1)</f>
        <v>0</v>
      </c>
      <c r="N312" s="242">
        <f>COUNTIFS('تجربه‌گرها'!$B:$B,$A312,'تجربه‌گرها'!$F:$F,N$1)</f>
        <v>0</v>
      </c>
      <c r="O312" s="242">
        <f>COUNTIFS('تجربه‌گرها'!$B:$B,$A312,'تجربه‌گرها'!$F:$F,O$1)</f>
        <v>0</v>
      </c>
      <c r="P312" s="242">
        <f>COUNTIFS('تجربه‌گرها'!$B:$B,$A312,'تجربه‌گرها'!$F:$F,P$1)</f>
        <v>0</v>
      </c>
      <c r="Q312" s="242">
        <f>COUNTIFS('تجربه‌گرها'!$B:$B,$A312,'تجربه‌گرها'!$F:$F,Q$1)</f>
        <v>0</v>
      </c>
      <c r="R312" s="242">
        <f>COUNTIFS('تجربه‌گرها'!$B:$B,$A312,'تجربه‌گرها'!$F:$F,R$1)</f>
        <v>0</v>
      </c>
      <c r="S312" s="242">
        <f>COUNTIFS('تجربه‌گرها'!$B:$B,$A312,'تجربه‌گرها'!$F:$F,S$1)</f>
        <v>0</v>
      </c>
      <c r="T312" s="242">
        <f>COUNTIFS('تجربه‌گرها'!$B:$B,$A312,'تجربه‌گرها'!$F:$F,T$1)</f>
        <v>0</v>
      </c>
      <c r="U312" s="242"/>
      <c r="V312" s="242"/>
      <c r="W312" s="242"/>
      <c r="X312" s="242"/>
      <c r="Y312" s="242"/>
      <c r="Z312" s="242"/>
      <c r="AA312" s="242"/>
      <c r="AB312" s="242"/>
    </row>
    <row r="313" hidden="1">
      <c r="A313" s="244" t="s">
        <v>2452</v>
      </c>
      <c r="B313" s="245" t="str">
        <f>VLOOKUP(A313,'تجربه‌گرها'!B:C,2,FALSE())</f>
        <v>9126158197</v>
      </c>
      <c r="C313" s="242"/>
      <c r="D313" s="242">
        <f t="shared" si="1"/>
        <v>1</v>
      </c>
      <c r="E313" s="242">
        <f>COUNTIFS('تجربه‌گرها'!$B:$B,$A313,'تجربه‌گرها'!$F:$F,E$1)</f>
        <v>0</v>
      </c>
      <c r="F313" s="242">
        <f>COUNTIFS('تجربه‌گرها'!$B:$B,$A313,'تجربه‌گرها'!$F:$F,F$1)</f>
        <v>1</v>
      </c>
      <c r="G313" s="242">
        <f>COUNTIFS('تجربه‌گرها'!$B:$B,$A313,'تجربه‌گرها'!$F:$F,G$1)</f>
        <v>0</v>
      </c>
      <c r="H313" s="242">
        <f>COUNTIFS('تجربه‌گرها'!$B:$B,$A313,'تجربه‌گرها'!$F:$F,H$1)</f>
        <v>0</v>
      </c>
      <c r="I313" s="242">
        <f>COUNTIFS('تجربه‌گرها'!$B:$B,$A313,'تجربه‌گرها'!$F:$F,I$1)</f>
        <v>0</v>
      </c>
      <c r="J313" s="242">
        <f>COUNTIFS('تجربه‌گرها'!$B:$B,$A313,'تجربه‌گرها'!$F:$F,J$1)</f>
        <v>0</v>
      </c>
      <c r="K313" s="242">
        <f>COUNTIFS('تجربه‌گرها'!$B:$B,$A313,'تجربه‌گرها'!$F:$F,K$1)</f>
        <v>0</v>
      </c>
      <c r="L313" s="242">
        <f>COUNTIFS('تجربه‌گرها'!$B:$B,$A313,'تجربه‌گرها'!$F:$F,L$1)</f>
        <v>0</v>
      </c>
      <c r="M313" s="242">
        <f>COUNTIFS('تجربه‌گرها'!$B:$B,$A313,'تجربه‌گرها'!$F:$F,M$1)</f>
        <v>0</v>
      </c>
      <c r="N313" s="242">
        <f>COUNTIFS('تجربه‌گرها'!$B:$B,$A313,'تجربه‌گرها'!$F:$F,N$1)</f>
        <v>0</v>
      </c>
      <c r="O313" s="242">
        <f>COUNTIFS('تجربه‌گرها'!$B:$B,$A313,'تجربه‌گرها'!$F:$F,O$1)</f>
        <v>0</v>
      </c>
      <c r="P313" s="242">
        <f>COUNTIFS('تجربه‌گرها'!$B:$B,$A313,'تجربه‌گرها'!$F:$F,P$1)</f>
        <v>0</v>
      </c>
      <c r="Q313" s="242">
        <f>COUNTIFS('تجربه‌گرها'!$B:$B,$A313,'تجربه‌گرها'!$F:$F,Q$1)</f>
        <v>0</v>
      </c>
      <c r="R313" s="242">
        <f>COUNTIFS('تجربه‌گرها'!$B:$B,$A313,'تجربه‌گرها'!$F:$F,R$1)</f>
        <v>0</v>
      </c>
      <c r="S313" s="242">
        <f>COUNTIFS('تجربه‌گرها'!$B:$B,$A313,'تجربه‌گرها'!$F:$F,S$1)</f>
        <v>0</v>
      </c>
      <c r="T313" s="242">
        <f>COUNTIFS('تجربه‌گرها'!$B:$B,$A313,'تجربه‌گرها'!$F:$F,T$1)</f>
        <v>0</v>
      </c>
      <c r="U313" s="242"/>
      <c r="V313" s="242"/>
      <c r="W313" s="242"/>
      <c r="X313" s="242"/>
      <c r="Y313" s="242"/>
      <c r="Z313" s="242"/>
      <c r="AA313" s="242"/>
      <c r="AB313" s="242"/>
    </row>
    <row r="314" hidden="1">
      <c r="A314" s="244" t="s">
        <v>2456</v>
      </c>
      <c r="B314" s="245" t="str">
        <f>VLOOKUP(A314,'تجربه‌گرها'!B:C,2,FALSE())</f>
        <v>9122089386</v>
      </c>
      <c r="C314" s="242"/>
      <c r="D314" s="242">
        <f t="shared" si="1"/>
        <v>1</v>
      </c>
      <c r="E314" s="242">
        <f>COUNTIFS('تجربه‌گرها'!$B:$B,$A314,'تجربه‌گرها'!$F:$F,E$1)</f>
        <v>0</v>
      </c>
      <c r="F314" s="242">
        <f>COUNTIFS('تجربه‌گرها'!$B:$B,$A314,'تجربه‌گرها'!$F:$F,F$1)</f>
        <v>1</v>
      </c>
      <c r="G314" s="242">
        <f>COUNTIFS('تجربه‌گرها'!$B:$B,$A314,'تجربه‌گرها'!$F:$F,G$1)</f>
        <v>0</v>
      </c>
      <c r="H314" s="242">
        <f>COUNTIFS('تجربه‌گرها'!$B:$B,$A314,'تجربه‌گرها'!$F:$F,H$1)</f>
        <v>0</v>
      </c>
      <c r="I314" s="242">
        <f>COUNTIFS('تجربه‌گرها'!$B:$B,$A314,'تجربه‌گرها'!$F:$F,I$1)</f>
        <v>0</v>
      </c>
      <c r="J314" s="242">
        <f>COUNTIFS('تجربه‌گرها'!$B:$B,$A314,'تجربه‌گرها'!$F:$F,J$1)</f>
        <v>0</v>
      </c>
      <c r="K314" s="242">
        <f>COUNTIFS('تجربه‌گرها'!$B:$B,$A314,'تجربه‌گرها'!$F:$F,K$1)</f>
        <v>0</v>
      </c>
      <c r="L314" s="242">
        <f>COUNTIFS('تجربه‌گرها'!$B:$B,$A314,'تجربه‌گرها'!$F:$F,L$1)</f>
        <v>0</v>
      </c>
      <c r="M314" s="242">
        <f>COUNTIFS('تجربه‌گرها'!$B:$B,$A314,'تجربه‌گرها'!$F:$F,M$1)</f>
        <v>0</v>
      </c>
      <c r="N314" s="242">
        <f>COUNTIFS('تجربه‌گرها'!$B:$B,$A314,'تجربه‌گرها'!$F:$F,N$1)</f>
        <v>0</v>
      </c>
      <c r="O314" s="242">
        <f>COUNTIFS('تجربه‌گرها'!$B:$B,$A314,'تجربه‌گرها'!$F:$F,O$1)</f>
        <v>0</v>
      </c>
      <c r="P314" s="242">
        <f>COUNTIFS('تجربه‌گرها'!$B:$B,$A314,'تجربه‌گرها'!$F:$F,P$1)</f>
        <v>0</v>
      </c>
      <c r="Q314" s="242">
        <f>COUNTIFS('تجربه‌گرها'!$B:$B,$A314,'تجربه‌گرها'!$F:$F,Q$1)</f>
        <v>0</v>
      </c>
      <c r="R314" s="242">
        <f>COUNTIFS('تجربه‌گرها'!$B:$B,$A314,'تجربه‌گرها'!$F:$F,R$1)</f>
        <v>0</v>
      </c>
      <c r="S314" s="242">
        <f>COUNTIFS('تجربه‌گرها'!$B:$B,$A314,'تجربه‌گرها'!$F:$F,S$1)</f>
        <v>0</v>
      </c>
      <c r="T314" s="242">
        <f>COUNTIFS('تجربه‌گرها'!$B:$B,$A314,'تجربه‌گرها'!$F:$F,T$1)</f>
        <v>0</v>
      </c>
      <c r="U314" s="242"/>
      <c r="V314" s="242"/>
      <c r="W314" s="242"/>
      <c r="X314" s="242"/>
      <c r="Y314" s="242"/>
      <c r="Z314" s="242"/>
      <c r="AA314" s="242"/>
      <c r="AB314" s="242"/>
    </row>
    <row r="315" hidden="1">
      <c r="A315" s="244" t="s">
        <v>2461</v>
      </c>
      <c r="B315" s="245" t="str">
        <f>VLOOKUP(A315,'تجربه‌گرها'!B:C,2,FALSE())</f>
        <v>9125936532</v>
      </c>
      <c r="C315" s="242"/>
      <c r="D315" s="242">
        <f t="shared" si="1"/>
        <v>4</v>
      </c>
      <c r="E315" s="242">
        <f>COUNTIFS('تجربه‌گرها'!$B:$B,$A315,'تجربه‌گرها'!$F:$F,E$1)</f>
        <v>0</v>
      </c>
      <c r="F315" s="242">
        <f>COUNTIFS('تجربه‌گرها'!$B:$B,$A315,'تجربه‌گرها'!$F:$F,F$1)</f>
        <v>1</v>
      </c>
      <c r="G315" s="242">
        <f>COUNTIFS('تجربه‌گرها'!$B:$B,$A315,'تجربه‌گرها'!$F:$F,G$1)</f>
        <v>0</v>
      </c>
      <c r="H315" s="242">
        <f>COUNTIFS('تجربه‌گرها'!$B:$B,$A315,'تجربه‌گرها'!$F:$F,H$1)</f>
        <v>0</v>
      </c>
      <c r="I315" s="242">
        <f>COUNTIFS('تجربه‌گرها'!$B:$B,$A315,'تجربه‌گرها'!$F:$F,I$1)</f>
        <v>0</v>
      </c>
      <c r="J315" s="242">
        <f>COUNTIFS('تجربه‌گرها'!$B:$B,$A315,'تجربه‌گرها'!$F:$F,J$1)</f>
        <v>1</v>
      </c>
      <c r="K315" s="242">
        <f>COUNTIFS('تجربه‌گرها'!$B:$B,$A315,'تجربه‌گرها'!$F:$F,K$1)</f>
        <v>0</v>
      </c>
      <c r="L315" s="242">
        <f>COUNTIFS('تجربه‌گرها'!$B:$B,$A315,'تجربه‌گرها'!$F:$F,L$1)</f>
        <v>0</v>
      </c>
      <c r="M315" s="242">
        <f>COUNTIFS('تجربه‌گرها'!$B:$B,$A315,'تجربه‌گرها'!$F:$F,M$1)</f>
        <v>1</v>
      </c>
      <c r="N315" s="242">
        <f>COUNTIFS('تجربه‌گرها'!$B:$B,$A315,'تجربه‌گرها'!$F:$F,N$1)</f>
        <v>1</v>
      </c>
      <c r="O315" s="242">
        <f>COUNTIFS('تجربه‌گرها'!$B:$B,$A315,'تجربه‌گرها'!$F:$F,O$1)</f>
        <v>0</v>
      </c>
      <c r="P315" s="242">
        <f>COUNTIFS('تجربه‌گرها'!$B:$B,$A315,'تجربه‌گرها'!$F:$F,P$1)</f>
        <v>0</v>
      </c>
      <c r="Q315" s="242">
        <f>COUNTIFS('تجربه‌گرها'!$B:$B,$A315,'تجربه‌گرها'!$F:$F,Q$1)</f>
        <v>0</v>
      </c>
      <c r="R315" s="242">
        <f>COUNTIFS('تجربه‌گرها'!$B:$B,$A315,'تجربه‌گرها'!$F:$F,R$1)</f>
        <v>0</v>
      </c>
      <c r="S315" s="242">
        <f>COUNTIFS('تجربه‌گرها'!$B:$B,$A315,'تجربه‌گرها'!$F:$F,S$1)</f>
        <v>0</v>
      </c>
      <c r="T315" s="242">
        <f>COUNTIFS('تجربه‌گرها'!$B:$B,$A315,'تجربه‌گرها'!$F:$F,T$1)</f>
        <v>0</v>
      </c>
      <c r="U315" s="242"/>
      <c r="V315" s="242"/>
      <c r="W315" s="242"/>
      <c r="X315" s="242"/>
      <c r="Y315" s="242"/>
      <c r="Z315" s="242"/>
      <c r="AA315" s="242"/>
      <c r="AB315" s="242"/>
    </row>
    <row r="316" hidden="1">
      <c r="A316" s="244" t="s">
        <v>2465</v>
      </c>
      <c r="B316" s="245" t="str">
        <f>VLOOKUP(A316,'تجربه‌گرها'!B:C,2,FALSE())</f>
        <v>9128844083</v>
      </c>
      <c r="C316" s="242"/>
      <c r="D316" s="242">
        <f t="shared" si="1"/>
        <v>1</v>
      </c>
      <c r="E316" s="242">
        <f>COUNTIFS('تجربه‌گرها'!$B:$B,$A316,'تجربه‌گرها'!$F:$F,E$1)</f>
        <v>0</v>
      </c>
      <c r="F316" s="242">
        <f>COUNTIFS('تجربه‌گرها'!$B:$B,$A316,'تجربه‌گرها'!$F:$F,F$1)</f>
        <v>1</v>
      </c>
      <c r="G316" s="242">
        <f>COUNTIFS('تجربه‌گرها'!$B:$B,$A316,'تجربه‌گرها'!$F:$F,G$1)</f>
        <v>0</v>
      </c>
      <c r="H316" s="242">
        <f>COUNTIFS('تجربه‌گرها'!$B:$B,$A316,'تجربه‌گرها'!$F:$F,H$1)</f>
        <v>0</v>
      </c>
      <c r="I316" s="242">
        <f>COUNTIFS('تجربه‌گرها'!$B:$B,$A316,'تجربه‌گرها'!$F:$F,I$1)</f>
        <v>0</v>
      </c>
      <c r="J316" s="242">
        <f>COUNTIFS('تجربه‌گرها'!$B:$B,$A316,'تجربه‌گرها'!$F:$F,J$1)</f>
        <v>0</v>
      </c>
      <c r="K316" s="242">
        <f>COUNTIFS('تجربه‌گرها'!$B:$B,$A316,'تجربه‌گرها'!$F:$F,K$1)</f>
        <v>0</v>
      </c>
      <c r="L316" s="242">
        <f>COUNTIFS('تجربه‌گرها'!$B:$B,$A316,'تجربه‌گرها'!$F:$F,L$1)</f>
        <v>0</v>
      </c>
      <c r="M316" s="242">
        <f>COUNTIFS('تجربه‌گرها'!$B:$B,$A316,'تجربه‌گرها'!$F:$F,M$1)</f>
        <v>0</v>
      </c>
      <c r="N316" s="242">
        <f>COUNTIFS('تجربه‌گرها'!$B:$B,$A316,'تجربه‌گرها'!$F:$F,N$1)</f>
        <v>0</v>
      </c>
      <c r="O316" s="242">
        <f>COUNTIFS('تجربه‌گرها'!$B:$B,$A316,'تجربه‌گرها'!$F:$F,O$1)</f>
        <v>0</v>
      </c>
      <c r="P316" s="242">
        <f>COUNTIFS('تجربه‌گرها'!$B:$B,$A316,'تجربه‌گرها'!$F:$F,P$1)</f>
        <v>0</v>
      </c>
      <c r="Q316" s="242">
        <f>COUNTIFS('تجربه‌گرها'!$B:$B,$A316,'تجربه‌گرها'!$F:$F,Q$1)</f>
        <v>0</v>
      </c>
      <c r="R316" s="242">
        <f>COUNTIFS('تجربه‌گرها'!$B:$B,$A316,'تجربه‌گرها'!$F:$F,R$1)</f>
        <v>0</v>
      </c>
      <c r="S316" s="242">
        <f>COUNTIFS('تجربه‌گرها'!$B:$B,$A316,'تجربه‌گرها'!$F:$F,S$1)</f>
        <v>0</v>
      </c>
      <c r="T316" s="242">
        <f>COUNTIFS('تجربه‌گرها'!$B:$B,$A316,'تجربه‌گرها'!$F:$F,T$1)</f>
        <v>0</v>
      </c>
      <c r="U316" s="242"/>
      <c r="V316" s="242"/>
      <c r="W316" s="242"/>
      <c r="X316" s="242"/>
      <c r="Y316" s="242"/>
      <c r="Z316" s="242"/>
      <c r="AA316" s="242"/>
      <c r="AB316" s="242"/>
    </row>
    <row r="317" hidden="1">
      <c r="A317" s="244" t="s">
        <v>2471</v>
      </c>
      <c r="B317" s="245" t="str">
        <f>VLOOKUP(A317,'تجربه‌گرها'!B:C,2,FALSE())</f>
        <v>9125330742</v>
      </c>
      <c r="C317" s="242"/>
      <c r="D317" s="242">
        <f t="shared" si="1"/>
        <v>1</v>
      </c>
      <c r="E317" s="242">
        <f>COUNTIFS('تجربه‌گرها'!$B:$B,$A317,'تجربه‌گرها'!$F:$F,E$1)</f>
        <v>0</v>
      </c>
      <c r="F317" s="242">
        <f>COUNTIFS('تجربه‌گرها'!$B:$B,$A317,'تجربه‌گرها'!$F:$F,F$1)</f>
        <v>1</v>
      </c>
      <c r="G317" s="242">
        <f>COUNTIFS('تجربه‌گرها'!$B:$B,$A317,'تجربه‌گرها'!$F:$F,G$1)</f>
        <v>0</v>
      </c>
      <c r="H317" s="242">
        <f>COUNTIFS('تجربه‌گرها'!$B:$B,$A317,'تجربه‌گرها'!$F:$F,H$1)</f>
        <v>0</v>
      </c>
      <c r="I317" s="242">
        <f>COUNTIFS('تجربه‌گرها'!$B:$B,$A317,'تجربه‌گرها'!$F:$F,I$1)</f>
        <v>0</v>
      </c>
      <c r="J317" s="242">
        <f>COUNTIFS('تجربه‌گرها'!$B:$B,$A317,'تجربه‌گرها'!$F:$F,J$1)</f>
        <v>0</v>
      </c>
      <c r="K317" s="242">
        <f>COUNTIFS('تجربه‌گرها'!$B:$B,$A317,'تجربه‌گرها'!$F:$F,K$1)</f>
        <v>0</v>
      </c>
      <c r="L317" s="242">
        <f>COUNTIFS('تجربه‌گرها'!$B:$B,$A317,'تجربه‌گرها'!$F:$F,L$1)</f>
        <v>0</v>
      </c>
      <c r="M317" s="242">
        <f>COUNTIFS('تجربه‌گرها'!$B:$B,$A317,'تجربه‌گرها'!$F:$F,M$1)</f>
        <v>0</v>
      </c>
      <c r="N317" s="242">
        <f>COUNTIFS('تجربه‌گرها'!$B:$B,$A317,'تجربه‌گرها'!$F:$F,N$1)</f>
        <v>0</v>
      </c>
      <c r="O317" s="242">
        <f>COUNTIFS('تجربه‌گرها'!$B:$B,$A317,'تجربه‌گرها'!$F:$F,O$1)</f>
        <v>0</v>
      </c>
      <c r="P317" s="242">
        <f>COUNTIFS('تجربه‌گرها'!$B:$B,$A317,'تجربه‌گرها'!$F:$F,P$1)</f>
        <v>0</v>
      </c>
      <c r="Q317" s="242">
        <f>COUNTIFS('تجربه‌گرها'!$B:$B,$A317,'تجربه‌گرها'!$F:$F,Q$1)</f>
        <v>0</v>
      </c>
      <c r="R317" s="242">
        <f>COUNTIFS('تجربه‌گرها'!$B:$B,$A317,'تجربه‌گرها'!$F:$F,R$1)</f>
        <v>0</v>
      </c>
      <c r="S317" s="242">
        <f>COUNTIFS('تجربه‌گرها'!$B:$B,$A317,'تجربه‌گرها'!$F:$F,S$1)</f>
        <v>0</v>
      </c>
      <c r="T317" s="242">
        <f>COUNTIFS('تجربه‌گرها'!$B:$B,$A317,'تجربه‌گرها'!$F:$F,T$1)</f>
        <v>0</v>
      </c>
      <c r="U317" s="242"/>
      <c r="V317" s="242"/>
      <c r="W317" s="242"/>
      <c r="X317" s="242"/>
      <c r="Y317" s="242"/>
      <c r="Z317" s="242"/>
      <c r="AA317" s="242"/>
      <c r="AB317" s="242"/>
    </row>
    <row r="318">
      <c r="A318" s="244" t="s">
        <v>2476</v>
      </c>
      <c r="B318" s="245" t="str">
        <f>VLOOKUP(A318,'تجربه‌گرها'!B:C,2,FALSE())</f>
        <v>9355578192</v>
      </c>
      <c r="C318" s="242"/>
      <c r="D318" s="242">
        <f t="shared" si="1"/>
        <v>1</v>
      </c>
      <c r="E318" s="242">
        <f>COUNTIFS('تجربه‌گرها'!$B:$B,$A318,'تجربه‌گرها'!$F:$F,E$1)</f>
        <v>0</v>
      </c>
      <c r="F318" s="242">
        <f>COUNTIFS('تجربه‌گرها'!$B:$B,$A318,'تجربه‌گرها'!$F:$F,F$1)</f>
        <v>1</v>
      </c>
      <c r="G318" s="242">
        <f>COUNTIFS('تجربه‌گرها'!$B:$B,$A318,'تجربه‌گرها'!$F:$F,G$1)</f>
        <v>0</v>
      </c>
      <c r="H318" s="242">
        <f>COUNTIFS('تجربه‌گرها'!$B:$B,$A318,'تجربه‌گرها'!$F:$F,H$1)</f>
        <v>0</v>
      </c>
      <c r="I318" s="242">
        <f>COUNTIFS('تجربه‌گرها'!$B:$B,$A318,'تجربه‌گرها'!$F:$F,I$1)</f>
        <v>0</v>
      </c>
      <c r="J318" s="242">
        <f>COUNTIFS('تجربه‌گرها'!$B:$B,$A318,'تجربه‌گرها'!$F:$F,J$1)</f>
        <v>0</v>
      </c>
      <c r="K318" s="242">
        <f>COUNTIFS('تجربه‌گرها'!$B:$B,$A318,'تجربه‌گرها'!$F:$F,K$1)</f>
        <v>0</v>
      </c>
      <c r="L318" s="242">
        <f>COUNTIFS('تجربه‌گرها'!$B:$B,$A318,'تجربه‌گرها'!$F:$F,L$1)</f>
        <v>0</v>
      </c>
      <c r="M318" s="242">
        <f>COUNTIFS('تجربه‌گرها'!$B:$B,$A318,'تجربه‌گرها'!$F:$F,M$1)</f>
        <v>0</v>
      </c>
      <c r="N318" s="242">
        <f>COUNTIFS('تجربه‌گرها'!$B:$B,$A318,'تجربه‌گرها'!$F:$F,N$1)</f>
        <v>0</v>
      </c>
      <c r="O318" s="242">
        <f>COUNTIFS('تجربه‌گرها'!$B:$B,$A318,'تجربه‌گرها'!$F:$F,O$1)</f>
        <v>0</v>
      </c>
      <c r="P318" s="242">
        <f>COUNTIFS('تجربه‌گرها'!$B:$B,$A318,'تجربه‌گرها'!$F:$F,P$1)</f>
        <v>0</v>
      </c>
      <c r="Q318" s="242">
        <f>COUNTIFS('تجربه‌گرها'!$B:$B,$A318,'تجربه‌گرها'!$F:$F,Q$1)</f>
        <v>0</v>
      </c>
      <c r="R318" s="242">
        <f>COUNTIFS('تجربه‌گرها'!$B:$B,$A318,'تجربه‌گرها'!$F:$F,R$1)</f>
        <v>0</v>
      </c>
      <c r="S318" s="242">
        <f>COUNTIFS('تجربه‌گرها'!$B:$B,$A318,'تجربه‌گرها'!$F:$F,S$1)</f>
        <v>0</v>
      </c>
      <c r="T318" s="242">
        <f>COUNTIFS('تجربه‌گرها'!$B:$B,$A318,'تجربه‌گرها'!$F:$F,T$1)</f>
        <v>0</v>
      </c>
      <c r="U318" s="242"/>
      <c r="V318" s="242"/>
      <c r="W318" s="242"/>
      <c r="X318" s="242"/>
      <c r="Y318" s="242"/>
      <c r="Z318" s="242"/>
      <c r="AA318" s="242"/>
      <c r="AB318" s="242"/>
    </row>
    <row r="319" hidden="1">
      <c r="A319" s="244" t="s">
        <v>2481</v>
      </c>
      <c r="B319" s="245" t="str">
        <f>VLOOKUP(A319,'تجربه‌گرها'!B:C,2,FALSE())</f>
        <v>9122723063</v>
      </c>
      <c r="C319" s="242"/>
      <c r="D319" s="242">
        <f t="shared" si="1"/>
        <v>1</v>
      </c>
      <c r="E319" s="242">
        <f>COUNTIFS('تجربه‌گرها'!$B:$B,$A319,'تجربه‌گرها'!$F:$F,E$1)</f>
        <v>0</v>
      </c>
      <c r="F319" s="242">
        <f>COUNTIFS('تجربه‌گرها'!$B:$B,$A319,'تجربه‌گرها'!$F:$F,F$1)</f>
        <v>1</v>
      </c>
      <c r="G319" s="242">
        <f>COUNTIFS('تجربه‌گرها'!$B:$B,$A319,'تجربه‌گرها'!$F:$F,G$1)</f>
        <v>0</v>
      </c>
      <c r="H319" s="242">
        <f>COUNTIFS('تجربه‌گرها'!$B:$B,$A319,'تجربه‌گرها'!$F:$F,H$1)</f>
        <v>0</v>
      </c>
      <c r="I319" s="242">
        <f>COUNTIFS('تجربه‌گرها'!$B:$B,$A319,'تجربه‌گرها'!$F:$F,I$1)</f>
        <v>0</v>
      </c>
      <c r="J319" s="242">
        <f>COUNTIFS('تجربه‌گرها'!$B:$B,$A319,'تجربه‌گرها'!$F:$F,J$1)</f>
        <v>0</v>
      </c>
      <c r="K319" s="242">
        <f>COUNTIFS('تجربه‌گرها'!$B:$B,$A319,'تجربه‌گرها'!$F:$F,K$1)</f>
        <v>0</v>
      </c>
      <c r="L319" s="242">
        <f>COUNTIFS('تجربه‌گرها'!$B:$B,$A319,'تجربه‌گرها'!$F:$F,L$1)</f>
        <v>0</v>
      </c>
      <c r="M319" s="242">
        <f>COUNTIFS('تجربه‌گرها'!$B:$B,$A319,'تجربه‌گرها'!$F:$F,M$1)</f>
        <v>0</v>
      </c>
      <c r="N319" s="242">
        <f>COUNTIFS('تجربه‌گرها'!$B:$B,$A319,'تجربه‌گرها'!$F:$F,N$1)</f>
        <v>0</v>
      </c>
      <c r="O319" s="242">
        <f>COUNTIFS('تجربه‌گرها'!$B:$B,$A319,'تجربه‌گرها'!$F:$F,O$1)</f>
        <v>0</v>
      </c>
      <c r="P319" s="242">
        <f>COUNTIFS('تجربه‌گرها'!$B:$B,$A319,'تجربه‌گرها'!$F:$F,P$1)</f>
        <v>0</v>
      </c>
      <c r="Q319" s="242">
        <f>COUNTIFS('تجربه‌گرها'!$B:$B,$A319,'تجربه‌گرها'!$F:$F,Q$1)</f>
        <v>0</v>
      </c>
      <c r="R319" s="242">
        <f>COUNTIFS('تجربه‌گرها'!$B:$B,$A319,'تجربه‌گرها'!$F:$F,R$1)</f>
        <v>0</v>
      </c>
      <c r="S319" s="242">
        <f>COUNTIFS('تجربه‌گرها'!$B:$B,$A319,'تجربه‌گرها'!$F:$F,S$1)</f>
        <v>0</v>
      </c>
      <c r="T319" s="242">
        <f>COUNTIFS('تجربه‌گرها'!$B:$B,$A319,'تجربه‌گرها'!$F:$F,T$1)</f>
        <v>0</v>
      </c>
      <c r="U319" s="242"/>
      <c r="V319" s="242"/>
      <c r="W319" s="242"/>
      <c r="X319" s="242"/>
      <c r="Y319" s="242"/>
      <c r="Z319" s="242"/>
      <c r="AA319" s="242"/>
      <c r="AB319" s="242"/>
    </row>
    <row r="320" hidden="1">
      <c r="A320" s="244" t="s">
        <v>2486</v>
      </c>
      <c r="B320" s="245" t="str">
        <f>VLOOKUP(A320,'تجربه‌گرها'!B:C,2,FALSE())</f>
        <v>9125141965</v>
      </c>
      <c r="C320" s="242"/>
      <c r="D320" s="242">
        <f t="shared" si="1"/>
        <v>1</v>
      </c>
      <c r="E320" s="242">
        <f>COUNTIFS('تجربه‌گرها'!$B:$B,$A320,'تجربه‌گرها'!$F:$F,E$1)</f>
        <v>0</v>
      </c>
      <c r="F320" s="242">
        <f>COUNTIFS('تجربه‌گرها'!$B:$B,$A320,'تجربه‌گرها'!$F:$F,F$1)</f>
        <v>1</v>
      </c>
      <c r="G320" s="242">
        <f>COUNTIFS('تجربه‌گرها'!$B:$B,$A320,'تجربه‌گرها'!$F:$F,G$1)</f>
        <v>0</v>
      </c>
      <c r="H320" s="242">
        <f>COUNTIFS('تجربه‌گرها'!$B:$B,$A320,'تجربه‌گرها'!$F:$F,H$1)</f>
        <v>0</v>
      </c>
      <c r="I320" s="242">
        <f>COUNTIFS('تجربه‌گرها'!$B:$B,$A320,'تجربه‌گرها'!$F:$F,I$1)</f>
        <v>0</v>
      </c>
      <c r="J320" s="242">
        <f>COUNTIFS('تجربه‌گرها'!$B:$B,$A320,'تجربه‌گرها'!$F:$F,J$1)</f>
        <v>0</v>
      </c>
      <c r="K320" s="242">
        <f>COUNTIFS('تجربه‌گرها'!$B:$B,$A320,'تجربه‌گرها'!$F:$F,K$1)</f>
        <v>0</v>
      </c>
      <c r="L320" s="242">
        <f>COUNTIFS('تجربه‌گرها'!$B:$B,$A320,'تجربه‌گرها'!$F:$F,L$1)</f>
        <v>0</v>
      </c>
      <c r="M320" s="242">
        <f>COUNTIFS('تجربه‌گرها'!$B:$B,$A320,'تجربه‌گرها'!$F:$F,M$1)</f>
        <v>0</v>
      </c>
      <c r="N320" s="242">
        <f>COUNTIFS('تجربه‌گرها'!$B:$B,$A320,'تجربه‌گرها'!$F:$F,N$1)</f>
        <v>0</v>
      </c>
      <c r="O320" s="242">
        <f>COUNTIFS('تجربه‌گرها'!$B:$B,$A320,'تجربه‌گرها'!$F:$F,O$1)</f>
        <v>0</v>
      </c>
      <c r="P320" s="242">
        <f>COUNTIFS('تجربه‌گرها'!$B:$B,$A320,'تجربه‌گرها'!$F:$F,P$1)</f>
        <v>0</v>
      </c>
      <c r="Q320" s="242">
        <f>COUNTIFS('تجربه‌گرها'!$B:$B,$A320,'تجربه‌گرها'!$F:$F,Q$1)</f>
        <v>0</v>
      </c>
      <c r="R320" s="242">
        <f>COUNTIFS('تجربه‌گرها'!$B:$B,$A320,'تجربه‌گرها'!$F:$F,R$1)</f>
        <v>0</v>
      </c>
      <c r="S320" s="242">
        <f>COUNTIFS('تجربه‌گرها'!$B:$B,$A320,'تجربه‌گرها'!$F:$F,S$1)</f>
        <v>0</v>
      </c>
      <c r="T320" s="242">
        <f>COUNTIFS('تجربه‌گرها'!$B:$B,$A320,'تجربه‌گرها'!$F:$F,T$1)</f>
        <v>0</v>
      </c>
      <c r="U320" s="242"/>
      <c r="V320" s="242"/>
      <c r="W320" s="242"/>
      <c r="X320" s="242"/>
      <c r="Y320" s="242"/>
      <c r="Z320" s="242"/>
      <c r="AA320" s="242"/>
      <c r="AB320" s="242"/>
    </row>
    <row r="321" hidden="1">
      <c r="A321" s="244" t="s">
        <v>2492</v>
      </c>
      <c r="B321" s="245" t="str">
        <f>VLOOKUP(A321,'تجربه‌گرها'!B:C,2,FALSE())</f>
        <v/>
      </c>
      <c r="C321" s="242"/>
      <c r="D321" s="242">
        <f t="shared" si="1"/>
        <v>1</v>
      </c>
      <c r="E321" s="242">
        <f>COUNTIFS('تجربه‌گرها'!$B:$B,$A321,'تجربه‌گرها'!$F:$F,E$1)</f>
        <v>0</v>
      </c>
      <c r="F321" s="242">
        <f>COUNTIFS('تجربه‌گرها'!$B:$B,$A321,'تجربه‌گرها'!$F:$F,F$1)</f>
        <v>1</v>
      </c>
      <c r="G321" s="242">
        <f>COUNTIFS('تجربه‌گرها'!$B:$B,$A321,'تجربه‌گرها'!$F:$F,G$1)</f>
        <v>0</v>
      </c>
      <c r="H321" s="242">
        <f>COUNTIFS('تجربه‌گرها'!$B:$B,$A321,'تجربه‌گرها'!$F:$F,H$1)</f>
        <v>0</v>
      </c>
      <c r="I321" s="242">
        <f>COUNTIFS('تجربه‌گرها'!$B:$B,$A321,'تجربه‌گرها'!$F:$F,I$1)</f>
        <v>0</v>
      </c>
      <c r="J321" s="242">
        <f>COUNTIFS('تجربه‌گرها'!$B:$B,$A321,'تجربه‌گرها'!$F:$F,J$1)</f>
        <v>0</v>
      </c>
      <c r="K321" s="242">
        <f>COUNTIFS('تجربه‌گرها'!$B:$B,$A321,'تجربه‌گرها'!$F:$F,K$1)</f>
        <v>0</v>
      </c>
      <c r="L321" s="242">
        <f>COUNTIFS('تجربه‌گرها'!$B:$B,$A321,'تجربه‌گرها'!$F:$F,L$1)</f>
        <v>0</v>
      </c>
      <c r="M321" s="242">
        <f>COUNTIFS('تجربه‌گرها'!$B:$B,$A321,'تجربه‌گرها'!$F:$F,M$1)</f>
        <v>0</v>
      </c>
      <c r="N321" s="242">
        <f>COUNTIFS('تجربه‌گرها'!$B:$B,$A321,'تجربه‌گرها'!$F:$F,N$1)</f>
        <v>0</v>
      </c>
      <c r="O321" s="242">
        <f>COUNTIFS('تجربه‌گرها'!$B:$B,$A321,'تجربه‌گرها'!$F:$F,O$1)</f>
        <v>0</v>
      </c>
      <c r="P321" s="242">
        <f>COUNTIFS('تجربه‌گرها'!$B:$B,$A321,'تجربه‌گرها'!$F:$F,P$1)</f>
        <v>0</v>
      </c>
      <c r="Q321" s="242">
        <f>COUNTIFS('تجربه‌گرها'!$B:$B,$A321,'تجربه‌گرها'!$F:$F,Q$1)</f>
        <v>0</v>
      </c>
      <c r="R321" s="242">
        <f>COUNTIFS('تجربه‌گرها'!$B:$B,$A321,'تجربه‌گرها'!$F:$F,R$1)</f>
        <v>0</v>
      </c>
      <c r="S321" s="242">
        <f>COUNTIFS('تجربه‌گرها'!$B:$B,$A321,'تجربه‌گرها'!$F:$F,S$1)</f>
        <v>0</v>
      </c>
      <c r="T321" s="242">
        <f>COUNTIFS('تجربه‌گرها'!$B:$B,$A321,'تجربه‌گرها'!$F:$F,T$1)</f>
        <v>0</v>
      </c>
      <c r="U321" s="242"/>
      <c r="V321" s="242"/>
      <c r="W321" s="242"/>
      <c r="X321" s="242"/>
      <c r="Y321" s="242"/>
      <c r="Z321" s="242"/>
      <c r="AA321" s="242"/>
      <c r="AB321" s="242"/>
    </row>
    <row r="322" hidden="1">
      <c r="A322" s="244" t="s">
        <v>2496</v>
      </c>
      <c r="B322" s="245" t="str">
        <f>VLOOKUP(A322,'تجربه‌گرها'!B:C,2,FALSE())</f>
        <v/>
      </c>
      <c r="C322" s="242"/>
      <c r="D322" s="242">
        <f t="shared" si="1"/>
        <v>1</v>
      </c>
      <c r="E322" s="242">
        <f>COUNTIFS('تجربه‌گرها'!$B:$B,$A322,'تجربه‌گرها'!$F:$F,E$1)</f>
        <v>0</v>
      </c>
      <c r="F322" s="242">
        <f>COUNTIFS('تجربه‌گرها'!$B:$B,$A322,'تجربه‌گرها'!$F:$F,F$1)</f>
        <v>1</v>
      </c>
      <c r="G322" s="242">
        <f>COUNTIFS('تجربه‌گرها'!$B:$B,$A322,'تجربه‌گرها'!$F:$F,G$1)</f>
        <v>0</v>
      </c>
      <c r="H322" s="242">
        <f>COUNTIFS('تجربه‌گرها'!$B:$B,$A322,'تجربه‌گرها'!$F:$F,H$1)</f>
        <v>0</v>
      </c>
      <c r="I322" s="242">
        <f>COUNTIFS('تجربه‌گرها'!$B:$B,$A322,'تجربه‌گرها'!$F:$F,I$1)</f>
        <v>0</v>
      </c>
      <c r="J322" s="242">
        <f>COUNTIFS('تجربه‌گرها'!$B:$B,$A322,'تجربه‌گرها'!$F:$F,J$1)</f>
        <v>0</v>
      </c>
      <c r="K322" s="242">
        <f>COUNTIFS('تجربه‌گرها'!$B:$B,$A322,'تجربه‌گرها'!$F:$F,K$1)</f>
        <v>0</v>
      </c>
      <c r="L322" s="242">
        <f>COUNTIFS('تجربه‌گرها'!$B:$B,$A322,'تجربه‌گرها'!$F:$F,L$1)</f>
        <v>0</v>
      </c>
      <c r="M322" s="242">
        <f>COUNTIFS('تجربه‌گرها'!$B:$B,$A322,'تجربه‌گرها'!$F:$F,M$1)</f>
        <v>0</v>
      </c>
      <c r="N322" s="242">
        <f>COUNTIFS('تجربه‌گرها'!$B:$B,$A322,'تجربه‌گرها'!$F:$F,N$1)</f>
        <v>0</v>
      </c>
      <c r="O322" s="242">
        <f>COUNTIFS('تجربه‌گرها'!$B:$B,$A322,'تجربه‌گرها'!$F:$F,O$1)</f>
        <v>0</v>
      </c>
      <c r="P322" s="242">
        <f>COUNTIFS('تجربه‌گرها'!$B:$B,$A322,'تجربه‌گرها'!$F:$F,P$1)</f>
        <v>0</v>
      </c>
      <c r="Q322" s="242">
        <f>COUNTIFS('تجربه‌گرها'!$B:$B,$A322,'تجربه‌گرها'!$F:$F,Q$1)</f>
        <v>0</v>
      </c>
      <c r="R322" s="242">
        <f>COUNTIFS('تجربه‌گرها'!$B:$B,$A322,'تجربه‌گرها'!$F:$F,R$1)</f>
        <v>0</v>
      </c>
      <c r="S322" s="242">
        <f>COUNTIFS('تجربه‌گرها'!$B:$B,$A322,'تجربه‌گرها'!$F:$F,S$1)</f>
        <v>0</v>
      </c>
      <c r="T322" s="242">
        <f>COUNTIFS('تجربه‌گرها'!$B:$B,$A322,'تجربه‌گرها'!$F:$F,T$1)</f>
        <v>0</v>
      </c>
      <c r="U322" s="242"/>
      <c r="V322" s="242"/>
      <c r="W322" s="242"/>
      <c r="X322" s="242"/>
      <c r="Y322" s="242"/>
      <c r="Z322" s="242"/>
      <c r="AA322" s="242"/>
      <c r="AB322" s="242"/>
    </row>
    <row r="323" hidden="1">
      <c r="A323" s="244" t="s">
        <v>2501</v>
      </c>
      <c r="B323" s="245" t="str">
        <f>VLOOKUP(A323,'تجربه‌گرها'!B:C,2,FALSE())</f>
        <v>9125575325</v>
      </c>
      <c r="C323" s="242"/>
      <c r="D323" s="242">
        <f t="shared" si="1"/>
        <v>1</v>
      </c>
      <c r="E323" s="242">
        <f>COUNTIFS('تجربه‌گرها'!$B:$B,$A323,'تجربه‌گرها'!$F:$F,E$1)</f>
        <v>0</v>
      </c>
      <c r="F323" s="242">
        <f>COUNTIFS('تجربه‌گرها'!$B:$B,$A323,'تجربه‌گرها'!$F:$F,F$1)</f>
        <v>1</v>
      </c>
      <c r="G323" s="242">
        <f>COUNTIFS('تجربه‌گرها'!$B:$B,$A323,'تجربه‌گرها'!$F:$F,G$1)</f>
        <v>0</v>
      </c>
      <c r="H323" s="242">
        <f>COUNTIFS('تجربه‌گرها'!$B:$B,$A323,'تجربه‌گرها'!$F:$F,H$1)</f>
        <v>0</v>
      </c>
      <c r="I323" s="242">
        <f>COUNTIFS('تجربه‌گرها'!$B:$B,$A323,'تجربه‌گرها'!$F:$F,I$1)</f>
        <v>0</v>
      </c>
      <c r="J323" s="242">
        <f>COUNTIFS('تجربه‌گرها'!$B:$B,$A323,'تجربه‌گرها'!$F:$F,J$1)</f>
        <v>0</v>
      </c>
      <c r="K323" s="242">
        <f>COUNTIFS('تجربه‌گرها'!$B:$B,$A323,'تجربه‌گرها'!$F:$F,K$1)</f>
        <v>0</v>
      </c>
      <c r="L323" s="242">
        <f>COUNTIFS('تجربه‌گرها'!$B:$B,$A323,'تجربه‌گرها'!$F:$F,L$1)</f>
        <v>0</v>
      </c>
      <c r="M323" s="242">
        <f>COUNTIFS('تجربه‌گرها'!$B:$B,$A323,'تجربه‌گرها'!$F:$F,M$1)</f>
        <v>0</v>
      </c>
      <c r="N323" s="242">
        <f>COUNTIFS('تجربه‌گرها'!$B:$B,$A323,'تجربه‌گرها'!$F:$F,N$1)</f>
        <v>0</v>
      </c>
      <c r="O323" s="242">
        <f>COUNTIFS('تجربه‌گرها'!$B:$B,$A323,'تجربه‌گرها'!$F:$F,O$1)</f>
        <v>0</v>
      </c>
      <c r="P323" s="242">
        <f>COUNTIFS('تجربه‌گرها'!$B:$B,$A323,'تجربه‌گرها'!$F:$F,P$1)</f>
        <v>0</v>
      </c>
      <c r="Q323" s="242">
        <f>COUNTIFS('تجربه‌گرها'!$B:$B,$A323,'تجربه‌گرها'!$F:$F,Q$1)</f>
        <v>0</v>
      </c>
      <c r="R323" s="242">
        <f>COUNTIFS('تجربه‌گرها'!$B:$B,$A323,'تجربه‌گرها'!$F:$F,R$1)</f>
        <v>0</v>
      </c>
      <c r="S323" s="242">
        <f>COUNTIFS('تجربه‌گرها'!$B:$B,$A323,'تجربه‌گرها'!$F:$F,S$1)</f>
        <v>0</v>
      </c>
      <c r="T323" s="242">
        <f>COUNTIFS('تجربه‌گرها'!$B:$B,$A323,'تجربه‌گرها'!$F:$F,T$1)</f>
        <v>0</v>
      </c>
      <c r="U323" s="242"/>
      <c r="V323" s="242"/>
      <c r="W323" s="242"/>
      <c r="X323" s="242"/>
      <c r="Y323" s="242"/>
      <c r="Z323" s="242"/>
      <c r="AA323" s="242"/>
      <c r="AB323" s="242"/>
    </row>
    <row r="324" hidden="1">
      <c r="A324" s="244" t="s">
        <v>2506</v>
      </c>
      <c r="B324" s="245" t="str">
        <f>VLOOKUP(A324,'تجربه‌گرها'!B:C,2,FALSE())</f>
        <v/>
      </c>
      <c r="C324" s="242"/>
      <c r="D324" s="242">
        <f t="shared" si="1"/>
        <v>1</v>
      </c>
      <c r="E324" s="242">
        <f>COUNTIFS('تجربه‌گرها'!$B:$B,$A324,'تجربه‌گرها'!$F:$F,E$1)</f>
        <v>0</v>
      </c>
      <c r="F324" s="242">
        <f>COUNTIFS('تجربه‌گرها'!$B:$B,$A324,'تجربه‌گرها'!$F:$F,F$1)</f>
        <v>1</v>
      </c>
      <c r="G324" s="242">
        <f>COUNTIFS('تجربه‌گرها'!$B:$B,$A324,'تجربه‌گرها'!$F:$F,G$1)</f>
        <v>0</v>
      </c>
      <c r="H324" s="242">
        <f>COUNTIFS('تجربه‌گرها'!$B:$B,$A324,'تجربه‌گرها'!$F:$F,H$1)</f>
        <v>0</v>
      </c>
      <c r="I324" s="242">
        <f>COUNTIFS('تجربه‌گرها'!$B:$B,$A324,'تجربه‌گرها'!$F:$F,I$1)</f>
        <v>0</v>
      </c>
      <c r="J324" s="242">
        <f>COUNTIFS('تجربه‌گرها'!$B:$B,$A324,'تجربه‌گرها'!$F:$F,J$1)</f>
        <v>0</v>
      </c>
      <c r="K324" s="242">
        <f>COUNTIFS('تجربه‌گرها'!$B:$B,$A324,'تجربه‌گرها'!$F:$F,K$1)</f>
        <v>0</v>
      </c>
      <c r="L324" s="242">
        <f>COUNTIFS('تجربه‌گرها'!$B:$B,$A324,'تجربه‌گرها'!$F:$F,L$1)</f>
        <v>0</v>
      </c>
      <c r="M324" s="242">
        <f>COUNTIFS('تجربه‌گرها'!$B:$B,$A324,'تجربه‌گرها'!$F:$F,M$1)</f>
        <v>0</v>
      </c>
      <c r="N324" s="242">
        <f>COUNTIFS('تجربه‌گرها'!$B:$B,$A324,'تجربه‌گرها'!$F:$F,N$1)</f>
        <v>0</v>
      </c>
      <c r="O324" s="242">
        <f>COUNTIFS('تجربه‌گرها'!$B:$B,$A324,'تجربه‌گرها'!$F:$F,O$1)</f>
        <v>0</v>
      </c>
      <c r="P324" s="242">
        <f>COUNTIFS('تجربه‌گرها'!$B:$B,$A324,'تجربه‌گرها'!$F:$F,P$1)</f>
        <v>0</v>
      </c>
      <c r="Q324" s="242">
        <f>COUNTIFS('تجربه‌گرها'!$B:$B,$A324,'تجربه‌گرها'!$F:$F,Q$1)</f>
        <v>0</v>
      </c>
      <c r="R324" s="242">
        <f>COUNTIFS('تجربه‌گرها'!$B:$B,$A324,'تجربه‌گرها'!$F:$F,R$1)</f>
        <v>0</v>
      </c>
      <c r="S324" s="242">
        <f>COUNTIFS('تجربه‌گرها'!$B:$B,$A324,'تجربه‌گرها'!$F:$F,S$1)</f>
        <v>0</v>
      </c>
      <c r="T324" s="242">
        <f>COUNTIFS('تجربه‌گرها'!$B:$B,$A324,'تجربه‌گرها'!$F:$F,T$1)</f>
        <v>0</v>
      </c>
      <c r="U324" s="242"/>
      <c r="V324" s="242"/>
      <c r="W324" s="242"/>
      <c r="X324" s="242"/>
      <c r="Y324" s="242"/>
      <c r="Z324" s="242"/>
      <c r="AA324" s="242"/>
      <c r="AB324" s="242"/>
    </row>
    <row r="325" hidden="1">
      <c r="A325" s="244" t="s">
        <v>2507</v>
      </c>
      <c r="B325" s="245" t="str">
        <f>VLOOKUP(A325,'تجربه‌گرها'!B:C,2,FALSE())</f>
        <v/>
      </c>
      <c r="C325" s="242"/>
      <c r="D325" s="242">
        <f t="shared" si="1"/>
        <v>1</v>
      </c>
      <c r="E325" s="242">
        <f>COUNTIFS('تجربه‌گرها'!$B:$B,$A325,'تجربه‌گرها'!$F:$F,E$1)</f>
        <v>0</v>
      </c>
      <c r="F325" s="242">
        <f>COUNTIFS('تجربه‌گرها'!$B:$B,$A325,'تجربه‌گرها'!$F:$F,F$1)</f>
        <v>1</v>
      </c>
      <c r="G325" s="242">
        <f>COUNTIFS('تجربه‌گرها'!$B:$B,$A325,'تجربه‌گرها'!$F:$F,G$1)</f>
        <v>0</v>
      </c>
      <c r="H325" s="242">
        <f>COUNTIFS('تجربه‌گرها'!$B:$B,$A325,'تجربه‌گرها'!$F:$F,H$1)</f>
        <v>0</v>
      </c>
      <c r="I325" s="242">
        <f>COUNTIFS('تجربه‌گرها'!$B:$B,$A325,'تجربه‌گرها'!$F:$F,I$1)</f>
        <v>0</v>
      </c>
      <c r="J325" s="242">
        <f>COUNTIFS('تجربه‌گرها'!$B:$B,$A325,'تجربه‌گرها'!$F:$F,J$1)</f>
        <v>0</v>
      </c>
      <c r="K325" s="242">
        <f>COUNTIFS('تجربه‌گرها'!$B:$B,$A325,'تجربه‌گرها'!$F:$F,K$1)</f>
        <v>0</v>
      </c>
      <c r="L325" s="242">
        <f>COUNTIFS('تجربه‌گرها'!$B:$B,$A325,'تجربه‌گرها'!$F:$F,L$1)</f>
        <v>0</v>
      </c>
      <c r="M325" s="242">
        <f>COUNTIFS('تجربه‌گرها'!$B:$B,$A325,'تجربه‌گرها'!$F:$F,M$1)</f>
        <v>0</v>
      </c>
      <c r="N325" s="242">
        <f>COUNTIFS('تجربه‌گرها'!$B:$B,$A325,'تجربه‌گرها'!$F:$F,N$1)</f>
        <v>0</v>
      </c>
      <c r="O325" s="242">
        <f>COUNTIFS('تجربه‌گرها'!$B:$B,$A325,'تجربه‌گرها'!$F:$F,O$1)</f>
        <v>0</v>
      </c>
      <c r="P325" s="242">
        <f>COUNTIFS('تجربه‌گرها'!$B:$B,$A325,'تجربه‌گرها'!$F:$F,P$1)</f>
        <v>0</v>
      </c>
      <c r="Q325" s="242">
        <f>COUNTIFS('تجربه‌گرها'!$B:$B,$A325,'تجربه‌گرها'!$F:$F,Q$1)</f>
        <v>0</v>
      </c>
      <c r="R325" s="242">
        <f>COUNTIFS('تجربه‌گرها'!$B:$B,$A325,'تجربه‌گرها'!$F:$F,R$1)</f>
        <v>0</v>
      </c>
      <c r="S325" s="242">
        <f>COUNTIFS('تجربه‌گرها'!$B:$B,$A325,'تجربه‌گرها'!$F:$F,S$1)</f>
        <v>0</v>
      </c>
      <c r="T325" s="242">
        <f>COUNTIFS('تجربه‌گرها'!$B:$B,$A325,'تجربه‌گرها'!$F:$F,T$1)</f>
        <v>0</v>
      </c>
      <c r="U325" s="242"/>
      <c r="V325" s="242"/>
      <c r="W325" s="242"/>
      <c r="X325" s="242"/>
      <c r="Y325" s="242"/>
      <c r="Z325" s="242"/>
      <c r="AA325" s="242"/>
      <c r="AB325" s="242"/>
    </row>
    <row r="326" hidden="1">
      <c r="A326" s="244" t="s">
        <v>2508</v>
      </c>
      <c r="B326" s="245" t="str">
        <f>VLOOKUP(A326,'تجربه‌گرها'!B:C,2,FALSE())</f>
        <v>9121857390</v>
      </c>
      <c r="C326" s="242"/>
      <c r="D326" s="242">
        <f t="shared" si="1"/>
        <v>1</v>
      </c>
      <c r="E326" s="242">
        <f>COUNTIFS('تجربه‌گرها'!$B:$B,$A326,'تجربه‌گرها'!$F:$F,E$1)</f>
        <v>0</v>
      </c>
      <c r="F326" s="242">
        <f>COUNTIFS('تجربه‌گرها'!$B:$B,$A326,'تجربه‌گرها'!$F:$F,F$1)</f>
        <v>1</v>
      </c>
      <c r="G326" s="242">
        <f>COUNTIFS('تجربه‌گرها'!$B:$B,$A326,'تجربه‌گرها'!$F:$F,G$1)</f>
        <v>0</v>
      </c>
      <c r="H326" s="242">
        <f>COUNTIFS('تجربه‌گرها'!$B:$B,$A326,'تجربه‌گرها'!$F:$F,H$1)</f>
        <v>0</v>
      </c>
      <c r="I326" s="242">
        <f>COUNTIFS('تجربه‌گرها'!$B:$B,$A326,'تجربه‌گرها'!$F:$F,I$1)</f>
        <v>0</v>
      </c>
      <c r="J326" s="242">
        <f>COUNTIFS('تجربه‌گرها'!$B:$B,$A326,'تجربه‌گرها'!$F:$F,J$1)</f>
        <v>0</v>
      </c>
      <c r="K326" s="242">
        <f>COUNTIFS('تجربه‌گرها'!$B:$B,$A326,'تجربه‌گرها'!$F:$F,K$1)</f>
        <v>0</v>
      </c>
      <c r="L326" s="242">
        <f>COUNTIFS('تجربه‌گرها'!$B:$B,$A326,'تجربه‌گرها'!$F:$F,L$1)</f>
        <v>0</v>
      </c>
      <c r="M326" s="242">
        <f>COUNTIFS('تجربه‌گرها'!$B:$B,$A326,'تجربه‌گرها'!$F:$F,M$1)</f>
        <v>0</v>
      </c>
      <c r="N326" s="242">
        <f>COUNTIFS('تجربه‌گرها'!$B:$B,$A326,'تجربه‌گرها'!$F:$F,N$1)</f>
        <v>0</v>
      </c>
      <c r="O326" s="242">
        <f>COUNTIFS('تجربه‌گرها'!$B:$B,$A326,'تجربه‌گرها'!$F:$F,O$1)</f>
        <v>0</v>
      </c>
      <c r="P326" s="242">
        <f>COUNTIFS('تجربه‌گرها'!$B:$B,$A326,'تجربه‌گرها'!$F:$F,P$1)</f>
        <v>0</v>
      </c>
      <c r="Q326" s="242">
        <f>COUNTIFS('تجربه‌گرها'!$B:$B,$A326,'تجربه‌گرها'!$F:$F,Q$1)</f>
        <v>0</v>
      </c>
      <c r="R326" s="242">
        <f>COUNTIFS('تجربه‌گرها'!$B:$B,$A326,'تجربه‌گرها'!$F:$F,R$1)</f>
        <v>0</v>
      </c>
      <c r="S326" s="242">
        <f>COUNTIFS('تجربه‌گرها'!$B:$B,$A326,'تجربه‌گرها'!$F:$F,S$1)</f>
        <v>0</v>
      </c>
      <c r="T326" s="242">
        <f>COUNTIFS('تجربه‌گرها'!$B:$B,$A326,'تجربه‌گرها'!$F:$F,T$1)</f>
        <v>0</v>
      </c>
      <c r="U326" s="242"/>
      <c r="V326" s="242"/>
      <c r="W326" s="242"/>
      <c r="X326" s="242"/>
      <c r="Y326" s="242"/>
      <c r="Z326" s="242"/>
      <c r="AA326" s="242"/>
      <c r="AB326" s="242"/>
    </row>
    <row r="327" hidden="1">
      <c r="A327" s="244" t="s">
        <v>2514</v>
      </c>
      <c r="B327" s="245" t="str">
        <f>VLOOKUP(A327,'تجربه‌گرها'!B:C,2,FALSE())</f>
        <v/>
      </c>
      <c r="C327" s="242"/>
      <c r="D327" s="242">
        <f t="shared" si="1"/>
        <v>1</v>
      </c>
      <c r="E327" s="242">
        <f>COUNTIFS('تجربه‌گرها'!$B:$B,$A327,'تجربه‌گرها'!$F:$F,E$1)</f>
        <v>0</v>
      </c>
      <c r="F327" s="242">
        <f>COUNTIFS('تجربه‌گرها'!$B:$B,$A327,'تجربه‌گرها'!$F:$F,F$1)</f>
        <v>1</v>
      </c>
      <c r="G327" s="242">
        <f>COUNTIFS('تجربه‌گرها'!$B:$B,$A327,'تجربه‌گرها'!$F:$F,G$1)</f>
        <v>0</v>
      </c>
      <c r="H327" s="242">
        <f>COUNTIFS('تجربه‌گرها'!$B:$B,$A327,'تجربه‌گرها'!$F:$F,H$1)</f>
        <v>0</v>
      </c>
      <c r="I327" s="242">
        <f>COUNTIFS('تجربه‌گرها'!$B:$B,$A327,'تجربه‌گرها'!$F:$F,I$1)</f>
        <v>0</v>
      </c>
      <c r="J327" s="242">
        <f>COUNTIFS('تجربه‌گرها'!$B:$B,$A327,'تجربه‌گرها'!$F:$F,J$1)</f>
        <v>0</v>
      </c>
      <c r="K327" s="242">
        <f>COUNTIFS('تجربه‌گرها'!$B:$B,$A327,'تجربه‌گرها'!$F:$F,K$1)</f>
        <v>0</v>
      </c>
      <c r="L327" s="242">
        <f>COUNTIFS('تجربه‌گرها'!$B:$B,$A327,'تجربه‌گرها'!$F:$F,L$1)</f>
        <v>0</v>
      </c>
      <c r="M327" s="242">
        <f>COUNTIFS('تجربه‌گرها'!$B:$B,$A327,'تجربه‌گرها'!$F:$F,M$1)</f>
        <v>0</v>
      </c>
      <c r="N327" s="242">
        <f>COUNTIFS('تجربه‌گرها'!$B:$B,$A327,'تجربه‌گرها'!$F:$F,N$1)</f>
        <v>0</v>
      </c>
      <c r="O327" s="242">
        <f>COUNTIFS('تجربه‌گرها'!$B:$B,$A327,'تجربه‌گرها'!$F:$F,O$1)</f>
        <v>0</v>
      </c>
      <c r="P327" s="242">
        <f>COUNTIFS('تجربه‌گرها'!$B:$B,$A327,'تجربه‌گرها'!$F:$F,P$1)</f>
        <v>0</v>
      </c>
      <c r="Q327" s="242">
        <f>COUNTIFS('تجربه‌گرها'!$B:$B,$A327,'تجربه‌گرها'!$F:$F,Q$1)</f>
        <v>0</v>
      </c>
      <c r="R327" s="242">
        <f>COUNTIFS('تجربه‌گرها'!$B:$B,$A327,'تجربه‌گرها'!$F:$F,R$1)</f>
        <v>0</v>
      </c>
      <c r="S327" s="242">
        <f>COUNTIFS('تجربه‌گرها'!$B:$B,$A327,'تجربه‌گرها'!$F:$F,S$1)</f>
        <v>0</v>
      </c>
      <c r="T327" s="242">
        <f>COUNTIFS('تجربه‌گرها'!$B:$B,$A327,'تجربه‌گرها'!$F:$F,T$1)</f>
        <v>0</v>
      </c>
      <c r="U327" s="242"/>
      <c r="V327" s="242"/>
      <c r="W327" s="242"/>
      <c r="X327" s="242"/>
      <c r="Y327" s="242"/>
      <c r="Z327" s="242"/>
      <c r="AA327" s="242"/>
      <c r="AB327" s="242"/>
    </row>
    <row r="328" hidden="1">
      <c r="A328" s="244" t="s">
        <v>2519</v>
      </c>
      <c r="B328" s="245" t="str">
        <f>VLOOKUP(A328,'تجربه‌گرها'!B:C,2,FALSE())</f>
        <v>9126482972</v>
      </c>
      <c r="C328" s="242"/>
      <c r="D328" s="242">
        <f t="shared" si="1"/>
        <v>1</v>
      </c>
      <c r="E328" s="242">
        <f>COUNTIFS('تجربه‌گرها'!$B:$B,$A328,'تجربه‌گرها'!$F:$F,E$1)</f>
        <v>0</v>
      </c>
      <c r="F328" s="242">
        <f>COUNTIFS('تجربه‌گرها'!$B:$B,$A328,'تجربه‌گرها'!$F:$F,F$1)</f>
        <v>1</v>
      </c>
      <c r="G328" s="242">
        <f>COUNTIFS('تجربه‌گرها'!$B:$B,$A328,'تجربه‌گرها'!$F:$F,G$1)</f>
        <v>0</v>
      </c>
      <c r="H328" s="242">
        <f>COUNTIFS('تجربه‌گرها'!$B:$B,$A328,'تجربه‌گرها'!$F:$F,H$1)</f>
        <v>0</v>
      </c>
      <c r="I328" s="242">
        <f>COUNTIFS('تجربه‌گرها'!$B:$B,$A328,'تجربه‌گرها'!$F:$F,I$1)</f>
        <v>0</v>
      </c>
      <c r="J328" s="242">
        <f>COUNTIFS('تجربه‌گرها'!$B:$B,$A328,'تجربه‌گرها'!$F:$F,J$1)</f>
        <v>0</v>
      </c>
      <c r="K328" s="242">
        <f>COUNTIFS('تجربه‌گرها'!$B:$B,$A328,'تجربه‌گرها'!$F:$F,K$1)</f>
        <v>0</v>
      </c>
      <c r="L328" s="242">
        <f>COUNTIFS('تجربه‌گرها'!$B:$B,$A328,'تجربه‌گرها'!$F:$F,L$1)</f>
        <v>0</v>
      </c>
      <c r="M328" s="242">
        <f>COUNTIFS('تجربه‌گرها'!$B:$B,$A328,'تجربه‌گرها'!$F:$F,M$1)</f>
        <v>0</v>
      </c>
      <c r="N328" s="242">
        <f>COUNTIFS('تجربه‌گرها'!$B:$B,$A328,'تجربه‌گرها'!$F:$F,N$1)</f>
        <v>0</v>
      </c>
      <c r="O328" s="242">
        <f>COUNTIFS('تجربه‌گرها'!$B:$B,$A328,'تجربه‌گرها'!$F:$F,O$1)</f>
        <v>0</v>
      </c>
      <c r="P328" s="242">
        <f>COUNTIFS('تجربه‌گرها'!$B:$B,$A328,'تجربه‌گرها'!$F:$F,P$1)</f>
        <v>0</v>
      </c>
      <c r="Q328" s="242">
        <f>COUNTIFS('تجربه‌گرها'!$B:$B,$A328,'تجربه‌گرها'!$F:$F,Q$1)</f>
        <v>0</v>
      </c>
      <c r="R328" s="242">
        <f>COUNTIFS('تجربه‌گرها'!$B:$B,$A328,'تجربه‌گرها'!$F:$F,R$1)</f>
        <v>0</v>
      </c>
      <c r="S328" s="242">
        <f>COUNTIFS('تجربه‌گرها'!$B:$B,$A328,'تجربه‌گرها'!$F:$F,S$1)</f>
        <v>0</v>
      </c>
      <c r="T328" s="242">
        <f>COUNTIFS('تجربه‌گرها'!$B:$B,$A328,'تجربه‌گرها'!$F:$F,T$1)</f>
        <v>0</v>
      </c>
      <c r="U328" s="242"/>
      <c r="V328" s="242"/>
      <c r="W328" s="242"/>
      <c r="X328" s="242"/>
      <c r="Y328" s="242"/>
      <c r="Z328" s="242"/>
      <c r="AA328" s="242"/>
      <c r="AB328" s="242"/>
    </row>
    <row r="329" hidden="1">
      <c r="A329" s="244" t="s">
        <v>2522</v>
      </c>
      <c r="B329" s="245" t="str">
        <f>VLOOKUP(A329,'تجربه‌گرها'!B:C,2,FALSE())</f>
        <v>9124301448</v>
      </c>
      <c r="C329" s="242"/>
      <c r="D329" s="242">
        <f t="shared" si="1"/>
        <v>1</v>
      </c>
      <c r="E329" s="242">
        <f>COUNTIFS('تجربه‌گرها'!$B:$B,$A329,'تجربه‌گرها'!$F:$F,E$1)</f>
        <v>0</v>
      </c>
      <c r="F329" s="242">
        <f>COUNTIFS('تجربه‌گرها'!$B:$B,$A329,'تجربه‌گرها'!$F:$F,F$1)</f>
        <v>1</v>
      </c>
      <c r="G329" s="242">
        <f>COUNTIFS('تجربه‌گرها'!$B:$B,$A329,'تجربه‌گرها'!$F:$F,G$1)</f>
        <v>0</v>
      </c>
      <c r="H329" s="242">
        <f>COUNTIFS('تجربه‌گرها'!$B:$B,$A329,'تجربه‌گرها'!$F:$F,H$1)</f>
        <v>0</v>
      </c>
      <c r="I329" s="242">
        <f>COUNTIFS('تجربه‌گرها'!$B:$B,$A329,'تجربه‌گرها'!$F:$F,I$1)</f>
        <v>0</v>
      </c>
      <c r="J329" s="242">
        <f>COUNTIFS('تجربه‌گرها'!$B:$B,$A329,'تجربه‌گرها'!$F:$F,J$1)</f>
        <v>0</v>
      </c>
      <c r="K329" s="242">
        <f>COUNTIFS('تجربه‌گرها'!$B:$B,$A329,'تجربه‌گرها'!$F:$F,K$1)</f>
        <v>0</v>
      </c>
      <c r="L329" s="242">
        <f>COUNTIFS('تجربه‌گرها'!$B:$B,$A329,'تجربه‌گرها'!$F:$F,L$1)</f>
        <v>0</v>
      </c>
      <c r="M329" s="242">
        <f>COUNTIFS('تجربه‌گرها'!$B:$B,$A329,'تجربه‌گرها'!$F:$F,M$1)</f>
        <v>0</v>
      </c>
      <c r="N329" s="242">
        <f>COUNTIFS('تجربه‌گرها'!$B:$B,$A329,'تجربه‌گرها'!$F:$F,N$1)</f>
        <v>0</v>
      </c>
      <c r="O329" s="242">
        <f>COUNTIFS('تجربه‌گرها'!$B:$B,$A329,'تجربه‌گرها'!$F:$F,O$1)</f>
        <v>0</v>
      </c>
      <c r="P329" s="242">
        <f>COUNTIFS('تجربه‌گرها'!$B:$B,$A329,'تجربه‌گرها'!$F:$F,P$1)</f>
        <v>0</v>
      </c>
      <c r="Q329" s="242">
        <f>COUNTIFS('تجربه‌گرها'!$B:$B,$A329,'تجربه‌گرها'!$F:$F,Q$1)</f>
        <v>0</v>
      </c>
      <c r="R329" s="242">
        <f>COUNTIFS('تجربه‌گرها'!$B:$B,$A329,'تجربه‌گرها'!$F:$F,R$1)</f>
        <v>0</v>
      </c>
      <c r="S329" s="242">
        <f>COUNTIFS('تجربه‌گرها'!$B:$B,$A329,'تجربه‌گرها'!$F:$F,S$1)</f>
        <v>0</v>
      </c>
      <c r="T329" s="242">
        <f>COUNTIFS('تجربه‌گرها'!$B:$B,$A329,'تجربه‌گرها'!$F:$F,T$1)</f>
        <v>0</v>
      </c>
      <c r="U329" s="242"/>
      <c r="V329" s="242"/>
      <c r="W329" s="242"/>
      <c r="X329" s="242"/>
      <c r="Y329" s="242"/>
      <c r="Z329" s="242"/>
      <c r="AA329" s="242"/>
      <c r="AB329" s="242"/>
    </row>
    <row r="330" hidden="1">
      <c r="A330" s="244" t="s">
        <v>2528</v>
      </c>
      <c r="B330" s="245" t="str">
        <f>VLOOKUP(A330,'تجربه‌گرها'!B:C,2,FALSE())</f>
        <v>9125041990</v>
      </c>
      <c r="C330" s="242"/>
      <c r="D330" s="242">
        <f t="shared" si="1"/>
        <v>1</v>
      </c>
      <c r="E330" s="242">
        <f>COUNTIFS('تجربه‌گرها'!$B:$B,$A330,'تجربه‌گرها'!$F:$F,E$1)</f>
        <v>0</v>
      </c>
      <c r="F330" s="242">
        <f>COUNTIFS('تجربه‌گرها'!$B:$B,$A330,'تجربه‌گرها'!$F:$F,F$1)</f>
        <v>1</v>
      </c>
      <c r="G330" s="242">
        <f>COUNTIFS('تجربه‌گرها'!$B:$B,$A330,'تجربه‌گرها'!$F:$F,G$1)</f>
        <v>0</v>
      </c>
      <c r="H330" s="242">
        <f>COUNTIFS('تجربه‌گرها'!$B:$B,$A330,'تجربه‌گرها'!$F:$F,H$1)</f>
        <v>0</v>
      </c>
      <c r="I330" s="242">
        <f>COUNTIFS('تجربه‌گرها'!$B:$B,$A330,'تجربه‌گرها'!$F:$F,I$1)</f>
        <v>0</v>
      </c>
      <c r="J330" s="242">
        <f>COUNTIFS('تجربه‌گرها'!$B:$B,$A330,'تجربه‌گرها'!$F:$F,J$1)</f>
        <v>0</v>
      </c>
      <c r="K330" s="242">
        <f>COUNTIFS('تجربه‌گرها'!$B:$B,$A330,'تجربه‌گرها'!$F:$F,K$1)</f>
        <v>0</v>
      </c>
      <c r="L330" s="242">
        <f>COUNTIFS('تجربه‌گرها'!$B:$B,$A330,'تجربه‌گرها'!$F:$F,L$1)</f>
        <v>0</v>
      </c>
      <c r="M330" s="242">
        <f>COUNTIFS('تجربه‌گرها'!$B:$B,$A330,'تجربه‌گرها'!$F:$F,M$1)</f>
        <v>0</v>
      </c>
      <c r="N330" s="242">
        <f>COUNTIFS('تجربه‌گرها'!$B:$B,$A330,'تجربه‌گرها'!$F:$F,N$1)</f>
        <v>0</v>
      </c>
      <c r="O330" s="242">
        <f>COUNTIFS('تجربه‌گرها'!$B:$B,$A330,'تجربه‌گرها'!$F:$F,O$1)</f>
        <v>0</v>
      </c>
      <c r="P330" s="242">
        <f>COUNTIFS('تجربه‌گرها'!$B:$B,$A330,'تجربه‌گرها'!$F:$F,P$1)</f>
        <v>0</v>
      </c>
      <c r="Q330" s="242">
        <f>COUNTIFS('تجربه‌گرها'!$B:$B,$A330,'تجربه‌گرها'!$F:$F,Q$1)</f>
        <v>0</v>
      </c>
      <c r="R330" s="242">
        <f>COUNTIFS('تجربه‌گرها'!$B:$B,$A330,'تجربه‌گرها'!$F:$F,R$1)</f>
        <v>0</v>
      </c>
      <c r="S330" s="242">
        <f>COUNTIFS('تجربه‌گرها'!$B:$B,$A330,'تجربه‌گرها'!$F:$F,S$1)</f>
        <v>0</v>
      </c>
      <c r="T330" s="242">
        <f>COUNTIFS('تجربه‌گرها'!$B:$B,$A330,'تجربه‌گرها'!$F:$F,T$1)</f>
        <v>0</v>
      </c>
      <c r="U330" s="242"/>
      <c r="V330" s="242"/>
      <c r="W330" s="242"/>
      <c r="X330" s="242"/>
      <c r="Y330" s="242"/>
      <c r="Z330" s="242"/>
      <c r="AA330" s="242"/>
      <c r="AB330" s="242"/>
    </row>
    <row r="331" hidden="1">
      <c r="A331" s="244" t="s">
        <v>2534</v>
      </c>
      <c r="B331" s="245" t="str">
        <f>VLOOKUP(A331,'تجربه‌گرها'!B:C,2,FALSE())</f>
        <v>9123816727</v>
      </c>
      <c r="C331" s="242"/>
      <c r="D331" s="242">
        <f t="shared" si="1"/>
        <v>1</v>
      </c>
      <c r="E331" s="242">
        <f>COUNTIFS('تجربه‌گرها'!$B:$B,$A331,'تجربه‌گرها'!$F:$F,E$1)</f>
        <v>0</v>
      </c>
      <c r="F331" s="242">
        <f>COUNTIFS('تجربه‌گرها'!$B:$B,$A331,'تجربه‌گرها'!$F:$F,F$1)</f>
        <v>1</v>
      </c>
      <c r="G331" s="242">
        <f>COUNTIFS('تجربه‌گرها'!$B:$B,$A331,'تجربه‌گرها'!$F:$F,G$1)</f>
        <v>0</v>
      </c>
      <c r="H331" s="242">
        <f>COUNTIFS('تجربه‌گرها'!$B:$B,$A331,'تجربه‌گرها'!$F:$F,H$1)</f>
        <v>0</v>
      </c>
      <c r="I331" s="242">
        <f>COUNTIFS('تجربه‌گرها'!$B:$B,$A331,'تجربه‌گرها'!$F:$F,I$1)</f>
        <v>0</v>
      </c>
      <c r="J331" s="242">
        <f>COUNTIFS('تجربه‌گرها'!$B:$B,$A331,'تجربه‌گرها'!$F:$F,J$1)</f>
        <v>0</v>
      </c>
      <c r="K331" s="242">
        <f>COUNTIFS('تجربه‌گرها'!$B:$B,$A331,'تجربه‌گرها'!$F:$F,K$1)</f>
        <v>0</v>
      </c>
      <c r="L331" s="242">
        <f>COUNTIFS('تجربه‌گرها'!$B:$B,$A331,'تجربه‌گرها'!$F:$F,L$1)</f>
        <v>0</v>
      </c>
      <c r="M331" s="242">
        <f>COUNTIFS('تجربه‌گرها'!$B:$B,$A331,'تجربه‌گرها'!$F:$F,M$1)</f>
        <v>0</v>
      </c>
      <c r="N331" s="242">
        <f>COUNTIFS('تجربه‌گرها'!$B:$B,$A331,'تجربه‌گرها'!$F:$F,N$1)</f>
        <v>0</v>
      </c>
      <c r="O331" s="242">
        <f>COUNTIFS('تجربه‌گرها'!$B:$B,$A331,'تجربه‌گرها'!$F:$F,O$1)</f>
        <v>0</v>
      </c>
      <c r="P331" s="242">
        <f>COUNTIFS('تجربه‌گرها'!$B:$B,$A331,'تجربه‌گرها'!$F:$F,P$1)</f>
        <v>0</v>
      </c>
      <c r="Q331" s="242">
        <f>COUNTIFS('تجربه‌گرها'!$B:$B,$A331,'تجربه‌گرها'!$F:$F,Q$1)</f>
        <v>0</v>
      </c>
      <c r="R331" s="242">
        <f>COUNTIFS('تجربه‌گرها'!$B:$B,$A331,'تجربه‌گرها'!$F:$F,R$1)</f>
        <v>0</v>
      </c>
      <c r="S331" s="242">
        <f>COUNTIFS('تجربه‌گرها'!$B:$B,$A331,'تجربه‌گرها'!$F:$F,S$1)</f>
        <v>0</v>
      </c>
      <c r="T331" s="242">
        <f>COUNTIFS('تجربه‌گرها'!$B:$B,$A331,'تجربه‌گرها'!$F:$F,T$1)</f>
        <v>0</v>
      </c>
      <c r="U331" s="242"/>
      <c r="V331" s="242"/>
      <c r="W331" s="242"/>
      <c r="X331" s="242"/>
      <c r="Y331" s="242"/>
      <c r="Z331" s="242"/>
      <c r="AA331" s="242"/>
      <c r="AB331" s="242"/>
    </row>
    <row r="332" hidden="1">
      <c r="A332" s="244" t="s">
        <v>2539</v>
      </c>
      <c r="B332" s="245" t="str">
        <f>VLOOKUP(A332,'تجربه‌گرها'!B:C,2,FALSE())</f>
        <v>9123241798</v>
      </c>
      <c r="C332" s="242"/>
      <c r="D332" s="242">
        <f t="shared" si="1"/>
        <v>1</v>
      </c>
      <c r="E332" s="242">
        <f>COUNTIFS('تجربه‌گرها'!$B:$B,$A332,'تجربه‌گرها'!$F:$F,E$1)</f>
        <v>0</v>
      </c>
      <c r="F332" s="242">
        <f>COUNTIFS('تجربه‌گرها'!$B:$B,$A332,'تجربه‌گرها'!$F:$F,F$1)</f>
        <v>1</v>
      </c>
      <c r="G332" s="242">
        <f>COUNTIFS('تجربه‌گرها'!$B:$B,$A332,'تجربه‌گرها'!$F:$F,G$1)</f>
        <v>0</v>
      </c>
      <c r="H332" s="242">
        <f>COUNTIFS('تجربه‌گرها'!$B:$B,$A332,'تجربه‌گرها'!$F:$F,H$1)</f>
        <v>0</v>
      </c>
      <c r="I332" s="242">
        <f>COUNTIFS('تجربه‌گرها'!$B:$B,$A332,'تجربه‌گرها'!$F:$F,I$1)</f>
        <v>0</v>
      </c>
      <c r="J332" s="242">
        <f>COUNTIFS('تجربه‌گرها'!$B:$B,$A332,'تجربه‌گرها'!$F:$F,J$1)</f>
        <v>0</v>
      </c>
      <c r="K332" s="242">
        <f>COUNTIFS('تجربه‌گرها'!$B:$B,$A332,'تجربه‌گرها'!$F:$F,K$1)</f>
        <v>0</v>
      </c>
      <c r="L332" s="242">
        <f>COUNTIFS('تجربه‌گرها'!$B:$B,$A332,'تجربه‌گرها'!$F:$F,L$1)</f>
        <v>0</v>
      </c>
      <c r="M332" s="242">
        <f>COUNTIFS('تجربه‌گرها'!$B:$B,$A332,'تجربه‌گرها'!$F:$F,M$1)</f>
        <v>0</v>
      </c>
      <c r="N332" s="242">
        <f>COUNTIFS('تجربه‌گرها'!$B:$B,$A332,'تجربه‌گرها'!$F:$F,N$1)</f>
        <v>0</v>
      </c>
      <c r="O332" s="242">
        <f>COUNTIFS('تجربه‌گرها'!$B:$B,$A332,'تجربه‌گرها'!$F:$F,O$1)</f>
        <v>0</v>
      </c>
      <c r="P332" s="242">
        <f>COUNTIFS('تجربه‌گرها'!$B:$B,$A332,'تجربه‌گرها'!$F:$F,P$1)</f>
        <v>0</v>
      </c>
      <c r="Q332" s="242">
        <f>COUNTIFS('تجربه‌گرها'!$B:$B,$A332,'تجربه‌گرها'!$F:$F,Q$1)</f>
        <v>0</v>
      </c>
      <c r="R332" s="242">
        <f>COUNTIFS('تجربه‌گرها'!$B:$B,$A332,'تجربه‌گرها'!$F:$F,R$1)</f>
        <v>0</v>
      </c>
      <c r="S332" s="242">
        <f>COUNTIFS('تجربه‌گرها'!$B:$B,$A332,'تجربه‌گرها'!$F:$F,S$1)</f>
        <v>0</v>
      </c>
      <c r="T332" s="242">
        <f>COUNTIFS('تجربه‌گرها'!$B:$B,$A332,'تجربه‌گرها'!$F:$F,T$1)</f>
        <v>0</v>
      </c>
      <c r="U332" s="242"/>
      <c r="V332" s="242"/>
      <c r="W332" s="242"/>
      <c r="X332" s="242"/>
      <c r="Y332" s="242"/>
      <c r="Z332" s="242"/>
      <c r="AA332" s="242"/>
      <c r="AB332" s="242"/>
    </row>
    <row r="333" hidden="1">
      <c r="A333" s="244" t="s">
        <v>2545</v>
      </c>
      <c r="B333" s="245" t="str">
        <f>VLOOKUP(A333,'تجربه‌گرها'!B:C,2,FALSE())</f>
        <v>9130216071</v>
      </c>
      <c r="C333" s="242"/>
      <c r="D333" s="242">
        <f t="shared" si="1"/>
        <v>1</v>
      </c>
      <c r="E333" s="242">
        <f>COUNTIFS('تجربه‌گرها'!$B:$B,$A333,'تجربه‌گرها'!$F:$F,E$1)</f>
        <v>0</v>
      </c>
      <c r="F333" s="242">
        <f>COUNTIFS('تجربه‌گرها'!$B:$B,$A333,'تجربه‌گرها'!$F:$F,F$1)</f>
        <v>1</v>
      </c>
      <c r="G333" s="242">
        <f>COUNTIFS('تجربه‌گرها'!$B:$B,$A333,'تجربه‌گرها'!$F:$F,G$1)</f>
        <v>0</v>
      </c>
      <c r="H333" s="242">
        <f>COUNTIFS('تجربه‌گرها'!$B:$B,$A333,'تجربه‌گرها'!$F:$F,H$1)</f>
        <v>0</v>
      </c>
      <c r="I333" s="242">
        <f>COUNTIFS('تجربه‌گرها'!$B:$B,$A333,'تجربه‌گرها'!$F:$F,I$1)</f>
        <v>0</v>
      </c>
      <c r="J333" s="242">
        <f>COUNTIFS('تجربه‌گرها'!$B:$B,$A333,'تجربه‌گرها'!$F:$F,J$1)</f>
        <v>0</v>
      </c>
      <c r="K333" s="242">
        <f>COUNTIFS('تجربه‌گرها'!$B:$B,$A333,'تجربه‌گرها'!$F:$F,K$1)</f>
        <v>0</v>
      </c>
      <c r="L333" s="242">
        <f>COUNTIFS('تجربه‌گرها'!$B:$B,$A333,'تجربه‌گرها'!$F:$F,L$1)</f>
        <v>0</v>
      </c>
      <c r="M333" s="242">
        <f>COUNTIFS('تجربه‌گرها'!$B:$B,$A333,'تجربه‌گرها'!$F:$F,M$1)</f>
        <v>0</v>
      </c>
      <c r="N333" s="242">
        <f>COUNTIFS('تجربه‌گرها'!$B:$B,$A333,'تجربه‌گرها'!$F:$F,N$1)</f>
        <v>0</v>
      </c>
      <c r="O333" s="242">
        <f>COUNTIFS('تجربه‌گرها'!$B:$B,$A333,'تجربه‌گرها'!$F:$F,O$1)</f>
        <v>0</v>
      </c>
      <c r="P333" s="242">
        <f>COUNTIFS('تجربه‌گرها'!$B:$B,$A333,'تجربه‌گرها'!$F:$F,P$1)</f>
        <v>0</v>
      </c>
      <c r="Q333" s="242">
        <f>COUNTIFS('تجربه‌گرها'!$B:$B,$A333,'تجربه‌گرها'!$F:$F,Q$1)</f>
        <v>0</v>
      </c>
      <c r="R333" s="242">
        <f>COUNTIFS('تجربه‌گرها'!$B:$B,$A333,'تجربه‌گرها'!$F:$F,R$1)</f>
        <v>0</v>
      </c>
      <c r="S333" s="242">
        <f>COUNTIFS('تجربه‌گرها'!$B:$B,$A333,'تجربه‌گرها'!$F:$F,S$1)</f>
        <v>0</v>
      </c>
      <c r="T333" s="242">
        <f>COUNTIFS('تجربه‌گرها'!$B:$B,$A333,'تجربه‌گرها'!$F:$F,T$1)</f>
        <v>0</v>
      </c>
      <c r="U333" s="242"/>
      <c r="V333" s="242"/>
      <c r="W333" s="242"/>
      <c r="X333" s="242"/>
      <c r="Y333" s="242"/>
      <c r="Z333" s="242"/>
      <c r="AA333" s="242"/>
      <c r="AB333" s="242"/>
    </row>
    <row r="334" hidden="1">
      <c r="A334" s="244" t="s">
        <v>2551</v>
      </c>
      <c r="B334" s="245" t="str">
        <f>VLOOKUP(A334,'تجربه‌گرها'!B:C,2,FALSE())</f>
        <v>9121155875</v>
      </c>
      <c r="C334" s="242"/>
      <c r="D334" s="242">
        <f t="shared" si="1"/>
        <v>1</v>
      </c>
      <c r="E334" s="242">
        <f>COUNTIFS('تجربه‌گرها'!$B:$B,$A334,'تجربه‌گرها'!$F:$F,E$1)</f>
        <v>0</v>
      </c>
      <c r="F334" s="242">
        <f>COUNTIFS('تجربه‌گرها'!$B:$B,$A334,'تجربه‌گرها'!$F:$F,F$1)</f>
        <v>1</v>
      </c>
      <c r="G334" s="242">
        <f>COUNTIFS('تجربه‌گرها'!$B:$B,$A334,'تجربه‌گرها'!$F:$F,G$1)</f>
        <v>0</v>
      </c>
      <c r="H334" s="242">
        <f>COUNTIFS('تجربه‌گرها'!$B:$B,$A334,'تجربه‌گرها'!$F:$F,H$1)</f>
        <v>0</v>
      </c>
      <c r="I334" s="242">
        <f>COUNTIFS('تجربه‌گرها'!$B:$B,$A334,'تجربه‌گرها'!$F:$F,I$1)</f>
        <v>0</v>
      </c>
      <c r="J334" s="242">
        <f>COUNTIFS('تجربه‌گرها'!$B:$B,$A334,'تجربه‌گرها'!$F:$F,J$1)</f>
        <v>0</v>
      </c>
      <c r="K334" s="242">
        <f>COUNTIFS('تجربه‌گرها'!$B:$B,$A334,'تجربه‌گرها'!$F:$F,K$1)</f>
        <v>0</v>
      </c>
      <c r="L334" s="242">
        <f>COUNTIFS('تجربه‌گرها'!$B:$B,$A334,'تجربه‌گرها'!$F:$F,L$1)</f>
        <v>0</v>
      </c>
      <c r="M334" s="242">
        <f>COUNTIFS('تجربه‌گرها'!$B:$B,$A334,'تجربه‌گرها'!$F:$F,M$1)</f>
        <v>0</v>
      </c>
      <c r="N334" s="242">
        <f>COUNTIFS('تجربه‌گرها'!$B:$B,$A334,'تجربه‌گرها'!$F:$F,N$1)</f>
        <v>0</v>
      </c>
      <c r="O334" s="242">
        <f>COUNTIFS('تجربه‌گرها'!$B:$B,$A334,'تجربه‌گرها'!$F:$F,O$1)</f>
        <v>0</v>
      </c>
      <c r="P334" s="242">
        <f>COUNTIFS('تجربه‌گرها'!$B:$B,$A334,'تجربه‌گرها'!$F:$F,P$1)</f>
        <v>0</v>
      </c>
      <c r="Q334" s="242">
        <f>COUNTIFS('تجربه‌گرها'!$B:$B,$A334,'تجربه‌گرها'!$F:$F,Q$1)</f>
        <v>0</v>
      </c>
      <c r="R334" s="242">
        <f>COUNTIFS('تجربه‌گرها'!$B:$B,$A334,'تجربه‌گرها'!$F:$F,R$1)</f>
        <v>0</v>
      </c>
      <c r="S334" s="242">
        <f>COUNTIFS('تجربه‌گرها'!$B:$B,$A334,'تجربه‌گرها'!$F:$F,S$1)</f>
        <v>0</v>
      </c>
      <c r="T334" s="242">
        <f>COUNTIFS('تجربه‌گرها'!$B:$B,$A334,'تجربه‌گرها'!$F:$F,T$1)</f>
        <v>0</v>
      </c>
      <c r="U334" s="242"/>
      <c r="V334" s="242"/>
      <c r="W334" s="242"/>
      <c r="X334" s="242"/>
      <c r="Y334" s="242"/>
      <c r="Z334" s="242"/>
      <c r="AA334" s="242"/>
      <c r="AB334" s="242"/>
    </row>
    <row r="335" hidden="1">
      <c r="A335" s="244" t="s">
        <v>2556</v>
      </c>
      <c r="B335" s="245" t="str">
        <f>VLOOKUP(A335,'تجربه‌گرها'!B:C,2,FALSE())</f>
        <v>9912378478</v>
      </c>
      <c r="C335" s="242"/>
      <c r="D335" s="242">
        <f t="shared" si="1"/>
        <v>1</v>
      </c>
      <c r="E335" s="242">
        <f>COUNTIFS('تجربه‌گرها'!$B:$B,$A335,'تجربه‌گرها'!$F:$F,E$1)</f>
        <v>0</v>
      </c>
      <c r="F335" s="242">
        <f>COUNTIFS('تجربه‌گرها'!$B:$B,$A335,'تجربه‌گرها'!$F:$F,F$1)</f>
        <v>1</v>
      </c>
      <c r="G335" s="242">
        <f>COUNTIFS('تجربه‌گرها'!$B:$B,$A335,'تجربه‌گرها'!$F:$F,G$1)</f>
        <v>0</v>
      </c>
      <c r="H335" s="242">
        <f>COUNTIFS('تجربه‌گرها'!$B:$B,$A335,'تجربه‌گرها'!$F:$F,H$1)</f>
        <v>0</v>
      </c>
      <c r="I335" s="242">
        <f>COUNTIFS('تجربه‌گرها'!$B:$B,$A335,'تجربه‌گرها'!$F:$F,I$1)</f>
        <v>0</v>
      </c>
      <c r="J335" s="242">
        <f>COUNTIFS('تجربه‌گرها'!$B:$B,$A335,'تجربه‌گرها'!$F:$F,J$1)</f>
        <v>0</v>
      </c>
      <c r="K335" s="242">
        <f>COUNTIFS('تجربه‌گرها'!$B:$B,$A335,'تجربه‌گرها'!$F:$F,K$1)</f>
        <v>0</v>
      </c>
      <c r="L335" s="242">
        <f>COUNTIFS('تجربه‌گرها'!$B:$B,$A335,'تجربه‌گرها'!$F:$F,L$1)</f>
        <v>0</v>
      </c>
      <c r="M335" s="242">
        <f>COUNTIFS('تجربه‌گرها'!$B:$B,$A335,'تجربه‌گرها'!$F:$F,M$1)</f>
        <v>0</v>
      </c>
      <c r="N335" s="242">
        <f>COUNTIFS('تجربه‌گرها'!$B:$B,$A335,'تجربه‌گرها'!$F:$F,N$1)</f>
        <v>0</v>
      </c>
      <c r="O335" s="242">
        <f>COUNTIFS('تجربه‌گرها'!$B:$B,$A335,'تجربه‌گرها'!$F:$F,O$1)</f>
        <v>0</v>
      </c>
      <c r="P335" s="242">
        <f>COUNTIFS('تجربه‌گرها'!$B:$B,$A335,'تجربه‌گرها'!$F:$F,P$1)</f>
        <v>0</v>
      </c>
      <c r="Q335" s="242">
        <f>COUNTIFS('تجربه‌گرها'!$B:$B,$A335,'تجربه‌گرها'!$F:$F,Q$1)</f>
        <v>0</v>
      </c>
      <c r="R335" s="242">
        <f>COUNTIFS('تجربه‌گرها'!$B:$B,$A335,'تجربه‌گرها'!$F:$F,R$1)</f>
        <v>0</v>
      </c>
      <c r="S335" s="242">
        <f>COUNTIFS('تجربه‌گرها'!$B:$B,$A335,'تجربه‌گرها'!$F:$F,S$1)</f>
        <v>0</v>
      </c>
      <c r="T335" s="242">
        <f>COUNTIFS('تجربه‌گرها'!$B:$B,$A335,'تجربه‌گرها'!$F:$F,T$1)</f>
        <v>0</v>
      </c>
      <c r="U335" s="242"/>
      <c r="V335" s="242"/>
      <c r="W335" s="242"/>
      <c r="X335" s="242"/>
      <c r="Y335" s="242"/>
      <c r="Z335" s="242"/>
      <c r="AA335" s="242"/>
      <c r="AB335" s="242"/>
    </row>
    <row r="336" hidden="1">
      <c r="A336" s="244" t="s">
        <v>2560</v>
      </c>
      <c r="B336" s="245" t="str">
        <f>VLOOKUP(A336,'تجربه‌گرها'!B:C,2,FALSE())</f>
        <v>9122071294</v>
      </c>
      <c r="C336" s="242"/>
      <c r="D336" s="242">
        <f t="shared" si="1"/>
        <v>1</v>
      </c>
      <c r="E336" s="242">
        <f>COUNTIFS('تجربه‌گرها'!$B:$B,$A336,'تجربه‌گرها'!$F:$F,E$1)</f>
        <v>0</v>
      </c>
      <c r="F336" s="242">
        <f>COUNTIFS('تجربه‌گرها'!$B:$B,$A336,'تجربه‌گرها'!$F:$F,F$1)</f>
        <v>1</v>
      </c>
      <c r="G336" s="242">
        <f>COUNTIFS('تجربه‌گرها'!$B:$B,$A336,'تجربه‌گرها'!$F:$F,G$1)</f>
        <v>0</v>
      </c>
      <c r="H336" s="242">
        <f>COUNTIFS('تجربه‌گرها'!$B:$B,$A336,'تجربه‌گرها'!$F:$F,H$1)</f>
        <v>0</v>
      </c>
      <c r="I336" s="242">
        <f>COUNTIFS('تجربه‌گرها'!$B:$B,$A336,'تجربه‌گرها'!$F:$F,I$1)</f>
        <v>0</v>
      </c>
      <c r="J336" s="242">
        <f>COUNTIFS('تجربه‌گرها'!$B:$B,$A336,'تجربه‌گرها'!$F:$F,J$1)</f>
        <v>0</v>
      </c>
      <c r="K336" s="242">
        <f>COUNTIFS('تجربه‌گرها'!$B:$B,$A336,'تجربه‌گرها'!$F:$F,K$1)</f>
        <v>0</v>
      </c>
      <c r="L336" s="242">
        <f>COUNTIFS('تجربه‌گرها'!$B:$B,$A336,'تجربه‌گرها'!$F:$F,L$1)</f>
        <v>0</v>
      </c>
      <c r="M336" s="242">
        <f>COUNTIFS('تجربه‌گرها'!$B:$B,$A336,'تجربه‌گرها'!$F:$F,M$1)</f>
        <v>0</v>
      </c>
      <c r="N336" s="242">
        <f>COUNTIFS('تجربه‌گرها'!$B:$B,$A336,'تجربه‌گرها'!$F:$F,N$1)</f>
        <v>0</v>
      </c>
      <c r="O336" s="242">
        <f>COUNTIFS('تجربه‌گرها'!$B:$B,$A336,'تجربه‌گرها'!$F:$F,O$1)</f>
        <v>0</v>
      </c>
      <c r="P336" s="242">
        <f>COUNTIFS('تجربه‌گرها'!$B:$B,$A336,'تجربه‌گرها'!$F:$F,P$1)</f>
        <v>0</v>
      </c>
      <c r="Q336" s="242">
        <f>COUNTIFS('تجربه‌گرها'!$B:$B,$A336,'تجربه‌گرها'!$F:$F,Q$1)</f>
        <v>0</v>
      </c>
      <c r="R336" s="242">
        <f>COUNTIFS('تجربه‌گرها'!$B:$B,$A336,'تجربه‌گرها'!$F:$F,R$1)</f>
        <v>0</v>
      </c>
      <c r="S336" s="242">
        <f>COUNTIFS('تجربه‌گرها'!$B:$B,$A336,'تجربه‌گرها'!$F:$F,S$1)</f>
        <v>0</v>
      </c>
      <c r="T336" s="242">
        <f>COUNTIFS('تجربه‌گرها'!$B:$B,$A336,'تجربه‌گرها'!$F:$F,T$1)</f>
        <v>0</v>
      </c>
      <c r="U336" s="242"/>
      <c r="V336" s="242"/>
      <c r="W336" s="242"/>
      <c r="X336" s="242"/>
      <c r="Y336" s="242"/>
      <c r="Z336" s="242"/>
      <c r="AA336" s="242"/>
      <c r="AB336" s="242"/>
    </row>
    <row r="337" hidden="1">
      <c r="A337" s="244" t="s">
        <v>2563</v>
      </c>
      <c r="B337" s="245" t="str">
        <f>VLOOKUP(A337,'تجربه‌گرها'!B:C,2,FALSE())</f>
        <v>9126274623</v>
      </c>
      <c r="C337" s="242"/>
      <c r="D337" s="242">
        <f t="shared" si="1"/>
        <v>1</v>
      </c>
      <c r="E337" s="242">
        <f>COUNTIFS('تجربه‌گرها'!$B:$B,$A337,'تجربه‌گرها'!$F:$F,E$1)</f>
        <v>0</v>
      </c>
      <c r="F337" s="242">
        <f>COUNTIFS('تجربه‌گرها'!$B:$B,$A337,'تجربه‌گرها'!$F:$F,F$1)</f>
        <v>1</v>
      </c>
      <c r="G337" s="242">
        <f>COUNTIFS('تجربه‌گرها'!$B:$B,$A337,'تجربه‌گرها'!$F:$F,G$1)</f>
        <v>0</v>
      </c>
      <c r="H337" s="242">
        <f>COUNTIFS('تجربه‌گرها'!$B:$B,$A337,'تجربه‌گرها'!$F:$F,H$1)</f>
        <v>0</v>
      </c>
      <c r="I337" s="242">
        <f>COUNTIFS('تجربه‌گرها'!$B:$B,$A337,'تجربه‌گرها'!$F:$F,I$1)</f>
        <v>0</v>
      </c>
      <c r="J337" s="242">
        <f>COUNTIFS('تجربه‌گرها'!$B:$B,$A337,'تجربه‌گرها'!$F:$F,J$1)</f>
        <v>0</v>
      </c>
      <c r="K337" s="242">
        <f>COUNTIFS('تجربه‌گرها'!$B:$B,$A337,'تجربه‌گرها'!$F:$F,K$1)</f>
        <v>0</v>
      </c>
      <c r="L337" s="242">
        <f>COUNTIFS('تجربه‌گرها'!$B:$B,$A337,'تجربه‌گرها'!$F:$F,L$1)</f>
        <v>0</v>
      </c>
      <c r="M337" s="242">
        <f>COUNTIFS('تجربه‌گرها'!$B:$B,$A337,'تجربه‌گرها'!$F:$F,M$1)</f>
        <v>0</v>
      </c>
      <c r="N337" s="242">
        <f>COUNTIFS('تجربه‌گرها'!$B:$B,$A337,'تجربه‌گرها'!$F:$F,N$1)</f>
        <v>0</v>
      </c>
      <c r="O337" s="242">
        <f>COUNTIFS('تجربه‌گرها'!$B:$B,$A337,'تجربه‌گرها'!$F:$F,O$1)</f>
        <v>0</v>
      </c>
      <c r="P337" s="242">
        <f>COUNTIFS('تجربه‌گرها'!$B:$B,$A337,'تجربه‌گرها'!$F:$F,P$1)</f>
        <v>0</v>
      </c>
      <c r="Q337" s="242">
        <f>COUNTIFS('تجربه‌گرها'!$B:$B,$A337,'تجربه‌گرها'!$F:$F,Q$1)</f>
        <v>0</v>
      </c>
      <c r="R337" s="242">
        <f>COUNTIFS('تجربه‌گرها'!$B:$B,$A337,'تجربه‌گرها'!$F:$F,R$1)</f>
        <v>0</v>
      </c>
      <c r="S337" s="242">
        <f>COUNTIFS('تجربه‌گرها'!$B:$B,$A337,'تجربه‌گرها'!$F:$F,S$1)</f>
        <v>0</v>
      </c>
      <c r="T337" s="242">
        <f>COUNTIFS('تجربه‌گرها'!$B:$B,$A337,'تجربه‌گرها'!$F:$F,T$1)</f>
        <v>0</v>
      </c>
      <c r="U337" s="242"/>
      <c r="V337" s="242"/>
      <c r="W337" s="242"/>
      <c r="X337" s="242"/>
      <c r="Y337" s="242"/>
      <c r="Z337" s="242"/>
      <c r="AA337" s="242"/>
      <c r="AB337" s="242"/>
    </row>
    <row r="338" hidden="1">
      <c r="A338" s="244" t="s">
        <v>2569</v>
      </c>
      <c r="B338" s="245" t="str">
        <f>VLOOKUP(A338,'تجربه‌گرها'!B:C,2,FALSE())</f>
        <v>9126931988</v>
      </c>
      <c r="C338" s="242"/>
      <c r="D338" s="242">
        <f t="shared" si="1"/>
        <v>1</v>
      </c>
      <c r="E338" s="242">
        <f>COUNTIFS('تجربه‌گرها'!$B:$B,$A338,'تجربه‌گرها'!$F:$F,E$1)</f>
        <v>0</v>
      </c>
      <c r="F338" s="242">
        <f>COUNTIFS('تجربه‌گرها'!$B:$B,$A338,'تجربه‌گرها'!$F:$F,F$1)</f>
        <v>1</v>
      </c>
      <c r="G338" s="242">
        <f>COUNTIFS('تجربه‌گرها'!$B:$B,$A338,'تجربه‌گرها'!$F:$F,G$1)</f>
        <v>0</v>
      </c>
      <c r="H338" s="242">
        <f>COUNTIFS('تجربه‌گرها'!$B:$B,$A338,'تجربه‌گرها'!$F:$F,H$1)</f>
        <v>0</v>
      </c>
      <c r="I338" s="242">
        <f>COUNTIFS('تجربه‌گرها'!$B:$B,$A338,'تجربه‌گرها'!$F:$F,I$1)</f>
        <v>0</v>
      </c>
      <c r="J338" s="242">
        <f>COUNTIFS('تجربه‌گرها'!$B:$B,$A338,'تجربه‌گرها'!$F:$F,J$1)</f>
        <v>0</v>
      </c>
      <c r="K338" s="242">
        <f>COUNTIFS('تجربه‌گرها'!$B:$B,$A338,'تجربه‌گرها'!$F:$F,K$1)</f>
        <v>0</v>
      </c>
      <c r="L338" s="242">
        <f>COUNTIFS('تجربه‌گرها'!$B:$B,$A338,'تجربه‌گرها'!$F:$F,L$1)</f>
        <v>0</v>
      </c>
      <c r="M338" s="242">
        <f>COUNTIFS('تجربه‌گرها'!$B:$B,$A338,'تجربه‌گرها'!$F:$F,M$1)</f>
        <v>0</v>
      </c>
      <c r="N338" s="242">
        <f>COUNTIFS('تجربه‌گرها'!$B:$B,$A338,'تجربه‌گرها'!$F:$F,N$1)</f>
        <v>0</v>
      </c>
      <c r="O338" s="242">
        <f>COUNTIFS('تجربه‌گرها'!$B:$B,$A338,'تجربه‌گرها'!$F:$F,O$1)</f>
        <v>0</v>
      </c>
      <c r="P338" s="242">
        <f>COUNTIFS('تجربه‌گرها'!$B:$B,$A338,'تجربه‌گرها'!$F:$F,P$1)</f>
        <v>0</v>
      </c>
      <c r="Q338" s="242">
        <f>COUNTIFS('تجربه‌گرها'!$B:$B,$A338,'تجربه‌گرها'!$F:$F,Q$1)</f>
        <v>0</v>
      </c>
      <c r="R338" s="242">
        <f>COUNTIFS('تجربه‌گرها'!$B:$B,$A338,'تجربه‌گرها'!$F:$F,R$1)</f>
        <v>0</v>
      </c>
      <c r="S338" s="242">
        <f>COUNTIFS('تجربه‌گرها'!$B:$B,$A338,'تجربه‌گرها'!$F:$F,S$1)</f>
        <v>0</v>
      </c>
      <c r="T338" s="242">
        <f>COUNTIFS('تجربه‌گرها'!$B:$B,$A338,'تجربه‌گرها'!$F:$F,T$1)</f>
        <v>0</v>
      </c>
      <c r="U338" s="242"/>
      <c r="V338" s="242"/>
      <c r="W338" s="242"/>
      <c r="X338" s="242"/>
      <c r="Y338" s="242"/>
      <c r="Z338" s="242"/>
      <c r="AA338" s="242"/>
      <c r="AB338" s="242"/>
    </row>
    <row r="339" hidden="1">
      <c r="A339" s="244" t="s">
        <v>2574</v>
      </c>
      <c r="B339" s="245" t="str">
        <f>VLOOKUP(A339,'تجربه‌گرها'!B:C,2,FALSE())</f>
        <v>9131798395</v>
      </c>
      <c r="C339" s="242"/>
      <c r="D339" s="242">
        <f t="shared" si="1"/>
        <v>1</v>
      </c>
      <c r="E339" s="242">
        <f>COUNTIFS('تجربه‌گرها'!$B:$B,$A339,'تجربه‌گرها'!$F:$F,E$1)</f>
        <v>0</v>
      </c>
      <c r="F339" s="242">
        <f>COUNTIFS('تجربه‌گرها'!$B:$B,$A339,'تجربه‌گرها'!$F:$F,F$1)</f>
        <v>1</v>
      </c>
      <c r="G339" s="242">
        <f>COUNTIFS('تجربه‌گرها'!$B:$B,$A339,'تجربه‌گرها'!$F:$F,G$1)</f>
        <v>0</v>
      </c>
      <c r="H339" s="242">
        <f>COUNTIFS('تجربه‌گرها'!$B:$B,$A339,'تجربه‌گرها'!$F:$F,H$1)</f>
        <v>0</v>
      </c>
      <c r="I339" s="242">
        <f>COUNTIFS('تجربه‌گرها'!$B:$B,$A339,'تجربه‌گرها'!$F:$F,I$1)</f>
        <v>0</v>
      </c>
      <c r="J339" s="242">
        <f>COUNTIFS('تجربه‌گرها'!$B:$B,$A339,'تجربه‌گرها'!$F:$F,J$1)</f>
        <v>0</v>
      </c>
      <c r="K339" s="242">
        <f>COUNTIFS('تجربه‌گرها'!$B:$B,$A339,'تجربه‌گرها'!$F:$F,K$1)</f>
        <v>0</v>
      </c>
      <c r="L339" s="242">
        <f>COUNTIFS('تجربه‌گرها'!$B:$B,$A339,'تجربه‌گرها'!$F:$F,L$1)</f>
        <v>0</v>
      </c>
      <c r="M339" s="242">
        <f>COUNTIFS('تجربه‌گرها'!$B:$B,$A339,'تجربه‌گرها'!$F:$F,M$1)</f>
        <v>0</v>
      </c>
      <c r="N339" s="242">
        <f>COUNTIFS('تجربه‌گرها'!$B:$B,$A339,'تجربه‌گرها'!$F:$F,N$1)</f>
        <v>0</v>
      </c>
      <c r="O339" s="242">
        <f>COUNTIFS('تجربه‌گرها'!$B:$B,$A339,'تجربه‌گرها'!$F:$F,O$1)</f>
        <v>0</v>
      </c>
      <c r="P339" s="242">
        <f>COUNTIFS('تجربه‌گرها'!$B:$B,$A339,'تجربه‌گرها'!$F:$F,P$1)</f>
        <v>0</v>
      </c>
      <c r="Q339" s="242">
        <f>COUNTIFS('تجربه‌گرها'!$B:$B,$A339,'تجربه‌گرها'!$F:$F,Q$1)</f>
        <v>0</v>
      </c>
      <c r="R339" s="242">
        <f>COUNTIFS('تجربه‌گرها'!$B:$B,$A339,'تجربه‌گرها'!$F:$F,R$1)</f>
        <v>0</v>
      </c>
      <c r="S339" s="242">
        <f>COUNTIFS('تجربه‌گرها'!$B:$B,$A339,'تجربه‌گرها'!$F:$F,S$1)</f>
        <v>0</v>
      </c>
      <c r="T339" s="242">
        <f>COUNTIFS('تجربه‌گرها'!$B:$B,$A339,'تجربه‌گرها'!$F:$F,T$1)</f>
        <v>0</v>
      </c>
      <c r="U339" s="242"/>
      <c r="V339" s="242"/>
      <c r="W339" s="242"/>
      <c r="X339" s="242"/>
      <c r="Y339" s="242"/>
      <c r="Z339" s="242"/>
      <c r="AA339" s="242"/>
      <c r="AB339" s="242"/>
    </row>
    <row r="340" hidden="1">
      <c r="A340" s="244" t="s">
        <v>2578</v>
      </c>
      <c r="B340" s="245" t="str">
        <f>VLOOKUP(A340,'تجربه‌گرها'!B:C,2,FALSE())</f>
        <v>9131798395</v>
      </c>
      <c r="C340" s="242"/>
      <c r="D340" s="242">
        <f t="shared" si="1"/>
        <v>1</v>
      </c>
      <c r="E340" s="242">
        <f>COUNTIFS('تجربه‌گرها'!$B:$B,$A340,'تجربه‌گرها'!$F:$F,E$1)</f>
        <v>0</v>
      </c>
      <c r="F340" s="242">
        <f>COUNTIFS('تجربه‌گرها'!$B:$B,$A340,'تجربه‌گرها'!$F:$F,F$1)</f>
        <v>1</v>
      </c>
      <c r="G340" s="242">
        <f>COUNTIFS('تجربه‌گرها'!$B:$B,$A340,'تجربه‌گرها'!$F:$F,G$1)</f>
        <v>0</v>
      </c>
      <c r="H340" s="242">
        <f>COUNTIFS('تجربه‌گرها'!$B:$B,$A340,'تجربه‌گرها'!$F:$F,H$1)</f>
        <v>0</v>
      </c>
      <c r="I340" s="242">
        <f>COUNTIFS('تجربه‌گرها'!$B:$B,$A340,'تجربه‌گرها'!$F:$F,I$1)</f>
        <v>0</v>
      </c>
      <c r="J340" s="242">
        <f>COUNTIFS('تجربه‌گرها'!$B:$B,$A340,'تجربه‌گرها'!$F:$F,J$1)</f>
        <v>0</v>
      </c>
      <c r="K340" s="242">
        <f>COUNTIFS('تجربه‌گرها'!$B:$B,$A340,'تجربه‌گرها'!$F:$F,K$1)</f>
        <v>0</v>
      </c>
      <c r="L340" s="242">
        <f>COUNTIFS('تجربه‌گرها'!$B:$B,$A340,'تجربه‌گرها'!$F:$F,L$1)</f>
        <v>0</v>
      </c>
      <c r="M340" s="242">
        <f>COUNTIFS('تجربه‌گرها'!$B:$B,$A340,'تجربه‌گرها'!$F:$F,M$1)</f>
        <v>0</v>
      </c>
      <c r="N340" s="242">
        <f>COUNTIFS('تجربه‌گرها'!$B:$B,$A340,'تجربه‌گرها'!$F:$F,N$1)</f>
        <v>0</v>
      </c>
      <c r="O340" s="242">
        <f>COUNTIFS('تجربه‌گرها'!$B:$B,$A340,'تجربه‌گرها'!$F:$F,O$1)</f>
        <v>0</v>
      </c>
      <c r="P340" s="242">
        <f>COUNTIFS('تجربه‌گرها'!$B:$B,$A340,'تجربه‌گرها'!$F:$F,P$1)</f>
        <v>0</v>
      </c>
      <c r="Q340" s="242">
        <f>COUNTIFS('تجربه‌گرها'!$B:$B,$A340,'تجربه‌گرها'!$F:$F,Q$1)</f>
        <v>0</v>
      </c>
      <c r="R340" s="242">
        <f>COUNTIFS('تجربه‌گرها'!$B:$B,$A340,'تجربه‌گرها'!$F:$F,R$1)</f>
        <v>0</v>
      </c>
      <c r="S340" s="242">
        <f>COUNTIFS('تجربه‌گرها'!$B:$B,$A340,'تجربه‌گرها'!$F:$F,S$1)</f>
        <v>0</v>
      </c>
      <c r="T340" s="242">
        <f>COUNTIFS('تجربه‌گرها'!$B:$B,$A340,'تجربه‌گرها'!$F:$F,T$1)</f>
        <v>0</v>
      </c>
      <c r="U340" s="242"/>
      <c r="V340" s="242"/>
      <c r="W340" s="242"/>
      <c r="X340" s="242"/>
      <c r="Y340" s="242"/>
      <c r="Z340" s="242"/>
      <c r="AA340" s="242"/>
      <c r="AB340" s="242"/>
    </row>
    <row r="341" hidden="1">
      <c r="A341" s="244" t="s">
        <v>2581</v>
      </c>
      <c r="B341" s="245" t="str">
        <f>VLOOKUP(A341,'تجربه‌گرها'!B:C,2,FALSE())</f>
        <v>9125983840</v>
      </c>
      <c r="C341" s="242"/>
      <c r="D341" s="242">
        <f t="shared" si="1"/>
        <v>1</v>
      </c>
      <c r="E341" s="242">
        <f>COUNTIFS('تجربه‌گرها'!$B:$B,$A341,'تجربه‌گرها'!$F:$F,E$1)</f>
        <v>0</v>
      </c>
      <c r="F341" s="242">
        <f>COUNTIFS('تجربه‌گرها'!$B:$B,$A341,'تجربه‌گرها'!$F:$F,F$1)</f>
        <v>1</v>
      </c>
      <c r="G341" s="242">
        <f>COUNTIFS('تجربه‌گرها'!$B:$B,$A341,'تجربه‌گرها'!$F:$F,G$1)</f>
        <v>0</v>
      </c>
      <c r="H341" s="242">
        <f>COUNTIFS('تجربه‌گرها'!$B:$B,$A341,'تجربه‌گرها'!$F:$F,H$1)</f>
        <v>0</v>
      </c>
      <c r="I341" s="242">
        <f>COUNTIFS('تجربه‌گرها'!$B:$B,$A341,'تجربه‌گرها'!$F:$F,I$1)</f>
        <v>0</v>
      </c>
      <c r="J341" s="242">
        <f>COUNTIFS('تجربه‌گرها'!$B:$B,$A341,'تجربه‌گرها'!$F:$F,J$1)</f>
        <v>0</v>
      </c>
      <c r="K341" s="242">
        <f>COUNTIFS('تجربه‌گرها'!$B:$B,$A341,'تجربه‌گرها'!$F:$F,K$1)</f>
        <v>0</v>
      </c>
      <c r="L341" s="242">
        <f>COUNTIFS('تجربه‌گرها'!$B:$B,$A341,'تجربه‌گرها'!$F:$F,L$1)</f>
        <v>0</v>
      </c>
      <c r="M341" s="242">
        <f>COUNTIFS('تجربه‌گرها'!$B:$B,$A341,'تجربه‌گرها'!$F:$F,M$1)</f>
        <v>0</v>
      </c>
      <c r="N341" s="242">
        <f>COUNTIFS('تجربه‌گرها'!$B:$B,$A341,'تجربه‌گرها'!$F:$F,N$1)</f>
        <v>0</v>
      </c>
      <c r="O341" s="242">
        <f>COUNTIFS('تجربه‌گرها'!$B:$B,$A341,'تجربه‌گرها'!$F:$F,O$1)</f>
        <v>0</v>
      </c>
      <c r="P341" s="242">
        <f>COUNTIFS('تجربه‌گرها'!$B:$B,$A341,'تجربه‌گرها'!$F:$F,P$1)</f>
        <v>0</v>
      </c>
      <c r="Q341" s="242">
        <f>COUNTIFS('تجربه‌گرها'!$B:$B,$A341,'تجربه‌گرها'!$F:$F,Q$1)</f>
        <v>0</v>
      </c>
      <c r="R341" s="242">
        <f>COUNTIFS('تجربه‌گرها'!$B:$B,$A341,'تجربه‌گرها'!$F:$F,R$1)</f>
        <v>0</v>
      </c>
      <c r="S341" s="242">
        <f>COUNTIFS('تجربه‌گرها'!$B:$B,$A341,'تجربه‌گرها'!$F:$F,S$1)</f>
        <v>0</v>
      </c>
      <c r="T341" s="242">
        <f>COUNTIFS('تجربه‌گرها'!$B:$B,$A341,'تجربه‌گرها'!$F:$F,T$1)</f>
        <v>0</v>
      </c>
      <c r="U341" s="242"/>
      <c r="V341" s="242"/>
      <c r="W341" s="242"/>
      <c r="X341" s="242"/>
      <c r="Y341" s="242"/>
      <c r="Z341" s="242"/>
      <c r="AA341" s="242"/>
      <c r="AB341" s="242"/>
    </row>
    <row r="342" hidden="1">
      <c r="A342" s="244" t="s">
        <v>2587</v>
      </c>
      <c r="B342" s="245" t="str">
        <f>VLOOKUP(A342,'تجربه‌گرها'!B:C,2,FALSE())</f>
        <v>9123206425</v>
      </c>
      <c r="C342" s="242"/>
      <c r="D342" s="242">
        <f t="shared" si="1"/>
        <v>1</v>
      </c>
      <c r="E342" s="242">
        <f>COUNTIFS('تجربه‌گرها'!$B:$B,$A342,'تجربه‌گرها'!$F:$F,E$1)</f>
        <v>0</v>
      </c>
      <c r="F342" s="242">
        <f>COUNTIFS('تجربه‌گرها'!$B:$B,$A342,'تجربه‌گرها'!$F:$F,F$1)</f>
        <v>1</v>
      </c>
      <c r="G342" s="242">
        <f>COUNTIFS('تجربه‌گرها'!$B:$B,$A342,'تجربه‌گرها'!$F:$F,G$1)</f>
        <v>0</v>
      </c>
      <c r="H342" s="242">
        <f>COUNTIFS('تجربه‌گرها'!$B:$B,$A342,'تجربه‌گرها'!$F:$F,H$1)</f>
        <v>0</v>
      </c>
      <c r="I342" s="242">
        <f>COUNTIFS('تجربه‌گرها'!$B:$B,$A342,'تجربه‌گرها'!$F:$F,I$1)</f>
        <v>0</v>
      </c>
      <c r="J342" s="242">
        <f>COUNTIFS('تجربه‌گرها'!$B:$B,$A342,'تجربه‌گرها'!$F:$F,J$1)</f>
        <v>0</v>
      </c>
      <c r="K342" s="242">
        <f>COUNTIFS('تجربه‌گرها'!$B:$B,$A342,'تجربه‌گرها'!$F:$F,K$1)</f>
        <v>0</v>
      </c>
      <c r="L342" s="242">
        <f>COUNTIFS('تجربه‌گرها'!$B:$B,$A342,'تجربه‌گرها'!$F:$F,L$1)</f>
        <v>0</v>
      </c>
      <c r="M342" s="242">
        <f>COUNTIFS('تجربه‌گرها'!$B:$B,$A342,'تجربه‌گرها'!$F:$F,M$1)</f>
        <v>0</v>
      </c>
      <c r="N342" s="242">
        <f>COUNTIFS('تجربه‌گرها'!$B:$B,$A342,'تجربه‌گرها'!$F:$F,N$1)</f>
        <v>0</v>
      </c>
      <c r="O342" s="242">
        <f>COUNTIFS('تجربه‌گرها'!$B:$B,$A342,'تجربه‌گرها'!$F:$F,O$1)</f>
        <v>0</v>
      </c>
      <c r="P342" s="242">
        <f>COUNTIFS('تجربه‌گرها'!$B:$B,$A342,'تجربه‌گرها'!$F:$F,P$1)</f>
        <v>0</v>
      </c>
      <c r="Q342" s="242">
        <f>COUNTIFS('تجربه‌گرها'!$B:$B,$A342,'تجربه‌گرها'!$F:$F,Q$1)</f>
        <v>0</v>
      </c>
      <c r="R342" s="242">
        <f>COUNTIFS('تجربه‌گرها'!$B:$B,$A342,'تجربه‌گرها'!$F:$F,R$1)</f>
        <v>0</v>
      </c>
      <c r="S342" s="242">
        <f>COUNTIFS('تجربه‌گرها'!$B:$B,$A342,'تجربه‌گرها'!$F:$F,S$1)</f>
        <v>0</v>
      </c>
      <c r="T342" s="242">
        <f>COUNTIFS('تجربه‌گرها'!$B:$B,$A342,'تجربه‌گرها'!$F:$F,T$1)</f>
        <v>0</v>
      </c>
      <c r="U342" s="242"/>
      <c r="V342" s="242"/>
      <c r="W342" s="242"/>
      <c r="X342" s="242"/>
      <c r="Y342" s="242"/>
      <c r="Z342" s="242"/>
      <c r="AA342" s="242"/>
      <c r="AB342" s="242"/>
    </row>
    <row r="343" hidden="1">
      <c r="A343" s="244" t="s">
        <v>2592</v>
      </c>
      <c r="B343" s="245" t="str">
        <f>VLOOKUP(A343,'تجربه‌گرها'!B:C,2,FALSE())</f>
        <v>9355408007</v>
      </c>
      <c r="C343" s="242"/>
      <c r="D343" s="242">
        <f t="shared" si="1"/>
        <v>1</v>
      </c>
      <c r="E343" s="242">
        <f>COUNTIFS('تجربه‌گرها'!$B:$B,$A343,'تجربه‌گرها'!$F:$F,E$1)</f>
        <v>0</v>
      </c>
      <c r="F343" s="242">
        <f>COUNTIFS('تجربه‌گرها'!$B:$B,$A343,'تجربه‌گرها'!$F:$F,F$1)</f>
        <v>1</v>
      </c>
      <c r="G343" s="242">
        <f>COUNTIFS('تجربه‌گرها'!$B:$B,$A343,'تجربه‌گرها'!$F:$F,G$1)</f>
        <v>0</v>
      </c>
      <c r="H343" s="242">
        <f>COUNTIFS('تجربه‌گرها'!$B:$B,$A343,'تجربه‌گرها'!$F:$F,H$1)</f>
        <v>0</v>
      </c>
      <c r="I343" s="242">
        <f>COUNTIFS('تجربه‌گرها'!$B:$B,$A343,'تجربه‌گرها'!$F:$F,I$1)</f>
        <v>0</v>
      </c>
      <c r="J343" s="242">
        <f>COUNTIFS('تجربه‌گرها'!$B:$B,$A343,'تجربه‌گرها'!$F:$F,J$1)</f>
        <v>0</v>
      </c>
      <c r="K343" s="242">
        <f>COUNTIFS('تجربه‌گرها'!$B:$B,$A343,'تجربه‌گرها'!$F:$F,K$1)</f>
        <v>0</v>
      </c>
      <c r="L343" s="242">
        <f>COUNTIFS('تجربه‌گرها'!$B:$B,$A343,'تجربه‌گرها'!$F:$F,L$1)</f>
        <v>0</v>
      </c>
      <c r="M343" s="242">
        <f>COUNTIFS('تجربه‌گرها'!$B:$B,$A343,'تجربه‌گرها'!$F:$F,M$1)</f>
        <v>0</v>
      </c>
      <c r="N343" s="242">
        <f>COUNTIFS('تجربه‌گرها'!$B:$B,$A343,'تجربه‌گرها'!$F:$F,N$1)</f>
        <v>0</v>
      </c>
      <c r="O343" s="242">
        <f>COUNTIFS('تجربه‌گرها'!$B:$B,$A343,'تجربه‌گرها'!$F:$F,O$1)</f>
        <v>0</v>
      </c>
      <c r="P343" s="242">
        <f>COUNTIFS('تجربه‌گرها'!$B:$B,$A343,'تجربه‌گرها'!$F:$F,P$1)</f>
        <v>0</v>
      </c>
      <c r="Q343" s="242">
        <f>COUNTIFS('تجربه‌گرها'!$B:$B,$A343,'تجربه‌گرها'!$F:$F,Q$1)</f>
        <v>0</v>
      </c>
      <c r="R343" s="242">
        <f>COUNTIFS('تجربه‌گرها'!$B:$B,$A343,'تجربه‌گرها'!$F:$F,R$1)</f>
        <v>0</v>
      </c>
      <c r="S343" s="242">
        <f>COUNTIFS('تجربه‌گرها'!$B:$B,$A343,'تجربه‌گرها'!$F:$F,S$1)</f>
        <v>0</v>
      </c>
      <c r="T343" s="242">
        <f>COUNTIFS('تجربه‌گرها'!$B:$B,$A343,'تجربه‌گرها'!$F:$F,T$1)</f>
        <v>0</v>
      </c>
      <c r="U343" s="242"/>
      <c r="V343" s="242"/>
      <c r="W343" s="242"/>
      <c r="X343" s="242"/>
      <c r="Y343" s="242"/>
      <c r="Z343" s="242"/>
      <c r="AA343" s="242"/>
      <c r="AB343" s="242"/>
    </row>
    <row r="344" hidden="1">
      <c r="A344" s="244" t="s">
        <v>2595</v>
      </c>
      <c r="B344" s="245" t="str">
        <f>VLOOKUP(A344,'تجربه‌گرها'!B:C,2,FALSE())</f>
        <v>9361549229</v>
      </c>
      <c r="C344" s="242"/>
      <c r="D344" s="242">
        <f t="shared" si="1"/>
        <v>1</v>
      </c>
      <c r="E344" s="242">
        <f>COUNTIFS('تجربه‌گرها'!$B:$B,$A344,'تجربه‌گرها'!$F:$F,E$1)</f>
        <v>0</v>
      </c>
      <c r="F344" s="242">
        <f>COUNTIFS('تجربه‌گرها'!$B:$B,$A344,'تجربه‌گرها'!$F:$F,F$1)</f>
        <v>1</v>
      </c>
      <c r="G344" s="242">
        <f>COUNTIFS('تجربه‌گرها'!$B:$B,$A344,'تجربه‌گرها'!$F:$F,G$1)</f>
        <v>0</v>
      </c>
      <c r="H344" s="242">
        <f>COUNTIFS('تجربه‌گرها'!$B:$B,$A344,'تجربه‌گرها'!$F:$F,H$1)</f>
        <v>0</v>
      </c>
      <c r="I344" s="242">
        <f>COUNTIFS('تجربه‌گرها'!$B:$B,$A344,'تجربه‌گرها'!$F:$F,I$1)</f>
        <v>0</v>
      </c>
      <c r="J344" s="242">
        <f>COUNTIFS('تجربه‌گرها'!$B:$B,$A344,'تجربه‌گرها'!$F:$F,J$1)</f>
        <v>0</v>
      </c>
      <c r="K344" s="242">
        <f>COUNTIFS('تجربه‌گرها'!$B:$B,$A344,'تجربه‌گرها'!$F:$F,K$1)</f>
        <v>0</v>
      </c>
      <c r="L344" s="242">
        <f>COUNTIFS('تجربه‌گرها'!$B:$B,$A344,'تجربه‌گرها'!$F:$F,L$1)</f>
        <v>0</v>
      </c>
      <c r="M344" s="242">
        <f>COUNTIFS('تجربه‌گرها'!$B:$B,$A344,'تجربه‌گرها'!$F:$F,M$1)</f>
        <v>0</v>
      </c>
      <c r="N344" s="242">
        <f>COUNTIFS('تجربه‌گرها'!$B:$B,$A344,'تجربه‌گرها'!$F:$F,N$1)</f>
        <v>0</v>
      </c>
      <c r="O344" s="242">
        <f>COUNTIFS('تجربه‌گرها'!$B:$B,$A344,'تجربه‌گرها'!$F:$F,O$1)</f>
        <v>0</v>
      </c>
      <c r="P344" s="242">
        <f>COUNTIFS('تجربه‌گرها'!$B:$B,$A344,'تجربه‌گرها'!$F:$F,P$1)</f>
        <v>0</v>
      </c>
      <c r="Q344" s="242">
        <f>COUNTIFS('تجربه‌گرها'!$B:$B,$A344,'تجربه‌گرها'!$F:$F,Q$1)</f>
        <v>0</v>
      </c>
      <c r="R344" s="242">
        <f>COUNTIFS('تجربه‌گرها'!$B:$B,$A344,'تجربه‌گرها'!$F:$F,R$1)</f>
        <v>0</v>
      </c>
      <c r="S344" s="242">
        <f>COUNTIFS('تجربه‌گرها'!$B:$B,$A344,'تجربه‌گرها'!$F:$F,S$1)</f>
        <v>0</v>
      </c>
      <c r="T344" s="242">
        <f>COUNTIFS('تجربه‌گرها'!$B:$B,$A344,'تجربه‌گرها'!$F:$F,T$1)</f>
        <v>0</v>
      </c>
      <c r="U344" s="242"/>
      <c r="V344" s="242"/>
      <c r="W344" s="242"/>
      <c r="X344" s="242"/>
      <c r="Y344" s="242"/>
      <c r="Z344" s="242"/>
      <c r="AA344" s="242"/>
      <c r="AB344" s="242"/>
    </row>
    <row r="345" hidden="1">
      <c r="A345" s="244" t="s">
        <v>2599</v>
      </c>
      <c r="B345" s="245" t="str">
        <f>VLOOKUP(A345,'تجربه‌گرها'!B:C,2,FALSE())</f>
        <v>9193350810</v>
      </c>
      <c r="C345" s="242"/>
      <c r="D345" s="242">
        <f t="shared" si="1"/>
        <v>1</v>
      </c>
      <c r="E345" s="242">
        <f>COUNTIFS('تجربه‌گرها'!$B:$B,$A345,'تجربه‌گرها'!$F:$F,E$1)</f>
        <v>0</v>
      </c>
      <c r="F345" s="242">
        <f>COUNTIFS('تجربه‌گرها'!$B:$B,$A345,'تجربه‌گرها'!$F:$F,F$1)</f>
        <v>1</v>
      </c>
      <c r="G345" s="242">
        <f>COUNTIFS('تجربه‌گرها'!$B:$B,$A345,'تجربه‌گرها'!$F:$F,G$1)</f>
        <v>0</v>
      </c>
      <c r="H345" s="242">
        <f>COUNTIFS('تجربه‌گرها'!$B:$B,$A345,'تجربه‌گرها'!$F:$F,H$1)</f>
        <v>0</v>
      </c>
      <c r="I345" s="242">
        <f>COUNTIFS('تجربه‌گرها'!$B:$B,$A345,'تجربه‌گرها'!$F:$F,I$1)</f>
        <v>0</v>
      </c>
      <c r="J345" s="242">
        <f>COUNTIFS('تجربه‌گرها'!$B:$B,$A345,'تجربه‌گرها'!$F:$F,J$1)</f>
        <v>0</v>
      </c>
      <c r="K345" s="242">
        <f>COUNTIFS('تجربه‌گرها'!$B:$B,$A345,'تجربه‌گرها'!$F:$F,K$1)</f>
        <v>0</v>
      </c>
      <c r="L345" s="242">
        <f>COUNTIFS('تجربه‌گرها'!$B:$B,$A345,'تجربه‌گرها'!$F:$F,L$1)</f>
        <v>0</v>
      </c>
      <c r="M345" s="242">
        <f>COUNTIFS('تجربه‌گرها'!$B:$B,$A345,'تجربه‌گرها'!$F:$F,M$1)</f>
        <v>0</v>
      </c>
      <c r="N345" s="242">
        <f>COUNTIFS('تجربه‌گرها'!$B:$B,$A345,'تجربه‌گرها'!$F:$F,N$1)</f>
        <v>0</v>
      </c>
      <c r="O345" s="242">
        <f>COUNTIFS('تجربه‌گرها'!$B:$B,$A345,'تجربه‌گرها'!$F:$F,O$1)</f>
        <v>0</v>
      </c>
      <c r="P345" s="242">
        <f>COUNTIFS('تجربه‌گرها'!$B:$B,$A345,'تجربه‌گرها'!$F:$F,P$1)</f>
        <v>0</v>
      </c>
      <c r="Q345" s="242">
        <f>COUNTIFS('تجربه‌گرها'!$B:$B,$A345,'تجربه‌گرها'!$F:$F,Q$1)</f>
        <v>0</v>
      </c>
      <c r="R345" s="242">
        <f>COUNTIFS('تجربه‌گرها'!$B:$B,$A345,'تجربه‌گرها'!$F:$F,R$1)</f>
        <v>0</v>
      </c>
      <c r="S345" s="242">
        <f>COUNTIFS('تجربه‌گرها'!$B:$B,$A345,'تجربه‌گرها'!$F:$F,S$1)</f>
        <v>0</v>
      </c>
      <c r="T345" s="242">
        <f>COUNTIFS('تجربه‌گرها'!$B:$B,$A345,'تجربه‌گرها'!$F:$F,T$1)</f>
        <v>0</v>
      </c>
      <c r="U345" s="242"/>
      <c r="V345" s="242"/>
      <c r="W345" s="242"/>
      <c r="X345" s="242"/>
      <c r="Y345" s="242"/>
      <c r="Z345" s="242"/>
      <c r="AA345" s="242"/>
      <c r="AB345" s="242"/>
    </row>
    <row r="346" hidden="1">
      <c r="A346" s="244" t="s">
        <v>2605</v>
      </c>
      <c r="B346" s="245" t="str">
        <f>VLOOKUP(A346,'تجربه‌گرها'!B:C,2,FALSE())</f>
        <v/>
      </c>
      <c r="C346" s="242"/>
      <c r="D346" s="242">
        <f t="shared" si="1"/>
        <v>1</v>
      </c>
      <c r="E346" s="242">
        <f>COUNTIFS('تجربه‌گرها'!$B:$B,$A346,'تجربه‌گرها'!$F:$F,E$1)</f>
        <v>0</v>
      </c>
      <c r="F346" s="242">
        <f>COUNTIFS('تجربه‌گرها'!$B:$B,$A346,'تجربه‌گرها'!$F:$F,F$1)</f>
        <v>1</v>
      </c>
      <c r="G346" s="242">
        <f>COUNTIFS('تجربه‌گرها'!$B:$B,$A346,'تجربه‌گرها'!$F:$F,G$1)</f>
        <v>0</v>
      </c>
      <c r="H346" s="242">
        <f>COUNTIFS('تجربه‌گرها'!$B:$B,$A346,'تجربه‌گرها'!$F:$F,H$1)</f>
        <v>0</v>
      </c>
      <c r="I346" s="242">
        <f>COUNTIFS('تجربه‌گرها'!$B:$B,$A346,'تجربه‌گرها'!$F:$F,I$1)</f>
        <v>0</v>
      </c>
      <c r="J346" s="242">
        <f>COUNTIFS('تجربه‌گرها'!$B:$B,$A346,'تجربه‌گرها'!$F:$F,J$1)</f>
        <v>0</v>
      </c>
      <c r="K346" s="242">
        <f>COUNTIFS('تجربه‌گرها'!$B:$B,$A346,'تجربه‌گرها'!$F:$F,K$1)</f>
        <v>0</v>
      </c>
      <c r="L346" s="242">
        <f>COUNTIFS('تجربه‌گرها'!$B:$B,$A346,'تجربه‌گرها'!$F:$F,L$1)</f>
        <v>0</v>
      </c>
      <c r="M346" s="242">
        <f>COUNTIFS('تجربه‌گرها'!$B:$B,$A346,'تجربه‌گرها'!$F:$F,M$1)</f>
        <v>0</v>
      </c>
      <c r="N346" s="242">
        <f>COUNTIFS('تجربه‌گرها'!$B:$B,$A346,'تجربه‌گرها'!$F:$F,N$1)</f>
        <v>0</v>
      </c>
      <c r="O346" s="242">
        <f>COUNTIFS('تجربه‌گرها'!$B:$B,$A346,'تجربه‌گرها'!$F:$F,O$1)</f>
        <v>0</v>
      </c>
      <c r="P346" s="242">
        <f>COUNTIFS('تجربه‌گرها'!$B:$B,$A346,'تجربه‌گرها'!$F:$F,P$1)</f>
        <v>0</v>
      </c>
      <c r="Q346" s="242">
        <f>COUNTIFS('تجربه‌گرها'!$B:$B,$A346,'تجربه‌گرها'!$F:$F,Q$1)</f>
        <v>0</v>
      </c>
      <c r="R346" s="242">
        <f>COUNTIFS('تجربه‌گرها'!$B:$B,$A346,'تجربه‌گرها'!$F:$F,R$1)</f>
        <v>0</v>
      </c>
      <c r="S346" s="242">
        <f>COUNTIFS('تجربه‌گرها'!$B:$B,$A346,'تجربه‌گرها'!$F:$F,S$1)</f>
        <v>0</v>
      </c>
      <c r="T346" s="242">
        <f>COUNTIFS('تجربه‌گرها'!$B:$B,$A346,'تجربه‌گرها'!$F:$F,T$1)</f>
        <v>0</v>
      </c>
      <c r="U346" s="242"/>
      <c r="V346" s="242"/>
      <c r="W346" s="242"/>
      <c r="X346" s="242"/>
      <c r="Y346" s="242"/>
      <c r="Z346" s="242"/>
      <c r="AA346" s="242"/>
      <c r="AB346" s="242"/>
    </row>
    <row r="347" hidden="1">
      <c r="A347" s="244" t="s">
        <v>2607</v>
      </c>
      <c r="B347" s="245" t="str">
        <f>VLOOKUP(A347,'تجربه‌گرها'!B:C,2,FALSE())</f>
        <v/>
      </c>
      <c r="C347" s="242"/>
      <c r="D347" s="242">
        <f t="shared" si="1"/>
        <v>1</v>
      </c>
      <c r="E347" s="242">
        <f>COUNTIFS('تجربه‌گرها'!$B:$B,$A347,'تجربه‌گرها'!$F:$F,E$1)</f>
        <v>0</v>
      </c>
      <c r="F347" s="242">
        <f>COUNTIFS('تجربه‌گرها'!$B:$B,$A347,'تجربه‌گرها'!$F:$F,F$1)</f>
        <v>1</v>
      </c>
      <c r="G347" s="242">
        <f>COUNTIFS('تجربه‌گرها'!$B:$B,$A347,'تجربه‌گرها'!$F:$F,G$1)</f>
        <v>0</v>
      </c>
      <c r="H347" s="242">
        <f>COUNTIFS('تجربه‌گرها'!$B:$B,$A347,'تجربه‌گرها'!$F:$F,H$1)</f>
        <v>0</v>
      </c>
      <c r="I347" s="242">
        <f>COUNTIFS('تجربه‌گرها'!$B:$B,$A347,'تجربه‌گرها'!$F:$F,I$1)</f>
        <v>0</v>
      </c>
      <c r="J347" s="242">
        <f>COUNTIFS('تجربه‌گرها'!$B:$B,$A347,'تجربه‌گرها'!$F:$F,J$1)</f>
        <v>0</v>
      </c>
      <c r="K347" s="242">
        <f>COUNTIFS('تجربه‌گرها'!$B:$B,$A347,'تجربه‌گرها'!$F:$F,K$1)</f>
        <v>0</v>
      </c>
      <c r="L347" s="242">
        <f>COUNTIFS('تجربه‌گرها'!$B:$B,$A347,'تجربه‌گرها'!$F:$F,L$1)</f>
        <v>0</v>
      </c>
      <c r="M347" s="242">
        <f>COUNTIFS('تجربه‌گرها'!$B:$B,$A347,'تجربه‌گرها'!$F:$F,M$1)</f>
        <v>0</v>
      </c>
      <c r="N347" s="242">
        <f>COUNTIFS('تجربه‌گرها'!$B:$B,$A347,'تجربه‌گرها'!$F:$F,N$1)</f>
        <v>0</v>
      </c>
      <c r="O347" s="242">
        <f>COUNTIFS('تجربه‌گرها'!$B:$B,$A347,'تجربه‌گرها'!$F:$F,O$1)</f>
        <v>0</v>
      </c>
      <c r="P347" s="242">
        <f>COUNTIFS('تجربه‌گرها'!$B:$B,$A347,'تجربه‌گرها'!$F:$F,P$1)</f>
        <v>0</v>
      </c>
      <c r="Q347" s="242">
        <f>COUNTIFS('تجربه‌گرها'!$B:$B,$A347,'تجربه‌گرها'!$F:$F,Q$1)</f>
        <v>0</v>
      </c>
      <c r="R347" s="242">
        <f>COUNTIFS('تجربه‌گرها'!$B:$B,$A347,'تجربه‌گرها'!$F:$F,R$1)</f>
        <v>0</v>
      </c>
      <c r="S347" s="242">
        <f>COUNTIFS('تجربه‌گرها'!$B:$B,$A347,'تجربه‌گرها'!$F:$F,S$1)</f>
        <v>0</v>
      </c>
      <c r="T347" s="242">
        <f>COUNTIFS('تجربه‌گرها'!$B:$B,$A347,'تجربه‌گرها'!$F:$F,T$1)</f>
        <v>0</v>
      </c>
      <c r="U347" s="242"/>
      <c r="V347" s="242"/>
      <c r="W347" s="242"/>
      <c r="X347" s="242"/>
      <c r="Y347" s="242"/>
      <c r="Z347" s="242"/>
      <c r="AA347" s="242"/>
      <c r="AB347" s="242"/>
    </row>
    <row r="348" hidden="1">
      <c r="A348" s="244" t="s">
        <v>2609</v>
      </c>
      <c r="B348" s="245" t="str">
        <f>VLOOKUP(A348,'تجربه‌گرها'!B:C,2,FALSE())</f>
        <v/>
      </c>
      <c r="C348" s="242"/>
      <c r="D348" s="242">
        <f t="shared" si="1"/>
        <v>1</v>
      </c>
      <c r="E348" s="242">
        <f>COUNTIFS('تجربه‌گرها'!$B:$B,$A348,'تجربه‌گرها'!$F:$F,E$1)</f>
        <v>0</v>
      </c>
      <c r="F348" s="242">
        <f>COUNTIFS('تجربه‌گرها'!$B:$B,$A348,'تجربه‌گرها'!$F:$F,F$1)</f>
        <v>1</v>
      </c>
      <c r="G348" s="242">
        <f>COUNTIFS('تجربه‌گرها'!$B:$B,$A348,'تجربه‌گرها'!$F:$F,G$1)</f>
        <v>0</v>
      </c>
      <c r="H348" s="242">
        <f>COUNTIFS('تجربه‌گرها'!$B:$B,$A348,'تجربه‌گرها'!$F:$F,H$1)</f>
        <v>0</v>
      </c>
      <c r="I348" s="242">
        <f>COUNTIFS('تجربه‌گرها'!$B:$B,$A348,'تجربه‌گرها'!$F:$F,I$1)</f>
        <v>0</v>
      </c>
      <c r="J348" s="242">
        <f>COUNTIFS('تجربه‌گرها'!$B:$B,$A348,'تجربه‌گرها'!$F:$F,J$1)</f>
        <v>0</v>
      </c>
      <c r="K348" s="242">
        <f>COUNTIFS('تجربه‌گرها'!$B:$B,$A348,'تجربه‌گرها'!$F:$F,K$1)</f>
        <v>0</v>
      </c>
      <c r="L348" s="242">
        <f>COUNTIFS('تجربه‌گرها'!$B:$B,$A348,'تجربه‌گرها'!$F:$F,L$1)</f>
        <v>0</v>
      </c>
      <c r="M348" s="242">
        <f>COUNTIFS('تجربه‌گرها'!$B:$B,$A348,'تجربه‌گرها'!$F:$F,M$1)</f>
        <v>0</v>
      </c>
      <c r="N348" s="242">
        <f>COUNTIFS('تجربه‌گرها'!$B:$B,$A348,'تجربه‌گرها'!$F:$F,N$1)</f>
        <v>0</v>
      </c>
      <c r="O348" s="242">
        <f>COUNTIFS('تجربه‌گرها'!$B:$B,$A348,'تجربه‌گرها'!$F:$F,O$1)</f>
        <v>0</v>
      </c>
      <c r="P348" s="242">
        <f>COUNTIFS('تجربه‌گرها'!$B:$B,$A348,'تجربه‌گرها'!$F:$F,P$1)</f>
        <v>0</v>
      </c>
      <c r="Q348" s="242">
        <f>COUNTIFS('تجربه‌گرها'!$B:$B,$A348,'تجربه‌گرها'!$F:$F,Q$1)</f>
        <v>0</v>
      </c>
      <c r="R348" s="242">
        <f>COUNTIFS('تجربه‌گرها'!$B:$B,$A348,'تجربه‌گرها'!$F:$F,R$1)</f>
        <v>0</v>
      </c>
      <c r="S348" s="242">
        <f>COUNTIFS('تجربه‌گرها'!$B:$B,$A348,'تجربه‌گرها'!$F:$F,S$1)</f>
        <v>0</v>
      </c>
      <c r="T348" s="242">
        <f>COUNTIFS('تجربه‌گرها'!$B:$B,$A348,'تجربه‌گرها'!$F:$F,T$1)</f>
        <v>0</v>
      </c>
      <c r="U348" s="242"/>
      <c r="V348" s="242"/>
      <c r="W348" s="242"/>
      <c r="X348" s="242"/>
      <c r="Y348" s="242"/>
      <c r="Z348" s="242"/>
      <c r="AA348" s="242"/>
      <c r="AB348" s="242"/>
    </row>
    <row r="349" hidden="1">
      <c r="A349" s="244" t="s">
        <v>2611</v>
      </c>
      <c r="B349" s="245" t="str">
        <f>VLOOKUP(A349,'تجربه‌گرها'!B:C,2,FALSE())</f>
        <v>9198942822</v>
      </c>
      <c r="C349" s="242"/>
      <c r="D349" s="242">
        <f t="shared" si="1"/>
        <v>1</v>
      </c>
      <c r="E349" s="242">
        <f>COUNTIFS('تجربه‌گرها'!$B:$B,$A349,'تجربه‌گرها'!$F:$F,E$1)</f>
        <v>0</v>
      </c>
      <c r="F349" s="242">
        <f>COUNTIFS('تجربه‌گرها'!$B:$B,$A349,'تجربه‌گرها'!$F:$F,F$1)</f>
        <v>1</v>
      </c>
      <c r="G349" s="242">
        <f>COUNTIFS('تجربه‌گرها'!$B:$B,$A349,'تجربه‌گرها'!$F:$F,G$1)</f>
        <v>0</v>
      </c>
      <c r="H349" s="242">
        <f>COUNTIFS('تجربه‌گرها'!$B:$B,$A349,'تجربه‌گرها'!$F:$F,H$1)</f>
        <v>0</v>
      </c>
      <c r="I349" s="242">
        <f>COUNTIFS('تجربه‌گرها'!$B:$B,$A349,'تجربه‌گرها'!$F:$F,I$1)</f>
        <v>0</v>
      </c>
      <c r="J349" s="242">
        <f>COUNTIFS('تجربه‌گرها'!$B:$B,$A349,'تجربه‌گرها'!$F:$F,J$1)</f>
        <v>0</v>
      </c>
      <c r="K349" s="242">
        <f>COUNTIFS('تجربه‌گرها'!$B:$B,$A349,'تجربه‌گرها'!$F:$F,K$1)</f>
        <v>0</v>
      </c>
      <c r="L349" s="242">
        <f>COUNTIFS('تجربه‌گرها'!$B:$B,$A349,'تجربه‌گرها'!$F:$F,L$1)</f>
        <v>0</v>
      </c>
      <c r="M349" s="242">
        <f>COUNTIFS('تجربه‌گرها'!$B:$B,$A349,'تجربه‌گرها'!$F:$F,M$1)</f>
        <v>0</v>
      </c>
      <c r="N349" s="242">
        <f>COUNTIFS('تجربه‌گرها'!$B:$B,$A349,'تجربه‌گرها'!$F:$F,N$1)</f>
        <v>0</v>
      </c>
      <c r="O349" s="242">
        <f>COUNTIFS('تجربه‌گرها'!$B:$B,$A349,'تجربه‌گرها'!$F:$F,O$1)</f>
        <v>0</v>
      </c>
      <c r="P349" s="242">
        <f>COUNTIFS('تجربه‌گرها'!$B:$B,$A349,'تجربه‌گرها'!$F:$F,P$1)</f>
        <v>0</v>
      </c>
      <c r="Q349" s="242">
        <f>COUNTIFS('تجربه‌گرها'!$B:$B,$A349,'تجربه‌گرها'!$F:$F,Q$1)</f>
        <v>0</v>
      </c>
      <c r="R349" s="242">
        <f>COUNTIFS('تجربه‌گرها'!$B:$B,$A349,'تجربه‌گرها'!$F:$F,R$1)</f>
        <v>0</v>
      </c>
      <c r="S349" s="242">
        <f>COUNTIFS('تجربه‌گرها'!$B:$B,$A349,'تجربه‌گرها'!$F:$F,S$1)</f>
        <v>0</v>
      </c>
      <c r="T349" s="242">
        <f>COUNTIFS('تجربه‌گرها'!$B:$B,$A349,'تجربه‌گرها'!$F:$F,T$1)</f>
        <v>0</v>
      </c>
      <c r="U349" s="242"/>
      <c r="V349" s="242"/>
      <c r="W349" s="242"/>
      <c r="X349" s="242"/>
      <c r="Y349" s="242"/>
      <c r="Z349" s="242"/>
      <c r="AA349" s="242"/>
      <c r="AB349" s="242"/>
    </row>
    <row r="350" hidden="1">
      <c r="A350" s="244" t="s">
        <v>2615</v>
      </c>
      <c r="B350" s="245" t="str">
        <f>VLOOKUP(A350,'تجربه‌گرها'!B:C,2,FALSE())</f>
        <v>9124351938</v>
      </c>
      <c r="C350" s="242"/>
      <c r="D350" s="242">
        <f t="shared" si="1"/>
        <v>1</v>
      </c>
      <c r="E350" s="242">
        <f>COUNTIFS('تجربه‌گرها'!$B:$B,$A350,'تجربه‌گرها'!$F:$F,E$1)</f>
        <v>0</v>
      </c>
      <c r="F350" s="242">
        <f>COUNTIFS('تجربه‌گرها'!$B:$B,$A350,'تجربه‌گرها'!$F:$F,F$1)</f>
        <v>1</v>
      </c>
      <c r="G350" s="242">
        <f>COUNTIFS('تجربه‌گرها'!$B:$B,$A350,'تجربه‌گرها'!$F:$F,G$1)</f>
        <v>0</v>
      </c>
      <c r="H350" s="242">
        <f>COUNTIFS('تجربه‌گرها'!$B:$B,$A350,'تجربه‌گرها'!$F:$F,H$1)</f>
        <v>0</v>
      </c>
      <c r="I350" s="242">
        <f>COUNTIFS('تجربه‌گرها'!$B:$B,$A350,'تجربه‌گرها'!$F:$F,I$1)</f>
        <v>0</v>
      </c>
      <c r="J350" s="242">
        <f>COUNTIFS('تجربه‌گرها'!$B:$B,$A350,'تجربه‌گرها'!$F:$F,J$1)</f>
        <v>0</v>
      </c>
      <c r="K350" s="242">
        <f>COUNTIFS('تجربه‌گرها'!$B:$B,$A350,'تجربه‌گرها'!$F:$F,K$1)</f>
        <v>0</v>
      </c>
      <c r="L350" s="242">
        <f>COUNTIFS('تجربه‌گرها'!$B:$B,$A350,'تجربه‌گرها'!$F:$F,L$1)</f>
        <v>0</v>
      </c>
      <c r="M350" s="242">
        <f>COUNTIFS('تجربه‌گرها'!$B:$B,$A350,'تجربه‌گرها'!$F:$F,M$1)</f>
        <v>0</v>
      </c>
      <c r="N350" s="242">
        <f>COUNTIFS('تجربه‌گرها'!$B:$B,$A350,'تجربه‌گرها'!$F:$F,N$1)</f>
        <v>0</v>
      </c>
      <c r="O350" s="242">
        <f>COUNTIFS('تجربه‌گرها'!$B:$B,$A350,'تجربه‌گرها'!$F:$F,O$1)</f>
        <v>0</v>
      </c>
      <c r="P350" s="242">
        <f>COUNTIFS('تجربه‌گرها'!$B:$B,$A350,'تجربه‌گرها'!$F:$F,P$1)</f>
        <v>0</v>
      </c>
      <c r="Q350" s="242">
        <f>COUNTIFS('تجربه‌گرها'!$B:$B,$A350,'تجربه‌گرها'!$F:$F,Q$1)</f>
        <v>0</v>
      </c>
      <c r="R350" s="242">
        <f>COUNTIFS('تجربه‌گرها'!$B:$B,$A350,'تجربه‌گرها'!$F:$F,R$1)</f>
        <v>0</v>
      </c>
      <c r="S350" s="242">
        <f>COUNTIFS('تجربه‌گرها'!$B:$B,$A350,'تجربه‌گرها'!$F:$F,S$1)</f>
        <v>0</v>
      </c>
      <c r="T350" s="242">
        <f>COUNTIFS('تجربه‌گرها'!$B:$B,$A350,'تجربه‌گرها'!$F:$F,T$1)</f>
        <v>0</v>
      </c>
      <c r="U350" s="242"/>
      <c r="V350" s="242"/>
      <c r="W350" s="242"/>
      <c r="X350" s="242"/>
      <c r="Y350" s="242"/>
      <c r="Z350" s="242"/>
      <c r="AA350" s="242"/>
      <c r="AB350" s="242"/>
    </row>
    <row r="351" hidden="1">
      <c r="A351" s="244" t="s">
        <v>2619</v>
      </c>
      <c r="B351" s="245" t="str">
        <f>VLOOKUP(A351,'تجربه‌گرها'!B:C,2,FALSE())</f>
        <v>9195300603</v>
      </c>
      <c r="C351" s="242"/>
      <c r="D351" s="242">
        <f t="shared" si="1"/>
        <v>1</v>
      </c>
      <c r="E351" s="242">
        <f>COUNTIFS('تجربه‌گرها'!$B:$B,$A351,'تجربه‌گرها'!$F:$F,E$1)</f>
        <v>0</v>
      </c>
      <c r="F351" s="242">
        <f>COUNTIFS('تجربه‌گرها'!$B:$B,$A351,'تجربه‌گرها'!$F:$F,F$1)</f>
        <v>1</v>
      </c>
      <c r="G351" s="242">
        <f>COUNTIFS('تجربه‌گرها'!$B:$B,$A351,'تجربه‌گرها'!$F:$F,G$1)</f>
        <v>0</v>
      </c>
      <c r="H351" s="242">
        <f>COUNTIFS('تجربه‌گرها'!$B:$B,$A351,'تجربه‌گرها'!$F:$F,H$1)</f>
        <v>0</v>
      </c>
      <c r="I351" s="242">
        <f>COUNTIFS('تجربه‌گرها'!$B:$B,$A351,'تجربه‌گرها'!$F:$F,I$1)</f>
        <v>0</v>
      </c>
      <c r="J351" s="242">
        <f>COUNTIFS('تجربه‌گرها'!$B:$B,$A351,'تجربه‌گرها'!$F:$F,J$1)</f>
        <v>0</v>
      </c>
      <c r="K351" s="242">
        <f>COUNTIFS('تجربه‌گرها'!$B:$B,$A351,'تجربه‌گرها'!$F:$F,K$1)</f>
        <v>0</v>
      </c>
      <c r="L351" s="242">
        <f>COUNTIFS('تجربه‌گرها'!$B:$B,$A351,'تجربه‌گرها'!$F:$F,L$1)</f>
        <v>0</v>
      </c>
      <c r="M351" s="242">
        <f>COUNTIFS('تجربه‌گرها'!$B:$B,$A351,'تجربه‌گرها'!$F:$F,M$1)</f>
        <v>0</v>
      </c>
      <c r="N351" s="242">
        <f>COUNTIFS('تجربه‌گرها'!$B:$B,$A351,'تجربه‌گرها'!$F:$F,N$1)</f>
        <v>0</v>
      </c>
      <c r="O351" s="242">
        <f>COUNTIFS('تجربه‌گرها'!$B:$B,$A351,'تجربه‌گرها'!$F:$F,O$1)</f>
        <v>0</v>
      </c>
      <c r="P351" s="242">
        <f>COUNTIFS('تجربه‌گرها'!$B:$B,$A351,'تجربه‌گرها'!$F:$F,P$1)</f>
        <v>0</v>
      </c>
      <c r="Q351" s="242">
        <f>COUNTIFS('تجربه‌گرها'!$B:$B,$A351,'تجربه‌گرها'!$F:$F,Q$1)</f>
        <v>0</v>
      </c>
      <c r="R351" s="242">
        <f>COUNTIFS('تجربه‌گرها'!$B:$B,$A351,'تجربه‌گرها'!$F:$F,R$1)</f>
        <v>0</v>
      </c>
      <c r="S351" s="242">
        <f>COUNTIFS('تجربه‌گرها'!$B:$B,$A351,'تجربه‌گرها'!$F:$F,S$1)</f>
        <v>0</v>
      </c>
      <c r="T351" s="242">
        <f>COUNTIFS('تجربه‌گرها'!$B:$B,$A351,'تجربه‌گرها'!$F:$F,T$1)</f>
        <v>0</v>
      </c>
      <c r="U351" s="242"/>
      <c r="V351" s="242"/>
      <c r="W351" s="242"/>
      <c r="X351" s="242"/>
      <c r="Y351" s="242"/>
      <c r="Z351" s="242"/>
      <c r="AA351" s="242"/>
      <c r="AB351" s="242"/>
    </row>
    <row r="352" hidden="1">
      <c r="A352" s="244" t="s">
        <v>2625</v>
      </c>
      <c r="B352" s="245" t="str">
        <f>VLOOKUP(A352,'تجربه‌گرها'!B:C,2,FALSE())</f>
        <v>9125228467</v>
      </c>
      <c r="C352" s="242"/>
      <c r="D352" s="242">
        <f t="shared" si="1"/>
        <v>1</v>
      </c>
      <c r="E352" s="242">
        <f>COUNTIFS('تجربه‌گرها'!$B:$B,$A352,'تجربه‌گرها'!$F:$F,E$1)</f>
        <v>0</v>
      </c>
      <c r="F352" s="242">
        <f>COUNTIFS('تجربه‌گرها'!$B:$B,$A352,'تجربه‌گرها'!$F:$F,F$1)</f>
        <v>1</v>
      </c>
      <c r="G352" s="242">
        <f>COUNTIFS('تجربه‌گرها'!$B:$B,$A352,'تجربه‌گرها'!$F:$F,G$1)</f>
        <v>0</v>
      </c>
      <c r="H352" s="242">
        <f>COUNTIFS('تجربه‌گرها'!$B:$B,$A352,'تجربه‌گرها'!$F:$F,H$1)</f>
        <v>0</v>
      </c>
      <c r="I352" s="242">
        <f>COUNTIFS('تجربه‌گرها'!$B:$B,$A352,'تجربه‌گرها'!$F:$F,I$1)</f>
        <v>0</v>
      </c>
      <c r="J352" s="242">
        <f>COUNTIFS('تجربه‌گرها'!$B:$B,$A352,'تجربه‌گرها'!$F:$F,J$1)</f>
        <v>0</v>
      </c>
      <c r="K352" s="242">
        <f>COUNTIFS('تجربه‌گرها'!$B:$B,$A352,'تجربه‌گرها'!$F:$F,K$1)</f>
        <v>0</v>
      </c>
      <c r="L352" s="242">
        <f>COUNTIFS('تجربه‌گرها'!$B:$B,$A352,'تجربه‌گرها'!$F:$F,L$1)</f>
        <v>0</v>
      </c>
      <c r="M352" s="242">
        <f>COUNTIFS('تجربه‌گرها'!$B:$B,$A352,'تجربه‌گرها'!$F:$F,M$1)</f>
        <v>0</v>
      </c>
      <c r="N352" s="242">
        <f>COUNTIFS('تجربه‌گرها'!$B:$B,$A352,'تجربه‌گرها'!$F:$F,N$1)</f>
        <v>0</v>
      </c>
      <c r="O352" s="242">
        <f>COUNTIFS('تجربه‌گرها'!$B:$B,$A352,'تجربه‌گرها'!$F:$F,O$1)</f>
        <v>0</v>
      </c>
      <c r="P352" s="242">
        <f>COUNTIFS('تجربه‌گرها'!$B:$B,$A352,'تجربه‌گرها'!$F:$F,P$1)</f>
        <v>0</v>
      </c>
      <c r="Q352" s="242">
        <f>COUNTIFS('تجربه‌گرها'!$B:$B,$A352,'تجربه‌گرها'!$F:$F,Q$1)</f>
        <v>0</v>
      </c>
      <c r="R352" s="242">
        <f>COUNTIFS('تجربه‌گرها'!$B:$B,$A352,'تجربه‌گرها'!$F:$F,R$1)</f>
        <v>0</v>
      </c>
      <c r="S352" s="242">
        <f>COUNTIFS('تجربه‌گرها'!$B:$B,$A352,'تجربه‌گرها'!$F:$F,S$1)</f>
        <v>0</v>
      </c>
      <c r="T352" s="242">
        <f>COUNTIFS('تجربه‌گرها'!$B:$B,$A352,'تجربه‌گرها'!$F:$F,T$1)</f>
        <v>0</v>
      </c>
      <c r="U352" s="242"/>
      <c r="V352" s="242"/>
      <c r="W352" s="242"/>
      <c r="X352" s="242"/>
      <c r="Y352" s="242"/>
      <c r="Z352" s="242"/>
      <c r="AA352" s="242"/>
      <c r="AB352" s="242"/>
    </row>
    <row r="353" hidden="1">
      <c r="A353" s="244" t="s">
        <v>2630</v>
      </c>
      <c r="B353" s="245" t="str">
        <f>VLOOKUP(A353,'تجربه‌گرها'!B:C,2,FALSE())</f>
        <v>9121155875</v>
      </c>
      <c r="C353" s="242"/>
      <c r="D353" s="242">
        <f t="shared" si="1"/>
        <v>1</v>
      </c>
      <c r="E353" s="242">
        <f>COUNTIFS('تجربه‌گرها'!$B:$B,$A353,'تجربه‌گرها'!$F:$F,E$1)</f>
        <v>0</v>
      </c>
      <c r="F353" s="242">
        <f>COUNTIFS('تجربه‌گرها'!$B:$B,$A353,'تجربه‌گرها'!$F:$F,F$1)</f>
        <v>1</v>
      </c>
      <c r="G353" s="242">
        <f>COUNTIFS('تجربه‌گرها'!$B:$B,$A353,'تجربه‌گرها'!$F:$F,G$1)</f>
        <v>0</v>
      </c>
      <c r="H353" s="242">
        <f>COUNTIFS('تجربه‌گرها'!$B:$B,$A353,'تجربه‌گرها'!$F:$F,H$1)</f>
        <v>0</v>
      </c>
      <c r="I353" s="242">
        <f>COUNTIFS('تجربه‌گرها'!$B:$B,$A353,'تجربه‌گرها'!$F:$F,I$1)</f>
        <v>0</v>
      </c>
      <c r="J353" s="242">
        <f>COUNTIFS('تجربه‌گرها'!$B:$B,$A353,'تجربه‌گرها'!$F:$F,J$1)</f>
        <v>0</v>
      </c>
      <c r="K353" s="242">
        <f>COUNTIFS('تجربه‌گرها'!$B:$B,$A353,'تجربه‌گرها'!$F:$F,K$1)</f>
        <v>0</v>
      </c>
      <c r="L353" s="242">
        <f>COUNTIFS('تجربه‌گرها'!$B:$B,$A353,'تجربه‌گرها'!$F:$F,L$1)</f>
        <v>0</v>
      </c>
      <c r="M353" s="242">
        <f>COUNTIFS('تجربه‌گرها'!$B:$B,$A353,'تجربه‌گرها'!$F:$F,M$1)</f>
        <v>0</v>
      </c>
      <c r="N353" s="242">
        <f>COUNTIFS('تجربه‌گرها'!$B:$B,$A353,'تجربه‌گرها'!$F:$F,N$1)</f>
        <v>0</v>
      </c>
      <c r="O353" s="242">
        <f>COUNTIFS('تجربه‌گرها'!$B:$B,$A353,'تجربه‌گرها'!$F:$F,O$1)</f>
        <v>0</v>
      </c>
      <c r="P353" s="242">
        <f>COUNTIFS('تجربه‌گرها'!$B:$B,$A353,'تجربه‌گرها'!$F:$F,P$1)</f>
        <v>0</v>
      </c>
      <c r="Q353" s="242">
        <f>COUNTIFS('تجربه‌گرها'!$B:$B,$A353,'تجربه‌گرها'!$F:$F,Q$1)</f>
        <v>0</v>
      </c>
      <c r="R353" s="242">
        <f>COUNTIFS('تجربه‌گرها'!$B:$B,$A353,'تجربه‌گرها'!$F:$F,R$1)</f>
        <v>0</v>
      </c>
      <c r="S353" s="242">
        <f>COUNTIFS('تجربه‌گرها'!$B:$B,$A353,'تجربه‌گرها'!$F:$F,S$1)</f>
        <v>0</v>
      </c>
      <c r="T353" s="242">
        <f>COUNTIFS('تجربه‌گرها'!$B:$B,$A353,'تجربه‌گرها'!$F:$F,T$1)</f>
        <v>0</v>
      </c>
      <c r="U353" s="242"/>
      <c r="V353" s="242"/>
      <c r="W353" s="242"/>
      <c r="X353" s="242"/>
      <c r="Y353" s="242"/>
      <c r="Z353" s="242"/>
      <c r="AA353" s="242"/>
      <c r="AB353" s="242"/>
    </row>
    <row r="354" hidden="1">
      <c r="A354" s="244" t="s">
        <v>2632</v>
      </c>
      <c r="B354" s="245" t="str">
        <f>VLOOKUP(A354,'تجربه‌گرها'!B:C,2,FALSE())</f>
        <v>9121576410</v>
      </c>
      <c r="C354" s="242"/>
      <c r="D354" s="242">
        <f t="shared" si="1"/>
        <v>1</v>
      </c>
      <c r="E354" s="242">
        <f>COUNTIFS('تجربه‌گرها'!$B:$B,$A354,'تجربه‌گرها'!$F:$F,E$1)</f>
        <v>0</v>
      </c>
      <c r="F354" s="242">
        <f>COUNTIFS('تجربه‌گرها'!$B:$B,$A354,'تجربه‌گرها'!$F:$F,F$1)</f>
        <v>1</v>
      </c>
      <c r="G354" s="242">
        <f>COUNTIFS('تجربه‌گرها'!$B:$B,$A354,'تجربه‌گرها'!$F:$F,G$1)</f>
        <v>0</v>
      </c>
      <c r="H354" s="242">
        <f>COUNTIFS('تجربه‌گرها'!$B:$B,$A354,'تجربه‌گرها'!$F:$F,H$1)</f>
        <v>0</v>
      </c>
      <c r="I354" s="242">
        <f>COUNTIFS('تجربه‌گرها'!$B:$B,$A354,'تجربه‌گرها'!$F:$F,I$1)</f>
        <v>0</v>
      </c>
      <c r="J354" s="242">
        <f>COUNTIFS('تجربه‌گرها'!$B:$B,$A354,'تجربه‌گرها'!$F:$F,J$1)</f>
        <v>0</v>
      </c>
      <c r="K354" s="242">
        <f>COUNTIFS('تجربه‌گرها'!$B:$B,$A354,'تجربه‌گرها'!$F:$F,K$1)</f>
        <v>0</v>
      </c>
      <c r="L354" s="242">
        <f>COUNTIFS('تجربه‌گرها'!$B:$B,$A354,'تجربه‌گرها'!$F:$F,L$1)</f>
        <v>0</v>
      </c>
      <c r="M354" s="242">
        <f>COUNTIFS('تجربه‌گرها'!$B:$B,$A354,'تجربه‌گرها'!$F:$F,M$1)</f>
        <v>0</v>
      </c>
      <c r="N354" s="242">
        <f>COUNTIFS('تجربه‌گرها'!$B:$B,$A354,'تجربه‌گرها'!$F:$F,N$1)</f>
        <v>0</v>
      </c>
      <c r="O354" s="242">
        <f>COUNTIFS('تجربه‌گرها'!$B:$B,$A354,'تجربه‌گرها'!$F:$F,O$1)</f>
        <v>0</v>
      </c>
      <c r="P354" s="242">
        <f>COUNTIFS('تجربه‌گرها'!$B:$B,$A354,'تجربه‌گرها'!$F:$F,P$1)</f>
        <v>0</v>
      </c>
      <c r="Q354" s="242">
        <f>COUNTIFS('تجربه‌گرها'!$B:$B,$A354,'تجربه‌گرها'!$F:$F,Q$1)</f>
        <v>0</v>
      </c>
      <c r="R354" s="242">
        <f>COUNTIFS('تجربه‌گرها'!$B:$B,$A354,'تجربه‌گرها'!$F:$F,R$1)</f>
        <v>0</v>
      </c>
      <c r="S354" s="242">
        <f>COUNTIFS('تجربه‌گرها'!$B:$B,$A354,'تجربه‌گرها'!$F:$F,S$1)</f>
        <v>0</v>
      </c>
      <c r="T354" s="242">
        <f>COUNTIFS('تجربه‌گرها'!$B:$B,$A354,'تجربه‌گرها'!$F:$F,T$1)</f>
        <v>0</v>
      </c>
      <c r="U354" s="242"/>
      <c r="V354" s="242"/>
      <c r="W354" s="242"/>
      <c r="X354" s="242"/>
      <c r="Y354" s="242"/>
      <c r="Z354" s="242"/>
      <c r="AA354" s="242"/>
      <c r="AB354" s="242"/>
    </row>
    <row r="355" hidden="1">
      <c r="A355" s="244" t="s">
        <v>2637</v>
      </c>
      <c r="B355" s="245" t="str">
        <f>VLOOKUP(A355,'تجربه‌گرها'!B:C,2,FALSE())</f>
        <v>9120212441</v>
      </c>
      <c r="C355" s="242"/>
      <c r="D355" s="242">
        <f t="shared" si="1"/>
        <v>1</v>
      </c>
      <c r="E355" s="242">
        <f>COUNTIFS('تجربه‌گرها'!$B:$B,$A355,'تجربه‌گرها'!$F:$F,E$1)</f>
        <v>0</v>
      </c>
      <c r="F355" s="242">
        <f>COUNTIFS('تجربه‌گرها'!$B:$B,$A355,'تجربه‌گرها'!$F:$F,F$1)</f>
        <v>1</v>
      </c>
      <c r="G355" s="242">
        <f>COUNTIFS('تجربه‌گرها'!$B:$B,$A355,'تجربه‌گرها'!$F:$F,G$1)</f>
        <v>0</v>
      </c>
      <c r="H355" s="242">
        <f>COUNTIFS('تجربه‌گرها'!$B:$B,$A355,'تجربه‌گرها'!$F:$F,H$1)</f>
        <v>0</v>
      </c>
      <c r="I355" s="242">
        <f>COUNTIFS('تجربه‌گرها'!$B:$B,$A355,'تجربه‌گرها'!$F:$F,I$1)</f>
        <v>0</v>
      </c>
      <c r="J355" s="242">
        <f>COUNTIFS('تجربه‌گرها'!$B:$B,$A355,'تجربه‌گرها'!$F:$F,J$1)</f>
        <v>0</v>
      </c>
      <c r="K355" s="242">
        <f>COUNTIFS('تجربه‌گرها'!$B:$B,$A355,'تجربه‌گرها'!$F:$F,K$1)</f>
        <v>0</v>
      </c>
      <c r="L355" s="242">
        <f>COUNTIFS('تجربه‌گرها'!$B:$B,$A355,'تجربه‌گرها'!$F:$F,L$1)</f>
        <v>0</v>
      </c>
      <c r="M355" s="242">
        <f>COUNTIFS('تجربه‌گرها'!$B:$B,$A355,'تجربه‌گرها'!$F:$F,M$1)</f>
        <v>0</v>
      </c>
      <c r="N355" s="242">
        <f>COUNTIFS('تجربه‌گرها'!$B:$B,$A355,'تجربه‌گرها'!$F:$F,N$1)</f>
        <v>0</v>
      </c>
      <c r="O355" s="242">
        <f>COUNTIFS('تجربه‌گرها'!$B:$B,$A355,'تجربه‌گرها'!$F:$F,O$1)</f>
        <v>0</v>
      </c>
      <c r="P355" s="242">
        <f>COUNTIFS('تجربه‌گرها'!$B:$B,$A355,'تجربه‌گرها'!$F:$F,P$1)</f>
        <v>0</v>
      </c>
      <c r="Q355" s="242">
        <f>COUNTIFS('تجربه‌گرها'!$B:$B,$A355,'تجربه‌گرها'!$F:$F,Q$1)</f>
        <v>0</v>
      </c>
      <c r="R355" s="242">
        <f>COUNTIFS('تجربه‌گرها'!$B:$B,$A355,'تجربه‌گرها'!$F:$F,R$1)</f>
        <v>0</v>
      </c>
      <c r="S355" s="242">
        <f>COUNTIFS('تجربه‌گرها'!$B:$B,$A355,'تجربه‌گرها'!$F:$F,S$1)</f>
        <v>0</v>
      </c>
      <c r="T355" s="242">
        <f>COUNTIFS('تجربه‌گرها'!$B:$B,$A355,'تجربه‌گرها'!$F:$F,T$1)</f>
        <v>0</v>
      </c>
      <c r="U355" s="242"/>
      <c r="V355" s="242"/>
      <c r="W355" s="242"/>
      <c r="X355" s="242"/>
      <c r="Y355" s="242"/>
      <c r="Z355" s="242"/>
      <c r="AA355" s="242"/>
      <c r="AB355" s="242"/>
    </row>
    <row r="356" hidden="1">
      <c r="A356" s="244" t="s">
        <v>2642</v>
      </c>
      <c r="B356" s="245" t="str">
        <f>VLOOKUP(A356,'تجربه‌گرها'!B:C,2,FALSE())</f>
        <v>9125873623</v>
      </c>
      <c r="C356" s="242"/>
      <c r="D356" s="242">
        <f t="shared" si="1"/>
        <v>1</v>
      </c>
      <c r="E356" s="242">
        <f>COUNTIFS('تجربه‌گرها'!$B:$B,$A356,'تجربه‌گرها'!$F:$F,E$1)</f>
        <v>0</v>
      </c>
      <c r="F356" s="242">
        <f>COUNTIFS('تجربه‌گرها'!$B:$B,$A356,'تجربه‌گرها'!$F:$F,F$1)</f>
        <v>1</v>
      </c>
      <c r="G356" s="242">
        <f>COUNTIFS('تجربه‌گرها'!$B:$B,$A356,'تجربه‌گرها'!$F:$F,G$1)</f>
        <v>0</v>
      </c>
      <c r="H356" s="242">
        <f>COUNTIFS('تجربه‌گرها'!$B:$B,$A356,'تجربه‌گرها'!$F:$F,H$1)</f>
        <v>0</v>
      </c>
      <c r="I356" s="242">
        <f>COUNTIFS('تجربه‌گرها'!$B:$B,$A356,'تجربه‌گرها'!$F:$F,I$1)</f>
        <v>0</v>
      </c>
      <c r="J356" s="242">
        <f>COUNTIFS('تجربه‌گرها'!$B:$B,$A356,'تجربه‌گرها'!$F:$F,J$1)</f>
        <v>0</v>
      </c>
      <c r="K356" s="242">
        <f>COUNTIFS('تجربه‌گرها'!$B:$B,$A356,'تجربه‌گرها'!$F:$F,K$1)</f>
        <v>0</v>
      </c>
      <c r="L356" s="242">
        <f>COUNTIFS('تجربه‌گرها'!$B:$B,$A356,'تجربه‌گرها'!$F:$F,L$1)</f>
        <v>0</v>
      </c>
      <c r="M356" s="242">
        <f>COUNTIFS('تجربه‌گرها'!$B:$B,$A356,'تجربه‌گرها'!$F:$F,M$1)</f>
        <v>0</v>
      </c>
      <c r="N356" s="242">
        <f>COUNTIFS('تجربه‌گرها'!$B:$B,$A356,'تجربه‌گرها'!$F:$F,N$1)</f>
        <v>0</v>
      </c>
      <c r="O356" s="242">
        <f>COUNTIFS('تجربه‌گرها'!$B:$B,$A356,'تجربه‌گرها'!$F:$F,O$1)</f>
        <v>0</v>
      </c>
      <c r="P356" s="242">
        <f>COUNTIFS('تجربه‌گرها'!$B:$B,$A356,'تجربه‌گرها'!$F:$F,P$1)</f>
        <v>0</v>
      </c>
      <c r="Q356" s="242">
        <f>COUNTIFS('تجربه‌گرها'!$B:$B,$A356,'تجربه‌گرها'!$F:$F,Q$1)</f>
        <v>0</v>
      </c>
      <c r="R356" s="242">
        <f>COUNTIFS('تجربه‌گرها'!$B:$B,$A356,'تجربه‌گرها'!$F:$F,R$1)</f>
        <v>0</v>
      </c>
      <c r="S356" s="242">
        <f>COUNTIFS('تجربه‌گرها'!$B:$B,$A356,'تجربه‌گرها'!$F:$F,S$1)</f>
        <v>0</v>
      </c>
      <c r="T356" s="242">
        <f>COUNTIFS('تجربه‌گرها'!$B:$B,$A356,'تجربه‌گرها'!$F:$F,T$1)</f>
        <v>0</v>
      </c>
      <c r="U356" s="242"/>
      <c r="V356" s="242"/>
      <c r="W356" s="242"/>
      <c r="X356" s="242"/>
      <c r="Y356" s="242"/>
      <c r="Z356" s="242"/>
      <c r="AA356" s="242"/>
      <c r="AB356" s="242"/>
    </row>
    <row r="357" hidden="1">
      <c r="A357" s="244" t="s">
        <v>2647</v>
      </c>
      <c r="B357" s="245" t="str">
        <f>VLOOKUP(A357,'تجربه‌گرها'!B:C,2,FALSE())</f>
        <v>9122263600</v>
      </c>
      <c r="C357" s="242"/>
      <c r="D357" s="242">
        <f t="shared" si="1"/>
        <v>1</v>
      </c>
      <c r="E357" s="242">
        <f>COUNTIFS('تجربه‌گرها'!$B:$B,$A357,'تجربه‌گرها'!$F:$F,E$1)</f>
        <v>0</v>
      </c>
      <c r="F357" s="242">
        <f>COUNTIFS('تجربه‌گرها'!$B:$B,$A357,'تجربه‌گرها'!$F:$F,F$1)</f>
        <v>1</v>
      </c>
      <c r="G357" s="242">
        <f>COUNTIFS('تجربه‌گرها'!$B:$B,$A357,'تجربه‌گرها'!$F:$F,G$1)</f>
        <v>0</v>
      </c>
      <c r="H357" s="242">
        <f>COUNTIFS('تجربه‌گرها'!$B:$B,$A357,'تجربه‌گرها'!$F:$F,H$1)</f>
        <v>0</v>
      </c>
      <c r="I357" s="242">
        <f>COUNTIFS('تجربه‌گرها'!$B:$B,$A357,'تجربه‌گرها'!$F:$F,I$1)</f>
        <v>0</v>
      </c>
      <c r="J357" s="242">
        <f>COUNTIFS('تجربه‌گرها'!$B:$B,$A357,'تجربه‌گرها'!$F:$F,J$1)</f>
        <v>0</v>
      </c>
      <c r="K357" s="242">
        <f>COUNTIFS('تجربه‌گرها'!$B:$B,$A357,'تجربه‌گرها'!$F:$F,K$1)</f>
        <v>0</v>
      </c>
      <c r="L357" s="242">
        <f>COUNTIFS('تجربه‌گرها'!$B:$B,$A357,'تجربه‌گرها'!$F:$F,L$1)</f>
        <v>0</v>
      </c>
      <c r="M357" s="242">
        <f>COUNTIFS('تجربه‌گرها'!$B:$B,$A357,'تجربه‌گرها'!$F:$F,M$1)</f>
        <v>0</v>
      </c>
      <c r="N357" s="242">
        <f>COUNTIFS('تجربه‌گرها'!$B:$B,$A357,'تجربه‌گرها'!$F:$F,N$1)</f>
        <v>0</v>
      </c>
      <c r="O357" s="242">
        <f>COUNTIFS('تجربه‌گرها'!$B:$B,$A357,'تجربه‌گرها'!$F:$F,O$1)</f>
        <v>0</v>
      </c>
      <c r="P357" s="242">
        <f>COUNTIFS('تجربه‌گرها'!$B:$B,$A357,'تجربه‌گرها'!$F:$F,P$1)</f>
        <v>0</v>
      </c>
      <c r="Q357" s="242">
        <f>COUNTIFS('تجربه‌گرها'!$B:$B,$A357,'تجربه‌گرها'!$F:$F,Q$1)</f>
        <v>0</v>
      </c>
      <c r="R357" s="242">
        <f>COUNTIFS('تجربه‌گرها'!$B:$B,$A357,'تجربه‌گرها'!$F:$F,R$1)</f>
        <v>0</v>
      </c>
      <c r="S357" s="242">
        <f>COUNTIFS('تجربه‌گرها'!$B:$B,$A357,'تجربه‌گرها'!$F:$F,S$1)</f>
        <v>0</v>
      </c>
      <c r="T357" s="242">
        <f>COUNTIFS('تجربه‌گرها'!$B:$B,$A357,'تجربه‌گرها'!$F:$F,T$1)</f>
        <v>0</v>
      </c>
      <c r="U357" s="242"/>
      <c r="V357" s="242"/>
      <c r="W357" s="242"/>
      <c r="X357" s="242"/>
      <c r="Y357" s="242"/>
      <c r="Z357" s="242"/>
      <c r="AA357" s="242"/>
      <c r="AB357" s="242"/>
    </row>
    <row r="358" hidden="1">
      <c r="A358" s="244" t="s">
        <v>2651</v>
      </c>
      <c r="B358" s="245" t="str">
        <f>VLOOKUP(A358,'تجربه‌گرها'!B:C,2,FALSE())</f>
        <v>9125141952</v>
      </c>
      <c r="C358" s="242"/>
      <c r="D358" s="242">
        <f t="shared" si="1"/>
        <v>1</v>
      </c>
      <c r="E358" s="242">
        <f>COUNTIFS('تجربه‌گرها'!$B:$B,$A358,'تجربه‌گرها'!$F:$F,E$1)</f>
        <v>0</v>
      </c>
      <c r="F358" s="242">
        <f>COUNTIFS('تجربه‌گرها'!$B:$B,$A358,'تجربه‌گرها'!$F:$F,F$1)</f>
        <v>1</v>
      </c>
      <c r="G358" s="242">
        <f>COUNTIFS('تجربه‌گرها'!$B:$B,$A358,'تجربه‌گرها'!$F:$F,G$1)</f>
        <v>0</v>
      </c>
      <c r="H358" s="242">
        <f>COUNTIFS('تجربه‌گرها'!$B:$B,$A358,'تجربه‌گرها'!$F:$F,H$1)</f>
        <v>0</v>
      </c>
      <c r="I358" s="242">
        <f>COUNTIFS('تجربه‌گرها'!$B:$B,$A358,'تجربه‌گرها'!$F:$F,I$1)</f>
        <v>0</v>
      </c>
      <c r="J358" s="242">
        <f>COUNTIFS('تجربه‌گرها'!$B:$B,$A358,'تجربه‌گرها'!$F:$F,J$1)</f>
        <v>0</v>
      </c>
      <c r="K358" s="242">
        <f>COUNTIFS('تجربه‌گرها'!$B:$B,$A358,'تجربه‌گرها'!$F:$F,K$1)</f>
        <v>0</v>
      </c>
      <c r="L358" s="242">
        <f>COUNTIFS('تجربه‌گرها'!$B:$B,$A358,'تجربه‌گرها'!$F:$F,L$1)</f>
        <v>0</v>
      </c>
      <c r="M358" s="242">
        <f>COUNTIFS('تجربه‌گرها'!$B:$B,$A358,'تجربه‌گرها'!$F:$F,M$1)</f>
        <v>0</v>
      </c>
      <c r="N358" s="242">
        <f>COUNTIFS('تجربه‌گرها'!$B:$B,$A358,'تجربه‌گرها'!$F:$F,N$1)</f>
        <v>0</v>
      </c>
      <c r="O358" s="242">
        <f>COUNTIFS('تجربه‌گرها'!$B:$B,$A358,'تجربه‌گرها'!$F:$F,O$1)</f>
        <v>0</v>
      </c>
      <c r="P358" s="242">
        <f>COUNTIFS('تجربه‌گرها'!$B:$B,$A358,'تجربه‌گرها'!$F:$F,P$1)</f>
        <v>0</v>
      </c>
      <c r="Q358" s="242">
        <f>COUNTIFS('تجربه‌گرها'!$B:$B,$A358,'تجربه‌گرها'!$F:$F,Q$1)</f>
        <v>0</v>
      </c>
      <c r="R358" s="242">
        <f>COUNTIFS('تجربه‌گرها'!$B:$B,$A358,'تجربه‌گرها'!$F:$F,R$1)</f>
        <v>0</v>
      </c>
      <c r="S358" s="242">
        <f>COUNTIFS('تجربه‌گرها'!$B:$B,$A358,'تجربه‌گرها'!$F:$F,S$1)</f>
        <v>0</v>
      </c>
      <c r="T358" s="242">
        <f>COUNTIFS('تجربه‌گرها'!$B:$B,$A358,'تجربه‌گرها'!$F:$F,T$1)</f>
        <v>0</v>
      </c>
      <c r="U358" s="242"/>
      <c r="V358" s="242"/>
      <c r="W358" s="242"/>
      <c r="X358" s="242"/>
      <c r="Y358" s="242"/>
      <c r="Z358" s="242"/>
      <c r="AA358" s="242"/>
      <c r="AB358" s="242"/>
    </row>
    <row r="359" hidden="1">
      <c r="A359" s="244" t="s">
        <v>2655</v>
      </c>
      <c r="B359" s="245" t="str">
        <f>VLOOKUP(A359,'تجربه‌گرها'!B:C,2,FALSE())</f>
        <v>9122986445</v>
      </c>
      <c r="C359" s="242"/>
      <c r="D359" s="242">
        <f t="shared" si="1"/>
        <v>1</v>
      </c>
      <c r="E359" s="242">
        <f>COUNTIFS('تجربه‌گرها'!$B:$B,$A359,'تجربه‌گرها'!$F:$F,E$1)</f>
        <v>0</v>
      </c>
      <c r="F359" s="242">
        <f>COUNTIFS('تجربه‌گرها'!$B:$B,$A359,'تجربه‌گرها'!$F:$F,F$1)</f>
        <v>1</v>
      </c>
      <c r="G359" s="242">
        <f>COUNTIFS('تجربه‌گرها'!$B:$B,$A359,'تجربه‌گرها'!$F:$F,G$1)</f>
        <v>0</v>
      </c>
      <c r="H359" s="242">
        <f>COUNTIFS('تجربه‌گرها'!$B:$B,$A359,'تجربه‌گرها'!$F:$F,H$1)</f>
        <v>0</v>
      </c>
      <c r="I359" s="242">
        <f>COUNTIFS('تجربه‌گرها'!$B:$B,$A359,'تجربه‌گرها'!$F:$F,I$1)</f>
        <v>0</v>
      </c>
      <c r="J359" s="242">
        <f>COUNTIFS('تجربه‌گرها'!$B:$B,$A359,'تجربه‌گرها'!$F:$F,J$1)</f>
        <v>0</v>
      </c>
      <c r="K359" s="242">
        <f>COUNTIFS('تجربه‌گرها'!$B:$B,$A359,'تجربه‌گرها'!$F:$F,K$1)</f>
        <v>0</v>
      </c>
      <c r="L359" s="242">
        <f>COUNTIFS('تجربه‌گرها'!$B:$B,$A359,'تجربه‌گرها'!$F:$F,L$1)</f>
        <v>0</v>
      </c>
      <c r="M359" s="242">
        <f>COUNTIFS('تجربه‌گرها'!$B:$B,$A359,'تجربه‌گرها'!$F:$F,M$1)</f>
        <v>0</v>
      </c>
      <c r="N359" s="242">
        <f>COUNTIFS('تجربه‌گرها'!$B:$B,$A359,'تجربه‌گرها'!$F:$F,N$1)</f>
        <v>0</v>
      </c>
      <c r="O359" s="242">
        <f>COUNTIFS('تجربه‌گرها'!$B:$B,$A359,'تجربه‌گرها'!$F:$F,O$1)</f>
        <v>0</v>
      </c>
      <c r="P359" s="242">
        <f>COUNTIFS('تجربه‌گرها'!$B:$B,$A359,'تجربه‌گرها'!$F:$F,P$1)</f>
        <v>0</v>
      </c>
      <c r="Q359" s="242">
        <f>COUNTIFS('تجربه‌گرها'!$B:$B,$A359,'تجربه‌گرها'!$F:$F,Q$1)</f>
        <v>0</v>
      </c>
      <c r="R359" s="242">
        <f>COUNTIFS('تجربه‌گرها'!$B:$B,$A359,'تجربه‌گرها'!$F:$F,R$1)</f>
        <v>0</v>
      </c>
      <c r="S359" s="242">
        <f>COUNTIFS('تجربه‌گرها'!$B:$B,$A359,'تجربه‌گرها'!$F:$F,S$1)</f>
        <v>0</v>
      </c>
      <c r="T359" s="242">
        <f>COUNTIFS('تجربه‌گرها'!$B:$B,$A359,'تجربه‌گرها'!$F:$F,T$1)</f>
        <v>0</v>
      </c>
      <c r="U359" s="242"/>
      <c r="V359" s="242"/>
      <c r="W359" s="242"/>
      <c r="X359" s="242"/>
      <c r="Y359" s="242"/>
      <c r="Z359" s="242"/>
      <c r="AA359" s="242"/>
      <c r="AB359" s="242"/>
    </row>
    <row r="360" hidden="1">
      <c r="A360" s="244" t="s">
        <v>2661</v>
      </c>
      <c r="B360" s="245" t="str">
        <f>VLOOKUP(A360,'تجربه‌گرها'!B:C,2,FALSE())</f>
        <v>9191147416</v>
      </c>
      <c r="C360" s="242"/>
      <c r="D360" s="242">
        <f t="shared" si="1"/>
        <v>1</v>
      </c>
      <c r="E360" s="242">
        <f>COUNTIFS('تجربه‌گرها'!$B:$B,$A360,'تجربه‌گرها'!$F:$F,E$1)</f>
        <v>0</v>
      </c>
      <c r="F360" s="242">
        <f>COUNTIFS('تجربه‌گرها'!$B:$B,$A360,'تجربه‌گرها'!$F:$F,F$1)</f>
        <v>1</v>
      </c>
      <c r="G360" s="242">
        <f>COUNTIFS('تجربه‌گرها'!$B:$B,$A360,'تجربه‌گرها'!$F:$F,G$1)</f>
        <v>0</v>
      </c>
      <c r="H360" s="242">
        <f>COUNTIFS('تجربه‌گرها'!$B:$B,$A360,'تجربه‌گرها'!$F:$F,H$1)</f>
        <v>0</v>
      </c>
      <c r="I360" s="242">
        <f>COUNTIFS('تجربه‌گرها'!$B:$B,$A360,'تجربه‌گرها'!$F:$F,I$1)</f>
        <v>0</v>
      </c>
      <c r="J360" s="242">
        <f>COUNTIFS('تجربه‌گرها'!$B:$B,$A360,'تجربه‌گرها'!$F:$F,J$1)</f>
        <v>0</v>
      </c>
      <c r="K360" s="242">
        <f>COUNTIFS('تجربه‌گرها'!$B:$B,$A360,'تجربه‌گرها'!$F:$F,K$1)</f>
        <v>0</v>
      </c>
      <c r="L360" s="242">
        <f>COUNTIFS('تجربه‌گرها'!$B:$B,$A360,'تجربه‌گرها'!$F:$F,L$1)</f>
        <v>0</v>
      </c>
      <c r="M360" s="242">
        <f>COUNTIFS('تجربه‌گرها'!$B:$B,$A360,'تجربه‌گرها'!$F:$F,M$1)</f>
        <v>0</v>
      </c>
      <c r="N360" s="242">
        <f>COUNTIFS('تجربه‌گرها'!$B:$B,$A360,'تجربه‌گرها'!$F:$F,N$1)</f>
        <v>0</v>
      </c>
      <c r="O360" s="242">
        <f>COUNTIFS('تجربه‌گرها'!$B:$B,$A360,'تجربه‌گرها'!$F:$F,O$1)</f>
        <v>0</v>
      </c>
      <c r="P360" s="242">
        <f>COUNTIFS('تجربه‌گرها'!$B:$B,$A360,'تجربه‌گرها'!$F:$F,P$1)</f>
        <v>0</v>
      </c>
      <c r="Q360" s="242">
        <f>COUNTIFS('تجربه‌گرها'!$B:$B,$A360,'تجربه‌گرها'!$F:$F,Q$1)</f>
        <v>0</v>
      </c>
      <c r="R360" s="242">
        <f>COUNTIFS('تجربه‌گرها'!$B:$B,$A360,'تجربه‌گرها'!$F:$F,R$1)</f>
        <v>0</v>
      </c>
      <c r="S360" s="242">
        <f>COUNTIFS('تجربه‌گرها'!$B:$B,$A360,'تجربه‌گرها'!$F:$F,S$1)</f>
        <v>0</v>
      </c>
      <c r="T360" s="242">
        <f>COUNTIFS('تجربه‌گرها'!$B:$B,$A360,'تجربه‌گرها'!$F:$F,T$1)</f>
        <v>0</v>
      </c>
      <c r="U360" s="242"/>
      <c r="V360" s="242"/>
      <c r="W360" s="242"/>
      <c r="X360" s="242"/>
      <c r="Y360" s="242"/>
      <c r="Z360" s="242"/>
      <c r="AA360" s="242"/>
      <c r="AB360" s="242"/>
    </row>
    <row r="361" hidden="1">
      <c r="A361" s="244" t="s">
        <v>2666</v>
      </c>
      <c r="B361" s="245" t="str">
        <f>VLOOKUP(A361,'تجربه‌گرها'!B:C,2,FALSE())</f>
        <v>9122498488</v>
      </c>
      <c r="C361" s="242"/>
      <c r="D361" s="242">
        <f t="shared" si="1"/>
        <v>4</v>
      </c>
      <c r="E361" s="242">
        <f>COUNTIFS('تجربه‌گرها'!$B:$B,$A361,'تجربه‌گرها'!$F:$F,E$1)</f>
        <v>0</v>
      </c>
      <c r="F361" s="242">
        <f>COUNTIFS('تجربه‌گرها'!$B:$B,$A361,'تجربه‌گرها'!$F:$F,F$1)</f>
        <v>1</v>
      </c>
      <c r="G361" s="242">
        <f>COUNTIFS('تجربه‌گرها'!$B:$B,$A361,'تجربه‌گرها'!$F:$F,G$1)</f>
        <v>0</v>
      </c>
      <c r="H361" s="242">
        <f>COUNTIFS('تجربه‌گرها'!$B:$B,$A361,'تجربه‌گرها'!$F:$F,H$1)</f>
        <v>0</v>
      </c>
      <c r="I361" s="242">
        <f>COUNTIFS('تجربه‌گرها'!$B:$B,$A361,'تجربه‌گرها'!$F:$F,I$1)</f>
        <v>0</v>
      </c>
      <c r="J361" s="242">
        <f>COUNTIFS('تجربه‌گرها'!$B:$B,$A361,'تجربه‌گرها'!$F:$F,J$1)</f>
        <v>1</v>
      </c>
      <c r="K361" s="242">
        <f>COUNTIFS('تجربه‌گرها'!$B:$B,$A361,'تجربه‌گرها'!$F:$F,K$1)</f>
        <v>0</v>
      </c>
      <c r="L361" s="242">
        <f>COUNTIFS('تجربه‌گرها'!$B:$B,$A361,'تجربه‌گرها'!$F:$F,L$1)</f>
        <v>1</v>
      </c>
      <c r="M361" s="242">
        <f>COUNTIFS('تجربه‌گرها'!$B:$B,$A361,'تجربه‌گرها'!$F:$F,M$1)</f>
        <v>1</v>
      </c>
      <c r="N361" s="242">
        <f>COUNTIFS('تجربه‌گرها'!$B:$B,$A361,'تجربه‌گرها'!$F:$F,N$1)</f>
        <v>0</v>
      </c>
      <c r="O361" s="242">
        <f>COUNTIFS('تجربه‌گرها'!$B:$B,$A361,'تجربه‌گرها'!$F:$F,O$1)</f>
        <v>0</v>
      </c>
      <c r="P361" s="242">
        <f>COUNTIFS('تجربه‌گرها'!$B:$B,$A361,'تجربه‌گرها'!$F:$F,P$1)</f>
        <v>0</v>
      </c>
      <c r="Q361" s="242">
        <f>COUNTIFS('تجربه‌گرها'!$B:$B,$A361,'تجربه‌گرها'!$F:$F,Q$1)</f>
        <v>0</v>
      </c>
      <c r="R361" s="242">
        <f>COUNTIFS('تجربه‌گرها'!$B:$B,$A361,'تجربه‌گرها'!$F:$F,R$1)</f>
        <v>0</v>
      </c>
      <c r="S361" s="242">
        <f>COUNTIFS('تجربه‌گرها'!$B:$B,$A361,'تجربه‌گرها'!$F:$F,S$1)</f>
        <v>0</v>
      </c>
      <c r="T361" s="242">
        <f>COUNTIFS('تجربه‌گرها'!$B:$B,$A361,'تجربه‌گرها'!$F:$F,T$1)</f>
        <v>0</v>
      </c>
      <c r="U361" s="242"/>
      <c r="V361" s="242"/>
      <c r="W361" s="242"/>
      <c r="X361" s="242"/>
      <c r="Y361" s="242"/>
      <c r="Z361" s="242"/>
      <c r="AA361" s="242"/>
      <c r="AB361" s="242"/>
    </row>
    <row r="362" hidden="1">
      <c r="A362" s="244" t="s">
        <v>2672</v>
      </c>
      <c r="B362" s="245" t="str">
        <f>VLOOKUP(A362,'تجربه‌گرها'!B:C,2,FALSE())</f>
        <v>9124992941</v>
      </c>
      <c r="C362" s="242"/>
      <c r="D362" s="242">
        <f t="shared" si="1"/>
        <v>2</v>
      </c>
      <c r="E362" s="242">
        <f>COUNTIFS('تجربه‌گرها'!$B:$B,$A362,'تجربه‌گرها'!$F:$F,E$1)</f>
        <v>0</v>
      </c>
      <c r="F362" s="242">
        <f>COUNTIFS('تجربه‌گرها'!$B:$B,$A362,'تجربه‌گرها'!$F:$F,F$1)</f>
        <v>1</v>
      </c>
      <c r="G362" s="242">
        <f>COUNTIFS('تجربه‌گرها'!$B:$B,$A362,'تجربه‌گرها'!$F:$F,G$1)</f>
        <v>0</v>
      </c>
      <c r="H362" s="242">
        <f>COUNTIFS('تجربه‌گرها'!$B:$B,$A362,'تجربه‌گرها'!$F:$F,H$1)</f>
        <v>1</v>
      </c>
      <c r="I362" s="242">
        <f>COUNTIFS('تجربه‌گرها'!$B:$B,$A362,'تجربه‌گرها'!$F:$F,I$1)</f>
        <v>0</v>
      </c>
      <c r="J362" s="242">
        <f>COUNTIFS('تجربه‌گرها'!$B:$B,$A362,'تجربه‌گرها'!$F:$F,J$1)</f>
        <v>0</v>
      </c>
      <c r="K362" s="242">
        <f>COUNTIFS('تجربه‌گرها'!$B:$B,$A362,'تجربه‌گرها'!$F:$F,K$1)</f>
        <v>0</v>
      </c>
      <c r="L362" s="242">
        <f>COUNTIFS('تجربه‌گرها'!$B:$B,$A362,'تجربه‌گرها'!$F:$F,L$1)</f>
        <v>0</v>
      </c>
      <c r="M362" s="242">
        <f>COUNTIFS('تجربه‌گرها'!$B:$B,$A362,'تجربه‌گرها'!$F:$F,M$1)</f>
        <v>0</v>
      </c>
      <c r="N362" s="242">
        <f>COUNTIFS('تجربه‌گرها'!$B:$B,$A362,'تجربه‌گرها'!$F:$F,N$1)</f>
        <v>0</v>
      </c>
      <c r="O362" s="242">
        <f>COUNTIFS('تجربه‌گرها'!$B:$B,$A362,'تجربه‌گرها'!$F:$F,O$1)</f>
        <v>0</v>
      </c>
      <c r="P362" s="242">
        <f>COUNTIFS('تجربه‌گرها'!$B:$B,$A362,'تجربه‌گرها'!$F:$F,P$1)</f>
        <v>0</v>
      </c>
      <c r="Q362" s="242">
        <f>COUNTIFS('تجربه‌گرها'!$B:$B,$A362,'تجربه‌گرها'!$F:$F,Q$1)</f>
        <v>0</v>
      </c>
      <c r="R362" s="242">
        <f>COUNTIFS('تجربه‌گرها'!$B:$B,$A362,'تجربه‌گرها'!$F:$F,R$1)</f>
        <v>0</v>
      </c>
      <c r="S362" s="242">
        <f>COUNTIFS('تجربه‌گرها'!$B:$B,$A362,'تجربه‌گرها'!$F:$F,S$1)</f>
        <v>0</v>
      </c>
      <c r="T362" s="242">
        <f>COUNTIFS('تجربه‌گرها'!$B:$B,$A362,'تجربه‌گرها'!$F:$F,T$1)</f>
        <v>0</v>
      </c>
      <c r="U362" s="242"/>
      <c r="V362" s="242"/>
      <c r="W362" s="242"/>
      <c r="X362" s="242"/>
      <c r="Y362" s="242"/>
      <c r="Z362" s="242"/>
      <c r="AA362" s="242"/>
      <c r="AB362" s="242"/>
    </row>
    <row r="363" hidden="1">
      <c r="A363" s="244" t="s">
        <v>2679</v>
      </c>
      <c r="B363" s="245" t="str">
        <f>VLOOKUP(A363,'تجربه‌گرها'!B:C,2,FALSE())</f>
        <v>9372733220</v>
      </c>
      <c r="C363" s="242"/>
      <c r="D363" s="242">
        <f t="shared" si="1"/>
        <v>1</v>
      </c>
      <c r="E363" s="242">
        <f>COUNTIFS('تجربه‌گرها'!$B:$B,$A363,'تجربه‌گرها'!$F:$F,E$1)</f>
        <v>0</v>
      </c>
      <c r="F363" s="242">
        <f>COUNTIFS('تجربه‌گرها'!$B:$B,$A363,'تجربه‌گرها'!$F:$F,F$1)</f>
        <v>1</v>
      </c>
      <c r="G363" s="242">
        <f>COUNTIFS('تجربه‌گرها'!$B:$B,$A363,'تجربه‌گرها'!$F:$F,G$1)</f>
        <v>0</v>
      </c>
      <c r="H363" s="242">
        <f>COUNTIFS('تجربه‌گرها'!$B:$B,$A363,'تجربه‌گرها'!$F:$F,H$1)</f>
        <v>0</v>
      </c>
      <c r="I363" s="242">
        <f>COUNTIFS('تجربه‌گرها'!$B:$B,$A363,'تجربه‌گرها'!$F:$F,I$1)</f>
        <v>0</v>
      </c>
      <c r="J363" s="242">
        <f>COUNTIFS('تجربه‌گرها'!$B:$B,$A363,'تجربه‌گرها'!$F:$F,J$1)</f>
        <v>0</v>
      </c>
      <c r="K363" s="242">
        <f>COUNTIFS('تجربه‌گرها'!$B:$B,$A363,'تجربه‌گرها'!$F:$F,K$1)</f>
        <v>0</v>
      </c>
      <c r="L363" s="242">
        <f>COUNTIFS('تجربه‌گرها'!$B:$B,$A363,'تجربه‌گرها'!$F:$F,L$1)</f>
        <v>0</v>
      </c>
      <c r="M363" s="242">
        <f>COUNTIFS('تجربه‌گرها'!$B:$B,$A363,'تجربه‌گرها'!$F:$F,M$1)</f>
        <v>0</v>
      </c>
      <c r="N363" s="242">
        <f>COUNTIFS('تجربه‌گرها'!$B:$B,$A363,'تجربه‌گرها'!$F:$F,N$1)</f>
        <v>0</v>
      </c>
      <c r="O363" s="242">
        <f>COUNTIFS('تجربه‌گرها'!$B:$B,$A363,'تجربه‌گرها'!$F:$F,O$1)</f>
        <v>0</v>
      </c>
      <c r="P363" s="242">
        <f>COUNTIFS('تجربه‌گرها'!$B:$B,$A363,'تجربه‌گرها'!$F:$F,P$1)</f>
        <v>0</v>
      </c>
      <c r="Q363" s="242">
        <f>COUNTIFS('تجربه‌گرها'!$B:$B,$A363,'تجربه‌گرها'!$F:$F,Q$1)</f>
        <v>0</v>
      </c>
      <c r="R363" s="242">
        <f>COUNTIFS('تجربه‌گرها'!$B:$B,$A363,'تجربه‌گرها'!$F:$F,R$1)</f>
        <v>0</v>
      </c>
      <c r="S363" s="242">
        <f>COUNTIFS('تجربه‌گرها'!$B:$B,$A363,'تجربه‌گرها'!$F:$F,S$1)</f>
        <v>0</v>
      </c>
      <c r="T363" s="242">
        <f>COUNTIFS('تجربه‌گرها'!$B:$B,$A363,'تجربه‌گرها'!$F:$F,T$1)</f>
        <v>0</v>
      </c>
      <c r="U363" s="242"/>
      <c r="V363" s="242"/>
      <c r="W363" s="242"/>
      <c r="X363" s="242"/>
      <c r="Y363" s="242"/>
      <c r="Z363" s="242"/>
      <c r="AA363" s="242"/>
      <c r="AB363" s="242"/>
    </row>
    <row r="364">
      <c r="A364" s="244" t="s">
        <v>2685</v>
      </c>
      <c r="B364" s="245" t="str">
        <f>VLOOKUP(A364,'تجربه‌گرها'!B:C,2,FALSE())</f>
        <v>9369625520</v>
      </c>
      <c r="C364" s="242"/>
      <c r="D364" s="242">
        <f t="shared" si="1"/>
        <v>1</v>
      </c>
      <c r="E364" s="242">
        <f>COUNTIFS('تجربه‌گرها'!$B:$B,$A364,'تجربه‌گرها'!$F:$F,E$1)</f>
        <v>0</v>
      </c>
      <c r="F364" s="242">
        <f>COUNTIFS('تجربه‌گرها'!$B:$B,$A364,'تجربه‌گرها'!$F:$F,F$1)</f>
        <v>1</v>
      </c>
      <c r="G364" s="242">
        <f>COUNTIFS('تجربه‌گرها'!$B:$B,$A364,'تجربه‌گرها'!$F:$F,G$1)</f>
        <v>0</v>
      </c>
      <c r="H364" s="242">
        <f>COUNTIFS('تجربه‌گرها'!$B:$B,$A364,'تجربه‌گرها'!$F:$F,H$1)</f>
        <v>0</v>
      </c>
      <c r="I364" s="242">
        <f>COUNTIFS('تجربه‌گرها'!$B:$B,$A364,'تجربه‌گرها'!$F:$F,I$1)</f>
        <v>0</v>
      </c>
      <c r="J364" s="242">
        <f>COUNTIFS('تجربه‌گرها'!$B:$B,$A364,'تجربه‌گرها'!$F:$F,J$1)</f>
        <v>0</v>
      </c>
      <c r="K364" s="242">
        <f>COUNTIFS('تجربه‌گرها'!$B:$B,$A364,'تجربه‌گرها'!$F:$F,K$1)</f>
        <v>0</v>
      </c>
      <c r="L364" s="242">
        <f>COUNTIFS('تجربه‌گرها'!$B:$B,$A364,'تجربه‌گرها'!$F:$F,L$1)</f>
        <v>0</v>
      </c>
      <c r="M364" s="242">
        <f>COUNTIFS('تجربه‌گرها'!$B:$B,$A364,'تجربه‌گرها'!$F:$F,M$1)</f>
        <v>0</v>
      </c>
      <c r="N364" s="242">
        <f>COUNTIFS('تجربه‌گرها'!$B:$B,$A364,'تجربه‌گرها'!$F:$F,N$1)</f>
        <v>0</v>
      </c>
      <c r="O364" s="242">
        <f>COUNTIFS('تجربه‌گرها'!$B:$B,$A364,'تجربه‌گرها'!$F:$F,O$1)</f>
        <v>0</v>
      </c>
      <c r="P364" s="242">
        <f>COUNTIFS('تجربه‌گرها'!$B:$B,$A364,'تجربه‌گرها'!$F:$F,P$1)</f>
        <v>0</v>
      </c>
      <c r="Q364" s="242">
        <f>COUNTIFS('تجربه‌گرها'!$B:$B,$A364,'تجربه‌گرها'!$F:$F,Q$1)</f>
        <v>0</v>
      </c>
      <c r="R364" s="242">
        <f>COUNTIFS('تجربه‌گرها'!$B:$B,$A364,'تجربه‌گرها'!$F:$F,R$1)</f>
        <v>0</v>
      </c>
      <c r="S364" s="242">
        <f>COUNTIFS('تجربه‌گرها'!$B:$B,$A364,'تجربه‌گرها'!$F:$F,S$1)</f>
        <v>0</v>
      </c>
      <c r="T364" s="242">
        <f>COUNTIFS('تجربه‌گرها'!$B:$B,$A364,'تجربه‌گرها'!$F:$F,T$1)</f>
        <v>0</v>
      </c>
      <c r="U364" s="242"/>
      <c r="V364" s="242"/>
      <c r="W364" s="242"/>
      <c r="X364" s="242"/>
      <c r="Y364" s="242"/>
      <c r="Z364" s="242"/>
      <c r="AA364" s="242"/>
      <c r="AB364" s="242"/>
    </row>
    <row r="365">
      <c r="A365" s="244" t="s">
        <v>2689</v>
      </c>
      <c r="B365" s="245" t="str">
        <f>VLOOKUP(A365,'تجربه‌گرها'!B:C,2,FALSE())</f>
        <v>9122830456</v>
      </c>
      <c r="C365" s="242"/>
      <c r="D365" s="242">
        <f t="shared" si="1"/>
        <v>1</v>
      </c>
      <c r="E365" s="242">
        <f>COUNTIFS('تجربه‌گرها'!$B:$B,$A365,'تجربه‌گرها'!$F:$F,E$1)</f>
        <v>0</v>
      </c>
      <c r="F365" s="242">
        <f>COUNTIFS('تجربه‌گرها'!$B:$B,$A365,'تجربه‌گرها'!$F:$F,F$1)</f>
        <v>1</v>
      </c>
      <c r="G365" s="242">
        <f>COUNTIFS('تجربه‌گرها'!$B:$B,$A365,'تجربه‌گرها'!$F:$F,G$1)</f>
        <v>0</v>
      </c>
      <c r="H365" s="242">
        <f>COUNTIFS('تجربه‌گرها'!$B:$B,$A365,'تجربه‌گرها'!$F:$F,H$1)</f>
        <v>0</v>
      </c>
      <c r="I365" s="242">
        <f>COUNTIFS('تجربه‌گرها'!$B:$B,$A365,'تجربه‌گرها'!$F:$F,I$1)</f>
        <v>0</v>
      </c>
      <c r="J365" s="242">
        <f>COUNTIFS('تجربه‌گرها'!$B:$B,$A365,'تجربه‌گرها'!$F:$F,J$1)</f>
        <v>0</v>
      </c>
      <c r="K365" s="242">
        <f>COUNTIFS('تجربه‌گرها'!$B:$B,$A365,'تجربه‌گرها'!$F:$F,K$1)</f>
        <v>0</v>
      </c>
      <c r="L365" s="242">
        <f>COUNTIFS('تجربه‌گرها'!$B:$B,$A365,'تجربه‌گرها'!$F:$F,L$1)</f>
        <v>0</v>
      </c>
      <c r="M365" s="242">
        <f>COUNTIFS('تجربه‌گرها'!$B:$B,$A365,'تجربه‌گرها'!$F:$F,M$1)</f>
        <v>0</v>
      </c>
      <c r="N365" s="242">
        <f>COUNTIFS('تجربه‌گرها'!$B:$B,$A365,'تجربه‌گرها'!$F:$F,N$1)</f>
        <v>0</v>
      </c>
      <c r="O365" s="242">
        <f>COUNTIFS('تجربه‌گرها'!$B:$B,$A365,'تجربه‌گرها'!$F:$F,O$1)</f>
        <v>0</v>
      </c>
      <c r="P365" s="242">
        <f>COUNTIFS('تجربه‌گرها'!$B:$B,$A365,'تجربه‌گرها'!$F:$F,P$1)</f>
        <v>0</v>
      </c>
      <c r="Q365" s="242">
        <f>COUNTIFS('تجربه‌گرها'!$B:$B,$A365,'تجربه‌گرها'!$F:$F,Q$1)</f>
        <v>0</v>
      </c>
      <c r="R365" s="242">
        <f>COUNTIFS('تجربه‌گرها'!$B:$B,$A365,'تجربه‌گرها'!$F:$F,R$1)</f>
        <v>0</v>
      </c>
      <c r="S365" s="242">
        <f>COUNTIFS('تجربه‌گرها'!$B:$B,$A365,'تجربه‌گرها'!$F:$F,S$1)</f>
        <v>0</v>
      </c>
      <c r="T365" s="242">
        <f>COUNTIFS('تجربه‌گرها'!$B:$B,$A365,'تجربه‌گرها'!$F:$F,T$1)</f>
        <v>0</v>
      </c>
      <c r="U365" s="242"/>
      <c r="V365" s="242"/>
      <c r="W365" s="242"/>
      <c r="X365" s="242"/>
      <c r="Y365" s="242"/>
      <c r="Z365" s="242"/>
      <c r="AA365" s="242"/>
      <c r="AB365" s="242"/>
    </row>
    <row r="366" hidden="1">
      <c r="A366" s="244" t="s">
        <v>2693</v>
      </c>
      <c r="B366" s="245" t="str">
        <f>VLOOKUP(A366,'تجربه‌گرها'!B:C,2,FALSE())</f>
        <v>9121785020</v>
      </c>
      <c r="C366" s="242"/>
      <c r="D366" s="242">
        <f t="shared" si="1"/>
        <v>1</v>
      </c>
      <c r="E366" s="242">
        <f>COUNTIFS('تجربه‌گرها'!$B:$B,$A366,'تجربه‌گرها'!$F:$F,E$1)</f>
        <v>0</v>
      </c>
      <c r="F366" s="242">
        <f>COUNTIFS('تجربه‌گرها'!$B:$B,$A366,'تجربه‌گرها'!$F:$F,F$1)</f>
        <v>1</v>
      </c>
      <c r="G366" s="242">
        <f>COUNTIFS('تجربه‌گرها'!$B:$B,$A366,'تجربه‌گرها'!$F:$F,G$1)</f>
        <v>0</v>
      </c>
      <c r="H366" s="242">
        <f>COUNTIFS('تجربه‌گرها'!$B:$B,$A366,'تجربه‌گرها'!$F:$F,H$1)</f>
        <v>0</v>
      </c>
      <c r="I366" s="242">
        <f>COUNTIFS('تجربه‌گرها'!$B:$B,$A366,'تجربه‌گرها'!$F:$F,I$1)</f>
        <v>0</v>
      </c>
      <c r="J366" s="242">
        <f>COUNTIFS('تجربه‌گرها'!$B:$B,$A366,'تجربه‌گرها'!$F:$F,J$1)</f>
        <v>0</v>
      </c>
      <c r="K366" s="242">
        <f>COUNTIFS('تجربه‌گرها'!$B:$B,$A366,'تجربه‌گرها'!$F:$F,K$1)</f>
        <v>0</v>
      </c>
      <c r="L366" s="242">
        <f>COUNTIFS('تجربه‌گرها'!$B:$B,$A366,'تجربه‌گرها'!$F:$F,L$1)</f>
        <v>0</v>
      </c>
      <c r="M366" s="242">
        <f>COUNTIFS('تجربه‌گرها'!$B:$B,$A366,'تجربه‌گرها'!$F:$F,M$1)</f>
        <v>0</v>
      </c>
      <c r="N366" s="242">
        <f>COUNTIFS('تجربه‌گرها'!$B:$B,$A366,'تجربه‌گرها'!$F:$F,N$1)</f>
        <v>0</v>
      </c>
      <c r="O366" s="242">
        <f>COUNTIFS('تجربه‌گرها'!$B:$B,$A366,'تجربه‌گرها'!$F:$F,O$1)</f>
        <v>0</v>
      </c>
      <c r="P366" s="242">
        <f>COUNTIFS('تجربه‌گرها'!$B:$B,$A366,'تجربه‌گرها'!$F:$F,P$1)</f>
        <v>0</v>
      </c>
      <c r="Q366" s="242">
        <f>COUNTIFS('تجربه‌گرها'!$B:$B,$A366,'تجربه‌گرها'!$F:$F,Q$1)</f>
        <v>0</v>
      </c>
      <c r="R366" s="242">
        <f>COUNTIFS('تجربه‌گرها'!$B:$B,$A366,'تجربه‌گرها'!$F:$F,R$1)</f>
        <v>0</v>
      </c>
      <c r="S366" s="242">
        <f>COUNTIFS('تجربه‌گرها'!$B:$B,$A366,'تجربه‌گرها'!$F:$F,S$1)</f>
        <v>0</v>
      </c>
      <c r="T366" s="242">
        <f>COUNTIFS('تجربه‌گرها'!$B:$B,$A366,'تجربه‌گرها'!$F:$F,T$1)</f>
        <v>0</v>
      </c>
      <c r="U366" s="242"/>
      <c r="V366" s="242"/>
      <c r="W366" s="242"/>
      <c r="X366" s="242"/>
      <c r="Y366" s="242"/>
      <c r="Z366" s="242"/>
      <c r="AA366" s="242"/>
      <c r="AB366" s="242"/>
    </row>
    <row r="367" hidden="1">
      <c r="A367" s="244" t="s">
        <v>2697</v>
      </c>
      <c r="B367" s="245" t="str">
        <f>VLOOKUP(A367,'تجربه‌گرها'!B:C,2,FALSE())</f>
        <v>9111352374</v>
      </c>
      <c r="C367" s="242"/>
      <c r="D367" s="242">
        <f t="shared" si="1"/>
        <v>1</v>
      </c>
      <c r="E367" s="242">
        <f>COUNTIFS('تجربه‌گرها'!$B:$B,$A367,'تجربه‌گرها'!$F:$F,E$1)</f>
        <v>0</v>
      </c>
      <c r="F367" s="242">
        <f>COUNTIFS('تجربه‌گرها'!$B:$B,$A367,'تجربه‌گرها'!$F:$F,F$1)</f>
        <v>1</v>
      </c>
      <c r="G367" s="242">
        <f>COUNTIFS('تجربه‌گرها'!$B:$B,$A367,'تجربه‌گرها'!$F:$F,G$1)</f>
        <v>0</v>
      </c>
      <c r="H367" s="242">
        <f>COUNTIFS('تجربه‌گرها'!$B:$B,$A367,'تجربه‌گرها'!$F:$F,H$1)</f>
        <v>0</v>
      </c>
      <c r="I367" s="242">
        <f>COUNTIFS('تجربه‌گرها'!$B:$B,$A367,'تجربه‌گرها'!$F:$F,I$1)</f>
        <v>0</v>
      </c>
      <c r="J367" s="242">
        <f>COUNTIFS('تجربه‌گرها'!$B:$B,$A367,'تجربه‌گرها'!$F:$F,J$1)</f>
        <v>0</v>
      </c>
      <c r="K367" s="242">
        <f>COUNTIFS('تجربه‌گرها'!$B:$B,$A367,'تجربه‌گرها'!$F:$F,K$1)</f>
        <v>0</v>
      </c>
      <c r="L367" s="242">
        <f>COUNTIFS('تجربه‌گرها'!$B:$B,$A367,'تجربه‌گرها'!$F:$F,L$1)</f>
        <v>0</v>
      </c>
      <c r="M367" s="242">
        <f>COUNTIFS('تجربه‌گرها'!$B:$B,$A367,'تجربه‌گرها'!$F:$F,M$1)</f>
        <v>0</v>
      </c>
      <c r="N367" s="242">
        <f>COUNTIFS('تجربه‌گرها'!$B:$B,$A367,'تجربه‌گرها'!$F:$F,N$1)</f>
        <v>0</v>
      </c>
      <c r="O367" s="242">
        <f>COUNTIFS('تجربه‌گرها'!$B:$B,$A367,'تجربه‌گرها'!$F:$F,O$1)</f>
        <v>0</v>
      </c>
      <c r="P367" s="242">
        <f>COUNTIFS('تجربه‌گرها'!$B:$B,$A367,'تجربه‌گرها'!$F:$F,P$1)</f>
        <v>0</v>
      </c>
      <c r="Q367" s="242">
        <f>COUNTIFS('تجربه‌گرها'!$B:$B,$A367,'تجربه‌گرها'!$F:$F,Q$1)</f>
        <v>0</v>
      </c>
      <c r="R367" s="242">
        <f>COUNTIFS('تجربه‌گرها'!$B:$B,$A367,'تجربه‌گرها'!$F:$F,R$1)</f>
        <v>0</v>
      </c>
      <c r="S367" s="242">
        <f>COUNTIFS('تجربه‌گرها'!$B:$B,$A367,'تجربه‌گرها'!$F:$F,S$1)</f>
        <v>0</v>
      </c>
      <c r="T367" s="242">
        <f>COUNTIFS('تجربه‌گرها'!$B:$B,$A367,'تجربه‌گرها'!$F:$F,T$1)</f>
        <v>0</v>
      </c>
      <c r="U367" s="242"/>
      <c r="V367" s="242"/>
      <c r="W367" s="242"/>
      <c r="X367" s="242"/>
      <c r="Y367" s="242"/>
      <c r="Z367" s="242"/>
      <c r="AA367" s="242"/>
      <c r="AB367" s="242"/>
    </row>
    <row r="368" hidden="1">
      <c r="A368" s="244" t="s">
        <v>2705</v>
      </c>
      <c r="B368" s="245" t="str">
        <f>VLOOKUP(A368,'تجربه‌گرها'!B:C,2,FALSE())</f>
        <v>9022468490</v>
      </c>
      <c r="C368" s="242"/>
      <c r="D368" s="242">
        <f t="shared" si="1"/>
        <v>1</v>
      </c>
      <c r="E368" s="242">
        <f>COUNTIFS('تجربه‌گرها'!$B:$B,$A368,'تجربه‌گرها'!$F:$F,E$1)</f>
        <v>0</v>
      </c>
      <c r="F368" s="242">
        <f>COUNTIFS('تجربه‌گرها'!$B:$B,$A368,'تجربه‌گرها'!$F:$F,F$1)</f>
        <v>1</v>
      </c>
      <c r="G368" s="242">
        <f>COUNTIFS('تجربه‌گرها'!$B:$B,$A368,'تجربه‌گرها'!$F:$F,G$1)</f>
        <v>0</v>
      </c>
      <c r="H368" s="242">
        <f>COUNTIFS('تجربه‌گرها'!$B:$B,$A368,'تجربه‌گرها'!$F:$F,H$1)</f>
        <v>0</v>
      </c>
      <c r="I368" s="242">
        <f>COUNTIFS('تجربه‌گرها'!$B:$B,$A368,'تجربه‌گرها'!$F:$F,I$1)</f>
        <v>0</v>
      </c>
      <c r="J368" s="242">
        <f>COUNTIFS('تجربه‌گرها'!$B:$B,$A368,'تجربه‌گرها'!$F:$F,J$1)</f>
        <v>0</v>
      </c>
      <c r="K368" s="242">
        <f>COUNTIFS('تجربه‌گرها'!$B:$B,$A368,'تجربه‌گرها'!$F:$F,K$1)</f>
        <v>0</v>
      </c>
      <c r="L368" s="242">
        <f>COUNTIFS('تجربه‌گرها'!$B:$B,$A368,'تجربه‌گرها'!$F:$F,L$1)</f>
        <v>0</v>
      </c>
      <c r="M368" s="242">
        <f>COUNTIFS('تجربه‌گرها'!$B:$B,$A368,'تجربه‌گرها'!$F:$F,M$1)</f>
        <v>0</v>
      </c>
      <c r="N368" s="242">
        <f>COUNTIFS('تجربه‌گرها'!$B:$B,$A368,'تجربه‌گرها'!$F:$F,N$1)</f>
        <v>0</v>
      </c>
      <c r="O368" s="242">
        <f>COUNTIFS('تجربه‌گرها'!$B:$B,$A368,'تجربه‌گرها'!$F:$F,O$1)</f>
        <v>0</v>
      </c>
      <c r="P368" s="242">
        <f>COUNTIFS('تجربه‌گرها'!$B:$B,$A368,'تجربه‌گرها'!$F:$F,P$1)</f>
        <v>0</v>
      </c>
      <c r="Q368" s="242">
        <f>COUNTIFS('تجربه‌گرها'!$B:$B,$A368,'تجربه‌گرها'!$F:$F,Q$1)</f>
        <v>0</v>
      </c>
      <c r="R368" s="242">
        <f>COUNTIFS('تجربه‌گرها'!$B:$B,$A368,'تجربه‌گرها'!$F:$F,R$1)</f>
        <v>0</v>
      </c>
      <c r="S368" s="242">
        <f>COUNTIFS('تجربه‌گرها'!$B:$B,$A368,'تجربه‌گرها'!$F:$F,S$1)</f>
        <v>0</v>
      </c>
      <c r="T368" s="242">
        <f>COUNTIFS('تجربه‌گرها'!$B:$B,$A368,'تجربه‌گرها'!$F:$F,T$1)</f>
        <v>0</v>
      </c>
      <c r="U368" s="242"/>
      <c r="V368" s="242"/>
      <c r="W368" s="242"/>
      <c r="X368" s="242"/>
      <c r="Y368" s="242"/>
      <c r="Z368" s="242"/>
      <c r="AA368" s="242"/>
      <c r="AB368" s="242"/>
    </row>
    <row r="369" hidden="1">
      <c r="A369" s="244" t="s">
        <v>2710</v>
      </c>
      <c r="B369" s="245" t="str">
        <f>VLOOKUP(A369,'تجربه‌گرها'!B:C,2,FALSE())</f>
        <v>9125063572</v>
      </c>
      <c r="C369" s="242"/>
      <c r="D369" s="242">
        <f t="shared" si="1"/>
        <v>1</v>
      </c>
      <c r="E369" s="242">
        <f>COUNTIFS('تجربه‌گرها'!$B:$B,$A369,'تجربه‌گرها'!$F:$F,E$1)</f>
        <v>0</v>
      </c>
      <c r="F369" s="242">
        <f>COUNTIFS('تجربه‌گرها'!$B:$B,$A369,'تجربه‌گرها'!$F:$F,F$1)</f>
        <v>1</v>
      </c>
      <c r="G369" s="242">
        <f>COUNTIFS('تجربه‌گرها'!$B:$B,$A369,'تجربه‌گرها'!$F:$F,G$1)</f>
        <v>0</v>
      </c>
      <c r="H369" s="242">
        <f>COUNTIFS('تجربه‌گرها'!$B:$B,$A369,'تجربه‌گرها'!$F:$F,H$1)</f>
        <v>0</v>
      </c>
      <c r="I369" s="242">
        <f>COUNTIFS('تجربه‌گرها'!$B:$B,$A369,'تجربه‌گرها'!$F:$F,I$1)</f>
        <v>0</v>
      </c>
      <c r="J369" s="242">
        <f>COUNTIFS('تجربه‌گرها'!$B:$B,$A369,'تجربه‌گرها'!$F:$F,J$1)</f>
        <v>0</v>
      </c>
      <c r="K369" s="242">
        <f>COUNTIFS('تجربه‌گرها'!$B:$B,$A369,'تجربه‌گرها'!$F:$F,K$1)</f>
        <v>0</v>
      </c>
      <c r="L369" s="242">
        <f>COUNTIFS('تجربه‌گرها'!$B:$B,$A369,'تجربه‌گرها'!$F:$F,L$1)</f>
        <v>0</v>
      </c>
      <c r="M369" s="242">
        <f>COUNTIFS('تجربه‌گرها'!$B:$B,$A369,'تجربه‌گرها'!$F:$F,M$1)</f>
        <v>0</v>
      </c>
      <c r="N369" s="242">
        <f>COUNTIFS('تجربه‌گرها'!$B:$B,$A369,'تجربه‌گرها'!$F:$F,N$1)</f>
        <v>0</v>
      </c>
      <c r="O369" s="242">
        <f>COUNTIFS('تجربه‌گرها'!$B:$B,$A369,'تجربه‌گرها'!$F:$F,O$1)</f>
        <v>0</v>
      </c>
      <c r="P369" s="242">
        <f>COUNTIFS('تجربه‌گرها'!$B:$B,$A369,'تجربه‌گرها'!$F:$F,P$1)</f>
        <v>0</v>
      </c>
      <c r="Q369" s="242">
        <f>COUNTIFS('تجربه‌گرها'!$B:$B,$A369,'تجربه‌گرها'!$F:$F,Q$1)</f>
        <v>0</v>
      </c>
      <c r="R369" s="242">
        <f>COUNTIFS('تجربه‌گرها'!$B:$B,$A369,'تجربه‌گرها'!$F:$F,R$1)</f>
        <v>0</v>
      </c>
      <c r="S369" s="242">
        <f>COUNTIFS('تجربه‌گرها'!$B:$B,$A369,'تجربه‌گرها'!$F:$F,S$1)</f>
        <v>0</v>
      </c>
      <c r="T369" s="242">
        <f>COUNTIFS('تجربه‌گرها'!$B:$B,$A369,'تجربه‌گرها'!$F:$F,T$1)</f>
        <v>0</v>
      </c>
      <c r="U369" s="242"/>
      <c r="V369" s="242"/>
      <c r="W369" s="242"/>
      <c r="X369" s="242"/>
      <c r="Y369" s="242"/>
      <c r="Z369" s="242"/>
      <c r="AA369" s="242"/>
      <c r="AB369" s="242"/>
    </row>
    <row r="370" hidden="1">
      <c r="A370" s="244" t="s">
        <v>2713</v>
      </c>
      <c r="B370" s="245" t="str">
        <f>VLOOKUP(A370,'تجربه‌گرها'!B:C,2,FALSE())</f>
        <v>9113726846</v>
      </c>
      <c r="C370" s="242"/>
      <c r="D370" s="242">
        <f t="shared" si="1"/>
        <v>1</v>
      </c>
      <c r="E370" s="242">
        <f>COUNTIFS('تجربه‌گرها'!$B:$B,$A370,'تجربه‌گرها'!$F:$F,E$1)</f>
        <v>0</v>
      </c>
      <c r="F370" s="242">
        <f>COUNTIFS('تجربه‌گرها'!$B:$B,$A370,'تجربه‌گرها'!$F:$F,F$1)</f>
        <v>1</v>
      </c>
      <c r="G370" s="242">
        <f>COUNTIFS('تجربه‌گرها'!$B:$B,$A370,'تجربه‌گرها'!$F:$F,G$1)</f>
        <v>0</v>
      </c>
      <c r="H370" s="242">
        <f>COUNTIFS('تجربه‌گرها'!$B:$B,$A370,'تجربه‌گرها'!$F:$F,H$1)</f>
        <v>0</v>
      </c>
      <c r="I370" s="242">
        <f>COUNTIFS('تجربه‌گرها'!$B:$B,$A370,'تجربه‌گرها'!$F:$F,I$1)</f>
        <v>0</v>
      </c>
      <c r="J370" s="242">
        <f>COUNTIFS('تجربه‌گرها'!$B:$B,$A370,'تجربه‌گرها'!$F:$F,J$1)</f>
        <v>0</v>
      </c>
      <c r="K370" s="242">
        <f>COUNTIFS('تجربه‌گرها'!$B:$B,$A370,'تجربه‌گرها'!$F:$F,K$1)</f>
        <v>0</v>
      </c>
      <c r="L370" s="242">
        <f>COUNTIFS('تجربه‌گرها'!$B:$B,$A370,'تجربه‌گرها'!$F:$F,L$1)</f>
        <v>0</v>
      </c>
      <c r="M370" s="242">
        <f>COUNTIFS('تجربه‌گرها'!$B:$B,$A370,'تجربه‌گرها'!$F:$F,M$1)</f>
        <v>0</v>
      </c>
      <c r="N370" s="242">
        <f>COUNTIFS('تجربه‌گرها'!$B:$B,$A370,'تجربه‌گرها'!$F:$F,N$1)</f>
        <v>0</v>
      </c>
      <c r="O370" s="242">
        <f>COUNTIFS('تجربه‌گرها'!$B:$B,$A370,'تجربه‌گرها'!$F:$F,O$1)</f>
        <v>0</v>
      </c>
      <c r="P370" s="242">
        <f>COUNTIFS('تجربه‌گرها'!$B:$B,$A370,'تجربه‌گرها'!$F:$F,P$1)</f>
        <v>0</v>
      </c>
      <c r="Q370" s="242">
        <f>COUNTIFS('تجربه‌گرها'!$B:$B,$A370,'تجربه‌گرها'!$F:$F,Q$1)</f>
        <v>0</v>
      </c>
      <c r="R370" s="242">
        <f>COUNTIFS('تجربه‌گرها'!$B:$B,$A370,'تجربه‌گرها'!$F:$F,R$1)</f>
        <v>0</v>
      </c>
      <c r="S370" s="242">
        <f>COUNTIFS('تجربه‌گرها'!$B:$B,$A370,'تجربه‌گرها'!$F:$F,S$1)</f>
        <v>0</v>
      </c>
      <c r="T370" s="242">
        <f>COUNTIFS('تجربه‌گرها'!$B:$B,$A370,'تجربه‌گرها'!$F:$F,T$1)</f>
        <v>0</v>
      </c>
      <c r="U370" s="242"/>
      <c r="V370" s="242"/>
      <c r="W370" s="242"/>
      <c r="X370" s="242"/>
      <c r="Y370" s="242"/>
      <c r="Z370" s="242"/>
      <c r="AA370" s="242"/>
      <c r="AB370" s="242"/>
    </row>
    <row r="371" hidden="1">
      <c r="A371" s="244" t="s">
        <v>2718</v>
      </c>
      <c r="B371" s="245" t="str">
        <f>VLOOKUP(A371,'تجربه‌گرها'!B:C,2,FALSE())</f>
        <v>9122064560</v>
      </c>
      <c r="C371" s="242"/>
      <c r="D371" s="242">
        <f t="shared" si="1"/>
        <v>1</v>
      </c>
      <c r="E371" s="242">
        <f>COUNTIFS('تجربه‌گرها'!$B:$B,$A371,'تجربه‌گرها'!$F:$F,E$1)</f>
        <v>0</v>
      </c>
      <c r="F371" s="242">
        <f>COUNTIFS('تجربه‌گرها'!$B:$B,$A371,'تجربه‌گرها'!$F:$F,F$1)</f>
        <v>1</v>
      </c>
      <c r="G371" s="242">
        <f>COUNTIFS('تجربه‌گرها'!$B:$B,$A371,'تجربه‌گرها'!$F:$F,G$1)</f>
        <v>0</v>
      </c>
      <c r="H371" s="242">
        <f>COUNTIFS('تجربه‌گرها'!$B:$B,$A371,'تجربه‌گرها'!$F:$F,H$1)</f>
        <v>0</v>
      </c>
      <c r="I371" s="242">
        <f>COUNTIFS('تجربه‌گرها'!$B:$B,$A371,'تجربه‌گرها'!$F:$F,I$1)</f>
        <v>0</v>
      </c>
      <c r="J371" s="242">
        <f>COUNTIFS('تجربه‌گرها'!$B:$B,$A371,'تجربه‌گرها'!$F:$F,J$1)</f>
        <v>0</v>
      </c>
      <c r="K371" s="242">
        <f>COUNTIFS('تجربه‌گرها'!$B:$B,$A371,'تجربه‌گرها'!$F:$F,K$1)</f>
        <v>0</v>
      </c>
      <c r="L371" s="242">
        <f>COUNTIFS('تجربه‌گرها'!$B:$B,$A371,'تجربه‌گرها'!$F:$F,L$1)</f>
        <v>0</v>
      </c>
      <c r="M371" s="242">
        <f>COUNTIFS('تجربه‌گرها'!$B:$B,$A371,'تجربه‌گرها'!$F:$F,M$1)</f>
        <v>0</v>
      </c>
      <c r="N371" s="242">
        <f>COUNTIFS('تجربه‌گرها'!$B:$B,$A371,'تجربه‌گرها'!$F:$F,N$1)</f>
        <v>0</v>
      </c>
      <c r="O371" s="242">
        <f>COUNTIFS('تجربه‌گرها'!$B:$B,$A371,'تجربه‌گرها'!$F:$F,O$1)</f>
        <v>0</v>
      </c>
      <c r="P371" s="242">
        <f>COUNTIFS('تجربه‌گرها'!$B:$B,$A371,'تجربه‌گرها'!$F:$F,P$1)</f>
        <v>0</v>
      </c>
      <c r="Q371" s="242">
        <f>COUNTIFS('تجربه‌گرها'!$B:$B,$A371,'تجربه‌گرها'!$F:$F,Q$1)</f>
        <v>0</v>
      </c>
      <c r="R371" s="242">
        <f>COUNTIFS('تجربه‌گرها'!$B:$B,$A371,'تجربه‌گرها'!$F:$F,R$1)</f>
        <v>0</v>
      </c>
      <c r="S371" s="242">
        <f>COUNTIFS('تجربه‌گرها'!$B:$B,$A371,'تجربه‌گرها'!$F:$F,S$1)</f>
        <v>0</v>
      </c>
      <c r="T371" s="242">
        <f>COUNTIFS('تجربه‌گرها'!$B:$B,$A371,'تجربه‌گرها'!$F:$F,T$1)</f>
        <v>0</v>
      </c>
      <c r="U371" s="242"/>
      <c r="V371" s="242"/>
      <c r="W371" s="242"/>
      <c r="X371" s="242"/>
      <c r="Y371" s="242"/>
      <c r="Z371" s="242"/>
      <c r="AA371" s="242"/>
      <c r="AB371" s="242"/>
    </row>
    <row r="372" hidden="1">
      <c r="A372" s="244" t="s">
        <v>2723</v>
      </c>
      <c r="B372" s="245" t="str">
        <f>VLOOKUP(A372,'تجربه‌گرها'!B:C,2,FALSE())</f>
        <v>9127249525</v>
      </c>
      <c r="C372" s="242"/>
      <c r="D372" s="242">
        <f t="shared" si="1"/>
        <v>1</v>
      </c>
      <c r="E372" s="242">
        <f>COUNTIFS('تجربه‌گرها'!$B:$B,$A372,'تجربه‌گرها'!$F:$F,E$1)</f>
        <v>0</v>
      </c>
      <c r="F372" s="242">
        <f>COUNTIFS('تجربه‌گرها'!$B:$B,$A372,'تجربه‌گرها'!$F:$F,F$1)</f>
        <v>1</v>
      </c>
      <c r="G372" s="242">
        <f>COUNTIFS('تجربه‌گرها'!$B:$B,$A372,'تجربه‌گرها'!$F:$F,G$1)</f>
        <v>0</v>
      </c>
      <c r="H372" s="242">
        <f>COUNTIFS('تجربه‌گرها'!$B:$B,$A372,'تجربه‌گرها'!$F:$F,H$1)</f>
        <v>0</v>
      </c>
      <c r="I372" s="242">
        <f>COUNTIFS('تجربه‌گرها'!$B:$B,$A372,'تجربه‌گرها'!$F:$F,I$1)</f>
        <v>0</v>
      </c>
      <c r="J372" s="242">
        <f>COUNTIFS('تجربه‌گرها'!$B:$B,$A372,'تجربه‌گرها'!$F:$F,J$1)</f>
        <v>0</v>
      </c>
      <c r="K372" s="242">
        <f>COUNTIFS('تجربه‌گرها'!$B:$B,$A372,'تجربه‌گرها'!$F:$F,K$1)</f>
        <v>0</v>
      </c>
      <c r="L372" s="242">
        <f>COUNTIFS('تجربه‌گرها'!$B:$B,$A372,'تجربه‌گرها'!$F:$F,L$1)</f>
        <v>0</v>
      </c>
      <c r="M372" s="242">
        <f>COUNTIFS('تجربه‌گرها'!$B:$B,$A372,'تجربه‌گرها'!$F:$F,M$1)</f>
        <v>0</v>
      </c>
      <c r="N372" s="242">
        <f>COUNTIFS('تجربه‌گرها'!$B:$B,$A372,'تجربه‌گرها'!$F:$F,N$1)</f>
        <v>0</v>
      </c>
      <c r="O372" s="242">
        <f>COUNTIFS('تجربه‌گرها'!$B:$B,$A372,'تجربه‌گرها'!$F:$F,O$1)</f>
        <v>0</v>
      </c>
      <c r="P372" s="242">
        <f>COUNTIFS('تجربه‌گرها'!$B:$B,$A372,'تجربه‌گرها'!$F:$F,P$1)</f>
        <v>0</v>
      </c>
      <c r="Q372" s="242">
        <f>COUNTIFS('تجربه‌گرها'!$B:$B,$A372,'تجربه‌گرها'!$F:$F,Q$1)</f>
        <v>0</v>
      </c>
      <c r="R372" s="242">
        <f>COUNTIFS('تجربه‌گرها'!$B:$B,$A372,'تجربه‌گرها'!$F:$F,R$1)</f>
        <v>0</v>
      </c>
      <c r="S372" s="242">
        <f>COUNTIFS('تجربه‌گرها'!$B:$B,$A372,'تجربه‌گرها'!$F:$F,S$1)</f>
        <v>0</v>
      </c>
      <c r="T372" s="242">
        <f>COUNTIFS('تجربه‌گرها'!$B:$B,$A372,'تجربه‌گرها'!$F:$F,T$1)</f>
        <v>0</v>
      </c>
      <c r="U372" s="242"/>
      <c r="V372" s="242"/>
      <c r="W372" s="242"/>
      <c r="X372" s="242"/>
      <c r="Y372" s="242"/>
      <c r="Z372" s="242"/>
      <c r="AA372" s="242"/>
      <c r="AB372" s="242"/>
    </row>
    <row r="373" hidden="1">
      <c r="A373" s="244" t="s">
        <v>2730</v>
      </c>
      <c r="B373" s="245" t="str">
        <f>VLOOKUP(A373,'تجربه‌گرها'!B:C,2,FALSE())</f>
        <v>9122217484</v>
      </c>
      <c r="C373" s="242"/>
      <c r="D373" s="242">
        <f t="shared" si="1"/>
        <v>1</v>
      </c>
      <c r="E373" s="242">
        <f>COUNTIFS('تجربه‌گرها'!$B:$B,$A373,'تجربه‌گرها'!$F:$F,E$1)</f>
        <v>0</v>
      </c>
      <c r="F373" s="242">
        <f>COUNTIFS('تجربه‌گرها'!$B:$B,$A373,'تجربه‌گرها'!$F:$F,F$1)</f>
        <v>1</v>
      </c>
      <c r="G373" s="242">
        <f>COUNTIFS('تجربه‌گرها'!$B:$B,$A373,'تجربه‌گرها'!$F:$F,G$1)</f>
        <v>0</v>
      </c>
      <c r="H373" s="242">
        <f>COUNTIFS('تجربه‌گرها'!$B:$B,$A373,'تجربه‌گرها'!$F:$F,H$1)</f>
        <v>0</v>
      </c>
      <c r="I373" s="242">
        <f>COUNTIFS('تجربه‌گرها'!$B:$B,$A373,'تجربه‌گرها'!$F:$F,I$1)</f>
        <v>0</v>
      </c>
      <c r="J373" s="242">
        <f>COUNTIFS('تجربه‌گرها'!$B:$B,$A373,'تجربه‌گرها'!$F:$F,J$1)</f>
        <v>0</v>
      </c>
      <c r="K373" s="242">
        <f>COUNTIFS('تجربه‌گرها'!$B:$B,$A373,'تجربه‌گرها'!$F:$F,K$1)</f>
        <v>0</v>
      </c>
      <c r="L373" s="242">
        <f>COUNTIFS('تجربه‌گرها'!$B:$B,$A373,'تجربه‌گرها'!$F:$F,L$1)</f>
        <v>0</v>
      </c>
      <c r="M373" s="242">
        <f>COUNTIFS('تجربه‌گرها'!$B:$B,$A373,'تجربه‌گرها'!$F:$F,M$1)</f>
        <v>0</v>
      </c>
      <c r="N373" s="242">
        <f>COUNTIFS('تجربه‌گرها'!$B:$B,$A373,'تجربه‌گرها'!$F:$F,N$1)</f>
        <v>0</v>
      </c>
      <c r="O373" s="242">
        <f>COUNTIFS('تجربه‌گرها'!$B:$B,$A373,'تجربه‌گرها'!$F:$F,O$1)</f>
        <v>0</v>
      </c>
      <c r="P373" s="242">
        <f>COUNTIFS('تجربه‌گرها'!$B:$B,$A373,'تجربه‌گرها'!$F:$F,P$1)</f>
        <v>0</v>
      </c>
      <c r="Q373" s="242">
        <f>COUNTIFS('تجربه‌گرها'!$B:$B,$A373,'تجربه‌گرها'!$F:$F,Q$1)</f>
        <v>0</v>
      </c>
      <c r="R373" s="242">
        <f>COUNTIFS('تجربه‌گرها'!$B:$B,$A373,'تجربه‌گرها'!$F:$F,R$1)</f>
        <v>0</v>
      </c>
      <c r="S373" s="242">
        <f>COUNTIFS('تجربه‌گرها'!$B:$B,$A373,'تجربه‌گرها'!$F:$F,S$1)</f>
        <v>0</v>
      </c>
      <c r="T373" s="242">
        <f>COUNTIFS('تجربه‌گرها'!$B:$B,$A373,'تجربه‌گرها'!$F:$F,T$1)</f>
        <v>0</v>
      </c>
      <c r="U373" s="242"/>
      <c r="V373" s="242"/>
      <c r="W373" s="242"/>
      <c r="X373" s="242"/>
      <c r="Y373" s="242"/>
      <c r="Z373" s="242"/>
      <c r="AA373" s="242"/>
      <c r="AB373" s="242"/>
    </row>
    <row r="374" hidden="1">
      <c r="A374" s="244" t="s">
        <v>2733</v>
      </c>
      <c r="B374" s="245" t="str">
        <f>VLOOKUP(A374,'تجربه‌گرها'!B:C,2,FALSE())</f>
        <v>9121425430</v>
      </c>
      <c r="C374" s="242"/>
      <c r="D374" s="242">
        <f t="shared" si="1"/>
        <v>1</v>
      </c>
      <c r="E374" s="242">
        <f>COUNTIFS('تجربه‌گرها'!$B:$B,$A374,'تجربه‌گرها'!$F:$F,E$1)</f>
        <v>0</v>
      </c>
      <c r="F374" s="242">
        <f>COUNTIFS('تجربه‌گرها'!$B:$B,$A374,'تجربه‌گرها'!$F:$F,F$1)</f>
        <v>1</v>
      </c>
      <c r="G374" s="242">
        <f>COUNTIFS('تجربه‌گرها'!$B:$B,$A374,'تجربه‌گرها'!$F:$F,G$1)</f>
        <v>0</v>
      </c>
      <c r="H374" s="242">
        <f>COUNTIFS('تجربه‌گرها'!$B:$B,$A374,'تجربه‌گرها'!$F:$F,H$1)</f>
        <v>0</v>
      </c>
      <c r="I374" s="242">
        <f>COUNTIFS('تجربه‌گرها'!$B:$B,$A374,'تجربه‌گرها'!$F:$F,I$1)</f>
        <v>0</v>
      </c>
      <c r="J374" s="242">
        <f>COUNTIFS('تجربه‌گرها'!$B:$B,$A374,'تجربه‌گرها'!$F:$F,J$1)</f>
        <v>0</v>
      </c>
      <c r="K374" s="242">
        <f>COUNTIFS('تجربه‌گرها'!$B:$B,$A374,'تجربه‌گرها'!$F:$F,K$1)</f>
        <v>0</v>
      </c>
      <c r="L374" s="242">
        <f>COUNTIFS('تجربه‌گرها'!$B:$B,$A374,'تجربه‌گرها'!$F:$F,L$1)</f>
        <v>0</v>
      </c>
      <c r="M374" s="242">
        <f>COUNTIFS('تجربه‌گرها'!$B:$B,$A374,'تجربه‌گرها'!$F:$F,M$1)</f>
        <v>0</v>
      </c>
      <c r="N374" s="242">
        <f>COUNTIFS('تجربه‌گرها'!$B:$B,$A374,'تجربه‌گرها'!$F:$F,N$1)</f>
        <v>0</v>
      </c>
      <c r="O374" s="242">
        <f>COUNTIFS('تجربه‌گرها'!$B:$B,$A374,'تجربه‌گرها'!$F:$F,O$1)</f>
        <v>0</v>
      </c>
      <c r="P374" s="242">
        <f>COUNTIFS('تجربه‌گرها'!$B:$B,$A374,'تجربه‌گرها'!$F:$F,P$1)</f>
        <v>0</v>
      </c>
      <c r="Q374" s="242">
        <f>COUNTIFS('تجربه‌گرها'!$B:$B,$A374,'تجربه‌گرها'!$F:$F,Q$1)</f>
        <v>0</v>
      </c>
      <c r="R374" s="242">
        <f>COUNTIFS('تجربه‌گرها'!$B:$B,$A374,'تجربه‌گرها'!$F:$F,R$1)</f>
        <v>0</v>
      </c>
      <c r="S374" s="242">
        <f>COUNTIFS('تجربه‌گرها'!$B:$B,$A374,'تجربه‌گرها'!$F:$F,S$1)</f>
        <v>0</v>
      </c>
      <c r="T374" s="242">
        <f>COUNTIFS('تجربه‌گرها'!$B:$B,$A374,'تجربه‌گرها'!$F:$F,T$1)</f>
        <v>0</v>
      </c>
      <c r="U374" s="242"/>
      <c r="V374" s="242"/>
      <c r="W374" s="242"/>
      <c r="X374" s="242"/>
      <c r="Y374" s="242"/>
      <c r="Z374" s="242"/>
      <c r="AA374" s="242"/>
      <c r="AB374" s="242"/>
    </row>
    <row r="375" hidden="1">
      <c r="A375" s="244" t="s">
        <v>2737</v>
      </c>
      <c r="B375" s="245" t="str">
        <f>VLOOKUP(A375,'تجربه‌گرها'!B:C,2,FALSE())</f>
        <v>9124248013</v>
      </c>
      <c r="C375" s="242"/>
      <c r="D375" s="242">
        <f t="shared" si="1"/>
        <v>1</v>
      </c>
      <c r="E375" s="242">
        <f>COUNTIFS('تجربه‌گرها'!$B:$B,$A375,'تجربه‌گرها'!$F:$F,E$1)</f>
        <v>0</v>
      </c>
      <c r="F375" s="242">
        <f>COUNTIFS('تجربه‌گرها'!$B:$B,$A375,'تجربه‌گرها'!$F:$F,F$1)</f>
        <v>1</v>
      </c>
      <c r="G375" s="242">
        <f>COUNTIFS('تجربه‌گرها'!$B:$B,$A375,'تجربه‌گرها'!$F:$F,G$1)</f>
        <v>0</v>
      </c>
      <c r="H375" s="242">
        <f>COUNTIFS('تجربه‌گرها'!$B:$B,$A375,'تجربه‌گرها'!$F:$F,H$1)</f>
        <v>0</v>
      </c>
      <c r="I375" s="242">
        <f>COUNTIFS('تجربه‌گرها'!$B:$B,$A375,'تجربه‌گرها'!$F:$F,I$1)</f>
        <v>0</v>
      </c>
      <c r="J375" s="242">
        <f>COUNTIFS('تجربه‌گرها'!$B:$B,$A375,'تجربه‌گرها'!$F:$F,J$1)</f>
        <v>0</v>
      </c>
      <c r="K375" s="242">
        <f>COUNTIFS('تجربه‌گرها'!$B:$B,$A375,'تجربه‌گرها'!$F:$F,K$1)</f>
        <v>0</v>
      </c>
      <c r="L375" s="242">
        <f>COUNTIFS('تجربه‌گرها'!$B:$B,$A375,'تجربه‌گرها'!$F:$F,L$1)</f>
        <v>0</v>
      </c>
      <c r="M375" s="242">
        <f>COUNTIFS('تجربه‌گرها'!$B:$B,$A375,'تجربه‌گرها'!$F:$F,M$1)</f>
        <v>0</v>
      </c>
      <c r="N375" s="242">
        <f>COUNTIFS('تجربه‌گرها'!$B:$B,$A375,'تجربه‌گرها'!$F:$F,N$1)</f>
        <v>0</v>
      </c>
      <c r="O375" s="242">
        <f>COUNTIFS('تجربه‌گرها'!$B:$B,$A375,'تجربه‌گرها'!$F:$F,O$1)</f>
        <v>0</v>
      </c>
      <c r="P375" s="242">
        <f>COUNTIFS('تجربه‌گرها'!$B:$B,$A375,'تجربه‌گرها'!$F:$F,P$1)</f>
        <v>0</v>
      </c>
      <c r="Q375" s="242">
        <f>COUNTIFS('تجربه‌گرها'!$B:$B,$A375,'تجربه‌گرها'!$F:$F,Q$1)</f>
        <v>0</v>
      </c>
      <c r="R375" s="242">
        <f>COUNTIFS('تجربه‌گرها'!$B:$B,$A375,'تجربه‌گرها'!$F:$F,R$1)</f>
        <v>0</v>
      </c>
      <c r="S375" s="242">
        <f>COUNTIFS('تجربه‌گرها'!$B:$B,$A375,'تجربه‌گرها'!$F:$F,S$1)</f>
        <v>0</v>
      </c>
      <c r="T375" s="242">
        <f>COUNTIFS('تجربه‌گرها'!$B:$B,$A375,'تجربه‌گرها'!$F:$F,T$1)</f>
        <v>0</v>
      </c>
      <c r="U375" s="242"/>
      <c r="V375" s="242"/>
      <c r="W375" s="242"/>
      <c r="X375" s="242"/>
      <c r="Y375" s="242"/>
      <c r="Z375" s="242"/>
      <c r="AA375" s="242"/>
      <c r="AB375" s="242"/>
    </row>
    <row r="376" hidden="1">
      <c r="A376" s="244" t="s">
        <v>2742</v>
      </c>
      <c r="B376" s="245" t="str">
        <f>VLOOKUP(A376,'تجربه‌گرها'!B:C,2,FALSE())</f>
        <v>9121780521</v>
      </c>
      <c r="C376" s="242"/>
      <c r="D376" s="242">
        <f t="shared" si="1"/>
        <v>1</v>
      </c>
      <c r="E376" s="242">
        <f>COUNTIFS('تجربه‌گرها'!$B:$B,$A376,'تجربه‌گرها'!$F:$F,E$1)</f>
        <v>0</v>
      </c>
      <c r="F376" s="242">
        <f>COUNTIFS('تجربه‌گرها'!$B:$B,$A376,'تجربه‌گرها'!$F:$F,F$1)</f>
        <v>1</v>
      </c>
      <c r="G376" s="242">
        <f>COUNTIFS('تجربه‌گرها'!$B:$B,$A376,'تجربه‌گرها'!$F:$F,G$1)</f>
        <v>0</v>
      </c>
      <c r="H376" s="242">
        <f>COUNTIFS('تجربه‌گرها'!$B:$B,$A376,'تجربه‌گرها'!$F:$F,H$1)</f>
        <v>0</v>
      </c>
      <c r="I376" s="242">
        <f>COUNTIFS('تجربه‌گرها'!$B:$B,$A376,'تجربه‌گرها'!$F:$F,I$1)</f>
        <v>0</v>
      </c>
      <c r="J376" s="242">
        <f>COUNTIFS('تجربه‌گرها'!$B:$B,$A376,'تجربه‌گرها'!$F:$F,J$1)</f>
        <v>0</v>
      </c>
      <c r="K376" s="242">
        <f>COUNTIFS('تجربه‌گرها'!$B:$B,$A376,'تجربه‌گرها'!$F:$F,K$1)</f>
        <v>0</v>
      </c>
      <c r="L376" s="242">
        <f>COUNTIFS('تجربه‌گرها'!$B:$B,$A376,'تجربه‌گرها'!$F:$F,L$1)</f>
        <v>0</v>
      </c>
      <c r="M376" s="242">
        <f>COUNTIFS('تجربه‌گرها'!$B:$B,$A376,'تجربه‌گرها'!$F:$F,M$1)</f>
        <v>0</v>
      </c>
      <c r="N376" s="242">
        <f>COUNTIFS('تجربه‌گرها'!$B:$B,$A376,'تجربه‌گرها'!$F:$F,N$1)</f>
        <v>0</v>
      </c>
      <c r="O376" s="242">
        <f>COUNTIFS('تجربه‌گرها'!$B:$B,$A376,'تجربه‌گرها'!$F:$F,O$1)</f>
        <v>0</v>
      </c>
      <c r="P376" s="242">
        <f>COUNTIFS('تجربه‌گرها'!$B:$B,$A376,'تجربه‌گرها'!$F:$F,P$1)</f>
        <v>0</v>
      </c>
      <c r="Q376" s="242">
        <f>COUNTIFS('تجربه‌گرها'!$B:$B,$A376,'تجربه‌گرها'!$F:$F,Q$1)</f>
        <v>0</v>
      </c>
      <c r="R376" s="242">
        <f>COUNTIFS('تجربه‌گرها'!$B:$B,$A376,'تجربه‌گرها'!$F:$F,R$1)</f>
        <v>0</v>
      </c>
      <c r="S376" s="242">
        <f>COUNTIFS('تجربه‌گرها'!$B:$B,$A376,'تجربه‌گرها'!$F:$F,S$1)</f>
        <v>0</v>
      </c>
      <c r="T376" s="242">
        <f>COUNTIFS('تجربه‌گرها'!$B:$B,$A376,'تجربه‌گرها'!$F:$F,T$1)</f>
        <v>0</v>
      </c>
      <c r="U376" s="242"/>
      <c r="V376" s="242"/>
      <c r="W376" s="242"/>
      <c r="X376" s="242"/>
      <c r="Y376" s="242"/>
      <c r="Z376" s="242"/>
      <c r="AA376" s="242"/>
      <c r="AB376" s="242"/>
    </row>
    <row r="377" hidden="1">
      <c r="A377" s="244" t="s">
        <v>2748</v>
      </c>
      <c r="B377" s="245" t="str">
        <f>VLOOKUP(A377,'تجربه‌گرها'!B:C,2,FALSE())</f>
        <v>9138009498</v>
      </c>
      <c r="C377" s="242"/>
      <c r="D377" s="242">
        <f t="shared" si="1"/>
        <v>1</v>
      </c>
      <c r="E377" s="242">
        <f>COUNTIFS('تجربه‌گرها'!$B:$B,$A377,'تجربه‌گرها'!$F:$F,E$1)</f>
        <v>0</v>
      </c>
      <c r="F377" s="242">
        <f>COUNTIFS('تجربه‌گرها'!$B:$B,$A377,'تجربه‌گرها'!$F:$F,F$1)</f>
        <v>1</v>
      </c>
      <c r="G377" s="242">
        <f>COUNTIFS('تجربه‌گرها'!$B:$B,$A377,'تجربه‌گرها'!$F:$F,G$1)</f>
        <v>0</v>
      </c>
      <c r="H377" s="242">
        <f>COUNTIFS('تجربه‌گرها'!$B:$B,$A377,'تجربه‌گرها'!$F:$F,H$1)</f>
        <v>0</v>
      </c>
      <c r="I377" s="242">
        <f>COUNTIFS('تجربه‌گرها'!$B:$B,$A377,'تجربه‌گرها'!$F:$F,I$1)</f>
        <v>0</v>
      </c>
      <c r="J377" s="242">
        <f>COUNTIFS('تجربه‌گرها'!$B:$B,$A377,'تجربه‌گرها'!$F:$F,J$1)</f>
        <v>0</v>
      </c>
      <c r="K377" s="242">
        <f>COUNTIFS('تجربه‌گرها'!$B:$B,$A377,'تجربه‌گرها'!$F:$F,K$1)</f>
        <v>0</v>
      </c>
      <c r="L377" s="242">
        <f>COUNTIFS('تجربه‌گرها'!$B:$B,$A377,'تجربه‌گرها'!$F:$F,L$1)</f>
        <v>0</v>
      </c>
      <c r="M377" s="242">
        <f>COUNTIFS('تجربه‌گرها'!$B:$B,$A377,'تجربه‌گرها'!$F:$F,M$1)</f>
        <v>0</v>
      </c>
      <c r="N377" s="242">
        <f>COUNTIFS('تجربه‌گرها'!$B:$B,$A377,'تجربه‌گرها'!$F:$F,N$1)</f>
        <v>0</v>
      </c>
      <c r="O377" s="242">
        <f>COUNTIFS('تجربه‌گرها'!$B:$B,$A377,'تجربه‌گرها'!$F:$F,O$1)</f>
        <v>0</v>
      </c>
      <c r="P377" s="242">
        <f>COUNTIFS('تجربه‌گرها'!$B:$B,$A377,'تجربه‌گرها'!$F:$F,P$1)</f>
        <v>0</v>
      </c>
      <c r="Q377" s="242">
        <f>COUNTIFS('تجربه‌گرها'!$B:$B,$A377,'تجربه‌گرها'!$F:$F,Q$1)</f>
        <v>0</v>
      </c>
      <c r="R377" s="242">
        <f>COUNTIFS('تجربه‌گرها'!$B:$B,$A377,'تجربه‌گرها'!$F:$F,R$1)</f>
        <v>0</v>
      </c>
      <c r="S377" s="242">
        <f>COUNTIFS('تجربه‌گرها'!$B:$B,$A377,'تجربه‌گرها'!$F:$F,S$1)</f>
        <v>0</v>
      </c>
      <c r="T377" s="242">
        <f>COUNTIFS('تجربه‌گرها'!$B:$B,$A377,'تجربه‌گرها'!$F:$F,T$1)</f>
        <v>0</v>
      </c>
      <c r="U377" s="242"/>
      <c r="V377" s="242"/>
      <c r="W377" s="242"/>
      <c r="X377" s="242"/>
      <c r="Y377" s="242"/>
      <c r="Z377" s="242"/>
      <c r="AA377" s="242"/>
      <c r="AB377" s="242"/>
    </row>
    <row r="378" hidden="1">
      <c r="A378" s="244" t="s">
        <v>2752</v>
      </c>
      <c r="B378" s="245" t="str">
        <f>VLOOKUP(A378,'تجربه‌گرها'!B:C,2,FALSE())</f>
        <v>9356771677</v>
      </c>
      <c r="C378" s="242"/>
      <c r="D378" s="242">
        <f t="shared" si="1"/>
        <v>1</v>
      </c>
      <c r="E378" s="242">
        <f>COUNTIFS('تجربه‌گرها'!$B:$B,$A378,'تجربه‌گرها'!$F:$F,E$1)</f>
        <v>0</v>
      </c>
      <c r="F378" s="242">
        <f>COUNTIFS('تجربه‌گرها'!$B:$B,$A378,'تجربه‌گرها'!$F:$F,F$1)</f>
        <v>1</v>
      </c>
      <c r="G378" s="242">
        <f>COUNTIFS('تجربه‌گرها'!$B:$B,$A378,'تجربه‌گرها'!$F:$F,G$1)</f>
        <v>0</v>
      </c>
      <c r="H378" s="242">
        <f>COUNTIFS('تجربه‌گرها'!$B:$B,$A378,'تجربه‌گرها'!$F:$F,H$1)</f>
        <v>0</v>
      </c>
      <c r="I378" s="242">
        <f>COUNTIFS('تجربه‌گرها'!$B:$B,$A378,'تجربه‌گرها'!$F:$F,I$1)</f>
        <v>0</v>
      </c>
      <c r="J378" s="242">
        <f>COUNTIFS('تجربه‌گرها'!$B:$B,$A378,'تجربه‌گرها'!$F:$F,J$1)</f>
        <v>0</v>
      </c>
      <c r="K378" s="242">
        <f>COUNTIFS('تجربه‌گرها'!$B:$B,$A378,'تجربه‌گرها'!$F:$F,K$1)</f>
        <v>0</v>
      </c>
      <c r="L378" s="242">
        <f>COUNTIFS('تجربه‌گرها'!$B:$B,$A378,'تجربه‌گرها'!$F:$F,L$1)</f>
        <v>0</v>
      </c>
      <c r="M378" s="242">
        <f>COUNTIFS('تجربه‌گرها'!$B:$B,$A378,'تجربه‌گرها'!$F:$F,M$1)</f>
        <v>0</v>
      </c>
      <c r="N378" s="242">
        <f>COUNTIFS('تجربه‌گرها'!$B:$B,$A378,'تجربه‌گرها'!$F:$F,N$1)</f>
        <v>0</v>
      </c>
      <c r="O378" s="242">
        <f>COUNTIFS('تجربه‌گرها'!$B:$B,$A378,'تجربه‌گرها'!$F:$F,O$1)</f>
        <v>0</v>
      </c>
      <c r="P378" s="242">
        <f>COUNTIFS('تجربه‌گرها'!$B:$B,$A378,'تجربه‌گرها'!$F:$F,P$1)</f>
        <v>0</v>
      </c>
      <c r="Q378" s="242">
        <f>COUNTIFS('تجربه‌گرها'!$B:$B,$A378,'تجربه‌گرها'!$F:$F,Q$1)</f>
        <v>0</v>
      </c>
      <c r="R378" s="242">
        <f>COUNTIFS('تجربه‌گرها'!$B:$B,$A378,'تجربه‌گرها'!$F:$F,R$1)</f>
        <v>0</v>
      </c>
      <c r="S378" s="242">
        <f>COUNTIFS('تجربه‌گرها'!$B:$B,$A378,'تجربه‌گرها'!$F:$F,S$1)</f>
        <v>0</v>
      </c>
      <c r="T378" s="242">
        <f>COUNTIFS('تجربه‌گرها'!$B:$B,$A378,'تجربه‌گرها'!$F:$F,T$1)</f>
        <v>0</v>
      </c>
      <c r="U378" s="242"/>
      <c r="V378" s="242"/>
      <c r="W378" s="242"/>
      <c r="X378" s="242"/>
      <c r="Y378" s="242"/>
      <c r="Z378" s="242"/>
      <c r="AA378" s="242"/>
      <c r="AB378" s="242"/>
    </row>
    <row r="379" hidden="1">
      <c r="A379" s="244" t="s">
        <v>2756</v>
      </c>
      <c r="B379" s="245" t="str">
        <f>VLOOKUP(A379,'تجربه‌گرها'!B:C,2,FALSE())</f>
        <v>9128128172</v>
      </c>
      <c r="C379" s="242"/>
      <c r="D379" s="242">
        <f t="shared" si="1"/>
        <v>1</v>
      </c>
      <c r="E379" s="242">
        <f>COUNTIFS('تجربه‌گرها'!$B:$B,$A379,'تجربه‌گرها'!$F:$F,E$1)</f>
        <v>0</v>
      </c>
      <c r="F379" s="242">
        <f>COUNTIFS('تجربه‌گرها'!$B:$B,$A379,'تجربه‌گرها'!$F:$F,F$1)</f>
        <v>1</v>
      </c>
      <c r="G379" s="242">
        <f>COUNTIFS('تجربه‌گرها'!$B:$B,$A379,'تجربه‌گرها'!$F:$F,G$1)</f>
        <v>0</v>
      </c>
      <c r="H379" s="242">
        <f>COUNTIFS('تجربه‌گرها'!$B:$B,$A379,'تجربه‌گرها'!$F:$F,H$1)</f>
        <v>0</v>
      </c>
      <c r="I379" s="242">
        <f>COUNTIFS('تجربه‌گرها'!$B:$B,$A379,'تجربه‌گرها'!$F:$F,I$1)</f>
        <v>0</v>
      </c>
      <c r="J379" s="242">
        <f>COUNTIFS('تجربه‌گرها'!$B:$B,$A379,'تجربه‌گرها'!$F:$F,J$1)</f>
        <v>0</v>
      </c>
      <c r="K379" s="242">
        <f>COUNTIFS('تجربه‌گرها'!$B:$B,$A379,'تجربه‌گرها'!$F:$F,K$1)</f>
        <v>0</v>
      </c>
      <c r="L379" s="242">
        <f>COUNTIFS('تجربه‌گرها'!$B:$B,$A379,'تجربه‌گرها'!$F:$F,L$1)</f>
        <v>0</v>
      </c>
      <c r="M379" s="242">
        <f>COUNTIFS('تجربه‌گرها'!$B:$B,$A379,'تجربه‌گرها'!$F:$F,M$1)</f>
        <v>0</v>
      </c>
      <c r="N379" s="242">
        <f>COUNTIFS('تجربه‌گرها'!$B:$B,$A379,'تجربه‌گرها'!$F:$F,N$1)</f>
        <v>0</v>
      </c>
      <c r="O379" s="242">
        <f>COUNTIFS('تجربه‌گرها'!$B:$B,$A379,'تجربه‌گرها'!$F:$F,O$1)</f>
        <v>0</v>
      </c>
      <c r="P379" s="242">
        <f>COUNTIFS('تجربه‌گرها'!$B:$B,$A379,'تجربه‌گرها'!$F:$F,P$1)</f>
        <v>0</v>
      </c>
      <c r="Q379" s="242">
        <f>COUNTIFS('تجربه‌گرها'!$B:$B,$A379,'تجربه‌گرها'!$F:$F,Q$1)</f>
        <v>0</v>
      </c>
      <c r="R379" s="242">
        <f>COUNTIFS('تجربه‌گرها'!$B:$B,$A379,'تجربه‌گرها'!$F:$F,R$1)</f>
        <v>0</v>
      </c>
      <c r="S379" s="242">
        <f>COUNTIFS('تجربه‌گرها'!$B:$B,$A379,'تجربه‌گرها'!$F:$F,S$1)</f>
        <v>0</v>
      </c>
      <c r="T379" s="242">
        <f>COUNTIFS('تجربه‌گرها'!$B:$B,$A379,'تجربه‌گرها'!$F:$F,T$1)</f>
        <v>0</v>
      </c>
      <c r="U379" s="242"/>
      <c r="V379" s="242"/>
      <c r="W379" s="242"/>
      <c r="X379" s="242"/>
      <c r="Y379" s="242"/>
      <c r="Z379" s="242"/>
      <c r="AA379" s="242"/>
      <c r="AB379" s="242"/>
    </row>
    <row r="380" hidden="1">
      <c r="A380" s="244" t="s">
        <v>2761</v>
      </c>
      <c r="B380" s="245" t="str">
        <f>VLOOKUP(A380,'تجربه‌گرها'!B:C,2,FALSE())</f>
        <v>9125361405</v>
      </c>
      <c r="C380" s="242"/>
      <c r="D380" s="242">
        <f t="shared" si="1"/>
        <v>1</v>
      </c>
      <c r="E380" s="242">
        <f>COUNTIFS('تجربه‌گرها'!$B:$B,$A380,'تجربه‌گرها'!$F:$F,E$1)</f>
        <v>0</v>
      </c>
      <c r="F380" s="242">
        <f>COUNTIFS('تجربه‌گرها'!$B:$B,$A380,'تجربه‌گرها'!$F:$F,F$1)</f>
        <v>1</v>
      </c>
      <c r="G380" s="242">
        <f>COUNTIFS('تجربه‌گرها'!$B:$B,$A380,'تجربه‌گرها'!$F:$F,G$1)</f>
        <v>0</v>
      </c>
      <c r="H380" s="242">
        <f>COUNTIFS('تجربه‌گرها'!$B:$B,$A380,'تجربه‌گرها'!$F:$F,H$1)</f>
        <v>0</v>
      </c>
      <c r="I380" s="242">
        <f>COUNTIFS('تجربه‌گرها'!$B:$B,$A380,'تجربه‌گرها'!$F:$F,I$1)</f>
        <v>0</v>
      </c>
      <c r="J380" s="242">
        <f>COUNTIFS('تجربه‌گرها'!$B:$B,$A380,'تجربه‌گرها'!$F:$F,J$1)</f>
        <v>0</v>
      </c>
      <c r="K380" s="242">
        <f>COUNTIFS('تجربه‌گرها'!$B:$B,$A380,'تجربه‌گرها'!$F:$F,K$1)</f>
        <v>0</v>
      </c>
      <c r="L380" s="242">
        <f>COUNTIFS('تجربه‌گرها'!$B:$B,$A380,'تجربه‌گرها'!$F:$F,L$1)</f>
        <v>0</v>
      </c>
      <c r="M380" s="242">
        <f>COUNTIFS('تجربه‌گرها'!$B:$B,$A380,'تجربه‌گرها'!$F:$F,M$1)</f>
        <v>0</v>
      </c>
      <c r="N380" s="242">
        <f>COUNTIFS('تجربه‌گرها'!$B:$B,$A380,'تجربه‌گرها'!$F:$F,N$1)</f>
        <v>0</v>
      </c>
      <c r="O380" s="242">
        <f>COUNTIFS('تجربه‌گرها'!$B:$B,$A380,'تجربه‌گرها'!$F:$F,O$1)</f>
        <v>0</v>
      </c>
      <c r="P380" s="242">
        <f>COUNTIFS('تجربه‌گرها'!$B:$B,$A380,'تجربه‌گرها'!$F:$F,P$1)</f>
        <v>0</v>
      </c>
      <c r="Q380" s="242">
        <f>COUNTIFS('تجربه‌گرها'!$B:$B,$A380,'تجربه‌گرها'!$F:$F,Q$1)</f>
        <v>0</v>
      </c>
      <c r="R380" s="242">
        <f>COUNTIFS('تجربه‌گرها'!$B:$B,$A380,'تجربه‌گرها'!$F:$F,R$1)</f>
        <v>0</v>
      </c>
      <c r="S380" s="242">
        <f>COUNTIFS('تجربه‌گرها'!$B:$B,$A380,'تجربه‌گرها'!$F:$F,S$1)</f>
        <v>0</v>
      </c>
      <c r="T380" s="242">
        <f>COUNTIFS('تجربه‌گرها'!$B:$B,$A380,'تجربه‌گرها'!$F:$F,T$1)</f>
        <v>0</v>
      </c>
      <c r="U380" s="242"/>
      <c r="V380" s="242"/>
      <c r="W380" s="242"/>
      <c r="X380" s="242"/>
      <c r="Y380" s="242"/>
      <c r="Z380" s="242"/>
      <c r="AA380" s="242"/>
      <c r="AB380" s="242"/>
    </row>
    <row r="381" hidden="1">
      <c r="A381" s="244" t="s">
        <v>2764</v>
      </c>
      <c r="B381" s="245" t="str">
        <f>VLOOKUP(A381,'تجربه‌گرها'!B:C,2,FALSE())</f>
        <v>9120436325</v>
      </c>
      <c r="C381" s="242"/>
      <c r="D381" s="242">
        <f t="shared" si="1"/>
        <v>1</v>
      </c>
      <c r="E381" s="242">
        <f>COUNTIFS('تجربه‌گرها'!$B:$B,$A381,'تجربه‌گرها'!$F:$F,E$1)</f>
        <v>0</v>
      </c>
      <c r="F381" s="242">
        <f>COUNTIFS('تجربه‌گرها'!$B:$B,$A381,'تجربه‌گرها'!$F:$F,F$1)</f>
        <v>1</v>
      </c>
      <c r="G381" s="242">
        <f>COUNTIFS('تجربه‌گرها'!$B:$B,$A381,'تجربه‌گرها'!$F:$F,G$1)</f>
        <v>0</v>
      </c>
      <c r="H381" s="242">
        <f>COUNTIFS('تجربه‌گرها'!$B:$B,$A381,'تجربه‌گرها'!$F:$F,H$1)</f>
        <v>0</v>
      </c>
      <c r="I381" s="242">
        <f>COUNTIFS('تجربه‌گرها'!$B:$B,$A381,'تجربه‌گرها'!$F:$F,I$1)</f>
        <v>0</v>
      </c>
      <c r="J381" s="242">
        <f>COUNTIFS('تجربه‌گرها'!$B:$B,$A381,'تجربه‌گرها'!$F:$F,J$1)</f>
        <v>0</v>
      </c>
      <c r="K381" s="242">
        <f>COUNTIFS('تجربه‌گرها'!$B:$B,$A381,'تجربه‌گرها'!$F:$F,K$1)</f>
        <v>0</v>
      </c>
      <c r="L381" s="242">
        <f>COUNTIFS('تجربه‌گرها'!$B:$B,$A381,'تجربه‌گرها'!$F:$F,L$1)</f>
        <v>0</v>
      </c>
      <c r="M381" s="242">
        <f>COUNTIFS('تجربه‌گرها'!$B:$B,$A381,'تجربه‌گرها'!$F:$F,M$1)</f>
        <v>0</v>
      </c>
      <c r="N381" s="242">
        <f>COUNTIFS('تجربه‌گرها'!$B:$B,$A381,'تجربه‌گرها'!$F:$F,N$1)</f>
        <v>0</v>
      </c>
      <c r="O381" s="242">
        <f>COUNTIFS('تجربه‌گرها'!$B:$B,$A381,'تجربه‌گرها'!$F:$F,O$1)</f>
        <v>0</v>
      </c>
      <c r="P381" s="242">
        <f>COUNTIFS('تجربه‌گرها'!$B:$B,$A381,'تجربه‌گرها'!$F:$F,P$1)</f>
        <v>0</v>
      </c>
      <c r="Q381" s="242">
        <f>COUNTIFS('تجربه‌گرها'!$B:$B,$A381,'تجربه‌گرها'!$F:$F,Q$1)</f>
        <v>0</v>
      </c>
      <c r="R381" s="242">
        <f>COUNTIFS('تجربه‌گرها'!$B:$B,$A381,'تجربه‌گرها'!$F:$F,R$1)</f>
        <v>0</v>
      </c>
      <c r="S381" s="242">
        <f>COUNTIFS('تجربه‌گرها'!$B:$B,$A381,'تجربه‌گرها'!$F:$F,S$1)</f>
        <v>0</v>
      </c>
      <c r="T381" s="242">
        <f>COUNTIFS('تجربه‌گرها'!$B:$B,$A381,'تجربه‌گرها'!$F:$F,T$1)</f>
        <v>0</v>
      </c>
      <c r="U381" s="242"/>
      <c r="V381" s="242"/>
      <c r="W381" s="242"/>
      <c r="X381" s="242"/>
      <c r="Y381" s="242"/>
      <c r="Z381" s="242"/>
      <c r="AA381" s="242"/>
      <c r="AB381" s="242"/>
    </row>
    <row r="382" hidden="1">
      <c r="A382" s="244" t="s">
        <v>2769</v>
      </c>
      <c r="B382" s="245" t="str">
        <f>VLOOKUP(A382,'تجربه‌گرها'!B:C,2,FALSE())</f>
        <v>9123865703</v>
      </c>
      <c r="C382" s="242"/>
      <c r="D382" s="242">
        <f t="shared" si="1"/>
        <v>1</v>
      </c>
      <c r="E382" s="242">
        <f>COUNTIFS('تجربه‌گرها'!$B:$B,$A382,'تجربه‌گرها'!$F:$F,E$1)</f>
        <v>0</v>
      </c>
      <c r="F382" s="242">
        <f>COUNTIFS('تجربه‌گرها'!$B:$B,$A382,'تجربه‌گرها'!$F:$F,F$1)</f>
        <v>1</v>
      </c>
      <c r="G382" s="242">
        <f>COUNTIFS('تجربه‌گرها'!$B:$B,$A382,'تجربه‌گرها'!$F:$F,G$1)</f>
        <v>0</v>
      </c>
      <c r="H382" s="242">
        <f>COUNTIFS('تجربه‌گرها'!$B:$B,$A382,'تجربه‌گرها'!$F:$F,H$1)</f>
        <v>0</v>
      </c>
      <c r="I382" s="242">
        <f>COUNTIFS('تجربه‌گرها'!$B:$B,$A382,'تجربه‌گرها'!$F:$F,I$1)</f>
        <v>0</v>
      </c>
      <c r="J382" s="242">
        <f>COUNTIFS('تجربه‌گرها'!$B:$B,$A382,'تجربه‌گرها'!$F:$F,J$1)</f>
        <v>0</v>
      </c>
      <c r="K382" s="242">
        <f>COUNTIFS('تجربه‌گرها'!$B:$B,$A382,'تجربه‌گرها'!$F:$F,K$1)</f>
        <v>0</v>
      </c>
      <c r="L382" s="242">
        <f>COUNTIFS('تجربه‌گرها'!$B:$B,$A382,'تجربه‌گرها'!$F:$F,L$1)</f>
        <v>0</v>
      </c>
      <c r="M382" s="242">
        <f>COUNTIFS('تجربه‌گرها'!$B:$B,$A382,'تجربه‌گرها'!$F:$F,M$1)</f>
        <v>0</v>
      </c>
      <c r="N382" s="242">
        <f>COUNTIFS('تجربه‌گرها'!$B:$B,$A382,'تجربه‌گرها'!$F:$F,N$1)</f>
        <v>0</v>
      </c>
      <c r="O382" s="242">
        <f>COUNTIFS('تجربه‌گرها'!$B:$B,$A382,'تجربه‌گرها'!$F:$F,O$1)</f>
        <v>0</v>
      </c>
      <c r="P382" s="242">
        <f>COUNTIFS('تجربه‌گرها'!$B:$B,$A382,'تجربه‌گرها'!$F:$F,P$1)</f>
        <v>0</v>
      </c>
      <c r="Q382" s="242">
        <f>COUNTIFS('تجربه‌گرها'!$B:$B,$A382,'تجربه‌گرها'!$F:$F,Q$1)</f>
        <v>0</v>
      </c>
      <c r="R382" s="242">
        <f>COUNTIFS('تجربه‌گرها'!$B:$B,$A382,'تجربه‌گرها'!$F:$F,R$1)</f>
        <v>0</v>
      </c>
      <c r="S382" s="242">
        <f>COUNTIFS('تجربه‌گرها'!$B:$B,$A382,'تجربه‌گرها'!$F:$F,S$1)</f>
        <v>0</v>
      </c>
      <c r="T382" s="242">
        <f>COUNTIFS('تجربه‌گرها'!$B:$B,$A382,'تجربه‌گرها'!$F:$F,T$1)</f>
        <v>0</v>
      </c>
      <c r="U382" s="242"/>
      <c r="V382" s="242"/>
      <c r="W382" s="242"/>
      <c r="X382" s="242"/>
      <c r="Y382" s="242"/>
      <c r="Z382" s="242"/>
      <c r="AA382" s="242"/>
      <c r="AB382" s="242"/>
    </row>
    <row r="383" hidden="1">
      <c r="A383" s="244" t="s">
        <v>2773</v>
      </c>
      <c r="B383" s="245" t="str">
        <f>VLOOKUP(A383,'تجربه‌گرها'!B:C,2,FALSE())</f>
        <v>9196797540</v>
      </c>
      <c r="C383" s="242"/>
      <c r="D383" s="242">
        <f t="shared" si="1"/>
        <v>3</v>
      </c>
      <c r="E383" s="242">
        <f>COUNTIFS('تجربه‌گرها'!$B:$B,$A383,'تجربه‌گرها'!$F:$F,E$1)</f>
        <v>0</v>
      </c>
      <c r="F383" s="242">
        <f>COUNTIFS('تجربه‌گرها'!$B:$B,$A383,'تجربه‌گرها'!$F:$F,F$1)</f>
        <v>1</v>
      </c>
      <c r="G383" s="242">
        <f>COUNTIFS('تجربه‌گرها'!$B:$B,$A383,'تجربه‌گرها'!$F:$F,G$1)</f>
        <v>0</v>
      </c>
      <c r="H383" s="242">
        <f>COUNTIFS('تجربه‌گرها'!$B:$B,$A383,'تجربه‌گرها'!$F:$F,H$1)</f>
        <v>0</v>
      </c>
      <c r="I383" s="242">
        <f>COUNTIFS('تجربه‌گرها'!$B:$B,$A383,'تجربه‌گرها'!$F:$F,I$1)</f>
        <v>0</v>
      </c>
      <c r="J383" s="242">
        <f>COUNTIFS('تجربه‌گرها'!$B:$B,$A383,'تجربه‌گرها'!$F:$F,J$1)</f>
        <v>0</v>
      </c>
      <c r="K383" s="242">
        <f>COUNTIFS('تجربه‌گرها'!$B:$B,$A383,'تجربه‌گرها'!$F:$F,K$1)</f>
        <v>0</v>
      </c>
      <c r="L383" s="242">
        <f>COUNTIFS('تجربه‌گرها'!$B:$B,$A383,'تجربه‌گرها'!$F:$F,L$1)</f>
        <v>0</v>
      </c>
      <c r="M383" s="242">
        <f>COUNTIFS('تجربه‌گرها'!$B:$B,$A383,'تجربه‌گرها'!$F:$F,M$1)</f>
        <v>1</v>
      </c>
      <c r="N383" s="242">
        <f>COUNTIFS('تجربه‌گرها'!$B:$B,$A383,'تجربه‌گرها'!$F:$F,N$1)</f>
        <v>1</v>
      </c>
      <c r="O383" s="242">
        <f>COUNTIFS('تجربه‌گرها'!$B:$B,$A383,'تجربه‌گرها'!$F:$F,O$1)</f>
        <v>0</v>
      </c>
      <c r="P383" s="242">
        <f>COUNTIFS('تجربه‌گرها'!$B:$B,$A383,'تجربه‌گرها'!$F:$F,P$1)</f>
        <v>0</v>
      </c>
      <c r="Q383" s="242">
        <f>COUNTIFS('تجربه‌گرها'!$B:$B,$A383,'تجربه‌گرها'!$F:$F,Q$1)</f>
        <v>0</v>
      </c>
      <c r="R383" s="242">
        <f>COUNTIFS('تجربه‌گرها'!$B:$B,$A383,'تجربه‌گرها'!$F:$F,R$1)</f>
        <v>0</v>
      </c>
      <c r="S383" s="242">
        <f>COUNTIFS('تجربه‌گرها'!$B:$B,$A383,'تجربه‌گرها'!$F:$F,S$1)</f>
        <v>0</v>
      </c>
      <c r="T383" s="242">
        <f>COUNTIFS('تجربه‌گرها'!$B:$B,$A383,'تجربه‌گرها'!$F:$F,T$1)</f>
        <v>0</v>
      </c>
      <c r="U383" s="242"/>
      <c r="V383" s="242"/>
      <c r="W383" s="242"/>
      <c r="X383" s="242"/>
      <c r="Y383" s="242"/>
      <c r="Z383" s="242"/>
      <c r="AA383" s="242"/>
      <c r="AB383" s="242"/>
    </row>
    <row r="384" hidden="1">
      <c r="A384" s="244" t="s">
        <v>2776</v>
      </c>
      <c r="B384" s="245" t="str">
        <f>VLOOKUP(A384,'تجربه‌گرها'!B:C,2,FALSE())</f>
        <v>9191268204</v>
      </c>
      <c r="C384" s="242"/>
      <c r="D384" s="242">
        <f t="shared" si="1"/>
        <v>1</v>
      </c>
      <c r="E384" s="242">
        <f>COUNTIFS('تجربه‌گرها'!$B:$B,$A384,'تجربه‌گرها'!$F:$F,E$1)</f>
        <v>0</v>
      </c>
      <c r="F384" s="242">
        <f>COUNTIFS('تجربه‌گرها'!$B:$B,$A384,'تجربه‌گرها'!$F:$F,F$1)</f>
        <v>1</v>
      </c>
      <c r="G384" s="242">
        <f>COUNTIFS('تجربه‌گرها'!$B:$B,$A384,'تجربه‌گرها'!$F:$F,G$1)</f>
        <v>0</v>
      </c>
      <c r="H384" s="242">
        <f>COUNTIFS('تجربه‌گرها'!$B:$B,$A384,'تجربه‌گرها'!$F:$F,H$1)</f>
        <v>0</v>
      </c>
      <c r="I384" s="242">
        <f>COUNTIFS('تجربه‌گرها'!$B:$B,$A384,'تجربه‌گرها'!$F:$F,I$1)</f>
        <v>0</v>
      </c>
      <c r="J384" s="242">
        <f>COUNTIFS('تجربه‌گرها'!$B:$B,$A384,'تجربه‌گرها'!$F:$F,J$1)</f>
        <v>0</v>
      </c>
      <c r="K384" s="242">
        <f>COUNTIFS('تجربه‌گرها'!$B:$B,$A384,'تجربه‌گرها'!$F:$F,K$1)</f>
        <v>0</v>
      </c>
      <c r="L384" s="242">
        <f>COUNTIFS('تجربه‌گرها'!$B:$B,$A384,'تجربه‌گرها'!$F:$F,L$1)</f>
        <v>0</v>
      </c>
      <c r="M384" s="242">
        <f>COUNTIFS('تجربه‌گرها'!$B:$B,$A384,'تجربه‌گرها'!$F:$F,M$1)</f>
        <v>0</v>
      </c>
      <c r="N384" s="242">
        <f>COUNTIFS('تجربه‌گرها'!$B:$B,$A384,'تجربه‌گرها'!$F:$F,N$1)</f>
        <v>0</v>
      </c>
      <c r="O384" s="242">
        <f>COUNTIFS('تجربه‌گرها'!$B:$B,$A384,'تجربه‌گرها'!$F:$F,O$1)</f>
        <v>0</v>
      </c>
      <c r="P384" s="242">
        <f>COUNTIFS('تجربه‌گرها'!$B:$B,$A384,'تجربه‌گرها'!$F:$F,P$1)</f>
        <v>0</v>
      </c>
      <c r="Q384" s="242">
        <f>COUNTIFS('تجربه‌گرها'!$B:$B,$A384,'تجربه‌گرها'!$F:$F,Q$1)</f>
        <v>0</v>
      </c>
      <c r="R384" s="242">
        <f>COUNTIFS('تجربه‌گرها'!$B:$B,$A384,'تجربه‌گرها'!$F:$F,R$1)</f>
        <v>0</v>
      </c>
      <c r="S384" s="242">
        <f>COUNTIFS('تجربه‌گرها'!$B:$B,$A384,'تجربه‌گرها'!$F:$F,S$1)</f>
        <v>0</v>
      </c>
      <c r="T384" s="242">
        <f>COUNTIFS('تجربه‌گرها'!$B:$B,$A384,'تجربه‌گرها'!$F:$F,T$1)</f>
        <v>0</v>
      </c>
      <c r="U384" s="242"/>
      <c r="V384" s="242"/>
      <c r="W384" s="242"/>
      <c r="X384" s="242"/>
      <c r="Y384" s="242"/>
      <c r="Z384" s="242"/>
      <c r="AA384" s="242"/>
      <c r="AB384" s="242"/>
    </row>
    <row r="385" hidden="1">
      <c r="A385" s="244" t="s">
        <v>2783</v>
      </c>
      <c r="B385" s="245" t="str">
        <f>VLOOKUP(A385,'تجربه‌گرها'!B:C,2,FALSE())</f>
        <v/>
      </c>
      <c r="C385" s="242"/>
      <c r="D385" s="242">
        <f t="shared" si="1"/>
        <v>1</v>
      </c>
      <c r="E385" s="242">
        <f>COUNTIFS('تجربه‌گرها'!$B:$B,$A385,'تجربه‌گرها'!$F:$F,E$1)</f>
        <v>0</v>
      </c>
      <c r="F385" s="242">
        <f>COUNTIFS('تجربه‌گرها'!$B:$B,$A385,'تجربه‌گرها'!$F:$F,F$1)</f>
        <v>1</v>
      </c>
      <c r="G385" s="242">
        <f>COUNTIFS('تجربه‌گرها'!$B:$B,$A385,'تجربه‌گرها'!$F:$F,G$1)</f>
        <v>0</v>
      </c>
      <c r="H385" s="242">
        <f>COUNTIFS('تجربه‌گرها'!$B:$B,$A385,'تجربه‌گرها'!$F:$F,H$1)</f>
        <v>0</v>
      </c>
      <c r="I385" s="242">
        <f>COUNTIFS('تجربه‌گرها'!$B:$B,$A385,'تجربه‌گرها'!$F:$F,I$1)</f>
        <v>0</v>
      </c>
      <c r="J385" s="242">
        <f>COUNTIFS('تجربه‌گرها'!$B:$B,$A385,'تجربه‌گرها'!$F:$F,J$1)</f>
        <v>0</v>
      </c>
      <c r="K385" s="242">
        <f>COUNTIFS('تجربه‌گرها'!$B:$B,$A385,'تجربه‌گرها'!$F:$F,K$1)</f>
        <v>0</v>
      </c>
      <c r="L385" s="242">
        <f>COUNTIFS('تجربه‌گرها'!$B:$B,$A385,'تجربه‌گرها'!$F:$F,L$1)</f>
        <v>0</v>
      </c>
      <c r="M385" s="242">
        <f>COUNTIFS('تجربه‌گرها'!$B:$B,$A385,'تجربه‌گرها'!$F:$F,M$1)</f>
        <v>0</v>
      </c>
      <c r="N385" s="242">
        <f>COUNTIFS('تجربه‌گرها'!$B:$B,$A385,'تجربه‌گرها'!$F:$F,N$1)</f>
        <v>0</v>
      </c>
      <c r="O385" s="242">
        <f>COUNTIFS('تجربه‌گرها'!$B:$B,$A385,'تجربه‌گرها'!$F:$F,O$1)</f>
        <v>0</v>
      </c>
      <c r="P385" s="242">
        <f>COUNTIFS('تجربه‌گرها'!$B:$B,$A385,'تجربه‌گرها'!$F:$F,P$1)</f>
        <v>0</v>
      </c>
      <c r="Q385" s="242">
        <f>COUNTIFS('تجربه‌گرها'!$B:$B,$A385,'تجربه‌گرها'!$F:$F,Q$1)</f>
        <v>0</v>
      </c>
      <c r="R385" s="242">
        <f>COUNTIFS('تجربه‌گرها'!$B:$B,$A385,'تجربه‌گرها'!$F:$F,R$1)</f>
        <v>0</v>
      </c>
      <c r="S385" s="242">
        <f>COUNTIFS('تجربه‌گرها'!$B:$B,$A385,'تجربه‌گرها'!$F:$F,S$1)</f>
        <v>0</v>
      </c>
      <c r="T385" s="242">
        <f>COUNTIFS('تجربه‌گرها'!$B:$B,$A385,'تجربه‌گرها'!$F:$F,T$1)</f>
        <v>0</v>
      </c>
      <c r="U385" s="242"/>
      <c r="V385" s="242"/>
      <c r="W385" s="242"/>
      <c r="X385" s="242"/>
      <c r="Y385" s="242"/>
      <c r="Z385" s="242"/>
      <c r="AA385" s="242"/>
      <c r="AB385" s="242"/>
    </row>
    <row r="386">
      <c r="A386" s="244" t="s">
        <v>2785</v>
      </c>
      <c r="B386" s="245" t="str">
        <f>VLOOKUP(A386,'تجربه‌گرها'!B:C,2,FALSE())</f>
        <v/>
      </c>
      <c r="C386" s="242"/>
      <c r="D386" s="242">
        <f t="shared" si="1"/>
        <v>1</v>
      </c>
      <c r="E386" s="242">
        <f>COUNTIFS('تجربه‌گرها'!$B:$B,$A386,'تجربه‌گرها'!$F:$F,E$1)</f>
        <v>0</v>
      </c>
      <c r="F386" s="242">
        <f>COUNTIFS('تجربه‌گرها'!$B:$B,$A386,'تجربه‌گرها'!$F:$F,F$1)</f>
        <v>1</v>
      </c>
      <c r="G386" s="242">
        <f>COUNTIFS('تجربه‌گرها'!$B:$B,$A386,'تجربه‌گرها'!$F:$F,G$1)</f>
        <v>0</v>
      </c>
      <c r="H386" s="242">
        <f>COUNTIFS('تجربه‌گرها'!$B:$B,$A386,'تجربه‌گرها'!$F:$F,H$1)</f>
        <v>0</v>
      </c>
      <c r="I386" s="242">
        <f>COUNTIFS('تجربه‌گرها'!$B:$B,$A386,'تجربه‌گرها'!$F:$F,I$1)</f>
        <v>0</v>
      </c>
      <c r="J386" s="242">
        <f>COUNTIFS('تجربه‌گرها'!$B:$B,$A386,'تجربه‌گرها'!$F:$F,J$1)</f>
        <v>0</v>
      </c>
      <c r="K386" s="242">
        <f>COUNTIFS('تجربه‌گرها'!$B:$B,$A386,'تجربه‌گرها'!$F:$F,K$1)</f>
        <v>0</v>
      </c>
      <c r="L386" s="242">
        <f>COUNTIFS('تجربه‌گرها'!$B:$B,$A386,'تجربه‌گرها'!$F:$F,L$1)</f>
        <v>0</v>
      </c>
      <c r="M386" s="242">
        <f>COUNTIFS('تجربه‌گرها'!$B:$B,$A386,'تجربه‌گرها'!$F:$F,M$1)</f>
        <v>0</v>
      </c>
      <c r="N386" s="242">
        <f>COUNTIFS('تجربه‌گرها'!$B:$B,$A386,'تجربه‌گرها'!$F:$F,N$1)</f>
        <v>0</v>
      </c>
      <c r="O386" s="242">
        <f>COUNTIFS('تجربه‌گرها'!$B:$B,$A386,'تجربه‌گرها'!$F:$F,O$1)</f>
        <v>0</v>
      </c>
      <c r="P386" s="242">
        <f>COUNTIFS('تجربه‌گرها'!$B:$B,$A386,'تجربه‌گرها'!$F:$F,P$1)</f>
        <v>0</v>
      </c>
      <c r="Q386" s="242">
        <f>COUNTIFS('تجربه‌گرها'!$B:$B,$A386,'تجربه‌گرها'!$F:$F,Q$1)</f>
        <v>0</v>
      </c>
      <c r="R386" s="242">
        <f>COUNTIFS('تجربه‌گرها'!$B:$B,$A386,'تجربه‌گرها'!$F:$F,R$1)</f>
        <v>0</v>
      </c>
      <c r="S386" s="242">
        <f>COUNTIFS('تجربه‌گرها'!$B:$B,$A386,'تجربه‌گرها'!$F:$F,S$1)</f>
        <v>0</v>
      </c>
      <c r="T386" s="242">
        <f>COUNTIFS('تجربه‌گرها'!$B:$B,$A386,'تجربه‌گرها'!$F:$F,T$1)</f>
        <v>0</v>
      </c>
      <c r="U386" s="242"/>
      <c r="V386" s="242"/>
      <c r="W386" s="242"/>
      <c r="X386" s="242"/>
      <c r="Y386" s="242"/>
      <c r="Z386" s="242"/>
      <c r="AA386" s="242"/>
      <c r="AB386" s="242"/>
    </row>
    <row r="387" hidden="1">
      <c r="A387" s="244" t="s">
        <v>2789</v>
      </c>
      <c r="B387" s="245" t="str">
        <f>VLOOKUP(A387,'تجربه‌گرها'!B:C,2,FALSE())</f>
        <v>9355960670</v>
      </c>
      <c r="C387" s="242"/>
      <c r="D387" s="242">
        <f t="shared" si="1"/>
        <v>1</v>
      </c>
      <c r="E387" s="242">
        <f>COUNTIFS('تجربه‌گرها'!$B:$B,$A387,'تجربه‌گرها'!$F:$F,E$1)</f>
        <v>0</v>
      </c>
      <c r="F387" s="242">
        <f>COUNTIFS('تجربه‌گرها'!$B:$B,$A387,'تجربه‌گرها'!$F:$F,F$1)</f>
        <v>1</v>
      </c>
      <c r="G387" s="242">
        <f>COUNTIFS('تجربه‌گرها'!$B:$B,$A387,'تجربه‌گرها'!$F:$F,G$1)</f>
        <v>0</v>
      </c>
      <c r="H387" s="242">
        <f>COUNTIFS('تجربه‌گرها'!$B:$B,$A387,'تجربه‌گرها'!$F:$F,H$1)</f>
        <v>0</v>
      </c>
      <c r="I387" s="242">
        <f>COUNTIFS('تجربه‌گرها'!$B:$B,$A387,'تجربه‌گرها'!$F:$F,I$1)</f>
        <v>0</v>
      </c>
      <c r="J387" s="242">
        <f>COUNTIFS('تجربه‌گرها'!$B:$B,$A387,'تجربه‌گرها'!$F:$F,J$1)</f>
        <v>0</v>
      </c>
      <c r="K387" s="242">
        <f>COUNTIFS('تجربه‌گرها'!$B:$B,$A387,'تجربه‌گرها'!$F:$F,K$1)</f>
        <v>0</v>
      </c>
      <c r="L387" s="242">
        <f>COUNTIFS('تجربه‌گرها'!$B:$B,$A387,'تجربه‌گرها'!$F:$F,L$1)</f>
        <v>0</v>
      </c>
      <c r="M387" s="242">
        <f>COUNTIFS('تجربه‌گرها'!$B:$B,$A387,'تجربه‌گرها'!$F:$F,M$1)</f>
        <v>0</v>
      </c>
      <c r="N387" s="242">
        <f>COUNTIFS('تجربه‌گرها'!$B:$B,$A387,'تجربه‌گرها'!$F:$F,N$1)</f>
        <v>0</v>
      </c>
      <c r="O387" s="242">
        <f>COUNTIFS('تجربه‌گرها'!$B:$B,$A387,'تجربه‌گرها'!$F:$F,O$1)</f>
        <v>0</v>
      </c>
      <c r="P387" s="242">
        <f>COUNTIFS('تجربه‌گرها'!$B:$B,$A387,'تجربه‌گرها'!$F:$F,P$1)</f>
        <v>0</v>
      </c>
      <c r="Q387" s="242">
        <f>COUNTIFS('تجربه‌گرها'!$B:$B,$A387,'تجربه‌گرها'!$F:$F,Q$1)</f>
        <v>0</v>
      </c>
      <c r="R387" s="242">
        <f>COUNTIFS('تجربه‌گرها'!$B:$B,$A387,'تجربه‌گرها'!$F:$F,R$1)</f>
        <v>0</v>
      </c>
      <c r="S387" s="242">
        <f>COUNTIFS('تجربه‌گرها'!$B:$B,$A387,'تجربه‌گرها'!$F:$F,S$1)</f>
        <v>0</v>
      </c>
      <c r="T387" s="242">
        <f>COUNTIFS('تجربه‌گرها'!$B:$B,$A387,'تجربه‌گرها'!$F:$F,T$1)</f>
        <v>0</v>
      </c>
      <c r="U387" s="242"/>
      <c r="V387" s="242"/>
      <c r="W387" s="242"/>
      <c r="X387" s="242"/>
      <c r="Y387" s="242"/>
      <c r="Z387" s="242"/>
      <c r="AA387" s="242"/>
      <c r="AB387" s="242"/>
    </row>
    <row r="388" hidden="1">
      <c r="A388" s="244" t="s">
        <v>2792</v>
      </c>
      <c r="B388" s="245" t="str">
        <f>VLOOKUP(A388,'تجربه‌گرها'!B:C,2,FALSE())</f>
        <v>9122095894</v>
      </c>
      <c r="C388" s="242"/>
      <c r="D388" s="242">
        <f t="shared" si="1"/>
        <v>1</v>
      </c>
      <c r="E388" s="242">
        <f>COUNTIFS('تجربه‌گرها'!$B:$B,$A388,'تجربه‌گرها'!$F:$F,E$1)</f>
        <v>0</v>
      </c>
      <c r="F388" s="242">
        <f>COUNTIFS('تجربه‌گرها'!$B:$B,$A388,'تجربه‌گرها'!$F:$F,F$1)</f>
        <v>1</v>
      </c>
      <c r="G388" s="242">
        <f>COUNTIFS('تجربه‌گرها'!$B:$B,$A388,'تجربه‌گرها'!$F:$F,G$1)</f>
        <v>0</v>
      </c>
      <c r="H388" s="242">
        <f>COUNTIFS('تجربه‌گرها'!$B:$B,$A388,'تجربه‌گرها'!$F:$F,H$1)</f>
        <v>0</v>
      </c>
      <c r="I388" s="242">
        <f>COUNTIFS('تجربه‌گرها'!$B:$B,$A388,'تجربه‌گرها'!$F:$F,I$1)</f>
        <v>0</v>
      </c>
      <c r="J388" s="242">
        <f>COUNTIFS('تجربه‌گرها'!$B:$B,$A388,'تجربه‌گرها'!$F:$F,J$1)</f>
        <v>0</v>
      </c>
      <c r="K388" s="242">
        <f>COUNTIFS('تجربه‌گرها'!$B:$B,$A388,'تجربه‌گرها'!$F:$F,K$1)</f>
        <v>0</v>
      </c>
      <c r="L388" s="242">
        <f>COUNTIFS('تجربه‌گرها'!$B:$B,$A388,'تجربه‌گرها'!$F:$F,L$1)</f>
        <v>0</v>
      </c>
      <c r="M388" s="242">
        <f>COUNTIFS('تجربه‌گرها'!$B:$B,$A388,'تجربه‌گرها'!$F:$F,M$1)</f>
        <v>0</v>
      </c>
      <c r="N388" s="242">
        <f>COUNTIFS('تجربه‌گرها'!$B:$B,$A388,'تجربه‌گرها'!$F:$F,N$1)</f>
        <v>0</v>
      </c>
      <c r="O388" s="242">
        <f>COUNTIFS('تجربه‌گرها'!$B:$B,$A388,'تجربه‌گرها'!$F:$F,O$1)</f>
        <v>0</v>
      </c>
      <c r="P388" s="242">
        <f>COUNTIFS('تجربه‌گرها'!$B:$B,$A388,'تجربه‌گرها'!$F:$F,P$1)</f>
        <v>0</v>
      </c>
      <c r="Q388" s="242">
        <f>COUNTIFS('تجربه‌گرها'!$B:$B,$A388,'تجربه‌گرها'!$F:$F,Q$1)</f>
        <v>0</v>
      </c>
      <c r="R388" s="242">
        <f>COUNTIFS('تجربه‌گرها'!$B:$B,$A388,'تجربه‌گرها'!$F:$F,R$1)</f>
        <v>0</v>
      </c>
      <c r="S388" s="242">
        <f>COUNTIFS('تجربه‌گرها'!$B:$B,$A388,'تجربه‌گرها'!$F:$F,S$1)</f>
        <v>0</v>
      </c>
      <c r="T388" s="242">
        <f>COUNTIFS('تجربه‌گرها'!$B:$B,$A388,'تجربه‌گرها'!$F:$F,T$1)</f>
        <v>0</v>
      </c>
      <c r="U388" s="242"/>
      <c r="V388" s="242"/>
      <c r="W388" s="242"/>
      <c r="X388" s="242"/>
      <c r="Y388" s="242"/>
      <c r="Z388" s="242"/>
      <c r="AA388" s="242"/>
      <c r="AB388" s="242"/>
    </row>
    <row r="389" hidden="1">
      <c r="A389" s="244" t="s">
        <v>2798</v>
      </c>
      <c r="B389" s="245" t="str">
        <f>VLOOKUP(A389,'تجربه‌گرها'!B:C,2,FALSE())</f>
        <v/>
      </c>
      <c r="C389" s="242"/>
      <c r="D389" s="242">
        <f t="shared" si="1"/>
        <v>1</v>
      </c>
      <c r="E389" s="242">
        <f>COUNTIFS('تجربه‌گرها'!$B:$B,$A389,'تجربه‌گرها'!$F:$F,E$1)</f>
        <v>0</v>
      </c>
      <c r="F389" s="242">
        <f>COUNTIFS('تجربه‌گرها'!$B:$B,$A389,'تجربه‌گرها'!$F:$F,F$1)</f>
        <v>1</v>
      </c>
      <c r="G389" s="242">
        <f>COUNTIFS('تجربه‌گرها'!$B:$B,$A389,'تجربه‌گرها'!$F:$F,G$1)</f>
        <v>0</v>
      </c>
      <c r="H389" s="242">
        <f>COUNTIFS('تجربه‌گرها'!$B:$B,$A389,'تجربه‌گرها'!$F:$F,H$1)</f>
        <v>0</v>
      </c>
      <c r="I389" s="242">
        <f>COUNTIFS('تجربه‌گرها'!$B:$B,$A389,'تجربه‌گرها'!$F:$F,I$1)</f>
        <v>0</v>
      </c>
      <c r="J389" s="242">
        <f>COUNTIFS('تجربه‌گرها'!$B:$B,$A389,'تجربه‌گرها'!$F:$F,J$1)</f>
        <v>0</v>
      </c>
      <c r="K389" s="242">
        <f>COUNTIFS('تجربه‌گرها'!$B:$B,$A389,'تجربه‌گرها'!$F:$F,K$1)</f>
        <v>0</v>
      </c>
      <c r="L389" s="242">
        <f>COUNTIFS('تجربه‌گرها'!$B:$B,$A389,'تجربه‌گرها'!$F:$F,L$1)</f>
        <v>0</v>
      </c>
      <c r="M389" s="242">
        <f>COUNTIFS('تجربه‌گرها'!$B:$B,$A389,'تجربه‌گرها'!$F:$F,M$1)</f>
        <v>0</v>
      </c>
      <c r="N389" s="242">
        <f>COUNTIFS('تجربه‌گرها'!$B:$B,$A389,'تجربه‌گرها'!$F:$F,N$1)</f>
        <v>0</v>
      </c>
      <c r="O389" s="242">
        <f>COUNTIFS('تجربه‌گرها'!$B:$B,$A389,'تجربه‌گرها'!$F:$F,O$1)</f>
        <v>0</v>
      </c>
      <c r="P389" s="242">
        <f>COUNTIFS('تجربه‌گرها'!$B:$B,$A389,'تجربه‌گرها'!$F:$F,P$1)</f>
        <v>0</v>
      </c>
      <c r="Q389" s="242">
        <f>COUNTIFS('تجربه‌گرها'!$B:$B,$A389,'تجربه‌گرها'!$F:$F,Q$1)</f>
        <v>0</v>
      </c>
      <c r="R389" s="242">
        <f>COUNTIFS('تجربه‌گرها'!$B:$B,$A389,'تجربه‌گرها'!$F:$F,R$1)</f>
        <v>0</v>
      </c>
      <c r="S389" s="242">
        <f>COUNTIFS('تجربه‌گرها'!$B:$B,$A389,'تجربه‌گرها'!$F:$F,S$1)</f>
        <v>0</v>
      </c>
      <c r="T389" s="242">
        <f>COUNTIFS('تجربه‌گرها'!$B:$B,$A389,'تجربه‌گرها'!$F:$F,T$1)</f>
        <v>0</v>
      </c>
      <c r="U389" s="242"/>
      <c r="V389" s="242"/>
      <c r="W389" s="242"/>
      <c r="X389" s="242"/>
      <c r="Y389" s="242"/>
      <c r="Z389" s="242"/>
      <c r="AA389" s="242"/>
      <c r="AB389" s="242"/>
    </row>
    <row r="390" hidden="1">
      <c r="A390" s="244" t="s">
        <v>2802</v>
      </c>
      <c r="B390" s="245" t="str">
        <f>VLOOKUP(A390,'تجربه‌گرها'!B:C,2,FALSE())</f>
        <v/>
      </c>
      <c r="C390" s="242"/>
      <c r="D390" s="242">
        <f t="shared" si="1"/>
        <v>1</v>
      </c>
      <c r="E390" s="242">
        <f>COUNTIFS('تجربه‌گرها'!$B:$B,$A390,'تجربه‌گرها'!$F:$F,E$1)</f>
        <v>0</v>
      </c>
      <c r="F390" s="242">
        <f>COUNTIFS('تجربه‌گرها'!$B:$B,$A390,'تجربه‌گرها'!$F:$F,F$1)</f>
        <v>1</v>
      </c>
      <c r="G390" s="242">
        <f>COUNTIFS('تجربه‌گرها'!$B:$B,$A390,'تجربه‌گرها'!$F:$F,G$1)</f>
        <v>0</v>
      </c>
      <c r="H390" s="242">
        <f>COUNTIFS('تجربه‌گرها'!$B:$B,$A390,'تجربه‌گرها'!$F:$F,H$1)</f>
        <v>0</v>
      </c>
      <c r="I390" s="242">
        <f>COUNTIFS('تجربه‌گرها'!$B:$B,$A390,'تجربه‌گرها'!$F:$F,I$1)</f>
        <v>0</v>
      </c>
      <c r="J390" s="242">
        <f>COUNTIFS('تجربه‌گرها'!$B:$B,$A390,'تجربه‌گرها'!$F:$F,J$1)</f>
        <v>0</v>
      </c>
      <c r="K390" s="242">
        <f>COUNTIFS('تجربه‌گرها'!$B:$B,$A390,'تجربه‌گرها'!$F:$F,K$1)</f>
        <v>0</v>
      </c>
      <c r="L390" s="242">
        <f>COUNTIFS('تجربه‌گرها'!$B:$B,$A390,'تجربه‌گرها'!$F:$F,L$1)</f>
        <v>0</v>
      </c>
      <c r="M390" s="242">
        <f>COUNTIFS('تجربه‌گرها'!$B:$B,$A390,'تجربه‌گرها'!$F:$F,M$1)</f>
        <v>0</v>
      </c>
      <c r="N390" s="242">
        <f>COUNTIFS('تجربه‌گرها'!$B:$B,$A390,'تجربه‌گرها'!$F:$F,N$1)</f>
        <v>0</v>
      </c>
      <c r="O390" s="242">
        <f>COUNTIFS('تجربه‌گرها'!$B:$B,$A390,'تجربه‌گرها'!$F:$F,O$1)</f>
        <v>0</v>
      </c>
      <c r="P390" s="242">
        <f>COUNTIFS('تجربه‌گرها'!$B:$B,$A390,'تجربه‌گرها'!$F:$F,P$1)</f>
        <v>0</v>
      </c>
      <c r="Q390" s="242">
        <f>COUNTIFS('تجربه‌گرها'!$B:$B,$A390,'تجربه‌گرها'!$F:$F,Q$1)</f>
        <v>0</v>
      </c>
      <c r="R390" s="242">
        <f>COUNTIFS('تجربه‌گرها'!$B:$B,$A390,'تجربه‌گرها'!$F:$F,R$1)</f>
        <v>0</v>
      </c>
      <c r="S390" s="242">
        <f>COUNTIFS('تجربه‌گرها'!$B:$B,$A390,'تجربه‌گرها'!$F:$F,S$1)</f>
        <v>0</v>
      </c>
      <c r="T390" s="242">
        <f>COUNTIFS('تجربه‌گرها'!$B:$B,$A390,'تجربه‌گرها'!$F:$F,T$1)</f>
        <v>0</v>
      </c>
      <c r="U390" s="242"/>
      <c r="V390" s="242"/>
      <c r="W390" s="242"/>
      <c r="X390" s="242"/>
      <c r="Y390" s="242"/>
      <c r="Z390" s="242"/>
      <c r="AA390" s="242"/>
      <c r="AB390" s="242"/>
    </row>
    <row r="391" hidden="1">
      <c r="A391" s="244" t="s">
        <v>2805</v>
      </c>
      <c r="B391" s="245" t="str">
        <f>VLOOKUP(A391,'تجربه‌گرها'!B:C,2,FALSE())</f>
        <v/>
      </c>
      <c r="C391" s="242"/>
      <c r="D391" s="242">
        <f t="shared" si="1"/>
        <v>1</v>
      </c>
      <c r="E391" s="242">
        <f>COUNTIFS('تجربه‌گرها'!$B:$B,$A391,'تجربه‌گرها'!$F:$F,E$1)</f>
        <v>0</v>
      </c>
      <c r="F391" s="242">
        <f>COUNTIFS('تجربه‌گرها'!$B:$B,$A391,'تجربه‌گرها'!$F:$F,F$1)</f>
        <v>1</v>
      </c>
      <c r="G391" s="242">
        <f>COUNTIFS('تجربه‌گرها'!$B:$B,$A391,'تجربه‌گرها'!$F:$F,G$1)</f>
        <v>0</v>
      </c>
      <c r="H391" s="242">
        <f>COUNTIFS('تجربه‌گرها'!$B:$B,$A391,'تجربه‌گرها'!$F:$F,H$1)</f>
        <v>0</v>
      </c>
      <c r="I391" s="242">
        <f>COUNTIFS('تجربه‌گرها'!$B:$B,$A391,'تجربه‌گرها'!$F:$F,I$1)</f>
        <v>0</v>
      </c>
      <c r="J391" s="242">
        <f>COUNTIFS('تجربه‌گرها'!$B:$B,$A391,'تجربه‌گرها'!$F:$F,J$1)</f>
        <v>0</v>
      </c>
      <c r="K391" s="242">
        <f>COUNTIFS('تجربه‌گرها'!$B:$B,$A391,'تجربه‌گرها'!$F:$F,K$1)</f>
        <v>0</v>
      </c>
      <c r="L391" s="242">
        <f>COUNTIFS('تجربه‌گرها'!$B:$B,$A391,'تجربه‌گرها'!$F:$F,L$1)</f>
        <v>0</v>
      </c>
      <c r="M391" s="242">
        <f>COUNTIFS('تجربه‌گرها'!$B:$B,$A391,'تجربه‌گرها'!$F:$F,M$1)</f>
        <v>0</v>
      </c>
      <c r="N391" s="242">
        <f>COUNTIFS('تجربه‌گرها'!$B:$B,$A391,'تجربه‌گرها'!$F:$F,N$1)</f>
        <v>0</v>
      </c>
      <c r="O391" s="242">
        <f>COUNTIFS('تجربه‌گرها'!$B:$B,$A391,'تجربه‌گرها'!$F:$F,O$1)</f>
        <v>0</v>
      </c>
      <c r="P391" s="242">
        <f>COUNTIFS('تجربه‌گرها'!$B:$B,$A391,'تجربه‌گرها'!$F:$F,P$1)</f>
        <v>0</v>
      </c>
      <c r="Q391" s="242">
        <f>COUNTIFS('تجربه‌گرها'!$B:$B,$A391,'تجربه‌گرها'!$F:$F,Q$1)</f>
        <v>0</v>
      </c>
      <c r="R391" s="242">
        <f>COUNTIFS('تجربه‌گرها'!$B:$B,$A391,'تجربه‌گرها'!$F:$F,R$1)</f>
        <v>0</v>
      </c>
      <c r="S391" s="242">
        <f>COUNTIFS('تجربه‌گرها'!$B:$B,$A391,'تجربه‌گرها'!$F:$F,S$1)</f>
        <v>0</v>
      </c>
      <c r="T391" s="242">
        <f>COUNTIFS('تجربه‌گرها'!$B:$B,$A391,'تجربه‌گرها'!$F:$F,T$1)</f>
        <v>0</v>
      </c>
      <c r="U391" s="242"/>
      <c r="V391" s="242"/>
      <c r="W391" s="242"/>
      <c r="X391" s="242"/>
      <c r="Y391" s="242"/>
      <c r="Z391" s="242"/>
      <c r="AA391" s="242"/>
      <c r="AB391" s="242"/>
    </row>
    <row r="392" hidden="1">
      <c r="A392" s="244" t="s">
        <v>2807</v>
      </c>
      <c r="B392" s="245" t="str">
        <f>VLOOKUP(A392,'تجربه‌گرها'!B:C,2,FALSE())</f>
        <v/>
      </c>
      <c r="C392" s="242"/>
      <c r="D392" s="242">
        <f t="shared" si="1"/>
        <v>1</v>
      </c>
      <c r="E392" s="242">
        <f>COUNTIFS('تجربه‌گرها'!$B:$B,$A392,'تجربه‌گرها'!$F:$F,E$1)</f>
        <v>0</v>
      </c>
      <c r="F392" s="242">
        <f>COUNTIFS('تجربه‌گرها'!$B:$B,$A392,'تجربه‌گرها'!$F:$F,F$1)</f>
        <v>1</v>
      </c>
      <c r="G392" s="242">
        <f>COUNTIFS('تجربه‌گرها'!$B:$B,$A392,'تجربه‌گرها'!$F:$F,G$1)</f>
        <v>0</v>
      </c>
      <c r="H392" s="242">
        <f>COUNTIFS('تجربه‌گرها'!$B:$B,$A392,'تجربه‌گرها'!$F:$F,H$1)</f>
        <v>0</v>
      </c>
      <c r="I392" s="242">
        <f>COUNTIFS('تجربه‌گرها'!$B:$B,$A392,'تجربه‌گرها'!$F:$F,I$1)</f>
        <v>0</v>
      </c>
      <c r="J392" s="242">
        <f>COUNTIFS('تجربه‌گرها'!$B:$B,$A392,'تجربه‌گرها'!$F:$F,J$1)</f>
        <v>0</v>
      </c>
      <c r="K392" s="242">
        <f>COUNTIFS('تجربه‌گرها'!$B:$B,$A392,'تجربه‌گرها'!$F:$F,K$1)</f>
        <v>0</v>
      </c>
      <c r="L392" s="242">
        <f>COUNTIFS('تجربه‌گرها'!$B:$B,$A392,'تجربه‌گرها'!$F:$F,L$1)</f>
        <v>0</v>
      </c>
      <c r="M392" s="242">
        <f>COUNTIFS('تجربه‌گرها'!$B:$B,$A392,'تجربه‌گرها'!$F:$F,M$1)</f>
        <v>0</v>
      </c>
      <c r="N392" s="242">
        <f>COUNTIFS('تجربه‌گرها'!$B:$B,$A392,'تجربه‌گرها'!$F:$F,N$1)</f>
        <v>0</v>
      </c>
      <c r="O392" s="242">
        <f>COUNTIFS('تجربه‌گرها'!$B:$B,$A392,'تجربه‌گرها'!$F:$F,O$1)</f>
        <v>0</v>
      </c>
      <c r="P392" s="242">
        <f>COUNTIFS('تجربه‌گرها'!$B:$B,$A392,'تجربه‌گرها'!$F:$F,P$1)</f>
        <v>0</v>
      </c>
      <c r="Q392" s="242">
        <f>COUNTIFS('تجربه‌گرها'!$B:$B,$A392,'تجربه‌گرها'!$F:$F,Q$1)</f>
        <v>0</v>
      </c>
      <c r="R392" s="242">
        <f>COUNTIFS('تجربه‌گرها'!$B:$B,$A392,'تجربه‌گرها'!$F:$F,R$1)</f>
        <v>0</v>
      </c>
      <c r="S392" s="242">
        <f>COUNTIFS('تجربه‌گرها'!$B:$B,$A392,'تجربه‌گرها'!$F:$F,S$1)</f>
        <v>0</v>
      </c>
      <c r="T392" s="242">
        <f>COUNTIFS('تجربه‌گرها'!$B:$B,$A392,'تجربه‌گرها'!$F:$F,T$1)</f>
        <v>0</v>
      </c>
      <c r="U392" s="242"/>
      <c r="V392" s="242"/>
      <c r="W392" s="242"/>
      <c r="X392" s="242"/>
      <c r="Y392" s="242"/>
      <c r="Z392" s="242"/>
      <c r="AA392" s="242"/>
      <c r="AB392" s="242"/>
    </row>
    <row r="393" hidden="1">
      <c r="A393" s="244" t="s">
        <v>2809</v>
      </c>
      <c r="B393" s="245" t="str">
        <f>VLOOKUP(A393,'تجربه‌گرها'!B:C,2,FALSE())</f>
        <v>9186854616</v>
      </c>
      <c r="C393" s="242"/>
      <c r="D393" s="242">
        <f t="shared" si="1"/>
        <v>1</v>
      </c>
      <c r="E393" s="242">
        <f>COUNTIFS('تجربه‌گرها'!$B:$B,$A393,'تجربه‌گرها'!$F:$F,E$1)</f>
        <v>0</v>
      </c>
      <c r="F393" s="242">
        <f>COUNTIFS('تجربه‌گرها'!$B:$B,$A393,'تجربه‌گرها'!$F:$F,F$1)</f>
        <v>1</v>
      </c>
      <c r="G393" s="242">
        <f>COUNTIFS('تجربه‌گرها'!$B:$B,$A393,'تجربه‌گرها'!$F:$F,G$1)</f>
        <v>0</v>
      </c>
      <c r="H393" s="242">
        <f>COUNTIFS('تجربه‌گرها'!$B:$B,$A393,'تجربه‌گرها'!$F:$F,H$1)</f>
        <v>0</v>
      </c>
      <c r="I393" s="242">
        <f>COUNTIFS('تجربه‌گرها'!$B:$B,$A393,'تجربه‌گرها'!$F:$F,I$1)</f>
        <v>0</v>
      </c>
      <c r="J393" s="242">
        <f>COUNTIFS('تجربه‌گرها'!$B:$B,$A393,'تجربه‌گرها'!$F:$F,J$1)</f>
        <v>0</v>
      </c>
      <c r="K393" s="242">
        <f>COUNTIFS('تجربه‌گرها'!$B:$B,$A393,'تجربه‌گرها'!$F:$F,K$1)</f>
        <v>0</v>
      </c>
      <c r="L393" s="242">
        <f>COUNTIFS('تجربه‌گرها'!$B:$B,$A393,'تجربه‌گرها'!$F:$F,L$1)</f>
        <v>0</v>
      </c>
      <c r="M393" s="242">
        <f>COUNTIFS('تجربه‌گرها'!$B:$B,$A393,'تجربه‌گرها'!$F:$F,M$1)</f>
        <v>0</v>
      </c>
      <c r="N393" s="242">
        <f>COUNTIFS('تجربه‌گرها'!$B:$B,$A393,'تجربه‌گرها'!$F:$F,N$1)</f>
        <v>0</v>
      </c>
      <c r="O393" s="242">
        <f>COUNTIFS('تجربه‌گرها'!$B:$B,$A393,'تجربه‌گرها'!$F:$F,O$1)</f>
        <v>0</v>
      </c>
      <c r="P393" s="242">
        <f>COUNTIFS('تجربه‌گرها'!$B:$B,$A393,'تجربه‌گرها'!$F:$F,P$1)</f>
        <v>0</v>
      </c>
      <c r="Q393" s="242">
        <f>COUNTIFS('تجربه‌گرها'!$B:$B,$A393,'تجربه‌گرها'!$F:$F,Q$1)</f>
        <v>0</v>
      </c>
      <c r="R393" s="242">
        <f>COUNTIFS('تجربه‌گرها'!$B:$B,$A393,'تجربه‌گرها'!$F:$F,R$1)</f>
        <v>0</v>
      </c>
      <c r="S393" s="242">
        <f>COUNTIFS('تجربه‌گرها'!$B:$B,$A393,'تجربه‌گرها'!$F:$F,S$1)</f>
        <v>0</v>
      </c>
      <c r="T393" s="242">
        <f>COUNTIFS('تجربه‌گرها'!$B:$B,$A393,'تجربه‌گرها'!$F:$F,T$1)</f>
        <v>0</v>
      </c>
      <c r="U393" s="242"/>
      <c r="V393" s="242"/>
      <c r="W393" s="242"/>
      <c r="X393" s="242"/>
      <c r="Y393" s="242"/>
      <c r="Z393" s="242"/>
      <c r="AA393" s="242"/>
      <c r="AB393" s="242"/>
    </row>
    <row r="394" hidden="1">
      <c r="A394" s="244" t="s">
        <v>2813</v>
      </c>
      <c r="B394" s="245" t="str">
        <f>VLOOKUP(A394,'تجربه‌گرها'!B:C,2,FALSE())</f>
        <v>9122909211</v>
      </c>
      <c r="C394" s="242"/>
      <c r="D394" s="242">
        <f t="shared" si="1"/>
        <v>1</v>
      </c>
      <c r="E394" s="242">
        <f>COUNTIFS('تجربه‌گرها'!$B:$B,$A394,'تجربه‌گرها'!$F:$F,E$1)</f>
        <v>0</v>
      </c>
      <c r="F394" s="242">
        <f>COUNTIFS('تجربه‌گرها'!$B:$B,$A394,'تجربه‌گرها'!$F:$F,F$1)</f>
        <v>1</v>
      </c>
      <c r="G394" s="242">
        <f>COUNTIFS('تجربه‌گرها'!$B:$B,$A394,'تجربه‌گرها'!$F:$F,G$1)</f>
        <v>0</v>
      </c>
      <c r="H394" s="242">
        <f>COUNTIFS('تجربه‌گرها'!$B:$B,$A394,'تجربه‌گرها'!$F:$F,H$1)</f>
        <v>0</v>
      </c>
      <c r="I394" s="242">
        <f>COUNTIFS('تجربه‌گرها'!$B:$B,$A394,'تجربه‌گرها'!$F:$F,I$1)</f>
        <v>0</v>
      </c>
      <c r="J394" s="242">
        <f>COUNTIFS('تجربه‌گرها'!$B:$B,$A394,'تجربه‌گرها'!$F:$F,J$1)</f>
        <v>0</v>
      </c>
      <c r="K394" s="242">
        <f>COUNTIFS('تجربه‌گرها'!$B:$B,$A394,'تجربه‌گرها'!$F:$F,K$1)</f>
        <v>0</v>
      </c>
      <c r="L394" s="242">
        <f>COUNTIFS('تجربه‌گرها'!$B:$B,$A394,'تجربه‌گرها'!$F:$F,L$1)</f>
        <v>0</v>
      </c>
      <c r="M394" s="242">
        <f>COUNTIFS('تجربه‌گرها'!$B:$B,$A394,'تجربه‌گرها'!$F:$F,M$1)</f>
        <v>0</v>
      </c>
      <c r="N394" s="242">
        <f>COUNTIFS('تجربه‌گرها'!$B:$B,$A394,'تجربه‌گرها'!$F:$F,N$1)</f>
        <v>0</v>
      </c>
      <c r="O394" s="242">
        <f>COUNTIFS('تجربه‌گرها'!$B:$B,$A394,'تجربه‌گرها'!$F:$F,O$1)</f>
        <v>0</v>
      </c>
      <c r="P394" s="242">
        <f>COUNTIFS('تجربه‌گرها'!$B:$B,$A394,'تجربه‌گرها'!$F:$F,P$1)</f>
        <v>0</v>
      </c>
      <c r="Q394" s="242">
        <f>COUNTIFS('تجربه‌گرها'!$B:$B,$A394,'تجربه‌گرها'!$F:$F,Q$1)</f>
        <v>0</v>
      </c>
      <c r="R394" s="242">
        <f>COUNTIFS('تجربه‌گرها'!$B:$B,$A394,'تجربه‌گرها'!$F:$F,R$1)</f>
        <v>0</v>
      </c>
      <c r="S394" s="242">
        <f>COUNTIFS('تجربه‌گرها'!$B:$B,$A394,'تجربه‌گرها'!$F:$F,S$1)</f>
        <v>0</v>
      </c>
      <c r="T394" s="242">
        <f>COUNTIFS('تجربه‌گرها'!$B:$B,$A394,'تجربه‌گرها'!$F:$F,T$1)</f>
        <v>0</v>
      </c>
      <c r="U394" s="242"/>
      <c r="V394" s="242"/>
      <c r="W394" s="242"/>
      <c r="X394" s="242"/>
      <c r="Y394" s="242"/>
      <c r="Z394" s="242"/>
      <c r="AA394" s="242"/>
      <c r="AB394" s="242"/>
    </row>
    <row r="395" hidden="1">
      <c r="A395" s="244" t="s">
        <v>2817</v>
      </c>
      <c r="B395" s="245" t="str">
        <f>VLOOKUP(A395,'تجربه‌گرها'!B:C,2,FALSE())</f>
        <v>9391246785</v>
      </c>
      <c r="C395" s="242"/>
      <c r="D395" s="242">
        <f t="shared" si="1"/>
        <v>1</v>
      </c>
      <c r="E395" s="242">
        <f>COUNTIFS('تجربه‌گرها'!$B:$B,$A395,'تجربه‌گرها'!$F:$F,E$1)</f>
        <v>0</v>
      </c>
      <c r="F395" s="242">
        <f>COUNTIFS('تجربه‌گرها'!$B:$B,$A395,'تجربه‌گرها'!$F:$F,F$1)</f>
        <v>1</v>
      </c>
      <c r="G395" s="242">
        <f>COUNTIFS('تجربه‌گرها'!$B:$B,$A395,'تجربه‌گرها'!$F:$F,G$1)</f>
        <v>0</v>
      </c>
      <c r="H395" s="242">
        <f>COUNTIFS('تجربه‌گرها'!$B:$B,$A395,'تجربه‌گرها'!$F:$F,H$1)</f>
        <v>0</v>
      </c>
      <c r="I395" s="242">
        <f>COUNTIFS('تجربه‌گرها'!$B:$B,$A395,'تجربه‌گرها'!$F:$F,I$1)</f>
        <v>0</v>
      </c>
      <c r="J395" s="242">
        <f>COUNTIFS('تجربه‌گرها'!$B:$B,$A395,'تجربه‌گرها'!$F:$F,J$1)</f>
        <v>0</v>
      </c>
      <c r="K395" s="242">
        <f>COUNTIFS('تجربه‌گرها'!$B:$B,$A395,'تجربه‌گرها'!$F:$F,K$1)</f>
        <v>0</v>
      </c>
      <c r="L395" s="242">
        <f>COUNTIFS('تجربه‌گرها'!$B:$B,$A395,'تجربه‌گرها'!$F:$F,L$1)</f>
        <v>0</v>
      </c>
      <c r="M395" s="242">
        <f>COUNTIFS('تجربه‌گرها'!$B:$B,$A395,'تجربه‌گرها'!$F:$F,M$1)</f>
        <v>0</v>
      </c>
      <c r="N395" s="242">
        <f>COUNTIFS('تجربه‌گرها'!$B:$B,$A395,'تجربه‌گرها'!$F:$F,N$1)</f>
        <v>0</v>
      </c>
      <c r="O395" s="242">
        <f>COUNTIFS('تجربه‌گرها'!$B:$B,$A395,'تجربه‌گرها'!$F:$F,O$1)</f>
        <v>0</v>
      </c>
      <c r="P395" s="242">
        <f>COUNTIFS('تجربه‌گرها'!$B:$B,$A395,'تجربه‌گرها'!$F:$F,P$1)</f>
        <v>0</v>
      </c>
      <c r="Q395" s="242">
        <f>COUNTIFS('تجربه‌گرها'!$B:$B,$A395,'تجربه‌گرها'!$F:$F,Q$1)</f>
        <v>0</v>
      </c>
      <c r="R395" s="242">
        <f>COUNTIFS('تجربه‌گرها'!$B:$B,$A395,'تجربه‌گرها'!$F:$F,R$1)</f>
        <v>0</v>
      </c>
      <c r="S395" s="242">
        <f>COUNTIFS('تجربه‌گرها'!$B:$B,$A395,'تجربه‌گرها'!$F:$F,S$1)</f>
        <v>0</v>
      </c>
      <c r="T395" s="242">
        <f>COUNTIFS('تجربه‌گرها'!$B:$B,$A395,'تجربه‌گرها'!$F:$F,T$1)</f>
        <v>0</v>
      </c>
      <c r="U395" s="242"/>
      <c r="V395" s="242"/>
      <c r="W395" s="242"/>
      <c r="X395" s="242"/>
      <c r="Y395" s="242"/>
      <c r="Z395" s="242"/>
      <c r="AA395" s="242"/>
      <c r="AB395" s="242"/>
    </row>
    <row r="396" hidden="1">
      <c r="A396" s="244" t="s">
        <v>2822</v>
      </c>
      <c r="B396" s="245" t="str">
        <f>VLOOKUP(A396,'تجربه‌گرها'!B:C,2,FALSE())</f>
        <v>9120330544</v>
      </c>
      <c r="C396" s="242"/>
      <c r="D396" s="242">
        <f t="shared" si="1"/>
        <v>1</v>
      </c>
      <c r="E396" s="242">
        <f>COUNTIFS('تجربه‌گرها'!$B:$B,$A396,'تجربه‌گرها'!$F:$F,E$1)</f>
        <v>0</v>
      </c>
      <c r="F396" s="242">
        <f>COUNTIFS('تجربه‌گرها'!$B:$B,$A396,'تجربه‌گرها'!$F:$F,F$1)</f>
        <v>1</v>
      </c>
      <c r="G396" s="242">
        <f>COUNTIFS('تجربه‌گرها'!$B:$B,$A396,'تجربه‌گرها'!$F:$F,G$1)</f>
        <v>0</v>
      </c>
      <c r="H396" s="242">
        <f>COUNTIFS('تجربه‌گرها'!$B:$B,$A396,'تجربه‌گرها'!$F:$F,H$1)</f>
        <v>0</v>
      </c>
      <c r="I396" s="242">
        <f>COUNTIFS('تجربه‌گرها'!$B:$B,$A396,'تجربه‌گرها'!$F:$F,I$1)</f>
        <v>0</v>
      </c>
      <c r="J396" s="242">
        <f>COUNTIFS('تجربه‌گرها'!$B:$B,$A396,'تجربه‌گرها'!$F:$F,J$1)</f>
        <v>0</v>
      </c>
      <c r="K396" s="242">
        <f>COUNTIFS('تجربه‌گرها'!$B:$B,$A396,'تجربه‌گرها'!$F:$F,K$1)</f>
        <v>0</v>
      </c>
      <c r="L396" s="242">
        <f>COUNTIFS('تجربه‌گرها'!$B:$B,$A396,'تجربه‌گرها'!$F:$F,L$1)</f>
        <v>0</v>
      </c>
      <c r="M396" s="242">
        <f>COUNTIFS('تجربه‌گرها'!$B:$B,$A396,'تجربه‌گرها'!$F:$F,M$1)</f>
        <v>0</v>
      </c>
      <c r="N396" s="242">
        <f>COUNTIFS('تجربه‌گرها'!$B:$B,$A396,'تجربه‌گرها'!$F:$F,N$1)</f>
        <v>0</v>
      </c>
      <c r="O396" s="242">
        <f>COUNTIFS('تجربه‌گرها'!$B:$B,$A396,'تجربه‌گرها'!$F:$F,O$1)</f>
        <v>0</v>
      </c>
      <c r="P396" s="242">
        <f>COUNTIFS('تجربه‌گرها'!$B:$B,$A396,'تجربه‌گرها'!$F:$F,P$1)</f>
        <v>0</v>
      </c>
      <c r="Q396" s="242">
        <f>COUNTIFS('تجربه‌گرها'!$B:$B,$A396,'تجربه‌گرها'!$F:$F,Q$1)</f>
        <v>0</v>
      </c>
      <c r="R396" s="242">
        <f>COUNTIFS('تجربه‌گرها'!$B:$B,$A396,'تجربه‌گرها'!$F:$F,R$1)</f>
        <v>0</v>
      </c>
      <c r="S396" s="242">
        <f>COUNTIFS('تجربه‌گرها'!$B:$B,$A396,'تجربه‌گرها'!$F:$F,S$1)</f>
        <v>0</v>
      </c>
      <c r="T396" s="242">
        <f>COUNTIFS('تجربه‌گرها'!$B:$B,$A396,'تجربه‌گرها'!$F:$F,T$1)</f>
        <v>0</v>
      </c>
      <c r="U396" s="242"/>
      <c r="V396" s="242"/>
      <c r="W396" s="242"/>
      <c r="X396" s="242"/>
      <c r="Y396" s="242"/>
      <c r="Z396" s="242"/>
      <c r="AA396" s="242"/>
      <c r="AB396" s="242"/>
    </row>
    <row r="397" hidden="1">
      <c r="A397" s="244" t="s">
        <v>2826</v>
      </c>
      <c r="B397" s="245" t="str">
        <f>VLOOKUP(A397,'تجربه‌گرها'!B:C,2,FALSE())</f>
        <v/>
      </c>
      <c r="C397" s="242"/>
      <c r="D397" s="242">
        <f t="shared" si="1"/>
        <v>1</v>
      </c>
      <c r="E397" s="242">
        <f>COUNTIFS('تجربه‌گرها'!$B:$B,$A397,'تجربه‌گرها'!$F:$F,E$1)</f>
        <v>0</v>
      </c>
      <c r="F397" s="242">
        <f>COUNTIFS('تجربه‌گرها'!$B:$B,$A397,'تجربه‌گرها'!$F:$F,F$1)</f>
        <v>1</v>
      </c>
      <c r="G397" s="242">
        <f>COUNTIFS('تجربه‌گرها'!$B:$B,$A397,'تجربه‌گرها'!$F:$F,G$1)</f>
        <v>0</v>
      </c>
      <c r="H397" s="242">
        <f>COUNTIFS('تجربه‌گرها'!$B:$B,$A397,'تجربه‌گرها'!$F:$F,H$1)</f>
        <v>0</v>
      </c>
      <c r="I397" s="242">
        <f>COUNTIFS('تجربه‌گرها'!$B:$B,$A397,'تجربه‌گرها'!$F:$F,I$1)</f>
        <v>0</v>
      </c>
      <c r="J397" s="242">
        <f>COUNTIFS('تجربه‌گرها'!$B:$B,$A397,'تجربه‌گرها'!$F:$F,J$1)</f>
        <v>0</v>
      </c>
      <c r="K397" s="242">
        <f>COUNTIFS('تجربه‌گرها'!$B:$B,$A397,'تجربه‌گرها'!$F:$F,K$1)</f>
        <v>0</v>
      </c>
      <c r="L397" s="242">
        <f>COUNTIFS('تجربه‌گرها'!$B:$B,$A397,'تجربه‌گرها'!$F:$F,L$1)</f>
        <v>0</v>
      </c>
      <c r="M397" s="242">
        <f>COUNTIFS('تجربه‌گرها'!$B:$B,$A397,'تجربه‌گرها'!$F:$F,M$1)</f>
        <v>0</v>
      </c>
      <c r="N397" s="242">
        <f>COUNTIFS('تجربه‌گرها'!$B:$B,$A397,'تجربه‌گرها'!$F:$F,N$1)</f>
        <v>0</v>
      </c>
      <c r="O397" s="242">
        <f>COUNTIFS('تجربه‌گرها'!$B:$B,$A397,'تجربه‌گرها'!$F:$F,O$1)</f>
        <v>0</v>
      </c>
      <c r="P397" s="242">
        <f>COUNTIFS('تجربه‌گرها'!$B:$B,$A397,'تجربه‌گرها'!$F:$F,P$1)</f>
        <v>0</v>
      </c>
      <c r="Q397" s="242">
        <f>COUNTIFS('تجربه‌گرها'!$B:$B,$A397,'تجربه‌گرها'!$F:$F,Q$1)</f>
        <v>0</v>
      </c>
      <c r="R397" s="242">
        <f>COUNTIFS('تجربه‌گرها'!$B:$B,$A397,'تجربه‌گرها'!$F:$F,R$1)</f>
        <v>0</v>
      </c>
      <c r="S397" s="242">
        <f>COUNTIFS('تجربه‌گرها'!$B:$B,$A397,'تجربه‌گرها'!$F:$F,S$1)</f>
        <v>0</v>
      </c>
      <c r="T397" s="242">
        <f>COUNTIFS('تجربه‌گرها'!$B:$B,$A397,'تجربه‌گرها'!$F:$F,T$1)</f>
        <v>0</v>
      </c>
      <c r="U397" s="242"/>
      <c r="V397" s="242"/>
      <c r="W397" s="242"/>
      <c r="X397" s="242"/>
      <c r="Y397" s="242"/>
      <c r="Z397" s="242"/>
      <c r="AA397" s="242"/>
      <c r="AB397" s="242"/>
    </row>
    <row r="398" hidden="1">
      <c r="A398" s="244" t="s">
        <v>2832</v>
      </c>
      <c r="B398" s="245" t="str">
        <f>VLOOKUP(A398,'تجربه‌گرها'!B:C,2,FALSE())</f>
        <v>9127388204</v>
      </c>
      <c r="C398" s="242"/>
      <c r="D398" s="242">
        <f t="shared" si="1"/>
        <v>1</v>
      </c>
      <c r="E398" s="242">
        <f>COUNTIFS('تجربه‌گرها'!$B:$B,$A398,'تجربه‌گرها'!$F:$F,E$1)</f>
        <v>0</v>
      </c>
      <c r="F398" s="242">
        <f>COUNTIFS('تجربه‌گرها'!$B:$B,$A398,'تجربه‌گرها'!$F:$F,F$1)</f>
        <v>0</v>
      </c>
      <c r="G398" s="242">
        <f>COUNTIFS('تجربه‌گرها'!$B:$B,$A398,'تجربه‌گرها'!$F:$F,G$1)</f>
        <v>1</v>
      </c>
      <c r="H398" s="242">
        <f>COUNTIFS('تجربه‌گرها'!$B:$B,$A398,'تجربه‌گرها'!$F:$F,H$1)</f>
        <v>0</v>
      </c>
      <c r="I398" s="242">
        <f>COUNTIFS('تجربه‌گرها'!$B:$B,$A398,'تجربه‌گرها'!$F:$F,I$1)</f>
        <v>0</v>
      </c>
      <c r="J398" s="242">
        <f>COUNTIFS('تجربه‌گرها'!$B:$B,$A398,'تجربه‌گرها'!$F:$F,J$1)</f>
        <v>0</v>
      </c>
      <c r="K398" s="242">
        <f>COUNTIFS('تجربه‌گرها'!$B:$B,$A398,'تجربه‌گرها'!$F:$F,K$1)</f>
        <v>0</v>
      </c>
      <c r="L398" s="242">
        <f>COUNTIFS('تجربه‌گرها'!$B:$B,$A398,'تجربه‌گرها'!$F:$F,L$1)</f>
        <v>0</v>
      </c>
      <c r="M398" s="242">
        <f>COUNTIFS('تجربه‌گرها'!$B:$B,$A398,'تجربه‌گرها'!$F:$F,M$1)</f>
        <v>0</v>
      </c>
      <c r="N398" s="242">
        <f>COUNTIFS('تجربه‌گرها'!$B:$B,$A398,'تجربه‌گرها'!$F:$F,N$1)</f>
        <v>0</v>
      </c>
      <c r="O398" s="242">
        <f>COUNTIFS('تجربه‌گرها'!$B:$B,$A398,'تجربه‌گرها'!$F:$F,O$1)</f>
        <v>0</v>
      </c>
      <c r="P398" s="242">
        <f>COUNTIFS('تجربه‌گرها'!$B:$B,$A398,'تجربه‌گرها'!$F:$F,P$1)</f>
        <v>0</v>
      </c>
      <c r="Q398" s="242">
        <f>COUNTIFS('تجربه‌گرها'!$B:$B,$A398,'تجربه‌گرها'!$F:$F,Q$1)</f>
        <v>0</v>
      </c>
      <c r="R398" s="242">
        <f>COUNTIFS('تجربه‌گرها'!$B:$B,$A398,'تجربه‌گرها'!$F:$F,R$1)</f>
        <v>0</v>
      </c>
      <c r="S398" s="242">
        <f>COUNTIFS('تجربه‌گرها'!$B:$B,$A398,'تجربه‌گرها'!$F:$F,S$1)</f>
        <v>0</v>
      </c>
      <c r="T398" s="242">
        <f>COUNTIFS('تجربه‌گرها'!$B:$B,$A398,'تجربه‌گرها'!$F:$F,T$1)</f>
        <v>0</v>
      </c>
      <c r="U398" s="242"/>
      <c r="V398" s="242"/>
      <c r="W398" s="242"/>
      <c r="X398" s="242"/>
      <c r="Y398" s="242"/>
      <c r="Z398" s="242"/>
      <c r="AA398" s="242"/>
      <c r="AB398" s="242"/>
    </row>
    <row r="399" hidden="1">
      <c r="A399" s="244" t="s">
        <v>2837</v>
      </c>
      <c r="B399" s="245" t="str">
        <f>VLOOKUP(A399,'تجربه‌گرها'!B:C,2,FALSE())</f>
        <v>9123173347</v>
      </c>
      <c r="C399" s="242"/>
      <c r="D399" s="242">
        <f t="shared" si="1"/>
        <v>1</v>
      </c>
      <c r="E399" s="242">
        <f>COUNTIFS('تجربه‌گرها'!$B:$B,$A399,'تجربه‌گرها'!$F:$F,E$1)</f>
        <v>0</v>
      </c>
      <c r="F399" s="242">
        <f>COUNTIFS('تجربه‌گرها'!$B:$B,$A399,'تجربه‌گرها'!$F:$F,F$1)</f>
        <v>0</v>
      </c>
      <c r="G399" s="242">
        <f>COUNTIFS('تجربه‌گرها'!$B:$B,$A399,'تجربه‌گرها'!$F:$F,G$1)</f>
        <v>1</v>
      </c>
      <c r="H399" s="242">
        <f>COUNTIFS('تجربه‌گرها'!$B:$B,$A399,'تجربه‌گرها'!$F:$F,H$1)</f>
        <v>0</v>
      </c>
      <c r="I399" s="242">
        <f>COUNTIFS('تجربه‌گرها'!$B:$B,$A399,'تجربه‌گرها'!$F:$F,I$1)</f>
        <v>0</v>
      </c>
      <c r="J399" s="242">
        <f>COUNTIFS('تجربه‌گرها'!$B:$B,$A399,'تجربه‌گرها'!$F:$F,J$1)</f>
        <v>0</v>
      </c>
      <c r="K399" s="242">
        <f>COUNTIFS('تجربه‌گرها'!$B:$B,$A399,'تجربه‌گرها'!$F:$F,K$1)</f>
        <v>0</v>
      </c>
      <c r="L399" s="242">
        <f>COUNTIFS('تجربه‌گرها'!$B:$B,$A399,'تجربه‌گرها'!$F:$F,L$1)</f>
        <v>0</v>
      </c>
      <c r="M399" s="242">
        <f>COUNTIFS('تجربه‌گرها'!$B:$B,$A399,'تجربه‌گرها'!$F:$F,M$1)</f>
        <v>0</v>
      </c>
      <c r="N399" s="242">
        <f>COUNTIFS('تجربه‌گرها'!$B:$B,$A399,'تجربه‌گرها'!$F:$F,N$1)</f>
        <v>0</v>
      </c>
      <c r="O399" s="242">
        <f>COUNTIFS('تجربه‌گرها'!$B:$B,$A399,'تجربه‌گرها'!$F:$F,O$1)</f>
        <v>0</v>
      </c>
      <c r="P399" s="242">
        <f>COUNTIFS('تجربه‌گرها'!$B:$B,$A399,'تجربه‌گرها'!$F:$F,P$1)</f>
        <v>0</v>
      </c>
      <c r="Q399" s="242">
        <f>COUNTIFS('تجربه‌گرها'!$B:$B,$A399,'تجربه‌گرها'!$F:$F,Q$1)</f>
        <v>0</v>
      </c>
      <c r="R399" s="242">
        <f>COUNTIFS('تجربه‌گرها'!$B:$B,$A399,'تجربه‌گرها'!$F:$F,R$1)</f>
        <v>0</v>
      </c>
      <c r="S399" s="242">
        <f>COUNTIFS('تجربه‌گرها'!$B:$B,$A399,'تجربه‌گرها'!$F:$F,S$1)</f>
        <v>0</v>
      </c>
      <c r="T399" s="242">
        <f>COUNTIFS('تجربه‌گرها'!$B:$B,$A399,'تجربه‌گرها'!$F:$F,T$1)</f>
        <v>0</v>
      </c>
      <c r="U399" s="242"/>
      <c r="V399" s="242"/>
      <c r="W399" s="242"/>
      <c r="X399" s="242"/>
      <c r="Y399" s="242"/>
      <c r="Z399" s="242"/>
      <c r="AA399" s="242"/>
      <c r="AB399" s="242"/>
    </row>
    <row r="400" hidden="1">
      <c r="A400" s="244" t="s">
        <v>2842</v>
      </c>
      <c r="B400" s="245" t="str">
        <f>VLOOKUP(A400,'تجربه‌گرها'!B:C,2,FALSE())</f>
        <v>9118784667</v>
      </c>
      <c r="C400" s="242"/>
      <c r="D400" s="242">
        <f t="shared" si="1"/>
        <v>1</v>
      </c>
      <c r="E400" s="242">
        <f>COUNTIFS('تجربه‌گرها'!$B:$B,$A400,'تجربه‌گرها'!$F:$F,E$1)</f>
        <v>0</v>
      </c>
      <c r="F400" s="242">
        <f>COUNTIFS('تجربه‌گرها'!$B:$B,$A400,'تجربه‌گرها'!$F:$F,F$1)</f>
        <v>0</v>
      </c>
      <c r="G400" s="242">
        <f>COUNTIFS('تجربه‌گرها'!$B:$B,$A400,'تجربه‌گرها'!$F:$F,G$1)</f>
        <v>1</v>
      </c>
      <c r="H400" s="242">
        <f>COUNTIFS('تجربه‌گرها'!$B:$B,$A400,'تجربه‌گرها'!$F:$F,H$1)</f>
        <v>0</v>
      </c>
      <c r="I400" s="242">
        <f>COUNTIFS('تجربه‌گرها'!$B:$B,$A400,'تجربه‌گرها'!$F:$F,I$1)</f>
        <v>0</v>
      </c>
      <c r="J400" s="242">
        <f>COUNTIFS('تجربه‌گرها'!$B:$B,$A400,'تجربه‌گرها'!$F:$F,J$1)</f>
        <v>0</v>
      </c>
      <c r="K400" s="242">
        <f>COUNTIFS('تجربه‌گرها'!$B:$B,$A400,'تجربه‌گرها'!$F:$F,K$1)</f>
        <v>0</v>
      </c>
      <c r="L400" s="242">
        <f>COUNTIFS('تجربه‌گرها'!$B:$B,$A400,'تجربه‌گرها'!$F:$F,L$1)</f>
        <v>0</v>
      </c>
      <c r="M400" s="242">
        <f>COUNTIFS('تجربه‌گرها'!$B:$B,$A400,'تجربه‌گرها'!$F:$F,M$1)</f>
        <v>0</v>
      </c>
      <c r="N400" s="242">
        <f>COUNTIFS('تجربه‌گرها'!$B:$B,$A400,'تجربه‌گرها'!$F:$F,N$1)</f>
        <v>0</v>
      </c>
      <c r="O400" s="242">
        <f>COUNTIFS('تجربه‌گرها'!$B:$B,$A400,'تجربه‌گرها'!$F:$F,O$1)</f>
        <v>0</v>
      </c>
      <c r="P400" s="242">
        <f>COUNTIFS('تجربه‌گرها'!$B:$B,$A400,'تجربه‌گرها'!$F:$F,P$1)</f>
        <v>0</v>
      </c>
      <c r="Q400" s="242">
        <f>COUNTIFS('تجربه‌گرها'!$B:$B,$A400,'تجربه‌گرها'!$F:$F,Q$1)</f>
        <v>0</v>
      </c>
      <c r="R400" s="242">
        <f>COUNTIFS('تجربه‌گرها'!$B:$B,$A400,'تجربه‌گرها'!$F:$F,R$1)</f>
        <v>0</v>
      </c>
      <c r="S400" s="242">
        <f>COUNTIFS('تجربه‌گرها'!$B:$B,$A400,'تجربه‌گرها'!$F:$F,S$1)</f>
        <v>0</v>
      </c>
      <c r="T400" s="242">
        <f>COUNTIFS('تجربه‌گرها'!$B:$B,$A400,'تجربه‌گرها'!$F:$F,T$1)</f>
        <v>0</v>
      </c>
      <c r="U400" s="242"/>
      <c r="V400" s="242"/>
      <c r="W400" s="242"/>
      <c r="X400" s="242"/>
      <c r="Y400" s="242"/>
      <c r="Z400" s="242"/>
      <c r="AA400" s="242"/>
      <c r="AB400" s="242"/>
    </row>
    <row r="401" hidden="1">
      <c r="A401" s="244" t="s">
        <v>2848</v>
      </c>
      <c r="B401" s="245" t="str">
        <f>VLOOKUP(A401,'تجربه‌گرها'!B:C,2,FALSE())</f>
        <v>9128027859</v>
      </c>
      <c r="C401" s="242"/>
      <c r="D401" s="242">
        <f t="shared" si="1"/>
        <v>1</v>
      </c>
      <c r="E401" s="242">
        <f>COUNTIFS('تجربه‌گرها'!$B:$B,$A401,'تجربه‌گرها'!$F:$F,E$1)</f>
        <v>0</v>
      </c>
      <c r="F401" s="242">
        <f>COUNTIFS('تجربه‌گرها'!$B:$B,$A401,'تجربه‌گرها'!$F:$F,F$1)</f>
        <v>0</v>
      </c>
      <c r="G401" s="242">
        <f>COUNTIFS('تجربه‌گرها'!$B:$B,$A401,'تجربه‌گرها'!$F:$F,G$1)</f>
        <v>1</v>
      </c>
      <c r="H401" s="242">
        <f>COUNTIFS('تجربه‌گرها'!$B:$B,$A401,'تجربه‌گرها'!$F:$F,H$1)</f>
        <v>0</v>
      </c>
      <c r="I401" s="242">
        <f>COUNTIFS('تجربه‌گرها'!$B:$B,$A401,'تجربه‌گرها'!$F:$F,I$1)</f>
        <v>0</v>
      </c>
      <c r="J401" s="242">
        <f>COUNTIFS('تجربه‌گرها'!$B:$B,$A401,'تجربه‌گرها'!$F:$F,J$1)</f>
        <v>0</v>
      </c>
      <c r="K401" s="242">
        <f>COUNTIFS('تجربه‌گرها'!$B:$B,$A401,'تجربه‌گرها'!$F:$F,K$1)</f>
        <v>0</v>
      </c>
      <c r="L401" s="242">
        <f>COUNTIFS('تجربه‌گرها'!$B:$B,$A401,'تجربه‌گرها'!$F:$F,L$1)</f>
        <v>0</v>
      </c>
      <c r="M401" s="242">
        <f>COUNTIFS('تجربه‌گرها'!$B:$B,$A401,'تجربه‌گرها'!$F:$F,M$1)</f>
        <v>0</v>
      </c>
      <c r="N401" s="242">
        <f>COUNTIFS('تجربه‌گرها'!$B:$B,$A401,'تجربه‌گرها'!$F:$F,N$1)</f>
        <v>0</v>
      </c>
      <c r="O401" s="242">
        <f>COUNTIFS('تجربه‌گرها'!$B:$B,$A401,'تجربه‌گرها'!$F:$F,O$1)</f>
        <v>0</v>
      </c>
      <c r="P401" s="242">
        <f>COUNTIFS('تجربه‌گرها'!$B:$B,$A401,'تجربه‌گرها'!$F:$F,P$1)</f>
        <v>0</v>
      </c>
      <c r="Q401" s="242">
        <f>COUNTIFS('تجربه‌گرها'!$B:$B,$A401,'تجربه‌گرها'!$F:$F,Q$1)</f>
        <v>0</v>
      </c>
      <c r="R401" s="242">
        <f>COUNTIFS('تجربه‌گرها'!$B:$B,$A401,'تجربه‌گرها'!$F:$F,R$1)</f>
        <v>0</v>
      </c>
      <c r="S401" s="242">
        <f>COUNTIFS('تجربه‌گرها'!$B:$B,$A401,'تجربه‌گرها'!$F:$F,S$1)</f>
        <v>0</v>
      </c>
      <c r="T401" s="242">
        <f>COUNTIFS('تجربه‌گرها'!$B:$B,$A401,'تجربه‌گرها'!$F:$F,T$1)</f>
        <v>0</v>
      </c>
      <c r="U401" s="242"/>
      <c r="V401" s="242"/>
      <c r="W401" s="242"/>
      <c r="X401" s="242"/>
      <c r="Y401" s="242"/>
      <c r="Z401" s="242"/>
      <c r="AA401" s="242"/>
      <c r="AB401" s="242"/>
    </row>
    <row r="402" hidden="1">
      <c r="A402" s="244" t="s">
        <v>2853</v>
      </c>
      <c r="B402" s="245" t="str">
        <f>VLOOKUP(A402,'تجربه‌گرها'!B:C,2,FALSE())</f>
        <v>9360487799</v>
      </c>
      <c r="C402" s="242"/>
      <c r="D402" s="242">
        <f t="shared" si="1"/>
        <v>1</v>
      </c>
      <c r="E402" s="242">
        <f>COUNTIFS('تجربه‌گرها'!$B:$B,$A402,'تجربه‌گرها'!$F:$F,E$1)</f>
        <v>0</v>
      </c>
      <c r="F402" s="242">
        <f>COUNTIFS('تجربه‌گرها'!$B:$B,$A402,'تجربه‌گرها'!$F:$F,F$1)</f>
        <v>0</v>
      </c>
      <c r="G402" s="242">
        <f>COUNTIFS('تجربه‌گرها'!$B:$B,$A402,'تجربه‌گرها'!$F:$F,G$1)</f>
        <v>1</v>
      </c>
      <c r="H402" s="242">
        <f>COUNTIFS('تجربه‌گرها'!$B:$B,$A402,'تجربه‌گرها'!$F:$F,H$1)</f>
        <v>0</v>
      </c>
      <c r="I402" s="242">
        <f>COUNTIFS('تجربه‌گرها'!$B:$B,$A402,'تجربه‌گرها'!$F:$F,I$1)</f>
        <v>0</v>
      </c>
      <c r="J402" s="242">
        <f>COUNTIFS('تجربه‌گرها'!$B:$B,$A402,'تجربه‌گرها'!$F:$F,J$1)</f>
        <v>0</v>
      </c>
      <c r="K402" s="242">
        <f>COUNTIFS('تجربه‌گرها'!$B:$B,$A402,'تجربه‌گرها'!$F:$F,K$1)</f>
        <v>0</v>
      </c>
      <c r="L402" s="242">
        <f>COUNTIFS('تجربه‌گرها'!$B:$B,$A402,'تجربه‌گرها'!$F:$F,L$1)</f>
        <v>0</v>
      </c>
      <c r="M402" s="242">
        <f>COUNTIFS('تجربه‌گرها'!$B:$B,$A402,'تجربه‌گرها'!$F:$F,M$1)</f>
        <v>0</v>
      </c>
      <c r="N402" s="242">
        <f>COUNTIFS('تجربه‌گرها'!$B:$B,$A402,'تجربه‌گرها'!$F:$F,N$1)</f>
        <v>0</v>
      </c>
      <c r="O402" s="242">
        <f>COUNTIFS('تجربه‌گرها'!$B:$B,$A402,'تجربه‌گرها'!$F:$F,O$1)</f>
        <v>0</v>
      </c>
      <c r="P402" s="242">
        <f>COUNTIFS('تجربه‌گرها'!$B:$B,$A402,'تجربه‌گرها'!$F:$F,P$1)</f>
        <v>0</v>
      </c>
      <c r="Q402" s="242">
        <f>COUNTIFS('تجربه‌گرها'!$B:$B,$A402,'تجربه‌گرها'!$F:$F,Q$1)</f>
        <v>0</v>
      </c>
      <c r="R402" s="242">
        <f>COUNTIFS('تجربه‌گرها'!$B:$B,$A402,'تجربه‌گرها'!$F:$F,R$1)</f>
        <v>0</v>
      </c>
      <c r="S402" s="242">
        <f>COUNTIFS('تجربه‌گرها'!$B:$B,$A402,'تجربه‌گرها'!$F:$F,S$1)</f>
        <v>0</v>
      </c>
      <c r="T402" s="242">
        <f>COUNTIFS('تجربه‌گرها'!$B:$B,$A402,'تجربه‌گرها'!$F:$F,T$1)</f>
        <v>0</v>
      </c>
      <c r="U402" s="242"/>
      <c r="V402" s="242"/>
      <c r="W402" s="242"/>
      <c r="X402" s="242"/>
      <c r="Y402" s="242"/>
      <c r="Z402" s="242"/>
      <c r="AA402" s="242"/>
      <c r="AB402" s="242"/>
    </row>
    <row r="403" hidden="1">
      <c r="A403" s="244" t="s">
        <v>2858</v>
      </c>
      <c r="B403" s="245" t="str">
        <f>VLOOKUP(A403,'تجربه‌گرها'!B:C,2,FALSE())</f>
        <v>9122250704</v>
      </c>
      <c r="C403" s="242"/>
      <c r="D403" s="242">
        <f t="shared" si="1"/>
        <v>3</v>
      </c>
      <c r="E403" s="242">
        <f>COUNTIFS('تجربه‌گرها'!$B:$B,$A403,'تجربه‌گرها'!$F:$F,E$1)</f>
        <v>0</v>
      </c>
      <c r="F403" s="242">
        <f>COUNTIFS('تجربه‌گرها'!$B:$B,$A403,'تجربه‌گرها'!$F:$F,F$1)</f>
        <v>0</v>
      </c>
      <c r="G403" s="242">
        <f>COUNTIFS('تجربه‌گرها'!$B:$B,$A403,'تجربه‌گرها'!$F:$F,G$1)</f>
        <v>1</v>
      </c>
      <c r="H403" s="242">
        <f>COUNTIFS('تجربه‌گرها'!$B:$B,$A403,'تجربه‌گرها'!$F:$F,H$1)</f>
        <v>1</v>
      </c>
      <c r="I403" s="242">
        <f>COUNTIFS('تجربه‌گرها'!$B:$B,$A403,'تجربه‌گرها'!$F:$F,I$1)</f>
        <v>0</v>
      </c>
      <c r="J403" s="242">
        <f>COUNTIFS('تجربه‌گرها'!$B:$B,$A403,'تجربه‌گرها'!$F:$F,J$1)</f>
        <v>0</v>
      </c>
      <c r="K403" s="242">
        <f>COUNTIFS('تجربه‌گرها'!$B:$B,$A403,'تجربه‌گرها'!$F:$F,K$1)</f>
        <v>0</v>
      </c>
      <c r="L403" s="242">
        <f>COUNTIFS('تجربه‌گرها'!$B:$B,$A403,'تجربه‌گرها'!$F:$F,L$1)</f>
        <v>0</v>
      </c>
      <c r="M403" s="242">
        <f>COUNTIFS('تجربه‌گرها'!$B:$B,$A403,'تجربه‌گرها'!$F:$F,M$1)</f>
        <v>0</v>
      </c>
      <c r="N403" s="242">
        <f>COUNTIFS('تجربه‌گرها'!$B:$B,$A403,'تجربه‌گرها'!$F:$F,N$1)</f>
        <v>0</v>
      </c>
      <c r="O403" s="242">
        <f>COUNTIFS('تجربه‌گرها'!$B:$B,$A403,'تجربه‌گرها'!$F:$F,O$1)</f>
        <v>1</v>
      </c>
      <c r="P403" s="242">
        <f>COUNTIFS('تجربه‌گرها'!$B:$B,$A403,'تجربه‌گرها'!$F:$F,P$1)</f>
        <v>0</v>
      </c>
      <c r="Q403" s="242">
        <f>COUNTIFS('تجربه‌گرها'!$B:$B,$A403,'تجربه‌گرها'!$F:$F,Q$1)</f>
        <v>0</v>
      </c>
      <c r="R403" s="242">
        <f>COUNTIFS('تجربه‌گرها'!$B:$B,$A403,'تجربه‌گرها'!$F:$F,R$1)</f>
        <v>0</v>
      </c>
      <c r="S403" s="242">
        <f>COUNTIFS('تجربه‌گرها'!$B:$B,$A403,'تجربه‌گرها'!$F:$F,S$1)</f>
        <v>0</v>
      </c>
      <c r="T403" s="242">
        <f>COUNTIFS('تجربه‌گرها'!$B:$B,$A403,'تجربه‌گرها'!$F:$F,T$1)</f>
        <v>0</v>
      </c>
      <c r="U403" s="242"/>
      <c r="V403" s="242"/>
      <c r="W403" s="242"/>
      <c r="X403" s="242"/>
      <c r="Y403" s="242"/>
      <c r="Z403" s="242"/>
      <c r="AA403" s="242"/>
      <c r="AB403" s="242"/>
    </row>
    <row r="404" hidden="1">
      <c r="A404" s="244" t="s">
        <v>2864</v>
      </c>
      <c r="B404" s="245" t="str">
        <f>VLOOKUP(A404,'تجربه‌گرها'!B:C,2,FALSE())</f>
        <v>9121018151</v>
      </c>
      <c r="C404" s="242"/>
      <c r="D404" s="242">
        <f t="shared" si="1"/>
        <v>1</v>
      </c>
      <c r="E404" s="242">
        <f>COUNTIFS('تجربه‌گرها'!$B:$B,$A404,'تجربه‌گرها'!$F:$F,E$1)</f>
        <v>0</v>
      </c>
      <c r="F404" s="242">
        <f>COUNTIFS('تجربه‌گرها'!$B:$B,$A404,'تجربه‌گرها'!$F:$F,F$1)</f>
        <v>0</v>
      </c>
      <c r="G404" s="242">
        <f>COUNTIFS('تجربه‌گرها'!$B:$B,$A404,'تجربه‌گرها'!$F:$F,G$1)</f>
        <v>1</v>
      </c>
      <c r="H404" s="242">
        <f>COUNTIFS('تجربه‌گرها'!$B:$B,$A404,'تجربه‌گرها'!$F:$F,H$1)</f>
        <v>0</v>
      </c>
      <c r="I404" s="242">
        <f>COUNTIFS('تجربه‌گرها'!$B:$B,$A404,'تجربه‌گرها'!$F:$F,I$1)</f>
        <v>0</v>
      </c>
      <c r="J404" s="242">
        <f>COUNTIFS('تجربه‌گرها'!$B:$B,$A404,'تجربه‌گرها'!$F:$F,J$1)</f>
        <v>0</v>
      </c>
      <c r="K404" s="242">
        <f>COUNTIFS('تجربه‌گرها'!$B:$B,$A404,'تجربه‌گرها'!$F:$F,K$1)</f>
        <v>0</v>
      </c>
      <c r="L404" s="242">
        <f>COUNTIFS('تجربه‌گرها'!$B:$B,$A404,'تجربه‌گرها'!$F:$F,L$1)</f>
        <v>0</v>
      </c>
      <c r="M404" s="242">
        <f>COUNTIFS('تجربه‌گرها'!$B:$B,$A404,'تجربه‌گرها'!$F:$F,M$1)</f>
        <v>0</v>
      </c>
      <c r="N404" s="242">
        <f>COUNTIFS('تجربه‌گرها'!$B:$B,$A404,'تجربه‌گرها'!$F:$F,N$1)</f>
        <v>0</v>
      </c>
      <c r="O404" s="242">
        <f>COUNTIFS('تجربه‌گرها'!$B:$B,$A404,'تجربه‌گرها'!$F:$F,O$1)</f>
        <v>0</v>
      </c>
      <c r="P404" s="242">
        <f>COUNTIFS('تجربه‌گرها'!$B:$B,$A404,'تجربه‌گرها'!$F:$F,P$1)</f>
        <v>0</v>
      </c>
      <c r="Q404" s="242">
        <f>COUNTIFS('تجربه‌گرها'!$B:$B,$A404,'تجربه‌گرها'!$F:$F,Q$1)</f>
        <v>0</v>
      </c>
      <c r="R404" s="242">
        <f>COUNTIFS('تجربه‌گرها'!$B:$B,$A404,'تجربه‌گرها'!$F:$F,R$1)</f>
        <v>0</v>
      </c>
      <c r="S404" s="242">
        <f>COUNTIFS('تجربه‌گرها'!$B:$B,$A404,'تجربه‌گرها'!$F:$F,S$1)</f>
        <v>0</v>
      </c>
      <c r="T404" s="242">
        <f>COUNTIFS('تجربه‌گرها'!$B:$B,$A404,'تجربه‌گرها'!$F:$F,T$1)</f>
        <v>0</v>
      </c>
      <c r="U404" s="242"/>
      <c r="V404" s="242"/>
      <c r="W404" s="242"/>
      <c r="X404" s="242"/>
      <c r="Y404" s="242"/>
      <c r="Z404" s="242"/>
      <c r="AA404" s="242"/>
      <c r="AB404" s="242"/>
    </row>
    <row r="405" hidden="1">
      <c r="A405" s="244" t="s">
        <v>2869</v>
      </c>
      <c r="B405" s="245" t="str">
        <f>VLOOKUP(A405,'تجربه‌گرها'!B:C,2,FALSE())</f>
        <v>9123265287</v>
      </c>
      <c r="C405" s="242"/>
      <c r="D405" s="242">
        <f t="shared" si="1"/>
        <v>1</v>
      </c>
      <c r="E405" s="242">
        <f>COUNTIFS('تجربه‌گرها'!$B:$B,$A405,'تجربه‌گرها'!$F:$F,E$1)</f>
        <v>0</v>
      </c>
      <c r="F405" s="242">
        <f>COUNTIFS('تجربه‌گرها'!$B:$B,$A405,'تجربه‌گرها'!$F:$F,F$1)</f>
        <v>0</v>
      </c>
      <c r="G405" s="242">
        <f>COUNTIFS('تجربه‌گرها'!$B:$B,$A405,'تجربه‌گرها'!$F:$F,G$1)</f>
        <v>1</v>
      </c>
      <c r="H405" s="242">
        <f>COUNTIFS('تجربه‌گرها'!$B:$B,$A405,'تجربه‌گرها'!$F:$F,H$1)</f>
        <v>0</v>
      </c>
      <c r="I405" s="242">
        <f>COUNTIFS('تجربه‌گرها'!$B:$B,$A405,'تجربه‌گرها'!$F:$F,I$1)</f>
        <v>0</v>
      </c>
      <c r="J405" s="242">
        <f>COUNTIFS('تجربه‌گرها'!$B:$B,$A405,'تجربه‌گرها'!$F:$F,J$1)</f>
        <v>0</v>
      </c>
      <c r="K405" s="242">
        <f>COUNTIFS('تجربه‌گرها'!$B:$B,$A405,'تجربه‌گرها'!$F:$F,K$1)</f>
        <v>0</v>
      </c>
      <c r="L405" s="242">
        <f>COUNTIFS('تجربه‌گرها'!$B:$B,$A405,'تجربه‌گرها'!$F:$F,L$1)</f>
        <v>0</v>
      </c>
      <c r="M405" s="242">
        <f>COUNTIFS('تجربه‌گرها'!$B:$B,$A405,'تجربه‌گرها'!$F:$F,M$1)</f>
        <v>0</v>
      </c>
      <c r="N405" s="242">
        <f>COUNTIFS('تجربه‌گرها'!$B:$B,$A405,'تجربه‌گرها'!$F:$F,N$1)</f>
        <v>0</v>
      </c>
      <c r="O405" s="242">
        <f>COUNTIFS('تجربه‌گرها'!$B:$B,$A405,'تجربه‌گرها'!$F:$F,O$1)</f>
        <v>0</v>
      </c>
      <c r="P405" s="242">
        <f>COUNTIFS('تجربه‌گرها'!$B:$B,$A405,'تجربه‌گرها'!$F:$F,P$1)</f>
        <v>0</v>
      </c>
      <c r="Q405" s="242">
        <f>COUNTIFS('تجربه‌گرها'!$B:$B,$A405,'تجربه‌گرها'!$F:$F,Q$1)</f>
        <v>0</v>
      </c>
      <c r="R405" s="242">
        <f>COUNTIFS('تجربه‌گرها'!$B:$B,$A405,'تجربه‌گرها'!$F:$F,R$1)</f>
        <v>0</v>
      </c>
      <c r="S405" s="242">
        <f>COUNTIFS('تجربه‌گرها'!$B:$B,$A405,'تجربه‌گرها'!$F:$F,S$1)</f>
        <v>0</v>
      </c>
      <c r="T405" s="242">
        <f>COUNTIFS('تجربه‌گرها'!$B:$B,$A405,'تجربه‌گرها'!$F:$F,T$1)</f>
        <v>0</v>
      </c>
      <c r="U405" s="242"/>
      <c r="V405" s="242"/>
      <c r="W405" s="242"/>
      <c r="X405" s="242"/>
      <c r="Y405" s="242"/>
      <c r="Z405" s="242"/>
      <c r="AA405" s="242"/>
      <c r="AB405" s="242"/>
    </row>
    <row r="406">
      <c r="A406" s="244" t="s">
        <v>2874</v>
      </c>
      <c r="B406" s="245" t="str">
        <f>VLOOKUP(A406,'تجربه‌گرها'!B:C,2,FALSE())</f>
        <v>9123836460</v>
      </c>
      <c r="C406" s="242"/>
      <c r="D406" s="242">
        <f t="shared" si="1"/>
        <v>1</v>
      </c>
      <c r="E406" s="242">
        <f>COUNTIFS('تجربه‌گرها'!$B:$B,$A406,'تجربه‌گرها'!$F:$F,E$1)</f>
        <v>0</v>
      </c>
      <c r="F406" s="242">
        <f>COUNTIFS('تجربه‌گرها'!$B:$B,$A406,'تجربه‌گرها'!$F:$F,F$1)</f>
        <v>0</v>
      </c>
      <c r="G406" s="242">
        <f>COUNTIFS('تجربه‌گرها'!$B:$B,$A406,'تجربه‌گرها'!$F:$F,G$1)</f>
        <v>1</v>
      </c>
      <c r="H406" s="242">
        <f>COUNTIFS('تجربه‌گرها'!$B:$B,$A406,'تجربه‌گرها'!$F:$F,H$1)</f>
        <v>0</v>
      </c>
      <c r="I406" s="242">
        <f>COUNTIFS('تجربه‌گرها'!$B:$B,$A406,'تجربه‌گرها'!$F:$F,I$1)</f>
        <v>0</v>
      </c>
      <c r="J406" s="242">
        <f>COUNTIFS('تجربه‌گرها'!$B:$B,$A406,'تجربه‌گرها'!$F:$F,J$1)</f>
        <v>0</v>
      </c>
      <c r="K406" s="242">
        <f>COUNTIFS('تجربه‌گرها'!$B:$B,$A406,'تجربه‌گرها'!$F:$F,K$1)</f>
        <v>0</v>
      </c>
      <c r="L406" s="242">
        <f>COUNTIFS('تجربه‌گرها'!$B:$B,$A406,'تجربه‌گرها'!$F:$F,L$1)</f>
        <v>0</v>
      </c>
      <c r="M406" s="242">
        <f>COUNTIFS('تجربه‌گرها'!$B:$B,$A406,'تجربه‌گرها'!$F:$F,M$1)</f>
        <v>0</v>
      </c>
      <c r="N406" s="242">
        <f>COUNTIFS('تجربه‌گرها'!$B:$B,$A406,'تجربه‌گرها'!$F:$F,N$1)</f>
        <v>0</v>
      </c>
      <c r="O406" s="242">
        <f>COUNTIFS('تجربه‌گرها'!$B:$B,$A406,'تجربه‌گرها'!$F:$F,O$1)</f>
        <v>0</v>
      </c>
      <c r="P406" s="242">
        <f>COUNTIFS('تجربه‌گرها'!$B:$B,$A406,'تجربه‌گرها'!$F:$F,P$1)</f>
        <v>0</v>
      </c>
      <c r="Q406" s="242">
        <f>COUNTIFS('تجربه‌گرها'!$B:$B,$A406,'تجربه‌گرها'!$F:$F,Q$1)</f>
        <v>0</v>
      </c>
      <c r="R406" s="242">
        <f>COUNTIFS('تجربه‌گرها'!$B:$B,$A406,'تجربه‌گرها'!$F:$F,R$1)</f>
        <v>0</v>
      </c>
      <c r="S406" s="242">
        <f>COUNTIFS('تجربه‌گرها'!$B:$B,$A406,'تجربه‌گرها'!$F:$F,S$1)</f>
        <v>0</v>
      </c>
      <c r="T406" s="242">
        <f>COUNTIFS('تجربه‌گرها'!$B:$B,$A406,'تجربه‌گرها'!$F:$F,T$1)</f>
        <v>0</v>
      </c>
      <c r="U406" s="242"/>
      <c r="V406" s="242"/>
      <c r="W406" s="242"/>
      <c r="X406" s="242"/>
      <c r="Y406" s="242"/>
      <c r="Z406" s="242"/>
      <c r="AA406" s="242"/>
      <c r="AB406" s="242"/>
    </row>
    <row r="407" hidden="1">
      <c r="A407" s="244" t="s">
        <v>2879</v>
      </c>
      <c r="B407" s="245" t="str">
        <f>VLOOKUP(A407,'تجربه‌گرها'!B:C,2,FALSE())</f>
        <v>9204712421</v>
      </c>
      <c r="C407" s="242"/>
      <c r="D407" s="242">
        <f t="shared" si="1"/>
        <v>1</v>
      </c>
      <c r="E407" s="242">
        <f>COUNTIFS('تجربه‌گرها'!$B:$B,$A407,'تجربه‌گرها'!$F:$F,E$1)</f>
        <v>0</v>
      </c>
      <c r="F407" s="242">
        <f>COUNTIFS('تجربه‌گرها'!$B:$B,$A407,'تجربه‌گرها'!$F:$F,F$1)</f>
        <v>0</v>
      </c>
      <c r="G407" s="242">
        <f>COUNTIFS('تجربه‌گرها'!$B:$B,$A407,'تجربه‌گرها'!$F:$F,G$1)</f>
        <v>1</v>
      </c>
      <c r="H407" s="242">
        <f>COUNTIFS('تجربه‌گرها'!$B:$B,$A407,'تجربه‌گرها'!$F:$F,H$1)</f>
        <v>0</v>
      </c>
      <c r="I407" s="242">
        <f>COUNTIFS('تجربه‌گرها'!$B:$B,$A407,'تجربه‌گرها'!$F:$F,I$1)</f>
        <v>0</v>
      </c>
      <c r="J407" s="242">
        <f>COUNTIFS('تجربه‌گرها'!$B:$B,$A407,'تجربه‌گرها'!$F:$F,J$1)</f>
        <v>0</v>
      </c>
      <c r="K407" s="242">
        <f>COUNTIFS('تجربه‌گرها'!$B:$B,$A407,'تجربه‌گرها'!$F:$F,K$1)</f>
        <v>0</v>
      </c>
      <c r="L407" s="242">
        <f>COUNTIFS('تجربه‌گرها'!$B:$B,$A407,'تجربه‌گرها'!$F:$F,L$1)</f>
        <v>0</v>
      </c>
      <c r="M407" s="242">
        <f>COUNTIFS('تجربه‌گرها'!$B:$B,$A407,'تجربه‌گرها'!$F:$F,M$1)</f>
        <v>0</v>
      </c>
      <c r="N407" s="242">
        <f>COUNTIFS('تجربه‌گرها'!$B:$B,$A407,'تجربه‌گرها'!$F:$F,N$1)</f>
        <v>0</v>
      </c>
      <c r="O407" s="242">
        <f>COUNTIFS('تجربه‌گرها'!$B:$B,$A407,'تجربه‌گرها'!$F:$F,O$1)</f>
        <v>0</v>
      </c>
      <c r="P407" s="242">
        <f>COUNTIFS('تجربه‌گرها'!$B:$B,$A407,'تجربه‌گرها'!$F:$F,P$1)</f>
        <v>0</v>
      </c>
      <c r="Q407" s="242">
        <f>COUNTIFS('تجربه‌گرها'!$B:$B,$A407,'تجربه‌گرها'!$F:$F,Q$1)</f>
        <v>0</v>
      </c>
      <c r="R407" s="242">
        <f>COUNTIFS('تجربه‌گرها'!$B:$B,$A407,'تجربه‌گرها'!$F:$F,R$1)</f>
        <v>0</v>
      </c>
      <c r="S407" s="242">
        <f>COUNTIFS('تجربه‌گرها'!$B:$B,$A407,'تجربه‌گرها'!$F:$F,S$1)</f>
        <v>0</v>
      </c>
      <c r="T407" s="242">
        <f>COUNTIFS('تجربه‌گرها'!$B:$B,$A407,'تجربه‌گرها'!$F:$F,T$1)</f>
        <v>0</v>
      </c>
      <c r="U407" s="242"/>
      <c r="V407" s="242"/>
      <c r="W407" s="242"/>
      <c r="X407" s="242"/>
      <c r="Y407" s="242"/>
      <c r="Z407" s="242"/>
      <c r="AA407" s="242"/>
      <c r="AB407" s="242"/>
    </row>
    <row r="408" hidden="1">
      <c r="A408" s="244" t="s">
        <v>2884</v>
      </c>
      <c r="B408" s="245" t="str">
        <f>VLOOKUP(A408,'تجربه‌گرها'!B:C,2,FALSE())</f>
        <v>9354575485</v>
      </c>
      <c r="C408" s="242"/>
      <c r="D408" s="242">
        <f t="shared" si="1"/>
        <v>1</v>
      </c>
      <c r="E408" s="242">
        <f>COUNTIFS('تجربه‌گرها'!$B:$B,$A408,'تجربه‌گرها'!$F:$F,E$1)</f>
        <v>0</v>
      </c>
      <c r="F408" s="242">
        <f>COUNTIFS('تجربه‌گرها'!$B:$B,$A408,'تجربه‌گرها'!$F:$F,F$1)</f>
        <v>0</v>
      </c>
      <c r="G408" s="242">
        <f>COUNTIFS('تجربه‌گرها'!$B:$B,$A408,'تجربه‌گرها'!$F:$F,G$1)</f>
        <v>1</v>
      </c>
      <c r="H408" s="242">
        <f>COUNTIFS('تجربه‌گرها'!$B:$B,$A408,'تجربه‌گرها'!$F:$F,H$1)</f>
        <v>0</v>
      </c>
      <c r="I408" s="242">
        <f>COUNTIFS('تجربه‌گرها'!$B:$B,$A408,'تجربه‌گرها'!$F:$F,I$1)</f>
        <v>0</v>
      </c>
      <c r="J408" s="242">
        <f>COUNTIFS('تجربه‌گرها'!$B:$B,$A408,'تجربه‌گرها'!$F:$F,J$1)</f>
        <v>0</v>
      </c>
      <c r="K408" s="242">
        <f>COUNTIFS('تجربه‌گرها'!$B:$B,$A408,'تجربه‌گرها'!$F:$F,K$1)</f>
        <v>0</v>
      </c>
      <c r="L408" s="242">
        <f>COUNTIFS('تجربه‌گرها'!$B:$B,$A408,'تجربه‌گرها'!$F:$F,L$1)</f>
        <v>0</v>
      </c>
      <c r="M408" s="242">
        <f>COUNTIFS('تجربه‌گرها'!$B:$B,$A408,'تجربه‌گرها'!$F:$F,M$1)</f>
        <v>0</v>
      </c>
      <c r="N408" s="242">
        <f>COUNTIFS('تجربه‌گرها'!$B:$B,$A408,'تجربه‌گرها'!$F:$F,N$1)</f>
        <v>0</v>
      </c>
      <c r="O408" s="242">
        <f>COUNTIFS('تجربه‌گرها'!$B:$B,$A408,'تجربه‌گرها'!$F:$F,O$1)</f>
        <v>0</v>
      </c>
      <c r="P408" s="242">
        <f>COUNTIFS('تجربه‌گرها'!$B:$B,$A408,'تجربه‌گرها'!$F:$F,P$1)</f>
        <v>0</v>
      </c>
      <c r="Q408" s="242">
        <f>COUNTIFS('تجربه‌گرها'!$B:$B,$A408,'تجربه‌گرها'!$F:$F,Q$1)</f>
        <v>0</v>
      </c>
      <c r="R408" s="242">
        <f>COUNTIFS('تجربه‌گرها'!$B:$B,$A408,'تجربه‌گرها'!$F:$F,R$1)</f>
        <v>0</v>
      </c>
      <c r="S408" s="242">
        <f>COUNTIFS('تجربه‌گرها'!$B:$B,$A408,'تجربه‌گرها'!$F:$F,S$1)</f>
        <v>0</v>
      </c>
      <c r="T408" s="242">
        <f>COUNTIFS('تجربه‌گرها'!$B:$B,$A408,'تجربه‌گرها'!$F:$F,T$1)</f>
        <v>0</v>
      </c>
      <c r="U408" s="242"/>
      <c r="V408" s="242"/>
      <c r="W408" s="242"/>
      <c r="X408" s="242"/>
      <c r="Y408" s="242"/>
      <c r="Z408" s="242"/>
      <c r="AA408" s="242"/>
      <c r="AB408" s="242"/>
    </row>
    <row r="409" hidden="1">
      <c r="A409" s="244" t="s">
        <v>2888</v>
      </c>
      <c r="B409" s="245" t="str">
        <f>VLOOKUP(A409,'تجربه‌گرها'!B:C,2,FALSE())</f>
        <v>9126804620</v>
      </c>
      <c r="C409" s="242"/>
      <c r="D409" s="242">
        <f t="shared" si="1"/>
        <v>2</v>
      </c>
      <c r="E409" s="242">
        <f>COUNTIFS('تجربه‌گرها'!$B:$B,$A409,'تجربه‌گرها'!$F:$F,E$1)</f>
        <v>0</v>
      </c>
      <c r="F409" s="242">
        <f>COUNTIFS('تجربه‌گرها'!$B:$B,$A409,'تجربه‌گرها'!$F:$F,F$1)</f>
        <v>0</v>
      </c>
      <c r="G409" s="242">
        <f>COUNTIFS('تجربه‌گرها'!$B:$B,$A409,'تجربه‌گرها'!$F:$F,G$1)</f>
        <v>2</v>
      </c>
      <c r="H409" s="242">
        <f>COUNTIFS('تجربه‌گرها'!$B:$B,$A409,'تجربه‌گرها'!$F:$F,H$1)</f>
        <v>0</v>
      </c>
      <c r="I409" s="242">
        <f>COUNTIFS('تجربه‌گرها'!$B:$B,$A409,'تجربه‌گرها'!$F:$F,I$1)</f>
        <v>0</v>
      </c>
      <c r="J409" s="242">
        <f>COUNTIFS('تجربه‌گرها'!$B:$B,$A409,'تجربه‌گرها'!$F:$F,J$1)</f>
        <v>0</v>
      </c>
      <c r="K409" s="242">
        <f>COUNTIFS('تجربه‌گرها'!$B:$B,$A409,'تجربه‌گرها'!$F:$F,K$1)</f>
        <v>0</v>
      </c>
      <c r="L409" s="242">
        <f>COUNTIFS('تجربه‌گرها'!$B:$B,$A409,'تجربه‌گرها'!$F:$F,L$1)</f>
        <v>0</v>
      </c>
      <c r="M409" s="242">
        <f>COUNTIFS('تجربه‌گرها'!$B:$B,$A409,'تجربه‌گرها'!$F:$F,M$1)</f>
        <v>0</v>
      </c>
      <c r="N409" s="242">
        <f>COUNTIFS('تجربه‌گرها'!$B:$B,$A409,'تجربه‌گرها'!$F:$F,N$1)</f>
        <v>0</v>
      </c>
      <c r="O409" s="242">
        <f>COUNTIFS('تجربه‌گرها'!$B:$B,$A409,'تجربه‌گرها'!$F:$F,O$1)</f>
        <v>0</v>
      </c>
      <c r="P409" s="242">
        <f>COUNTIFS('تجربه‌گرها'!$B:$B,$A409,'تجربه‌گرها'!$F:$F,P$1)</f>
        <v>0</v>
      </c>
      <c r="Q409" s="242">
        <f>COUNTIFS('تجربه‌گرها'!$B:$B,$A409,'تجربه‌گرها'!$F:$F,Q$1)</f>
        <v>0</v>
      </c>
      <c r="R409" s="242">
        <f>COUNTIFS('تجربه‌گرها'!$B:$B,$A409,'تجربه‌گرها'!$F:$F,R$1)</f>
        <v>0</v>
      </c>
      <c r="S409" s="242">
        <f>COUNTIFS('تجربه‌گرها'!$B:$B,$A409,'تجربه‌گرها'!$F:$F,S$1)</f>
        <v>0</v>
      </c>
      <c r="T409" s="242">
        <f>COUNTIFS('تجربه‌گرها'!$B:$B,$A409,'تجربه‌گرها'!$F:$F,T$1)</f>
        <v>0</v>
      </c>
      <c r="U409" s="242"/>
      <c r="V409" s="242"/>
      <c r="W409" s="242"/>
      <c r="X409" s="242"/>
      <c r="Y409" s="242"/>
      <c r="Z409" s="242"/>
      <c r="AA409" s="242"/>
      <c r="AB409" s="242"/>
    </row>
    <row r="410" hidden="1">
      <c r="A410" s="244" t="s">
        <v>2893</v>
      </c>
      <c r="B410" s="245" t="str">
        <f>VLOOKUP(A410,'تجربه‌گرها'!B:C,2,FALSE())</f>
        <v>9127245851</v>
      </c>
      <c r="C410" s="242"/>
      <c r="D410" s="242">
        <f t="shared" si="1"/>
        <v>1</v>
      </c>
      <c r="E410" s="242">
        <f>COUNTIFS('تجربه‌گرها'!$B:$B,$A410,'تجربه‌گرها'!$F:$F,E$1)</f>
        <v>0</v>
      </c>
      <c r="F410" s="242">
        <f>COUNTIFS('تجربه‌گرها'!$B:$B,$A410,'تجربه‌گرها'!$F:$F,F$1)</f>
        <v>0</v>
      </c>
      <c r="G410" s="242">
        <f>COUNTIFS('تجربه‌گرها'!$B:$B,$A410,'تجربه‌گرها'!$F:$F,G$1)</f>
        <v>1</v>
      </c>
      <c r="H410" s="242">
        <f>COUNTIFS('تجربه‌گرها'!$B:$B,$A410,'تجربه‌گرها'!$F:$F,H$1)</f>
        <v>0</v>
      </c>
      <c r="I410" s="242">
        <f>COUNTIFS('تجربه‌گرها'!$B:$B,$A410,'تجربه‌گرها'!$F:$F,I$1)</f>
        <v>0</v>
      </c>
      <c r="J410" s="242">
        <f>COUNTIFS('تجربه‌گرها'!$B:$B,$A410,'تجربه‌گرها'!$F:$F,J$1)</f>
        <v>0</v>
      </c>
      <c r="K410" s="242">
        <f>COUNTIFS('تجربه‌گرها'!$B:$B,$A410,'تجربه‌گرها'!$F:$F,K$1)</f>
        <v>0</v>
      </c>
      <c r="L410" s="242">
        <f>COUNTIFS('تجربه‌گرها'!$B:$B,$A410,'تجربه‌گرها'!$F:$F,L$1)</f>
        <v>0</v>
      </c>
      <c r="M410" s="242">
        <f>COUNTIFS('تجربه‌گرها'!$B:$B,$A410,'تجربه‌گرها'!$F:$F,M$1)</f>
        <v>0</v>
      </c>
      <c r="N410" s="242">
        <f>COUNTIFS('تجربه‌گرها'!$B:$B,$A410,'تجربه‌گرها'!$F:$F,N$1)</f>
        <v>0</v>
      </c>
      <c r="O410" s="242">
        <f>COUNTIFS('تجربه‌گرها'!$B:$B,$A410,'تجربه‌گرها'!$F:$F,O$1)</f>
        <v>0</v>
      </c>
      <c r="P410" s="242">
        <f>COUNTIFS('تجربه‌گرها'!$B:$B,$A410,'تجربه‌گرها'!$F:$F,P$1)</f>
        <v>0</v>
      </c>
      <c r="Q410" s="242">
        <f>COUNTIFS('تجربه‌گرها'!$B:$B,$A410,'تجربه‌گرها'!$F:$F,Q$1)</f>
        <v>0</v>
      </c>
      <c r="R410" s="242">
        <f>COUNTIFS('تجربه‌گرها'!$B:$B,$A410,'تجربه‌گرها'!$F:$F,R$1)</f>
        <v>0</v>
      </c>
      <c r="S410" s="242">
        <f>COUNTIFS('تجربه‌گرها'!$B:$B,$A410,'تجربه‌گرها'!$F:$F,S$1)</f>
        <v>0</v>
      </c>
      <c r="T410" s="242">
        <f>COUNTIFS('تجربه‌گرها'!$B:$B,$A410,'تجربه‌گرها'!$F:$F,T$1)</f>
        <v>0</v>
      </c>
      <c r="U410" s="242"/>
      <c r="V410" s="242"/>
      <c r="W410" s="242"/>
      <c r="X410" s="242"/>
      <c r="Y410" s="242"/>
      <c r="Z410" s="242"/>
      <c r="AA410" s="242"/>
      <c r="AB410" s="242"/>
    </row>
    <row r="411" hidden="1">
      <c r="A411" s="244" t="s">
        <v>2899</v>
      </c>
      <c r="B411" s="245" t="str">
        <f>VLOOKUP(A411,'تجربه‌گرها'!B:C,2,FALSE())</f>
        <v>9123057342</v>
      </c>
      <c r="C411" s="242"/>
      <c r="D411" s="242">
        <f t="shared" si="1"/>
        <v>1</v>
      </c>
      <c r="E411" s="242">
        <f>COUNTIFS('تجربه‌گرها'!$B:$B,$A411,'تجربه‌گرها'!$F:$F,E$1)</f>
        <v>0</v>
      </c>
      <c r="F411" s="242">
        <f>COUNTIFS('تجربه‌گرها'!$B:$B,$A411,'تجربه‌گرها'!$F:$F,F$1)</f>
        <v>0</v>
      </c>
      <c r="G411" s="242">
        <f>COUNTIFS('تجربه‌گرها'!$B:$B,$A411,'تجربه‌گرها'!$F:$F,G$1)</f>
        <v>1</v>
      </c>
      <c r="H411" s="242">
        <f>COUNTIFS('تجربه‌گرها'!$B:$B,$A411,'تجربه‌گرها'!$F:$F,H$1)</f>
        <v>0</v>
      </c>
      <c r="I411" s="242">
        <f>COUNTIFS('تجربه‌گرها'!$B:$B,$A411,'تجربه‌گرها'!$F:$F,I$1)</f>
        <v>0</v>
      </c>
      <c r="J411" s="242">
        <f>COUNTIFS('تجربه‌گرها'!$B:$B,$A411,'تجربه‌گرها'!$F:$F,J$1)</f>
        <v>0</v>
      </c>
      <c r="K411" s="242">
        <f>COUNTIFS('تجربه‌گرها'!$B:$B,$A411,'تجربه‌گرها'!$F:$F,K$1)</f>
        <v>0</v>
      </c>
      <c r="L411" s="242">
        <f>COUNTIFS('تجربه‌گرها'!$B:$B,$A411,'تجربه‌گرها'!$F:$F,L$1)</f>
        <v>0</v>
      </c>
      <c r="M411" s="242">
        <f>COUNTIFS('تجربه‌گرها'!$B:$B,$A411,'تجربه‌گرها'!$F:$F,M$1)</f>
        <v>0</v>
      </c>
      <c r="N411" s="242">
        <f>COUNTIFS('تجربه‌گرها'!$B:$B,$A411,'تجربه‌گرها'!$F:$F,N$1)</f>
        <v>0</v>
      </c>
      <c r="O411" s="242">
        <f>COUNTIFS('تجربه‌گرها'!$B:$B,$A411,'تجربه‌گرها'!$F:$F,O$1)</f>
        <v>0</v>
      </c>
      <c r="P411" s="242">
        <f>COUNTIFS('تجربه‌گرها'!$B:$B,$A411,'تجربه‌گرها'!$F:$F,P$1)</f>
        <v>0</v>
      </c>
      <c r="Q411" s="242">
        <f>COUNTIFS('تجربه‌گرها'!$B:$B,$A411,'تجربه‌گرها'!$F:$F,Q$1)</f>
        <v>0</v>
      </c>
      <c r="R411" s="242">
        <f>COUNTIFS('تجربه‌گرها'!$B:$B,$A411,'تجربه‌گرها'!$F:$F,R$1)</f>
        <v>0</v>
      </c>
      <c r="S411" s="242">
        <f>COUNTIFS('تجربه‌گرها'!$B:$B,$A411,'تجربه‌گرها'!$F:$F,S$1)</f>
        <v>0</v>
      </c>
      <c r="T411" s="242">
        <f>COUNTIFS('تجربه‌گرها'!$B:$B,$A411,'تجربه‌گرها'!$F:$F,T$1)</f>
        <v>0</v>
      </c>
      <c r="U411" s="242"/>
      <c r="V411" s="242"/>
      <c r="W411" s="242"/>
      <c r="X411" s="242"/>
      <c r="Y411" s="242"/>
      <c r="Z411" s="242"/>
      <c r="AA411" s="242"/>
      <c r="AB411" s="242"/>
    </row>
    <row r="412">
      <c r="A412" s="244" t="s">
        <v>2903</v>
      </c>
      <c r="B412" s="245" t="str">
        <f>VLOOKUP(A412,'تجربه‌گرها'!B:C,2,FALSE())</f>
        <v>9193255089</v>
      </c>
      <c r="C412" s="242"/>
      <c r="D412" s="242">
        <f t="shared" si="1"/>
        <v>1</v>
      </c>
      <c r="E412" s="242">
        <f>COUNTIFS('تجربه‌گرها'!$B:$B,$A412,'تجربه‌گرها'!$F:$F,E$1)</f>
        <v>0</v>
      </c>
      <c r="F412" s="242">
        <f>COUNTIFS('تجربه‌گرها'!$B:$B,$A412,'تجربه‌گرها'!$F:$F,F$1)</f>
        <v>0</v>
      </c>
      <c r="G412" s="242">
        <f>COUNTIFS('تجربه‌گرها'!$B:$B,$A412,'تجربه‌گرها'!$F:$F,G$1)</f>
        <v>1</v>
      </c>
      <c r="H412" s="242">
        <f>COUNTIFS('تجربه‌گرها'!$B:$B,$A412,'تجربه‌گرها'!$F:$F,H$1)</f>
        <v>0</v>
      </c>
      <c r="I412" s="242">
        <f>COUNTIFS('تجربه‌گرها'!$B:$B,$A412,'تجربه‌گرها'!$F:$F,I$1)</f>
        <v>0</v>
      </c>
      <c r="J412" s="242">
        <f>COUNTIFS('تجربه‌گرها'!$B:$B,$A412,'تجربه‌گرها'!$F:$F,J$1)</f>
        <v>0</v>
      </c>
      <c r="K412" s="242">
        <f>COUNTIFS('تجربه‌گرها'!$B:$B,$A412,'تجربه‌گرها'!$F:$F,K$1)</f>
        <v>0</v>
      </c>
      <c r="L412" s="242">
        <f>COUNTIFS('تجربه‌گرها'!$B:$B,$A412,'تجربه‌گرها'!$F:$F,L$1)</f>
        <v>0</v>
      </c>
      <c r="M412" s="242">
        <f>COUNTIFS('تجربه‌گرها'!$B:$B,$A412,'تجربه‌گرها'!$F:$F,M$1)</f>
        <v>0</v>
      </c>
      <c r="N412" s="242">
        <f>COUNTIFS('تجربه‌گرها'!$B:$B,$A412,'تجربه‌گرها'!$F:$F,N$1)</f>
        <v>0</v>
      </c>
      <c r="O412" s="242">
        <f>COUNTIFS('تجربه‌گرها'!$B:$B,$A412,'تجربه‌گرها'!$F:$F,O$1)</f>
        <v>0</v>
      </c>
      <c r="P412" s="242">
        <f>COUNTIFS('تجربه‌گرها'!$B:$B,$A412,'تجربه‌گرها'!$F:$F,P$1)</f>
        <v>0</v>
      </c>
      <c r="Q412" s="242">
        <f>COUNTIFS('تجربه‌گرها'!$B:$B,$A412,'تجربه‌گرها'!$F:$F,Q$1)</f>
        <v>0</v>
      </c>
      <c r="R412" s="242">
        <f>COUNTIFS('تجربه‌گرها'!$B:$B,$A412,'تجربه‌گرها'!$F:$F,R$1)</f>
        <v>0</v>
      </c>
      <c r="S412" s="242">
        <f>COUNTIFS('تجربه‌گرها'!$B:$B,$A412,'تجربه‌گرها'!$F:$F,S$1)</f>
        <v>0</v>
      </c>
      <c r="T412" s="242">
        <f>COUNTIFS('تجربه‌گرها'!$B:$B,$A412,'تجربه‌گرها'!$F:$F,T$1)</f>
        <v>0</v>
      </c>
      <c r="U412" s="242"/>
      <c r="V412" s="242"/>
      <c r="W412" s="242"/>
      <c r="X412" s="242"/>
      <c r="Y412" s="242"/>
      <c r="Z412" s="242"/>
      <c r="AA412" s="242"/>
      <c r="AB412" s="242"/>
    </row>
    <row r="413" hidden="1">
      <c r="A413" s="244" t="s">
        <v>2907</v>
      </c>
      <c r="B413" s="245" t="str">
        <f>VLOOKUP(A413,'تجربه‌گرها'!B:C,2,FALSE())</f>
        <v>9122878675</v>
      </c>
      <c r="C413" s="242"/>
      <c r="D413" s="242">
        <f t="shared" si="1"/>
        <v>1</v>
      </c>
      <c r="E413" s="242">
        <f>COUNTIFS('تجربه‌گرها'!$B:$B,$A413,'تجربه‌گرها'!$F:$F,E$1)</f>
        <v>0</v>
      </c>
      <c r="F413" s="242">
        <f>COUNTIFS('تجربه‌گرها'!$B:$B,$A413,'تجربه‌گرها'!$F:$F,F$1)</f>
        <v>0</v>
      </c>
      <c r="G413" s="242">
        <f>COUNTIFS('تجربه‌گرها'!$B:$B,$A413,'تجربه‌گرها'!$F:$F,G$1)</f>
        <v>1</v>
      </c>
      <c r="H413" s="242">
        <f>COUNTIFS('تجربه‌گرها'!$B:$B,$A413,'تجربه‌گرها'!$F:$F,H$1)</f>
        <v>0</v>
      </c>
      <c r="I413" s="242">
        <f>COUNTIFS('تجربه‌گرها'!$B:$B,$A413,'تجربه‌گرها'!$F:$F,I$1)</f>
        <v>0</v>
      </c>
      <c r="J413" s="242">
        <f>COUNTIFS('تجربه‌گرها'!$B:$B,$A413,'تجربه‌گرها'!$F:$F,J$1)</f>
        <v>0</v>
      </c>
      <c r="K413" s="242">
        <f>COUNTIFS('تجربه‌گرها'!$B:$B,$A413,'تجربه‌گرها'!$F:$F,K$1)</f>
        <v>0</v>
      </c>
      <c r="L413" s="242">
        <f>COUNTIFS('تجربه‌گرها'!$B:$B,$A413,'تجربه‌گرها'!$F:$F,L$1)</f>
        <v>0</v>
      </c>
      <c r="M413" s="242">
        <f>COUNTIFS('تجربه‌گرها'!$B:$B,$A413,'تجربه‌گرها'!$F:$F,M$1)</f>
        <v>0</v>
      </c>
      <c r="N413" s="242">
        <f>COUNTIFS('تجربه‌گرها'!$B:$B,$A413,'تجربه‌گرها'!$F:$F,N$1)</f>
        <v>0</v>
      </c>
      <c r="O413" s="242">
        <f>COUNTIFS('تجربه‌گرها'!$B:$B,$A413,'تجربه‌گرها'!$F:$F,O$1)</f>
        <v>0</v>
      </c>
      <c r="P413" s="242">
        <f>COUNTIFS('تجربه‌گرها'!$B:$B,$A413,'تجربه‌گرها'!$F:$F,P$1)</f>
        <v>0</v>
      </c>
      <c r="Q413" s="242">
        <f>COUNTIFS('تجربه‌گرها'!$B:$B,$A413,'تجربه‌گرها'!$F:$F,Q$1)</f>
        <v>0</v>
      </c>
      <c r="R413" s="242">
        <f>COUNTIFS('تجربه‌گرها'!$B:$B,$A413,'تجربه‌گرها'!$F:$F,R$1)</f>
        <v>0</v>
      </c>
      <c r="S413" s="242">
        <f>COUNTIFS('تجربه‌گرها'!$B:$B,$A413,'تجربه‌گرها'!$F:$F,S$1)</f>
        <v>0</v>
      </c>
      <c r="T413" s="242">
        <f>COUNTIFS('تجربه‌گرها'!$B:$B,$A413,'تجربه‌گرها'!$F:$F,T$1)</f>
        <v>0</v>
      </c>
      <c r="U413" s="242"/>
      <c r="V413" s="242"/>
      <c r="W413" s="242"/>
      <c r="X413" s="242"/>
      <c r="Y413" s="242"/>
      <c r="Z413" s="242"/>
      <c r="AA413" s="242"/>
      <c r="AB413" s="242"/>
    </row>
    <row r="414" hidden="1">
      <c r="A414" s="244" t="s">
        <v>2911</v>
      </c>
      <c r="B414" s="245" t="str">
        <f>VLOOKUP(A414,'تجربه‌گرها'!B:C,2,FALSE())</f>
        <v>9123377205</v>
      </c>
      <c r="C414" s="242"/>
      <c r="D414" s="242">
        <f t="shared" si="1"/>
        <v>1</v>
      </c>
      <c r="E414" s="242">
        <f>COUNTIFS('تجربه‌گرها'!$B:$B,$A414,'تجربه‌گرها'!$F:$F,E$1)</f>
        <v>0</v>
      </c>
      <c r="F414" s="242">
        <f>COUNTIFS('تجربه‌گرها'!$B:$B,$A414,'تجربه‌گرها'!$F:$F,F$1)</f>
        <v>0</v>
      </c>
      <c r="G414" s="242">
        <f>COUNTIFS('تجربه‌گرها'!$B:$B,$A414,'تجربه‌گرها'!$F:$F,G$1)</f>
        <v>1</v>
      </c>
      <c r="H414" s="242">
        <f>COUNTIFS('تجربه‌گرها'!$B:$B,$A414,'تجربه‌گرها'!$F:$F,H$1)</f>
        <v>0</v>
      </c>
      <c r="I414" s="242">
        <f>COUNTIFS('تجربه‌گرها'!$B:$B,$A414,'تجربه‌گرها'!$F:$F,I$1)</f>
        <v>0</v>
      </c>
      <c r="J414" s="242">
        <f>COUNTIFS('تجربه‌گرها'!$B:$B,$A414,'تجربه‌گرها'!$F:$F,J$1)</f>
        <v>0</v>
      </c>
      <c r="K414" s="242">
        <f>COUNTIFS('تجربه‌گرها'!$B:$B,$A414,'تجربه‌گرها'!$F:$F,K$1)</f>
        <v>0</v>
      </c>
      <c r="L414" s="242">
        <f>COUNTIFS('تجربه‌گرها'!$B:$B,$A414,'تجربه‌گرها'!$F:$F,L$1)</f>
        <v>0</v>
      </c>
      <c r="M414" s="242">
        <f>COUNTIFS('تجربه‌گرها'!$B:$B,$A414,'تجربه‌گرها'!$F:$F,M$1)</f>
        <v>0</v>
      </c>
      <c r="N414" s="242">
        <f>COUNTIFS('تجربه‌گرها'!$B:$B,$A414,'تجربه‌گرها'!$F:$F,N$1)</f>
        <v>0</v>
      </c>
      <c r="O414" s="242">
        <f>COUNTIFS('تجربه‌گرها'!$B:$B,$A414,'تجربه‌گرها'!$F:$F,O$1)</f>
        <v>0</v>
      </c>
      <c r="P414" s="242">
        <f>COUNTIFS('تجربه‌گرها'!$B:$B,$A414,'تجربه‌گرها'!$F:$F,P$1)</f>
        <v>0</v>
      </c>
      <c r="Q414" s="242">
        <f>COUNTIFS('تجربه‌گرها'!$B:$B,$A414,'تجربه‌گرها'!$F:$F,Q$1)</f>
        <v>0</v>
      </c>
      <c r="R414" s="242">
        <f>COUNTIFS('تجربه‌گرها'!$B:$B,$A414,'تجربه‌گرها'!$F:$F,R$1)</f>
        <v>0</v>
      </c>
      <c r="S414" s="242">
        <f>COUNTIFS('تجربه‌گرها'!$B:$B,$A414,'تجربه‌گرها'!$F:$F,S$1)</f>
        <v>0</v>
      </c>
      <c r="T414" s="242">
        <f>COUNTIFS('تجربه‌گرها'!$B:$B,$A414,'تجربه‌گرها'!$F:$F,T$1)</f>
        <v>0</v>
      </c>
      <c r="U414" s="242"/>
      <c r="V414" s="242"/>
      <c r="W414" s="242"/>
      <c r="X414" s="242"/>
      <c r="Y414" s="242"/>
      <c r="Z414" s="242"/>
      <c r="AA414" s="242"/>
      <c r="AB414" s="242"/>
    </row>
    <row r="415" hidden="1">
      <c r="A415" s="244" t="s">
        <v>2916</v>
      </c>
      <c r="B415" s="245" t="str">
        <f>VLOOKUP(A415,'تجربه‌گرها'!B:C,2,FALSE())</f>
        <v>9125356858</v>
      </c>
      <c r="C415" s="242"/>
      <c r="D415" s="242">
        <f t="shared" si="1"/>
        <v>1</v>
      </c>
      <c r="E415" s="242">
        <f>COUNTIFS('تجربه‌گرها'!$B:$B,$A415,'تجربه‌گرها'!$F:$F,E$1)</f>
        <v>0</v>
      </c>
      <c r="F415" s="242">
        <f>COUNTIFS('تجربه‌گرها'!$B:$B,$A415,'تجربه‌گرها'!$F:$F,F$1)</f>
        <v>0</v>
      </c>
      <c r="G415" s="242">
        <f>COUNTIFS('تجربه‌گرها'!$B:$B,$A415,'تجربه‌گرها'!$F:$F,G$1)</f>
        <v>1</v>
      </c>
      <c r="H415" s="242">
        <f>COUNTIFS('تجربه‌گرها'!$B:$B,$A415,'تجربه‌گرها'!$F:$F,H$1)</f>
        <v>0</v>
      </c>
      <c r="I415" s="242">
        <f>COUNTIFS('تجربه‌گرها'!$B:$B,$A415,'تجربه‌گرها'!$F:$F,I$1)</f>
        <v>0</v>
      </c>
      <c r="J415" s="242">
        <f>COUNTIFS('تجربه‌گرها'!$B:$B,$A415,'تجربه‌گرها'!$F:$F,J$1)</f>
        <v>0</v>
      </c>
      <c r="K415" s="242">
        <f>COUNTIFS('تجربه‌گرها'!$B:$B,$A415,'تجربه‌گرها'!$F:$F,K$1)</f>
        <v>0</v>
      </c>
      <c r="L415" s="242">
        <f>COUNTIFS('تجربه‌گرها'!$B:$B,$A415,'تجربه‌گرها'!$F:$F,L$1)</f>
        <v>0</v>
      </c>
      <c r="M415" s="242">
        <f>COUNTIFS('تجربه‌گرها'!$B:$B,$A415,'تجربه‌گرها'!$F:$F,M$1)</f>
        <v>0</v>
      </c>
      <c r="N415" s="242">
        <f>COUNTIFS('تجربه‌گرها'!$B:$B,$A415,'تجربه‌گرها'!$F:$F,N$1)</f>
        <v>0</v>
      </c>
      <c r="O415" s="242">
        <f>COUNTIFS('تجربه‌گرها'!$B:$B,$A415,'تجربه‌گرها'!$F:$F,O$1)</f>
        <v>0</v>
      </c>
      <c r="P415" s="242">
        <f>COUNTIFS('تجربه‌گرها'!$B:$B,$A415,'تجربه‌گرها'!$F:$F,P$1)</f>
        <v>0</v>
      </c>
      <c r="Q415" s="242">
        <f>COUNTIFS('تجربه‌گرها'!$B:$B,$A415,'تجربه‌گرها'!$F:$F,Q$1)</f>
        <v>0</v>
      </c>
      <c r="R415" s="242">
        <f>COUNTIFS('تجربه‌گرها'!$B:$B,$A415,'تجربه‌گرها'!$F:$F,R$1)</f>
        <v>0</v>
      </c>
      <c r="S415" s="242">
        <f>COUNTIFS('تجربه‌گرها'!$B:$B,$A415,'تجربه‌گرها'!$F:$F,S$1)</f>
        <v>0</v>
      </c>
      <c r="T415" s="242">
        <f>COUNTIFS('تجربه‌گرها'!$B:$B,$A415,'تجربه‌گرها'!$F:$F,T$1)</f>
        <v>0</v>
      </c>
      <c r="U415" s="242"/>
      <c r="V415" s="242"/>
      <c r="W415" s="242"/>
      <c r="X415" s="242"/>
      <c r="Y415" s="242"/>
      <c r="Z415" s="242"/>
      <c r="AA415" s="242"/>
      <c r="AB415" s="242"/>
    </row>
    <row r="416" hidden="1">
      <c r="A416" s="244" t="s">
        <v>2921</v>
      </c>
      <c r="B416" s="245" t="str">
        <f>VLOOKUP(A416,'تجربه‌گرها'!B:C,2,FALSE())</f>
        <v>9122979138</v>
      </c>
      <c r="C416" s="242"/>
      <c r="D416" s="242">
        <f t="shared" si="1"/>
        <v>1</v>
      </c>
      <c r="E416" s="242">
        <f>COUNTIFS('تجربه‌گرها'!$B:$B,$A416,'تجربه‌گرها'!$F:$F,E$1)</f>
        <v>0</v>
      </c>
      <c r="F416" s="242">
        <f>COUNTIFS('تجربه‌گرها'!$B:$B,$A416,'تجربه‌گرها'!$F:$F,F$1)</f>
        <v>0</v>
      </c>
      <c r="G416" s="242">
        <f>COUNTIFS('تجربه‌گرها'!$B:$B,$A416,'تجربه‌گرها'!$F:$F,G$1)</f>
        <v>1</v>
      </c>
      <c r="H416" s="242">
        <f>COUNTIFS('تجربه‌گرها'!$B:$B,$A416,'تجربه‌گرها'!$F:$F,H$1)</f>
        <v>0</v>
      </c>
      <c r="I416" s="242">
        <f>COUNTIFS('تجربه‌گرها'!$B:$B,$A416,'تجربه‌گرها'!$F:$F,I$1)</f>
        <v>0</v>
      </c>
      <c r="J416" s="242">
        <f>COUNTIFS('تجربه‌گرها'!$B:$B,$A416,'تجربه‌گرها'!$F:$F,J$1)</f>
        <v>0</v>
      </c>
      <c r="K416" s="242">
        <f>COUNTIFS('تجربه‌گرها'!$B:$B,$A416,'تجربه‌گرها'!$F:$F,K$1)</f>
        <v>0</v>
      </c>
      <c r="L416" s="242">
        <f>COUNTIFS('تجربه‌گرها'!$B:$B,$A416,'تجربه‌گرها'!$F:$F,L$1)</f>
        <v>0</v>
      </c>
      <c r="M416" s="242">
        <f>COUNTIFS('تجربه‌گرها'!$B:$B,$A416,'تجربه‌گرها'!$F:$F,M$1)</f>
        <v>0</v>
      </c>
      <c r="N416" s="242">
        <f>COUNTIFS('تجربه‌گرها'!$B:$B,$A416,'تجربه‌گرها'!$F:$F,N$1)</f>
        <v>0</v>
      </c>
      <c r="O416" s="242">
        <f>COUNTIFS('تجربه‌گرها'!$B:$B,$A416,'تجربه‌گرها'!$F:$F,O$1)</f>
        <v>0</v>
      </c>
      <c r="P416" s="242">
        <f>COUNTIFS('تجربه‌گرها'!$B:$B,$A416,'تجربه‌گرها'!$F:$F,P$1)</f>
        <v>0</v>
      </c>
      <c r="Q416" s="242">
        <f>COUNTIFS('تجربه‌گرها'!$B:$B,$A416,'تجربه‌گرها'!$F:$F,Q$1)</f>
        <v>0</v>
      </c>
      <c r="R416" s="242">
        <f>COUNTIFS('تجربه‌گرها'!$B:$B,$A416,'تجربه‌گرها'!$F:$F,R$1)</f>
        <v>0</v>
      </c>
      <c r="S416" s="242">
        <f>COUNTIFS('تجربه‌گرها'!$B:$B,$A416,'تجربه‌گرها'!$F:$F,S$1)</f>
        <v>0</v>
      </c>
      <c r="T416" s="242">
        <f>COUNTIFS('تجربه‌گرها'!$B:$B,$A416,'تجربه‌گرها'!$F:$F,T$1)</f>
        <v>0</v>
      </c>
      <c r="U416" s="242"/>
      <c r="V416" s="242"/>
      <c r="W416" s="242"/>
      <c r="X416" s="242"/>
      <c r="Y416" s="242"/>
      <c r="Z416" s="242"/>
      <c r="AA416" s="242"/>
      <c r="AB416" s="242"/>
    </row>
    <row r="417" hidden="1">
      <c r="A417" s="244" t="s">
        <v>2926</v>
      </c>
      <c r="B417" s="245" t="str">
        <f>VLOOKUP(A417,'تجربه‌گرها'!B:C,2,FALSE())</f>
        <v>9121522585</v>
      </c>
      <c r="C417" s="242"/>
      <c r="D417" s="242">
        <f t="shared" si="1"/>
        <v>1</v>
      </c>
      <c r="E417" s="242">
        <f>COUNTIFS('تجربه‌گرها'!$B:$B,$A417,'تجربه‌گرها'!$F:$F,E$1)</f>
        <v>0</v>
      </c>
      <c r="F417" s="242">
        <f>COUNTIFS('تجربه‌گرها'!$B:$B,$A417,'تجربه‌گرها'!$F:$F,F$1)</f>
        <v>0</v>
      </c>
      <c r="G417" s="242">
        <f>COUNTIFS('تجربه‌گرها'!$B:$B,$A417,'تجربه‌گرها'!$F:$F,G$1)</f>
        <v>1</v>
      </c>
      <c r="H417" s="242">
        <f>COUNTIFS('تجربه‌گرها'!$B:$B,$A417,'تجربه‌گرها'!$F:$F,H$1)</f>
        <v>0</v>
      </c>
      <c r="I417" s="242">
        <f>COUNTIFS('تجربه‌گرها'!$B:$B,$A417,'تجربه‌گرها'!$F:$F,I$1)</f>
        <v>0</v>
      </c>
      <c r="J417" s="242">
        <f>COUNTIFS('تجربه‌گرها'!$B:$B,$A417,'تجربه‌گرها'!$F:$F,J$1)</f>
        <v>0</v>
      </c>
      <c r="K417" s="242">
        <f>COUNTIFS('تجربه‌گرها'!$B:$B,$A417,'تجربه‌گرها'!$F:$F,K$1)</f>
        <v>0</v>
      </c>
      <c r="L417" s="242">
        <f>COUNTIFS('تجربه‌گرها'!$B:$B,$A417,'تجربه‌گرها'!$F:$F,L$1)</f>
        <v>0</v>
      </c>
      <c r="M417" s="242">
        <f>COUNTIFS('تجربه‌گرها'!$B:$B,$A417,'تجربه‌گرها'!$F:$F,M$1)</f>
        <v>0</v>
      </c>
      <c r="N417" s="242">
        <f>COUNTIFS('تجربه‌گرها'!$B:$B,$A417,'تجربه‌گرها'!$F:$F,N$1)</f>
        <v>0</v>
      </c>
      <c r="O417" s="242">
        <f>COUNTIFS('تجربه‌گرها'!$B:$B,$A417,'تجربه‌گرها'!$F:$F,O$1)</f>
        <v>0</v>
      </c>
      <c r="P417" s="242">
        <f>COUNTIFS('تجربه‌گرها'!$B:$B,$A417,'تجربه‌گرها'!$F:$F,P$1)</f>
        <v>0</v>
      </c>
      <c r="Q417" s="242">
        <f>COUNTIFS('تجربه‌گرها'!$B:$B,$A417,'تجربه‌گرها'!$F:$F,Q$1)</f>
        <v>0</v>
      </c>
      <c r="R417" s="242">
        <f>COUNTIFS('تجربه‌گرها'!$B:$B,$A417,'تجربه‌گرها'!$F:$F,R$1)</f>
        <v>0</v>
      </c>
      <c r="S417" s="242">
        <f>COUNTIFS('تجربه‌گرها'!$B:$B,$A417,'تجربه‌گرها'!$F:$F,S$1)</f>
        <v>0</v>
      </c>
      <c r="T417" s="242">
        <f>COUNTIFS('تجربه‌گرها'!$B:$B,$A417,'تجربه‌گرها'!$F:$F,T$1)</f>
        <v>0</v>
      </c>
      <c r="U417" s="242"/>
      <c r="V417" s="242"/>
      <c r="W417" s="242"/>
      <c r="X417" s="242"/>
      <c r="Y417" s="242"/>
      <c r="Z417" s="242"/>
      <c r="AA417" s="242"/>
      <c r="AB417" s="242"/>
    </row>
    <row r="418" hidden="1">
      <c r="A418" s="244" t="s">
        <v>2932</v>
      </c>
      <c r="B418" s="245" t="str">
        <f>VLOOKUP(A418,'تجربه‌گرها'!B:C,2,FALSE())</f>
        <v>9126819077</v>
      </c>
      <c r="C418" s="242"/>
      <c r="D418" s="242">
        <f t="shared" si="1"/>
        <v>1</v>
      </c>
      <c r="E418" s="242">
        <f>COUNTIFS('تجربه‌گرها'!$B:$B,$A418,'تجربه‌گرها'!$F:$F,E$1)</f>
        <v>0</v>
      </c>
      <c r="F418" s="242">
        <f>COUNTIFS('تجربه‌گرها'!$B:$B,$A418,'تجربه‌گرها'!$F:$F,F$1)</f>
        <v>0</v>
      </c>
      <c r="G418" s="242">
        <f>COUNTIFS('تجربه‌گرها'!$B:$B,$A418,'تجربه‌گرها'!$F:$F,G$1)</f>
        <v>1</v>
      </c>
      <c r="H418" s="242">
        <f>COUNTIFS('تجربه‌گرها'!$B:$B,$A418,'تجربه‌گرها'!$F:$F,H$1)</f>
        <v>0</v>
      </c>
      <c r="I418" s="242">
        <f>COUNTIFS('تجربه‌گرها'!$B:$B,$A418,'تجربه‌گرها'!$F:$F,I$1)</f>
        <v>0</v>
      </c>
      <c r="J418" s="242">
        <f>COUNTIFS('تجربه‌گرها'!$B:$B,$A418,'تجربه‌گرها'!$F:$F,J$1)</f>
        <v>0</v>
      </c>
      <c r="K418" s="242">
        <f>COUNTIFS('تجربه‌گرها'!$B:$B,$A418,'تجربه‌گرها'!$F:$F,K$1)</f>
        <v>0</v>
      </c>
      <c r="L418" s="242">
        <f>COUNTIFS('تجربه‌گرها'!$B:$B,$A418,'تجربه‌گرها'!$F:$F,L$1)</f>
        <v>0</v>
      </c>
      <c r="M418" s="242">
        <f>COUNTIFS('تجربه‌گرها'!$B:$B,$A418,'تجربه‌گرها'!$F:$F,M$1)</f>
        <v>0</v>
      </c>
      <c r="N418" s="242">
        <f>COUNTIFS('تجربه‌گرها'!$B:$B,$A418,'تجربه‌گرها'!$F:$F,N$1)</f>
        <v>0</v>
      </c>
      <c r="O418" s="242">
        <f>COUNTIFS('تجربه‌گرها'!$B:$B,$A418,'تجربه‌گرها'!$F:$F,O$1)</f>
        <v>0</v>
      </c>
      <c r="P418" s="242">
        <f>COUNTIFS('تجربه‌گرها'!$B:$B,$A418,'تجربه‌گرها'!$F:$F,P$1)</f>
        <v>0</v>
      </c>
      <c r="Q418" s="242">
        <f>COUNTIFS('تجربه‌گرها'!$B:$B,$A418,'تجربه‌گرها'!$F:$F,Q$1)</f>
        <v>0</v>
      </c>
      <c r="R418" s="242">
        <f>COUNTIFS('تجربه‌گرها'!$B:$B,$A418,'تجربه‌گرها'!$F:$F,R$1)</f>
        <v>0</v>
      </c>
      <c r="S418" s="242">
        <f>COUNTIFS('تجربه‌گرها'!$B:$B,$A418,'تجربه‌گرها'!$F:$F,S$1)</f>
        <v>0</v>
      </c>
      <c r="T418" s="242">
        <f>COUNTIFS('تجربه‌گرها'!$B:$B,$A418,'تجربه‌گرها'!$F:$F,T$1)</f>
        <v>0</v>
      </c>
      <c r="U418" s="242"/>
      <c r="V418" s="242"/>
      <c r="W418" s="242"/>
      <c r="X418" s="242"/>
      <c r="Y418" s="242"/>
      <c r="Z418" s="242"/>
      <c r="AA418" s="242"/>
      <c r="AB418" s="242"/>
    </row>
    <row r="419" hidden="1">
      <c r="A419" s="244" t="s">
        <v>2937</v>
      </c>
      <c r="B419" s="245" t="str">
        <f>VLOOKUP(A419,'تجربه‌گرها'!B:C,2,FALSE())</f>
        <v>9126342125</v>
      </c>
      <c r="C419" s="242"/>
      <c r="D419" s="242">
        <f t="shared" si="1"/>
        <v>1</v>
      </c>
      <c r="E419" s="242">
        <f>COUNTIFS('تجربه‌گرها'!$B:$B,$A419,'تجربه‌گرها'!$F:$F,E$1)</f>
        <v>0</v>
      </c>
      <c r="F419" s="242">
        <f>COUNTIFS('تجربه‌گرها'!$B:$B,$A419,'تجربه‌گرها'!$F:$F,F$1)</f>
        <v>0</v>
      </c>
      <c r="G419" s="242">
        <f>COUNTIFS('تجربه‌گرها'!$B:$B,$A419,'تجربه‌گرها'!$F:$F,G$1)</f>
        <v>1</v>
      </c>
      <c r="H419" s="242">
        <f>COUNTIFS('تجربه‌گرها'!$B:$B,$A419,'تجربه‌گرها'!$F:$F,H$1)</f>
        <v>0</v>
      </c>
      <c r="I419" s="242">
        <f>COUNTIFS('تجربه‌گرها'!$B:$B,$A419,'تجربه‌گرها'!$F:$F,I$1)</f>
        <v>0</v>
      </c>
      <c r="J419" s="242">
        <f>COUNTIFS('تجربه‌گرها'!$B:$B,$A419,'تجربه‌گرها'!$F:$F,J$1)</f>
        <v>0</v>
      </c>
      <c r="K419" s="242">
        <f>COUNTIFS('تجربه‌گرها'!$B:$B,$A419,'تجربه‌گرها'!$F:$F,K$1)</f>
        <v>0</v>
      </c>
      <c r="L419" s="242">
        <f>COUNTIFS('تجربه‌گرها'!$B:$B,$A419,'تجربه‌گرها'!$F:$F,L$1)</f>
        <v>0</v>
      </c>
      <c r="M419" s="242">
        <f>COUNTIFS('تجربه‌گرها'!$B:$B,$A419,'تجربه‌گرها'!$F:$F,M$1)</f>
        <v>0</v>
      </c>
      <c r="N419" s="242">
        <f>COUNTIFS('تجربه‌گرها'!$B:$B,$A419,'تجربه‌گرها'!$F:$F,N$1)</f>
        <v>0</v>
      </c>
      <c r="O419" s="242">
        <f>COUNTIFS('تجربه‌گرها'!$B:$B,$A419,'تجربه‌گرها'!$F:$F,O$1)</f>
        <v>0</v>
      </c>
      <c r="P419" s="242">
        <f>COUNTIFS('تجربه‌گرها'!$B:$B,$A419,'تجربه‌گرها'!$F:$F,P$1)</f>
        <v>0</v>
      </c>
      <c r="Q419" s="242">
        <f>COUNTIFS('تجربه‌گرها'!$B:$B,$A419,'تجربه‌گرها'!$F:$F,Q$1)</f>
        <v>0</v>
      </c>
      <c r="R419" s="242">
        <f>COUNTIFS('تجربه‌گرها'!$B:$B,$A419,'تجربه‌گرها'!$F:$F,R$1)</f>
        <v>0</v>
      </c>
      <c r="S419" s="242">
        <f>COUNTIFS('تجربه‌گرها'!$B:$B,$A419,'تجربه‌گرها'!$F:$F,S$1)</f>
        <v>0</v>
      </c>
      <c r="T419" s="242">
        <f>COUNTIFS('تجربه‌گرها'!$B:$B,$A419,'تجربه‌گرها'!$F:$F,T$1)</f>
        <v>0</v>
      </c>
      <c r="U419" s="242"/>
      <c r="V419" s="242"/>
      <c r="W419" s="242"/>
      <c r="X419" s="242"/>
      <c r="Y419" s="242"/>
      <c r="Z419" s="242"/>
      <c r="AA419" s="242"/>
      <c r="AB419" s="242"/>
    </row>
    <row r="420" hidden="1">
      <c r="A420" s="244" t="s">
        <v>178</v>
      </c>
      <c r="B420" s="245" t="str">
        <f>VLOOKUP(A420,'تجربه‌گرها'!B:C,2,FALSE())</f>
        <v>9122587828</v>
      </c>
      <c r="C420" s="242"/>
      <c r="D420" s="242">
        <f t="shared" si="1"/>
        <v>1</v>
      </c>
      <c r="E420" s="242">
        <f>COUNTIFS('تجربه‌گرها'!$B:$B,$A420,'تجربه‌گرها'!$F:$F,E$1)</f>
        <v>0</v>
      </c>
      <c r="F420" s="242">
        <f>COUNTIFS('تجربه‌گرها'!$B:$B,$A420,'تجربه‌گرها'!$F:$F,F$1)</f>
        <v>0</v>
      </c>
      <c r="G420" s="242">
        <f>COUNTIFS('تجربه‌گرها'!$B:$B,$A420,'تجربه‌گرها'!$F:$F,G$1)</f>
        <v>1</v>
      </c>
      <c r="H420" s="242">
        <f>COUNTIFS('تجربه‌گرها'!$B:$B,$A420,'تجربه‌گرها'!$F:$F,H$1)</f>
        <v>0</v>
      </c>
      <c r="I420" s="242">
        <f>COUNTIFS('تجربه‌گرها'!$B:$B,$A420,'تجربه‌گرها'!$F:$F,I$1)</f>
        <v>0</v>
      </c>
      <c r="J420" s="242">
        <f>COUNTIFS('تجربه‌گرها'!$B:$B,$A420,'تجربه‌گرها'!$F:$F,J$1)</f>
        <v>0</v>
      </c>
      <c r="K420" s="242">
        <f>COUNTIFS('تجربه‌گرها'!$B:$B,$A420,'تجربه‌گرها'!$F:$F,K$1)</f>
        <v>0</v>
      </c>
      <c r="L420" s="242">
        <f>COUNTIFS('تجربه‌گرها'!$B:$B,$A420,'تجربه‌گرها'!$F:$F,L$1)</f>
        <v>0</v>
      </c>
      <c r="M420" s="242">
        <f>COUNTIFS('تجربه‌گرها'!$B:$B,$A420,'تجربه‌گرها'!$F:$F,M$1)</f>
        <v>0</v>
      </c>
      <c r="N420" s="242">
        <f>COUNTIFS('تجربه‌گرها'!$B:$B,$A420,'تجربه‌گرها'!$F:$F,N$1)</f>
        <v>0</v>
      </c>
      <c r="O420" s="242">
        <f>COUNTIFS('تجربه‌گرها'!$B:$B,$A420,'تجربه‌گرها'!$F:$F,O$1)</f>
        <v>0</v>
      </c>
      <c r="P420" s="242">
        <f>COUNTIFS('تجربه‌گرها'!$B:$B,$A420,'تجربه‌گرها'!$F:$F,P$1)</f>
        <v>0</v>
      </c>
      <c r="Q420" s="242">
        <f>COUNTIFS('تجربه‌گرها'!$B:$B,$A420,'تجربه‌گرها'!$F:$F,Q$1)</f>
        <v>0</v>
      </c>
      <c r="R420" s="242">
        <f>COUNTIFS('تجربه‌گرها'!$B:$B,$A420,'تجربه‌گرها'!$F:$F,R$1)</f>
        <v>0</v>
      </c>
      <c r="S420" s="242">
        <f>COUNTIFS('تجربه‌گرها'!$B:$B,$A420,'تجربه‌گرها'!$F:$F,S$1)</f>
        <v>0</v>
      </c>
      <c r="T420" s="242">
        <f>COUNTIFS('تجربه‌گرها'!$B:$B,$A420,'تجربه‌گرها'!$F:$F,T$1)</f>
        <v>0</v>
      </c>
      <c r="U420" s="242"/>
      <c r="V420" s="242"/>
      <c r="W420" s="242"/>
      <c r="X420" s="242"/>
      <c r="Y420" s="242"/>
      <c r="Z420" s="242"/>
      <c r="AA420" s="242"/>
      <c r="AB420" s="242"/>
    </row>
    <row r="421" hidden="1">
      <c r="A421" s="244" t="s">
        <v>2946</v>
      </c>
      <c r="B421" s="245" t="str">
        <f>VLOOKUP(A421,'تجربه‌گرها'!B:C,2,FALSE())</f>
        <v>9021336248</v>
      </c>
      <c r="C421" s="242"/>
      <c r="D421" s="242">
        <f t="shared" si="1"/>
        <v>1</v>
      </c>
      <c r="E421" s="242">
        <f>COUNTIFS('تجربه‌گرها'!$B:$B,$A421,'تجربه‌گرها'!$F:$F,E$1)</f>
        <v>0</v>
      </c>
      <c r="F421" s="242">
        <f>COUNTIFS('تجربه‌گرها'!$B:$B,$A421,'تجربه‌گرها'!$F:$F,F$1)</f>
        <v>0</v>
      </c>
      <c r="G421" s="242">
        <f>COUNTIFS('تجربه‌گرها'!$B:$B,$A421,'تجربه‌گرها'!$F:$F,G$1)</f>
        <v>1</v>
      </c>
      <c r="H421" s="242">
        <f>COUNTIFS('تجربه‌گرها'!$B:$B,$A421,'تجربه‌گرها'!$F:$F,H$1)</f>
        <v>0</v>
      </c>
      <c r="I421" s="242">
        <f>COUNTIFS('تجربه‌گرها'!$B:$B,$A421,'تجربه‌گرها'!$F:$F,I$1)</f>
        <v>0</v>
      </c>
      <c r="J421" s="242">
        <f>COUNTIFS('تجربه‌گرها'!$B:$B,$A421,'تجربه‌گرها'!$F:$F,J$1)</f>
        <v>0</v>
      </c>
      <c r="K421" s="242">
        <f>COUNTIFS('تجربه‌گرها'!$B:$B,$A421,'تجربه‌گرها'!$F:$F,K$1)</f>
        <v>0</v>
      </c>
      <c r="L421" s="242">
        <f>COUNTIFS('تجربه‌گرها'!$B:$B,$A421,'تجربه‌گرها'!$F:$F,L$1)</f>
        <v>0</v>
      </c>
      <c r="M421" s="242">
        <f>COUNTIFS('تجربه‌گرها'!$B:$B,$A421,'تجربه‌گرها'!$F:$F,M$1)</f>
        <v>0</v>
      </c>
      <c r="N421" s="242">
        <f>COUNTIFS('تجربه‌گرها'!$B:$B,$A421,'تجربه‌گرها'!$F:$F,N$1)</f>
        <v>0</v>
      </c>
      <c r="O421" s="242">
        <f>COUNTIFS('تجربه‌گرها'!$B:$B,$A421,'تجربه‌گرها'!$F:$F,O$1)</f>
        <v>0</v>
      </c>
      <c r="P421" s="242">
        <f>COUNTIFS('تجربه‌گرها'!$B:$B,$A421,'تجربه‌گرها'!$F:$F,P$1)</f>
        <v>0</v>
      </c>
      <c r="Q421" s="242">
        <f>COUNTIFS('تجربه‌گرها'!$B:$B,$A421,'تجربه‌گرها'!$F:$F,Q$1)</f>
        <v>0</v>
      </c>
      <c r="R421" s="242">
        <f>COUNTIFS('تجربه‌گرها'!$B:$B,$A421,'تجربه‌گرها'!$F:$F,R$1)</f>
        <v>0</v>
      </c>
      <c r="S421" s="242">
        <f>COUNTIFS('تجربه‌گرها'!$B:$B,$A421,'تجربه‌گرها'!$F:$F,S$1)</f>
        <v>0</v>
      </c>
      <c r="T421" s="242">
        <f>COUNTIFS('تجربه‌گرها'!$B:$B,$A421,'تجربه‌گرها'!$F:$F,T$1)</f>
        <v>0</v>
      </c>
      <c r="U421" s="242"/>
      <c r="V421" s="242"/>
      <c r="W421" s="242"/>
      <c r="X421" s="242"/>
      <c r="Y421" s="242"/>
      <c r="Z421" s="242"/>
      <c r="AA421" s="242"/>
      <c r="AB421" s="242"/>
    </row>
    <row r="422" hidden="1">
      <c r="A422" s="244" t="s">
        <v>2951</v>
      </c>
      <c r="B422" s="245" t="str">
        <f>VLOOKUP(A422,'تجربه‌گرها'!B:C,2,FALSE())</f>
        <v>9124148406</v>
      </c>
      <c r="C422" s="242"/>
      <c r="D422" s="242">
        <f t="shared" si="1"/>
        <v>1</v>
      </c>
      <c r="E422" s="242">
        <f>COUNTIFS('تجربه‌گرها'!$B:$B,$A422,'تجربه‌گرها'!$F:$F,E$1)</f>
        <v>0</v>
      </c>
      <c r="F422" s="242">
        <f>COUNTIFS('تجربه‌گرها'!$B:$B,$A422,'تجربه‌گرها'!$F:$F,F$1)</f>
        <v>0</v>
      </c>
      <c r="G422" s="242">
        <f>COUNTIFS('تجربه‌گرها'!$B:$B,$A422,'تجربه‌گرها'!$F:$F,G$1)</f>
        <v>1</v>
      </c>
      <c r="H422" s="242">
        <f>COUNTIFS('تجربه‌گرها'!$B:$B,$A422,'تجربه‌گرها'!$F:$F,H$1)</f>
        <v>0</v>
      </c>
      <c r="I422" s="242">
        <f>COUNTIFS('تجربه‌گرها'!$B:$B,$A422,'تجربه‌گرها'!$F:$F,I$1)</f>
        <v>0</v>
      </c>
      <c r="J422" s="242">
        <f>COUNTIFS('تجربه‌گرها'!$B:$B,$A422,'تجربه‌گرها'!$F:$F,J$1)</f>
        <v>0</v>
      </c>
      <c r="K422" s="242">
        <f>COUNTIFS('تجربه‌گرها'!$B:$B,$A422,'تجربه‌گرها'!$F:$F,K$1)</f>
        <v>0</v>
      </c>
      <c r="L422" s="242">
        <f>COUNTIFS('تجربه‌گرها'!$B:$B,$A422,'تجربه‌گرها'!$F:$F,L$1)</f>
        <v>0</v>
      </c>
      <c r="M422" s="242">
        <f>COUNTIFS('تجربه‌گرها'!$B:$B,$A422,'تجربه‌گرها'!$F:$F,M$1)</f>
        <v>0</v>
      </c>
      <c r="N422" s="242">
        <f>COUNTIFS('تجربه‌گرها'!$B:$B,$A422,'تجربه‌گرها'!$F:$F,N$1)</f>
        <v>0</v>
      </c>
      <c r="O422" s="242">
        <f>COUNTIFS('تجربه‌گرها'!$B:$B,$A422,'تجربه‌گرها'!$F:$F,O$1)</f>
        <v>0</v>
      </c>
      <c r="P422" s="242">
        <f>COUNTIFS('تجربه‌گرها'!$B:$B,$A422,'تجربه‌گرها'!$F:$F,P$1)</f>
        <v>0</v>
      </c>
      <c r="Q422" s="242">
        <f>COUNTIFS('تجربه‌گرها'!$B:$B,$A422,'تجربه‌گرها'!$F:$F,Q$1)</f>
        <v>0</v>
      </c>
      <c r="R422" s="242">
        <f>COUNTIFS('تجربه‌گرها'!$B:$B,$A422,'تجربه‌گرها'!$F:$F,R$1)</f>
        <v>0</v>
      </c>
      <c r="S422" s="242">
        <f>COUNTIFS('تجربه‌گرها'!$B:$B,$A422,'تجربه‌گرها'!$F:$F,S$1)</f>
        <v>0</v>
      </c>
      <c r="T422" s="242">
        <f>COUNTIFS('تجربه‌گرها'!$B:$B,$A422,'تجربه‌گرها'!$F:$F,T$1)</f>
        <v>0</v>
      </c>
      <c r="U422" s="242"/>
      <c r="V422" s="242"/>
      <c r="W422" s="242"/>
      <c r="X422" s="242"/>
      <c r="Y422" s="242"/>
      <c r="Z422" s="242"/>
      <c r="AA422" s="242"/>
      <c r="AB422" s="242"/>
    </row>
    <row r="423" hidden="1">
      <c r="A423" s="244" t="s">
        <v>2957</v>
      </c>
      <c r="B423" s="245" t="str">
        <f>VLOOKUP(A423,'تجربه‌گرها'!B:C,2,FALSE())</f>
        <v>9120908216</v>
      </c>
      <c r="C423" s="242"/>
      <c r="D423" s="242">
        <f t="shared" si="1"/>
        <v>1</v>
      </c>
      <c r="E423" s="242">
        <f>COUNTIFS('تجربه‌گرها'!$B:$B,$A423,'تجربه‌گرها'!$F:$F,E$1)</f>
        <v>0</v>
      </c>
      <c r="F423" s="242">
        <f>COUNTIFS('تجربه‌گرها'!$B:$B,$A423,'تجربه‌گرها'!$F:$F,F$1)</f>
        <v>0</v>
      </c>
      <c r="G423" s="242">
        <f>COUNTIFS('تجربه‌گرها'!$B:$B,$A423,'تجربه‌گرها'!$F:$F,G$1)</f>
        <v>1</v>
      </c>
      <c r="H423" s="242">
        <f>COUNTIFS('تجربه‌گرها'!$B:$B,$A423,'تجربه‌گرها'!$F:$F,H$1)</f>
        <v>0</v>
      </c>
      <c r="I423" s="242">
        <f>COUNTIFS('تجربه‌گرها'!$B:$B,$A423,'تجربه‌گرها'!$F:$F,I$1)</f>
        <v>0</v>
      </c>
      <c r="J423" s="242">
        <f>COUNTIFS('تجربه‌گرها'!$B:$B,$A423,'تجربه‌گرها'!$F:$F,J$1)</f>
        <v>0</v>
      </c>
      <c r="K423" s="242">
        <f>COUNTIFS('تجربه‌گرها'!$B:$B,$A423,'تجربه‌گرها'!$F:$F,K$1)</f>
        <v>0</v>
      </c>
      <c r="L423" s="242">
        <f>COUNTIFS('تجربه‌گرها'!$B:$B,$A423,'تجربه‌گرها'!$F:$F,L$1)</f>
        <v>0</v>
      </c>
      <c r="M423" s="242">
        <f>COUNTIFS('تجربه‌گرها'!$B:$B,$A423,'تجربه‌گرها'!$F:$F,M$1)</f>
        <v>0</v>
      </c>
      <c r="N423" s="242">
        <f>COUNTIFS('تجربه‌گرها'!$B:$B,$A423,'تجربه‌گرها'!$F:$F,N$1)</f>
        <v>0</v>
      </c>
      <c r="O423" s="242">
        <f>COUNTIFS('تجربه‌گرها'!$B:$B,$A423,'تجربه‌گرها'!$F:$F,O$1)</f>
        <v>0</v>
      </c>
      <c r="P423" s="242">
        <f>COUNTIFS('تجربه‌گرها'!$B:$B,$A423,'تجربه‌گرها'!$F:$F,P$1)</f>
        <v>0</v>
      </c>
      <c r="Q423" s="242">
        <f>COUNTIFS('تجربه‌گرها'!$B:$B,$A423,'تجربه‌گرها'!$F:$F,Q$1)</f>
        <v>0</v>
      </c>
      <c r="R423" s="242">
        <f>COUNTIFS('تجربه‌گرها'!$B:$B,$A423,'تجربه‌گرها'!$F:$F,R$1)</f>
        <v>0</v>
      </c>
      <c r="S423" s="242">
        <f>COUNTIFS('تجربه‌گرها'!$B:$B,$A423,'تجربه‌گرها'!$F:$F,S$1)</f>
        <v>0</v>
      </c>
      <c r="T423" s="242">
        <f>COUNTIFS('تجربه‌گرها'!$B:$B,$A423,'تجربه‌گرها'!$F:$F,T$1)</f>
        <v>0</v>
      </c>
      <c r="U423" s="242"/>
      <c r="V423" s="242"/>
      <c r="W423" s="242"/>
      <c r="X423" s="242"/>
      <c r="Y423" s="242"/>
      <c r="Z423" s="242"/>
      <c r="AA423" s="242"/>
      <c r="AB423" s="242"/>
    </row>
    <row r="424" hidden="1">
      <c r="A424" s="244" t="s">
        <v>2962</v>
      </c>
      <c r="B424" s="245" t="str">
        <f>VLOOKUP(A424,'تجربه‌گرها'!B:C,2,FALSE())</f>
        <v>9121034511</v>
      </c>
      <c r="C424" s="242"/>
      <c r="D424" s="242">
        <f t="shared" si="1"/>
        <v>1</v>
      </c>
      <c r="E424" s="242">
        <f>COUNTIFS('تجربه‌گرها'!$B:$B,$A424,'تجربه‌گرها'!$F:$F,E$1)</f>
        <v>0</v>
      </c>
      <c r="F424" s="242">
        <f>COUNTIFS('تجربه‌گرها'!$B:$B,$A424,'تجربه‌گرها'!$F:$F,F$1)</f>
        <v>0</v>
      </c>
      <c r="G424" s="242">
        <f>COUNTIFS('تجربه‌گرها'!$B:$B,$A424,'تجربه‌گرها'!$F:$F,G$1)</f>
        <v>1</v>
      </c>
      <c r="H424" s="242">
        <f>COUNTIFS('تجربه‌گرها'!$B:$B,$A424,'تجربه‌گرها'!$F:$F,H$1)</f>
        <v>0</v>
      </c>
      <c r="I424" s="242">
        <f>COUNTIFS('تجربه‌گرها'!$B:$B,$A424,'تجربه‌گرها'!$F:$F,I$1)</f>
        <v>0</v>
      </c>
      <c r="J424" s="242">
        <f>COUNTIFS('تجربه‌گرها'!$B:$B,$A424,'تجربه‌گرها'!$F:$F,J$1)</f>
        <v>0</v>
      </c>
      <c r="K424" s="242">
        <f>COUNTIFS('تجربه‌گرها'!$B:$B,$A424,'تجربه‌گرها'!$F:$F,K$1)</f>
        <v>0</v>
      </c>
      <c r="L424" s="242">
        <f>COUNTIFS('تجربه‌گرها'!$B:$B,$A424,'تجربه‌گرها'!$F:$F,L$1)</f>
        <v>0</v>
      </c>
      <c r="M424" s="242">
        <f>COUNTIFS('تجربه‌گرها'!$B:$B,$A424,'تجربه‌گرها'!$F:$F,M$1)</f>
        <v>0</v>
      </c>
      <c r="N424" s="242">
        <f>COUNTIFS('تجربه‌گرها'!$B:$B,$A424,'تجربه‌گرها'!$F:$F,N$1)</f>
        <v>0</v>
      </c>
      <c r="O424" s="242">
        <f>COUNTIFS('تجربه‌گرها'!$B:$B,$A424,'تجربه‌گرها'!$F:$F,O$1)</f>
        <v>0</v>
      </c>
      <c r="P424" s="242">
        <f>COUNTIFS('تجربه‌گرها'!$B:$B,$A424,'تجربه‌گرها'!$F:$F,P$1)</f>
        <v>0</v>
      </c>
      <c r="Q424" s="242">
        <f>COUNTIFS('تجربه‌گرها'!$B:$B,$A424,'تجربه‌گرها'!$F:$F,Q$1)</f>
        <v>0</v>
      </c>
      <c r="R424" s="242">
        <f>COUNTIFS('تجربه‌گرها'!$B:$B,$A424,'تجربه‌گرها'!$F:$F,R$1)</f>
        <v>0</v>
      </c>
      <c r="S424" s="242">
        <f>COUNTIFS('تجربه‌گرها'!$B:$B,$A424,'تجربه‌گرها'!$F:$F,S$1)</f>
        <v>0</v>
      </c>
      <c r="T424" s="242">
        <f>COUNTIFS('تجربه‌گرها'!$B:$B,$A424,'تجربه‌گرها'!$F:$F,T$1)</f>
        <v>0</v>
      </c>
      <c r="U424" s="242"/>
      <c r="V424" s="242"/>
      <c r="W424" s="242"/>
      <c r="X424" s="242"/>
      <c r="Y424" s="242"/>
      <c r="Z424" s="242"/>
      <c r="AA424" s="242"/>
      <c r="AB424" s="242"/>
    </row>
    <row r="425" hidden="1">
      <c r="A425" s="244" t="s">
        <v>2967</v>
      </c>
      <c r="B425" s="245" t="str">
        <f>VLOOKUP(A425,'تجربه‌گرها'!B:C,2,FALSE())</f>
        <v>9138373707</v>
      </c>
      <c r="C425" s="242"/>
      <c r="D425" s="242">
        <f t="shared" si="1"/>
        <v>1</v>
      </c>
      <c r="E425" s="242">
        <f>COUNTIFS('تجربه‌گرها'!$B:$B,$A425,'تجربه‌گرها'!$F:$F,E$1)</f>
        <v>0</v>
      </c>
      <c r="F425" s="242">
        <f>COUNTIFS('تجربه‌گرها'!$B:$B,$A425,'تجربه‌گرها'!$F:$F,F$1)</f>
        <v>0</v>
      </c>
      <c r="G425" s="242">
        <f>COUNTIFS('تجربه‌گرها'!$B:$B,$A425,'تجربه‌گرها'!$F:$F,G$1)</f>
        <v>1</v>
      </c>
      <c r="H425" s="242">
        <f>COUNTIFS('تجربه‌گرها'!$B:$B,$A425,'تجربه‌گرها'!$F:$F,H$1)</f>
        <v>0</v>
      </c>
      <c r="I425" s="242">
        <f>COUNTIFS('تجربه‌گرها'!$B:$B,$A425,'تجربه‌گرها'!$F:$F,I$1)</f>
        <v>0</v>
      </c>
      <c r="J425" s="242">
        <f>COUNTIFS('تجربه‌گرها'!$B:$B,$A425,'تجربه‌گرها'!$F:$F,J$1)</f>
        <v>0</v>
      </c>
      <c r="K425" s="242">
        <f>COUNTIFS('تجربه‌گرها'!$B:$B,$A425,'تجربه‌گرها'!$F:$F,K$1)</f>
        <v>0</v>
      </c>
      <c r="L425" s="242">
        <f>COUNTIFS('تجربه‌گرها'!$B:$B,$A425,'تجربه‌گرها'!$F:$F,L$1)</f>
        <v>0</v>
      </c>
      <c r="M425" s="242">
        <f>COUNTIFS('تجربه‌گرها'!$B:$B,$A425,'تجربه‌گرها'!$F:$F,M$1)</f>
        <v>0</v>
      </c>
      <c r="N425" s="242">
        <f>COUNTIFS('تجربه‌گرها'!$B:$B,$A425,'تجربه‌گرها'!$F:$F,N$1)</f>
        <v>0</v>
      </c>
      <c r="O425" s="242">
        <f>COUNTIFS('تجربه‌گرها'!$B:$B,$A425,'تجربه‌گرها'!$F:$F,O$1)</f>
        <v>0</v>
      </c>
      <c r="P425" s="242">
        <f>COUNTIFS('تجربه‌گرها'!$B:$B,$A425,'تجربه‌گرها'!$F:$F,P$1)</f>
        <v>0</v>
      </c>
      <c r="Q425" s="242">
        <f>COUNTIFS('تجربه‌گرها'!$B:$B,$A425,'تجربه‌گرها'!$F:$F,Q$1)</f>
        <v>0</v>
      </c>
      <c r="R425" s="242">
        <f>COUNTIFS('تجربه‌گرها'!$B:$B,$A425,'تجربه‌گرها'!$F:$F,R$1)</f>
        <v>0</v>
      </c>
      <c r="S425" s="242">
        <f>COUNTIFS('تجربه‌گرها'!$B:$B,$A425,'تجربه‌گرها'!$F:$F,S$1)</f>
        <v>0</v>
      </c>
      <c r="T425" s="242">
        <f>COUNTIFS('تجربه‌گرها'!$B:$B,$A425,'تجربه‌گرها'!$F:$F,T$1)</f>
        <v>0</v>
      </c>
      <c r="U425" s="242"/>
      <c r="V425" s="242"/>
      <c r="W425" s="242"/>
      <c r="X425" s="242"/>
      <c r="Y425" s="242"/>
      <c r="Z425" s="242"/>
      <c r="AA425" s="242"/>
      <c r="AB425" s="242"/>
    </row>
    <row r="426" hidden="1">
      <c r="A426" s="244" t="s">
        <v>2972</v>
      </c>
      <c r="B426" s="245" t="str">
        <f>VLOOKUP(A426,'تجربه‌گرها'!B:C,2,FALSE())</f>
        <v>9121268317</v>
      </c>
      <c r="C426" s="242"/>
      <c r="D426" s="242">
        <f t="shared" si="1"/>
        <v>1</v>
      </c>
      <c r="E426" s="242">
        <f>COUNTIFS('تجربه‌گرها'!$B:$B,$A426,'تجربه‌گرها'!$F:$F,E$1)</f>
        <v>0</v>
      </c>
      <c r="F426" s="242">
        <f>COUNTIFS('تجربه‌گرها'!$B:$B,$A426,'تجربه‌گرها'!$F:$F,F$1)</f>
        <v>0</v>
      </c>
      <c r="G426" s="242">
        <f>COUNTIFS('تجربه‌گرها'!$B:$B,$A426,'تجربه‌گرها'!$F:$F,G$1)</f>
        <v>1</v>
      </c>
      <c r="H426" s="242">
        <f>COUNTIFS('تجربه‌گرها'!$B:$B,$A426,'تجربه‌گرها'!$F:$F,H$1)</f>
        <v>0</v>
      </c>
      <c r="I426" s="242">
        <f>COUNTIFS('تجربه‌گرها'!$B:$B,$A426,'تجربه‌گرها'!$F:$F,I$1)</f>
        <v>0</v>
      </c>
      <c r="J426" s="242">
        <f>COUNTIFS('تجربه‌گرها'!$B:$B,$A426,'تجربه‌گرها'!$F:$F,J$1)</f>
        <v>0</v>
      </c>
      <c r="K426" s="242">
        <f>COUNTIFS('تجربه‌گرها'!$B:$B,$A426,'تجربه‌گرها'!$F:$F,K$1)</f>
        <v>0</v>
      </c>
      <c r="L426" s="242">
        <f>COUNTIFS('تجربه‌گرها'!$B:$B,$A426,'تجربه‌گرها'!$F:$F,L$1)</f>
        <v>0</v>
      </c>
      <c r="M426" s="242">
        <f>COUNTIFS('تجربه‌گرها'!$B:$B,$A426,'تجربه‌گرها'!$F:$F,M$1)</f>
        <v>0</v>
      </c>
      <c r="N426" s="242">
        <f>COUNTIFS('تجربه‌گرها'!$B:$B,$A426,'تجربه‌گرها'!$F:$F,N$1)</f>
        <v>0</v>
      </c>
      <c r="O426" s="242">
        <f>COUNTIFS('تجربه‌گرها'!$B:$B,$A426,'تجربه‌گرها'!$F:$F,O$1)</f>
        <v>0</v>
      </c>
      <c r="P426" s="242">
        <f>COUNTIFS('تجربه‌گرها'!$B:$B,$A426,'تجربه‌گرها'!$F:$F,P$1)</f>
        <v>0</v>
      </c>
      <c r="Q426" s="242">
        <f>COUNTIFS('تجربه‌گرها'!$B:$B,$A426,'تجربه‌گرها'!$F:$F,Q$1)</f>
        <v>0</v>
      </c>
      <c r="R426" s="242">
        <f>COUNTIFS('تجربه‌گرها'!$B:$B,$A426,'تجربه‌گرها'!$F:$F,R$1)</f>
        <v>0</v>
      </c>
      <c r="S426" s="242">
        <f>COUNTIFS('تجربه‌گرها'!$B:$B,$A426,'تجربه‌گرها'!$F:$F,S$1)</f>
        <v>0</v>
      </c>
      <c r="T426" s="242">
        <f>COUNTIFS('تجربه‌گرها'!$B:$B,$A426,'تجربه‌گرها'!$F:$F,T$1)</f>
        <v>0</v>
      </c>
      <c r="U426" s="242"/>
      <c r="V426" s="242"/>
      <c r="W426" s="242"/>
      <c r="X426" s="242"/>
      <c r="Y426" s="242"/>
      <c r="Z426" s="242"/>
      <c r="AA426" s="242"/>
      <c r="AB426" s="242"/>
    </row>
    <row r="427" hidden="1">
      <c r="A427" s="244" t="s">
        <v>2978</v>
      </c>
      <c r="B427" s="245" t="str">
        <f>VLOOKUP(A427,'تجربه‌گرها'!B:C,2,FALSE())</f>
        <v>9188720190</v>
      </c>
      <c r="C427" s="242"/>
      <c r="D427" s="242">
        <f t="shared" si="1"/>
        <v>1</v>
      </c>
      <c r="E427" s="242">
        <f>COUNTIFS('تجربه‌گرها'!$B:$B,$A427,'تجربه‌گرها'!$F:$F,E$1)</f>
        <v>0</v>
      </c>
      <c r="F427" s="242">
        <f>COUNTIFS('تجربه‌گرها'!$B:$B,$A427,'تجربه‌گرها'!$F:$F,F$1)</f>
        <v>0</v>
      </c>
      <c r="G427" s="242">
        <f>COUNTIFS('تجربه‌گرها'!$B:$B,$A427,'تجربه‌گرها'!$F:$F,G$1)</f>
        <v>1</v>
      </c>
      <c r="H427" s="242">
        <f>COUNTIFS('تجربه‌گرها'!$B:$B,$A427,'تجربه‌گرها'!$F:$F,H$1)</f>
        <v>0</v>
      </c>
      <c r="I427" s="242">
        <f>COUNTIFS('تجربه‌گرها'!$B:$B,$A427,'تجربه‌گرها'!$F:$F,I$1)</f>
        <v>0</v>
      </c>
      <c r="J427" s="242">
        <f>COUNTIFS('تجربه‌گرها'!$B:$B,$A427,'تجربه‌گرها'!$F:$F,J$1)</f>
        <v>0</v>
      </c>
      <c r="K427" s="242">
        <f>COUNTIFS('تجربه‌گرها'!$B:$B,$A427,'تجربه‌گرها'!$F:$F,K$1)</f>
        <v>0</v>
      </c>
      <c r="L427" s="242">
        <f>COUNTIFS('تجربه‌گرها'!$B:$B,$A427,'تجربه‌گرها'!$F:$F,L$1)</f>
        <v>0</v>
      </c>
      <c r="M427" s="242">
        <f>COUNTIFS('تجربه‌گرها'!$B:$B,$A427,'تجربه‌گرها'!$F:$F,M$1)</f>
        <v>0</v>
      </c>
      <c r="N427" s="242">
        <f>COUNTIFS('تجربه‌گرها'!$B:$B,$A427,'تجربه‌گرها'!$F:$F,N$1)</f>
        <v>0</v>
      </c>
      <c r="O427" s="242">
        <f>COUNTIFS('تجربه‌گرها'!$B:$B,$A427,'تجربه‌گرها'!$F:$F,O$1)</f>
        <v>0</v>
      </c>
      <c r="P427" s="242">
        <f>COUNTIFS('تجربه‌گرها'!$B:$B,$A427,'تجربه‌گرها'!$F:$F,P$1)</f>
        <v>0</v>
      </c>
      <c r="Q427" s="242">
        <f>COUNTIFS('تجربه‌گرها'!$B:$B,$A427,'تجربه‌گرها'!$F:$F,Q$1)</f>
        <v>0</v>
      </c>
      <c r="R427" s="242">
        <f>COUNTIFS('تجربه‌گرها'!$B:$B,$A427,'تجربه‌گرها'!$F:$F,R$1)</f>
        <v>0</v>
      </c>
      <c r="S427" s="242">
        <f>COUNTIFS('تجربه‌گرها'!$B:$B,$A427,'تجربه‌گرها'!$F:$F,S$1)</f>
        <v>0</v>
      </c>
      <c r="T427" s="242">
        <f>COUNTIFS('تجربه‌گرها'!$B:$B,$A427,'تجربه‌گرها'!$F:$F,T$1)</f>
        <v>0</v>
      </c>
      <c r="U427" s="242"/>
      <c r="V427" s="242"/>
      <c r="W427" s="242"/>
      <c r="X427" s="242"/>
      <c r="Y427" s="242"/>
      <c r="Z427" s="242"/>
      <c r="AA427" s="242"/>
      <c r="AB427" s="242"/>
    </row>
    <row r="428" hidden="1">
      <c r="A428" s="244" t="s">
        <v>2983</v>
      </c>
      <c r="B428" s="245" t="str">
        <f>VLOOKUP(A428,'تجربه‌گرها'!B:C,2,FALSE())</f>
        <v>9120713503</v>
      </c>
      <c r="C428" s="242"/>
      <c r="D428" s="242">
        <f t="shared" si="1"/>
        <v>1</v>
      </c>
      <c r="E428" s="242">
        <f>COUNTIFS('تجربه‌گرها'!$B:$B,$A428,'تجربه‌گرها'!$F:$F,E$1)</f>
        <v>0</v>
      </c>
      <c r="F428" s="242">
        <f>COUNTIFS('تجربه‌گرها'!$B:$B,$A428,'تجربه‌گرها'!$F:$F,F$1)</f>
        <v>0</v>
      </c>
      <c r="G428" s="242">
        <f>COUNTIFS('تجربه‌گرها'!$B:$B,$A428,'تجربه‌گرها'!$F:$F,G$1)</f>
        <v>1</v>
      </c>
      <c r="H428" s="242">
        <f>COUNTIFS('تجربه‌گرها'!$B:$B,$A428,'تجربه‌گرها'!$F:$F,H$1)</f>
        <v>0</v>
      </c>
      <c r="I428" s="242">
        <f>COUNTIFS('تجربه‌گرها'!$B:$B,$A428,'تجربه‌گرها'!$F:$F,I$1)</f>
        <v>0</v>
      </c>
      <c r="J428" s="242">
        <f>COUNTIFS('تجربه‌گرها'!$B:$B,$A428,'تجربه‌گرها'!$F:$F,J$1)</f>
        <v>0</v>
      </c>
      <c r="K428" s="242">
        <f>COUNTIFS('تجربه‌گرها'!$B:$B,$A428,'تجربه‌گرها'!$F:$F,K$1)</f>
        <v>0</v>
      </c>
      <c r="L428" s="242">
        <f>COUNTIFS('تجربه‌گرها'!$B:$B,$A428,'تجربه‌گرها'!$F:$F,L$1)</f>
        <v>0</v>
      </c>
      <c r="M428" s="242">
        <f>COUNTIFS('تجربه‌گرها'!$B:$B,$A428,'تجربه‌گرها'!$F:$F,M$1)</f>
        <v>0</v>
      </c>
      <c r="N428" s="242">
        <f>COUNTIFS('تجربه‌گرها'!$B:$B,$A428,'تجربه‌گرها'!$F:$F,N$1)</f>
        <v>0</v>
      </c>
      <c r="O428" s="242">
        <f>COUNTIFS('تجربه‌گرها'!$B:$B,$A428,'تجربه‌گرها'!$F:$F,O$1)</f>
        <v>0</v>
      </c>
      <c r="P428" s="242">
        <f>COUNTIFS('تجربه‌گرها'!$B:$B,$A428,'تجربه‌گرها'!$F:$F,P$1)</f>
        <v>0</v>
      </c>
      <c r="Q428" s="242">
        <f>COUNTIFS('تجربه‌گرها'!$B:$B,$A428,'تجربه‌گرها'!$F:$F,Q$1)</f>
        <v>0</v>
      </c>
      <c r="R428" s="242">
        <f>COUNTIFS('تجربه‌گرها'!$B:$B,$A428,'تجربه‌گرها'!$F:$F,R$1)</f>
        <v>0</v>
      </c>
      <c r="S428" s="242">
        <f>COUNTIFS('تجربه‌گرها'!$B:$B,$A428,'تجربه‌گرها'!$F:$F,S$1)</f>
        <v>0</v>
      </c>
      <c r="T428" s="242">
        <f>COUNTIFS('تجربه‌گرها'!$B:$B,$A428,'تجربه‌گرها'!$F:$F,T$1)</f>
        <v>0</v>
      </c>
      <c r="U428" s="242"/>
      <c r="V428" s="242"/>
      <c r="W428" s="242"/>
      <c r="X428" s="242"/>
      <c r="Y428" s="242"/>
      <c r="Z428" s="242"/>
      <c r="AA428" s="242"/>
      <c r="AB428" s="242"/>
    </row>
    <row r="429" hidden="1">
      <c r="A429" s="244" t="s">
        <v>2987</v>
      </c>
      <c r="B429" s="245" t="str">
        <f>VLOOKUP(A429,'تجربه‌گرها'!B:C,2,FALSE())</f>
        <v>9127068358</v>
      </c>
      <c r="C429" s="242"/>
      <c r="D429" s="242">
        <f t="shared" si="1"/>
        <v>1</v>
      </c>
      <c r="E429" s="242">
        <f>COUNTIFS('تجربه‌گرها'!$B:$B,$A429,'تجربه‌گرها'!$F:$F,E$1)</f>
        <v>0</v>
      </c>
      <c r="F429" s="242">
        <f>COUNTIFS('تجربه‌گرها'!$B:$B,$A429,'تجربه‌گرها'!$F:$F,F$1)</f>
        <v>0</v>
      </c>
      <c r="G429" s="242">
        <f>COUNTIFS('تجربه‌گرها'!$B:$B,$A429,'تجربه‌گرها'!$F:$F,G$1)</f>
        <v>1</v>
      </c>
      <c r="H429" s="242">
        <f>COUNTIFS('تجربه‌گرها'!$B:$B,$A429,'تجربه‌گرها'!$F:$F,H$1)</f>
        <v>0</v>
      </c>
      <c r="I429" s="242">
        <f>COUNTIFS('تجربه‌گرها'!$B:$B,$A429,'تجربه‌گرها'!$F:$F,I$1)</f>
        <v>0</v>
      </c>
      <c r="J429" s="242">
        <f>COUNTIFS('تجربه‌گرها'!$B:$B,$A429,'تجربه‌گرها'!$F:$F,J$1)</f>
        <v>0</v>
      </c>
      <c r="K429" s="242">
        <f>COUNTIFS('تجربه‌گرها'!$B:$B,$A429,'تجربه‌گرها'!$F:$F,K$1)</f>
        <v>0</v>
      </c>
      <c r="L429" s="242">
        <f>COUNTIFS('تجربه‌گرها'!$B:$B,$A429,'تجربه‌گرها'!$F:$F,L$1)</f>
        <v>0</v>
      </c>
      <c r="M429" s="242">
        <f>COUNTIFS('تجربه‌گرها'!$B:$B,$A429,'تجربه‌گرها'!$F:$F,M$1)</f>
        <v>0</v>
      </c>
      <c r="N429" s="242">
        <f>COUNTIFS('تجربه‌گرها'!$B:$B,$A429,'تجربه‌گرها'!$F:$F,N$1)</f>
        <v>0</v>
      </c>
      <c r="O429" s="242">
        <f>COUNTIFS('تجربه‌گرها'!$B:$B,$A429,'تجربه‌گرها'!$F:$F,O$1)</f>
        <v>0</v>
      </c>
      <c r="P429" s="242">
        <f>COUNTIFS('تجربه‌گرها'!$B:$B,$A429,'تجربه‌گرها'!$F:$F,P$1)</f>
        <v>0</v>
      </c>
      <c r="Q429" s="242">
        <f>COUNTIFS('تجربه‌گرها'!$B:$B,$A429,'تجربه‌گرها'!$F:$F,Q$1)</f>
        <v>0</v>
      </c>
      <c r="R429" s="242">
        <f>COUNTIFS('تجربه‌گرها'!$B:$B,$A429,'تجربه‌گرها'!$F:$F,R$1)</f>
        <v>0</v>
      </c>
      <c r="S429" s="242">
        <f>COUNTIFS('تجربه‌گرها'!$B:$B,$A429,'تجربه‌گرها'!$F:$F,S$1)</f>
        <v>0</v>
      </c>
      <c r="T429" s="242">
        <f>COUNTIFS('تجربه‌گرها'!$B:$B,$A429,'تجربه‌گرها'!$F:$F,T$1)</f>
        <v>0</v>
      </c>
      <c r="U429" s="242"/>
      <c r="V429" s="242"/>
      <c r="W429" s="242"/>
      <c r="X429" s="242"/>
      <c r="Y429" s="242"/>
      <c r="Z429" s="242"/>
      <c r="AA429" s="242"/>
      <c r="AB429" s="242"/>
    </row>
    <row r="430" hidden="1">
      <c r="A430" s="244" t="s">
        <v>2992</v>
      </c>
      <c r="B430" s="245" t="str">
        <f>VLOOKUP(A430,'تجربه‌گرها'!B:C,2,FALSE())</f>
        <v>9353405127</v>
      </c>
      <c r="C430" s="242"/>
      <c r="D430" s="242">
        <f t="shared" si="1"/>
        <v>1</v>
      </c>
      <c r="E430" s="242">
        <f>COUNTIFS('تجربه‌گرها'!$B:$B,$A430,'تجربه‌گرها'!$F:$F,E$1)</f>
        <v>0</v>
      </c>
      <c r="F430" s="242">
        <f>COUNTIFS('تجربه‌گرها'!$B:$B,$A430,'تجربه‌گرها'!$F:$F,F$1)</f>
        <v>0</v>
      </c>
      <c r="G430" s="242">
        <f>COUNTIFS('تجربه‌گرها'!$B:$B,$A430,'تجربه‌گرها'!$F:$F,G$1)</f>
        <v>1</v>
      </c>
      <c r="H430" s="242">
        <f>COUNTIFS('تجربه‌گرها'!$B:$B,$A430,'تجربه‌گرها'!$F:$F,H$1)</f>
        <v>0</v>
      </c>
      <c r="I430" s="242">
        <f>COUNTIFS('تجربه‌گرها'!$B:$B,$A430,'تجربه‌گرها'!$F:$F,I$1)</f>
        <v>0</v>
      </c>
      <c r="J430" s="242">
        <f>COUNTIFS('تجربه‌گرها'!$B:$B,$A430,'تجربه‌گرها'!$F:$F,J$1)</f>
        <v>0</v>
      </c>
      <c r="K430" s="242">
        <f>COUNTIFS('تجربه‌گرها'!$B:$B,$A430,'تجربه‌گرها'!$F:$F,K$1)</f>
        <v>0</v>
      </c>
      <c r="L430" s="242">
        <f>COUNTIFS('تجربه‌گرها'!$B:$B,$A430,'تجربه‌گرها'!$F:$F,L$1)</f>
        <v>0</v>
      </c>
      <c r="M430" s="242">
        <f>COUNTIFS('تجربه‌گرها'!$B:$B,$A430,'تجربه‌گرها'!$F:$F,M$1)</f>
        <v>0</v>
      </c>
      <c r="N430" s="242">
        <f>COUNTIFS('تجربه‌گرها'!$B:$B,$A430,'تجربه‌گرها'!$F:$F,N$1)</f>
        <v>0</v>
      </c>
      <c r="O430" s="242">
        <f>COUNTIFS('تجربه‌گرها'!$B:$B,$A430,'تجربه‌گرها'!$F:$F,O$1)</f>
        <v>0</v>
      </c>
      <c r="P430" s="242">
        <f>COUNTIFS('تجربه‌گرها'!$B:$B,$A430,'تجربه‌گرها'!$F:$F,P$1)</f>
        <v>0</v>
      </c>
      <c r="Q430" s="242">
        <f>COUNTIFS('تجربه‌گرها'!$B:$B,$A430,'تجربه‌گرها'!$F:$F,Q$1)</f>
        <v>0</v>
      </c>
      <c r="R430" s="242">
        <f>COUNTIFS('تجربه‌گرها'!$B:$B,$A430,'تجربه‌گرها'!$F:$F,R$1)</f>
        <v>0</v>
      </c>
      <c r="S430" s="242">
        <f>COUNTIFS('تجربه‌گرها'!$B:$B,$A430,'تجربه‌گرها'!$F:$F,S$1)</f>
        <v>0</v>
      </c>
      <c r="T430" s="242">
        <f>COUNTIFS('تجربه‌گرها'!$B:$B,$A430,'تجربه‌گرها'!$F:$F,T$1)</f>
        <v>0</v>
      </c>
      <c r="U430" s="242"/>
      <c r="V430" s="242"/>
      <c r="W430" s="242"/>
      <c r="X430" s="242"/>
      <c r="Y430" s="242"/>
      <c r="Z430" s="242"/>
      <c r="AA430" s="242"/>
      <c r="AB430" s="242"/>
    </row>
    <row r="431" hidden="1">
      <c r="A431" s="244" t="s">
        <v>2998</v>
      </c>
      <c r="B431" s="245" t="str">
        <f>VLOOKUP(A431,'تجربه‌گرها'!B:C,2,FALSE())</f>
        <v>9124469385</v>
      </c>
      <c r="C431" s="242"/>
      <c r="D431" s="242">
        <f t="shared" si="1"/>
        <v>1</v>
      </c>
      <c r="E431" s="242">
        <f>COUNTIFS('تجربه‌گرها'!$B:$B,$A431,'تجربه‌گرها'!$F:$F,E$1)</f>
        <v>0</v>
      </c>
      <c r="F431" s="242">
        <f>COUNTIFS('تجربه‌گرها'!$B:$B,$A431,'تجربه‌گرها'!$F:$F,F$1)</f>
        <v>0</v>
      </c>
      <c r="G431" s="242">
        <f>COUNTIFS('تجربه‌گرها'!$B:$B,$A431,'تجربه‌گرها'!$F:$F,G$1)</f>
        <v>1</v>
      </c>
      <c r="H431" s="242">
        <f>COUNTIFS('تجربه‌گرها'!$B:$B,$A431,'تجربه‌گرها'!$F:$F,H$1)</f>
        <v>0</v>
      </c>
      <c r="I431" s="242">
        <f>COUNTIFS('تجربه‌گرها'!$B:$B,$A431,'تجربه‌گرها'!$F:$F,I$1)</f>
        <v>0</v>
      </c>
      <c r="J431" s="242">
        <f>COUNTIFS('تجربه‌گرها'!$B:$B,$A431,'تجربه‌گرها'!$F:$F,J$1)</f>
        <v>0</v>
      </c>
      <c r="K431" s="242">
        <f>COUNTIFS('تجربه‌گرها'!$B:$B,$A431,'تجربه‌گرها'!$F:$F,K$1)</f>
        <v>0</v>
      </c>
      <c r="L431" s="242">
        <f>COUNTIFS('تجربه‌گرها'!$B:$B,$A431,'تجربه‌گرها'!$F:$F,L$1)</f>
        <v>0</v>
      </c>
      <c r="M431" s="242">
        <f>COUNTIFS('تجربه‌گرها'!$B:$B,$A431,'تجربه‌گرها'!$F:$F,M$1)</f>
        <v>0</v>
      </c>
      <c r="N431" s="242">
        <f>COUNTIFS('تجربه‌گرها'!$B:$B,$A431,'تجربه‌گرها'!$F:$F,N$1)</f>
        <v>0</v>
      </c>
      <c r="O431" s="242">
        <f>COUNTIFS('تجربه‌گرها'!$B:$B,$A431,'تجربه‌گرها'!$F:$F,O$1)</f>
        <v>0</v>
      </c>
      <c r="P431" s="242">
        <f>COUNTIFS('تجربه‌گرها'!$B:$B,$A431,'تجربه‌گرها'!$F:$F,P$1)</f>
        <v>0</v>
      </c>
      <c r="Q431" s="242">
        <f>COUNTIFS('تجربه‌گرها'!$B:$B,$A431,'تجربه‌گرها'!$F:$F,Q$1)</f>
        <v>0</v>
      </c>
      <c r="R431" s="242">
        <f>COUNTIFS('تجربه‌گرها'!$B:$B,$A431,'تجربه‌گرها'!$F:$F,R$1)</f>
        <v>0</v>
      </c>
      <c r="S431" s="242">
        <f>COUNTIFS('تجربه‌گرها'!$B:$B,$A431,'تجربه‌گرها'!$F:$F,S$1)</f>
        <v>0</v>
      </c>
      <c r="T431" s="242">
        <f>COUNTIFS('تجربه‌گرها'!$B:$B,$A431,'تجربه‌گرها'!$F:$F,T$1)</f>
        <v>0</v>
      </c>
      <c r="U431" s="242"/>
      <c r="V431" s="242"/>
      <c r="W431" s="242"/>
      <c r="X431" s="242"/>
      <c r="Y431" s="242"/>
      <c r="Z431" s="242"/>
      <c r="AA431" s="242"/>
      <c r="AB431" s="242"/>
    </row>
    <row r="432" hidden="1">
      <c r="A432" s="244" t="s">
        <v>3003</v>
      </c>
      <c r="B432" s="245" t="str">
        <f>VLOOKUP(A432,'تجربه‌گرها'!B:C,2,FALSE())</f>
        <v>9013282298</v>
      </c>
      <c r="C432" s="242"/>
      <c r="D432" s="242">
        <f t="shared" si="1"/>
        <v>2</v>
      </c>
      <c r="E432" s="242">
        <f>COUNTIFS('تجربه‌گرها'!$B:$B,$A432,'تجربه‌گرها'!$F:$F,E$1)</f>
        <v>0</v>
      </c>
      <c r="F432" s="242">
        <f>COUNTIFS('تجربه‌گرها'!$B:$B,$A432,'تجربه‌گرها'!$F:$F,F$1)</f>
        <v>0</v>
      </c>
      <c r="G432" s="242">
        <f>COUNTIFS('تجربه‌گرها'!$B:$B,$A432,'تجربه‌گرها'!$F:$F,G$1)</f>
        <v>1</v>
      </c>
      <c r="H432" s="242">
        <f>COUNTIFS('تجربه‌گرها'!$B:$B,$A432,'تجربه‌گرها'!$F:$F,H$1)</f>
        <v>0</v>
      </c>
      <c r="I432" s="242">
        <f>COUNTIFS('تجربه‌گرها'!$B:$B,$A432,'تجربه‌گرها'!$F:$F,I$1)</f>
        <v>0</v>
      </c>
      <c r="J432" s="242">
        <f>COUNTIFS('تجربه‌گرها'!$B:$B,$A432,'تجربه‌گرها'!$F:$F,J$1)</f>
        <v>0</v>
      </c>
      <c r="K432" s="242">
        <f>COUNTIFS('تجربه‌گرها'!$B:$B,$A432,'تجربه‌گرها'!$F:$F,K$1)</f>
        <v>0</v>
      </c>
      <c r="L432" s="242">
        <f>COUNTIFS('تجربه‌گرها'!$B:$B,$A432,'تجربه‌گرها'!$F:$F,L$1)</f>
        <v>0</v>
      </c>
      <c r="M432" s="242">
        <f>COUNTIFS('تجربه‌گرها'!$B:$B,$A432,'تجربه‌گرها'!$F:$F,M$1)</f>
        <v>0</v>
      </c>
      <c r="N432" s="242">
        <f>COUNTIFS('تجربه‌گرها'!$B:$B,$A432,'تجربه‌گرها'!$F:$F,N$1)</f>
        <v>1</v>
      </c>
      <c r="O432" s="242">
        <f>COUNTIFS('تجربه‌گرها'!$B:$B,$A432,'تجربه‌گرها'!$F:$F,O$1)</f>
        <v>0</v>
      </c>
      <c r="P432" s="242">
        <f>COUNTIFS('تجربه‌گرها'!$B:$B,$A432,'تجربه‌گرها'!$F:$F,P$1)</f>
        <v>0</v>
      </c>
      <c r="Q432" s="242">
        <f>COUNTIFS('تجربه‌گرها'!$B:$B,$A432,'تجربه‌گرها'!$F:$F,Q$1)</f>
        <v>0</v>
      </c>
      <c r="R432" s="242">
        <f>COUNTIFS('تجربه‌گرها'!$B:$B,$A432,'تجربه‌گرها'!$F:$F,R$1)</f>
        <v>0</v>
      </c>
      <c r="S432" s="242">
        <f>COUNTIFS('تجربه‌گرها'!$B:$B,$A432,'تجربه‌گرها'!$F:$F,S$1)</f>
        <v>0</v>
      </c>
      <c r="T432" s="242">
        <f>COUNTIFS('تجربه‌گرها'!$B:$B,$A432,'تجربه‌گرها'!$F:$F,T$1)</f>
        <v>0</v>
      </c>
      <c r="U432" s="242"/>
      <c r="V432" s="242"/>
      <c r="W432" s="242"/>
      <c r="X432" s="242"/>
      <c r="Y432" s="242"/>
      <c r="Z432" s="242"/>
      <c r="AA432" s="242"/>
      <c r="AB432" s="242"/>
    </row>
    <row r="433" hidden="1">
      <c r="A433" s="244" t="s">
        <v>3009</v>
      </c>
      <c r="B433" s="245" t="str">
        <f>VLOOKUP(A433,'تجربه‌گرها'!B:C,2,FALSE())</f>
        <v>9128128482</v>
      </c>
      <c r="C433" s="242"/>
      <c r="D433" s="242">
        <f t="shared" si="1"/>
        <v>1</v>
      </c>
      <c r="E433" s="242">
        <f>COUNTIFS('تجربه‌گرها'!$B:$B,$A433,'تجربه‌گرها'!$F:$F,E$1)</f>
        <v>0</v>
      </c>
      <c r="F433" s="242">
        <f>COUNTIFS('تجربه‌گرها'!$B:$B,$A433,'تجربه‌گرها'!$F:$F,F$1)</f>
        <v>0</v>
      </c>
      <c r="G433" s="242">
        <f>COUNTIFS('تجربه‌گرها'!$B:$B,$A433,'تجربه‌گرها'!$F:$F,G$1)</f>
        <v>1</v>
      </c>
      <c r="H433" s="242">
        <f>COUNTIFS('تجربه‌گرها'!$B:$B,$A433,'تجربه‌گرها'!$F:$F,H$1)</f>
        <v>0</v>
      </c>
      <c r="I433" s="242">
        <f>COUNTIFS('تجربه‌گرها'!$B:$B,$A433,'تجربه‌گرها'!$F:$F,I$1)</f>
        <v>0</v>
      </c>
      <c r="J433" s="242">
        <f>COUNTIFS('تجربه‌گرها'!$B:$B,$A433,'تجربه‌گرها'!$F:$F,J$1)</f>
        <v>0</v>
      </c>
      <c r="K433" s="242">
        <f>COUNTIFS('تجربه‌گرها'!$B:$B,$A433,'تجربه‌گرها'!$F:$F,K$1)</f>
        <v>0</v>
      </c>
      <c r="L433" s="242">
        <f>COUNTIFS('تجربه‌گرها'!$B:$B,$A433,'تجربه‌گرها'!$F:$F,L$1)</f>
        <v>0</v>
      </c>
      <c r="M433" s="242">
        <f>COUNTIFS('تجربه‌گرها'!$B:$B,$A433,'تجربه‌گرها'!$F:$F,M$1)</f>
        <v>0</v>
      </c>
      <c r="N433" s="242">
        <f>COUNTIFS('تجربه‌گرها'!$B:$B,$A433,'تجربه‌گرها'!$F:$F,N$1)</f>
        <v>0</v>
      </c>
      <c r="O433" s="242">
        <f>COUNTIFS('تجربه‌گرها'!$B:$B,$A433,'تجربه‌گرها'!$F:$F,O$1)</f>
        <v>0</v>
      </c>
      <c r="P433" s="242">
        <f>COUNTIFS('تجربه‌گرها'!$B:$B,$A433,'تجربه‌گرها'!$F:$F,P$1)</f>
        <v>0</v>
      </c>
      <c r="Q433" s="242">
        <f>COUNTIFS('تجربه‌گرها'!$B:$B,$A433,'تجربه‌گرها'!$F:$F,Q$1)</f>
        <v>0</v>
      </c>
      <c r="R433" s="242">
        <f>COUNTIFS('تجربه‌گرها'!$B:$B,$A433,'تجربه‌گرها'!$F:$F,R$1)</f>
        <v>0</v>
      </c>
      <c r="S433" s="242">
        <f>COUNTIFS('تجربه‌گرها'!$B:$B,$A433,'تجربه‌گرها'!$F:$F,S$1)</f>
        <v>0</v>
      </c>
      <c r="T433" s="242">
        <f>COUNTIFS('تجربه‌گرها'!$B:$B,$A433,'تجربه‌گرها'!$F:$F,T$1)</f>
        <v>0</v>
      </c>
      <c r="U433" s="242"/>
      <c r="V433" s="242"/>
      <c r="W433" s="242"/>
      <c r="X433" s="242"/>
      <c r="Y433" s="242"/>
      <c r="Z433" s="242"/>
      <c r="AA433" s="242"/>
      <c r="AB433" s="242"/>
    </row>
    <row r="434" hidden="1">
      <c r="A434" s="244" t="s">
        <v>3013</v>
      </c>
      <c r="B434" s="245" t="str">
        <f>VLOOKUP(A434,'تجربه‌گرها'!B:C,2,FALSE())</f>
        <v>9128487839</v>
      </c>
      <c r="C434" s="242"/>
      <c r="D434" s="242">
        <f t="shared" si="1"/>
        <v>2</v>
      </c>
      <c r="E434" s="242">
        <f>COUNTIFS('تجربه‌گرها'!$B:$B,$A434,'تجربه‌گرها'!$F:$F,E$1)</f>
        <v>0</v>
      </c>
      <c r="F434" s="242">
        <f>COUNTIFS('تجربه‌گرها'!$B:$B,$A434,'تجربه‌گرها'!$F:$F,F$1)</f>
        <v>0</v>
      </c>
      <c r="G434" s="242">
        <f>COUNTIFS('تجربه‌گرها'!$B:$B,$A434,'تجربه‌گرها'!$F:$F,G$1)</f>
        <v>1</v>
      </c>
      <c r="H434" s="242">
        <f>COUNTIFS('تجربه‌گرها'!$B:$B,$A434,'تجربه‌گرها'!$F:$F,H$1)</f>
        <v>0</v>
      </c>
      <c r="I434" s="242">
        <f>COUNTIFS('تجربه‌گرها'!$B:$B,$A434,'تجربه‌گرها'!$F:$F,I$1)</f>
        <v>0</v>
      </c>
      <c r="J434" s="242">
        <f>COUNTIFS('تجربه‌گرها'!$B:$B,$A434,'تجربه‌گرها'!$F:$F,J$1)</f>
        <v>1</v>
      </c>
      <c r="K434" s="242">
        <f>COUNTIFS('تجربه‌گرها'!$B:$B,$A434,'تجربه‌گرها'!$F:$F,K$1)</f>
        <v>0</v>
      </c>
      <c r="L434" s="242">
        <f>COUNTIFS('تجربه‌گرها'!$B:$B,$A434,'تجربه‌گرها'!$F:$F,L$1)</f>
        <v>0</v>
      </c>
      <c r="M434" s="242">
        <f>COUNTIFS('تجربه‌گرها'!$B:$B,$A434,'تجربه‌گرها'!$F:$F,M$1)</f>
        <v>0</v>
      </c>
      <c r="N434" s="242">
        <f>COUNTIFS('تجربه‌گرها'!$B:$B,$A434,'تجربه‌گرها'!$F:$F,N$1)</f>
        <v>0</v>
      </c>
      <c r="O434" s="242">
        <f>COUNTIFS('تجربه‌گرها'!$B:$B,$A434,'تجربه‌گرها'!$F:$F,O$1)</f>
        <v>0</v>
      </c>
      <c r="P434" s="242">
        <f>COUNTIFS('تجربه‌گرها'!$B:$B,$A434,'تجربه‌گرها'!$F:$F,P$1)</f>
        <v>0</v>
      </c>
      <c r="Q434" s="242">
        <f>COUNTIFS('تجربه‌گرها'!$B:$B,$A434,'تجربه‌گرها'!$F:$F,Q$1)</f>
        <v>0</v>
      </c>
      <c r="R434" s="242">
        <f>COUNTIFS('تجربه‌گرها'!$B:$B,$A434,'تجربه‌گرها'!$F:$F,R$1)</f>
        <v>0</v>
      </c>
      <c r="S434" s="242">
        <f>COUNTIFS('تجربه‌گرها'!$B:$B,$A434,'تجربه‌گرها'!$F:$F,S$1)</f>
        <v>0</v>
      </c>
      <c r="T434" s="242">
        <f>COUNTIFS('تجربه‌گرها'!$B:$B,$A434,'تجربه‌گرها'!$F:$F,T$1)</f>
        <v>0</v>
      </c>
      <c r="U434" s="242"/>
      <c r="V434" s="242"/>
      <c r="W434" s="242"/>
      <c r="X434" s="242"/>
      <c r="Y434" s="242"/>
      <c r="Z434" s="242"/>
      <c r="AA434" s="242"/>
      <c r="AB434" s="242"/>
    </row>
    <row r="435">
      <c r="A435" s="244" t="s">
        <v>3018</v>
      </c>
      <c r="B435" s="245" t="str">
        <f>VLOOKUP(A435,'تجربه‌گرها'!B:C,2,FALSE())</f>
        <v>9123335194</v>
      </c>
      <c r="C435" s="242"/>
      <c r="D435" s="242">
        <f t="shared" si="1"/>
        <v>1</v>
      </c>
      <c r="E435" s="242">
        <f>COUNTIFS('تجربه‌گرها'!$B:$B,$A435,'تجربه‌گرها'!$F:$F,E$1)</f>
        <v>0</v>
      </c>
      <c r="F435" s="242">
        <f>COUNTIFS('تجربه‌گرها'!$B:$B,$A435,'تجربه‌گرها'!$F:$F,F$1)</f>
        <v>0</v>
      </c>
      <c r="G435" s="242">
        <f>COUNTIFS('تجربه‌گرها'!$B:$B,$A435,'تجربه‌گرها'!$F:$F,G$1)</f>
        <v>1</v>
      </c>
      <c r="H435" s="242">
        <f>COUNTIFS('تجربه‌گرها'!$B:$B,$A435,'تجربه‌گرها'!$F:$F,H$1)</f>
        <v>0</v>
      </c>
      <c r="I435" s="242">
        <f>COUNTIFS('تجربه‌گرها'!$B:$B,$A435,'تجربه‌گرها'!$F:$F,I$1)</f>
        <v>0</v>
      </c>
      <c r="J435" s="242">
        <f>COUNTIFS('تجربه‌گرها'!$B:$B,$A435,'تجربه‌گرها'!$F:$F,J$1)</f>
        <v>0</v>
      </c>
      <c r="K435" s="242">
        <f>COUNTIFS('تجربه‌گرها'!$B:$B,$A435,'تجربه‌گرها'!$F:$F,K$1)</f>
        <v>0</v>
      </c>
      <c r="L435" s="242">
        <f>COUNTIFS('تجربه‌گرها'!$B:$B,$A435,'تجربه‌گرها'!$F:$F,L$1)</f>
        <v>0</v>
      </c>
      <c r="M435" s="242">
        <f>COUNTIFS('تجربه‌گرها'!$B:$B,$A435,'تجربه‌گرها'!$F:$F,M$1)</f>
        <v>0</v>
      </c>
      <c r="N435" s="242">
        <f>COUNTIFS('تجربه‌گرها'!$B:$B,$A435,'تجربه‌گرها'!$F:$F,N$1)</f>
        <v>0</v>
      </c>
      <c r="O435" s="242">
        <f>COUNTIFS('تجربه‌گرها'!$B:$B,$A435,'تجربه‌گرها'!$F:$F,O$1)</f>
        <v>0</v>
      </c>
      <c r="P435" s="242">
        <f>COUNTIFS('تجربه‌گرها'!$B:$B,$A435,'تجربه‌گرها'!$F:$F,P$1)</f>
        <v>0</v>
      </c>
      <c r="Q435" s="242">
        <f>COUNTIFS('تجربه‌گرها'!$B:$B,$A435,'تجربه‌گرها'!$F:$F,Q$1)</f>
        <v>0</v>
      </c>
      <c r="R435" s="242">
        <f>COUNTIFS('تجربه‌گرها'!$B:$B,$A435,'تجربه‌گرها'!$F:$F,R$1)</f>
        <v>0</v>
      </c>
      <c r="S435" s="242">
        <f>COUNTIFS('تجربه‌گرها'!$B:$B,$A435,'تجربه‌گرها'!$F:$F,S$1)</f>
        <v>0</v>
      </c>
      <c r="T435" s="242">
        <f>COUNTIFS('تجربه‌گرها'!$B:$B,$A435,'تجربه‌گرها'!$F:$F,T$1)</f>
        <v>0</v>
      </c>
      <c r="U435" s="242"/>
      <c r="V435" s="242"/>
      <c r="W435" s="242"/>
      <c r="X435" s="242"/>
      <c r="Y435" s="242"/>
      <c r="Z435" s="242"/>
      <c r="AA435" s="242"/>
      <c r="AB435" s="242"/>
    </row>
    <row r="436" hidden="1">
      <c r="A436" s="244" t="s">
        <v>3023</v>
      </c>
      <c r="B436" s="245" t="str">
        <f>VLOOKUP(A436,'تجربه‌گرها'!B:C,2,FALSE())</f>
        <v>9126494826</v>
      </c>
      <c r="C436" s="242"/>
      <c r="D436" s="242">
        <f t="shared" si="1"/>
        <v>1</v>
      </c>
      <c r="E436" s="242">
        <f>COUNTIFS('تجربه‌گرها'!$B:$B,$A436,'تجربه‌گرها'!$F:$F,E$1)</f>
        <v>0</v>
      </c>
      <c r="F436" s="242">
        <f>COUNTIFS('تجربه‌گرها'!$B:$B,$A436,'تجربه‌گرها'!$F:$F,F$1)</f>
        <v>0</v>
      </c>
      <c r="G436" s="242">
        <f>COUNTIFS('تجربه‌گرها'!$B:$B,$A436,'تجربه‌گرها'!$F:$F,G$1)</f>
        <v>1</v>
      </c>
      <c r="H436" s="242">
        <f>COUNTIFS('تجربه‌گرها'!$B:$B,$A436,'تجربه‌گرها'!$F:$F,H$1)</f>
        <v>0</v>
      </c>
      <c r="I436" s="242">
        <f>COUNTIFS('تجربه‌گرها'!$B:$B,$A436,'تجربه‌گرها'!$F:$F,I$1)</f>
        <v>0</v>
      </c>
      <c r="J436" s="242">
        <f>COUNTIFS('تجربه‌گرها'!$B:$B,$A436,'تجربه‌گرها'!$F:$F,J$1)</f>
        <v>0</v>
      </c>
      <c r="K436" s="242">
        <f>COUNTIFS('تجربه‌گرها'!$B:$B,$A436,'تجربه‌گرها'!$F:$F,K$1)</f>
        <v>0</v>
      </c>
      <c r="L436" s="242">
        <f>COUNTIFS('تجربه‌گرها'!$B:$B,$A436,'تجربه‌گرها'!$F:$F,L$1)</f>
        <v>0</v>
      </c>
      <c r="M436" s="242">
        <f>COUNTIFS('تجربه‌گرها'!$B:$B,$A436,'تجربه‌گرها'!$F:$F,M$1)</f>
        <v>0</v>
      </c>
      <c r="N436" s="242">
        <f>COUNTIFS('تجربه‌گرها'!$B:$B,$A436,'تجربه‌گرها'!$F:$F,N$1)</f>
        <v>0</v>
      </c>
      <c r="O436" s="242">
        <f>COUNTIFS('تجربه‌گرها'!$B:$B,$A436,'تجربه‌گرها'!$F:$F,O$1)</f>
        <v>0</v>
      </c>
      <c r="P436" s="242">
        <f>COUNTIFS('تجربه‌گرها'!$B:$B,$A436,'تجربه‌گرها'!$F:$F,P$1)</f>
        <v>0</v>
      </c>
      <c r="Q436" s="242">
        <f>COUNTIFS('تجربه‌گرها'!$B:$B,$A436,'تجربه‌گرها'!$F:$F,Q$1)</f>
        <v>0</v>
      </c>
      <c r="R436" s="242">
        <f>COUNTIFS('تجربه‌گرها'!$B:$B,$A436,'تجربه‌گرها'!$F:$F,R$1)</f>
        <v>0</v>
      </c>
      <c r="S436" s="242">
        <f>COUNTIFS('تجربه‌گرها'!$B:$B,$A436,'تجربه‌گرها'!$F:$F,S$1)</f>
        <v>0</v>
      </c>
      <c r="T436" s="242">
        <f>COUNTIFS('تجربه‌گرها'!$B:$B,$A436,'تجربه‌گرها'!$F:$F,T$1)</f>
        <v>0</v>
      </c>
      <c r="U436" s="242"/>
      <c r="V436" s="242"/>
      <c r="W436" s="242"/>
      <c r="X436" s="242"/>
      <c r="Y436" s="242"/>
      <c r="Z436" s="242"/>
      <c r="AA436" s="242"/>
      <c r="AB436" s="242"/>
    </row>
    <row r="437">
      <c r="A437" s="244" t="s">
        <v>3028</v>
      </c>
      <c r="B437" s="245" t="str">
        <f>VLOOKUP(A437,'تجربه‌گرها'!B:C,2,FALSE())</f>
        <v>9128900514</v>
      </c>
      <c r="C437" s="242"/>
      <c r="D437" s="242">
        <f t="shared" si="1"/>
        <v>1</v>
      </c>
      <c r="E437" s="242">
        <f>COUNTIFS('تجربه‌گرها'!$B:$B,$A437,'تجربه‌گرها'!$F:$F,E$1)</f>
        <v>0</v>
      </c>
      <c r="F437" s="242">
        <f>COUNTIFS('تجربه‌گرها'!$B:$B,$A437,'تجربه‌گرها'!$F:$F,F$1)</f>
        <v>0</v>
      </c>
      <c r="G437" s="242">
        <f>COUNTIFS('تجربه‌گرها'!$B:$B,$A437,'تجربه‌گرها'!$F:$F,G$1)</f>
        <v>1</v>
      </c>
      <c r="H437" s="242">
        <f>COUNTIFS('تجربه‌گرها'!$B:$B,$A437,'تجربه‌گرها'!$F:$F,H$1)</f>
        <v>0</v>
      </c>
      <c r="I437" s="242">
        <f>COUNTIFS('تجربه‌گرها'!$B:$B,$A437,'تجربه‌گرها'!$F:$F,I$1)</f>
        <v>0</v>
      </c>
      <c r="J437" s="242">
        <f>COUNTIFS('تجربه‌گرها'!$B:$B,$A437,'تجربه‌گرها'!$F:$F,J$1)</f>
        <v>0</v>
      </c>
      <c r="K437" s="242">
        <f>COUNTIFS('تجربه‌گرها'!$B:$B,$A437,'تجربه‌گرها'!$F:$F,K$1)</f>
        <v>0</v>
      </c>
      <c r="L437" s="242">
        <f>COUNTIFS('تجربه‌گرها'!$B:$B,$A437,'تجربه‌گرها'!$F:$F,L$1)</f>
        <v>0</v>
      </c>
      <c r="M437" s="242">
        <f>COUNTIFS('تجربه‌گرها'!$B:$B,$A437,'تجربه‌گرها'!$F:$F,M$1)</f>
        <v>0</v>
      </c>
      <c r="N437" s="242">
        <f>COUNTIFS('تجربه‌گرها'!$B:$B,$A437,'تجربه‌گرها'!$F:$F,N$1)</f>
        <v>0</v>
      </c>
      <c r="O437" s="242">
        <f>COUNTIFS('تجربه‌گرها'!$B:$B,$A437,'تجربه‌گرها'!$F:$F,O$1)</f>
        <v>0</v>
      </c>
      <c r="P437" s="242">
        <f>COUNTIFS('تجربه‌گرها'!$B:$B,$A437,'تجربه‌گرها'!$F:$F,P$1)</f>
        <v>0</v>
      </c>
      <c r="Q437" s="242">
        <f>COUNTIFS('تجربه‌گرها'!$B:$B,$A437,'تجربه‌گرها'!$F:$F,Q$1)</f>
        <v>0</v>
      </c>
      <c r="R437" s="242">
        <f>COUNTIFS('تجربه‌گرها'!$B:$B,$A437,'تجربه‌گرها'!$F:$F,R$1)</f>
        <v>0</v>
      </c>
      <c r="S437" s="242">
        <f>COUNTIFS('تجربه‌گرها'!$B:$B,$A437,'تجربه‌گرها'!$F:$F,S$1)</f>
        <v>0</v>
      </c>
      <c r="T437" s="242">
        <f>COUNTIFS('تجربه‌گرها'!$B:$B,$A437,'تجربه‌گرها'!$F:$F,T$1)</f>
        <v>0</v>
      </c>
      <c r="U437" s="242"/>
      <c r="V437" s="242"/>
      <c r="W437" s="242"/>
      <c r="X437" s="242"/>
      <c r="Y437" s="242"/>
      <c r="Z437" s="242"/>
      <c r="AA437" s="242"/>
      <c r="AB437" s="242"/>
    </row>
    <row r="438" hidden="1">
      <c r="A438" s="244" t="s">
        <v>3033</v>
      </c>
      <c r="B438" s="245" t="str">
        <f>VLOOKUP(A438,'تجربه‌گرها'!B:C,2,FALSE())</f>
        <v>9126710295</v>
      </c>
      <c r="C438" s="242"/>
      <c r="D438" s="242">
        <f t="shared" si="1"/>
        <v>1</v>
      </c>
      <c r="E438" s="242">
        <f>COUNTIFS('تجربه‌گرها'!$B:$B,$A438,'تجربه‌گرها'!$F:$F,E$1)</f>
        <v>0</v>
      </c>
      <c r="F438" s="242">
        <f>COUNTIFS('تجربه‌گرها'!$B:$B,$A438,'تجربه‌گرها'!$F:$F,F$1)</f>
        <v>0</v>
      </c>
      <c r="G438" s="242">
        <f>COUNTIFS('تجربه‌گرها'!$B:$B,$A438,'تجربه‌گرها'!$F:$F,G$1)</f>
        <v>1</v>
      </c>
      <c r="H438" s="242">
        <f>COUNTIFS('تجربه‌گرها'!$B:$B,$A438,'تجربه‌گرها'!$F:$F,H$1)</f>
        <v>0</v>
      </c>
      <c r="I438" s="242">
        <f>COUNTIFS('تجربه‌گرها'!$B:$B,$A438,'تجربه‌گرها'!$F:$F,I$1)</f>
        <v>0</v>
      </c>
      <c r="J438" s="242">
        <f>COUNTIFS('تجربه‌گرها'!$B:$B,$A438,'تجربه‌گرها'!$F:$F,J$1)</f>
        <v>0</v>
      </c>
      <c r="K438" s="242">
        <f>COUNTIFS('تجربه‌گرها'!$B:$B,$A438,'تجربه‌گرها'!$F:$F,K$1)</f>
        <v>0</v>
      </c>
      <c r="L438" s="242">
        <f>COUNTIFS('تجربه‌گرها'!$B:$B,$A438,'تجربه‌گرها'!$F:$F,L$1)</f>
        <v>0</v>
      </c>
      <c r="M438" s="242">
        <f>COUNTIFS('تجربه‌گرها'!$B:$B,$A438,'تجربه‌گرها'!$F:$F,M$1)</f>
        <v>0</v>
      </c>
      <c r="N438" s="242">
        <f>COUNTIFS('تجربه‌گرها'!$B:$B,$A438,'تجربه‌گرها'!$F:$F,N$1)</f>
        <v>0</v>
      </c>
      <c r="O438" s="242">
        <f>COUNTIFS('تجربه‌گرها'!$B:$B,$A438,'تجربه‌گرها'!$F:$F,O$1)</f>
        <v>0</v>
      </c>
      <c r="P438" s="242">
        <f>COUNTIFS('تجربه‌گرها'!$B:$B,$A438,'تجربه‌گرها'!$F:$F,P$1)</f>
        <v>0</v>
      </c>
      <c r="Q438" s="242">
        <f>COUNTIFS('تجربه‌گرها'!$B:$B,$A438,'تجربه‌گرها'!$F:$F,Q$1)</f>
        <v>0</v>
      </c>
      <c r="R438" s="242">
        <f>COUNTIFS('تجربه‌گرها'!$B:$B,$A438,'تجربه‌گرها'!$F:$F,R$1)</f>
        <v>0</v>
      </c>
      <c r="S438" s="242">
        <f>COUNTIFS('تجربه‌گرها'!$B:$B,$A438,'تجربه‌گرها'!$F:$F,S$1)</f>
        <v>0</v>
      </c>
      <c r="T438" s="242">
        <f>COUNTIFS('تجربه‌گرها'!$B:$B,$A438,'تجربه‌گرها'!$F:$F,T$1)</f>
        <v>0</v>
      </c>
      <c r="U438" s="242"/>
      <c r="V438" s="242"/>
      <c r="W438" s="242"/>
      <c r="X438" s="242"/>
      <c r="Y438" s="242"/>
      <c r="Z438" s="242"/>
      <c r="AA438" s="242"/>
      <c r="AB438" s="242"/>
    </row>
    <row r="439" hidden="1">
      <c r="A439" s="244" t="s">
        <v>3038</v>
      </c>
      <c r="B439" s="245" t="str">
        <f>VLOOKUP(A439,'تجربه‌گرها'!B:C,2,FALSE())</f>
        <v>9018991249</v>
      </c>
      <c r="C439" s="242"/>
      <c r="D439" s="242">
        <f t="shared" si="1"/>
        <v>1</v>
      </c>
      <c r="E439" s="242">
        <f>COUNTIFS('تجربه‌گرها'!$B:$B,$A439,'تجربه‌گرها'!$F:$F,E$1)</f>
        <v>0</v>
      </c>
      <c r="F439" s="242">
        <f>COUNTIFS('تجربه‌گرها'!$B:$B,$A439,'تجربه‌گرها'!$F:$F,F$1)</f>
        <v>0</v>
      </c>
      <c r="G439" s="242">
        <f>COUNTIFS('تجربه‌گرها'!$B:$B,$A439,'تجربه‌گرها'!$F:$F,G$1)</f>
        <v>1</v>
      </c>
      <c r="H439" s="242">
        <f>COUNTIFS('تجربه‌گرها'!$B:$B,$A439,'تجربه‌گرها'!$F:$F,H$1)</f>
        <v>0</v>
      </c>
      <c r="I439" s="242">
        <f>COUNTIFS('تجربه‌گرها'!$B:$B,$A439,'تجربه‌گرها'!$F:$F,I$1)</f>
        <v>0</v>
      </c>
      <c r="J439" s="242">
        <f>COUNTIFS('تجربه‌گرها'!$B:$B,$A439,'تجربه‌گرها'!$F:$F,J$1)</f>
        <v>0</v>
      </c>
      <c r="K439" s="242">
        <f>COUNTIFS('تجربه‌گرها'!$B:$B,$A439,'تجربه‌گرها'!$F:$F,K$1)</f>
        <v>0</v>
      </c>
      <c r="L439" s="242">
        <f>COUNTIFS('تجربه‌گرها'!$B:$B,$A439,'تجربه‌گرها'!$F:$F,L$1)</f>
        <v>0</v>
      </c>
      <c r="M439" s="242">
        <f>COUNTIFS('تجربه‌گرها'!$B:$B,$A439,'تجربه‌گرها'!$F:$F,M$1)</f>
        <v>0</v>
      </c>
      <c r="N439" s="242">
        <f>COUNTIFS('تجربه‌گرها'!$B:$B,$A439,'تجربه‌گرها'!$F:$F,N$1)</f>
        <v>0</v>
      </c>
      <c r="O439" s="242">
        <f>COUNTIFS('تجربه‌گرها'!$B:$B,$A439,'تجربه‌گرها'!$F:$F,O$1)</f>
        <v>0</v>
      </c>
      <c r="P439" s="242">
        <f>COUNTIFS('تجربه‌گرها'!$B:$B,$A439,'تجربه‌گرها'!$F:$F,P$1)</f>
        <v>0</v>
      </c>
      <c r="Q439" s="242">
        <f>COUNTIFS('تجربه‌گرها'!$B:$B,$A439,'تجربه‌گرها'!$F:$F,Q$1)</f>
        <v>0</v>
      </c>
      <c r="R439" s="242">
        <f>COUNTIFS('تجربه‌گرها'!$B:$B,$A439,'تجربه‌گرها'!$F:$F,R$1)</f>
        <v>0</v>
      </c>
      <c r="S439" s="242">
        <f>COUNTIFS('تجربه‌گرها'!$B:$B,$A439,'تجربه‌گرها'!$F:$F,S$1)</f>
        <v>0</v>
      </c>
      <c r="T439" s="242">
        <f>COUNTIFS('تجربه‌گرها'!$B:$B,$A439,'تجربه‌گرها'!$F:$F,T$1)</f>
        <v>0</v>
      </c>
      <c r="U439" s="242"/>
      <c r="V439" s="242"/>
      <c r="W439" s="242"/>
      <c r="X439" s="242"/>
      <c r="Y439" s="242"/>
      <c r="Z439" s="242"/>
      <c r="AA439" s="242"/>
      <c r="AB439" s="242"/>
    </row>
    <row r="440" hidden="1">
      <c r="A440" s="244" t="s">
        <v>3043</v>
      </c>
      <c r="B440" s="245" t="str">
        <f>VLOOKUP(A440,'تجربه‌گرها'!B:C,2,FALSE())</f>
        <v>9010131603</v>
      </c>
      <c r="C440" s="242"/>
      <c r="D440" s="242">
        <f t="shared" si="1"/>
        <v>2</v>
      </c>
      <c r="E440" s="242">
        <f>COUNTIFS('تجربه‌گرها'!$B:$B,$A440,'تجربه‌گرها'!$F:$F,E$1)</f>
        <v>0</v>
      </c>
      <c r="F440" s="242">
        <f>COUNTIFS('تجربه‌گرها'!$B:$B,$A440,'تجربه‌گرها'!$F:$F,F$1)</f>
        <v>0</v>
      </c>
      <c r="G440" s="242">
        <f>COUNTIFS('تجربه‌گرها'!$B:$B,$A440,'تجربه‌گرها'!$F:$F,G$1)</f>
        <v>1</v>
      </c>
      <c r="H440" s="242">
        <f>COUNTIFS('تجربه‌گرها'!$B:$B,$A440,'تجربه‌گرها'!$F:$F,H$1)</f>
        <v>0</v>
      </c>
      <c r="I440" s="242">
        <f>COUNTIFS('تجربه‌گرها'!$B:$B,$A440,'تجربه‌گرها'!$F:$F,I$1)</f>
        <v>1</v>
      </c>
      <c r="J440" s="242">
        <f>COUNTIFS('تجربه‌گرها'!$B:$B,$A440,'تجربه‌گرها'!$F:$F,J$1)</f>
        <v>0</v>
      </c>
      <c r="K440" s="242">
        <f>COUNTIFS('تجربه‌گرها'!$B:$B,$A440,'تجربه‌گرها'!$F:$F,K$1)</f>
        <v>0</v>
      </c>
      <c r="L440" s="242">
        <f>COUNTIFS('تجربه‌گرها'!$B:$B,$A440,'تجربه‌گرها'!$F:$F,L$1)</f>
        <v>0</v>
      </c>
      <c r="M440" s="242">
        <f>COUNTIFS('تجربه‌گرها'!$B:$B,$A440,'تجربه‌گرها'!$F:$F,M$1)</f>
        <v>0</v>
      </c>
      <c r="N440" s="242">
        <f>COUNTIFS('تجربه‌گرها'!$B:$B,$A440,'تجربه‌گرها'!$F:$F,N$1)</f>
        <v>0</v>
      </c>
      <c r="O440" s="242">
        <f>COUNTIFS('تجربه‌گرها'!$B:$B,$A440,'تجربه‌گرها'!$F:$F,O$1)</f>
        <v>0</v>
      </c>
      <c r="P440" s="242">
        <f>COUNTIFS('تجربه‌گرها'!$B:$B,$A440,'تجربه‌گرها'!$F:$F,P$1)</f>
        <v>0</v>
      </c>
      <c r="Q440" s="242">
        <f>COUNTIFS('تجربه‌گرها'!$B:$B,$A440,'تجربه‌گرها'!$F:$F,Q$1)</f>
        <v>0</v>
      </c>
      <c r="R440" s="242">
        <f>COUNTIFS('تجربه‌گرها'!$B:$B,$A440,'تجربه‌گرها'!$F:$F,R$1)</f>
        <v>0</v>
      </c>
      <c r="S440" s="242">
        <f>COUNTIFS('تجربه‌گرها'!$B:$B,$A440,'تجربه‌گرها'!$F:$F,S$1)</f>
        <v>0</v>
      </c>
      <c r="T440" s="242">
        <f>COUNTIFS('تجربه‌گرها'!$B:$B,$A440,'تجربه‌گرها'!$F:$F,T$1)</f>
        <v>0</v>
      </c>
      <c r="U440" s="242"/>
      <c r="V440" s="242"/>
      <c r="W440" s="242"/>
      <c r="X440" s="242"/>
      <c r="Y440" s="242"/>
      <c r="Z440" s="242"/>
      <c r="AA440" s="242"/>
      <c r="AB440" s="242"/>
    </row>
    <row r="441" hidden="1">
      <c r="A441" s="244" t="s">
        <v>3048</v>
      </c>
      <c r="B441" s="245" t="str">
        <f>VLOOKUP(A441,'تجربه‌گرها'!B:C,2,FALSE())</f>
        <v>9122440696</v>
      </c>
      <c r="C441" s="242"/>
      <c r="D441" s="242">
        <f t="shared" si="1"/>
        <v>1</v>
      </c>
      <c r="E441" s="242">
        <f>COUNTIFS('تجربه‌گرها'!$B:$B,$A441,'تجربه‌گرها'!$F:$F,E$1)</f>
        <v>0</v>
      </c>
      <c r="F441" s="242">
        <f>COUNTIFS('تجربه‌گرها'!$B:$B,$A441,'تجربه‌گرها'!$F:$F,F$1)</f>
        <v>0</v>
      </c>
      <c r="G441" s="242">
        <f>COUNTIFS('تجربه‌گرها'!$B:$B,$A441,'تجربه‌گرها'!$F:$F,G$1)</f>
        <v>1</v>
      </c>
      <c r="H441" s="242">
        <f>COUNTIFS('تجربه‌گرها'!$B:$B,$A441,'تجربه‌گرها'!$F:$F,H$1)</f>
        <v>0</v>
      </c>
      <c r="I441" s="242">
        <f>COUNTIFS('تجربه‌گرها'!$B:$B,$A441,'تجربه‌گرها'!$F:$F,I$1)</f>
        <v>0</v>
      </c>
      <c r="J441" s="242">
        <f>COUNTIFS('تجربه‌گرها'!$B:$B,$A441,'تجربه‌گرها'!$F:$F,J$1)</f>
        <v>0</v>
      </c>
      <c r="K441" s="242">
        <f>COUNTIFS('تجربه‌گرها'!$B:$B,$A441,'تجربه‌گرها'!$F:$F,K$1)</f>
        <v>0</v>
      </c>
      <c r="L441" s="242">
        <f>COUNTIFS('تجربه‌گرها'!$B:$B,$A441,'تجربه‌گرها'!$F:$F,L$1)</f>
        <v>0</v>
      </c>
      <c r="M441" s="242">
        <f>COUNTIFS('تجربه‌گرها'!$B:$B,$A441,'تجربه‌گرها'!$F:$F,M$1)</f>
        <v>0</v>
      </c>
      <c r="N441" s="242">
        <f>COUNTIFS('تجربه‌گرها'!$B:$B,$A441,'تجربه‌گرها'!$F:$F,N$1)</f>
        <v>0</v>
      </c>
      <c r="O441" s="242">
        <f>COUNTIFS('تجربه‌گرها'!$B:$B,$A441,'تجربه‌گرها'!$F:$F,O$1)</f>
        <v>0</v>
      </c>
      <c r="P441" s="242">
        <f>COUNTIFS('تجربه‌گرها'!$B:$B,$A441,'تجربه‌گرها'!$F:$F,P$1)</f>
        <v>0</v>
      </c>
      <c r="Q441" s="242">
        <f>COUNTIFS('تجربه‌گرها'!$B:$B,$A441,'تجربه‌گرها'!$F:$F,Q$1)</f>
        <v>0</v>
      </c>
      <c r="R441" s="242">
        <f>COUNTIFS('تجربه‌گرها'!$B:$B,$A441,'تجربه‌گرها'!$F:$F,R$1)</f>
        <v>0</v>
      </c>
      <c r="S441" s="242">
        <f>COUNTIFS('تجربه‌گرها'!$B:$B,$A441,'تجربه‌گرها'!$F:$F,S$1)</f>
        <v>0</v>
      </c>
      <c r="T441" s="242">
        <f>COUNTIFS('تجربه‌گرها'!$B:$B,$A441,'تجربه‌گرها'!$F:$F,T$1)</f>
        <v>0</v>
      </c>
      <c r="U441" s="242"/>
      <c r="V441" s="242"/>
      <c r="W441" s="242"/>
      <c r="X441" s="242"/>
      <c r="Y441" s="242"/>
      <c r="Z441" s="242"/>
      <c r="AA441" s="242"/>
      <c r="AB441" s="242"/>
    </row>
    <row r="442" hidden="1">
      <c r="A442" s="244" t="s">
        <v>3053</v>
      </c>
      <c r="B442" s="245" t="str">
        <f>VLOOKUP(A442,'تجربه‌گرها'!B:C,2,FALSE())</f>
        <v>9351606300</v>
      </c>
      <c r="C442" s="242"/>
      <c r="D442" s="242">
        <f t="shared" si="1"/>
        <v>1</v>
      </c>
      <c r="E442" s="242">
        <f>COUNTIFS('تجربه‌گرها'!$B:$B,$A442,'تجربه‌گرها'!$F:$F,E$1)</f>
        <v>0</v>
      </c>
      <c r="F442" s="242">
        <f>COUNTIFS('تجربه‌گرها'!$B:$B,$A442,'تجربه‌گرها'!$F:$F,F$1)</f>
        <v>0</v>
      </c>
      <c r="G442" s="242">
        <f>COUNTIFS('تجربه‌گرها'!$B:$B,$A442,'تجربه‌گرها'!$F:$F,G$1)</f>
        <v>1</v>
      </c>
      <c r="H442" s="242">
        <f>COUNTIFS('تجربه‌گرها'!$B:$B,$A442,'تجربه‌گرها'!$F:$F,H$1)</f>
        <v>0</v>
      </c>
      <c r="I442" s="242">
        <f>COUNTIFS('تجربه‌گرها'!$B:$B,$A442,'تجربه‌گرها'!$F:$F,I$1)</f>
        <v>0</v>
      </c>
      <c r="J442" s="242">
        <f>COUNTIFS('تجربه‌گرها'!$B:$B,$A442,'تجربه‌گرها'!$F:$F,J$1)</f>
        <v>0</v>
      </c>
      <c r="K442" s="242">
        <f>COUNTIFS('تجربه‌گرها'!$B:$B,$A442,'تجربه‌گرها'!$F:$F,K$1)</f>
        <v>0</v>
      </c>
      <c r="L442" s="242">
        <f>COUNTIFS('تجربه‌گرها'!$B:$B,$A442,'تجربه‌گرها'!$F:$F,L$1)</f>
        <v>0</v>
      </c>
      <c r="M442" s="242">
        <f>COUNTIFS('تجربه‌گرها'!$B:$B,$A442,'تجربه‌گرها'!$F:$F,M$1)</f>
        <v>0</v>
      </c>
      <c r="N442" s="242">
        <f>COUNTIFS('تجربه‌گرها'!$B:$B,$A442,'تجربه‌گرها'!$F:$F,N$1)</f>
        <v>0</v>
      </c>
      <c r="O442" s="242">
        <f>COUNTIFS('تجربه‌گرها'!$B:$B,$A442,'تجربه‌گرها'!$F:$F,O$1)</f>
        <v>0</v>
      </c>
      <c r="P442" s="242">
        <f>COUNTIFS('تجربه‌گرها'!$B:$B,$A442,'تجربه‌گرها'!$F:$F,P$1)</f>
        <v>0</v>
      </c>
      <c r="Q442" s="242">
        <f>COUNTIFS('تجربه‌گرها'!$B:$B,$A442,'تجربه‌گرها'!$F:$F,Q$1)</f>
        <v>0</v>
      </c>
      <c r="R442" s="242">
        <f>COUNTIFS('تجربه‌گرها'!$B:$B,$A442,'تجربه‌گرها'!$F:$F,R$1)</f>
        <v>0</v>
      </c>
      <c r="S442" s="242">
        <f>COUNTIFS('تجربه‌گرها'!$B:$B,$A442,'تجربه‌گرها'!$F:$F,S$1)</f>
        <v>0</v>
      </c>
      <c r="T442" s="242">
        <f>COUNTIFS('تجربه‌گرها'!$B:$B,$A442,'تجربه‌گرها'!$F:$F,T$1)</f>
        <v>0</v>
      </c>
      <c r="U442" s="242"/>
      <c r="V442" s="242"/>
      <c r="W442" s="242"/>
      <c r="X442" s="242"/>
      <c r="Y442" s="242"/>
      <c r="Z442" s="242"/>
      <c r="AA442" s="242"/>
      <c r="AB442" s="242"/>
    </row>
    <row r="443">
      <c r="A443" s="244" t="s">
        <v>3058</v>
      </c>
      <c r="B443" s="245" t="str">
        <f>VLOOKUP(A443,'تجربه‌گرها'!B:C,2,FALSE())</f>
        <v>9369223039</v>
      </c>
      <c r="C443" s="242"/>
      <c r="D443" s="242">
        <f t="shared" si="1"/>
        <v>1</v>
      </c>
      <c r="E443" s="242">
        <f>COUNTIFS('تجربه‌گرها'!$B:$B,$A443,'تجربه‌گرها'!$F:$F,E$1)</f>
        <v>0</v>
      </c>
      <c r="F443" s="242">
        <f>COUNTIFS('تجربه‌گرها'!$B:$B,$A443,'تجربه‌گرها'!$F:$F,F$1)</f>
        <v>0</v>
      </c>
      <c r="G443" s="242">
        <f>COUNTIFS('تجربه‌گرها'!$B:$B,$A443,'تجربه‌گرها'!$F:$F,G$1)</f>
        <v>1</v>
      </c>
      <c r="H443" s="242">
        <f>COUNTIFS('تجربه‌گرها'!$B:$B,$A443,'تجربه‌گرها'!$F:$F,H$1)</f>
        <v>0</v>
      </c>
      <c r="I443" s="242">
        <f>COUNTIFS('تجربه‌گرها'!$B:$B,$A443,'تجربه‌گرها'!$F:$F,I$1)</f>
        <v>0</v>
      </c>
      <c r="J443" s="242">
        <f>COUNTIFS('تجربه‌گرها'!$B:$B,$A443,'تجربه‌گرها'!$F:$F,J$1)</f>
        <v>0</v>
      </c>
      <c r="K443" s="242">
        <f>COUNTIFS('تجربه‌گرها'!$B:$B,$A443,'تجربه‌گرها'!$F:$F,K$1)</f>
        <v>0</v>
      </c>
      <c r="L443" s="242">
        <f>COUNTIFS('تجربه‌گرها'!$B:$B,$A443,'تجربه‌گرها'!$F:$F,L$1)</f>
        <v>0</v>
      </c>
      <c r="M443" s="242">
        <f>COUNTIFS('تجربه‌گرها'!$B:$B,$A443,'تجربه‌گرها'!$F:$F,M$1)</f>
        <v>0</v>
      </c>
      <c r="N443" s="242">
        <f>COUNTIFS('تجربه‌گرها'!$B:$B,$A443,'تجربه‌گرها'!$F:$F,N$1)</f>
        <v>0</v>
      </c>
      <c r="O443" s="242">
        <f>COUNTIFS('تجربه‌گرها'!$B:$B,$A443,'تجربه‌گرها'!$F:$F,O$1)</f>
        <v>0</v>
      </c>
      <c r="P443" s="242">
        <f>COUNTIFS('تجربه‌گرها'!$B:$B,$A443,'تجربه‌گرها'!$F:$F,P$1)</f>
        <v>0</v>
      </c>
      <c r="Q443" s="242">
        <f>COUNTIFS('تجربه‌گرها'!$B:$B,$A443,'تجربه‌گرها'!$F:$F,Q$1)</f>
        <v>0</v>
      </c>
      <c r="R443" s="242">
        <f>COUNTIFS('تجربه‌گرها'!$B:$B,$A443,'تجربه‌گرها'!$F:$F,R$1)</f>
        <v>0</v>
      </c>
      <c r="S443" s="242">
        <f>COUNTIFS('تجربه‌گرها'!$B:$B,$A443,'تجربه‌گرها'!$F:$F,S$1)</f>
        <v>0</v>
      </c>
      <c r="T443" s="242">
        <f>COUNTIFS('تجربه‌گرها'!$B:$B,$A443,'تجربه‌گرها'!$F:$F,T$1)</f>
        <v>0</v>
      </c>
      <c r="U443" s="242"/>
      <c r="V443" s="242"/>
      <c r="W443" s="242"/>
      <c r="X443" s="242"/>
      <c r="Y443" s="242"/>
      <c r="Z443" s="242"/>
      <c r="AA443" s="242"/>
      <c r="AB443" s="242"/>
    </row>
    <row r="444" hidden="1">
      <c r="A444" s="244" t="s">
        <v>3063</v>
      </c>
      <c r="B444" s="245" t="str">
        <f>VLOOKUP(A444,'تجربه‌گرها'!B:C,2,FALSE())</f>
        <v>9398618023</v>
      </c>
      <c r="C444" s="242"/>
      <c r="D444" s="242">
        <f t="shared" si="1"/>
        <v>1</v>
      </c>
      <c r="E444" s="242">
        <f>COUNTIFS('تجربه‌گرها'!$B:$B,$A444,'تجربه‌گرها'!$F:$F,E$1)</f>
        <v>0</v>
      </c>
      <c r="F444" s="242">
        <f>COUNTIFS('تجربه‌گرها'!$B:$B,$A444,'تجربه‌گرها'!$F:$F,F$1)</f>
        <v>0</v>
      </c>
      <c r="G444" s="242">
        <f>COUNTIFS('تجربه‌گرها'!$B:$B,$A444,'تجربه‌گرها'!$F:$F,G$1)</f>
        <v>1</v>
      </c>
      <c r="H444" s="242">
        <f>COUNTIFS('تجربه‌گرها'!$B:$B,$A444,'تجربه‌گرها'!$F:$F,H$1)</f>
        <v>0</v>
      </c>
      <c r="I444" s="242">
        <f>COUNTIFS('تجربه‌گرها'!$B:$B,$A444,'تجربه‌گرها'!$F:$F,I$1)</f>
        <v>0</v>
      </c>
      <c r="J444" s="242">
        <f>COUNTIFS('تجربه‌گرها'!$B:$B,$A444,'تجربه‌گرها'!$F:$F,J$1)</f>
        <v>0</v>
      </c>
      <c r="K444" s="242">
        <f>COUNTIFS('تجربه‌گرها'!$B:$B,$A444,'تجربه‌گرها'!$F:$F,K$1)</f>
        <v>0</v>
      </c>
      <c r="L444" s="242">
        <f>COUNTIFS('تجربه‌گرها'!$B:$B,$A444,'تجربه‌گرها'!$F:$F,L$1)</f>
        <v>0</v>
      </c>
      <c r="M444" s="242">
        <f>COUNTIFS('تجربه‌گرها'!$B:$B,$A444,'تجربه‌گرها'!$F:$F,M$1)</f>
        <v>0</v>
      </c>
      <c r="N444" s="242">
        <f>COUNTIFS('تجربه‌گرها'!$B:$B,$A444,'تجربه‌گرها'!$F:$F,N$1)</f>
        <v>0</v>
      </c>
      <c r="O444" s="242">
        <f>COUNTIFS('تجربه‌گرها'!$B:$B,$A444,'تجربه‌گرها'!$F:$F,O$1)</f>
        <v>0</v>
      </c>
      <c r="P444" s="242">
        <f>COUNTIFS('تجربه‌گرها'!$B:$B,$A444,'تجربه‌گرها'!$F:$F,P$1)</f>
        <v>0</v>
      </c>
      <c r="Q444" s="242">
        <f>COUNTIFS('تجربه‌گرها'!$B:$B,$A444,'تجربه‌گرها'!$F:$F,Q$1)</f>
        <v>0</v>
      </c>
      <c r="R444" s="242">
        <f>COUNTIFS('تجربه‌گرها'!$B:$B,$A444,'تجربه‌گرها'!$F:$F,R$1)</f>
        <v>0</v>
      </c>
      <c r="S444" s="242">
        <f>COUNTIFS('تجربه‌گرها'!$B:$B,$A444,'تجربه‌گرها'!$F:$F,S$1)</f>
        <v>0</v>
      </c>
      <c r="T444" s="242">
        <f>COUNTIFS('تجربه‌گرها'!$B:$B,$A444,'تجربه‌گرها'!$F:$F,T$1)</f>
        <v>0</v>
      </c>
      <c r="U444" s="242"/>
      <c r="V444" s="242"/>
      <c r="W444" s="242"/>
      <c r="X444" s="242"/>
      <c r="Y444" s="242"/>
      <c r="Z444" s="242"/>
      <c r="AA444" s="242"/>
      <c r="AB444" s="242"/>
    </row>
    <row r="445" hidden="1">
      <c r="A445" s="244" t="s">
        <v>3068</v>
      </c>
      <c r="B445" s="245" t="str">
        <f>VLOOKUP(A445,'تجربه‌گرها'!B:C,2,FALSE())</f>
        <v>9125711430</v>
      </c>
      <c r="C445" s="242"/>
      <c r="D445" s="242">
        <f t="shared" si="1"/>
        <v>1</v>
      </c>
      <c r="E445" s="242">
        <f>COUNTIFS('تجربه‌گرها'!$B:$B,$A445,'تجربه‌گرها'!$F:$F,E$1)</f>
        <v>0</v>
      </c>
      <c r="F445" s="242">
        <f>COUNTIFS('تجربه‌گرها'!$B:$B,$A445,'تجربه‌گرها'!$F:$F,F$1)</f>
        <v>0</v>
      </c>
      <c r="G445" s="242">
        <f>COUNTIFS('تجربه‌گرها'!$B:$B,$A445,'تجربه‌گرها'!$F:$F,G$1)</f>
        <v>1</v>
      </c>
      <c r="H445" s="242">
        <f>COUNTIFS('تجربه‌گرها'!$B:$B,$A445,'تجربه‌گرها'!$F:$F,H$1)</f>
        <v>0</v>
      </c>
      <c r="I445" s="242">
        <f>COUNTIFS('تجربه‌گرها'!$B:$B,$A445,'تجربه‌گرها'!$F:$F,I$1)</f>
        <v>0</v>
      </c>
      <c r="J445" s="242">
        <f>COUNTIFS('تجربه‌گرها'!$B:$B,$A445,'تجربه‌گرها'!$F:$F,J$1)</f>
        <v>0</v>
      </c>
      <c r="K445" s="242">
        <f>COUNTIFS('تجربه‌گرها'!$B:$B,$A445,'تجربه‌گرها'!$F:$F,K$1)</f>
        <v>0</v>
      </c>
      <c r="L445" s="242">
        <f>COUNTIFS('تجربه‌گرها'!$B:$B,$A445,'تجربه‌گرها'!$F:$F,L$1)</f>
        <v>0</v>
      </c>
      <c r="M445" s="242">
        <f>COUNTIFS('تجربه‌گرها'!$B:$B,$A445,'تجربه‌گرها'!$F:$F,M$1)</f>
        <v>0</v>
      </c>
      <c r="N445" s="242">
        <f>COUNTIFS('تجربه‌گرها'!$B:$B,$A445,'تجربه‌گرها'!$F:$F,N$1)</f>
        <v>0</v>
      </c>
      <c r="O445" s="242">
        <f>COUNTIFS('تجربه‌گرها'!$B:$B,$A445,'تجربه‌گرها'!$F:$F,O$1)</f>
        <v>0</v>
      </c>
      <c r="P445" s="242">
        <f>COUNTIFS('تجربه‌گرها'!$B:$B,$A445,'تجربه‌گرها'!$F:$F,P$1)</f>
        <v>0</v>
      </c>
      <c r="Q445" s="242">
        <f>COUNTIFS('تجربه‌گرها'!$B:$B,$A445,'تجربه‌گرها'!$F:$F,Q$1)</f>
        <v>0</v>
      </c>
      <c r="R445" s="242">
        <f>COUNTIFS('تجربه‌گرها'!$B:$B,$A445,'تجربه‌گرها'!$F:$F,R$1)</f>
        <v>0</v>
      </c>
      <c r="S445" s="242">
        <f>COUNTIFS('تجربه‌گرها'!$B:$B,$A445,'تجربه‌گرها'!$F:$F,S$1)</f>
        <v>0</v>
      </c>
      <c r="T445" s="242">
        <f>COUNTIFS('تجربه‌گرها'!$B:$B,$A445,'تجربه‌گرها'!$F:$F,T$1)</f>
        <v>0</v>
      </c>
      <c r="U445" s="242"/>
      <c r="V445" s="242"/>
      <c r="W445" s="242"/>
      <c r="X445" s="242"/>
      <c r="Y445" s="242"/>
      <c r="Z445" s="242"/>
      <c r="AA445" s="242"/>
      <c r="AB445" s="242"/>
    </row>
    <row r="446" hidden="1">
      <c r="A446" s="244" t="s">
        <v>3072</v>
      </c>
      <c r="B446" s="245" t="str">
        <f>VLOOKUP(A446,'تجربه‌گرها'!B:C,2,FALSE())</f>
        <v>9037199117</v>
      </c>
      <c r="C446" s="242"/>
      <c r="D446" s="242">
        <f t="shared" si="1"/>
        <v>2</v>
      </c>
      <c r="E446" s="242">
        <f>COUNTIFS('تجربه‌گرها'!$B:$B,$A446,'تجربه‌گرها'!$F:$F,E$1)</f>
        <v>0</v>
      </c>
      <c r="F446" s="242">
        <f>COUNTIFS('تجربه‌گرها'!$B:$B,$A446,'تجربه‌گرها'!$F:$F,F$1)</f>
        <v>0</v>
      </c>
      <c r="G446" s="242">
        <f>COUNTIFS('تجربه‌گرها'!$B:$B,$A446,'تجربه‌گرها'!$F:$F,G$1)</f>
        <v>1</v>
      </c>
      <c r="H446" s="242">
        <f>COUNTIFS('تجربه‌گرها'!$B:$B,$A446,'تجربه‌گرها'!$F:$F,H$1)</f>
        <v>0</v>
      </c>
      <c r="I446" s="242">
        <f>COUNTIFS('تجربه‌گرها'!$B:$B,$A446,'تجربه‌گرها'!$F:$F,I$1)</f>
        <v>0</v>
      </c>
      <c r="J446" s="242">
        <f>COUNTIFS('تجربه‌گرها'!$B:$B,$A446,'تجربه‌گرها'!$F:$F,J$1)</f>
        <v>0</v>
      </c>
      <c r="K446" s="242">
        <f>COUNTIFS('تجربه‌گرها'!$B:$B,$A446,'تجربه‌گرها'!$F:$F,K$1)</f>
        <v>0</v>
      </c>
      <c r="L446" s="242">
        <f>COUNTIFS('تجربه‌گرها'!$B:$B,$A446,'تجربه‌گرها'!$F:$F,L$1)</f>
        <v>0</v>
      </c>
      <c r="M446" s="242">
        <f>COUNTIFS('تجربه‌گرها'!$B:$B,$A446,'تجربه‌گرها'!$F:$F,M$1)</f>
        <v>0</v>
      </c>
      <c r="N446" s="242">
        <f>COUNTIFS('تجربه‌گرها'!$B:$B,$A446,'تجربه‌گرها'!$F:$F,N$1)</f>
        <v>0</v>
      </c>
      <c r="O446" s="242">
        <f>COUNTIFS('تجربه‌گرها'!$B:$B,$A446,'تجربه‌گرها'!$F:$F,O$1)</f>
        <v>0</v>
      </c>
      <c r="P446" s="242">
        <f>COUNTIFS('تجربه‌گرها'!$B:$B,$A446,'تجربه‌گرها'!$F:$F,P$1)</f>
        <v>1</v>
      </c>
      <c r="Q446" s="242">
        <f>COUNTIFS('تجربه‌گرها'!$B:$B,$A446,'تجربه‌گرها'!$F:$F,Q$1)</f>
        <v>0</v>
      </c>
      <c r="R446" s="242">
        <f>COUNTIFS('تجربه‌گرها'!$B:$B,$A446,'تجربه‌گرها'!$F:$F,R$1)</f>
        <v>0</v>
      </c>
      <c r="S446" s="242">
        <f>COUNTIFS('تجربه‌گرها'!$B:$B,$A446,'تجربه‌گرها'!$F:$F,S$1)</f>
        <v>0</v>
      </c>
      <c r="T446" s="242">
        <f>COUNTIFS('تجربه‌گرها'!$B:$B,$A446,'تجربه‌گرها'!$F:$F,T$1)</f>
        <v>0</v>
      </c>
      <c r="U446" s="242"/>
      <c r="V446" s="242"/>
      <c r="W446" s="242"/>
      <c r="X446" s="242"/>
      <c r="Y446" s="242"/>
      <c r="Z446" s="242"/>
      <c r="AA446" s="242"/>
      <c r="AB446" s="242"/>
    </row>
    <row r="447" hidden="1">
      <c r="A447" s="244" t="s">
        <v>3077</v>
      </c>
      <c r="B447" s="245" t="str">
        <f>VLOOKUP(A447,'تجربه‌گرها'!B:C,2,FALSE())</f>
        <v>9380585911</v>
      </c>
      <c r="C447" s="242"/>
      <c r="D447" s="242">
        <f t="shared" si="1"/>
        <v>1</v>
      </c>
      <c r="E447" s="242">
        <f>COUNTIFS('تجربه‌گرها'!$B:$B,$A447,'تجربه‌گرها'!$F:$F,E$1)</f>
        <v>0</v>
      </c>
      <c r="F447" s="242">
        <f>COUNTIFS('تجربه‌گرها'!$B:$B,$A447,'تجربه‌گرها'!$F:$F,F$1)</f>
        <v>0</v>
      </c>
      <c r="G447" s="242">
        <f>COUNTIFS('تجربه‌گرها'!$B:$B,$A447,'تجربه‌گرها'!$F:$F,G$1)</f>
        <v>1</v>
      </c>
      <c r="H447" s="242">
        <f>COUNTIFS('تجربه‌گرها'!$B:$B,$A447,'تجربه‌گرها'!$F:$F,H$1)</f>
        <v>0</v>
      </c>
      <c r="I447" s="242">
        <f>COUNTIFS('تجربه‌گرها'!$B:$B,$A447,'تجربه‌گرها'!$F:$F,I$1)</f>
        <v>0</v>
      </c>
      <c r="J447" s="242">
        <f>COUNTIFS('تجربه‌گرها'!$B:$B,$A447,'تجربه‌گرها'!$F:$F,J$1)</f>
        <v>0</v>
      </c>
      <c r="K447" s="242">
        <f>COUNTIFS('تجربه‌گرها'!$B:$B,$A447,'تجربه‌گرها'!$F:$F,K$1)</f>
        <v>0</v>
      </c>
      <c r="L447" s="242">
        <f>COUNTIFS('تجربه‌گرها'!$B:$B,$A447,'تجربه‌گرها'!$F:$F,L$1)</f>
        <v>0</v>
      </c>
      <c r="M447" s="242">
        <f>COUNTIFS('تجربه‌گرها'!$B:$B,$A447,'تجربه‌گرها'!$F:$F,M$1)</f>
        <v>0</v>
      </c>
      <c r="N447" s="242">
        <f>COUNTIFS('تجربه‌گرها'!$B:$B,$A447,'تجربه‌گرها'!$F:$F,N$1)</f>
        <v>0</v>
      </c>
      <c r="O447" s="242">
        <f>COUNTIFS('تجربه‌گرها'!$B:$B,$A447,'تجربه‌گرها'!$F:$F,O$1)</f>
        <v>0</v>
      </c>
      <c r="P447" s="242">
        <f>COUNTIFS('تجربه‌گرها'!$B:$B,$A447,'تجربه‌گرها'!$F:$F,P$1)</f>
        <v>0</v>
      </c>
      <c r="Q447" s="242">
        <f>COUNTIFS('تجربه‌گرها'!$B:$B,$A447,'تجربه‌گرها'!$F:$F,Q$1)</f>
        <v>0</v>
      </c>
      <c r="R447" s="242">
        <f>COUNTIFS('تجربه‌گرها'!$B:$B,$A447,'تجربه‌گرها'!$F:$F,R$1)</f>
        <v>0</v>
      </c>
      <c r="S447" s="242">
        <f>COUNTIFS('تجربه‌گرها'!$B:$B,$A447,'تجربه‌گرها'!$F:$F,S$1)</f>
        <v>0</v>
      </c>
      <c r="T447" s="242">
        <f>COUNTIFS('تجربه‌گرها'!$B:$B,$A447,'تجربه‌گرها'!$F:$F,T$1)</f>
        <v>0</v>
      </c>
      <c r="U447" s="242"/>
      <c r="V447" s="242"/>
      <c r="W447" s="242"/>
      <c r="X447" s="242"/>
      <c r="Y447" s="242"/>
      <c r="Z447" s="242"/>
      <c r="AA447" s="242"/>
      <c r="AB447" s="242"/>
    </row>
    <row r="448" hidden="1">
      <c r="A448" s="244" t="s">
        <v>3083</v>
      </c>
      <c r="B448" s="245" t="str">
        <f>VLOOKUP(A448,'تجربه‌گرها'!B:C,2,FALSE())</f>
        <v>9123205523</v>
      </c>
      <c r="C448" s="242"/>
      <c r="D448" s="242">
        <f t="shared" si="1"/>
        <v>1</v>
      </c>
      <c r="E448" s="242">
        <f>COUNTIFS('تجربه‌گرها'!$B:$B,$A448,'تجربه‌گرها'!$F:$F,E$1)</f>
        <v>0</v>
      </c>
      <c r="F448" s="242">
        <f>COUNTIFS('تجربه‌گرها'!$B:$B,$A448,'تجربه‌گرها'!$F:$F,F$1)</f>
        <v>0</v>
      </c>
      <c r="G448" s="242">
        <f>COUNTIFS('تجربه‌گرها'!$B:$B,$A448,'تجربه‌گرها'!$F:$F,G$1)</f>
        <v>1</v>
      </c>
      <c r="H448" s="242">
        <f>COUNTIFS('تجربه‌گرها'!$B:$B,$A448,'تجربه‌گرها'!$F:$F,H$1)</f>
        <v>0</v>
      </c>
      <c r="I448" s="242">
        <f>COUNTIFS('تجربه‌گرها'!$B:$B,$A448,'تجربه‌گرها'!$F:$F,I$1)</f>
        <v>0</v>
      </c>
      <c r="J448" s="242">
        <f>COUNTIFS('تجربه‌گرها'!$B:$B,$A448,'تجربه‌گرها'!$F:$F,J$1)</f>
        <v>0</v>
      </c>
      <c r="K448" s="242">
        <f>COUNTIFS('تجربه‌گرها'!$B:$B,$A448,'تجربه‌گرها'!$F:$F,K$1)</f>
        <v>0</v>
      </c>
      <c r="L448" s="242">
        <f>COUNTIFS('تجربه‌گرها'!$B:$B,$A448,'تجربه‌گرها'!$F:$F,L$1)</f>
        <v>0</v>
      </c>
      <c r="M448" s="242">
        <f>COUNTIFS('تجربه‌گرها'!$B:$B,$A448,'تجربه‌گرها'!$F:$F,M$1)</f>
        <v>0</v>
      </c>
      <c r="N448" s="242">
        <f>COUNTIFS('تجربه‌گرها'!$B:$B,$A448,'تجربه‌گرها'!$F:$F,N$1)</f>
        <v>0</v>
      </c>
      <c r="O448" s="242">
        <f>COUNTIFS('تجربه‌گرها'!$B:$B,$A448,'تجربه‌گرها'!$F:$F,O$1)</f>
        <v>0</v>
      </c>
      <c r="P448" s="242">
        <f>COUNTIFS('تجربه‌گرها'!$B:$B,$A448,'تجربه‌گرها'!$F:$F,P$1)</f>
        <v>0</v>
      </c>
      <c r="Q448" s="242">
        <f>COUNTIFS('تجربه‌گرها'!$B:$B,$A448,'تجربه‌گرها'!$F:$F,Q$1)</f>
        <v>0</v>
      </c>
      <c r="R448" s="242">
        <f>COUNTIFS('تجربه‌گرها'!$B:$B,$A448,'تجربه‌گرها'!$F:$F,R$1)</f>
        <v>0</v>
      </c>
      <c r="S448" s="242">
        <f>COUNTIFS('تجربه‌گرها'!$B:$B,$A448,'تجربه‌گرها'!$F:$F,S$1)</f>
        <v>0</v>
      </c>
      <c r="T448" s="242">
        <f>COUNTIFS('تجربه‌گرها'!$B:$B,$A448,'تجربه‌گرها'!$F:$F,T$1)</f>
        <v>0</v>
      </c>
      <c r="U448" s="242"/>
      <c r="V448" s="242"/>
      <c r="W448" s="242"/>
      <c r="X448" s="242"/>
      <c r="Y448" s="242"/>
      <c r="Z448" s="242"/>
      <c r="AA448" s="242"/>
      <c r="AB448" s="242"/>
    </row>
    <row r="449">
      <c r="A449" s="244" t="s">
        <v>3088</v>
      </c>
      <c r="B449" s="245" t="str">
        <f>VLOOKUP(A449,'تجربه‌گرها'!B:C,2,FALSE())</f>
        <v>9216678183</v>
      </c>
      <c r="C449" s="242"/>
      <c r="D449" s="242">
        <f t="shared" si="1"/>
        <v>1</v>
      </c>
      <c r="E449" s="242">
        <f>COUNTIFS('تجربه‌گرها'!$B:$B,$A449,'تجربه‌گرها'!$F:$F,E$1)</f>
        <v>0</v>
      </c>
      <c r="F449" s="242">
        <f>COUNTIFS('تجربه‌گرها'!$B:$B,$A449,'تجربه‌گرها'!$F:$F,F$1)</f>
        <v>0</v>
      </c>
      <c r="G449" s="242">
        <f>COUNTIFS('تجربه‌گرها'!$B:$B,$A449,'تجربه‌گرها'!$F:$F,G$1)</f>
        <v>1</v>
      </c>
      <c r="H449" s="242">
        <f>COUNTIFS('تجربه‌گرها'!$B:$B,$A449,'تجربه‌گرها'!$F:$F,H$1)</f>
        <v>0</v>
      </c>
      <c r="I449" s="242">
        <f>COUNTIFS('تجربه‌گرها'!$B:$B,$A449,'تجربه‌گرها'!$F:$F,I$1)</f>
        <v>0</v>
      </c>
      <c r="J449" s="242">
        <f>COUNTIFS('تجربه‌گرها'!$B:$B,$A449,'تجربه‌گرها'!$F:$F,J$1)</f>
        <v>0</v>
      </c>
      <c r="K449" s="242">
        <f>COUNTIFS('تجربه‌گرها'!$B:$B,$A449,'تجربه‌گرها'!$F:$F,K$1)</f>
        <v>0</v>
      </c>
      <c r="L449" s="242">
        <f>COUNTIFS('تجربه‌گرها'!$B:$B,$A449,'تجربه‌گرها'!$F:$F,L$1)</f>
        <v>0</v>
      </c>
      <c r="M449" s="242">
        <f>COUNTIFS('تجربه‌گرها'!$B:$B,$A449,'تجربه‌گرها'!$F:$F,M$1)</f>
        <v>0</v>
      </c>
      <c r="N449" s="242">
        <f>COUNTIFS('تجربه‌گرها'!$B:$B,$A449,'تجربه‌گرها'!$F:$F,N$1)</f>
        <v>0</v>
      </c>
      <c r="O449" s="242">
        <f>COUNTIFS('تجربه‌گرها'!$B:$B,$A449,'تجربه‌گرها'!$F:$F,O$1)</f>
        <v>0</v>
      </c>
      <c r="P449" s="242">
        <f>COUNTIFS('تجربه‌گرها'!$B:$B,$A449,'تجربه‌گرها'!$F:$F,P$1)</f>
        <v>0</v>
      </c>
      <c r="Q449" s="242">
        <f>COUNTIFS('تجربه‌گرها'!$B:$B,$A449,'تجربه‌گرها'!$F:$F,Q$1)</f>
        <v>0</v>
      </c>
      <c r="R449" s="242">
        <f>COUNTIFS('تجربه‌گرها'!$B:$B,$A449,'تجربه‌گرها'!$F:$F,R$1)</f>
        <v>0</v>
      </c>
      <c r="S449" s="242">
        <f>COUNTIFS('تجربه‌گرها'!$B:$B,$A449,'تجربه‌گرها'!$F:$F,S$1)</f>
        <v>0</v>
      </c>
      <c r="T449" s="242">
        <f>COUNTIFS('تجربه‌گرها'!$B:$B,$A449,'تجربه‌گرها'!$F:$F,T$1)</f>
        <v>0</v>
      </c>
      <c r="U449" s="242"/>
      <c r="V449" s="242"/>
      <c r="W449" s="242"/>
      <c r="X449" s="242"/>
      <c r="Y449" s="242"/>
      <c r="Z449" s="242"/>
      <c r="AA449" s="242"/>
      <c r="AB449" s="242"/>
    </row>
    <row r="450" hidden="1">
      <c r="A450" s="244" t="s">
        <v>3094</v>
      </c>
      <c r="B450" s="245" t="str">
        <f>VLOOKUP(A450,'تجربه‌گرها'!B:C,2,FALSE())</f>
        <v>9124752430</v>
      </c>
      <c r="C450" s="242"/>
      <c r="D450" s="242">
        <f t="shared" si="1"/>
        <v>1</v>
      </c>
      <c r="E450" s="242">
        <f>COUNTIFS('تجربه‌گرها'!$B:$B,$A450,'تجربه‌گرها'!$F:$F,E$1)</f>
        <v>0</v>
      </c>
      <c r="F450" s="242">
        <f>COUNTIFS('تجربه‌گرها'!$B:$B,$A450,'تجربه‌گرها'!$F:$F,F$1)</f>
        <v>0</v>
      </c>
      <c r="G450" s="242">
        <f>COUNTIFS('تجربه‌گرها'!$B:$B,$A450,'تجربه‌گرها'!$F:$F,G$1)</f>
        <v>1</v>
      </c>
      <c r="H450" s="242">
        <f>COUNTIFS('تجربه‌گرها'!$B:$B,$A450,'تجربه‌گرها'!$F:$F,H$1)</f>
        <v>0</v>
      </c>
      <c r="I450" s="242">
        <f>COUNTIFS('تجربه‌گرها'!$B:$B,$A450,'تجربه‌گرها'!$F:$F,I$1)</f>
        <v>0</v>
      </c>
      <c r="J450" s="242">
        <f>COUNTIFS('تجربه‌گرها'!$B:$B,$A450,'تجربه‌گرها'!$F:$F,J$1)</f>
        <v>0</v>
      </c>
      <c r="K450" s="242">
        <f>COUNTIFS('تجربه‌گرها'!$B:$B,$A450,'تجربه‌گرها'!$F:$F,K$1)</f>
        <v>0</v>
      </c>
      <c r="L450" s="242">
        <f>COUNTIFS('تجربه‌گرها'!$B:$B,$A450,'تجربه‌گرها'!$F:$F,L$1)</f>
        <v>0</v>
      </c>
      <c r="M450" s="242">
        <f>COUNTIFS('تجربه‌گرها'!$B:$B,$A450,'تجربه‌گرها'!$F:$F,M$1)</f>
        <v>0</v>
      </c>
      <c r="N450" s="242">
        <f>COUNTIFS('تجربه‌گرها'!$B:$B,$A450,'تجربه‌گرها'!$F:$F,N$1)</f>
        <v>0</v>
      </c>
      <c r="O450" s="242">
        <f>COUNTIFS('تجربه‌گرها'!$B:$B,$A450,'تجربه‌گرها'!$F:$F,O$1)</f>
        <v>0</v>
      </c>
      <c r="P450" s="242">
        <f>COUNTIFS('تجربه‌گرها'!$B:$B,$A450,'تجربه‌گرها'!$F:$F,P$1)</f>
        <v>0</v>
      </c>
      <c r="Q450" s="242">
        <f>COUNTIFS('تجربه‌گرها'!$B:$B,$A450,'تجربه‌گرها'!$F:$F,Q$1)</f>
        <v>0</v>
      </c>
      <c r="R450" s="242">
        <f>COUNTIFS('تجربه‌گرها'!$B:$B,$A450,'تجربه‌گرها'!$F:$F,R$1)</f>
        <v>0</v>
      </c>
      <c r="S450" s="242">
        <f>COUNTIFS('تجربه‌گرها'!$B:$B,$A450,'تجربه‌گرها'!$F:$F,S$1)</f>
        <v>0</v>
      </c>
      <c r="T450" s="242">
        <f>COUNTIFS('تجربه‌گرها'!$B:$B,$A450,'تجربه‌گرها'!$F:$F,T$1)</f>
        <v>0</v>
      </c>
      <c r="U450" s="242"/>
      <c r="V450" s="242"/>
      <c r="W450" s="242"/>
      <c r="X450" s="242"/>
      <c r="Y450" s="242"/>
      <c r="Z450" s="242"/>
      <c r="AA450" s="242"/>
      <c r="AB450" s="242"/>
    </row>
    <row r="451" hidden="1">
      <c r="A451" s="244" t="s">
        <v>3099</v>
      </c>
      <c r="B451" s="245" t="str">
        <f>VLOOKUP(A451,'تجربه‌گرها'!B:C,2,FALSE())</f>
        <v>9148537168</v>
      </c>
      <c r="C451" s="242"/>
      <c r="D451" s="242">
        <f t="shared" si="1"/>
        <v>1</v>
      </c>
      <c r="E451" s="242">
        <f>COUNTIFS('تجربه‌گرها'!$B:$B,$A451,'تجربه‌گرها'!$F:$F,E$1)</f>
        <v>0</v>
      </c>
      <c r="F451" s="242">
        <f>COUNTIFS('تجربه‌گرها'!$B:$B,$A451,'تجربه‌گرها'!$F:$F,F$1)</f>
        <v>0</v>
      </c>
      <c r="G451" s="242">
        <f>COUNTIFS('تجربه‌گرها'!$B:$B,$A451,'تجربه‌گرها'!$F:$F,G$1)</f>
        <v>1</v>
      </c>
      <c r="H451" s="242">
        <f>COUNTIFS('تجربه‌گرها'!$B:$B,$A451,'تجربه‌گرها'!$F:$F,H$1)</f>
        <v>0</v>
      </c>
      <c r="I451" s="242">
        <f>COUNTIFS('تجربه‌گرها'!$B:$B,$A451,'تجربه‌گرها'!$F:$F,I$1)</f>
        <v>0</v>
      </c>
      <c r="J451" s="242">
        <f>COUNTIFS('تجربه‌گرها'!$B:$B,$A451,'تجربه‌گرها'!$F:$F,J$1)</f>
        <v>0</v>
      </c>
      <c r="K451" s="242">
        <f>COUNTIFS('تجربه‌گرها'!$B:$B,$A451,'تجربه‌گرها'!$F:$F,K$1)</f>
        <v>0</v>
      </c>
      <c r="L451" s="242">
        <f>COUNTIFS('تجربه‌گرها'!$B:$B,$A451,'تجربه‌گرها'!$F:$F,L$1)</f>
        <v>0</v>
      </c>
      <c r="M451" s="242">
        <f>COUNTIFS('تجربه‌گرها'!$B:$B,$A451,'تجربه‌گرها'!$F:$F,M$1)</f>
        <v>0</v>
      </c>
      <c r="N451" s="242">
        <f>COUNTIFS('تجربه‌گرها'!$B:$B,$A451,'تجربه‌گرها'!$F:$F,N$1)</f>
        <v>0</v>
      </c>
      <c r="O451" s="242">
        <f>COUNTIFS('تجربه‌گرها'!$B:$B,$A451,'تجربه‌گرها'!$F:$F,O$1)</f>
        <v>0</v>
      </c>
      <c r="P451" s="242">
        <f>COUNTIFS('تجربه‌گرها'!$B:$B,$A451,'تجربه‌گرها'!$F:$F,P$1)</f>
        <v>0</v>
      </c>
      <c r="Q451" s="242">
        <f>COUNTIFS('تجربه‌گرها'!$B:$B,$A451,'تجربه‌گرها'!$F:$F,Q$1)</f>
        <v>0</v>
      </c>
      <c r="R451" s="242">
        <f>COUNTIFS('تجربه‌گرها'!$B:$B,$A451,'تجربه‌گرها'!$F:$F,R$1)</f>
        <v>0</v>
      </c>
      <c r="S451" s="242">
        <f>COUNTIFS('تجربه‌گرها'!$B:$B,$A451,'تجربه‌گرها'!$F:$F,S$1)</f>
        <v>0</v>
      </c>
      <c r="T451" s="242">
        <f>COUNTIFS('تجربه‌گرها'!$B:$B,$A451,'تجربه‌گرها'!$F:$F,T$1)</f>
        <v>0</v>
      </c>
      <c r="U451" s="242"/>
      <c r="V451" s="242"/>
      <c r="W451" s="242"/>
      <c r="X451" s="242"/>
      <c r="Y451" s="242"/>
      <c r="Z451" s="242"/>
      <c r="AA451" s="242"/>
      <c r="AB451" s="242"/>
    </row>
    <row r="452" hidden="1">
      <c r="A452" s="244" t="s">
        <v>3104</v>
      </c>
      <c r="B452" s="245" t="str">
        <f>VLOOKUP(A452,'تجربه‌گرها'!B:C,2,FALSE())</f>
        <v>9126107242</v>
      </c>
      <c r="C452" s="242"/>
      <c r="D452" s="242">
        <f t="shared" si="1"/>
        <v>1</v>
      </c>
      <c r="E452" s="242">
        <f>COUNTIFS('تجربه‌گرها'!$B:$B,$A452,'تجربه‌گرها'!$F:$F,E$1)</f>
        <v>0</v>
      </c>
      <c r="F452" s="242">
        <f>COUNTIFS('تجربه‌گرها'!$B:$B,$A452,'تجربه‌گرها'!$F:$F,F$1)</f>
        <v>0</v>
      </c>
      <c r="G452" s="242">
        <f>COUNTIFS('تجربه‌گرها'!$B:$B,$A452,'تجربه‌گرها'!$F:$F,G$1)</f>
        <v>1</v>
      </c>
      <c r="H452" s="242">
        <f>COUNTIFS('تجربه‌گرها'!$B:$B,$A452,'تجربه‌گرها'!$F:$F,H$1)</f>
        <v>0</v>
      </c>
      <c r="I452" s="242">
        <f>COUNTIFS('تجربه‌گرها'!$B:$B,$A452,'تجربه‌گرها'!$F:$F,I$1)</f>
        <v>0</v>
      </c>
      <c r="J452" s="242">
        <f>COUNTIFS('تجربه‌گرها'!$B:$B,$A452,'تجربه‌گرها'!$F:$F,J$1)</f>
        <v>0</v>
      </c>
      <c r="K452" s="242">
        <f>COUNTIFS('تجربه‌گرها'!$B:$B,$A452,'تجربه‌گرها'!$F:$F,K$1)</f>
        <v>0</v>
      </c>
      <c r="L452" s="242">
        <f>COUNTIFS('تجربه‌گرها'!$B:$B,$A452,'تجربه‌گرها'!$F:$F,L$1)</f>
        <v>0</v>
      </c>
      <c r="M452" s="242">
        <f>COUNTIFS('تجربه‌گرها'!$B:$B,$A452,'تجربه‌گرها'!$F:$F,M$1)</f>
        <v>0</v>
      </c>
      <c r="N452" s="242">
        <f>COUNTIFS('تجربه‌گرها'!$B:$B,$A452,'تجربه‌گرها'!$F:$F,N$1)</f>
        <v>0</v>
      </c>
      <c r="O452" s="242">
        <f>COUNTIFS('تجربه‌گرها'!$B:$B,$A452,'تجربه‌گرها'!$F:$F,O$1)</f>
        <v>0</v>
      </c>
      <c r="P452" s="242">
        <f>COUNTIFS('تجربه‌گرها'!$B:$B,$A452,'تجربه‌گرها'!$F:$F,P$1)</f>
        <v>0</v>
      </c>
      <c r="Q452" s="242">
        <f>COUNTIFS('تجربه‌گرها'!$B:$B,$A452,'تجربه‌گرها'!$F:$F,Q$1)</f>
        <v>0</v>
      </c>
      <c r="R452" s="242">
        <f>COUNTIFS('تجربه‌گرها'!$B:$B,$A452,'تجربه‌گرها'!$F:$F,R$1)</f>
        <v>0</v>
      </c>
      <c r="S452" s="242">
        <f>COUNTIFS('تجربه‌گرها'!$B:$B,$A452,'تجربه‌گرها'!$F:$F,S$1)</f>
        <v>0</v>
      </c>
      <c r="T452" s="242">
        <f>COUNTIFS('تجربه‌گرها'!$B:$B,$A452,'تجربه‌گرها'!$F:$F,T$1)</f>
        <v>0</v>
      </c>
      <c r="U452" s="242"/>
      <c r="V452" s="242"/>
      <c r="W452" s="242"/>
      <c r="X452" s="242"/>
      <c r="Y452" s="242"/>
      <c r="Z452" s="242"/>
      <c r="AA452" s="242"/>
      <c r="AB452" s="242"/>
    </row>
    <row r="453" hidden="1">
      <c r="A453" s="244" t="s">
        <v>3109</v>
      </c>
      <c r="B453" s="245" t="str">
        <f>VLOOKUP(A453,'تجربه‌گرها'!B:C,2,FALSE())</f>
        <v>9198412261</v>
      </c>
      <c r="C453" s="242"/>
      <c r="D453" s="242">
        <f t="shared" si="1"/>
        <v>1</v>
      </c>
      <c r="E453" s="242">
        <f>COUNTIFS('تجربه‌گرها'!$B:$B,$A453,'تجربه‌گرها'!$F:$F,E$1)</f>
        <v>0</v>
      </c>
      <c r="F453" s="242">
        <f>COUNTIFS('تجربه‌گرها'!$B:$B,$A453,'تجربه‌گرها'!$F:$F,F$1)</f>
        <v>0</v>
      </c>
      <c r="G453" s="242">
        <f>COUNTIFS('تجربه‌گرها'!$B:$B,$A453,'تجربه‌گرها'!$F:$F,G$1)</f>
        <v>1</v>
      </c>
      <c r="H453" s="242">
        <f>COUNTIFS('تجربه‌گرها'!$B:$B,$A453,'تجربه‌گرها'!$F:$F,H$1)</f>
        <v>0</v>
      </c>
      <c r="I453" s="242">
        <f>COUNTIFS('تجربه‌گرها'!$B:$B,$A453,'تجربه‌گرها'!$F:$F,I$1)</f>
        <v>0</v>
      </c>
      <c r="J453" s="242">
        <f>COUNTIFS('تجربه‌گرها'!$B:$B,$A453,'تجربه‌گرها'!$F:$F,J$1)</f>
        <v>0</v>
      </c>
      <c r="K453" s="242">
        <f>COUNTIFS('تجربه‌گرها'!$B:$B,$A453,'تجربه‌گرها'!$F:$F,K$1)</f>
        <v>0</v>
      </c>
      <c r="L453" s="242">
        <f>COUNTIFS('تجربه‌گرها'!$B:$B,$A453,'تجربه‌گرها'!$F:$F,L$1)</f>
        <v>0</v>
      </c>
      <c r="M453" s="242">
        <f>COUNTIFS('تجربه‌گرها'!$B:$B,$A453,'تجربه‌گرها'!$F:$F,M$1)</f>
        <v>0</v>
      </c>
      <c r="N453" s="242">
        <f>COUNTIFS('تجربه‌گرها'!$B:$B,$A453,'تجربه‌گرها'!$F:$F,N$1)</f>
        <v>0</v>
      </c>
      <c r="O453" s="242">
        <f>COUNTIFS('تجربه‌گرها'!$B:$B,$A453,'تجربه‌گرها'!$F:$F,O$1)</f>
        <v>0</v>
      </c>
      <c r="P453" s="242">
        <f>COUNTIFS('تجربه‌گرها'!$B:$B,$A453,'تجربه‌گرها'!$F:$F,P$1)</f>
        <v>0</v>
      </c>
      <c r="Q453" s="242">
        <f>COUNTIFS('تجربه‌گرها'!$B:$B,$A453,'تجربه‌گرها'!$F:$F,Q$1)</f>
        <v>0</v>
      </c>
      <c r="R453" s="242">
        <f>COUNTIFS('تجربه‌گرها'!$B:$B,$A453,'تجربه‌گرها'!$F:$F,R$1)</f>
        <v>0</v>
      </c>
      <c r="S453" s="242">
        <f>COUNTIFS('تجربه‌گرها'!$B:$B,$A453,'تجربه‌گرها'!$F:$F,S$1)</f>
        <v>0</v>
      </c>
      <c r="T453" s="242">
        <f>COUNTIFS('تجربه‌گرها'!$B:$B,$A453,'تجربه‌گرها'!$F:$F,T$1)</f>
        <v>0</v>
      </c>
      <c r="U453" s="242"/>
      <c r="V453" s="242"/>
      <c r="W453" s="242"/>
      <c r="X453" s="242"/>
      <c r="Y453" s="242"/>
      <c r="Z453" s="242"/>
      <c r="AA453" s="242"/>
      <c r="AB453" s="242"/>
    </row>
    <row r="454" hidden="1">
      <c r="A454" s="244" t="s">
        <v>184</v>
      </c>
      <c r="B454" s="245" t="str">
        <f>VLOOKUP(A454,'تجربه‌گرها'!B:C,2,FALSE())</f>
        <v>9195258134</v>
      </c>
      <c r="C454" s="242"/>
      <c r="D454" s="242">
        <f t="shared" si="1"/>
        <v>1</v>
      </c>
      <c r="E454" s="242">
        <f>COUNTIFS('تجربه‌گرها'!$B:$B,$A454,'تجربه‌گرها'!$F:$F,E$1)</f>
        <v>0</v>
      </c>
      <c r="F454" s="242">
        <f>COUNTIFS('تجربه‌گرها'!$B:$B,$A454,'تجربه‌گرها'!$F:$F,F$1)</f>
        <v>0</v>
      </c>
      <c r="G454" s="242">
        <f>COUNTIFS('تجربه‌گرها'!$B:$B,$A454,'تجربه‌گرها'!$F:$F,G$1)</f>
        <v>1</v>
      </c>
      <c r="H454" s="242">
        <f>COUNTIFS('تجربه‌گرها'!$B:$B,$A454,'تجربه‌گرها'!$F:$F,H$1)</f>
        <v>0</v>
      </c>
      <c r="I454" s="242">
        <f>COUNTIFS('تجربه‌گرها'!$B:$B,$A454,'تجربه‌گرها'!$F:$F,I$1)</f>
        <v>0</v>
      </c>
      <c r="J454" s="242">
        <f>COUNTIFS('تجربه‌گرها'!$B:$B,$A454,'تجربه‌گرها'!$F:$F,J$1)</f>
        <v>0</v>
      </c>
      <c r="K454" s="242">
        <f>COUNTIFS('تجربه‌گرها'!$B:$B,$A454,'تجربه‌گرها'!$F:$F,K$1)</f>
        <v>0</v>
      </c>
      <c r="L454" s="242">
        <f>COUNTIFS('تجربه‌گرها'!$B:$B,$A454,'تجربه‌گرها'!$F:$F,L$1)</f>
        <v>0</v>
      </c>
      <c r="M454" s="242">
        <f>COUNTIFS('تجربه‌گرها'!$B:$B,$A454,'تجربه‌گرها'!$F:$F,M$1)</f>
        <v>0</v>
      </c>
      <c r="N454" s="242">
        <f>COUNTIFS('تجربه‌گرها'!$B:$B,$A454,'تجربه‌گرها'!$F:$F,N$1)</f>
        <v>0</v>
      </c>
      <c r="O454" s="242">
        <f>COUNTIFS('تجربه‌گرها'!$B:$B,$A454,'تجربه‌گرها'!$F:$F,O$1)</f>
        <v>0</v>
      </c>
      <c r="P454" s="242">
        <f>COUNTIFS('تجربه‌گرها'!$B:$B,$A454,'تجربه‌گرها'!$F:$F,P$1)</f>
        <v>0</v>
      </c>
      <c r="Q454" s="242">
        <f>COUNTIFS('تجربه‌گرها'!$B:$B,$A454,'تجربه‌گرها'!$F:$F,Q$1)</f>
        <v>0</v>
      </c>
      <c r="R454" s="242">
        <f>COUNTIFS('تجربه‌گرها'!$B:$B,$A454,'تجربه‌گرها'!$F:$F,R$1)</f>
        <v>0</v>
      </c>
      <c r="S454" s="242">
        <f>COUNTIFS('تجربه‌گرها'!$B:$B,$A454,'تجربه‌گرها'!$F:$F,S$1)</f>
        <v>0</v>
      </c>
      <c r="T454" s="242">
        <f>COUNTIFS('تجربه‌گرها'!$B:$B,$A454,'تجربه‌گرها'!$F:$F,T$1)</f>
        <v>0</v>
      </c>
      <c r="U454" s="242"/>
      <c r="V454" s="242"/>
      <c r="W454" s="242"/>
      <c r="X454" s="242"/>
      <c r="Y454" s="242"/>
      <c r="Z454" s="242"/>
      <c r="AA454" s="242"/>
      <c r="AB454" s="242"/>
    </row>
    <row r="455" hidden="1">
      <c r="A455" s="244" t="s">
        <v>3117</v>
      </c>
      <c r="B455" s="245" t="str">
        <f>VLOOKUP(A455,'تجربه‌گرها'!B:C,2,FALSE())</f>
        <v>9381394100</v>
      </c>
      <c r="C455" s="242"/>
      <c r="D455" s="242">
        <f t="shared" si="1"/>
        <v>1</v>
      </c>
      <c r="E455" s="242">
        <f>COUNTIFS('تجربه‌گرها'!$B:$B,$A455,'تجربه‌گرها'!$F:$F,E$1)</f>
        <v>0</v>
      </c>
      <c r="F455" s="242">
        <f>COUNTIFS('تجربه‌گرها'!$B:$B,$A455,'تجربه‌گرها'!$F:$F,F$1)</f>
        <v>0</v>
      </c>
      <c r="G455" s="242">
        <f>COUNTIFS('تجربه‌گرها'!$B:$B,$A455,'تجربه‌گرها'!$F:$F,G$1)</f>
        <v>1</v>
      </c>
      <c r="H455" s="242">
        <f>COUNTIFS('تجربه‌گرها'!$B:$B,$A455,'تجربه‌گرها'!$F:$F,H$1)</f>
        <v>0</v>
      </c>
      <c r="I455" s="242">
        <f>COUNTIFS('تجربه‌گرها'!$B:$B,$A455,'تجربه‌گرها'!$F:$F,I$1)</f>
        <v>0</v>
      </c>
      <c r="J455" s="242">
        <f>COUNTIFS('تجربه‌گرها'!$B:$B,$A455,'تجربه‌گرها'!$F:$F,J$1)</f>
        <v>0</v>
      </c>
      <c r="K455" s="242">
        <f>COUNTIFS('تجربه‌گرها'!$B:$B,$A455,'تجربه‌گرها'!$F:$F,K$1)</f>
        <v>0</v>
      </c>
      <c r="L455" s="242">
        <f>COUNTIFS('تجربه‌گرها'!$B:$B,$A455,'تجربه‌گرها'!$F:$F,L$1)</f>
        <v>0</v>
      </c>
      <c r="M455" s="242">
        <f>COUNTIFS('تجربه‌گرها'!$B:$B,$A455,'تجربه‌گرها'!$F:$F,M$1)</f>
        <v>0</v>
      </c>
      <c r="N455" s="242">
        <f>COUNTIFS('تجربه‌گرها'!$B:$B,$A455,'تجربه‌گرها'!$F:$F,N$1)</f>
        <v>0</v>
      </c>
      <c r="O455" s="242">
        <f>COUNTIFS('تجربه‌گرها'!$B:$B,$A455,'تجربه‌گرها'!$F:$F,O$1)</f>
        <v>0</v>
      </c>
      <c r="P455" s="242">
        <f>COUNTIFS('تجربه‌گرها'!$B:$B,$A455,'تجربه‌گرها'!$F:$F,P$1)</f>
        <v>0</v>
      </c>
      <c r="Q455" s="242">
        <f>COUNTIFS('تجربه‌گرها'!$B:$B,$A455,'تجربه‌گرها'!$F:$F,Q$1)</f>
        <v>0</v>
      </c>
      <c r="R455" s="242">
        <f>COUNTIFS('تجربه‌گرها'!$B:$B,$A455,'تجربه‌گرها'!$F:$F,R$1)</f>
        <v>0</v>
      </c>
      <c r="S455" s="242">
        <f>COUNTIFS('تجربه‌گرها'!$B:$B,$A455,'تجربه‌گرها'!$F:$F,S$1)</f>
        <v>0</v>
      </c>
      <c r="T455" s="242">
        <f>COUNTIFS('تجربه‌گرها'!$B:$B,$A455,'تجربه‌گرها'!$F:$F,T$1)</f>
        <v>0</v>
      </c>
      <c r="U455" s="242"/>
      <c r="V455" s="242"/>
      <c r="W455" s="242"/>
      <c r="X455" s="242"/>
      <c r="Y455" s="242"/>
      <c r="Z455" s="242"/>
      <c r="AA455" s="242"/>
      <c r="AB455" s="242"/>
    </row>
    <row r="456" hidden="1">
      <c r="A456" s="244" t="s">
        <v>3122</v>
      </c>
      <c r="B456" s="245" t="str">
        <f>VLOOKUP(A456,'تجربه‌گرها'!B:C,2,FALSE())</f>
        <v>9333608495</v>
      </c>
      <c r="C456" s="242"/>
      <c r="D456" s="242">
        <f t="shared" si="1"/>
        <v>1</v>
      </c>
      <c r="E456" s="242">
        <f>COUNTIFS('تجربه‌گرها'!$B:$B,$A456,'تجربه‌گرها'!$F:$F,E$1)</f>
        <v>0</v>
      </c>
      <c r="F456" s="242">
        <f>COUNTIFS('تجربه‌گرها'!$B:$B,$A456,'تجربه‌گرها'!$F:$F,F$1)</f>
        <v>0</v>
      </c>
      <c r="G456" s="242">
        <f>COUNTIFS('تجربه‌گرها'!$B:$B,$A456,'تجربه‌گرها'!$F:$F,G$1)</f>
        <v>1</v>
      </c>
      <c r="H456" s="242">
        <f>COUNTIFS('تجربه‌گرها'!$B:$B,$A456,'تجربه‌گرها'!$F:$F,H$1)</f>
        <v>0</v>
      </c>
      <c r="I456" s="242">
        <f>COUNTIFS('تجربه‌گرها'!$B:$B,$A456,'تجربه‌گرها'!$F:$F,I$1)</f>
        <v>0</v>
      </c>
      <c r="J456" s="242">
        <f>COUNTIFS('تجربه‌گرها'!$B:$B,$A456,'تجربه‌گرها'!$F:$F,J$1)</f>
        <v>0</v>
      </c>
      <c r="K456" s="242">
        <f>COUNTIFS('تجربه‌گرها'!$B:$B,$A456,'تجربه‌گرها'!$F:$F,K$1)</f>
        <v>0</v>
      </c>
      <c r="L456" s="242">
        <f>COUNTIFS('تجربه‌گرها'!$B:$B,$A456,'تجربه‌گرها'!$F:$F,L$1)</f>
        <v>0</v>
      </c>
      <c r="M456" s="242">
        <f>COUNTIFS('تجربه‌گرها'!$B:$B,$A456,'تجربه‌گرها'!$F:$F,M$1)</f>
        <v>0</v>
      </c>
      <c r="N456" s="242">
        <f>COUNTIFS('تجربه‌گرها'!$B:$B,$A456,'تجربه‌گرها'!$F:$F,N$1)</f>
        <v>0</v>
      </c>
      <c r="O456" s="242">
        <f>COUNTIFS('تجربه‌گرها'!$B:$B,$A456,'تجربه‌گرها'!$F:$F,O$1)</f>
        <v>0</v>
      </c>
      <c r="P456" s="242">
        <f>COUNTIFS('تجربه‌گرها'!$B:$B,$A456,'تجربه‌گرها'!$F:$F,P$1)</f>
        <v>0</v>
      </c>
      <c r="Q456" s="242">
        <f>COUNTIFS('تجربه‌گرها'!$B:$B,$A456,'تجربه‌گرها'!$F:$F,Q$1)</f>
        <v>0</v>
      </c>
      <c r="R456" s="242">
        <f>COUNTIFS('تجربه‌گرها'!$B:$B,$A456,'تجربه‌گرها'!$F:$F,R$1)</f>
        <v>0</v>
      </c>
      <c r="S456" s="242">
        <f>COUNTIFS('تجربه‌گرها'!$B:$B,$A456,'تجربه‌گرها'!$F:$F,S$1)</f>
        <v>0</v>
      </c>
      <c r="T456" s="242">
        <f>COUNTIFS('تجربه‌گرها'!$B:$B,$A456,'تجربه‌گرها'!$F:$F,T$1)</f>
        <v>0</v>
      </c>
      <c r="U456" s="242"/>
      <c r="V456" s="242"/>
      <c r="W456" s="242"/>
      <c r="X456" s="242"/>
      <c r="Y456" s="242"/>
      <c r="Z456" s="242"/>
      <c r="AA456" s="242"/>
      <c r="AB456" s="242"/>
    </row>
    <row r="457" hidden="1">
      <c r="A457" s="244" t="s">
        <v>3128</v>
      </c>
      <c r="B457" s="245" t="str">
        <f>VLOOKUP(A457,'تجربه‌گرها'!B:C,2,FALSE())</f>
        <v>9122274650</v>
      </c>
      <c r="C457" s="242"/>
      <c r="D457" s="242">
        <f t="shared" si="1"/>
        <v>2</v>
      </c>
      <c r="E457" s="242">
        <f>COUNTIFS('تجربه‌گرها'!$B:$B,$A457,'تجربه‌گرها'!$F:$F,E$1)</f>
        <v>0</v>
      </c>
      <c r="F457" s="242">
        <f>COUNTIFS('تجربه‌گرها'!$B:$B,$A457,'تجربه‌گرها'!$F:$F,F$1)</f>
        <v>0</v>
      </c>
      <c r="G457" s="242">
        <f>COUNTIFS('تجربه‌گرها'!$B:$B,$A457,'تجربه‌گرها'!$F:$F,G$1)</f>
        <v>1</v>
      </c>
      <c r="H457" s="242">
        <f>COUNTIFS('تجربه‌گرها'!$B:$B,$A457,'تجربه‌گرها'!$F:$F,H$1)</f>
        <v>0</v>
      </c>
      <c r="I457" s="242">
        <f>COUNTIFS('تجربه‌گرها'!$B:$B,$A457,'تجربه‌گرها'!$F:$F,I$1)</f>
        <v>0</v>
      </c>
      <c r="J457" s="242">
        <f>COUNTIFS('تجربه‌گرها'!$B:$B,$A457,'تجربه‌گرها'!$F:$F,J$1)</f>
        <v>1</v>
      </c>
      <c r="K457" s="242">
        <f>COUNTIFS('تجربه‌گرها'!$B:$B,$A457,'تجربه‌گرها'!$F:$F,K$1)</f>
        <v>0</v>
      </c>
      <c r="L457" s="242">
        <f>COUNTIFS('تجربه‌گرها'!$B:$B,$A457,'تجربه‌گرها'!$F:$F,L$1)</f>
        <v>0</v>
      </c>
      <c r="M457" s="242">
        <f>COUNTIFS('تجربه‌گرها'!$B:$B,$A457,'تجربه‌گرها'!$F:$F,M$1)</f>
        <v>0</v>
      </c>
      <c r="N457" s="242">
        <f>COUNTIFS('تجربه‌گرها'!$B:$B,$A457,'تجربه‌گرها'!$F:$F,N$1)</f>
        <v>0</v>
      </c>
      <c r="O457" s="242">
        <f>COUNTIFS('تجربه‌گرها'!$B:$B,$A457,'تجربه‌گرها'!$F:$F,O$1)</f>
        <v>0</v>
      </c>
      <c r="P457" s="242">
        <f>COUNTIFS('تجربه‌گرها'!$B:$B,$A457,'تجربه‌گرها'!$F:$F,P$1)</f>
        <v>0</v>
      </c>
      <c r="Q457" s="242">
        <f>COUNTIFS('تجربه‌گرها'!$B:$B,$A457,'تجربه‌گرها'!$F:$F,Q$1)</f>
        <v>0</v>
      </c>
      <c r="R457" s="242">
        <f>COUNTIFS('تجربه‌گرها'!$B:$B,$A457,'تجربه‌گرها'!$F:$F,R$1)</f>
        <v>0</v>
      </c>
      <c r="S457" s="242">
        <f>COUNTIFS('تجربه‌گرها'!$B:$B,$A457,'تجربه‌گرها'!$F:$F,S$1)</f>
        <v>0</v>
      </c>
      <c r="T457" s="242">
        <f>COUNTIFS('تجربه‌گرها'!$B:$B,$A457,'تجربه‌گرها'!$F:$F,T$1)</f>
        <v>0</v>
      </c>
      <c r="U457" s="242"/>
      <c r="V457" s="242"/>
      <c r="W457" s="242"/>
      <c r="X457" s="242"/>
      <c r="Y457" s="242"/>
      <c r="Z457" s="242"/>
      <c r="AA457" s="242"/>
      <c r="AB457" s="242"/>
    </row>
    <row r="458" hidden="1">
      <c r="A458" s="244" t="s">
        <v>151</v>
      </c>
      <c r="B458" s="245" t="str">
        <f>VLOOKUP(A458,'تجربه‌گرها'!B:C,2,FALSE())</f>
        <v>9122712880</v>
      </c>
      <c r="C458" s="242"/>
      <c r="D458" s="242">
        <f t="shared" si="1"/>
        <v>2</v>
      </c>
      <c r="E458" s="242">
        <f>COUNTIFS('تجربه‌گرها'!$B:$B,$A458,'تجربه‌گرها'!$F:$F,E$1)</f>
        <v>0</v>
      </c>
      <c r="F458" s="242">
        <f>COUNTIFS('تجربه‌گرها'!$B:$B,$A458,'تجربه‌گرها'!$F:$F,F$1)</f>
        <v>0</v>
      </c>
      <c r="G458" s="242">
        <f>COUNTIFS('تجربه‌گرها'!$B:$B,$A458,'تجربه‌گرها'!$F:$F,G$1)</f>
        <v>1</v>
      </c>
      <c r="H458" s="242">
        <f>COUNTIFS('تجربه‌گرها'!$B:$B,$A458,'تجربه‌گرها'!$F:$F,H$1)</f>
        <v>0</v>
      </c>
      <c r="I458" s="242">
        <f>COUNTIFS('تجربه‌گرها'!$B:$B,$A458,'تجربه‌گرها'!$F:$F,I$1)</f>
        <v>0</v>
      </c>
      <c r="J458" s="242">
        <f>COUNTIFS('تجربه‌گرها'!$B:$B,$A458,'تجربه‌گرها'!$F:$F,J$1)</f>
        <v>1</v>
      </c>
      <c r="K458" s="242">
        <f>COUNTIFS('تجربه‌گرها'!$B:$B,$A458,'تجربه‌گرها'!$F:$F,K$1)</f>
        <v>0</v>
      </c>
      <c r="L458" s="242">
        <f>COUNTIFS('تجربه‌گرها'!$B:$B,$A458,'تجربه‌گرها'!$F:$F,L$1)</f>
        <v>0</v>
      </c>
      <c r="M458" s="242">
        <f>COUNTIFS('تجربه‌گرها'!$B:$B,$A458,'تجربه‌گرها'!$F:$F,M$1)</f>
        <v>0</v>
      </c>
      <c r="N458" s="242">
        <f>COUNTIFS('تجربه‌گرها'!$B:$B,$A458,'تجربه‌گرها'!$F:$F,N$1)</f>
        <v>0</v>
      </c>
      <c r="O458" s="242">
        <f>COUNTIFS('تجربه‌گرها'!$B:$B,$A458,'تجربه‌گرها'!$F:$F,O$1)</f>
        <v>0</v>
      </c>
      <c r="P458" s="242">
        <f>COUNTIFS('تجربه‌گرها'!$B:$B,$A458,'تجربه‌گرها'!$F:$F,P$1)</f>
        <v>0</v>
      </c>
      <c r="Q458" s="242">
        <f>COUNTIFS('تجربه‌گرها'!$B:$B,$A458,'تجربه‌گرها'!$F:$F,Q$1)</f>
        <v>0</v>
      </c>
      <c r="R458" s="242">
        <f>COUNTIFS('تجربه‌گرها'!$B:$B,$A458,'تجربه‌گرها'!$F:$F,R$1)</f>
        <v>0</v>
      </c>
      <c r="S458" s="242">
        <f>COUNTIFS('تجربه‌گرها'!$B:$B,$A458,'تجربه‌گرها'!$F:$F,S$1)</f>
        <v>0</v>
      </c>
      <c r="T458" s="242">
        <f>COUNTIFS('تجربه‌گرها'!$B:$B,$A458,'تجربه‌گرها'!$F:$F,T$1)</f>
        <v>0</v>
      </c>
      <c r="U458" s="242"/>
      <c r="V458" s="242"/>
      <c r="W458" s="242"/>
      <c r="X458" s="242"/>
      <c r="Y458" s="242"/>
      <c r="Z458" s="242"/>
      <c r="AA458" s="242"/>
      <c r="AB458" s="242"/>
    </row>
    <row r="459" hidden="1">
      <c r="A459" s="244" t="s">
        <v>3138</v>
      </c>
      <c r="B459" s="245" t="str">
        <f>VLOOKUP(A459,'تجربه‌گرها'!B:C,2,FALSE())</f>
        <v>9118493732</v>
      </c>
      <c r="C459" s="242"/>
      <c r="D459" s="242">
        <f t="shared" si="1"/>
        <v>1</v>
      </c>
      <c r="E459" s="242">
        <f>COUNTIFS('تجربه‌گرها'!$B:$B,$A459,'تجربه‌گرها'!$F:$F,E$1)</f>
        <v>0</v>
      </c>
      <c r="F459" s="242">
        <f>COUNTIFS('تجربه‌گرها'!$B:$B,$A459,'تجربه‌گرها'!$F:$F,F$1)</f>
        <v>0</v>
      </c>
      <c r="G459" s="242">
        <f>COUNTIFS('تجربه‌گرها'!$B:$B,$A459,'تجربه‌گرها'!$F:$F,G$1)</f>
        <v>1</v>
      </c>
      <c r="H459" s="242">
        <f>COUNTIFS('تجربه‌گرها'!$B:$B,$A459,'تجربه‌گرها'!$F:$F,H$1)</f>
        <v>0</v>
      </c>
      <c r="I459" s="242">
        <f>COUNTIFS('تجربه‌گرها'!$B:$B,$A459,'تجربه‌گرها'!$F:$F,I$1)</f>
        <v>0</v>
      </c>
      <c r="J459" s="242">
        <f>COUNTIFS('تجربه‌گرها'!$B:$B,$A459,'تجربه‌گرها'!$F:$F,J$1)</f>
        <v>0</v>
      </c>
      <c r="K459" s="242">
        <f>COUNTIFS('تجربه‌گرها'!$B:$B,$A459,'تجربه‌گرها'!$F:$F,K$1)</f>
        <v>0</v>
      </c>
      <c r="L459" s="242">
        <f>COUNTIFS('تجربه‌گرها'!$B:$B,$A459,'تجربه‌گرها'!$F:$F,L$1)</f>
        <v>0</v>
      </c>
      <c r="M459" s="242">
        <f>COUNTIFS('تجربه‌گرها'!$B:$B,$A459,'تجربه‌گرها'!$F:$F,M$1)</f>
        <v>0</v>
      </c>
      <c r="N459" s="242">
        <f>COUNTIFS('تجربه‌گرها'!$B:$B,$A459,'تجربه‌گرها'!$F:$F,N$1)</f>
        <v>0</v>
      </c>
      <c r="O459" s="242">
        <f>COUNTIFS('تجربه‌گرها'!$B:$B,$A459,'تجربه‌گرها'!$F:$F,O$1)</f>
        <v>0</v>
      </c>
      <c r="P459" s="242">
        <f>COUNTIFS('تجربه‌گرها'!$B:$B,$A459,'تجربه‌گرها'!$F:$F,P$1)</f>
        <v>0</v>
      </c>
      <c r="Q459" s="242">
        <f>COUNTIFS('تجربه‌گرها'!$B:$B,$A459,'تجربه‌گرها'!$F:$F,Q$1)</f>
        <v>0</v>
      </c>
      <c r="R459" s="242">
        <f>COUNTIFS('تجربه‌گرها'!$B:$B,$A459,'تجربه‌گرها'!$F:$F,R$1)</f>
        <v>0</v>
      </c>
      <c r="S459" s="242">
        <f>COUNTIFS('تجربه‌گرها'!$B:$B,$A459,'تجربه‌گرها'!$F:$F,S$1)</f>
        <v>0</v>
      </c>
      <c r="T459" s="242">
        <f>COUNTIFS('تجربه‌گرها'!$B:$B,$A459,'تجربه‌گرها'!$F:$F,T$1)</f>
        <v>0</v>
      </c>
      <c r="U459" s="242"/>
      <c r="V459" s="242"/>
      <c r="W459" s="242"/>
      <c r="X459" s="242"/>
      <c r="Y459" s="242"/>
      <c r="Z459" s="242"/>
      <c r="AA459" s="242"/>
      <c r="AB459" s="242"/>
    </row>
    <row r="460" hidden="1">
      <c r="A460" s="244" t="s">
        <v>3144</v>
      </c>
      <c r="B460" s="245" t="str">
        <f>VLOOKUP(A460,'تجربه‌گرها'!B:C,2,FALSE())</f>
        <v>9382105492</v>
      </c>
      <c r="C460" s="242"/>
      <c r="D460" s="242">
        <f t="shared" si="1"/>
        <v>1</v>
      </c>
      <c r="E460" s="242">
        <f>COUNTIFS('تجربه‌گرها'!$B:$B,$A460,'تجربه‌گرها'!$F:$F,E$1)</f>
        <v>0</v>
      </c>
      <c r="F460" s="242">
        <f>COUNTIFS('تجربه‌گرها'!$B:$B,$A460,'تجربه‌گرها'!$F:$F,F$1)</f>
        <v>0</v>
      </c>
      <c r="G460" s="242">
        <f>COUNTIFS('تجربه‌گرها'!$B:$B,$A460,'تجربه‌گرها'!$F:$F,G$1)</f>
        <v>1</v>
      </c>
      <c r="H460" s="242">
        <f>COUNTIFS('تجربه‌گرها'!$B:$B,$A460,'تجربه‌گرها'!$F:$F,H$1)</f>
        <v>0</v>
      </c>
      <c r="I460" s="242">
        <f>COUNTIFS('تجربه‌گرها'!$B:$B,$A460,'تجربه‌گرها'!$F:$F,I$1)</f>
        <v>0</v>
      </c>
      <c r="J460" s="242">
        <f>COUNTIFS('تجربه‌گرها'!$B:$B,$A460,'تجربه‌گرها'!$F:$F,J$1)</f>
        <v>0</v>
      </c>
      <c r="K460" s="242">
        <f>COUNTIFS('تجربه‌گرها'!$B:$B,$A460,'تجربه‌گرها'!$F:$F,K$1)</f>
        <v>0</v>
      </c>
      <c r="L460" s="242">
        <f>COUNTIFS('تجربه‌گرها'!$B:$B,$A460,'تجربه‌گرها'!$F:$F,L$1)</f>
        <v>0</v>
      </c>
      <c r="M460" s="242">
        <f>COUNTIFS('تجربه‌گرها'!$B:$B,$A460,'تجربه‌گرها'!$F:$F,M$1)</f>
        <v>0</v>
      </c>
      <c r="N460" s="242">
        <f>COUNTIFS('تجربه‌گرها'!$B:$B,$A460,'تجربه‌گرها'!$F:$F,N$1)</f>
        <v>0</v>
      </c>
      <c r="O460" s="242">
        <f>COUNTIFS('تجربه‌گرها'!$B:$B,$A460,'تجربه‌گرها'!$F:$F,O$1)</f>
        <v>0</v>
      </c>
      <c r="P460" s="242">
        <f>COUNTIFS('تجربه‌گرها'!$B:$B,$A460,'تجربه‌گرها'!$F:$F,P$1)</f>
        <v>0</v>
      </c>
      <c r="Q460" s="242">
        <f>COUNTIFS('تجربه‌گرها'!$B:$B,$A460,'تجربه‌گرها'!$F:$F,Q$1)</f>
        <v>0</v>
      </c>
      <c r="R460" s="242">
        <f>COUNTIFS('تجربه‌گرها'!$B:$B,$A460,'تجربه‌گرها'!$F:$F,R$1)</f>
        <v>0</v>
      </c>
      <c r="S460" s="242">
        <f>COUNTIFS('تجربه‌گرها'!$B:$B,$A460,'تجربه‌گرها'!$F:$F,S$1)</f>
        <v>0</v>
      </c>
      <c r="T460" s="242">
        <f>COUNTIFS('تجربه‌گرها'!$B:$B,$A460,'تجربه‌گرها'!$F:$F,T$1)</f>
        <v>0</v>
      </c>
      <c r="U460" s="242"/>
      <c r="V460" s="242"/>
      <c r="W460" s="242"/>
      <c r="X460" s="242"/>
      <c r="Y460" s="242"/>
      <c r="Z460" s="242"/>
      <c r="AA460" s="242"/>
      <c r="AB460" s="242"/>
    </row>
    <row r="461" hidden="1">
      <c r="A461" s="244" t="s">
        <v>3148</v>
      </c>
      <c r="B461" s="245" t="str">
        <f>VLOOKUP(A461,'تجربه‌گرها'!B:C,2,FALSE())</f>
        <v>9128498138</v>
      </c>
      <c r="C461" s="242"/>
      <c r="D461" s="242">
        <f t="shared" si="1"/>
        <v>1</v>
      </c>
      <c r="E461" s="242">
        <f>COUNTIFS('تجربه‌گرها'!$B:$B,$A461,'تجربه‌گرها'!$F:$F,E$1)</f>
        <v>0</v>
      </c>
      <c r="F461" s="242">
        <f>COUNTIFS('تجربه‌گرها'!$B:$B,$A461,'تجربه‌گرها'!$F:$F,F$1)</f>
        <v>0</v>
      </c>
      <c r="G461" s="242">
        <f>COUNTIFS('تجربه‌گرها'!$B:$B,$A461,'تجربه‌گرها'!$F:$F,G$1)</f>
        <v>1</v>
      </c>
      <c r="H461" s="242">
        <f>COUNTIFS('تجربه‌گرها'!$B:$B,$A461,'تجربه‌گرها'!$F:$F,H$1)</f>
        <v>0</v>
      </c>
      <c r="I461" s="242">
        <f>COUNTIFS('تجربه‌گرها'!$B:$B,$A461,'تجربه‌گرها'!$F:$F,I$1)</f>
        <v>0</v>
      </c>
      <c r="J461" s="242">
        <f>COUNTIFS('تجربه‌گرها'!$B:$B,$A461,'تجربه‌گرها'!$F:$F,J$1)</f>
        <v>0</v>
      </c>
      <c r="K461" s="242">
        <f>COUNTIFS('تجربه‌گرها'!$B:$B,$A461,'تجربه‌گرها'!$F:$F,K$1)</f>
        <v>0</v>
      </c>
      <c r="L461" s="242">
        <f>COUNTIFS('تجربه‌گرها'!$B:$B,$A461,'تجربه‌گرها'!$F:$F,L$1)</f>
        <v>0</v>
      </c>
      <c r="M461" s="242">
        <f>COUNTIFS('تجربه‌گرها'!$B:$B,$A461,'تجربه‌گرها'!$F:$F,M$1)</f>
        <v>0</v>
      </c>
      <c r="N461" s="242">
        <f>COUNTIFS('تجربه‌گرها'!$B:$B,$A461,'تجربه‌گرها'!$F:$F,N$1)</f>
        <v>0</v>
      </c>
      <c r="O461" s="242">
        <f>COUNTIFS('تجربه‌گرها'!$B:$B,$A461,'تجربه‌گرها'!$F:$F,O$1)</f>
        <v>0</v>
      </c>
      <c r="P461" s="242">
        <f>COUNTIFS('تجربه‌گرها'!$B:$B,$A461,'تجربه‌گرها'!$F:$F,P$1)</f>
        <v>0</v>
      </c>
      <c r="Q461" s="242">
        <f>COUNTIFS('تجربه‌گرها'!$B:$B,$A461,'تجربه‌گرها'!$F:$F,Q$1)</f>
        <v>0</v>
      </c>
      <c r="R461" s="242">
        <f>COUNTIFS('تجربه‌گرها'!$B:$B,$A461,'تجربه‌گرها'!$F:$F,R$1)</f>
        <v>0</v>
      </c>
      <c r="S461" s="242">
        <f>COUNTIFS('تجربه‌گرها'!$B:$B,$A461,'تجربه‌گرها'!$F:$F,S$1)</f>
        <v>0</v>
      </c>
      <c r="T461" s="242">
        <f>COUNTIFS('تجربه‌گرها'!$B:$B,$A461,'تجربه‌گرها'!$F:$F,T$1)</f>
        <v>0</v>
      </c>
      <c r="U461" s="242"/>
      <c r="V461" s="242"/>
      <c r="W461" s="242"/>
      <c r="X461" s="242"/>
      <c r="Y461" s="242"/>
      <c r="Z461" s="242"/>
      <c r="AA461" s="242"/>
      <c r="AB461" s="242"/>
    </row>
    <row r="462" hidden="1">
      <c r="A462" s="244" t="s">
        <v>3155</v>
      </c>
      <c r="B462" s="245" t="str">
        <f>VLOOKUP(A462,'تجربه‌گرها'!B:C,2,FALSE())</f>
        <v>9128018825</v>
      </c>
      <c r="C462" s="242"/>
      <c r="D462" s="242">
        <f t="shared" si="1"/>
        <v>1</v>
      </c>
      <c r="E462" s="242">
        <f>COUNTIFS('تجربه‌گرها'!$B:$B,$A462,'تجربه‌گرها'!$F:$F,E$1)</f>
        <v>0</v>
      </c>
      <c r="F462" s="242">
        <f>COUNTIFS('تجربه‌گرها'!$B:$B,$A462,'تجربه‌گرها'!$F:$F,F$1)</f>
        <v>0</v>
      </c>
      <c r="G462" s="242">
        <f>COUNTIFS('تجربه‌گرها'!$B:$B,$A462,'تجربه‌گرها'!$F:$F,G$1)</f>
        <v>1</v>
      </c>
      <c r="H462" s="242">
        <f>COUNTIFS('تجربه‌گرها'!$B:$B,$A462,'تجربه‌گرها'!$F:$F,H$1)</f>
        <v>0</v>
      </c>
      <c r="I462" s="242">
        <f>COUNTIFS('تجربه‌گرها'!$B:$B,$A462,'تجربه‌گرها'!$F:$F,I$1)</f>
        <v>0</v>
      </c>
      <c r="J462" s="242">
        <f>COUNTIFS('تجربه‌گرها'!$B:$B,$A462,'تجربه‌گرها'!$F:$F,J$1)</f>
        <v>0</v>
      </c>
      <c r="K462" s="242">
        <f>COUNTIFS('تجربه‌گرها'!$B:$B,$A462,'تجربه‌گرها'!$F:$F,K$1)</f>
        <v>0</v>
      </c>
      <c r="L462" s="242">
        <f>COUNTIFS('تجربه‌گرها'!$B:$B,$A462,'تجربه‌گرها'!$F:$F,L$1)</f>
        <v>0</v>
      </c>
      <c r="M462" s="242">
        <f>COUNTIFS('تجربه‌گرها'!$B:$B,$A462,'تجربه‌گرها'!$F:$F,M$1)</f>
        <v>0</v>
      </c>
      <c r="N462" s="242">
        <f>COUNTIFS('تجربه‌گرها'!$B:$B,$A462,'تجربه‌گرها'!$F:$F,N$1)</f>
        <v>0</v>
      </c>
      <c r="O462" s="242">
        <f>COUNTIFS('تجربه‌گرها'!$B:$B,$A462,'تجربه‌گرها'!$F:$F,O$1)</f>
        <v>0</v>
      </c>
      <c r="P462" s="242">
        <f>COUNTIFS('تجربه‌گرها'!$B:$B,$A462,'تجربه‌گرها'!$F:$F,P$1)</f>
        <v>0</v>
      </c>
      <c r="Q462" s="242">
        <f>COUNTIFS('تجربه‌گرها'!$B:$B,$A462,'تجربه‌گرها'!$F:$F,Q$1)</f>
        <v>0</v>
      </c>
      <c r="R462" s="242">
        <f>COUNTIFS('تجربه‌گرها'!$B:$B,$A462,'تجربه‌گرها'!$F:$F,R$1)</f>
        <v>0</v>
      </c>
      <c r="S462" s="242">
        <f>COUNTIFS('تجربه‌گرها'!$B:$B,$A462,'تجربه‌گرها'!$F:$F,S$1)</f>
        <v>0</v>
      </c>
      <c r="T462" s="242">
        <f>COUNTIFS('تجربه‌گرها'!$B:$B,$A462,'تجربه‌گرها'!$F:$F,T$1)</f>
        <v>0</v>
      </c>
      <c r="U462" s="242"/>
      <c r="V462" s="242"/>
      <c r="W462" s="242"/>
      <c r="X462" s="242"/>
      <c r="Y462" s="242"/>
      <c r="Z462" s="242"/>
      <c r="AA462" s="242"/>
      <c r="AB462" s="242"/>
    </row>
    <row r="463" hidden="1">
      <c r="A463" s="244" t="s">
        <v>3161</v>
      </c>
      <c r="B463" s="245" t="str">
        <f>VLOOKUP(A463,'تجربه‌گرها'!B:C,2,FALSE())</f>
        <v>9128625449</v>
      </c>
      <c r="C463" s="242"/>
      <c r="D463" s="242">
        <f t="shared" si="1"/>
        <v>1</v>
      </c>
      <c r="E463" s="242">
        <f>COUNTIFS('تجربه‌گرها'!$B:$B,$A463,'تجربه‌گرها'!$F:$F,E$1)</f>
        <v>0</v>
      </c>
      <c r="F463" s="242">
        <f>COUNTIFS('تجربه‌گرها'!$B:$B,$A463,'تجربه‌گرها'!$F:$F,F$1)</f>
        <v>0</v>
      </c>
      <c r="G463" s="242">
        <f>COUNTIFS('تجربه‌گرها'!$B:$B,$A463,'تجربه‌گرها'!$F:$F,G$1)</f>
        <v>1</v>
      </c>
      <c r="H463" s="242">
        <f>COUNTIFS('تجربه‌گرها'!$B:$B,$A463,'تجربه‌گرها'!$F:$F,H$1)</f>
        <v>0</v>
      </c>
      <c r="I463" s="242">
        <f>COUNTIFS('تجربه‌گرها'!$B:$B,$A463,'تجربه‌گرها'!$F:$F,I$1)</f>
        <v>0</v>
      </c>
      <c r="J463" s="242">
        <f>COUNTIFS('تجربه‌گرها'!$B:$B,$A463,'تجربه‌گرها'!$F:$F,J$1)</f>
        <v>0</v>
      </c>
      <c r="K463" s="242">
        <f>COUNTIFS('تجربه‌گرها'!$B:$B,$A463,'تجربه‌گرها'!$F:$F,K$1)</f>
        <v>0</v>
      </c>
      <c r="L463" s="242">
        <f>COUNTIFS('تجربه‌گرها'!$B:$B,$A463,'تجربه‌گرها'!$F:$F,L$1)</f>
        <v>0</v>
      </c>
      <c r="M463" s="242">
        <f>COUNTIFS('تجربه‌گرها'!$B:$B,$A463,'تجربه‌گرها'!$F:$F,M$1)</f>
        <v>0</v>
      </c>
      <c r="N463" s="242">
        <f>COUNTIFS('تجربه‌گرها'!$B:$B,$A463,'تجربه‌گرها'!$F:$F,N$1)</f>
        <v>0</v>
      </c>
      <c r="O463" s="242">
        <f>COUNTIFS('تجربه‌گرها'!$B:$B,$A463,'تجربه‌گرها'!$F:$F,O$1)</f>
        <v>0</v>
      </c>
      <c r="P463" s="242">
        <f>COUNTIFS('تجربه‌گرها'!$B:$B,$A463,'تجربه‌گرها'!$F:$F,P$1)</f>
        <v>0</v>
      </c>
      <c r="Q463" s="242">
        <f>COUNTIFS('تجربه‌گرها'!$B:$B,$A463,'تجربه‌گرها'!$F:$F,Q$1)</f>
        <v>0</v>
      </c>
      <c r="R463" s="242">
        <f>COUNTIFS('تجربه‌گرها'!$B:$B,$A463,'تجربه‌گرها'!$F:$F,R$1)</f>
        <v>0</v>
      </c>
      <c r="S463" s="242">
        <f>COUNTIFS('تجربه‌گرها'!$B:$B,$A463,'تجربه‌گرها'!$F:$F,S$1)</f>
        <v>0</v>
      </c>
      <c r="T463" s="242">
        <f>COUNTIFS('تجربه‌گرها'!$B:$B,$A463,'تجربه‌گرها'!$F:$F,T$1)</f>
        <v>0</v>
      </c>
      <c r="U463" s="242"/>
      <c r="V463" s="242"/>
      <c r="W463" s="242"/>
      <c r="X463" s="242"/>
      <c r="Y463" s="242"/>
      <c r="Z463" s="242"/>
      <c r="AA463" s="242"/>
      <c r="AB463" s="242"/>
    </row>
    <row r="464" hidden="1">
      <c r="A464" s="244" t="s">
        <v>3167</v>
      </c>
      <c r="B464" s="245" t="str">
        <f>VLOOKUP(A464,'تجربه‌گرها'!B:C,2,FALSE())</f>
        <v>9197272005</v>
      </c>
      <c r="C464" s="242"/>
      <c r="D464" s="242">
        <f t="shared" si="1"/>
        <v>1</v>
      </c>
      <c r="E464" s="242">
        <f>COUNTIFS('تجربه‌گرها'!$B:$B,$A464,'تجربه‌گرها'!$F:$F,E$1)</f>
        <v>0</v>
      </c>
      <c r="F464" s="242">
        <f>COUNTIFS('تجربه‌گرها'!$B:$B,$A464,'تجربه‌گرها'!$F:$F,F$1)</f>
        <v>0</v>
      </c>
      <c r="G464" s="242">
        <f>COUNTIFS('تجربه‌گرها'!$B:$B,$A464,'تجربه‌گرها'!$F:$F,G$1)</f>
        <v>1</v>
      </c>
      <c r="H464" s="242">
        <f>COUNTIFS('تجربه‌گرها'!$B:$B,$A464,'تجربه‌گرها'!$F:$F,H$1)</f>
        <v>0</v>
      </c>
      <c r="I464" s="242">
        <f>COUNTIFS('تجربه‌گرها'!$B:$B,$A464,'تجربه‌گرها'!$F:$F,I$1)</f>
        <v>0</v>
      </c>
      <c r="J464" s="242">
        <f>COUNTIFS('تجربه‌گرها'!$B:$B,$A464,'تجربه‌گرها'!$F:$F,J$1)</f>
        <v>0</v>
      </c>
      <c r="K464" s="242">
        <f>COUNTIFS('تجربه‌گرها'!$B:$B,$A464,'تجربه‌گرها'!$F:$F,K$1)</f>
        <v>0</v>
      </c>
      <c r="L464" s="242">
        <f>COUNTIFS('تجربه‌گرها'!$B:$B,$A464,'تجربه‌گرها'!$F:$F,L$1)</f>
        <v>0</v>
      </c>
      <c r="M464" s="242">
        <f>COUNTIFS('تجربه‌گرها'!$B:$B,$A464,'تجربه‌گرها'!$F:$F,M$1)</f>
        <v>0</v>
      </c>
      <c r="N464" s="242">
        <f>COUNTIFS('تجربه‌گرها'!$B:$B,$A464,'تجربه‌گرها'!$F:$F,N$1)</f>
        <v>0</v>
      </c>
      <c r="O464" s="242">
        <f>COUNTIFS('تجربه‌گرها'!$B:$B,$A464,'تجربه‌گرها'!$F:$F,O$1)</f>
        <v>0</v>
      </c>
      <c r="P464" s="242">
        <f>COUNTIFS('تجربه‌گرها'!$B:$B,$A464,'تجربه‌گرها'!$F:$F,P$1)</f>
        <v>0</v>
      </c>
      <c r="Q464" s="242">
        <f>COUNTIFS('تجربه‌گرها'!$B:$B,$A464,'تجربه‌گرها'!$F:$F,Q$1)</f>
        <v>0</v>
      </c>
      <c r="R464" s="242">
        <f>COUNTIFS('تجربه‌گرها'!$B:$B,$A464,'تجربه‌گرها'!$F:$F,R$1)</f>
        <v>0</v>
      </c>
      <c r="S464" s="242">
        <f>COUNTIFS('تجربه‌گرها'!$B:$B,$A464,'تجربه‌گرها'!$F:$F,S$1)</f>
        <v>0</v>
      </c>
      <c r="T464" s="242">
        <f>COUNTIFS('تجربه‌گرها'!$B:$B,$A464,'تجربه‌گرها'!$F:$F,T$1)</f>
        <v>0</v>
      </c>
      <c r="U464" s="242"/>
      <c r="V464" s="242"/>
      <c r="W464" s="242"/>
      <c r="X464" s="242"/>
      <c r="Y464" s="242"/>
      <c r="Z464" s="242"/>
      <c r="AA464" s="242"/>
      <c r="AB464" s="242"/>
    </row>
    <row r="465" hidden="1">
      <c r="A465" s="244" t="s">
        <v>3173</v>
      </c>
      <c r="B465" s="245" t="str">
        <f>VLOOKUP(A465,'تجربه‌گرها'!B:C,2,FALSE())</f>
        <v>9125118270</v>
      </c>
      <c r="C465" s="242"/>
      <c r="D465" s="242">
        <f t="shared" si="1"/>
        <v>1</v>
      </c>
      <c r="E465" s="242">
        <f>COUNTIFS('تجربه‌گرها'!$B:$B,$A465,'تجربه‌گرها'!$F:$F,E$1)</f>
        <v>0</v>
      </c>
      <c r="F465" s="242">
        <f>COUNTIFS('تجربه‌گرها'!$B:$B,$A465,'تجربه‌گرها'!$F:$F,F$1)</f>
        <v>0</v>
      </c>
      <c r="G465" s="242">
        <f>COUNTIFS('تجربه‌گرها'!$B:$B,$A465,'تجربه‌گرها'!$F:$F,G$1)</f>
        <v>1</v>
      </c>
      <c r="H465" s="242">
        <f>COUNTIFS('تجربه‌گرها'!$B:$B,$A465,'تجربه‌گرها'!$F:$F,H$1)</f>
        <v>0</v>
      </c>
      <c r="I465" s="242">
        <f>COUNTIFS('تجربه‌گرها'!$B:$B,$A465,'تجربه‌گرها'!$F:$F,I$1)</f>
        <v>0</v>
      </c>
      <c r="J465" s="242">
        <f>COUNTIFS('تجربه‌گرها'!$B:$B,$A465,'تجربه‌گرها'!$F:$F,J$1)</f>
        <v>0</v>
      </c>
      <c r="K465" s="242">
        <f>COUNTIFS('تجربه‌گرها'!$B:$B,$A465,'تجربه‌گرها'!$F:$F,K$1)</f>
        <v>0</v>
      </c>
      <c r="L465" s="242">
        <f>COUNTIFS('تجربه‌گرها'!$B:$B,$A465,'تجربه‌گرها'!$F:$F,L$1)</f>
        <v>0</v>
      </c>
      <c r="M465" s="242">
        <f>COUNTIFS('تجربه‌گرها'!$B:$B,$A465,'تجربه‌گرها'!$F:$F,M$1)</f>
        <v>0</v>
      </c>
      <c r="N465" s="242">
        <f>COUNTIFS('تجربه‌گرها'!$B:$B,$A465,'تجربه‌گرها'!$F:$F,N$1)</f>
        <v>0</v>
      </c>
      <c r="O465" s="242">
        <f>COUNTIFS('تجربه‌گرها'!$B:$B,$A465,'تجربه‌گرها'!$F:$F,O$1)</f>
        <v>0</v>
      </c>
      <c r="P465" s="242">
        <f>COUNTIFS('تجربه‌گرها'!$B:$B,$A465,'تجربه‌گرها'!$F:$F,P$1)</f>
        <v>0</v>
      </c>
      <c r="Q465" s="242">
        <f>COUNTIFS('تجربه‌گرها'!$B:$B,$A465,'تجربه‌گرها'!$F:$F,Q$1)</f>
        <v>0</v>
      </c>
      <c r="R465" s="242">
        <f>COUNTIFS('تجربه‌گرها'!$B:$B,$A465,'تجربه‌گرها'!$F:$F,R$1)</f>
        <v>0</v>
      </c>
      <c r="S465" s="242">
        <f>COUNTIFS('تجربه‌گرها'!$B:$B,$A465,'تجربه‌گرها'!$F:$F,S$1)</f>
        <v>0</v>
      </c>
      <c r="T465" s="242">
        <f>COUNTIFS('تجربه‌گرها'!$B:$B,$A465,'تجربه‌گرها'!$F:$F,T$1)</f>
        <v>0</v>
      </c>
      <c r="U465" s="242"/>
      <c r="V465" s="242"/>
      <c r="W465" s="242"/>
      <c r="X465" s="242"/>
      <c r="Y465" s="242"/>
      <c r="Z465" s="242"/>
      <c r="AA465" s="242"/>
      <c r="AB465" s="242"/>
    </row>
    <row r="466" hidden="1">
      <c r="A466" s="244" t="s">
        <v>3178</v>
      </c>
      <c r="B466" s="245" t="str">
        <f>VLOOKUP(A466,'تجربه‌گرها'!B:C,2,FALSE())</f>
        <v>9120127548</v>
      </c>
      <c r="C466" s="242"/>
      <c r="D466" s="242">
        <f t="shared" si="1"/>
        <v>1</v>
      </c>
      <c r="E466" s="242">
        <f>COUNTIFS('تجربه‌گرها'!$B:$B,$A466,'تجربه‌گرها'!$F:$F,E$1)</f>
        <v>0</v>
      </c>
      <c r="F466" s="242">
        <f>COUNTIFS('تجربه‌گرها'!$B:$B,$A466,'تجربه‌گرها'!$F:$F,F$1)</f>
        <v>0</v>
      </c>
      <c r="G466" s="242">
        <f>COUNTIFS('تجربه‌گرها'!$B:$B,$A466,'تجربه‌گرها'!$F:$F,G$1)</f>
        <v>1</v>
      </c>
      <c r="H466" s="242">
        <f>COUNTIFS('تجربه‌گرها'!$B:$B,$A466,'تجربه‌گرها'!$F:$F,H$1)</f>
        <v>0</v>
      </c>
      <c r="I466" s="242">
        <f>COUNTIFS('تجربه‌گرها'!$B:$B,$A466,'تجربه‌گرها'!$F:$F,I$1)</f>
        <v>0</v>
      </c>
      <c r="J466" s="242">
        <f>COUNTIFS('تجربه‌گرها'!$B:$B,$A466,'تجربه‌گرها'!$F:$F,J$1)</f>
        <v>0</v>
      </c>
      <c r="K466" s="242">
        <f>COUNTIFS('تجربه‌گرها'!$B:$B,$A466,'تجربه‌گرها'!$F:$F,K$1)</f>
        <v>0</v>
      </c>
      <c r="L466" s="242">
        <f>COUNTIFS('تجربه‌گرها'!$B:$B,$A466,'تجربه‌گرها'!$F:$F,L$1)</f>
        <v>0</v>
      </c>
      <c r="M466" s="242">
        <f>COUNTIFS('تجربه‌گرها'!$B:$B,$A466,'تجربه‌گرها'!$F:$F,M$1)</f>
        <v>0</v>
      </c>
      <c r="N466" s="242">
        <f>COUNTIFS('تجربه‌گرها'!$B:$B,$A466,'تجربه‌گرها'!$F:$F,N$1)</f>
        <v>0</v>
      </c>
      <c r="O466" s="242">
        <f>COUNTIFS('تجربه‌گرها'!$B:$B,$A466,'تجربه‌گرها'!$F:$F,O$1)</f>
        <v>0</v>
      </c>
      <c r="P466" s="242">
        <f>COUNTIFS('تجربه‌گرها'!$B:$B,$A466,'تجربه‌گرها'!$F:$F,P$1)</f>
        <v>0</v>
      </c>
      <c r="Q466" s="242">
        <f>COUNTIFS('تجربه‌گرها'!$B:$B,$A466,'تجربه‌گرها'!$F:$F,Q$1)</f>
        <v>0</v>
      </c>
      <c r="R466" s="242">
        <f>COUNTIFS('تجربه‌گرها'!$B:$B,$A466,'تجربه‌گرها'!$F:$F,R$1)</f>
        <v>0</v>
      </c>
      <c r="S466" s="242">
        <f>COUNTIFS('تجربه‌گرها'!$B:$B,$A466,'تجربه‌گرها'!$F:$F,S$1)</f>
        <v>0</v>
      </c>
      <c r="T466" s="242">
        <f>COUNTIFS('تجربه‌گرها'!$B:$B,$A466,'تجربه‌گرها'!$F:$F,T$1)</f>
        <v>0</v>
      </c>
      <c r="U466" s="242"/>
      <c r="V466" s="242"/>
      <c r="W466" s="242"/>
      <c r="X466" s="242"/>
      <c r="Y466" s="242"/>
      <c r="Z466" s="242"/>
      <c r="AA466" s="242"/>
      <c r="AB466" s="242"/>
    </row>
    <row r="467" hidden="1">
      <c r="A467" s="244" t="s">
        <v>3184</v>
      </c>
      <c r="B467" s="245" t="str">
        <f>VLOOKUP(A467,'تجربه‌گرها'!B:C,2,FALSE())</f>
        <v>9122835543</v>
      </c>
      <c r="C467" s="242"/>
      <c r="D467" s="242">
        <f t="shared" si="1"/>
        <v>1</v>
      </c>
      <c r="E467" s="242">
        <f>COUNTIFS('تجربه‌گرها'!$B:$B,$A467,'تجربه‌گرها'!$F:$F,E$1)</f>
        <v>0</v>
      </c>
      <c r="F467" s="242">
        <f>COUNTIFS('تجربه‌گرها'!$B:$B,$A467,'تجربه‌گرها'!$F:$F,F$1)</f>
        <v>0</v>
      </c>
      <c r="G467" s="242">
        <f>COUNTIFS('تجربه‌گرها'!$B:$B,$A467,'تجربه‌گرها'!$F:$F,G$1)</f>
        <v>1</v>
      </c>
      <c r="H467" s="242">
        <f>COUNTIFS('تجربه‌گرها'!$B:$B,$A467,'تجربه‌گرها'!$F:$F,H$1)</f>
        <v>0</v>
      </c>
      <c r="I467" s="242">
        <f>COUNTIFS('تجربه‌گرها'!$B:$B,$A467,'تجربه‌گرها'!$F:$F,I$1)</f>
        <v>0</v>
      </c>
      <c r="J467" s="242">
        <f>COUNTIFS('تجربه‌گرها'!$B:$B,$A467,'تجربه‌گرها'!$F:$F,J$1)</f>
        <v>0</v>
      </c>
      <c r="K467" s="242">
        <f>COUNTIFS('تجربه‌گرها'!$B:$B,$A467,'تجربه‌گرها'!$F:$F,K$1)</f>
        <v>0</v>
      </c>
      <c r="L467" s="242">
        <f>COUNTIFS('تجربه‌گرها'!$B:$B,$A467,'تجربه‌گرها'!$F:$F,L$1)</f>
        <v>0</v>
      </c>
      <c r="M467" s="242">
        <f>COUNTIFS('تجربه‌گرها'!$B:$B,$A467,'تجربه‌گرها'!$F:$F,M$1)</f>
        <v>0</v>
      </c>
      <c r="N467" s="242">
        <f>COUNTIFS('تجربه‌گرها'!$B:$B,$A467,'تجربه‌گرها'!$F:$F,N$1)</f>
        <v>0</v>
      </c>
      <c r="O467" s="242">
        <f>COUNTIFS('تجربه‌گرها'!$B:$B,$A467,'تجربه‌گرها'!$F:$F,O$1)</f>
        <v>0</v>
      </c>
      <c r="P467" s="242">
        <f>COUNTIFS('تجربه‌گرها'!$B:$B,$A467,'تجربه‌گرها'!$F:$F,P$1)</f>
        <v>0</v>
      </c>
      <c r="Q467" s="242">
        <f>COUNTIFS('تجربه‌گرها'!$B:$B,$A467,'تجربه‌گرها'!$F:$F,Q$1)</f>
        <v>0</v>
      </c>
      <c r="R467" s="242">
        <f>COUNTIFS('تجربه‌گرها'!$B:$B,$A467,'تجربه‌گرها'!$F:$F,R$1)</f>
        <v>0</v>
      </c>
      <c r="S467" s="242">
        <f>COUNTIFS('تجربه‌گرها'!$B:$B,$A467,'تجربه‌گرها'!$F:$F,S$1)</f>
        <v>0</v>
      </c>
      <c r="T467" s="242">
        <f>COUNTIFS('تجربه‌گرها'!$B:$B,$A467,'تجربه‌گرها'!$F:$F,T$1)</f>
        <v>0</v>
      </c>
      <c r="U467" s="242"/>
      <c r="V467" s="242"/>
      <c r="W467" s="242"/>
      <c r="X467" s="242"/>
      <c r="Y467" s="242"/>
      <c r="Z467" s="242"/>
      <c r="AA467" s="242"/>
      <c r="AB467" s="242"/>
    </row>
    <row r="468" hidden="1">
      <c r="A468" s="244" t="s">
        <v>3190</v>
      </c>
      <c r="B468" s="245" t="str">
        <f>VLOOKUP(A468,'تجربه‌گرها'!B:C,2,FALSE())</f>
        <v>9361323233</v>
      </c>
      <c r="C468" s="242"/>
      <c r="D468" s="242">
        <f t="shared" si="1"/>
        <v>2</v>
      </c>
      <c r="E468" s="242">
        <f>COUNTIFS('تجربه‌گرها'!$B:$B,$A468,'تجربه‌گرها'!$F:$F,E$1)</f>
        <v>0</v>
      </c>
      <c r="F468" s="242">
        <f>COUNTIFS('تجربه‌گرها'!$B:$B,$A468,'تجربه‌گرها'!$F:$F,F$1)</f>
        <v>0</v>
      </c>
      <c r="G468" s="242">
        <f>COUNTIFS('تجربه‌گرها'!$B:$B,$A468,'تجربه‌گرها'!$F:$F,G$1)</f>
        <v>1</v>
      </c>
      <c r="H468" s="242">
        <f>COUNTIFS('تجربه‌گرها'!$B:$B,$A468,'تجربه‌گرها'!$F:$F,H$1)</f>
        <v>0</v>
      </c>
      <c r="I468" s="242">
        <f>COUNTIFS('تجربه‌گرها'!$B:$B,$A468,'تجربه‌گرها'!$F:$F,I$1)</f>
        <v>0</v>
      </c>
      <c r="J468" s="242">
        <f>COUNTIFS('تجربه‌گرها'!$B:$B,$A468,'تجربه‌گرها'!$F:$F,J$1)</f>
        <v>1</v>
      </c>
      <c r="K468" s="242">
        <f>COUNTIFS('تجربه‌گرها'!$B:$B,$A468,'تجربه‌گرها'!$F:$F,K$1)</f>
        <v>0</v>
      </c>
      <c r="L468" s="242">
        <f>COUNTIFS('تجربه‌گرها'!$B:$B,$A468,'تجربه‌گرها'!$F:$F,L$1)</f>
        <v>0</v>
      </c>
      <c r="M468" s="242">
        <f>COUNTIFS('تجربه‌گرها'!$B:$B,$A468,'تجربه‌گرها'!$F:$F,M$1)</f>
        <v>0</v>
      </c>
      <c r="N468" s="242">
        <f>COUNTIFS('تجربه‌گرها'!$B:$B,$A468,'تجربه‌گرها'!$F:$F,N$1)</f>
        <v>0</v>
      </c>
      <c r="O468" s="242">
        <f>COUNTIFS('تجربه‌گرها'!$B:$B,$A468,'تجربه‌گرها'!$F:$F,O$1)</f>
        <v>0</v>
      </c>
      <c r="P468" s="242">
        <f>COUNTIFS('تجربه‌گرها'!$B:$B,$A468,'تجربه‌گرها'!$F:$F,P$1)</f>
        <v>0</v>
      </c>
      <c r="Q468" s="242">
        <f>COUNTIFS('تجربه‌گرها'!$B:$B,$A468,'تجربه‌گرها'!$F:$F,Q$1)</f>
        <v>0</v>
      </c>
      <c r="R468" s="242">
        <f>COUNTIFS('تجربه‌گرها'!$B:$B,$A468,'تجربه‌گرها'!$F:$F,R$1)</f>
        <v>0</v>
      </c>
      <c r="S468" s="242">
        <f>COUNTIFS('تجربه‌گرها'!$B:$B,$A468,'تجربه‌گرها'!$F:$F,S$1)</f>
        <v>0</v>
      </c>
      <c r="T468" s="242">
        <f>COUNTIFS('تجربه‌گرها'!$B:$B,$A468,'تجربه‌گرها'!$F:$F,T$1)</f>
        <v>0</v>
      </c>
      <c r="U468" s="242"/>
      <c r="V468" s="242"/>
      <c r="W468" s="242"/>
      <c r="X468" s="242"/>
      <c r="Y468" s="242"/>
      <c r="Z468" s="242"/>
      <c r="AA468" s="242"/>
      <c r="AB468" s="242"/>
    </row>
    <row r="469" hidden="1">
      <c r="A469" s="244" t="s">
        <v>3195</v>
      </c>
      <c r="B469" s="245" t="str">
        <f>VLOOKUP(A469,'تجربه‌گرها'!B:C,2,FALSE())</f>
        <v>9191274534</v>
      </c>
      <c r="C469" s="242"/>
      <c r="D469" s="242">
        <f t="shared" si="1"/>
        <v>1</v>
      </c>
      <c r="E469" s="242">
        <f>COUNTIFS('تجربه‌گرها'!$B:$B,$A469,'تجربه‌گرها'!$F:$F,E$1)</f>
        <v>0</v>
      </c>
      <c r="F469" s="242">
        <f>COUNTIFS('تجربه‌گرها'!$B:$B,$A469,'تجربه‌گرها'!$F:$F,F$1)</f>
        <v>0</v>
      </c>
      <c r="G469" s="242">
        <f>COUNTIFS('تجربه‌گرها'!$B:$B,$A469,'تجربه‌گرها'!$F:$F,G$1)</f>
        <v>1</v>
      </c>
      <c r="H469" s="242">
        <f>COUNTIFS('تجربه‌گرها'!$B:$B,$A469,'تجربه‌گرها'!$F:$F,H$1)</f>
        <v>0</v>
      </c>
      <c r="I469" s="242">
        <f>COUNTIFS('تجربه‌گرها'!$B:$B,$A469,'تجربه‌گرها'!$F:$F,I$1)</f>
        <v>0</v>
      </c>
      <c r="J469" s="242">
        <f>COUNTIFS('تجربه‌گرها'!$B:$B,$A469,'تجربه‌گرها'!$F:$F,J$1)</f>
        <v>0</v>
      </c>
      <c r="K469" s="242">
        <f>COUNTIFS('تجربه‌گرها'!$B:$B,$A469,'تجربه‌گرها'!$F:$F,K$1)</f>
        <v>0</v>
      </c>
      <c r="L469" s="242">
        <f>COUNTIFS('تجربه‌گرها'!$B:$B,$A469,'تجربه‌گرها'!$F:$F,L$1)</f>
        <v>0</v>
      </c>
      <c r="M469" s="242">
        <f>COUNTIFS('تجربه‌گرها'!$B:$B,$A469,'تجربه‌گرها'!$F:$F,M$1)</f>
        <v>0</v>
      </c>
      <c r="N469" s="242">
        <f>COUNTIFS('تجربه‌گرها'!$B:$B,$A469,'تجربه‌گرها'!$F:$F,N$1)</f>
        <v>0</v>
      </c>
      <c r="O469" s="242">
        <f>COUNTIFS('تجربه‌گرها'!$B:$B,$A469,'تجربه‌گرها'!$F:$F,O$1)</f>
        <v>0</v>
      </c>
      <c r="P469" s="242">
        <f>COUNTIFS('تجربه‌گرها'!$B:$B,$A469,'تجربه‌گرها'!$F:$F,P$1)</f>
        <v>0</v>
      </c>
      <c r="Q469" s="242">
        <f>COUNTIFS('تجربه‌گرها'!$B:$B,$A469,'تجربه‌گرها'!$F:$F,Q$1)</f>
        <v>0</v>
      </c>
      <c r="R469" s="242">
        <f>COUNTIFS('تجربه‌گرها'!$B:$B,$A469,'تجربه‌گرها'!$F:$F,R$1)</f>
        <v>0</v>
      </c>
      <c r="S469" s="242">
        <f>COUNTIFS('تجربه‌گرها'!$B:$B,$A469,'تجربه‌گرها'!$F:$F,S$1)</f>
        <v>0</v>
      </c>
      <c r="T469" s="242">
        <f>COUNTIFS('تجربه‌گرها'!$B:$B,$A469,'تجربه‌گرها'!$F:$F,T$1)</f>
        <v>0</v>
      </c>
      <c r="U469" s="242"/>
      <c r="V469" s="242"/>
      <c r="W469" s="242"/>
      <c r="X469" s="242"/>
      <c r="Y469" s="242"/>
      <c r="Z469" s="242"/>
      <c r="AA469" s="242"/>
      <c r="AB469" s="242"/>
    </row>
    <row r="470" hidden="1">
      <c r="A470" s="244" t="s">
        <v>3201</v>
      </c>
      <c r="B470" s="245" t="str">
        <f>VLOOKUP(A470,'تجربه‌گرها'!B:C,2,FALSE())</f>
        <v>9339085993</v>
      </c>
      <c r="C470" s="242"/>
      <c r="D470" s="242">
        <f t="shared" si="1"/>
        <v>1</v>
      </c>
      <c r="E470" s="242">
        <f>COUNTIFS('تجربه‌گرها'!$B:$B,$A470,'تجربه‌گرها'!$F:$F,E$1)</f>
        <v>0</v>
      </c>
      <c r="F470" s="242">
        <f>COUNTIFS('تجربه‌گرها'!$B:$B,$A470,'تجربه‌گرها'!$F:$F,F$1)</f>
        <v>0</v>
      </c>
      <c r="G470" s="242">
        <f>COUNTIFS('تجربه‌گرها'!$B:$B,$A470,'تجربه‌گرها'!$F:$F,G$1)</f>
        <v>1</v>
      </c>
      <c r="H470" s="242">
        <f>COUNTIFS('تجربه‌گرها'!$B:$B,$A470,'تجربه‌گرها'!$F:$F,H$1)</f>
        <v>0</v>
      </c>
      <c r="I470" s="242">
        <f>COUNTIFS('تجربه‌گرها'!$B:$B,$A470,'تجربه‌گرها'!$F:$F,I$1)</f>
        <v>0</v>
      </c>
      <c r="J470" s="242">
        <f>COUNTIFS('تجربه‌گرها'!$B:$B,$A470,'تجربه‌گرها'!$F:$F,J$1)</f>
        <v>0</v>
      </c>
      <c r="K470" s="242">
        <f>COUNTIFS('تجربه‌گرها'!$B:$B,$A470,'تجربه‌گرها'!$F:$F,K$1)</f>
        <v>0</v>
      </c>
      <c r="L470" s="242">
        <f>COUNTIFS('تجربه‌گرها'!$B:$B,$A470,'تجربه‌گرها'!$F:$F,L$1)</f>
        <v>0</v>
      </c>
      <c r="M470" s="242">
        <f>COUNTIFS('تجربه‌گرها'!$B:$B,$A470,'تجربه‌گرها'!$F:$F,M$1)</f>
        <v>0</v>
      </c>
      <c r="N470" s="242">
        <f>COUNTIFS('تجربه‌گرها'!$B:$B,$A470,'تجربه‌گرها'!$F:$F,N$1)</f>
        <v>0</v>
      </c>
      <c r="O470" s="242">
        <f>COUNTIFS('تجربه‌گرها'!$B:$B,$A470,'تجربه‌گرها'!$F:$F,O$1)</f>
        <v>0</v>
      </c>
      <c r="P470" s="242">
        <f>COUNTIFS('تجربه‌گرها'!$B:$B,$A470,'تجربه‌گرها'!$F:$F,P$1)</f>
        <v>0</v>
      </c>
      <c r="Q470" s="242">
        <f>COUNTIFS('تجربه‌گرها'!$B:$B,$A470,'تجربه‌گرها'!$F:$F,Q$1)</f>
        <v>0</v>
      </c>
      <c r="R470" s="242">
        <f>COUNTIFS('تجربه‌گرها'!$B:$B,$A470,'تجربه‌گرها'!$F:$F,R$1)</f>
        <v>0</v>
      </c>
      <c r="S470" s="242">
        <f>COUNTIFS('تجربه‌گرها'!$B:$B,$A470,'تجربه‌گرها'!$F:$F,S$1)</f>
        <v>0</v>
      </c>
      <c r="T470" s="242">
        <f>COUNTIFS('تجربه‌گرها'!$B:$B,$A470,'تجربه‌گرها'!$F:$F,T$1)</f>
        <v>0</v>
      </c>
      <c r="U470" s="242"/>
      <c r="V470" s="242"/>
      <c r="W470" s="242"/>
      <c r="X470" s="242"/>
      <c r="Y470" s="242"/>
      <c r="Z470" s="242"/>
      <c r="AA470" s="242"/>
      <c r="AB470" s="242"/>
    </row>
    <row r="471" hidden="1">
      <c r="A471" s="244" t="s">
        <v>3206</v>
      </c>
      <c r="B471" s="245" t="str">
        <f>VLOOKUP(A471,'تجربه‌گرها'!B:C,2,FALSE())</f>
        <v>9204270081</v>
      </c>
      <c r="C471" s="242"/>
      <c r="D471" s="242">
        <f t="shared" si="1"/>
        <v>1</v>
      </c>
      <c r="E471" s="242">
        <f>COUNTIFS('تجربه‌گرها'!$B:$B,$A471,'تجربه‌گرها'!$F:$F,E$1)</f>
        <v>0</v>
      </c>
      <c r="F471" s="242">
        <f>COUNTIFS('تجربه‌گرها'!$B:$B,$A471,'تجربه‌گرها'!$F:$F,F$1)</f>
        <v>0</v>
      </c>
      <c r="G471" s="242">
        <f>COUNTIFS('تجربه‌گرها'!$B:$B,$A471,'تجربه‌گرها'!$F:$F,G$1)</f>
        <v>1</v>
      </c>
      <c r="H471" s="242">
        <f>COUNTIFS('تجربه‌گرها'!$B:$B,$A471,'تجربه‌گرها'!$F:$F,H$1)</f>
        <v>0</v>
      </c>
      <c r="I471" s="242">
        <f>COUNTIFS('تجربه‌گرها'!$B:$B,$A471,'تجربه‌گرها'!$F:$F,I$1)</f>
        <v>0</v>
      </c>
      <c r="J471" s="242">
        <f>COUNTIFS('تجربه‌گرها'!$B:$B,$A471,'تجربه‌گرها'!$F:$F,J$1)</f>
        <v>0</v>
      </c>
      <c r="K471" s="242">
        <f>COUNTIFS('تجربه‌گرها'!$B:$B,$A471,'تجربه‌گرها'!$F:$F,K$1)</f>
        <v>0</v>
      </c>
      <c r="L471" s="242">
        <f>COUNTIFS('تجربه‌گرها'!$B:$B,$A471,'تجربه‌گرها'!$F:$F,L$1)</f>
        <v>0</v>
      </c>
      <c r="M471" s="242">
        <f>COUNTIFS('تجربه‌گرها'!$B:$B,$A471,'تجربه‌گرها'!$F:$F,M$1)</f>
        <v>0</v>
      </c>
      <c r="N471" s="242">
        <f>COUNTIFS('تجربه‌گرها'!$B:$B,$A471,'تجربه‌گرها'!$F:$F,N$1)</f>
        <v>0</v>
      </c>
      <c r="O471" s="242">
        <f>COUNTIFS('تجربه‌گرها'!$B:$B,$A471,'تجربه‌گرها'!$F:$F,O$1)</f>
        <v>0</v>
      </c>
      <c r="P471" s="242">
        <f>COUNTIFS('تجربه‌گرها'!$B:$B,$A471,'تجربه‌گرها'!$F:$F,P$1)</f>
        <v>0</v>
      </c>
      <c r="Q471" s="242">
        <f>COUNTIFS('تجربه‌گرها'!$B:$B,$A471,'تجربه‌گرها'!$F:$F,Q$1)</f>
        <v>0</v>
      </c>
      <c r="R471" s="242">
        <f>COUNTIFS('تجربه‌گرها'!$B:$B,$A471,'تجربه‌گرها'!$F:$F,R$1)</f>
        <v>0</v>
      </c>
      <c r="S471" s="242">
        <f>COUNTIFS('تجربه‌گرها'!$B:$B,$A471,'تجربه‌گرها'!$F:$F,S$1)</f>
        <v>0</v>
      </c>
      <c r="T471" s="242">
        <f>COUNTIFS('تجربه‌گرها'!$B:$B,$A471,'تجربه‌گرها'!$F:$F,T$1)</f>
        <v>0</v>
      </c>
      <c r="U471" s="242"/>
      <c r="V471" s="242"/>
      <c r="W471" s="242"/>
      <c r="X471" s="242"/>
      <c r="Y471" s="242"/>
      <c r="Z471" s="242"/>
      <c r="AA471" s="242"/>
      <c r="AB471" s="242"/>
    </row>
    <row r="472">
      <c r="A472" s="244" t="s">
        <v>3210</v>
      </c>
      <c r="B472" s="245" t="str">
        <f>VLOOKUP(A472,'تجربه‌گرها'!B:C,2,FALSE())</f>
        <v>9193971104</v>
      </c>
      <c r="C472" s="242"/>
      <c r="D472" s="242">
        <f t="shared" si="1"/>
        <v>1</v>
      </c>
      <c r="E472" s="242">
        <f>COUNTIFS('تجربه‌گرها'!$B:$B,$A472,'تجربه‌گرها'!$F:$F,E$1)</f>
        <v>0</v>
      </c>
      <c r="F472" s="242">
        <f>COUNTIFS('تجربه‌گرها'!$B:$B,$A472,'تجربه‌گرها'!$F:$F,F$1)</f>
        <v>0</v>
      </c>
      <c r="G472" s="242">
        <f>COUNTIFS('تجربه‌گرها'!$B:$B,$A472,'تجربه‌گرها'!$F:$F,G$1)</f>
        <v>1</v>
      </c>
      <c r="H472" s="242">
        <f>COUNTIFS('تجربه‌گرها'!$B:$B,$A472,'تجربه‌گرها'!$F:$F,H$1)</f>
        <v>0</v>
      </c>
      <c r="I472" s="242">
        <f>COUNTIFS('تجربه‌گرها'!$B:$B,$A472,'تجربه‌گرها'!$F:$F,I$1)</f>
        <v>0</v>
      </c>
      <c r="J472" s="242">
        <f>COUNTIFS('تجربه‌گرها'!$B:$B,$A472,'تجربه‌گرها'!$F:$F,J$1)</f>
        <v>0</v>
      </c>
      <c r="K472" s="242">
        <f>COUNTIFS('تجربه‌گرها'!$B:$B,$A472,'تجربه‌گرها'!$F:$F,K$1)</f>
        <v>0</v>
      </c>
      <c r="L472" s="242">
        <f>COUNTIFS('تجربه‌گرها'!$B:$B,$A472,'تجربه‌گرها'!$F:$F,L$1)</f>
        <v>0</v>
      </c>
      <c r="M472" s="242">
        <f>COUNTIFS('تجربه‌گرها'!$B:$B,$A472,'تجربه‌گرها'!$F:$F,M$1)</f>
        <v>0</v>
      </c>
      <c r="N472" s="242">
        <f>COUNTIFS('تجربه‌گرها'!$B:$B,$A472,'تجربه‌گرها'!$F:$F,N$1)</f>
        <v>0</v>
      </c>
      <c r="O472" s="242">
        <f>COUNTIFS('تجربه‌گرها'!$B:$B,$A472,'تجربه‌گرها'!$F:$F,O$1)</f>
        <v>0</v>
      </c>
      <c r="P472" s="242">
        <f>COUNTIFS('تجربه‌گرها'!$B:$B,$A472,'تجربه‌گرها'!$F:$F,P$1)</f>
        <v>0</v>
      </c>
      <c r="Q472" s="242">
        <f>COUNTIFS('تجربه‌گرها'!$B:$B,$A472,'تجربه‌گرها'!$F:$F,Q$1)</f>
        <v>0</v>
      </c>
      <c r="R472" s="242">
        <f>COUNTIFS('تجربه‌گرها'!$B:$B,$A472,'تجربه‌گرها'!$F:$F,R$1)</f>
        <v>0</v>
      </c>
      <c r="S472" s="242">
        <f>COUNTIFS('تجربه‌گرها'!$B:$B,$A472,'تجربه‌گرها'!$F:$F,S$1)</f>
        <v>0</v>
      </c>
      <c r="T472" s="242">
        <f>COUNTIFS('تجربه‌گرها'!$B:$B,$A472,'تجربه‌گرها'!$F:$F,T$1)</f>
        <v>0</v>
      </c>
      <c r="U472" s="242"/>
      <c r="V472" s="242"/>
      <c r="W472" s="242"/>
      <c r="X472" s="242"/>
      <c r="Y472" s="242"/>
      <c r="Z472" s="242"/>
      <c r="AA472" s="242"/>
      <c r="AB472" s="242"/>
    </row>
    <row r="473" hidden="1">
      <c r="A473" s="244" t="s">
        <v>3216</v>
      </c>
      <c r="B473" s="245" t="str">
        <f>VLOOKUP(A473,'تجربه‌گرها'!B:C,2,FALSE())</f>
        <v>9121717762</v>
      </c>
      <c r="C473" s="242"/>
      <c r="D473" s="242">
        <f t="shared" si="1"/>
        <v>1</v>
      </c>
      <c r="E473" s="242">
        <f>COUNTIFS('تجربه‌گرها'!$B:$B,$A473,'تجربه‌گرها'!$F:$F,E$1)</f>
        <v>0</v>
      </c>
      <c r="F473" s="242">
        <f>COUNTIFS('تجربه‌گرها'!$B:$B,$A473,'تجربه‌گرها'!$F:$F,F$1)</f>
        <v>0</v>
      </c>
      <c r="G473" s="242">
        <f>COUNTIFS('تجربه‌گرها'!$B:$B,$A473,'تجربه‌گرها'!$F:$F,G$1)</f>
        <v>1</v>
      </c>
      <c r="H473" s="242">
        <f>COUNTIFS('تجربه‌گرها'!$B:$B,$A473,'تجربه‌گرها'!$F:$F,H$1)</f>
        <v>0</v>
      </c>
      <c r="I473" s="242">
        <f>COUNTIFS('تجربه‌گرها'!$B:$B,$A473,'تجربه‌گرها'!$F:$F,I$1)</f>
        <v>0</v>
      </c>
      <c r="J473" s="242">
        <f>COUNTIFS('تجربه‌گرها'!$B:$B,$A473,'تجربه‌گرها'!$F:$F,J$1)</f>
        <v>0</v>
      </c>
      <c r="K473" s="242">
        <f>COUNTIFS('تجربه‌گرها'!$B:$B,$A473,'تجربه‌گرها'!$F:$F,K$1)</f>
        <v>0</v>
      </c>
      <c r="L473" s="242">
        <f>COUNTIFS('تجربه‌گرها'!$B:$B,$A473,'تجربه‌گرها'!$F:$F,L$1)</f>
        <v>0</v>
      </c>
      <c r="M473" s="242">
        <f>COUNTIFS('تجربه‌گرها'!$B:$B,$A473,'تجربه‌گرها'!$F:$F,M$1)</f>
        <v>0</v>
      </c>
      <c r="N473" s="242">
        <f>COUNTIFS('تجربه‌گرها'!$B:$B,$A473,'تجربه‌گرها'!$F:$F,N$1)</f>
        <v>0</v>
      </c>
      <c r="O473" s="242">
        <f>COUNTIFS('تجربه‌گرها'!$B:$B,$A473,'تجربه‌گرها'!$F:$F,O$1)</f>
        <v>0</v>
      </c>
      <c r="P473" s="242">
        <f>COUNTIFS('تجربه‌گرها'!$B:$B,$A473,'تجربه‌گرها'!$F:$F,P$1)</f>
        <v>0</v>
      </c>
      <c r="Q473" s="242">
        <f>COUNTIFS('تجربه‌گرها'!$B:$B,$A473,'تجربه‌گرها'!$F:$F,Q$1)</f>
        <v>0</v>
      </c>
      <c r="R473" s="242">
        <f>COUNTIFS('تجربه‌گرها'!$B:$B,$A473,'تجربه‌گرها'!$F:$F,R$1)</f>
        <v>0</v>
      </c>
      <c r="S473" s="242">
        <f>COUNTIFS('تجربه‌گرها'!$B:$B,$A473,'تجربه‌گرها'!$F:$F,S$1)</f>
        <v>0</v>
      </c>
      <c r="T473" s="242">
        <f>COUNTIFS('تجربه‌گرها'!$B:$B,$A473,'تجربه‌گرها'!$F:$F,T$1)</f>
        <v>0</v>
      </c>
      <c r="U473" s="242"/>
      <c r="V473" s="242"/>
      <c r="W473" s="242"/>
      <c r="X473" s="242"/>
      <c r="Y473" s="242"/>
      <c r="Z473" s="242"/>
      <c r="AA473" s="242"/>
      <c r="AB473" s="242"/>
    </row>
    <row r="474" hidden="1">
      <c r="A474" s="244" t="s">
        <v>3220</v>
      </c>
      <c r="B474" s="245" t="str">
        <f>VLOOKUP(A474,'تجربه‌گرها'!B:C,2,FALSE())</f>
        <v>9361279273</v>
      </c>
      <c r="C474" s="242"/>
      <c r="D474" s="242">
        <f t="shared" si="1"/>
        <v>1</v>
      </c>
      <c r="E474" s="242">
        <f>COUNTIFS('تجربه‌گرها'!$B:$B,$A474,'تجربه‌گرها'!$F:$F,E$1)</f>
        <v>0</v>
      </c>
      <c r="F474" s="242">
        <f>COUNTIFS('تجربه‌گرها'!$B:$B,$A474,'تجربه‌گرها'!$F:$F,F$1)</f>
        <v>0</v>
      </c>
      <c r="G474" s="242">
        <f>COUNTIFS('تجربه‌گرها'!$B:$B,$A474,'تجربه‌گرها'!$F:$F,G$1)</f>
        <v>1</v>
      </c>
      <c r="H474" s="242">
        <f>COUNTIFS('تجربه‌گرها'!$B:$B,$A474,'تجربه‌گرها'!$F:$F,H$1)</f>
        <v>0</v>
      </c>
      <c r="I474" s="242">
        <f>COUNTIFS('تجربه‌گرها'!$B:$B,$A474,'تجربه‌گرها'!$F:$F,I$1)</f>
        <v>0</v>
      </c>
      <c r="J474" s="242">
        <f>COUNTIFS('تجربه‌گرها'!$B:$B,$A474,'تجربه‌گرها'!$F:$F,J$1)</f>
        <v>0</v>
      </c>
      <c r="K474" s="242">
        <f>COUNTIFS('تجربه‌گرها'!$B:$B,$A474,'تجربه‌گرها'!$F:$F,K$1)</f>
        <v>0</v>
      </c>
      <c r="L474" s="242">
        <f>COUNTIFS('تجربه‌گرها'!$B:$B,$A474,'تجربه‌گرها'!$F:$F,L$1)</f>
        <v>0</v>
      </c>
      <c r="M474" s="242">
        <f>COUNTIFS('تجربه‌گرها'!$B:$B,$A474,'تجربه‌گرها'!$F:$F,M$1)</f>
        <v>0</v>
      </c>
      <c r="N474" s="242">
        <f>COUNTIFS('تجربه‌گرها'!$B:$B,$A474,'تجربه‌گرها'!$F:$F,N$1)</f>
        <v>0</v>
      </c>
      <c r="O474" s="242">
        <f>COUNTIFS('تجربه‌گرها'!$B:$B,$A474,'تجربه‌گرها'!$F:$F,O$1)</f>
        <v>0</v>
      </c>
      <c r="P474" s="242">
        <f>COUNTIFS('تجربه‌گرها'!$B:$B,$A474,'تجربه‌گرها'!$F:$F,P$1)</f>
        <v>0</v>
      </c>
      <c r="Q474" s="242">
        <f>COUNTIFS('تجربه‌گرها'!$B:$B,$A474,'تجربه‌گرها'!$F:$F,Q$1)</f>
        <v>0</v>
      </c>
      <c r="R474" s="242">
        <f>COUNTIFS('تجربه‌گرها'!$B:$B,$A474,'تجربه‌گرها'!$F:$F,R$1)</f>
        <v>0</v>
      </c>
      <c r="S474" s="242">
        <f>COUNTIFS('تجربه‌گرها'!$B:$B,$A474,'تجربه‌گرها'!$F:$F,S$1)</f>
        <v>0</v>
      </c>
      <c r="T474" s="242">
        <f>COUNTIFS('تجربه‌گرها'!$B:$B,$A474,'تجربه‌گرها'!$F:$F,T$1)</f>
        <v>0</v>
      </c>
      <c r="U474" s="242"/>
      <c r="V474" s="242"/>
      <c r="W474" s="242"/>
      <c r="X474" s="242"/>
      <c r="Y474" s="242"/>
      <c r="Z474" s="242"/>
      <c r="AA474" s="242"/>
      <c r="AB474" s="242"/>
    </row>
    <row r="475" hidden="1">
      <c r="A475" s="244" t="s">
        <v>3224</v>
      </c>
      <c r="B475" s="245" t="str">
        <f>VLOOKUP(A475,'تجربه‌گرها'!B:C,2,FALSE())</f>
        <v>9339085993</v>
      </c>
      <c r="C475" s="242"/>
      <c r="D475" s="242">
        <f t="shared" si="1"/>
        <v>1</v>
      </c>
      <c r="E475" s="242">
        <f>COUNTIFS('تجربه‌گرها'!$B:$B,$A475,'تجربه‌گرها'!$F:$F,E$1)</f>
        <v>0</v>
      </c>
      <c r="F475" s="242">
        <f>COUNTIFS('تجربه‌گرها'!$B:$B,$A475,'تجربه‌گرها'!$F:$F,F$1)</f>
        <v>0</v>
      </c>
      <c r="G475" s="242">
        <f>COUNTIFS('تجربه‌گرها'!$B:$B,$A475,'تجربه‌گرها'!$F:$F,G$1)</f>
        <v>1</v>
      </c>
      <c r="H475" s="242">
        <f>COUNTIFS('تجربه‌گرها'!$B:$B,$A475,'تجربه‌گرها'!$F:$F,H$1)</f>
        <v>0</v>
      </c>
      <c r="I475" s="242">
        <f>COUNTIFS('تجربه‌گرها'!$B:$B,$A475,'تجربه‌گرها'!$F:$F,I$1)</f>
        <v>0</v>
      </c>
      <c r="J475" s="242">
        <f>COUNTIFS('تجربه‌گرها'!$B:$B,$A475,'تجربه‌گرها'!$F:$F,J$1)</f>
        <v>0</v>
      </c>
      <c r="K475" s="242">
        <f>COUNTIFS('تجربه‌گرها'!$B:$B,$A475,'تجربه‌گرها'!$F:$F,K$1)</f>
        <v>0</v>
      </c>
      <c r="L475" s="242">
        <f>COUNTIFS('تجربه‌گرها'!$B:$B,$A475,'تجربه‌گرها'!$F:$F,L$1)</f>
        <v>0</v>
      </c>
      <c r="M475" s="242">
        <f>COUNTIFS('تجربه‌گرها'!$B:$B,$A475,'تجربه‌گرها'!$F:$F,M$1)</f>
        <v>0</v>
      </c>
      <c r="N475" s="242">
        <f>COUNTIFS('تجربه‌گرها'!$B:$B,$A475,'تجربه‌گرها'!$F:$F,N$1)</f>
        <v>0</v>
      </c>
      <c r="O475" s="242">
        <f>COUNTIFS('تجربه‌گرها'!$B:$B,$A475,'تجربه‌گرها'!$F:$F,O$1)</f>
        <v>0</v>
      </c>
      <c r="P475" s="242">
        <f>COUNTIFS('تجربه‌گرها'!$B:$B,$A475,'تجربه‌گرها'!$F:$F,P$1)</f>
        <v>0</v>
      </c>
      <c r="Q475" s="242">
        <f>COUNTIFS('تجربه‌گرها'!$B:$B,$A475,'تجربه‌گرها'!$F:$F,Q$1)</f>
        <v>0</v>
      </c>
      <c r="R475" s="242">
        <f>COUNTIFS('تجربه‌گرها'!$B:$B,$A475,'تجربه‌گرها'!$F:$F,R$1)</f>
        <v>0</v>
      </c>
      <c r="S475" s="242">
        <f>COUNTIFS('تجربه‌گرها'!$B:$B,$A475,'تجربه‌گرها'!$F:$F,S$1)</f>
        <v>0</v>
      </c>
      <c r="T475" s="242">
        <f>COUNTIFS('تجربه‌گرها'!$B:$B,$A475,'تجربه‌گرها'!$F:$F,T$1)</f>
        <v>0</v>
      </c>
      <c r="U475" s="242"/>
      <c r="V475" s="242"/>
      <c r="W475" s="242"/>
      <c r="X475" s="242"/>
      <c r="Y475" s="242"/>
      <c r="Z475" s="242"/>
      <c r="AA475" s="242"/>
      <c r="AB475" s="242"/>
    </row>
    <row r="476" hidden="1">
      <c r="A476" s="244" t="s">
        <v>3227</v>
      </c>
      <c r="B476" s="245" t="str">
        <f>VLOOKUP(A476,'تجربه‌گرها'!B:C,2,FALSE())</f>
        <v>9362103523</v>
      </c>
      <c r="C476" s="242"/>
      <c r="D476" s="242">
        <f t="shared" si="1"/>
        <v>1</v>
      </c>
      <c r="E476" s="242">
        <f>COUNTIFS('تجربه‌گرها'!$B:$B,$A476,'تجربه‌گرها'!$F:$F,E$1)</f>
        <v>0</v>
      </c>
      <c r="F476" s="242">
        <f>COUNTIFS('تجربه‌گرها'!$B:$B,$A476,'تجربه‌گرها'!$F:$F,F$1)</f>
        <v>0</v>
      </c>
      <c r="G476" s="242">
        <f>COUNTIFS('تجربه‌گرها'!$B:$B,$A476,'تجربه‌گرها'!$F:$F,G$1)</f>
        <v>1</v>
      </c>
      <c r="H476" s="242">
        <f>COUNTIFS('تجربه‌گرها'!$B:$B,$A476,'تجربه‌گرها'!$F:$F,H$1)</f>
        <v>0</v>
      </c>
      <c r="I476" s="242">
        <f>COUNTIFS('تجربه‌گرها'!$B:$B,$A476,'تجربه‌گرها'!$F:$F,I$1)</f>
        <v>0</v>
      </c>
      <c r="J476" s="242">
        <f>COUNTIFS('تجربه‌گرها'!$B:$B,$A476,'تجربه‌گرها'!$F:$F,J$1)</f>
        <v>0</v>
      </c>
      <c r="K476" s="242">
        <f>COUNTIFS('تجربه‌گرها'!$B:$B,$A476,'تجربه‌گرها'!$F:$F,K$1)</f>
        <v>0</v>
      </c>
      <c r="L476" s="242">
        <f>COUNTIFS('تجربه‌گرها'!$B:$B,$A476,'تجربه‌گرها'!$F:$F,L$1)</f>
        <v>0</v>
      </c>
      <c r="M476" s="242">
        <f>COUNTIFS('تجربه‌گرها'!$B:$B,$A476,'تجربه‌گرها'!$F:$F,M$1)</f>
        <v>0</v>
      </c>
      <c r="N476" s="242">
        <f>COUNTIFS('تجربه‌گرها'!$B:$B,$A476,'تجربه‌گرها'!$F:$F,N$1)</f>
        <v>0</v>
      </c>
      <c r="O476" s="242">
        <f>COUNTIFS('تجربه‌گرها'!$B:$B,$A476,'تجربه‌گرها'!$F:$F,O$1)</f>
        <v>0</v>
      </c>
      <c r="P476" s="242">
        <f>COUNTIFS('تجربه‌گرها'!$B:$B,$A476,'تجربه‌گرها'!$F:$F,P$1)</f>
        <v>0</v>
      </c>
      <c r="Q476" s="242">
        <f>COUNTIFS('تجربه‌گرها'!$B:$B,$A476,'تجربه‌گرها'!$F:$F,Q$1)</f>
        <v>0</v>
      </c>
      <c r="R476" s="242">
        <f>COUNTIFS('تجربه‌گرها'!$B:$B,$A476,'تجربه‌گرها'!$F:$F,R$1)</f>
        <v>0</v>
      </c>
      <c r="S476" s="242">
        <f>COUNTIFS('تجربه‌گرها'!$B:$B,$A476,'تجربه‌گرها'!$F:$F,S$1)</f>
        <v>0</v>
      </c>
      <c r="T476" s="242">
        <f>COUNTIFS('تجربه‌گرها'!$B:$B,$A476,'تجربه‌گرها'!$F:$F,T$1)</f>
        <v>0</v>
      </c>
      <c r="U476" s="242"/>
      <c r="V476" s="242"/>
      <c r="W476" s="242"/>
      <c r="X476" s="242"/>
      <c r="Y476" s="242"/>
      <c r="Z476" s="242"/>
      <c r="AA476" s="242"/>
      <c r="AB476" s="242"/>
    </row>
    <row r="477" hidden="1">
      <c r="A477" s="244" t="s">
        <v>3232</v>
      </c>
      <c r="B477" s="245" t="str">
        <f>VLOOKUP(A477,'تجربه‌گرها'!B:C,2,FALSE())</f>
        <v>9308023759</v>
      </c>
      <c r="C477" s="242"/>
      <c r="D477" s="242">
        <f t="shared" si="1"/>
        <v>1</v>
      </c>
      <c r="E477" s="242">
        <f>COUNTIFS('تجربه‌گرها'!$B:$B,$A477,'تجربه‌گرها'!$F:$F,E$1)</f>
        <v>0</v>
      </c>
      <c r="F477" s="242">
        <f>COUNTIFS('تجربه‌گرها'!$B:$B,$A477,'تجربه‌گرها'!$F:$F,F$1)</f>
        <v>0</v>
      </c>
      <c r="G477" s="242">
        <f>COUNTIFS('تجربه‌گرها'!$B:$B,$A477,'تجربه‌گرها'!$F:$F,G$1)</f>
        <v>1</v>
      </c>
      <c r="H477" s="242">
        <f>COUNTIFS('تجربه‌گرها'!$B:$B,$A477,'تجربه‌گرها'!$F:$F,H$1)</f>
        <v>0</v>
      </c>
      <c r="I477" s="242">
        <f>COUNTIFS('تجربه‌گرها'!$B:$B,$A477,'تجربه‌گرها'!$F:$F,I$1)</f>
        <v>0</v>
      </c>
      <c r="J477" s="242">
        <f>COUNTIFS('تجربه‌گرها'!$B:$B,$A477,'تجربه‌گرها'!$F:$F,J$1)</f>
        <v>0</v>
      </c>
      <c r="K477" s="242">
        <f>COUNTIFS('تجربه‌گرها'!$B:$B,$A477,'تجربه‌گرها'!$F:$F,K$1)</f>
        <v>0</v>
      </c>
      <c r="L477" s="242">
        <f>COUNTIFS('تجربه‌گرها'!$B:$B,$A477,'تجربه‌گرها'!$F:$F,L$1)</f>
        <v>0</v>
      </c>
      <c r="M477" s="242">
        <f>COUNTIFS('تجربه‌گرها'!$B:$B,$A477,'تجربه‌گرها'!$F:$F,M$1)</f>
        <v>0</v>
      </c>
      <c r="N477" s="242">
        <f>COUNTIFS('تجربه‌گرها'!$B:$B,$A477,'تجربه‌گرها'!$F:$F,N$1)</f>
        <v>0</v>
      </c>
      <c r="O477" s="242">
        <f>COUNTIFS('تجربه‌گرها'!$B:$B,$A477,'تجربه‌گرها'!$F:$F,O$1)</f>
        <v>0</v>
      </c>
      <c r="P477" s="242">
        <f>COUNTIFS('تجربه‌گرها'!$B:$B,$A477,'تجربه‌گرها'!$F:$F,P$1)</f>
        <v>0</v>
      </c>
      <c r="Q477" s="242">
        <f>COUNTIFS('تجربه‌گرها'!$B:$B,$A477,'تجربه‌گرها'!$F:$F,Q$1)</f>
        <v>0</v>
      </c>
      <c r="R477" s="242">
        <f>COUNTIFS('تجربه‌گرها'!$B:$B,$A477,'تجربه‌گرها'!$F:$F,R$1)</f>
        <v>0</v>
      </c>
      <c r="S477" s="242">
        <f>COUNTIFS('تجربه‌گرها'!$B:$B,$A477,'تجربه‌گرها'!$F:$F,S$1)</f>
        <v>0</v>
      </c>
      <c r="T477" s="242">
        <f>COUNTIFS('تجربه‌گرها'!$B:$B,$A477,'تجربه‌گرها'!$F:$F,T$1)</f>
        <v>0</v>
      </c>
      <c r="U477" s="242"/>
      <c r="V477" s="242"/>
      <c r="W477" s="242"/>
      <c r="X477" s="242"/>
      <c r="Y477" s="242"/>
      <c r="Z477" s="242"/>
      <c r="AA477" s="242"/>
      <c r="AB477" s="242"/>
    </row>
    <row r="478" hidden="1">
      <c r="A478" s="244" t="s">
        <v>3235</v>
      </c>
      <c r="B478" s="245" t="str">
        <f>VLOOKUP(A478,'تجربه‌گرها'!B:C,2,FALSE())</f>
        <v>9127367411</v>
      </c>
      <c r="C478" s="242"/>
      <c r="D478" s="242">
        <f t="shared" si="1"/>
        <v>1</v>
      </c>
      <c r="E478" s="242">
        <f>COUNTIFS('تجربه‌گرها'!$B:$B,$A478,'تجربه‌گرها'!$F:$F,E$1)</f>
        <v>0</v>
      </c>
      <c r="F478" s="242">
        <f>COUNTIFS('تجربه‌گرها'!$B:$B,$A478,'تجربه‌گرها'!$F:$F,F$1)</f>
        <v>0</v>
      </c>
      <c r="G478" s="242">
        <f>COUNTIFS('تجربه‌گرها'!$B:$B,$A478,'تجربه‌گرها'!$F:$F,G$1)</f>
        <v>1</v>
      </c>
      <c r="H478" s="242">
        <f>COUNTIFS('تجربه‌گرها'!$B:$B,$A478,'تجربه‌گرها'!$F:$F,H$1)</f>
        <v>0</v>
      </c>
      <c r="I478" s="242">
        <f>COUNTIFS('تجربه‌گرها'!$B:$B,$A478,'تجربه‌گرها'!$F:$F,I$1)</f>
        <v>0</v>
      </c>
      <c r="J478" s="242">
        <f>COUNTIFS('تجربه‌گرها'!$B:$B,$A478,'تجربه‌گرها'!$F:$F,J$1)</f>
        <v>0</v>
      </c>
      <c r="K478" s="242">
        <f>COUNTIFS('تجربه‌گرها'!$B:$B,$A478,'تجربه‌گرها'!$F:$F,K$1)</f>
        <v>0</v>
      </c>
      <c r="L478" s="242">
        <f>COUNTIFS('تجربه‌گرها'!$B:$B,$A478,'تجربه‌گرها'!$F:$F,L$1)</f>
        <v>0</v>
      </c>
      <c r="M478" s="242">
        <f>COUNTIFS('تجربه‌گرها'!$B:$B,$A478,'تجربه‌گرها'!$F:$F,M$1)</f>
        <v>0</v>
      </c>
      <c r="N478" s="242">
        <f>COUNTIFS('تجربه‌گرها'!$B:$B,$A478,'تجربه‌گرها'!$F:$F,N$1)</f>
        <v>0</v>
      </c>
      <c r="O478" s="242">
        <f>COUNTIFS('تجربه‌گرها'!$B:$B,$A478,'تجربه‌گرها'!$F:$F,O$1)</f>
        <v>0</v>
      </c>
      <c r="P478" s="242">
        <f>COUNTIFS('تجربه‌گرها'!$B:$B,$A478,'تجربه‌گرها'!$F:$F,P$1)</f>
        <v>0</v>
      </c>
      <c r="Q478" s="242">
        <f>COUNTIFS('تجربه‌گرها'!$B:$B,$A478,'تجربه‌گرها'!$F:$F,Q$1)</f>
        <v>0</v>
      </c>
      <c r="R478" s="242">
        <f>COUNTIFS('تجربه‌گرها'!$B:$B,$A478,'تجربه‌گرها'!$F:$F,R$1)</f>
        <v>0</v>
      </c>
      <c r="S478" s="242">
        <f>COUNTIFS('تجربه‌گرها'!$B:$B,$A478,'تجربه‌گرها'!$F:$F,S$1)</f>
        <v>0</v>
      </c>
      <c r="T478" s="242">
        <f>COUNTIFS('تجربه‌گرها'!$B:$B,$A478,'تجربه‌گرها'!$F:$F,T$1)</f>
        <v>0</v>
      </c>
      <c r="U478" s="242"/>
      <c r="V478" s="242"/>
      <c r="W478" s="242"/>
      <c r="X478" s="242"/>
      <c r="Y478" s="242"/>
      <c r="Z478" s="242"/>
      <c r="AA478" s="242"/>
      <c r="AB478" s="242"/>
    </row>
    <row r="479" hidden="1">
      <c r="A479" s="244" t="s">
        <v>3238</v>
      </c>
      <c r="B479" s="245" t="str">
        <f>VLOOKUP(A479,'تجربه‌گرها'!B:C,2,FALSE())</f>
        <v>9195099207</v>
      </c>
      <c r="C479" s="242"/>
      <c r="D479" s="242">
        <f t="shared" si="1"/>
        <v>1</v>
      </c>
      <c r="E479" s="242">
        <f>COUNTIFS('تجربه‌گرها'!$B:$B,$A479,'تجربه‌گرها'!$F:$F,E$1)</f>
        <v>0</v>
      </c>
      <c r="F479" s="242">
        <f>COUNTIFS('تجربه‌گرها'!$B:$B,$A479,'تجربه‌گرها'!$F:$F,F$1)</f>
        <v>0</v>
      </c>
      <c r="G479" s="242">
        <f>COUNTIFS('تجربه‌گرها'!$B:$B,$A479,'تجربه‌گرها'!$F:$F,G$1)</f>
        <v>1</v>
      </c>
      <c r="H479" s="242">
        <f>COUNTIFS('تجربه‌گرها'!$B:$B,$A479,'تجربه‌گرها'!$F:$F,H$1)</f>
        <v>0</v>
      </c>
      <c r="I479" s="242">
        <f>COUNTIFS('تجربه‌گرها'!$B:$B,$A479,'تجربه‌گرها'!$F:$F,I$1)</f>
        <v>0</v>
      </c>
      <c r="J479" s="242">
        <f>COUNTIFS('تجربه‌گرها'!$B:$B,$A479,'تجربه‌گرها'!$F:$F,J$1)</f>
        <v>0</v>
      </c>
      <c r="K479" s="242">
        <f>COUNTIFS('تجربه‌گرها'!$B:$B,$A479,'تجربه‌گرها'!$F:$F,K$1)</f>
        <v>0</v>
      </c>
      <c r="L479" s="242">
        <f>COUNTIFS('تجربه‌گرها'!$B:$B,$A479,'تجربه‌گرها'!$F:$F,L$1)</f>
        <v>0</v>
      </c>
      <c r="M479" s="242">
        <f>COUNTIFS('تجربه‌گرها'!$B:$B,$A479,'تجربه‌گرها'!$F:$F,M$1)</f>
        <v>0</v>
      </c>
      <c r="N479" s="242">
        <f>COUNTIFS('تجربه‌گرها'!$B:$B,$A479,'تجربه‌گرها'!$F:$F,N$1)</f>
        <v>0</v>
      </c>
      <c r="O479" s="242">
        <f>COUNTIFS('تجربه‌گرها'!$B:$B,$A479,'تجربه‌گرها'!$F:$F,O$1)</f>
        <v>0</v>
      </c>
      <c r="P479" s="242">
        <f>COUNTIFS('تجربه‌گرها'!$B:$B,$A479,'تجربه‌گرها'!$F:$F,P$1)</f>
        <v>0</v>
      </c>
      <c r="Q479" s="242">
        <f>COUNTIFS('تجربه‌گرها'!$B:$B,$A479,'تجربه‌گرها'!$F:$F,Q$1)</f>
        <v>0</v>
      </c>
      <c r="R479" s="242">
        <f>COUNTIFS('تجربه‌گرها'!$B:$B,$A479,'تجربه‌گرها'!$F:$F,R$1)</f>
        <v>0</v>
      </c>
      <c r="S479" s="242">
        <f>COUNTIFS('تجربه‌گرها'!$B:$B,$A479,'تجربه‌گرها'!$F:$F,S$1)</f>
        <v>0</v>
      </c>
      <c r="T479" s="242">
        <f>COUNTIFS('تجربه‌گرها'!$B:$B,$A479,'تجربه‌گرها'!$F:$F,T$1)</f>
        <v>0</v>
      </c>
      <c r="U479" s="242"/>
      <c r="V479" s="242"/>
      <c r="W479" s="242"/>
      <c r="X479" s="242"/>
      <c r="Y479" s="242"/>
      <c r="Z479" s="242"/>
      <c r="AA479" s="242"/>
      <c r="AB479" s="242"/>
    </row>
    <row r="480" hidden="1">
      <c r="A480" s="244" t="s">
        <v>3241</v>
      </c>
      <c r="B480" s="245" t="str">
        <f>VLOOKUP(A480,'تجربه‌گرها'!B:C,2,FALSE())</f>
        <v>9217382757</v>
      </c>
      <c r="C480" s="242"/>
      <c r="D480" s="242">
        <f t="shared" si="1"/>
        <v>1</v>
      </c>
      <c r="E480" s="242">
        <f>COUNTIFS('تجربه‌گرها'!$B:$B,$A480,'تجربه‌گرها'!$F:$F,E$1)</f>
        <v>0</v>
      </c>
      <c r="F480" s="242">
        <f>COUNTIFS('تجربه‌گرها'!$B:$B,$A480,'تجربه‌گرها'!$F:$F,F$1)</f>
        <v>0</v>
      </c>
      <c r="G480" s="242">
        <f>COUNTIFS('تجربه‌گرها'!$B:$B,$A480,'تجربه‌گرها'!$F:$F,G$1)</f>
        <v>1</v>
      </c>
      <c r="H480" s="242">
        <f>COUNTIFS('تجربه‌گرها'!$B:$B,$A480,'تجربه‌گرها'!$F:$F,H$1)</f>
        <v>0</v>
      </c>
      <c r="I480" s="242">
        <f>COUNTIFS('تجربه‌گرها'!$B:$B,$A480,'تجربه‌گرها'!$F:$F,I$1)</f>
        <v>0</v>
      </c>
      <c r="J480" s="242">
        <f>COUNTIFS('تجربه‌گرها'!$B:$B,$A480,'تجربه‌گرها'!$F:$F,J$1)</f>
        <v>0</v>
      </c>
      <c r="K480" s="242">
        <f>COUNTIFS('تجربه‌گرها'!$B:$B,$A480,'تجربه‌گرها'!$F:$F,K$1)</f>
        <v>0</v>
      </c>
      <c r="L480" s="242">
        <f>COUNTIFS('تجربه‌گرها'!$B:$B,$A480,'تجربه‌گرها'!$F:$F,L$1)</f>
        <v>0</v>
      </c>
      <c r="M480" s="242">
        <f>COUNTIFS('تجربه‌گرها'!$B:$B,$A480,'تجربه‌گرها'!$F:$F,M$1)</f>
        <v>0</v>
      </c>
      <c r="N480" s="242">
        <f>COUNTIFS('تجربه‌گرها'!$B:$B,$A480,'تجربه‌گرها'!$F:$F,N$1)</f>
        <v>0</v>
      </c>
      <c r="O480" s="242">
        <f>COUNTIFS('تجربه‌گرها'!$B:$B,$A480,'تجربه‌گرها'!$F:$F,O$1)</f>
        <v>0</v>
      </c>
      <c r="P480" s="242">
        <f>COUNTIFS('تجربه‌گرها'!$B:$B,$A480,'تجربه‌گرها'!$F:$F,P$1)</f>
        <v>0</v>
      </c>
      <c r="Q480" s="242">
        <f>COUNTIFS('تجربه‌گرها'!$B:$B,$A480,'تجربه‌گرها'!$F:$F,Q$1)</f>
        <v>0</v>
      </c>
      <c r="R480" s="242">
        <f>COUNTIFS('تجربه‌گرها'!$B:$B,$A480,'تجربه‌گرها'!$F:$F,R$1)</f>
        <v>0</v>
      </c>
      <c r="S480" s="242">
        <f>COUNTIFS('تجربه‌گرها'!$B:$B,$A480,'تجربه‌گرها'!$F:$F,S$1)</f>
        <v>0</v>
      </c>
      <c r="T480" s="242">
        <f>COUNTIFS('تجربه‌گرها'!$B:$B,$A480,'تجربه‌گرها'!$F:$F,T$1)</f>
        <v>0</v>
      </c>
      <c r="U480" s="242"/>
      <c r="V480" s="242"/>
      <c r="W480" s="242"/>
      <c r="X480" s="242"/>
      <c r="Y480" s="242"/>
      <c r="Z480" s="242"/>
      <c r="AA480" s="242"/>
      <c r="AB480" s="242"/>
    </row>
    <row r="481" hidden="1">
      <c r="A481" s="244" t="s">
        <v>3246</v>
      </c>
      <c r="B481" s="245" t="str">
        <f>VLOOKUP(A481,'تجربه‌گرها'!B:C,2,FALSE())</f>
        <v>9124231570</v>
      </c>
      <c r="C481" s="242"/>
      <c r="D481" s="242">
        <f t="shared" si="1"/>
        <v>1</v>
      </c>
      <c r="E481" s="242">
        <f>COUNTIFS('تجربه‌گرها'!$B:$B,$A481,'تجربه‌گرها'!$F:$F,E$1)</f>
        <v>0</v>
      </c>
      <c r="F481" s="242">
        <f>COUNTIFS('تجربه‌گرها'!$B:$B,$A481,'تجربه‌گرها'!$F:$F,F$1)</f>
        <v>0</v>
      </c>
      <c r="G481" s="242">
        <f>COUNTIFS('تجربه‌گرها'!$B:$B,$A481,'تجربه‌گرها'!$F:$F,G$1)</f>
        <v>1</v>
      </c>
      <c r="H481" s="242">
        <f>COUNTIFS('تجربه‌گرها'!$B:$B,$A481,'تجربه‌گرها'!$F:$F,H$1)</f>
        <v>0</v>
      </c>
      <c r="I481" s="242">
        <f>COUNTIFS('تجربه‌گرها'!$B:$B,$A481,'تجربه‌گرها'!$F:$F,I$1)</f>
        <v>0</v>
      </c>
      <c r="J481" s="242">
        <f>COUNTIFS('تجربه‌گرها'!$B:$B,$A481,'تجربه‌گرها'!$F:$F,J$1)</f>
        <v>0</v>
      </c>
      <c r="K481" s="242">
        <f>COUNTIFS('تجربه‌گرها'!$B:$B,$A481,'تجربه‌گرها'!$F:$F,K$1)</f>
        <v>0</v>
      </c>
      <c r="L481" s="242">
        <f>COUNTIFS('تجربه‌گرها'!$B:$B,$A481,'تجربه‌گرها'!$F:$F,L$1)</f>
        <v>0</v>
      </c>
      <c r="M481" s="242">
        <f>COUNTIFS('تجربه‌گرها'!$B:$B,$A481,'تجربه‌گرها'!$F:$F,M$1)</f>
        <v>0</v>
      </c>
      <c r="N481" s="242">
        <f>COUNTIFS('تجربه‌گرها'!$B:$B,$A481,'تجربه‌گرها'!$F:$F,N$1)</f>
        <v>0</v>
      </c>
      <c r="O481" s="242">
        <f>COUNTIFS('تجربه‌گرها'!$B:$B,$A481,'تجربه‌گرها'!$F:$F,O$1)</f>
        <v>0</v>
      </c>
      <c r="P481" s="242">
        <f>COUNTIFS('تجربه‌گرها'!$B:$B,$A481,'تجربه‌گرها'!$F:$F,P$1)</f>
        <v>0</v>
      </c>
      <c r="Q481" s="242">
        <f>COUNTIFS('تجربه‌گرها'!$B:$B,$A481,'تجربه‌گرها'!$F:$F,Q$1)</f>
        <v>0</v>
      </c>
      <c r="R481" s="242">
        <f>COUNTIFS('تجربه‌گرها'!$B:$B,$A481,'تجربه‌گرها'!$F:$F,R$1)</f>
        <v>0</v>
      </c>
      <c r="S481" s="242">
        <f>COUNTIFS('تجربه‌گرها'!$B:$B,$A481,'تجربه‌گرها'!$F:$F,S$1)</f>
        <v>0</v>
      </c>
      <c r="T481" s="242">
        <f>COUNTIFS('تجربه‌گرها'!$B:$B,$A481,'تجربه‌گرها'!$F:$F,T$1)</f>
        <v>0</v>
      </c>
      <c r="U481" s="242"/>
      <c r="V481" s="242"/>
      <c r="W481" s="242"/>
      <c r="X481" s="242"/>
      <c r="Y481" s="242"/>
      <c r="Z481" s="242"/>
      <c r="AA481" s="242"/>
      <c r="AB481" s="242"/>
    </row>
    <row r="482" hidden="1">
      <c r="A482" s="244" t="s">
        <v>3251</v>
      </c>
      <c r="B482" s="245" t="str">
        <f>VLOOKUP(A482,'تجربه‌گرها'!B:C,2,FALSE())</f>
        <v>9122148857</v>
      </c>
      <c r="C482" s="242"/>
      <c r="D482" s="242">
        <f t="shared" si="1"/>
        <v>1</v>
      </c>
      <c r="E482" s="242">
        <f>COUNTIFS('تجربه‌گرها'!$B:$B,$A482,'تجربه‌گرها'!$F:$F,E$1)</f>
        <v>0</v>
      </c>
      <c r="F482" s="242">
        <f>COUNTIFS('تجربه‌گرها'!$B:$B,$A482,'تجربه‌گرها'!$F:$F,F$1)</f>
        <v>0</v>
      </c>
      <c r="G482" s="242">
        <f>COUNTIFS('تجربه‌گرها'!$B:$B,$A482,'تجربه‌گرها'!$F:$F,G$1)</f>
        <v>1</v>
      </c>
      <c r="H482" s="242">
        <f>COUNTIFS('تجربه‌گرها'!$B:$B,$A482,'تجربه‌گرها'!$F:$F,H$1)</f>
        <v>0</v>
      </c>
      <c r="I482" s="242">
        <f>COUNTIFS('تجربه‌گرها'!$B:$B,$A482,'تجربه‌گرها'!$F:$F,I$1)</f>
        <v>0</v>
      </c>
      <c r="J482" s="242">
        <f>COUNTIFS('تجربه‌گرها'!$B:$B,$A482,'تجربه‌گرها'!$F:$F,J$1)</f>
        <v>0</v>
      </c>
      <c r="K482" s="242">
        <f>COUNTIFS('تجربه‌گرها'!$B:$B,$A482,'تجربه‌گرها'!$F:$F,K$1)</f>
        <v>0</v>
      </c>
      <c r="L482" s="242">
        <f>COUNTIFS('تجربه‌گرها'!$B:$B,$A482,'تجربه‌گرها'!$F:$F,L$1)</f>
        <v>0</v>
      </c>
      <c r="M482" s="242">
        <f>COUNTIFS('تجربه‌گرها'!$B:$B,$A482,'تجربه‌گرها'!$F:$F,M$1)</f>
        <v>0</v>
      </c>
      <c r="N482" s="242">
        <f>COUNTIFS('تجربه‌گرها'!$B:$B,$A482,'تجربه‌گرها'!$F:$F,N$1)</f>
        <v>0</v>
      </c>
      <c r="O482" s="242">
        <f>COUNTIFS('تجربه‌گرها'!$B:$B,$A482,'تجربه‌گرها'!$F:$F,O$1)</f>
        <v>0</v>
      </c>
      <c r="P482" s="242">
        <f>COUNTIFS('تجربه‌گرها'!$B:$B,$A482,'تجربه‌گرها'!$F:$F,P$1)</f>
        <v>0</v>
      </c>
      <c r="Q482" s="242">
        <f>COUNTIFS('تجربه‌گرها'!$B:$B,$A482,'تجربه‌گرها'!$F:$F,Q$1)</f>
        <v>0</v>
      </c>
      <c r="R482" s="242">
        <f>COUNTIFS('تجربه‌گرها'!$B:$B,$A482,'تجربه‌گرها'!$F:$F,R$1)</f>
        <v>0</v>
      </c>
      <c r="S482" s="242">
        <f>COUNTIFS('تجربه‌گرها'!$B:$B,$A482,'تجربه‌گرها'!$F:$F,S$1)</f>
        <v>0</v>
      </c>
      <c r="T482" s="242">
        <f>COUNTIFS('تجربه‌گرها'!$B:$B,$A482,'تجربه‌گرها'!$F:$F,T$1)</f>
        <v>0</v>
      </c>
      <c r="U482" s="242"/>
      <c r="V482" s="242"/>
      <c r="W482" s="242"/>
      <c r="X482" s="242"/>
      <c r="Y482" s="242"/>
      <c r="Z482" s="242"/>
      <c r="AA482" s="242"/>
      <c r="AB482" s="242"/>
    </row>
    <row r="483" hidden="1">
      <c r="A483" s="244" t="s">
        <v>3257</v>
      </c>
      <c r="B483" s="245" t="str">
        <f>VLOOKUP(A483,'تجربه‌گرها'!B:C,2,FALSE())</f>
        <v>9206856323</v>
      </c>
      <c r="C483" s="242"/>
      <c r="D483" s="242">
        <f t="shared" si="1"/>
        <v>1</v>
      </c>
      <c r="E483" s="242">
        <f>COUNTIFS('تجربه‌گرها'!$B:$B,$A483,'تجربه‌گرها'!$F:$F,E$1)</f>
        <v>0</v>
      </c>
      <c r="F483" s="242">
        <f>COUNTIFS('تجربه‌گرها'!$B:$B,$A483,'تجربه‌گرها'!$F:$F,F$1)</f>
        <v>0</v>
      </c>
      <c r="G483" s="242">
        <f>COUNTIFS('تجربه‌گرها'!$B:$B,$A483,'تجربه‌گرها'!$F:$F,G$1)</f>
        <v>1</v>
      </c>
      <c r="H483" s="242">
        <f>COUNTIFS('تجربه‌گرها'!$B:$B,$A483,'تجربه‌گرها'!$F:$F,H$1)</f>
        <v>0</v>
      </c>
      <c r="I483" s="242">
        <f>COUNTIFS('تجربه‌گرها'!$B:$B,$A483,'تجربه‌گرها'!$F:$F,I$1)</f>
        <v>0</v>
      </c>
      <c r="J483" s="242">
        <f>COUNTIFS('تجربه‌گرها'!$B:$B,$A483,'تجربه‌گرها'!$F:$F,J$1)</f>
        <v>0</v>
      </c>
      <c r="K483" s="242">
        <f>COUNTIFS('تجربه‌گرها'!$B:$B,$A483,'تجربه‌گرها'!$F:$F,K$1)</f>
        <v>0</v>
      </c>
      <c r="L483" s="242">
        <f>COUNTIFS('تجربه‌گرها'!$B:$B,$A483,'تجربه‌گرها'!$F:$F,L$1)</f>
        <v>0</v>
      </c>
      <c r="M483" s="242">
        <f>COUNTIFS('تجربه‌گرها'!$B:$B,$A483,'تجربه‌گرها'!$F:$F,M$1)</f>
        <v>0</v>
      </c>
      <c r="N483" s="242">
        <f>COUNTIFS('تجربه‌گرها'!$B:$B,$A483,'تجربه‌گرها'!$F:$F,N$1)</f>
        <v>0</v>
      </c>
      <c r="O483" s="242">
        <f>COUNTIFS('تجربه‌گرها'!$B:$B,$A483,'تجربه‌گرها'!$F:$F,O$1)</f>
        <v>0</v>
      </c>
      <c r="P483" s="242">
        <f>COUNTIFS('تجربه‌گرها'!$B:$B,$A483,'تجربه‌گرها'!$F:$F,P$1)</f>
        <v>0</v>
      </c>
      <c r="Q483" s="242">
        <f>COUNTIFS('تجربه‌گرها'!$B:$B,$A483,'تجربه‌گرها'!$F:$F,Q$1)</f>
        <v>0</v>
      </c>
      <c r="R483" s="242">
        <f>COUNTIFS('تجربه‌گرها'!$B:$B,$A483,'تجربه‌گرها'!$F:$F,R$1)</f>
        <v>0</v>
      </c>
      <c r="S483" s="242">
        <f>COUNTIFS('تجربه‌گرها'!$B:$B,$A483,'تجربه‌گرها'!$F:$F,S$1)</f>
        <v>0</v>
      </c>
      <c r="T483" s="242">
        <f>COUNTIFS('تجربه‌گرها'!$B:$B,$A483,'تجربه‌گرها'!$F:$F,T$1)</f>
        <v>0</v>
      </c>
      <c r="U483" s="242"/>
      <c r="V483" s="242"/>
      <c r="W483" s="242"/>
      <c r="X483" s="242"/>
      <c r="Y483" s="242"/>
      <c r="Z483" s="242"/>
      <c r="AA483" s="242"/>
      <c r="AB483" s="242"/>
    </row>
    <row r="484" hidden="1">
      <c r="A484" s="244" t="s">
        <v>3262</v>
      </c>
      <c r="B484" s="245" t="str">
        <f>VLOOKUP(A484,'تجربه‌گرها'!B:C,2,FALSE())</f>
        <v>9122347590</v>
      </c>
      <c r="C484" s="242"/>
      <c r="D484" s="242">
        <f t="shared" si="1"/>
        <v>1</v>
      </c>
      <c r="E484" s="242">
        <f>COUNTIFS('تجربه‌گرها'!$B:$B,$A484,'تجربه‌گرها'!$F:$F,E$1)</f>
        <v>0</v>
      </c>
      <c r="F484" s="242">
        <f>COUNTIFS('تجربه‌گرها'!$B:$B,$A484,'تجربه‌گرها'!$F:$F,F$1)</f>
        <v>0</v>
      </c>
      <c r="G484" s="242">
        <f>COUNTIFS('تجربه‌گرها'!$B:$B,$A484,'تجربه‌گرها'!$F:$F,G$1)</f>
        <v>1</v>
      </c>
      <c r="H484" s="242">
        <f>COUNTIFS('تجربه‌گرها'!$B:$B,$A484,'تجربه‌گرها'!$F:$F,H$1)</f>
        <v>0</v>
      </c>
      <c r="I484" s="242">
        <f>COUNTIFS('تجربه‌گرها'!$B:$B,$A484,'تجربه‌گرها'!$F:$F,I$1)</f>
        <v>0</v>
      </c>
      <c r="J484" s="242">
        <f>COUNTIFS('تجربه‌گرها'!$B:$B,$A484,'تجربه‌گرها'!$F:$F,J$1)</f>
        <v>0</v>
      </c>
      <c r="K484" s="242">
        <f>COUNTIFS('تجربه‌گرها'!$B:$B,$A484,'تجربه‌گرها'!$F:$F,K$1)</f>
        <v>0</v>
      </c>
      <c r="L484" s="242">
        <f>COUNTIFS('تجربه‌گرها'!$B:$B,$A484,'تجربه‌گرها'!$F:$F,L$1)</f>
        <v>0</v>
      </c>
      <c r="M484" s="242">
        <f>COUNTIFS('تجربه‌گرها'!$B:$B,$A484,'تجربه‌گرها'!$F:$F,M$1)</f>
        <v>0</v>
      </c>
      <c r="N484" s="242">
        <f>COUNTIFS('تجربه‌گرها'!$B:$B,$A484,'تجربه‌گرها'!$F:$F,N$1)</f>
        <v>0</v>
      </c>
      <c r="O484" s="242">
        <f>COUNTIFS('تجربه‌گرها'!$B:$B,$A484,'تجربه‌گرها'!$F:$F,O$1)</f>
        <v>0</v>
      </c>
      <c r="P484" s="242">
        <f>COUNTIFS('تجربه‌گرها'!$B:$B,$A484,'تجربه‌گرها'!$F:$F,P$1)</f>
        <v>0</v>
      </c>
      <c r="Q484" s="242">
        <f>COUNTIFS('تجربه‌گرها'!$B:$B,$A484,'تجربه‌گرها'!$F:$F,Q$1)</f>
        <v>0</v>
      </c>
      <c r="R484" s="242">
        <f>COUNTIFS('تجربه‌گرها'!$B:$B,$A484,'تجربه‌گرها'!$F:$F,R$1)</f>
        <v>0</v>
      </c>
      <c r="S484" s="242">
        <f>COUNTIFS('تجربه‌گرها'!$B:$B,$A484,'تجربه‌گرها'!$F:$F,S$1)</f>
        <v>0</v>
      </c>
      <c r="T484" s="242">
        <f>COUNTIFS('تجربه‌گرها'!$B:$B,$A484,'تجربه‌گرها'!$F:$F,T$1)</f>
        <v>0</v>
      </c>
      <c r="U484" s="242"/>
      <c r="V484" s="242"/>
      <c r="W484" s="242"/>
      <c r="X484" s="242"/>
      <c r="Y484" s="242"/>
      <c r="Z484" s="242"/>
      <c r="AA484" s="242"/>
      <c r="AB484" s="242"/>
    </row>
    <row r="485" hidden="1">
      <c r="A485" s="244" t="s">
        <v>3268</v>
      </c>
      <c r="B485" s="245" t="str">
        <f>VLOOKUP(A485,'تجربه‌گرها'!B:C,2,FALSE())</f>
        <v>9210803122</v>
      </c>
      <c r="C485" s="242"/>
      <c r="D485" s="242">
        <f t="shared" si="1"/>
        <v>1</v>
      </c>
      <c r="E485" s="242">
        <f>COUNTIFS('تجربه‌گرها'!$B:$B,$A485,'تجربه‌گرها'!$F:$F,E$1)</f>
        <v>0</v>
      </c>
      <c r="F485" s="242">
        <f>COUNTIFS('تجربه‌گرها'!$B:$B,$A485,'تجربه‌گرها'!$F:$F,F$1)</f>
        <v>0</v>
      </c>
      <c r="G485" s="242">
        <f>COUNTIFS('تجربه‌گرها'!$B:$B,$A485,'تجربه‌گرها'!$F:$F,G$1)</f>
        <v>1</v>
      </c>
      <c r="H485" s="242">
        <f>COUNTIFS('تجربه‌گرها'!$B:$B,$A485,'تجربه‌گرها'!$F:$F,H$1)</f>
        <v>0</v>
      </c>
      <c r="I485" s="242">
        <f>COUNTIFS('تجربه‌گرها'!$B:$B,$A485,'تجربه‌گرها'!$F:$F,I$1)</f>
        <v>0</v>
      </c>
      <c r="J485" s="242">
        <f>COUNTIFS('تجربه‌گرها'!$B:$B,$A485,'تجربه‌گرها'!$F:$F,J$1)</f>
        <v>0</v>
      </c>
      <c r="K485" s="242">
        <f>COUNTIFS('تجربه‌گرها'!$B:$B,$A485,'تجربه‌گرها'!$F:$F,K$1)</f>
        <v>0</v>
      </c>
      <c r="L485" s="242">
        <f>COUNTIFS('تجربه‌گرها'!$B:$B,$A485,'تجربه‌گرها'!$F:$F,L$1)</f>
        <v>0</v>
      </c>
      <c r="M485" s="242">
        <f>COUNTIFS('تجربه‌گرها'!$B:$B,$A485,'تجربه‌گرها'!$F:$F,M$1)</f>
        <v>0</v>
      </c>
      <c r="N485" s="242">
        <f>COUNTIFS('تجربه‌گرها'!$B:$B,$A485,'تجربه‌گرها'!$F:$F,N$1)</f>
        <v>0</v>
      </c>
      <c r="O485" s="242">
        <f>COUNTIFS('تجربه‌گرها'!$B:$B,$A485,'تجربه‌گرها'!$F:$F,O$1)</f>
        <v>0</v>
      </c>
      <c r="P485" s="242">
        <f>COUNTIFS('تجربه‌گرها'!$B:$B,$A485,'تجربه‌گرها'!$F:$F,P$1)</f>
        <v>0</v>
      </c>
      <c r="Q485" s="242">
        <f>COUNTIFS('تجربه‌گرها'!$B:$B,$A485,'تجربه‌گرها'!$F:$F,Q$1)</f>
        <v>0</v>
      </c>
      <c r="R485" s="242">
        <f>COUNTIFS('تجربه‌گرها'!$B:$B,$A485,'تجربه‌گرها'!$F:$F,R$1)</f>
        <v>0</v>
      </c>
      <c r="S485" s="242">
        <f>COUNTIFS('تجربه‌گرها'!$B:$B,$A485,'تجربه‌گرها'!$F:$F,S$1)</f>
        <v>0</v>
      </c>
      <c r="T485" s="242">
        <f>COUNTIFS('تجربه‌گرها'!$B:$B,$A485,'تجربه‌گرها'!$F:$F,T$1)</f>
        <v>0</v>
      </c>
      <c r="U485" s="242"/>
      <c r="V485" s="242"/>
      <c r="W485" s="242"/>
      <c r="X485" s="242"/>
      <c r="Y485" s="242"/>
      <c r="Z485" s="242"/>
      <c r="AA485" s="242"/>
      <c r="AB485" s="242"/>
    </row>
    <row r="486" hidden="1">
      <c r="A486" s="244" t="s">
        <v>3274</v>
      </c>
      <c r="B486" s="245" t="str">
        <f>VLOOKUP(A486,'تجربه‌گرها'!B:C,2,FALSE())</f>
        <v>9121945921</v>
      </c>
      <c r="C486" s="242"/>
      <c r="D486" s="242">
        <f t="shared" si="1"/>
        <v>1</v>
      </c>
      <c r="E486" s="242">
        <f>COUNTIFS('تجربه‌گرها'!$B:$B,$A486,'تجربه‌گرها'!$F:$F,E$1)</f>
        <v>0</v>
      </c>
      <c r="F486" s="242">
        <f>COUNTIFS('تجربه‌گرها'!$B:$B,$A486,'تجربه‌گرها'!$F:$F,F$1)</f>
        <v>0</v>
      </c>
      <c r="G486" s="242">
        <f>COUNTIFS('تجربه‌گرها'!$B:$B,$A486,'تجربه‌گرها'!$F:$F,G$1)</f>
        <v>1</v>
      </c>
      <c r="H486" s="242">
        <f>COUNTIFS('تجربه‌گرها'!$B:$B,$A486,'تجربه‌گرها'!$F:$F,H$1)</f>
        <v>0</v>
      </c>
      <c r="I486" s="242">
        <f>COUNTIFS('تجربه‌گرها'!$B:$B,$A486,'تجربه‌گرها'!$F:$F,I$1)</f>
        <v>0</v>
      </c>
      <c r="J486" s="242">
        <f>COUNTIFS('تجربه‌گرها'!$B:$B,$A486,'تجربه‌گرها'!$F:$F,J$1)</f>
        <v>0</v>
      </c>
      <c r="K486" s="242">
        <f>COUNTIFS('تجربه‌گرها'!$B:$B,$A486,'تجربه‌گرها'!$F:$F,K$1)</f>
        <v>0</v>
      </c>
      <c r="L486" s="242">
        <f>COUNTIFS('تجربه‌گرها'!$B:$B,$A486,'تجربه‌گرها'!$F:$F,L$1)</f>
        <v>0</v>
      </c>
      <c r="M486" s="242">
        <f>COUNTIFS('تجربه‌گرها'!$B:$B,$A486,'تجربه‌گرها'!$F:$F,M$1)</f>
        <v>0</v>
      </c>
      <c r="N486" s="242">
        <f>COUNTIFS('تجربه‌گرها'!$B:$B,$A486,'تجربه‌گرها'!$F:$F,N$1)</f>
        <v>0</v>
      </c>
      <c r="O486" s="242">
        <f>COUNTIFS('تجربه‌گرها'!$B:$B,$A486,'تجربه‌گرها'!$F:$F,O$1)</f>
        <v>0</v>
      </c>
      <c r="P486" s="242">
        <f>COUNTIFS('تجربه‌گرها'!$B:$B,$A486,'تجربه‌گرها'!$F:$F,P$1)</f>
        <v>0</v>
      </c>
      <c r="Q486" s="242">
        <f>COUNTIFS('تجربه‌گرها'!$B:$B,$A486,'تجربه‌گرها'!$F:$F,Q$1)</f>
        <v>0</v>
      </c>
      <c r="R486" s="242">
        <f>COUNTIFS('تجربه‌گرها'!$B:$B,$A486,'تجربه‌گرها'!$F:$F,R$1)</f>
        <v>0</v>
      </c>
      <c r="S486" s="242">
        <f>COUNTIFS('تجربه‌گرها'!$B:$B,$A486,'تجربه‌گرها'!$F:$F,S$1)</f>
        <v>0</v>
      </c>
      <c r="T486" s="242">
        <f>COUNTIFS('تجربه‌گرها'!$B:$B,$A486,'تجربه‌گرها'!$F:$F,T$1)</f>
        <v>0</v>
      </c>
      <c r="U486" s="242"/>
      <c r="V486" s="242"/>
      <c r="W486" s="242"/>
      <c r="X486" s="242"/>
      <c r="Y486" s="242"/>
      <c r="Z486" s="242"/>
      <c r="AA486" s="242"/>
      <c r="AB486" s="242"/>
    </row>
    <row r="487" hidden="1">
      <c r="A487" s="244" t="s">
        <v>3279</v>
      </c>
      <c r="B487" s="245" t="str">
        <f>VLOOKUP(A487,'تجربه‌گرها'!B:C,2,FALSE())</f>
        <v>9126878330</v>
      </c>
      <c r="C487" s="242"/>
      <c r="D487" s="242">
        <f t="shared" si="1"/>
        <v>1</v>
      </c>
      <c r="E487" s="242">
        <f>COUNTIFS('تجربه‌گرها'!$B:$B,$A487,'تجربه‌گرها'!$F:$F,E$1)</f>
        <v>0</v>
      </c>
      <c r="F487" s="242">
        <f>COUNTIFS('تجربه‌گرها'!$B:$B,$A487,'تجربه‌گرها'!$F:$F,F$1)</f>
        <v>0</v>
      </c>
      <c r="G487" s="242">
        <f>COUNTIFS('تجربه‌گرها'!$B:$B,$A487,'تجربه‌گرها'!$F:$F,G$1)</f>
        <v>1</v>
      </c>
      <c r="H487" s="242">
        <f>COUNTIFS('تجربه‌گرها'!$B:$B,$A487,'تجربه‌گرها'!$F:$F,H$1)</f>
        <v>0</v>
      </c>
      <c r="I487" s="242">
        <f>COUNTIFS('تجربه‌گرها'!$B:$B,$A487,'تجربه‌گرها'!$F:$F,I$1)</f>
        <v>0</v>
      </c>
      <c r="J487" s="242">
        <f>COUNTIFS('تجربه‌گرها'!$B:$B,$A487,'تجربه‌گرها'!$F:$F,J$1)</f>
        <v>0</v>
      </c>
      <c r="K487" s="242">
        <f>COUNTIFS('تجربه‌گرها'!$B:$B,$A487,'تجربه‌گرها'!$F:$F,K$1)</f>
        <v>0</v>
      </c>
      <c r="L487" s="242">
        <f>COUNTIFS('تجربه‌گرها'!$B:$B,$A487,'تجربه‌گرها'!$F:$F,L$1)</f>
        <v>0</v>
      </c>
      <c r="M487" s="242">
        <f>COUNTIFS('تجربه‌گرها'!$B:$B,$A487,'تجربه‌گرها'!$F:$F,M$1)</f>
        <v>0</v>
      </c>
      <c r="N487" s="242">
        <f>COUNTIFS('تجربه‌گرها'!$B:$B,$A487,'تجربه‌گرها'!$F:$F,N$1)</f>
        <v>0</v>
      </c>
      <c r="O487" s="242">
        <f>COUNTIFS('تجربه‌گرها'!$B:$B,$A487,'تجربه‌گرها'!$F:$F,O$1)</f>
        <v>0</v>
      </c>
      <c r="P487" s="242">
        <f>COUNTIFS('تجربه‌گرها'!$B:$B,$A487,'تجربه‌گرها'!$F:$F,P$1)</f>
        <v>0</v>
      </c>
      <c r="Q487" s="242">
        <f>COUNTIFS('تجربه‌گرها'!$B:$B,$A487,'تجربه‌گرها'!$F:$F,Q$1)</f>
        <v>0</v>
      </c>
      <c r="R487" s="242">
        <f>COUNTIFS('تجربه‌گرها'!$B:$B,$A487,'تجربه‌گرها'!$F:$F,R$1)</f>
        <v>0</v>
      </c>
      <c r="S487" s="242">
        <f>COUNTIFS('تجربه‌گرها'!$B:$B,$A487,'تجربه‌گرها'!$F:$F,S$1)</f>
        <v>0</v>
      </c>
      <c r="T487" s="242">
        <f>COUNTIFS('تجربه‌گرها'!$B:$B,$A487,'تجربه‌گرها'!$F:$F,T$1)</f>
        <v>0</v>
      </c>
      <c r="U487" s="242"/>
      <c r="V487" s="242"/>
      <c r="W487" s="242"/>
      <c r="X487" s="242"/>
      <c r="Y487" s="242"/>
      <c r="Z487" s="242"/>
      <c r="AA487" s="242"/>
      <c r="AB487" s="242"/>
    </row>
    <row r="488" hidden="1">
      <c r="A488" s="244" t="s">
        <v>3284</v>
      </c>
      <c r="B488" s="245" t="str">
        <f>VLOOKUP(A488,'تجربه‌گرها'!B:C,2,FALSE())</f>
        <v>9124763609</v>
      </c>
      <c r="C488" s="242"/>
      <c r="D488" s="242">
        <f t="shared" si="1"/>
        <v>1</v>
      </c>
      <c r="E488" s="242">
        <f>COUNTIFS('تجربه‌گرها'!$B:$B,$A488,'تجربه‌گرها'!$F:$F,E$1)</f>
        <v>0</v>
      </c>
      <c r="F488" s="242">
        <f>COUNTIFS('تجربه‌گرها'!$B:$B,$A488,'تجربه‌گرها'!$F:$F,F$1)</f>
        <v>0</v>
      </c>
      <c r="G488" s="242">
        <f>COUNTIFS('تجربه‌گرها'!$B:$B,$A488,'تجربه‌گرها'!$F:$F,G$1)</f>
        <v>1</v>
      </c>
      <c r="H488" s="242">
        <f>COUNTIFS('تجربه‌گرها'!$B:$B,$A488,'تجربه‌گرها'!$F:$F,H$1)</f>
        <v>0</v>
      </c>
      <c r="I488" s="242">
        <f>COUNTIFS('تجربه‌گرها'!$B:$B,$A488,'تجربه‌گرها'!$F:$F,I$1)</f>
        <v>0</v>
      </c>
      <c r="J488" s="242">
        <f>COUNTIFS('تجربه‌گرها'!$B:$B,$A488,'تجربه‌گرها'!$F:$F,J$1)</f>
        <v>0</v>
      </c>
      <c r="K488" s="242">
        <f>COUNTIFS('تجربه‌گرها'!$B:$B,$A488,'تجربه‌گرها'!$F:$F,K$1)</f>
        <v>0</v>
      </c>
      <c r="L488" s="242">
        <f>COUNTIFS('تجربه‌گرها'!$B:$B,$A488,'تجربه‌گرها'!$F:$F,L$1)</f>
        <v>0</v>
      </c>
      <c r="M488" s="242">
        <f>COUNTIFS('تجربه‌گرها'!$B:$B,$A488,'تجربه‌گرها'!$F:$F,M$1)</f>
        <v>0</v>
      </c>
      <c r="N488" s="242">
        <f>COUNTIFS('تجربه‌گرها'!$B:$B,$A488,'تجربه‌گرها'!$F:$F,N$1)</f>
        <v>0</v>
      </c>
      <c r="O488" s="242">
        <f>COUNTIFS('تجربه‌گرها'!$B:$B,$A488,'تجربه‌گرها'!$F:$F,O$1)</f>
        <v>0</v>
      </c>
      <c r="P488" s="242">
        <f>COUNTIFS('تجربه‌گرها'!$B:$B,$A488,'تجربه‌گرها'!$F:$F,P$1)</f>
        <v>0</v>
      </c>
      <c r="Q488" s="242">
        <f>COUNTIFS('تجربه‌گرها'!$B:$B,$A488,'تجربه‌گرها'!$F:$F,Q$1)</f>
        <v>0</v>
      </c>
      <c r="R488" s="242">
        <f>COUNTIFS('تجربه‌گرها'!$B:$B,$A488,'تجربه‌گرها'!$F:$F,R$1)</f>
        <v>0</v>
      </c>
      <c r="S488" s="242">
        <f>COUNTIFS('تجربه‌گرها'!$B:$B,$A488,'تجربه‌گرها'!$F:$F,S$1)</f>
        <v>0</v>
      </c>
      <c r="T488" s="242">
        <f>COUNTIFS('تجربه‌گرها'!$B:$B,$A488,'تجربه‌گرها'!$F:$F,T$1)</f>
        <v>0</v>
      </c>
      <c r="U488" s="242"/>
      <c r="V488" s="242"/>
      <c r="W488" s="242"/>
      <c r="X488" s="242"/>
      <c r="Y488" s="242"/>
      <c r="Z488" s="242"/>
      <c r="AA488" s="242"/>
      <c r="AB488" s="242"/>
    </row>
    <row r="489" hidden="1">
      <c r="A489" s="244" t="s">
        <v>3289</v>
      </c>
      <c r="B489" s="245" t="str">
        <f>VLOOKUP(A489,'تجربه‌گرها'!B:C,2,FALSE())</f>
        <v>9122051783</v>
      </c>
      <c r="C489" s="242"/>
      <c r="D489" s="242">
        <f t="shared" si="1"/>
        <v>1</v>
      </c>
      <c r="E489" s="242">
        <f>COUNTIFS('تجربه‌گرها'!$B:$B,$A489,'تجربه‌گرها'!$F:$F,E$1)</f>
        <v>0</v>
      </c>
      <c r="F489" s="242">
        <f>COUNTIFS('تجربه‌گرها'!$B:$B,$A489,'تجربه‌گرها'!$F:$F,F$1)</f>
        <v>0</v>
      </c>
      <c r="G489" s="242">
        <f>COUNTIFS('تجربه‌گرها'!$B:$B,$A489,'تجربه‌گرها'!$F:$F,G$1)</f>
        <v>1</v>
      </c>
      <c r="H489" s="242">
        <f>COUNTIFS('تجربه‌گرها'!$B:$B,$A489,'تجربه‌گرها'!$F:$F,H$1)</f>
        <v>0</v>
      </c>
      <c r="I489" s="242">
        <f>COUNTIFS('تجربه‌گرها'!$B:$B,$A489,'تجربه‌گرها'!$F:$F,I$1)</f>
        <v>0</v>
      </c>
      <c r="J489" s="242">
        <f>COUNTIFS('تجربه‌گرها'!$B:$B,$A489,'تجربه‌گرها'!$F:$F,J$1)</f>
        <v>0</v>
      </c>
      <c r="K489" s="242">
        <f>COUNTIFS('تجربه‌گرها'!$B:$B,$A489,'تجربه‌گرها'!$F:$F,K$1)</f>
        <v>0</v>
      </c>
      <c r="L489" s="242">
        <f>COUNTIFS('تجربه‌گرها'!$B:$B,$A489,'تجربه‌گرها'!$F:$F,L$1)</f>
        <v>0</v>
      </c>
      <c r="M489" s="242">
        <f>COUNTIFS('تجربه‌گرها'!$B:$B,$A489,'تجربه‌گرها'!$F:$F,M$1)</f>
        <v>0</v>
      </c>
      <c r="N489" s="242">
        <f>COUNTIFS('تجربه‌گرها'!$B:$B,$A489,'تجربه‌گرها'!$F:$F,N$1)</f>
        <v>0</v>
      </c>
      <c r="O489" s="242">
        <f>COUNTIFS('تجربه‌گرها'!$B:$B,$A489,'تجربه‌گرها'!$F:$F,O$1)</f>
        <v>0</v>
      </c>
      <c r="P489" s="242">
        <f>COUNTIFS('تجربه‌گرها'!$B:$B,$A489,'تجربه‌گرها'!$F:$F,P$1)</f>
        <v>0</v>
      </c>
      <c r="Q489" s="242">
        <f>COUNTIFS('تجربه‌گرها'!$B:$B,$A489,'تجربه‌گرها'!$F:$F,Q$1)</f>
        <v>0</v>
      </c>
      <c r="R489" s="242">
        <f>COUNTIFS('تجربه‌گرها'!$B:$B,$A489,'تجربه‌گرها'!$F:$F,R$1)</f>
        <v>0</v>
      </c>
      <c r="S489" s="242">
        <f>COUNTIFS('تجربه‌گرها'!$B:$B,$A489,'تجربه‌گرها'!$F:$F,S$1)</f>
        <v>0</v>
      </c>
      <c r="T489" s="242">
        <f>COUNTIFS('تجربه‌گرها'!$B:$B,$A489,'تجربه‌گرها'!$F:$F,T$1)</f>
        <v>0</v>
      </c>
      <c r="U489" s="242"/>
      <c r="V489" s="242"/>
      <c r="W489" s="242"/>
      <c r="X489" s="242"/>
      <c r="Y489" s="242"/>
      <c r="Z489" s="242"/>
      <c r="AA489" s="242"/>
      <c r="AB489" s="242"/>
    </row>
    <row r="490" hidden="1">
      <c r="A490" s="244" t="s">
        <v>3293</v>
      </c>
      <c r="B490" s="245" t="str">
        <f>VLOOKUP(A490,'تجربه‌گرها'!B:C,2,FALSE())</f>
        <v>9124376757</v>
      </c>
      <c r="C490" s="242"/>
      <c r="D490" s="242">
        <f t="shared" si="1"/>
        <v>1</v>
      </c>
      <c r="E490" s="242">
        <f>COUNTIFS('تجربه‌گرها'!$B:$B,$A490,'تجربه‌گرها'!$F:$F,E$1)</f>
        <v>0</v>
      </c>
      <c r="F490" s="242">
        <f>COUNTIFS('تجربه‌گرها'!$B:$B,$A490,'تجربه‌گرها'!$F:$F,F$1)</f>
        <v>0</v>
      </c>
      <c r="G490" s="242">
        <f>COUNTIFS('تجربه‌گرها'!$B:$B,$A490,'تجربه‌گرها'!$F:$F,G$1)</f>
        <v>1</v>
      </c>
      <c r="H490" s="242">
        <f>COUNTIFS('تجربه‌گرها'!$B:$B,$A490,'تجربه‌گرها'!$F:$F,H$1)</f>
        <v>0</v>
      </c>
      <c r="I490" s="242">
        <f>COUNTIFS('تجربه‌گرها'!$B:$B,$A490,'تجربه‌گرها'!$F:$F,I$1)</f>
        <v>0</v>
      </c>
      <c r="J490" s="242">
        <f>COUNTIFS('تجربه‌گرها'!$B:$B,$A490,'تجربه‌گرها'!$F:$F,J$1)</f>
        <v>0</v>
      </c>
      <c r="K490" s="242">
        <f>COUNTIFS('تجربه‌گرها'!$B:$B,$A490,'تجربه‌گرها'!$F:$F,K$1)</f>
        <v>0</v>
      </c>
      <c r="L490" s="242">
        <f>COUNTIFS('تجربه‌گرها'!$B:$B,$A490,'تجربه‌گرها'!$F:$F,L$1)</f>
        <v>0</v>
      </c>
      <c r="M490" s="242">
        <f>COUNTIFS('تجربه‌گرها'!$B:$B,$A490,'تجربه‌گرها'!$F:$F,M$1)</f>
        <v>0</v>
      </c>
      <c r="N490" s="242">
        <f>COUNTIFS('تجربه‌گرها'!$B:$B,$A490,'تجربه‌گرها'!$F:$F,N$1)</f>
        <v>0</v>
      </c>
      <c r="O490" s="242">
        <f>COUNTIFS('تجربه‌گرها'!$B:$B,$A490,'تجربه‌گرها'!$F:$F,O$1)</f>
        <v>0</v>
      </c>
      <c r="P490" s="242">
        <f>COUNTIFS('تجربه‌گرها'!$B:$B,$A490,'تجربه‌گرها'!$F:$F,P$1)</f>
        <v>0</v>
      </c>
      <c r="Q490" s="242">
        <f>COUNTIFS('تجربه‌گرها'!$B:$B,$A490,'تجربه‌گرها'!$F:$F,Q$1)</f>
        <v>0</v>
      </c>
      <c r="R490" s="242">
        <f>COUNTIFS('تجربه‌گرها'!$B:$B,$A490,'تجربه‌گرها'!$F:$F,R$1)</f>
        <v>0</v>
      </c>
      <c r="S490" s="242">
        <f>COUNTIFS('تجربه‌گرها'!$B:$B,$A490,'تجربه‌گرها'!$F:$F,S$1)</f>
        <v>0</v>
      </c>
      <c r="T490" s="242">
        <f>COUNTIFS('تجربه‌گرها'!$B:$B,$A490,'تجربه‌گرها'!$F:$F,T$1)</f>
        <v>0</v>
      </c>
      <c r="U490" s="242"/>
      <c r="V490" s="242"/>
      <c r="W490" s="242"/>
      <c r="X490" s="242"/>
      <c r="Y490" s="242"/>
      <c r="Z490" s="242"/>
      <c r="AA490" s="242"/>
      <c r="AB490" s="242"/>
    </row>
    <row r="491" hidden="1">
      <c r="A491" s="244" t="s">
        <v>3298</v>
      </c>
      <c r="B491" s="245" t="str">
        <f>VLOOKUP(A491,'تجربه‌گرها'!B:C,2,FALSE())</f>
        <v>9125997136</v>
      </c>
      <c r="C491" s="242"/>
      <c r="D491" s="242">
        <f t="shared" si="1"/>
        <v>1</v>
      </c>
      <c r="E491" s="242">
        <f>COUNTIFS('تجربه‌گرها'!$B:$B,$A491,'تجربه‌گرها'!$F:$F,E$1)</f>
        <v>0</v>
      </c>
      <c r="F491" s="242">
        <f>COUNTIFS('تجربه‌گرها'!$B:$B,$A491,'تجربه‌گرها'!$F:$F,F$1)</f>
        <v>0</v>
      </c>
      <c r="G491" s="242">
        <f>COUNTIFS('تجربه‌گرها'!$B:$B,$A491,'تجربه‌گرها'!$F:$F,G$1)</f>
        <v>1</v>
      </c>
      <c r="H491" s="242">
        <f>COUNTIFS('تجربه‌گرها'!$B:$B,$A491,'تجربه‌گرها'!$F:$F,H$1)</f>
        <v>0</v>
      </c>
      <c r="I491" s="242">
        <f>COUNTIFS('تجربه‌گرها'!$B:$B,$A491,'تجربه‌گرها'!$F:$F,I$1)</f>
        <v>0</v>
      </c>
      <c r="J491" s="242">
        <f>COUNTIFS('تجربه‌گرها'!$B:$B,$A491,'تجربه‌گرها'!$F:$F,J$1)</f>
        <v>0</v>
      </c>
      <c r="K491" s="242">
        <f>COUNTIFS('تجربه‌گرها'!$B:$B,$A491,'تجربه‌گرها'!$F:$F,K$1)</f>
        <v>0</v>
      </c>
      <c r="L491" s="242">
        <f>COUNTIFS('تجربه‌گرها'!$B:$B,$A491,'تجربه‌گرها'!$F:$F,L$1)</f>
        <v>0</v>
      </c>
      <c r="M491" s="242">
        <f>COUNTIFS('تجربه‌گرها'!$B:$B,$A491,'تجربه‌گرها'!$F:$F,M$1)</f>
        <v>0</v>
      </c>
      <c r="N491" s="242">
        <f>COUNTIFS('تجربه‌گرها'!$B:$B,$A491,'تجربه‌گرها'!$F:$F,N$1)</f>
        <v>0</v>
      </c>
      <c r="O491" s="242">
        <f>COUNTIFS('تجربه‌گرها'!$B:$B,$A491,'تجربه‌گرها'!$F:$F,O$1)</f>
        <v>0</v>
      </c>
      <c r="P491" s="242">
        <f>COUNTIFS('تجربه‌گرها'!$B:$B,$A491,'تجربه‌گرها'!$F:$F,P$1)</f>
        <v>0</v>
      </c>
      <c r="Q491" s="242">
        <f>COUNTIFS('تجربه‌گرها'!$B:$B,$A491,'تجربه‌گرها'!$F:$F,Q$1)</f>
        <v>0</v>
      </c>
      <c r="R491" s="242">
        <f>COUNTIFS('تجربه‌گرها'!$B:$B,$A491,'تجربه‌گرها'!$F:$F,R$1)</f>
        <v>0</v>
      </c>
      <c r="S491" s="242">
        <f>COUNTIFS('تجربه‌گرها'!$B:$B,$A491,'تجربه‌گرها'!$F:$F,S$1)</f>
        <v>0</v>
      </c>
      <c r="T491" s="242">
        <f>COUNTIFS('تجربه‌گرها'!$B:$B,$A491,'تجربه‌گرها'!$F:$F,T$1)</f>
        <v>0</v>
      </c>
      <c r="U491" s="242"/>
      <c r="V491" s="242"/>
      <c r="W491" s="242"/>
      <c r="X491" s="242"/>
      <c r="Y491" s="242"/>
      <c r="Z491" s="242"/>
      <c r="AA491" s="242"/>
      <c r="AB491" s="242"/>
    </row>
    <row r="492" hidden="1">
      <c r="A492" s="244" t="s">
        <v>3303</v>
      </c>
      <c r="B492" s="245" t="str">
        <f>VLOOKUP(A492,'تجربه‌گرها'!B:C,2,FALSE())</f>
        <v>9125501775</v>
      </c>
      <c r="C492" s="242"/>
      <c r="D492" s="242">
        <f t="shared" si="1"/>
        <v>1</v>
      </c>
      <c r="E492" s="242">
        <f>COUNTIFS('تجربه‌گرها'!$B:$B,$A492,'تجربه‌گرها'!$F:$F,E$1)</f>
        <v>0</v>
      </c>
      <c r="F492" s="242">
        <f>COUNTIFS('تجربه‌گرها'!$B:$B,$A492,'تجربه‌گرها'!$F:$F,F$1)</f>
        <v>0</v>
      </c>
      <c r="G492" s="242">
        <f>COUNTIFS('تجربه‌گرها'!$B:$B,$A492,'تجربه‌گرها'!$F:$F,G$1)</f>
        <v>1</v>
      </c>
      <c r="H492" s="242">
        <f>COUNTIFS('تجربه‌گرها'!$B:$B,$A492,'تجربه‌گرها'!$F:$F,H$1)</f>
        <v>0</v>
      </c>
      <c r="I492" s="242">
        <f>COUNTIFS('تجربه‌گرها'!$B:$B,$A492,'تجربه‌گرها'!$F:$F,I$1)</f>
        <v>0</v>
      </c>
      <c r="J492" s="242">
        <f>COUNTIFS('تجربه‌گرها'!$B:$B,$A492,'تجربه‌گرها'!$F:$F,J$1)</f>
        <v>0</v>
      </c>
      <c r="K492" s="242">
        <f>COUNTIFS('تجربه‌گرها'!$B:$B,$A492,'تجربه‌گرها'!$F:$F,K$1)</f>
        <v>0</v>
      </c>
      <c r="L492" s="242">
        <f>COUNTIFS('تجربه‌گرها'!$B:$B,$A492,'تجربه‌گرها'!$F:$F,L$1)</f>
        <v>0</v>
      </c>
      <c r="M492" s="242">
        <f>COUNTIFS('تجربه‌گرها'!$B:$B,$A492,'تجربه‌گرها'!$F:$F,M$1)</f>
        <v>0</v>
      </c>
      <c r="N492" s="242">
        <f>COUNTIFS('تجربه‌گرها'!$B:$B,$A492,'تجربه‌گرها'!$F:$F,N$1)</f>
        <v>0</v>
      </c>
      <c r="O492" s="242">
        <f>COUNTIFS('تجربه‌گرها'!$B:$B,$A492,'تجربه‌گرها'!$F:$F,O$1)</f>
        <v>0</v>
      </c>
      <c r="P492" s="242">
        <f>COUNTIFS('تجربه‌گرها'!$B:$B,$A492,'تجربه‌گرها'!$F:$F,P$1)</f>
        <v>0</v>
      </c>
      <c r="Q492" s="242">
        <f>COUNTIFS('تجربه‌گرها'!$B:$B,$A492,'تجربه‌گرها'!$F:$F,Q$1)</f>
        <v>0</v>
      </c>
      <c r="R492" s="242">
        <f>COUNTIFS('تجربه‌گرها'!$B:$B,$A492,'تجربه‌گرها'!$F:$F,R$1)</f>
        <v>0</v>
      </c>
      <c r="S492" s="242">
        <f>COUNTIFS('تجربه‌گرها'!$B:$B,$A492,'تجربه‌گرها'!$F:$F,S$1)</f>
        <v>0</v>
      </c>
      <c r="T492" s="242">
        <f>COUNTIFS('تجربه‌گرها'!$B:$B,$A492,'تجربه‌گرها'!$F:$F,T$1)</f>
        <v>0</v>
      </c>
      <c r="U492" s="242"/>
      <c r="V492" s="242"/>
      <c r="W492" s="242"/>
      <c r="X492" s="242"/>
      <c r="Y492" s="242"/>
      <c r="Z492" s="242"/>
      <c r="AA492" s="242"/>
      <c r="AB492" s="242"/>
    </row>
    <row r="493" hidden="1">
      <c r="A493" s="244" t="s">
        <v>3308</v>
      </c>
      <c r="B493" s="245" t="str">
        <f>VLOOKUP(A493,'تجربه‌گرها'!B:C,2,FALSE())</f>
        <v>9126227446</v>
      </c>
      <c r="C493" s="242"/>
      <c r="D493" s="242">
        <f t="shared" si="1"/>
        <v>1</v>
      </c>
      <c r="E493" s="242">
        <f>COUNTIFS('تجربه‌گرها'!$B:$B,$A493,'تجربه‌گرها'!$F:$F,E$1)</f>
        <v>0</v>
      </c>
      <c r="F493" s="242">
        <f>COUNTIFS('تجربه‌گرها'!$B:$B,$A493,'تجربه‌گرها'!$F:$F,F$1)</f>
        <v>0</v>
      </c>
      <c r="G493" s="242">
        <f>COUNTIFS('تجربه‌گرها'!$B:$B,$A493,'تجربه‌گرها'!$F:$F,G$1)</f>
        <v>1</v>
      </c>
      <c r="H493" s="242">
        <f>COUNTIFS('تجربه‌گرها'!$B:$B,$A493,'تجربه‌گرها'!$F:$F,H$1)</f>
        <v>0</v>
      </c>
      <c r="I493" s="242">
        <f>COUNTIFS('تجربه‌گرها'!$B:$B,$A493,'تجربه‌گرها'!$F:$F,I$1)</f>
        <v>0</v>
      </c>
      <c r="J493" s="242">
        <f>COUNTIFS('تجربه‌گرها'!$B:$B,$A493,'تجربه‌گرها'!$F:$F,J$1)</f>
        <v>0</v>
      </c>
      <c r="K493" s="242">
        <f>COUNTIFS('تجربه‌گرها'!$B:$B,$A493,'تجربه‌گرها'!$F:$F,K$1)</f>
        <v>0</v>
      </c>
      <c r="L493" s="242">
        <f>COUNTIFS('تجربه‌گرها'!$B:$B,$A493,'تجربه‌گرها'!$F:$F,L$1)</f>
        <v>0</v>
      </c>
      <c r="M493" s="242">
        <f>COUNTIFS('تجربه‌گرها'!$B:$B,$A493,'تجربه‌گرها'!$F:$F,M$1)</f>
        <v>0</v>
      </c>
      <c r="N493" s="242">
        <f>COUNTIFS('تجربه‌گرها'!$B:$B,$A493,'تجربه‌گرها'!$F:$F,N$1)</f>
        <v>0</v>
      </c>
      <c r="O493" s="242">
        <f>COUNTIFS('تجربه‌گرها'!$B:$B,$A493,'تجربه‌گرها'!$F:$F,O$1)</f>
        <v>0</v>
      </c>
      <c r="P493" s="242">
        <f>COUNTIFS('تجربه‌گرها'!$B:$B,$A493,'تجربه‌گرها'!$F:$F,P$1)</f>
        <v>0</v>
      </c>
      <c r="Q493" s="242">
        <f>COUNTIFS('تجربه‌گرها'!$B:$B,$A493,'تجربه‌گرها'!$F:$F,Q$1)</f>
        <v>0</v>
      </c>
      <c r="R493" s="242">
        <f>COUNTIFS('تجربه‌گرها'!$B:$B,$A493,'تجربه‌گرها'!$F:$F,R$1)</f>
        <v>0</v>
      </c>
      <c r="S493" s="242">
        <f>COUNTIFS('تجربه‌گرها'!$B:$B,$A493,'تجربه‌گرها'!$F:$F,S$1)</f>
        <v>0</v>
      </c>
      <c r="T493" s="242">
        <f>COUNTIFS('تجربه‌گرها'!$B:$B,$A493,'تجربه‌گرها'!$F:$F,T$1)</f>
        <v>0</v>
      </c>
      <c r="U493" s="242"/>
      <c r="V493" s="242"/>
      <c r="W493" s="242"/>
      <c r="X493" s="242"/>
      <c r="Y493" s="242"/>
      <c r="Z493" s="242"/>
      <c r="AA493" s="242"/>
      <c r="AB493" s="242"/>
    </row>
    <row r="494" hidden="1">
      <c r="A494" s="244" t="s">
        <v>3315</v>
      </c>
      <c r="B494" s="245" t="str">
        <f>VLOOKUP(A494,'تجربه‌گرها'!B:C,2,FALSE())</f>
        <v>9134515027</v>
      </c>
      <c r="C494" s="242"/>
      <c r="D494" s="242">
        <f t="shared" si="1"/>
        <v>1</v>
      </c>
      <c r="E494" s="242">
        <f>COUNTIFS('تجربه‌گرها'!$B:$B,$A494,'تجربه‌گرها'!$F:$F,E$1)</f>
        <v>0</v>
      </c>
      <c r="F494" s="242">
        <f>COUNTIFS('تجربه‌گرها'!$B:$B,$A494,'تجربه‌گرها'!$F:$F,F$1)</f>
        <v>0</v>
      </c>
      <c r="G494" s="242">
        <f>COUNTIFS('تجربه‌گرها'!$B:$B,$A494,'تجربه‌گرها'!$F:$F,G$1)</f>
        <v>1</v>
      </c>
      <c r="H494" s="242">
        <f>COUNTIFS('تجربه‌گرها'!$B:$B,$A494,'تجربه‌گرها'!$F:$F,H$1)</f>
        <v>0</v>
      </c>
      <c r="I494" s="242">
        <f>COUNTIFS('تجربه‌گرها'!$B:$B,$A494,'تجربه‌گرها'!$F:$F,I$1)</f>
        <v>0</v>
      </c>
      <c r="J494" s="242">
        <f>COUNTIFS('تجربه‌گرها'!$B:$B,$A494,'تجربه‌گرها'!$F:$F,J$1)</f>
        <v>0</v>
      </c>
      <c r="K494" s="242">
        <f>COUNTIFS('تجربه‌گرها'!$B:$B,$A494,'تجربه‌گرها'!$F:$F,K$1)</f>
        <v>0</v>
      </c>
      <c r="L494" s="242">
        <f>COUNTIFS('تجربه‌گرها'!$B:$B,$A494,'تجربه‌گرها'!$F:$F,L$1)</f>
        <v>0</v>
      </c>
      <c r="M494" s="242">
        <f>COUNTIFS('تجربه‌گرها'!$B:$B,$A494,'تجربه‌گرها'!$F:$F,M$1)</f>
        <v>0</v>
      </c>
      <c r="N494" s="242">
        <f>COUNTIFS('تجربه‌گرها'!$B:$B,$A494,'تجربه‌گرها'!$F:$F,N$1)</f>
        <v>0</v>
      </c>
      <c r="O494" s="242">
        <f>COUNTIFS('تجربه‌گرها'!$B:$B,$A494,'تجربه‌گرها'!$F:$F,O$1)</f>
        <v>0</v>
      </c>
      <c r="P494" s="242">
        <f>COUNTIFS('تجربه‌گرها'!$B:$B,$A494,'تجربه‌گرها'!$F:$F,P$1)</f>
        <v>0</v>
      </c>
      <c r="Q494" s="242">
        <f>COUNTIFS('تجربه‌گرها'!$B:$B,$A494,'تجربه‌گرها'!$F:$F,Q$1)</f>
        <v>0</v>
      </c>
      <c r="R494" s="242">
        <f>COUNTIFS('تجربه‌گرها'!$B:$B,$A494,'تجربه‌گرها'!$F:$F,R$1)</f>
        <v>0</v>
      </c>
      <c r="S494" s="242">
        <f>COUNTIFS('تجربه‌گرها'!$B:$B,$A494,'تجربه‌گرها'!$F:$F,S$1)</f>
        <v>0</v>
      </c>
      <c r="T494" s="242">
        <f>COUNTIFS('تجربه‌گرها'!$B:$B,$A494,'تجربه‌گرها'!$F:$F,T$1)</f>
        <v>0</v>
      </c>
      <c r="U494" s="242"/>
      <c r="V494" s="242"/>
      <c r="W494" s="242"/>
      <c r="X494" s="242"/>
      <c r="Y494" s="242"/>
      <c r="Z494" s="242"/>
      <c r="AA494" s="242"/>
      <c r="AB494" s="242"/>
    </row>
    <row r="495" hidden="1">
      <c r="A495" s="244" t="s">
        <v>3322</v>
      </c>
      <c r="B495" s="245" t="str">
        <f>VLOOKUP(A495,'تجربه‌گرها'!B:C,2,FALSE())</f>
        <v>9361487270</v>
      </c>
      <c r="C495" s="242"/>
      <c r="D495" s="242">
        <f t="shared" si="1"/>
        <v>2</v>
      </c>
      <c r="E495" s="242">
        <f>COUNTIFS('تجربه‌گرها'!$B:$B,$A495,'تجربه‌گرها'!$F:$F,E$1)</f>
        <v>0</v>
      </c>
      <c r="F495" s="242">
        <f>COUNTIFS('تجربه‌گرها'!$B:$B,$A495,'تجربه‌گرها'!$F:$F,F$1)</f>
        <v>0</v>
      </c>
      <c r="G495" s="242">
        <f>COUNTIFS('تجربه‌گرها'!$B:$B,$A495,'تجربه‌گرها'!$F:$F,G$1)</f>
        <v>1</v>
      </c>
      <c r="H495" s="242">
        <f>COUNTIFS('تجربه‌گرها'!$B:$B,$A495,'تجربه‌گرها'!$F:$F,H$1)</f>
        <v>0</v>
      </c>
      <c r="I495" s="242">
        <f>COUNTIFS('تجربه‌گرها'!$B:$B,$A495,'تجربه‌گرها'!$F:$F,I$1)</f>
        <v>1</v>
      </c>
      <c r="J495" s="242">
        <f>COUNTIFS('تجربه‌گرها'!$B:$B,$A495,'تجربه‌گرها'!$F:$F,J$1)</f>
        <v>0</v>
      </c>
      <c r="K495" s="242">
        <f>COUNTIFS('تجربه‌گرها'!$B:$B,$A495,'تجربه‌گرها'!$F:$F,K$1)</f>
        <v>0</v>
      </c>
      <c r="L495" s="242">
        <f>COUNTIFS('تجربه‌گرها'!$B:$B,$A495,'تجربه‌گرها'!$F:$F,L$1)</f>
        <v>0</v>
      </c>
      <c r="M495" s="242">
        <f>COUNTIFS('تجربه‌گرها'!$B:$B,$A495,'تجربه‌گرها'!$F:$F,M$1)</f>
        <v>0</v>
      </c>
      <c r="N495" s="242">
        <f>COUNTIFS('تجربه‌گرها'!$B:$B,$A495,'تجربه‌گرها'!$F:$F,N$1)</f>
        <v>0</v>
      </c>
      <c r="O495" s="242">
        <f>COUNTIFS('تجربه‌گرها'!$B:$B,$A495,'تجربه‌گرها'!$F:$F,O$1)</f>
        <v>0</v>
      </c>
      <c r="P495" s="242">
        <f>COUNTIFS('تجربه‌گرها'!$B:$B,$A495,'تجربه‌گرها'!$F:$F,P$1)</f>
        <v>0</v>
      </c>
      <c r="Q495" s="242">
        <f>COUNTIFS('تجربه‌گرها'!$B:$B,$A495,'تجربه‌گرها'!$F:$F,Q$1)</f>
        <v>0</v>
      </c>
      <c r="R495" s="242">
        <f>COUNTIFS('تجربه‌گرها'!$B:$B,$A495,'تجربه‌گرها'!$F:$F,R$1)</f>
        <v>0</v>
      </c>
      <c r="S495" s="242">
        <f>COUNTIFS('تجربه‌گرها'!$B:$B,$A495,'تجربه‌گرها'!$F:$F,S$1)</f>
        <v>0</v>
      </c>
      <c r="T495" s="242">
        <f>COUNTIFS('تجربه‌گرها'!$B:$B,$A495,'تجربه‌گرها'!$F:$F,T$1)</f>
        <v>0</v>
      </c>
      <c r="U495" s="242"/>
      <c r="V495" s="242"/>
      <c r="W495" s="242"/>
      <c r="X495" s="242"/>
      <c r="Y495" s="242"/>
      <c r="Z495" s="242"/>
      <c r="AA495" s="242"/>
      <c r="AB495" s="242"/>
    </row>
    <row r="496" hidden="1">
      <c r="A496" s="244" t="s">
        <v>3327</v>
      </c>
      <c r="B496" s="245" t="str">
        <f>VLOOKUP(A496,'تجربه‌گرها'!B:C,2,FALSE())</f>
        <v>9127778613</v>
      </c>
      <c r="C496" s="242"/>
      <c r="D496" s="242">
        <f t="shared" si="1"/>
        <v>1</v>
      </c>
      <c r="E496" s="242">
        <f>COUNTIFS('تجربه‌گرها'!$B:$B,$A496,'تجربه‌گرها'!$F:$F,E$1)</f>
        <v>0</v>
      </c>
      <c r="F496" s="242">
        <f>COUNTIFS('تجربه‌گرها'!$B:$B,$A496,'تجربه‌گرها'!$F:$F,F$1)</f>
        <v>0</v>
      </c>
      <c r="G496" s="242">
        <f>COUNTIFS('تجربه‌گرها'!$B:$B,$A496,'تجربه‌گرها'!$F:$F,G$1)</f>
        <v>1</v>
      </c>
      <c r="H496" s="242">
        <f>COUNTIFS('تجربه‌گرها'!$B:$B,$A496,'تجربه‌گرها'!$F:$F,H$1)</f>
        <v>0</v>
      </c>
      <c r="I496" s="242">
        <f>COUNTIFS('تجربه‌گرها'!$B:$B,$A496,'تجربه‌گرها'!$F:$F,I$1)</f>
        <v>0</v>
      </c>
      <c r="J496" s="242">
        <f>COUNTIFS('تجربه‌گرها'!$B:$B,$A496,'تجربه‌گرها'!$F:$F,J$1)</f>
        <v>0</v>
      </c>
      <c r="K496" s="242">
        <f>COUNTIFS('تجربه‌گرها'!$B:$B,$A496,'تجربه‌گرها'!$F:$F,K$1)</f>
        <v>0</v>
      </c>
      <c r="L496" s="242">
        <f>COUNTIFS('تجربه‌گرها'!$B:$B,$A496,'تجربه‌گرها'!$F:$F,L$1)</f>
        <v>0</v>
      </c>
      <c r="M496" s="242">
        <f>COUNTIFS('تجربه‌گرها'!$B:$B,$A496,'تجربه‌گرها'!$F:$F,M$1)</f>
        <v>0</v>
      </c>
      <c r="N496" s="242">
        <f>COUNTIFS('تجربه‌گرها'!$B:$B,$A496,'تجربه‌گرها'!$F:$F,N$1)</f>
        <v>0</v>
      </c>
      <c r="O496" s="242">
        <f>COUNTIFS('تجربه‌گرها'!$B:$B,$A496,'تجربه‌گرها'!$F:$F,O$1)</f>
        <v>0</v>
      </c>
      <c r="P496" s="242">
        <f>COUNTIFS('تجربه‌گرها'!$B:$B,$A496,'تجربه‌گرها'!$F:$F,P$1)</f>
        <v>0</v>
      </c>
      <c r="Q496" s="242">
        <f>COUNTIFS('تجربه‌گرها'!$B:$B,$A496,'تجربه‌گرها'!$F:$F,Q$1)</f>
        <v>0</v>
      </c>
      <c r="R496" s="242">
        <f>COUNTIFS('تجربه‌گرها'!$B:$B,$A496,'تجربه‌گرها'!$F:$F,R$1)</f>
        <v>0</v>
      </c>
      <c r="S496" s="242">
        <f>COUNTIFS('تجربه‌گرها'!$B:$B,$A496,'تجربه‌گرها'!$F:$F,S$1)</f>
        <v>0</v>
      </c>
      <c r="T496" s="242">
        <f>COUNTIFS('تجربه‌گرها'!$B:$B,$A496,'تجربه‌گرها'!$F:$F,T$1)</f>
        <v>0</v>
      </c>
      <c r="U496" s="242"/>
      <c r="V496" s="242"/>
      <c r="W496" s="242"/>
      <c r="X496" s="242"/>
      <c r="Y496" s="242"/>
      <c r="Z496" s="242"/>
      <c r="AA496" s="242"/>
      <c r="AB496" s="242"/>
    </row>
    <row r="497" hidden="1">
      <c r="A497" s="244" t="s">
        <v>3332</v>
      </c>
      <c r="B497" s="245" t="str">
        <f>VLOOKUP(A497,'تجربه‌گرها'!B:C,2,FALSE())</f>
        <v>9158708848</v>
      </c>
      <c r="C497" s="242"/>
      <c r="D497" s="242">
        <f t="shared" si="1"/>
        <v>1</v>
      </c>
      <c r="E497" s="242">
        <f>COUNTIFS('تجربه‌گرها'!$B:$B,$A497,'تجربه‌گرها'!$F:$F,E$1)</f>
        <v>0</v>
      </c>
      <c r="F497" s="242">
        <f>COUNTIFS('تجربه‌گرها'!$B:$B,$A497,'تجربه‌گرها'!$F:$F,F$1)</f>
        <v>0</v>
      </c>
      <c r="G497" s="242">
        <f>COUNTIFS('تجربه‌گرها'!$B:$B,$A497,'تجربه‌گرها'!$F:$F,G$1)</f>
        <v>1</v>
      </c>
      <c r="H497" s="242">
        <f>COUNTIFS('تجربه‌گرها'!$B:$B,$A497,'تجربه‌گرها'!$F:$F,H$1)</f>
        <v>0</v>
      </c>
      <c r="I497" s="242">
        <f>COUNTIFS('تجربه‌گرها'!$B:$B,$A497,'تجربه‌گرها'!$F:$F,I$1)</f>
        <v>0</v>
      </c>
      <c r="J497" s="242">
        <f>COUNTIFS('تجربه‌گرها'!$B:$B,$A497,'تجربه‌گرها'!$F:$F,J$1)</f>
        <v>0</v>
      </c>
      <c r="K497" s="242">
        <f>COUNTIFS('تجربه‌گرها'!$B:$B,$A497,'تجربه‌گرها'!$F:$F,K$1)</f>
        <v>0</v>
      </c>
      <c r="L497" s="242">
        <f>COUNTIFS('تجربه‌گرها'!$B:$B,$A497,'تجربه‌گرها'!$F:$F,L$1)</f>
        <v>0</v>
      </c>
      <c r="M497" s="242">
        <f>COUNTIFS('تجربه‌گرها'!$B:$B,$A497,'تجربه‌گرها'!$F:$F,M$1)</f>
        <v>0</v>
      </c>
      <c r="N497" s="242">
        <f>COUNTIFS('تجربه‌گرها'!$B:$B,$A497,'تجربه‌گرها'!$F:$F,N$1)</f>
        <v>0</v>
      </c>
      <c r="O497" s="242">
        <f>COUNTIFS('تجربه‌گرها'!$B:$B,$A497,'تجربه‌گرها'!$F:$F,O$1)</f>
        <v>0</v>
      </c>
      <c r="P497" s="242">
        <f>COUNTIFS('تجربه‌گرها'!$B:$B,$A497,'تجربه‌گرها'!$F:$F,P$1)</f>
        <v>0</v>
      </c>
      <c r="Q497" s="242">
        <f>COUNTIFS('تجربه‌گرها'!$B:$B,$A497,'تجربه‌گرها'!$F:$F,Q$1)</f>
        <v>0</v>
      </c>
      <c r="R497" s="242">
        <f>COUNTIFS('تجربه‌گرها'!$B:$B,$A497,'تجربه‌گرها'!$F:$F,R$1)</f>
        <v>0</v>
      </c>
      <c r="S497" s="242">
        <f>COUNTIFS('تجربه‌گرها'!$B:$B,$A497,'تجربه‌گرها'!$F:$F,S$1)</f>
        <v>0</v>
      </c>
      <c r="T497" s="242">
        <f>COUNTIFS('تجربه‌گرها'!$B:$B,$A497,'تجربه‌گرها'!$F:$F,T$1)</f>
        <v>0</v>
      </c>
      <c r="U497" s="242"/>
      <c r="V497" s="242"/>
      <c r="W497" s="242"/>
      <c r="X497" s="242"/>
      <c r="Y497" s="242"/>
      <c r="Z497" s="242"/>
      <c r="AA497" s="242"/>
      <c r="AB497" s="242"/>
    </row>
    <row r="498" hidden="1">
      <c r="A498" s="244" t="s">
        <v>3338</v>
      </c>
      <c r="B498" s="245" t="str">
        <f>VLOOKUP(A498,'تجربه‌گرها'!B:C,2,FALSE())</f>
        <v>9118427708</v>
      </c>
      <c r="C498" s="242"/>
      <c r="D498" s="242">
        <f t="shared" si="1"/>
        <v>1</v>
      </c>
      <c r="E498" s="242">
        <f>COUNTIFS('تجربه‌گرها'!$B:$B,$A498,'تجربه‌گرها'!$F:$F,E$1)</f>
        <v>0</v>
      </c>
      <c r="F498" s="242">
        <f>COUNTIFS('تجربه‌گرها'!$B:$B,$A498,'تجربه‌گرها'!$F:$F,F$1)</f>
        <v>0</v>
      </c>
      <c r="G498" s="242">
        <f>COUNTIFS('تجربه‌گرها'!$B:$B,$A498,'تجربه‌گرها'!$F:$F,G$1)</f>
        <v>1</v>
      </c>
      <c r="H498" s="242">
        <f>COUNTIFS('تجربه‌گرها'!$B:$B,$A498,'تجربه‌گرها'!$F:$F,H$1)</f>
        <v>0</v>
      </c>
      <c r="I498" s="242">
        <f>COUNTIFS('تجربه‌گرها'!$B:$B,$A498,'تجربه‌گرها'!$F:$F,I$1)</f>
        <v>0</v>
      </c>
      <c r="J498" s="242">
        <f>COUNTIFS('تجربه‌گرها'!$B:$B,$A498,'تجربه‌گرها'!$F:$F,J$1)</f>
        <v>0</v>
      </c>
      <c r="K498" s="242">
        <f>COUNTIFS('تجربه‌گرها'!$B:$B,$A498,'تجربه‌گرها'!$F:$F,K$1)</f>
        <v>0</v>
      </c>
      <c r="L498" s="242">
        <f>COUNTIFS('تجربه‌گرها'!$B:$B,$A498,'تجربه‌گرها'!$F:$F,L$1)</f>
        <v>0</v>
      </c>
      <c r="M498" s="242">
        <f>COUNTIFS('تجربه‌گرها'!$B:$B,$A498,'تجربه‌گرها'!$F:$F,M$1)</f>
        <v>0</v>
      </c>
      <c r="N498" s="242">
        <f>COUNTIFS('تجربه‌گرها'!$B:$B,$A498,'تجربه‌گرها'!$F:$F,N$1)</f>
        <v>0</v>
      </c>
      <c r="O498" s="242">
        <f>COUNTIFS('تجربه‌گرها'!$B:$B,$A498,'تجربه‌گرها'!$F:$F,O$1)</f>
        <v>0</v>
      </c>
      <c r="P498" s="242">
        <f>COUNTIFS('تجربه‌گرها'!$B:$B,$A498,'تجربه‌گرها'!$F:$F,P$1)</f>
        <v>0</v>
      </c>
      <c r="Q498" s="242">
        <f>COUNTIFS('تجربه‌گرها'!$B:$B,$A498,'تجربه‌گرها'!$F:$F,Q$1)</f>
        <v>0</v>
      </c>
      <c r="R498" s="242">
        <f>COUNTIFS('تجربه‌گرها'!$B:$B,$A498,'تجربه‌گرها'!$F:$F,R$1)</f>
        <v>0</v>
      </c>
      <c r="S498" s="242">
        <f>COUNTIFS('تجربه‌گرها'!$B:$B,$A498,'تجربه‌گرها'!$F:$F,S$1)</f>
        <v>0</v>
      </c>
      <c r="T498" s="242">
        <f>COUNTIFS('تجربه‌گرها'!$B:$B,$A498,'تجربه‌گرها'!$F:$F,T$1)</f>
        <v>0</v>
      </c>
      <c r="U498" s="242"/>
      <c r="V498" s="242"/>
      <c r="W498" s="242"/>
      <c r="X498" s="242"/>
      <c r="Y498" s="242"/>
      <c r="Z498" s="242"/>
      <c r="AA498" s="242"/>
      <c r="AB498" s="242"/>
    </row>
    <row r="499">
      <c r="A499" s="244" t="s">
        <v>3343</v>
      </c>
      <c r="B499" s="245" t="str">
        <f>VLOOKUP(A499,'تجربه‌گرها'!B:C,2,FALSE())</f>
        <v>9107673676</v>
      </c>
      <c r="C499" s="242"/>
      <c r="D499" s="242">
        <f t="shared" si="1"/>
        <v>1</v>
      </c>
      <c r="E499" s="242">
        <f>COUNTIFS('تجربه‌گرها'!$B:$B,$A499,'تجربه‌گرها'!$F:$F,E$1)</f>
        <v>0</v>
      </c>
      <c r="F499" s="242">
        <f>COUNTIFS('تجربه‌گرها'!$B:$B,$A499,'تجربه‌گرها'!$F:$F,F$1)</f>
        <v>0</v>
      </c>
      <c r="G499" s="242">
        <f>COUNTIFS('تجربه‌گرها'!$B:$B,$A499,'تجربه‌گرها'!$F:$F,G$1)</f>
        <v>1</v>
      </c>
      <c r="H499" s="242">
        <f>COUNTIFS('تجربه‌گرها'!$B:$B,$A499,'تجربه‌گرها'!$F:$F,H$1)</f>
        <v>0</v>
      </c>
      <c r="I499" s="242">
        <f>COUNTIFS('تجربه‌گرها'!$B:$B,$A499,'تجربه‌گرها'!$F:$F,I$1)</f>
        <v>0</v>
      </c>
      <c r="J499" s="242">
        <f>COUNTIFS('تجربه‌گرها'!$B:$B,$A499,'تجربه‌گرها'!$F:$F,J$1)</f>
        <v>0</v>
      </c>
      <c r="K499" s="242">
        <f>COUNTIFS('تجربه‌گرها'!$B:$B,$A499,'تجربه‌گرها'!$F:$F,K$1)</f>
        <v>0</v>
      </c>
      <c r="L499" s="242">
        <f>COUNTIFS('تجربه‌گرها'!$B:$B,$A499,'تجربه‌گرها'!$F:$F,L$1)</f>
        <v>0</v>
      </c>
      <c r="M499" s="242">
        <f>COUNTIFS('تجربه‌گرها'!$B:$B,$A499,'تجربه‌گرها'!$F:$F,M$1)</f>
        <v>0</v>
      </c>
      <c r="N499" s="242">
        <f>COUNTIFS('تجربه‌گرها'!$B:$B,$A499,'تجربه‌گرها'!$F:$F,N$1)</f>
        <v>0</v>
      </c>
      <c r="O499" s="242">
        <f>COUNTIFS('تجربه‌گرها'!$B:$B,$A499,'تجربه‌گرها'!$F:$F,O$1)</f>
        <v>0</v>
      </c>
      <c r="P499" s="242">
        <f>COUNTIFS('تجربه‌گرها'!$B:$B,$A499,'تجربه‌گرها'!$F:$F,P$1)</f>
        <v>0</v>
      </c>
      <c r="Q499" s="242">
        <f>COUNTIFS('تجربه‌گرها'!$B:$B,$A499,'تجربه‌گرها'!$F:$F,Q$1)</f>
        <v>0</v>
      </c>
      <c r="R499" s="242">
        <f>COUNTIFS('تجربه‌گرها'!$B:$B,$A499,'تجربه‌گرها'!$F:$F,R$1)</f>
        <v>0</v>
      </c>
      <c r="S499" s="242">
        <f>COUNTIFS('تجربه‌گرها'!$B:$B,$A499,'تجربه‌گرها'!$F:$F,S$1)</f>
        <v>0</v>
      </c>
      <c r="T499" s="242">
        <f>COUNTIFS('تجربه‌گرها'!$B:$B,$A499,'تجربه‌گرها'!$F:$F,T$1)</f>
        <v>0</v>
      </c>
      <c r="U499" s="242"/>
      <c r="V499" s="242"/>
      <c r="W499" s="242"/>
      <c r="X499" s="242"/>
      <c r="Y499" s="242"/>
      <c r="Z499" s="242"/>
      <c r="AA499" s="242"/>
      <c r="AB499" s="242"/>
    </row>
    <row r="500" hidden="1">
      <c r="A500" s="244" t="s">
        <v>3347</v>
      </c>
      <c r="B500" s="245" t="str">
        <f>VLOOKUP(A500,'تجربه‌گرها'!B:C,2,FALSE())</f>
        <v>9152261430</v>
      </c>
      <c r="C500" s="242"/>
      <c r="D500" s="242">
        <f t="shared" si="1"/>
        <v>1</v>
      </c>
      <c r="E500" s="242">
        <f>COUNTIFS('تجربه‌گرها'!$B:$B,$A500,'تجربه‌گرها'!$F:$F,E$1)</f>
        <v>0</v>
      </c>
      <c r="F500" s="242">
        <f>COUNTIFS('تجربه‌گرها'!$B:$B,$A500,'تجربه‌گرها'!$F:$F,F$1)</f>
        <v>0</v>
      </c>
      <c r="G500" s="242">
        <f>COUNTIFS('تجربه‌گرها'!$B:$B,$A500,'تجربه‌گرها'!$F:$F,G$1)</f>
        <v>1</v>
      </c>
      <c r="H500" s="242">
        <f>COUNTIFS('تجربه‌گرها'!$B:$B,$A500,'تجربه‌گرها'!$F:$F,H$1)</f>
        <v>0</v>
      </c>
      <c r="I500" s="242">
        <f>COUNTIFS('تجربه‌گرها'!$B:$B,$A500,'تجربه‌گرها'!$F:$F,I$1)</f>
        <v>0</v>
      </c>
      <c r="J500" s="242">
        <f>COUNTIFS('تجربه‌گرها'!$B:$B,$A500,'تجربه‌گرها'!$F:$F,J$1)</f>
        <v>0</v>
      </c>
      <c r="K500" s="242">
        <f>COUNTIFS('تجربه‌گرها'!$B:$B,$A500,'تجربه‌گرها'!$F:$F,K$1)</f>
        <v>0</v>
      </c>
      <c r="L500" s="242">
        <f>COUNTIFS('تجربه‌گرها'!$B:$B,$A500,'تجربه‌گرها'!$F:$F,L$1)</f>
        <v>0</v>
      </c>
      <c r="M500" s="242">
        <f>COUNTIFS('تجربه‌گرها'!$B:$B,$A500,'تجربه‌گرها'!$F:$F,M$1)</f>
        <v>0</v>
      </c>
      <c r="N500" s="242">
        <f>COUNTIFS('تجربه‌گرها'!$B:$B,$A500,'تجربه‌گرها'!$F:$F,N$1)</f>
        <v>0</v>
      </c>
      <c r="O500" s="242">
        <f>COUNTIFS('تجربه‌گرها'!$B:$B,$A500,'تجربه‌گرها'!$F:$F,O$1)</f>
        <v>0</v>
      </c>
      <c r="P500" s="242">
        <f>COUNTIFS('تجربه‌گرها'!$B:$B,$A500,'تجربه‌گرها'!$F:$F,P$1)</f>
        <v>0</v>
      </c>
      <c r="Q500" s="242">
        <f>COUNTIFS('تجربه‌گرها'!$B:$B,$A500,'تجربه‌گرها'!$F:$F,Q$1)</f>
        <v>0</v>
      </c>
      <c r="R500" s="242">
        <f>COUNTIFS('تجربه‌گرها'!$B:$B,$A500,'تجربه‌گرها'!$F:$F,R$1)</f>
        <v>0</v>
      </c>
      <c r="S500" s="242">
        <f>COUNTIFS('تجربه‌گرها'!$B:$B,$A500,'تجربه‌گرها'!$F:$F,S$1)</f>
        <v>0</v>
      </c>
      <c r="T500" s="242">
        <f>COUNTIFS('تجربه‌گرها'!$B:$B,$A500,'تجربه‌گرها'!$F:$F,T$1)</f>
        <v>0</v>
      </c>
      <c r="U500" s="242"/>
      <c r="V500" s="242"/>
      <c r="W500" s="242"/>
      <c r="X500" s="242"/>
      <c r="Y500" s="242"/>
      <c r="Z500" s="242"/>
      <c r="AA500" s="242"/>
      <c r="AB500" s="242"/>
    </row>
    <row r="501" hidden="1">
      <c r="A501" s="244" t="s">
        <v>3353</v>
      </c>
      <c r="B501" s="245" t="str">
        <f>VLOOKUP(A501,'تجربه‌گرها'!B:C,2,FALSE())</f>
        <v>9131579864</v>
      </c>
      <c r="C501" s="242"/>
      <c r="D501" s="242">
        <f t="shared" si="1"/>
        <v>1</v>
      </c>
      <c r="E501" s="242">
        <f>COUNTIFS('تجربه‌گرها'!$B:$B,$A501,'تجربه‌گرها'!$F:$F,E$1)</f>
        <v>0</v>
      </c>
      <c r="F501" s="242">
        <f>COUNTIFS('تجربه‌گرها'!$B:$B,$A501,'تجربه‌گرها'!$F:$F,F$1)</f>
        <v>0</v>
      </c>
      <c r="G501" s="242">
        <f>COUNTIFS('تجربه‌گرها'!$B:$B,$A501,'تجربه‌گرها'!$F:$F,G$1)</f>
        <v>1</v>
      </c>
      <c r="H501" s="242">
        <f>COUNTIFS('تجربه‌گرها'!$B:$B,$A501,'تجربه‌گرها'!$F:$F,H$1)</f>
        <v>0</v>
      </c>
      <c r="I501" s="242">
        <f>COUNTIFS('تجربه‌گرها'!$B:$B,$A501,'تجربه‌گرها'!$F:$F,I$1)</f>
        <v>0</v>
      </c>
      <c r="J501" s="242">
        <f>COUNTIFS('تجربه‌گرها'!$B:$B,$A501,'تجربه‌گرها'!$F:$F,J$1)</f>
        <v>0</v>
      </c>
      <c r="K501" s="242">
        <f>COUNTIFS('تجربه‌گرها'!$B:$B,$A501,'تجربه‌گرها'!$F:$F,K$1)</f>
        <v>0</v>
      </c>
      <c r="L501" s="242">
        <f>COUNTIFS('تجربه‌گرها'!$B:$B,$A501,'تجربه‌گرها'!$F:$F,L$1)</f>
        <v>0</v>
      </c>
      <c r="M501" s="242">
        <f>COUNTIFS('تجربه‌گرها'!$B:$B,$A501,'تجربه‌گرها'!$F:$F,M$1)</f>
        <v>0</v>
      </c>
      <c r="N501" s="242">
        <f>COUNTIFS('تجربه‌گرها'!$B:$B,$A501,'تجربه‌گرها'!$F:$F,N$1)</f>
        <v>0</v>
      </c>
      <c r="O501" s="242">
        <f>COUNTIFS('تجربه‌گرها'!$B:$B,$A501,'تجربه‌گرها'!$F:$F,O$1)</f>
        <v>0</v>
      </c>
      <c r="P501" s="242">
        <f>COUNTIFS('تجربه‌گرها'!$B:$B,$A501,'تجربه‌گرها'!$F:$F,P$1)</f>
        <v>0</v>
      </c>
      <c r="Q501" s="242">
        <f>COUNTIFS('تجربه‌گرها'!$B:$B,$A501,'تجربه‌گرها'!$F:$F,Q$1)</f>
        <v>0</v>
      </c>
      <c r="R501" s="242">
        <f>COUNTIFS('تجربه‌گرها'!$B:$B,$A501,'تجربه‌گرها'!$F:$F,R$1)</f>
        <v>0</v>
      </c>
      <c r="S501" s="242">
        <f>COUNTIFS('تجربه‌گرها'!$B:$B,$A501,'تجربه‌گرها'!$F:$F,S$1)</f>
        <v>0</v>
      </c>
      <c r="T501" s="242">
        <f>COUNTIFS('تجربه‌گرها'!$B:$B,$A501,'تجربه‌گرها'!$F:$F,T$1)</f>
        <v>0</v>
      </c>
      <c r="U501" s="242"/>
      <c r="V501" s="242"/>
      <c r="W501" s="242"/>
      <c r="X501" s="242"/>
      <c r="Y501" s="242"/>
      <c r="Z501" s="242"/>
      <c r="AA501" s="242"/>
      <c r="AB501" s="242"/>
    </row>
    <row r="502" hidden="1">
      <c r="A502" s="244" t="s">
        <v>3358</v>
      </c>
      <c r="B502" s="245" t="str">
        <f>VLOOKUP(A502,'تجربه‌گرها'!B:C,2,FALSE())</f>
        <v>9126966242</v>
      </c>
      <c r="C502" s="242"/>
      <c r="D502" s="242">
        <f t="shared" si="1"/>
        <v>1</v>
      </c>
      <c r="E502" s="242">
        <f>COUNTIFS('تجربه‌گرها'!$B:$B,$A502,'تجربه‌گرها'!$F:$F,E$1)</f>
        <v>0</v>
      </c>
      <c r="F502" s="242">
        <f>COUNTIFS('تجربه‌گرها'!$B:$B,$A502,'تجربه‌گرها'!$F:$F,F$1)</f>
        <v>0</v>
      </c>
      <c r="G502" s="242">
        <f>COUNTIFS('تجربه‌گرها'!$B:$B,$A502,'تجربه‌گرها'!$F:$F,G$1)</f>
        <v>1</v>
      </c>
      <c r="H502" s="242">
        <f>COUNTIFS('تجربه‌گرها'!$B:$B,$A502,'تجربه‌گرها'!$F:$F,H$1)</f>
        <v>0</v>
      </c>
      <c r="I502" s="242">
        <f>COUNTIFS('تجربه‌گرها'!$B:$B,$A502,'تجربه‌گرها'!$F:$F,I$1)</f>
        <v>0</v>
      </c>
      <c r="J502" s="242">
        <f>COUNTIFS('تجربه‌گرها'!$B:$B,$A502,'تجربه‌گرها'!$F:$F,J$1)</f>
        <v>0</v>
      </c>
      <c r="K502" s="242">
        <f>COUNTIFS('تجربه‌گرها'!$B:$B,$A502,'تجربه‌گرها'!$F:$F,K$1)</f>
        <v>0</v>
      </c>
      <c r="L502" s="242">
        <f>COUNTIFS('تجربه‌گرها'!$B:$B,$A502,'تجربه‌گرها'!$F:$F,L$1)</f>
        <v>0</v>
      </c>
      <c r="M502" s="242">
        <f>COUNTIFS('تجربه‌گرها'!$B:$B,$A502,'تجربه‌گرها'!$F:$F,M$1)</f>
        <v>0</v>
      </c>
      <c r="N502" s="242">
        <f>COUNTIFS('تجربه‌گرها'!$B:$B,$A502,'تجربه‌گرها'!$F:$F,N$1)</f>
        <v>0</v>
      </c>
      <c r="O502" s="242">
        <f>COUNTIFS('تجربه‌گرها'!$B:$B,$A502,'تجربه‌گرها'!$F:$F,O$1)</f>
        <v>0</v>
      </c>
      <c r="P502" s="242">
        <f>COUNTIFS('تجربه‌گرها'!$B:$B,$A502,'تجربه‌گرها'!$F:$F,P$1)</f>
        <v>0</v>
      </c>
      <c r="Q502" s="242">
        <f>COUNTIFS('تجربه‌گرها'!$B:$B,$A502,'تجربه‌گرها'!$F:$F,Q$1)</f>
        <v>0</v>
      </c>
      <c r="R502" s="242">
        <f>COUNTIFS('تجربه‌گرها'!$B:$B,$A502,'تجربه‌گرها'!$F:$F,R$1)</f>
        <v>0</v>
      </c>
      <c r="S502" s="242">
        <f>COUNTIFS('تجربه‌گرها'!$B:$B,$A502,'تجربه‌گرها'!$F:$F,S$1)</f>
        <v>0</v>
      </c>
      <c r="T502" s="242">
        <f>COUNTIFS('تجربه‌گرها'!$B:$B,$A502,'تجربه‌گرها'!$F:$F,T$1)</f>
        <v>0</v>
      </c>
      <c r="U502" s="242"/>
      <c r="V502" s="242"/>
      <c r="W502" s="242"/>
      <c r="X502" s="242"/>
      <c r="Y502" s="242"/>
      <c r="Z502" s="242"/>
      <c r="AA502" s="242"/>
      <c r="AB502" s="242"/>
    </row>
    <row r="503" hidden="1">
      <c r="A503" s="244" t="s">
        <v>3363</v>
      </c>
      <c r="B503" s="245" t="str">
        <f>VLOOKUP(A503,'تجربه‌گرها'!B:C,2,FALSE())</f>
        <v>9121342818</v>
      </c>
      <c r="C503" s="242"/>
      <c r="D503" s="242">
        <f t="shared" si="1"/>
        <v>1</v>
      </c>
      <c r="E503" s="242">
        <f>COUNTIFS('تجربه‌گرها'!$B:$B,$A503,'تجربه‌گرها'!$F:$F,E$1)</f>
        <v>0</v>
      </c>
      <c r="F503" s="242">
        <f>COUNTIFS('تجربه‌گرها'!$B:$B,$A503,'تجربه‌گرها'!$F:$F,F$1)</f>
        <v>0</v>
      </c>
      <c r="G503" s="242">
        <f>COUNTIFS('تجربه‌گرها'!$B:$B,$A503,'تجربه‌گرها'!$F:$F,G$1)</f>
        <v>1</v>
      </c>
      <c r="H503" s="242">
        <f>COUNTIFS('تجربه‌گرها'!$B:$B,$A503,'تجربه‌گرها'!$F:$F,H$1)</f>
        <v>0</v>
      </c>
      <c r="I503" s="242">
        <f>COUNTIFS('تجربه‌گرها'!$B:$B,$A503,'تجربه‌گرها'!$F:$F,I$1)</f>
        <v>0</v>
      </c>
      <c r="J503" s="242">
        <f>COUNTIFS('تجربه‌گرها'!$B:$B,$A503,'تجربه‌گرها'!$F:$F,J$1)</f>
        <v>0</v>
      </c>
      <c r="K503" s="242">
        <f>COUNTIFS('تجربه‌گرها'!$B:$B,$A503,'تجربه‌گرها'!$F:$F,K$1)</f>
        <v>0</v>
      </c>
      <c r="L503" s="242">
        <f>COUNTIFS('تجربه‌گرها'!$B:$B,$A503,'تجربه‌گرها'!$F:$F,L$1)</f>
        <v>0</v>
      </c>
      <c r="M503" s="242">
        <f>COUNTIFS('تجربه‌گرها'!$B:$B,$A503,'تجربه‌گرها'!$F:$F,M$1)</f>
        <v>0</v>
      </c>
      <c r="N503" s="242">
        <f>COUNTIFS('تجربه‌گرها'!$B:$B,$A503,'تجربه‌گرها'!$F:$F,N$1)</f>
        <v>0</v>
      </c>
      <c r="O503" s="242">
        <f>COUNTIFS('تجربه‌گرها'!$B:$B,$A503,'تجربه‌گرها'!$F:$F,O$1)</f>
        <v>0</v>
      </c>
      <c r="P503" s="242">
        <f>COUNTIFS('تجربه‌گرها'!$B:$B,$A503,'تجربه‌گرها'!$F:$F,P$1)</f>
        <v>0</v>
      </c>
      <c r="Q503" s="242">
        <f>COUNTIFS('تجربه‌گرها'!$B:$B,$A503,'تجربه‌گرها'!$F:$F,Q$1)</f>
        <v>0</v>
      </c>
      <c r="R503" s="242">
        <f>COUNTIFS('تجربه‌گرها'!$B:$B,$A503,'تجربه‌گرها'!$F:$F,R$1)</f>
        <v>0</v>
      </c>
      <c r="S503" s="242">
        <f>COUNTIFS('تجربه‌گرها'!$B:$B,$A503,'تجربه‌گرها'!$F:$F,S$1)</f>
        <v>0</v>
      </c>
      <c r="T503" s="242">
        <f>COUNTIFS('تجربه‌گرها'!$B:$B,$A503,'تجربه‌گرها'!$F:$F,T$1)</f>
        <v>0</v>
      </c>
      <c r="U503" s="242"/>
      <c r="V503" s="242"/>
      <c r="W503" s="242"/>
      <c r="X503" s="242"/>
      <c r="Y503" s="242"/>
      <c r="Z503" s="242"/>
      <c r="AA503" s="242"/>
      <c r="AB503" s="242"/>
    </row>
    <row r="504" hidden="1">
      <c r="A504" s="244" t="s">
        <v>3368</v>
      </c>
      <c r="B504" s="245" t="str">
        <f>VLOOKUP(A504,'تجربه‌گرها'!B:C,2,FALSE())</f>
        <v>9118218261</v>
      </c>
      <c r="C504" s="242"/>
      <c r="D504" s="242">
        <f t="shared" si="1"/>
        <v>1</v>
      </c>
      <c r="E504" s="242">
        <f>COUNTIFS('تجربه‌گرها'!$B:$B,$A504,'تجربه‌گرها'!$F:$F,E$1)</f>
        <v>0</v>
      </c>
      <c r="F504" s="242">
        <f>COUNTIFS('تجربه‌گرها'!$B:$B,$A504,'تجربه‌گرها'!$F:$F,F$1)</f>
        <v>0</v>
      </c>
      <c r="G504" s="242">
        <f>COUNTIFS('تجربه‌گرها'!$B:$B,$A504,'تجربه‌گرها'!$F:$F,G$1)</f>
        <v>1</v>
      </c>
      <c r="H504" s="242">
        <f>COUNTIFS('تجربه‌گرها'!$B:$B,$A504,'تجربه‌گرها'!$F:$F,H$1)</f>
        <v>0</v>
      </c>
      <c r="I504" s="242">
        <f>COUNTIFS('تجربه‌گرها'!$B:$B,$A504,'تجربه‌گرها'!$F:$F,I$1)</f>
        <v>0</v>
      </c>
      <c r="J504" s="242">
        <f>COUNTIFS('تجربه‌گرها'!$B:$B,$A504,'تجربه‌گرها'!$F:$F,J$1)</f>
        <v>0</v>
      </c>
      <c r="K504" s="242">
        <f>COUNTIFS('تجربه‌گرها'!$B:$B,$A504,'تجربه‌گرها'!$F:$F,K$1)</f>
        <v>0</v>
      </c>
      <c r="L504" s="242">
        <f>COUNTIFS('تجربه‌گرها'!$B:$B,$A504,'تجربه‌گرها'!$F:$F,L$1)</f>
        <v>0</v>
      </c>
      <c r="M504" s="242">
        <f>COUNTIFS('تجربه‌گرها'!$B:$B,$A504,'تجربه‌گرها'!$F:$F,M$1)</f>
        <v>0</v>
      </c>
      <c r="N504" s="242">
        <f>COUNTIFS('تجربه‌گرها'!$B:$B,$A504,'تجربه‌گرها'!$F:$F,N$1)</f>
        <v>0</v>
      </c>
      <c r="O504" s="242">
        <f>COUNTIFS('تجربه‌گرها'!$B:$B,$A504,'تجربه‌گرها'!$F:$F,O$1)</f>
        <v>0</v>
      </c>
      <c r="P504" s="242">
        <f>COUNTIFS('تجربه‌گرها'!$B:$B,$A504,'تجربه‌گرها'!$F:$F,P$1)</f>
        <v>0</v>
      </c>
      <c r="Q504" s="242">
        <f>COUNTIFS('تجربه‌گرها'!$B:$B,$A504,'تجربه‌گرها'!$F:$F,Q$1)</f>
        <v>0</v>
      </c>
      <c r="R504" s="242">
        <f>COUNTIFS('تجربه‌گرها'!$B:$B,$A504,'تجربه‌گرها'!$F:$F,R$1)</f>
        <v>0</v>
      </c>
      <c r="S504" s="242">
        <f>COUNTIFS('تجربه‌گرها'!$B:$B,$A504,'تجربه‌گرها'!$F:$F,S$1)</f>
        <v>0</v>
      </c>
      <c r="T504" s="242">
        <f>COUNTIFS('تجربه‌گرها'!$B:$B,$A504,'تجربه‌گرها'!$F:$F,T$1)</f>
        <v>0</v>
      </c>
      <c r="U504" s="242"/>
      <c r="V504" s="242"/>
      <c r="W504" s="242"/>
      <c r="X504" s="242"/>
      <c r="Y504" s="242"/>
      <c r="Z504" s="242"/>
      <c r="AA504" s="242"/>
      <c r="AB504" s="242"/>
    </row>
    <row r="505" hidden="1">
      <c r="A505" s="244" t="s">
        <v>3374</v>
      </c>
      <c r="B505" s="245" t="str">
        <f>VLOOKUP(A505,'تجربه‌گرها'!B:C,2,FALSE())</f>
        <v>9123720845</v>
      </c>
      <c r="C505" s="242"/>
      <c r="D505" s="242">
        <f t="shared" si="1"/>
        <v>1</v>
      </c>
      <c r="E505" s="242">
        <f>COUNTIFS('تجربه‌گرها'!$B:$B,$A505,'تجربه‌گرها'!$F:$F,E$1)</f>
        <v>0</v>
      </c>
      <c r="F505" s="242">
        <f>COUNTIFS('تجربه‌گرها'!$B:$B,$A505,'تجربه‌گرها'!$F:$F,F$1)</f>
        <v>0</v>
      </c>
      <c r="G505" s="242">
        <f>COUNTIFS('تجربه‌گرها'!$B:$B,$A505,'تجربه‌گرها'!$F:$F,G$1)</f>
        <v>1</v>
      </c>
      <c r="H505" s="242">
        <f>COUNTIFS('تجربه‌گرها'!$B:$B,$A505,'تجربه‌گرها'!$F:$F,H$1)</f>
        <v>0</v>
      </c>
      <c r="I505" s="242">
        <f>COUNTIFS('تجربه‌گرها'!$B:$B,$A505,'تجربه‌گرها'!$F:$F,I$1)</f>
        <v>0</v>
      </c>
      <c r="J505" s="242">
        <f>COUNTIFS('تجربه‌گرها'!$B:$B,$A505,'تجربه‌گرها'!$F:$F,J$1)</f>
        <v>0</v>
      </c>
      <c r="K505" s="242">
        <f>COUNTIFS('تجربه‌گرها'!$B:$B,$A505,'تجربه‌گرها'!$F:$F,K$1)</f>
        <v>0</v>
      </c>
      <c r="L505" s="242">
        <f>COUNTIFS('تجربه‌گرها'!$B:$B,$A505,'تجربه‌گرها'!$F:$F,L$1)</f>
        <v>0</v>
      </c>
      <c r="M505" s="242">
        <f>COUNTIFS('تجربه‌گرها'!$B:$B,$A505,'تجربه‌گرها'!$F:$F,M$1)</f>
        <v>0</v>
      </c>
      <c r="N505" s="242">
        <f>COUNTIFS('تجربه‌گرها'!$B:$B,$A505,'تجربه‌گرها'!$F:$F,N$1)</f>
        <v>0</v>
      </c>
      <c r="O505" s="242">
        <f>COUNTIFS('تجربه‌گرها'!$B:$B,$A505,'تجربه‌گرها'!$F:$F,O$1)</f>
        <v>0</v>
      </c>
      <c r="P505" s="242">
        <f>COUNTIFS('تجربه‌گرها'!$B:$B,$A505,'تجربه‌گرها'!$F:$F,P$1)</f>
        <v>0</v>
      </c>
      <c r="Q505" s="242">
        <f>COUNTIFS('تجربه‌گرها'!$B:$B,$A505,'تجربه‌گرها'!$F:$F,Q$1)</f>
        <v>0</v>
      </c>
      <c r="R505" s="242">
        <f>COUNTIFS('تجربه‌گرها'!$B:$B,$A505,'تجربه‌گرها'!$F:$F,R$1)</f>
        <v>0</v>
      </c>
      <c r="S505" s="242">
        <f>COUNTIFS('تجربه‌گرها'!$B:$B,$A505,'تجربه‌گرها'!$F:$F,S$1)</f>
        <v>0</v>
      </c>
      <c r="T505" s="242">
        <f>COUNTIFS('تجربه‌گرها'!$B:$B,$A505,'تجربه‌گرها'!$F:$F,T$1)</f>
        <v>0</v>
      </c>
      <c r="U505" s="242"/>
      <c r="V505" s="242"/>
      <c r="W505" s="242"/>
      <c r="X505" s="242"/>
      <c r="Y505" s="242"/>
      <c r="Z505" s="242"/>
      <c r="AA505" s="242"/>
      <c r="AB505" s="242"/>
    </row>
    <row r="506" hidden="1">
      <c r="A506" s="244" t="s">
        <v>3380</v>
      </c>
      <c r="B506" s="245" t="str">
        <f>VLOOKUP(A506,'تجربه‌گرها'!B:C,2,FALSE())</f>
        <v>9125867948</v>
      </c>
      <c r="C506" s="242"/>
      <c r="D506" s="242">
        <f t="shared" si="1"/>
        <v>1</v>
      </c>
      <c r="E506" s="242">
        <f>COUNTIFS('تجربه‌گرها'!$B:$B,$A506,'تجربه‌گرها'!$F:$F,E$1)</f>
        <v>0</v>
      </c>
      <c r="F506" s="242">
        <f>COUNTIFS('تجربه‌گرها'!$B:$B,$A506,'تجربه‌گرها'!$F:$F,F$1)</f>
        <v>0</v>
      </c>
      <c r="G506" s="242">
        <f>COUNTIFS('تجربه‌گرها'!$B:$B,$A506,'تجربه‌گرها'!$F:$F,G$1)</f>
        <v>1</v>
      </c>
      <c r="H506" s="242">
        <f>COUNTIFS('تجربه‌گرها'!$B:$B,$A506,'تجربه‌گرها'!$F:$F,H$1)</f>
        <v>0</v>
      </c>
      <c r="I506" s="242">
        <f>COUNTIFS('تجربه‌گرها'!$B:$B,$A506,'تجربه‌گرها'!$F:$F,I$1)</f>
        <v>0</v>
      </c>
      <c r="J506" s="242">
        <f>COUNTIFS('تجربه‌گرها'!$B:$B,$A506,'تجربه‌گرها'!$F:$F,J$1)</f>
        <v>0</v>
      </c>
      <c r="K506" s="242">
        <f>COUNTIFS('تجربه‌گرها'!$B:$B,$A506,'تجربه‌گرها'!$F:$F,K$1)</f>
        <v>0</v>
      </c>
      <c r="L506" s="242">
        <f>COUNTIFS('تجربه‌گرها'!$B:$B,$A506,'تجربه‌گرها'!$F:$F,L$1)</f>
        <v>0</v>
      </c>
      <c r="M506" s="242">
        <f>COUNTIFS('تجربه‌گرها'!$B:$B,$A506,'تجربه‌گرها'!$F:$F,M$1)</f>
        <v>0</v>
      </c>
      <c r="N506" s="242">
        <f>COUNTIFS('تجربه‌گرها'!$B:$B,$A506,'تجربه‌گرها'!$F:$F,N$1)</f>
        <v>0</v>
      </c>
      <c r="O506" s="242">
        <f>COUNTIFS('تجربه‌گرها'!$B:$B,$A506,'تجربه‌گرها'!$F:$F,O$1)</f>
        <v>0</v>
      </c>
      <c r="P506" s="242">
        <f>COUNTIFS('تجربه‌گرها'!$B:$B,$A506,'تجربه‌گرها'!$F:$F,P$1)</f>
        <v>0</v>
      </c>
      <c r="Q506" s="242">
        <f>COUNTIFS('تجربه‌گرها'!$B:$B,$A506,'تجربه‌گرها'!$F:$F,Q$1)</f>
        <v>0</v>
      </c>
      <c r="R506" s="242">
        <f>COUNTIFS('تجربه‌گرها'!$B:$B,$A506,'تجربه‌گرها'!$F:$F,R$1)</f>
        <v>0</v>
      </c>
      <c r="S506" s="242">
        <f>COUNTIFS('تجربه‌گرها'!$B:$B,$A506,'تجربه‌گرها'!$F:$F,S$1)</f>
        <v>0</v>
      </c>
      <c r="T506" s="242">
        <f>COUNTIFS('تجربه‌گرها'!$B:$B,$A506,'تجربه‌گرها'!$F:$F,T$1)</f>
        <v>0</v>
      </c>
      <c r="U506" s="242"/>
      <c r="V506" s="242"/>
      <c r="W506" s="242"/>
      <c r="X506" s="242"/>
      <c r="Y506" s="242"/>
      <c r="Z506" s="242"/>
      <c r="AA506" s="242"/>
      <c r="AB506" s="242"/>
    </row>
    <row r="507" hidden="1">
      <c r="A507" s="244" t="s">
        <v>3386</v>
      </c>
      <c r="B507" s="245" t="str">
        <f>VLOOKUP(A507,'تجربه‌گرها'!B:C,2,FALSE())</f>
        <v>9124943004</v>
      </c>
      <c r="C507" s="242"/>
      <c r="D507" s="242">
        <f t="shared" si="1"/>
        <v>1</v>
      </c>
      <c r="E507" s="242">
        <f>COUNTIFS('تجربه‌گرها'!$B:$B,$A507,'تجربه‌گرها'!$F:$F,E$1)</f>
        <v>0</v>
      </c>
      <c r="F507" s="242">
        <f>COUNTIFS('تجربه‌گرها'!$B:$B,$A507,'تجربه‌گرها'!$F:$F,F$1)</f>
        <v>0</v>
      </c>
      <c r="G507" s="242">
        <f>COUNTIFS('تجربه‌گرها'!$B:$B,$A507,'تجربه‌گرها'!$F:$F,G$1)</f>
        <v>1</v>
      </c>
      <c r="H507" s="242">
        <f>COUNTIFS('تجربه‌گرها'!$B:$B,$A507,'تجربه‌گرها'!$F:$F,H$1)</f>
        <v>0</v>
      </c>
      <c r="I507" s="242">
        <f>COUNTIFS('تجربه‌گرها'!$B:$B,$A507,'تجربه‌گرها'!$F:$F,I$1)</f>
        <v>0</v>
      </c>
      <c r="J507" s="242">
        <f>COUNTIFS('تجربه‌گرها'!$B:$B,$A507,'تجربه‌گرها'!$F:$F,J$1)</f>
        <v>0</v>
      </c>
      <c r="K507" s="242">
        <f>COUNTIFS('تجربه‌گرها'!$B:$B,$A507,'تجربه‌گرها'!$F:$F,K$1)</f>
        <v>0</v>
      </c>
      <c r="L507" s="242">
        <f>COUNTIFS('تجربه‌گرها'!$B:$B,$A507,'تجربه‌گرها'!$F:$F,L$1)</f>
        <v>0</v>
      </c>
      <c r="M507" s="242">
        <f>COUNTIFS('تجربه‌گرها'!$B:$B,$A507,'تجربه‌گرها'!$F:$F,M$1)</f>
        <v>0</v>
      </c>
      <c r="N507" s="242">
        <f>COUNTIFS('تجربه‌گرها'!$B:$B,$A507,'تجربه‌گرها'!$F:$F,N$1)</f>
        <v>0</v>
      </c>
      <c r="O507" s="242">
        <f>COUNTIFS('تجربه‌گرها'!$B:$B,$A507,'تجربه‌گرها'!$F:$F,O$1)</f>
        <v>0</v>
      </c>
      <c r="P507" s="242">
        <f>COUNTIFS('تجربه‌گرها'!$B:$B,$A507,'تجربه‌گرها'!$F:$F,P$1)</f>
        <v>0</v>
      </c>
      <c r="Q507" s="242">
        <f>COUNTIFS('تجربه‌گرها'!$B:$B,$A507,'تجربه‌گرها'!$F:$F,Q$1)</f>
        <v>0</v>
      </c>
      <c r="R507" s="242">
        <f>COUNTIFS('تجربه‌گرها'!$B:$B,$A507,'تجربه‌گرها'!$F:$F,R$1)</f>
        <v>0</v>
      </c>
      <c r="S507" s="242">
        <f>COUNTIFS('تجربه‌گرها'!$B:$B,$A507,'تجربه‌گرها'!$F:$F,S$1)</f>
        <v>0</v>
      </c>
      <c r="T507" s="242">
        <f>COUNTIFS('تجربه‌گرها'!$B:$B,$A507,'تجربه‌گرها'!$F:$F,T$1)</f>
        <v>0</v>
      </c>
      <c r="U507" s="242"/>
      <c r="V507" s="242"/>
      <c r="W507" s="242"/>
      <c r="X507" s="242"/>
      <c r="Y507" s="242"/>
      <c r="Z507" s="242"/>
      <c r="AA507" s="242"/>
      <c r="AB507" s="242"/>
    </row>
    <row r="508" hidden="1">
      <c r="A508" s="244" t="s">
        <v>3392</v>
      </c>
      <c r="B508" s="245" t="str">
        <f>VLOOKUP(A508,'تجربه‌گرها'!B:C,2,FALSE())</f>
        <v>9128438374</v>
      </c>
      <c r="C508" s="242"/>
      <c r="D508" s="242">
        <f t="shared" si="1"/>
        <v>1</v>
      </c>
      <c r="E508" s="242">
        <f>COUNTIFS('تجربه‌گرها'!$B:$B,$A508,'تجربه‌گرها'!$F:$F,E$1)</f>
        <v>0</v>
      </c>
      <c r="F508" s="242">
        <f>COUNTIFS('تجربه‌گرها'!$B:$B,$A508,'تجربه‌گرها'!$F:$F,F$1)</f>
        <v>0</v>
      </c>
      <c r="G508" s="242">
        <f>COUNTIFS('تجربه‌گرها'!$B:$B,$A508,'تجربه‌گرها'!$F:$F,G$1)</f>
        <v>1</v>
      </c>
      <c r="H508" s="242">
        <f>COUNTIFS('تجربه‌گرها'!$B:$B,$A508,'تجربه‌گرها'!$F:$F,H$1)</f>
        <v>0</v>
      </c>
      <c r="I508" s="242">
        <f>COUNTIFS('تجربه‌گرها'!$B:$B,$A508,'تجربه‌گرها'!$F:$F,I$1)</f>
        <v>0</v>
      </c>
      <c r="J508" s="242">
        <f>COUNTIFS('تجربه‌گرها'!$B:$B,$A508,'تجربه‌گرها'!$F:$F,J$1)</f>
        <v>0</v>
      </c>
      <c r="K508" s="242">
        <f>COUNTIFS('تجربه‌گرها'!$B:$B,$A508,'تجربه‌گرها'!$F:$F,K$1)</f>
        <v>0</v>
      </c>
      <c r="L508" s="242">
        <f>COUNTIFS('تجربه‌گرها'!$B:$B,$A508,'تجربه‌گرها'!$F:$F,L$1)</f>
        <v>0</v>
      </c>
      <c r="M508" s="242">
        <f>COUNTIFS('تجربه‌گرها'!$B:$B,$A508,'تجربه‌گرها'!$F:$F,M$1)</f>
        <v>0</v>
      </c>
      <c r="N508" s="242">
        <f>COUNTIFS('تجربه‌گرها'!$B:$B,$A508,'تجربه‌گرها'!$F:$F,N$1)</f>
        <v>0</v>
      </c>
      <c r="O508" s="242">
        <f>COUNTIFS('تجربه‌گرها'!$B:$B,$A508,'تجربه‌گرها'!$F:$F,O$1)</f>
        <v>0</v>
      </c>
      <c r="P508" s="242">
        <f>COUNTIFS('تجربه‌گرها'!$B:$B,$A508,'تجربه‌گرها'!$F:$F,P$1)</f>
        <v>0</v>
      </c>
      <c r="Q508" s="242">
        <f>COUNTIFS('تجربه‌گرها'!$B:$B,$A508,'تجربه‌گرها'!$F:$F,Q$1)</f>
        <v>0</v>
      </c>
      <c r="R508" s="242">
        <f>COUNTIFS('تجربه‌گرها'!$B:$B,$A508,'تجربه‌گرها'!$F:$F,R$1)</f>
        <v>0</v>
      </c>
      <c r="S508" s="242">
        <f>COUNTIFS('تجربه‌گرها'!$B:$B,$A508,'تجربه‌گرها'!$F:$F,S$1)</f>
        <v>0</v>
      </c>
      <c r="T508" s="242">
        <f>COUNTIFS('تجربه‌گرها'!$B:$B,$A508,'تجربه‌گرها'!$F:$F,T$1)</f>
        <v>0</v>
      </c>
      <c r="U508" s="242"/>
      <c r="V508" s="242"/>
      <c r="W508" s="242"/>
      <c r="X508" s="242"/>
      <c r="Y508" s="242"/>
      <c r="Z508" s="242"/>
      <c r="AA508" s="242"/>
      <c r="AB508" s="242"/>
    </row>
    <row r="509" hidden="1">
      <c r="A509" s="244" t="s">
        <v>3397</v>
      </c>
      <c r="B509" s="245" t="str">
        <f>VLOOKUP(A509,'تجربه‌گرها'!B:C,2,FALSE())</f>
        <v>9122187139</v>
      </c>
      <c r="C509" s="242"/>
      <c r="D509" s="242">
        <f t="shared" si="1"/>
        <v>1</v>
      </c>
      <c r="E509" s="242">
        <f>COUNTIFS('تجربه‌گرها'!$B:$B,$A509,'تجربه‌گرها'!$F:$F,E$1)</f>
        <v>0</v>
      </c>
      <c r="F509" s="242">
        <f>COUNTIFS('تجربه‌گرها'!$B:$B,$A509,'تجربه‌گرها'!$F:$F,F$1)</f>
        <v>0</v>
      </c>
      <c r="G509" s="242">
        <f>COUNTIFS('تجربه‌گرها'!$B:$B,$A509,'تجربه‌گرها'!$F:$F,G$1)</f>
        <v>1</v>
      </c>
      <c r="H509" s="242">
        <f>COUNTIFS('تجربه‌گرها'!$B:$B,$A509,'تجربه‌گرها'!$F:$F,H$1)</f>
        <v>0</v>
      </c>
      <c r="I509" s="242">
        <f>COUNTIFS('تجربه‌گرها'!$B:$B,$A509,'تجربه‌گرها'!$F:$F,I$1)</f>
        <v>0</v>
      </c>
      <c r="J509" s="242">
        <f>COUNTIFS('تجربه‌گرها'!$B:$B,$A509,'تجربه‌گرها'!$F:$F,J$1)</f>
        <v>0</v>
      </c>
      <c r="K509" s="242">
        <f>COUNTIFS('تجربه‌گرها'!$B:$B,$A509,'تجربه‌گرها'!$F:$F,K$1)</f>
        <v>0</v>
      </c>
      <c r="L509" s="242">
        <f>COUNTIFS('تجربه‌گرها'!$B:$B,$A509,'تجربه‌گرها'!$F:$F,L$1)</f>
        <v>0</v>
      </c>
      <c r="M509" s="242">
        <f>COUNTIFS('تجربه‌گرها'!$B:$B,$A509,'تجربه‌گرها'!$F:$F,M$1)</f>
        <v>0</v>
      </c>
      <c r="N509" s="242">
        <f>COUNTIFS('تجربه‌گرها'!$B:$B,$A509,'تجربه‌گرها'!$F:$F,N$1)</f>
        <v>0</v>
      </c>
      <c r="O509" s="242">
        <f>COUNTIFS('تجربه‌گرها'!$B:$B,$A509,'تجربه‌گرها'!$F:$F,O$1)</f>
        <v>0</v>
      </c>
      <c r="P509" s="242">
        <f>COUNTIFS('تجربه‌گرها'!$B:$B,$A509,'تجربه‌گرها'!$F:$F,P$1)</f>
        <v>0</v>
      </c>
      <c r="Q509" s="242">
        <f>COUNTIFS('تجربه‌گرها'!$B:$B,$A509,'تجربه‌گرها'!$F:$F,Q$1)</f>
        <v>0</v>
      </c>
      <c r="R509" s="242">
        <f>COUNTIFS('تجربه‌گرها'!$B:$B,$A509,'تجربه‌گرها'!$F:$F,R$1)</f>
        <v>0</v>
      </c>
      <c r="S509" s="242">
        <f>COUNTIFS('تجربه‌گرها'!$B:$B,$A509,'تجربه‌گرها'!$F:$F,S$1)</f>
        <v>0</v>
      </c>
      <c r="T509" s="242">
        <f>COUNTIFS('تجربه‌گرها'!$B:$B,$A509,'تجربه‌گرها'!$F:$F,T$1)</f>
        <v>0</v>
      </c>
      <c r="U509" s="242"/>
      <c r="V509" s="242"/>
      <c r="W509" s="242"/>
      <c r="X509" s="242"/>
      <c r="Y509" s="242"/>
      <c r="Z509" s="242"/>
      <c r="AA509" s="242"/>
      <c r="AB509" s="242"/>
    </row>
    <row r="510" hidden="1">
      <c r="A510" s="244" t="s">
        <v>3402</v>
      </c>
      <c r="B510" s="245" t="str">
        <f>VLOOKUP(A510,'تجربه‌گرها'!B:C,2,FALSE())</f>
        <v>9210895989</v>
      </c>
      <c r="C510" s="242"/>
      <c r="D510" s="242">
        <f t="shared" si="1"/>
        <v>2</v>
      </c>
      <c r="E510" s="242">
        <f>COUNTIFS('تجربه‌گرها'!$B:$B,$A510,'تجربه‌گرها'!$F:$F,E$1)</f>
        <v>0</v>
      </c>
      <c r="F510" s="242">
        <f>COUNTIFS('تجربه‌گرها'!$B:$B,$A510,'تجربه‌گرها'!$F:$F,F$1)</f>
        <v>0</v>
      </c>
      <c r="G510" s="242">
        <f>COUNTIFS('تجربه‌گرها'!$B:$B,$A510,'تجربه‌گرها'!$F:$F,G$1)</f>
        <v>1</v>
      </c>
      <c r="H510" s="242">
        <f>COUNTIFS('تجربه‌گرها'!$B:$B,$A510,'تجربه‌گرها'!$F:$F,H$1)</f>
        <v>0</v>
      </c>
      <c r="I510" s="242">
        <f>COUNTIFS('تجربه‌گرها'!$B:$B,$A510,'تجربه‌گرها'!$F:$F,I$1)</f>
        <v>0</v>
      </c>
      <c r="J510" s="242">
        <f>COUNTIFS('تجربه‌گرها'!$B:$B,$A510,'تجربه‌گرها'!$F:$F,J$1)</f>
        <v>0</v>
      </c>
      <c r="K510" s="242">
        <f>COUNTIFS('تجربه‌گرها'!$B:$B,$A510,'تجربه‌گرها'!$F:$F,K$1)</f>
        <v>0</v>
      </c>
      <c r="L510" s="242">
        <f>COUNTIFS('تجربه‌گرها'!$B:$B,$A510,'تجربه‌گرها'!$F:$F,L$1)</f>
        <v>0</v>
      </c>
      <c r="M510" s="242">
        <f>COUNTIFS('تجربه‌گرها'!$B:$B,$A510,'تجربه‌گرها'!$F:$F,M$1)</f>
        <v>0</v>
      </c>
      <c r="N510" s="242">
        <f>COUNTIFS('تجربه‌گرها'!$B:$B,$A510,'تجربه‌گرها'!$F:$F,N$1)</f>
        <v>1</v>
      </c>
      <c r="O510" s="242">
        <f>COUNTIFS('تجربه‌گرها'!$B:$B,$A510,'تجربه‌گرها'!$F:$F,O$1)</f>
        <v>0</v>
      </c>
      <c r="P510" s="242">
        <f>COUNTIFS('تجربه‌گرها'!$B:$B,$A510,'تجربه‌گرها'!$F:$F,P$1)</f>
        <v>0</v>
      </c>
      <c r="Q510" s="242">
        <f>COUNTIFS('تجربه‌گرها'!$B:$B,$A510,'تجربه‌گرها'!$F:$F,Q$1)</f>
        <v>0</v>
      </c>
      <c r="R510" s="242">
        <f>COUNTIFS('تجربه‌گرها'!$B:$B,$A510,'تجربه‌گرها'!$F:$F,R$1)</f>
        <v>0</v>
      </c>
      <c r="S510" s="242">
        <f>COUNTIFS('تجربه‌گرها'!$B:$B,$A510,'تجربه‌گرها'!$F:$F,S$1)</f>
        <v>0</v>
      </c>
      <c r="T510" s="242">
        <f>COUNTIFS('تجربه‌گرها'!$B:$B,$A510,'تجربه‌گرها'!$F:$F,T$1)</f>
        <v>0</v>
      </c>
      <c r="U510" s="242"/>
      <c r="V510" s="242"/>
      <c r="W510" s="242"/>
      <c r="X510" s="242"/>
      <c r="Y510" s="242"/>
      <c r="Z510" s="242"/>
      <c r="AA510" s="242"/>
      <c r="AB510" s="242"/>
    </row>
    <row r="511" hidden="1">
      <c r="A511" s="244" t="s">
        <v>3408</v>
      </c>
      <c r="B511" s="245" t="str">
        <f>VLOOKUP(A511,'تجربه‌گرها'!B:C,2,FALSE())</f>
        <v>9369915829</v>
      </c>
      <c r="C511" s="242"/>
      <c r="D511" s="242">
        <f t="shared" si="1"/>
        <v>1</v>
      </c>
      <c r="E511" s="242">
        <f>COUNTIFS('تجربه‌گرها'!$B:$B,$A511,'تجربه‌گرها'!$F:$F,E$1)</f>
        <v>0</v>
      </c>
      <c r="F511" s="242">
        <f>COUNTIFS('تجربه‌گرها'!$B:$B,$A511,'تجربه‌گرها'!$F:$F,F$1)</f>
        <v>0</v>
      </c>
      <c r="G511" s="242">
        <f>COUNTIFS('تجربه‌گرها'!$B:$B,$A511,'تجربه‌گرها'!$F:$F,G$1)</f>
        <v>1</v>
      </c>
      <c r="H511" s="242">
        <f>COUNTIFS('تجربه‌گرها'!$B:$B,$A511,'تجربه‌گرها'!$F:$F,H$1)</f>
        <v>0</v>
      </c>
      <c r="I511" s="242">
        <f>COUNTIFS('تجربه‌گرها'!$B:$B,$A511,'تجربه‌گرها'!$F:$F,I$1)</f>
        <v>0</v>
      </c>
      <c r="J511" s="242">
        <f>COUNTIFS('تجربه‌گرها'!$B:$B,$A511,'تجربه‌گرها'!$F:$F,J$1)</f>
        <v>0</v>
      </c>
      <c r="K511" s="242">
        <f>COUNTIFS('تجربه‌گرها'!$B:$B,$A511,'تجربه‌گرها'!$F:$F,K$1)</f>
        <v>0</v>
      </c>
      <c r="L511" s="242">
        <f>COUNTIFS('تجربه‌گرها'!$B:$B,$A511,'تجربه‌گرها'!$F:$F,L$1)</f>
        <v>0</v>
      </c>
      <c r="M511" s="242">
        <f>COUNTIFS('تجربه‌گرها'!$B:$B,$A511,'تجربه‌گرها'!$F:$F,M$1)</f>
        <v>0</v>
      </c>
      <c r="N511" s="242">
        <f>COUNTIFS('تجربه‌گرها'!$B:$B,$A511,'تجربه‌گرها'!$F:$F,N$1)</f>
        <v>0</v>
      </c>
      <c r="O511" s="242">
        <f>COUNTIFS('تجربه‌گرها'!$B:$B,$A511,'تجربه‌گرها'!$F:$F,O$1)</f>
        <v>0</v>
      </c>
      <c r="P511" s="242">
        <f>COUNTIFS('تجربه‌گرها'!$B:$B,$A511,'تجربه‌گرها'!$F:$F,P$1)</f>
        <v>0</v>
      </c>
      <c r="Q511" s="242">
        <f>COUNTIFS('تجربه‌گرها'!$B:$B,$A511,'تجربه‌گرها'!$F:$F,Q$1)</f>
        <v>0</v>
      </c>
      <c r="R511" s="242">
        <f>COUNTIFS('تجربه‌گرها'!$B:$B,$A511,'تجربه‌گرها'!$F:$F,R$1)</f>
        <v>0</v>
      </c>
      <c r="S511" s="242">
        <f>COUNTIFS('تجربه‌گرها'!$B:$B,$A511,'تجربه‌گرها'!$F:$F,S$1)</f>
        <v>0</v>
      </c>
      <c r="T511" s="242">
        <f>COUNTIFS('تجربه‌گرها'!$B:$B,$A511,'تجربه‌گرها'!$F:$F,T$1)</f>
        <v>0</v>
      </c>
      <c r="U511" s="242"/>
      <c r="V511" s="242"/>
      <c r="W511" s="242"/>
      <c r="X511" s="242"/>
      <c r="Y511" s="242"/>
      <c r="Z511" s="242"/>
      <c r="AA511" s="242"/>
      <c r="AB511" s="242"/>
    </row>
    <row r="512" hidden="1">
      <c r="A512" s="244" t="s">
        <v>3414</v>
      </c>
      <c r="B512" s="245" t="str">
        <f>VLOOKUP(A512,'تجربه‌گرها'!B:C,2,FALSE())</f>
        <v>9369958764</v>
      </c>
      <c r="C512" s="242"/>
      <c r="D512" s="242">
        <f t="shared" si="1"/>
        <v>1</v>
      </c>
      <c r="E512" s="242">
        <f>COUNTIFS('تجربه‌گرها'!$B:$B,$A512,'تجربه‌گرها'!$F:$F,E$1)</f>
        <v>0</v>
      </c>
      <c r="F512" s="242">
        <f>COUNTIFS('تجربه‌گرها'!$B:$B,$A512,'تجربه‌گرها'!$F:$F,F$1)</f>
        <v>0</v>
      </c>
      <c r="G512" s="242">
        <f>COUNTIFS('تجربه‌گرها'!$B:$B,$A512,'تجربه‌گرها'!$F:$F,G$1)</f>
        <v>1</v>
      </c>
      <c r="H512" s="242">
        <f>COUNTIFS('تجربه‌گرها'!$B:$B,$A512,'تجربه‌گرها'!$F:$F,H$1)</f>
        <v>0</v>
      </c>
      <c r="I512" s="242">
        <f>COUNTIFS('تجربه‌گرها'!$B:$B,$A512,'تجربه‌گرها'!$F:$F,I$1)</f>
        <v>0</v>
      </c>
      <c r="J512" s="242">
        <f>COUNTIFS('تجربه‌گرها'!$B:$B,$A512,'تجربه‌گرها'!$F:$F,J$1)</f>
        <v>0</v>
      </c>
      <c r="K512" s="242">
        <f>COUNTIFS('تجربه‌گرها'!$B:$B,$A512,'تجربه‌گرها'!$F:$F,K$1)</f>
        <v>0</v>
      </c>
      <c r="L512" s="242">
        <f>COUNTIFS('تجربه‌گرها'!$B:$B,$A512,'تجربه‌گرها'!$F:$F,L$1)</f>
        <v>0</v>
      </c>
      <c r="M512" s="242">
        <f>COUNTIFS('تجربه‌گرها'!$B:$B,$A512,'تجربه‌گرها'!$F:$F,M$1)</f>
        <v>0</v>
      </c>
      <c r="N512" s="242">
        <f>COUNTIFS('تجربه‌گرها'!$B:$B,$A512,'تجربه‌گرها'!$F:$F,N$1)</f>
        <v>0</v>
      </c>
      <c r="O512" s="242">
        <f>COUNTIFS('تجربه‌گرها'!$B:$B,$A512,'تجربه‌گرها'!$F:$F,O$1)</f>
        <v>0</v>
      </c>
      <c r="P512" s="242">
        <f>COUNTIFS('تجربه‌گرها'!$B:$B,$A512,'تجربه‌گرها'!$F:$F,P$1)</f>
        <v>0</v>
      </c>
      <c r="Q512" s="242">
        <f>COUNTIFS('تجربه‌گرها'!$B:$B,$A512,'تجربه‌گرها'!$F:$F,Q$1)</f>
        <v>0</v>
      </c>
      <c r="R512" s="242">
        <f>COUNTIFS('تجربه‌گرها'!$B:$B,$A512,'تجربه‌گرها'!$F:$F,R$1)</f>
        <v>0</v>
      </c>
      <c r="S512" s="242">
        <f>COUNTIFS('تجربه‌گرها'!$B:$B,$A512,'تجربه‌گرها'!$F:$F,S$1)</f>
        <v>0</v>
      </c>
      <c r="T512" s="242">
        <f>COUNTIFS('تجربه‌گرها'!$B:$B,$A512,'تجربه‌گرها'!$F:$F,T$1)</f>
        <v>0</v>
      </c>
      <c r="U512" s="242"/>
      <c r="V512" s="242"/>
      <c r="W512" s="242"/>
      <c r="X512" s="242"/>
      <c r="Y512" s="242"/>
      <c r="Z512" s="242"/>
      <c r="AA512" s="242"/>
      <c r="AB512" s="242"/>
    </row>
    <row r="513" hidden="1">
      <c r="A513" s="244" t="s">
        <v>3419</v>
      </c>
      <c r="B513" s="245" t="str">
        <f>VLOOKUP(A513,'تجربه‌گرها'!B:C,2,FALSE())</f>
        <v>9384949646</v>
      </c>
      <c r="C513" s="242"/>
      <c r="D513" s="242">
        <f t="shared" si="1"/>
        <v>1</v>
      </c>
      <c r="E513" s="242">
        <f>COUNTIFS('تجربه‌گرها'!$B:$B,$A513,'تجربه‌گرها'!$F:$F,E$1)</f>
        <v>0</v>
      </c>
      <c r="F513" s="242">
        <f>COUNTIFS('تجربه‌گرها'!$B:$B,$A513,'تجربه‌گرها'!$F:$F,F$1)</f>
        <v>0</v>
      </c>
      <c r="G513" s="242">
        <f>COUNTIFS('تجربه‌گرها'!$B:$B,$A513,'تجربه‌گرها'!$F:$F,G$1)</f>
        <v>1</v>
      </c>
      <c r="H513" s="242">
        <f>COUNTIFS('تجربه‌گرها'!$B:$B,$A513,'تجربه‌گرها'!$F:$F,H$1)</f>
        <v>0</v>
      </c>
      <c r="I513" s="242">
        <f>COUNTIFS('تجربه‌گرها'!$B:$B,$A513,'تجربه‌گرها'!$F:$F,I$1)</f>
        <v>0</v>
      </c>
      <c r="J513" s="242">
        <f>COUNTIFS('تجربه‌گرها'!$B:$B,$A513,'تجربه‌گرها'!$F:$F,J$1)</f>
        <v>0</v>
      </c>
      <c r="K513" s="242">
        <f>COUNTIFS('تجربه‌گرها'!$B:$B,$A513,'تجربه‌گرها'!$F:$F,K$1)</f>
        <v>0</v>
      </c>
      <c r="L513" s="242">
        <f>COUNTIFS('تجربه‌گرها'!$B:$B,$A513,'تجربه‌گرها'!$F:$F,L$1)</f>
        <v>0</v>
      </c>
      <c r="M513" s="242">
        <f>COUNTIFS('تجربه‌گرها'!$B:$B,$A513,'تجربه‌گرها'!$F:$F,M$1)</f>
        <v>0</v>
      </c>
      <c r="N513" s="242">
        <f>COUNTIFS('تجربه‌گرها'!$B:$B,$A513,'تجربه‌گرها'!$F:$F,N$1)</f>
        <v>0</v>
      </c>
      <c r="O513" s="242">
        <f>COUNTIFS('تجربه‌گرها'!$B:$B,$A513,'تجربه‌گرها'!$F:$F,O$1)</f>
        <v>0</v>
      </c>
      <c r="P513" s="242">
        <f>COUNTIFS('تجربه‌گرها'!$B:$B,$A513,'تجربه‌گرها'!$F:$F,P$1)</f>
        <v>0</v>
      </c>
      <c r="Q513" s="242">
        <f>COUNTIFS('تجربه‌گرها'!$B:$B,$A513,'تجربه‌گرها'!$F:$F,Q$1)</f>
        <v>0</v>
      </c>
      <c r="R513" s="242">
        <f>COUNTIFS('تجربه‌گرها'!$B:$B,$A513,'تجربه‌گرها'!$F:$F,R$1)</f>
        <v>0</v>
      </c>
      <c r="S513" s="242">
        <f>COUNTIFS('تجربه‌گرها'!$B:$B,$A513,'تجربه‌گرها'!$F:$F,S$1)</f>
        <v>0</v>
      </c>
      <c r="T513" s="242">
        <f>COUNTIFS('تجربه‌گرها'!$B:$B,$A513,'تجربه‌گرها'!$F:$F,T$1)</f>
        <v>0</v>
      </c>
      <c r="U513" s="242"/>
      <c r="V513" s="242"/>
      <c r="W513" s="242"/>
      <c r="X513" s="242"/>
      <c r="Y513" s="242"/>
      <c r="Z513" s="242"/>
      <c r="AA513" s="242"/>
      <c r="AB513" s="242"/>
    </row>
    <row r="514">
      <c r="A514" s="244" t="s">
        <v>3423</v>
      </c>
      <c r="B514" s="245" t="str">
        <f>VLOOKUP(A514,'تجربه‌گرها'!B:C,2,FALSE())</f>
        <v>9017963311</v>
      </c>
      <c r="C514" s="242"/>
      <c r="D514" s="242">
        <f t="shared" si="1"/>
        <v>2</v>
      </c>
      <c r="E514" s="242">
        <f>COUNTIFS('تجربه‌گرها'!$B:$B,$A514,'تجربه‌گرها'!$F:$F,E$1)</f>
        <v>0</v>
      </c>
      <c r="F514" s="242">
        <f>COUNTIFS('تجربه‌گرها'!$B:$B,$A514,'تجربه‌گرها'!$F:$F,F$1)</f>
        <v>0</v>
      </c>
      <c r="G514" s="242">
        <f>COUNTIFS('تجربه‌گرها'!$B:$B,$A514,'تجربه‌گرها'!$F:$F,G$1)</f>
        <v>1</v>
      </c>
      <c r="H514" s="242">
        <f>COUNTIFS('تجربه‌گرها'!$B:$B,$A514,'تجربه‌گرها'!$F:$F,H$1)</f>
        <v>0</v>
      </c>
      <c r="I514" s="242">
        <f>COUNTIFS('تجربه‌گرها'!$B:$B,$A514,'تجربه‌گرها'!$F:$F,I$1)</f>
        <v>1</v>
      </c>
      <c r="J514" s="242">
        <f>COUNTIFS('تجربه‌گرها'!$B:$B,$A514,'تجربه‌گرها'!$F:$F,J$1)</f>
        <v>0</v>
      </c>
      <c r="K514" s="242">
        <f>COUNTIFS('تجربه‌گرها'!$B:$B,$A514,'تجربه‌گرها'!$F:$F,K$1)</f>
        <v>0</v>
      </c>
      <c r="L514" s="242">
        <f>COUNTIFS('تجربه‌گرها'!$B:$B,$A514,'تجربه‌گرها'!$F:$F,L$1)</f>
        <v>0</v>
      </c>
      <c r="M514" s="242">
        <f>COUNTIFS('تجربه‌گرها'!$B:$B,$A514,'تجربه‌گرها'!$F:$F,M$1)</f>
        <v>0</v>
      </c>
      <c r="N514" s="242">
        <f>COUNTIFS('تجربه‌گرها'!$B:$B,$A514,'تجربه‌گرها'!$F:$F,N$1)</f>
        <v>0</v>
      </c>
      <c r="O514" s="242">
        <f>COUNTIFS('تجربه‌گرها'!$B:$B,$A514,'تجربه‌گرها'!$F:$F,O$1)</f>
        <v>0</v>
      </c>
      <c r="P514" s="242">
        <f>COUNTIFS('تجربه‌گرها'!$B:$B,$A514,'تجربه‌گرها'!$F:$F,P$1)</f>
        <v>0</v>
      </c>
      <c r="Q514" s="242">
        <f>COUNTIFS('تجربه‌گرها'!$B:$B,$A514,'تجربه‌گرها'!$F:$F,Q$1)</f>
        <v>0</v>
      </c>
      <c r="R514" s="242">
        <f>COUNTIFS('تجربه‌گرها'!$B:$B,$A514,'تجربه‌گرها'!$F:$F,R$1)</f>
        <v>0</v>
      </c>
      <c r="S514" s="242">
        <f>COUNTIFS('تجربه‌گرها'!$B:$B,$A514,'تجربه‌گرها'!$F:$F,S$1)</f>
        <v>0</v>
      </c>
      <c r="T514" s="242">
        <f>COUNTIFS('تجربه‌گرها'!$B:$B,$A514,'تجربه‌گرها'!$F:$F,T$1)</f>
        <v>0</v>
      </c>
      <c r="U514" s="242"/>
      <c r="V514" s="242"/>
      <c r="W514" s="242"/>
      <c r="X514" s="242"/>
      <c r="Y514" s="242"/>
      <c r="Z514" s="242"/>
      <c r="AA514" s="242"/>
      <c r="AB514" s="242"/>
    </row>
    <row r="515" hidden="1">
      <c r="A515" s="244" t="s">
        <v>3428</v>
      </c>
      <c r="B515" s="245" t="str">
        <f>VLOOKUP(A515,'تجربه‌گرها'!B:C,2,FALSE())</f>
        <v>9371977359</v>
      </c>
      <c r="C515" s="242"/>
      <c r="D515" s="242">
        <f t="shared" si="1"/>
        <v>1</v>
      </c>
      <c r="E515" s="242">
        <f>COUNTIFS('تجربه‌گرها'!$B:$B,$A515,'تجربه‌گرها'!$F:$F,E$1)</f>
        <v>0</v>
      </c>
      <c r="F515" s="242">
        <f>COUNTIFS('تجربه‌گرها'!$B:$B,$A515,'تجربه‌گرها'!$F:$F,F$1)</f>
        <v>0</v>
      </c>
      <c r="G515" s="242">
        <f>COUNTIFS('تجربه‌گرها'!$B:$B,$A515,'تجربه‌گرها'!$F:$F,G$1)</f>
        <v>1</v>
      </c>
      <c r="H515" s="242">
        <f>COUNTIFS('تجربه‌گرها'!$B:$B,$A515,'تجربه‌گرها'!$F:$F,H$1)</f>
        <v>0</v>
      </c>
      <c r="I515" s="242">
        <f>COUNTIFS('تجربه‌گرها'!$B:$B,$A515,'تجربه‌گرها'!$F:$F,I$1)</f>
        <v>0</v>
      </c>
      <c r="J515" s="242">
        <f>COUNTIFS('تجربه‌گرها'!$B:$B,$A515,'تجربه‌گرها'!$F:$F,J$1)</f>
        <v>0</v>
      </c>
      <c r="K515" s="242">
        <f>COUNTIFS('تجربه‌گرها'!$B:$B,$A515,'تجربه‌گرها'!$F:$F,K$1)</f>
        <v>0</v>
      </c>
      <c r="L515" s="242">
        <f>COUNTIFS('تجربه‌گرها'!$B:$B,$A515,'تجربه‌گرها'!$F:$F,L$1)</f>
        <v>0</v>
      </c>
      <c r="M515" s="242">
        <f>COUNTIFS('تجربه‌گرها'!$B:$B,$A515,'تجربه‌گرها'!$F:$F,M$1)</f>
        <v>0</v>
      </c>
      <c r="N515" s="242">
        <f>COUNTIFS('تجربه‌گرها'!$B:$B,$A515,'تجربه‌گرها'!$F:$F,N$1)</f>
        <v>0</v>
      </c>
      <c r="O515" s="242">
        <f>COUNTIFS('تجربه‌گرها'!$B:$B,$A515,'تجربه‌گرها'!$F:$F,O$1)</f>
        <v>0</v>
      </c>
      <c r="P515" s="242">
        <f>COUNTIFS('تجربه‌گرها'!$B:$B,$A515,'تجربه‌گرها'!$F:$F,P$1)</f>
        <v>0</v>
      </c>
      <c r="Q515" s="242">
        <f>COUNTIFS('تجربه‌گرها'!$B:$B,$A515,'تجربه‌گرها'!$F:$F,Q$1)</f>
        <v>0</v>
      </c>
      <c r="R515" s="242">
        <f>COUNTIFS('تجربه‌گرها'!$B:$B,$A515,'تجربه‌گرها'!$F:$F,R$1)</f>
        <v>0</v>
      </c>
      <c r="S515" s="242">
        <f>COUNTIFS('تجربه‌گرها'!$B:$B,$A515,'تجربه‌گرها'!$F:$F,S$1)</f>
        <v>0</v>
      </c>
      <c r="T515" s="242">
        <f>COUNTIFS('تجربه‌گرها'!$B:$B,$A515,'تجربه‌گرها'!$F:$F,T$1)</f>
        <v>0</v>
      </c>
      <c r="U515" s="242"/>
      <c r="V515" s="242"/>
      <c r="W515" s="242"/>
      <c r="X515" s="242"/>
      <c r="Y515" s="242"/>
      <c r="Z515" s="242"/>
      <c r="AA515" s="242"/>
      <c r="AB515" s="242"/>
    </row>
    <row r="516" hidden="1">
      <c r="A516" s="244" t="s">
        <v>3434</v>
      </c>
      <c r="B516" s="245" t="str">
        <f>VLOOKUP(A516,'تجربه‌گرها'!B:C,2,FALSE())</f>
        <v>9144873093</v>
      </c>
      <c r="C516" s="242"/>
      <c r="D516" s="242">
        <f t="shared" si="1"/>
        <v>1</v>
      </c>
      <c r="E516" s="242">
        <f>COUNTIFS('تجربه‌گرها'!$B:$B,$A516,'تجربه‌گرها'!$F:$F,E$1)</f>
        <v>0</v>
      </c>
      <c r="F516" s="242">
        <f>COUNTIFS('تجربه‌گرها'!$B:$B,$A516,'تجربه‌گرها'!$F:$F,F$1)</f>
        <v>0</v>
      </c>
      <c r="G516" s="242">
        <f>COUNTIFS('تجربه‌گرها'!$B:$B,$A516,'تجربه‌گرها'!$F:$F,G$1)</f>
        <v>1</v>
      </c>
      <c r="H516" s="242">
        <f>COUNTIFS('تجربه‌گرها'!$B:$B,$A516,'تجربه‌گرها'!$F:$F,H$1)</f>
        <v>0</v>
      </c>
      <c r="I516" s="242">
        <f>COUNTIFS('تجربه‌گرها'!$B:$B,$A516,'تجربه‌گرها'!$F:$F,I$1)</f>
        <v>0</v>
      </c>
      <c r="J516" s="242">
        <f>COUNTIFS('تجربه‌گرها'!$B:$B,$A516,'تجربه‌گرها'!$F:$F,J$1)</f>
        <v>0</v>
      </c>
      <c r="K516" s="242">
        <f>COUNTIFS('تجربه‌گرها'!$B:$B,$A516,'تجربه‌گرها'!$F:$F,K$1)</f>
        <v>0</v>
      </c>
      <c r="L516" s="242">
        <f>COUNTIFS('تجربه‌گرها'!$B:$B,$A516,'تجربه‌گرها'!$F:$F,L$1)</f>
        <v>0</v>
      </c>
      <c r="M516" s="242">
        <f>COUNTIFS('تجربه‌گرها'!$B:$B,$A516,'تجربه‌گرها'!$F:$F,M$1)</f>
        <v>0</v>
      </c>
      <c r="N516" s="242">
        <f>COUNTIFS('تجربه‌گرها'!$B:$B,$A516,'تجربه‌گرها'!$F:$F,N$1)</f>
        <v>0</v>
      </c>
      <c r="O516" s="242">
        <f>COUNTIFS('تجربه‌گرها'!$B:$B,$A516,'تجربه‌گرها'!$F:$F,O$1)</f>
        <v>0</v>
      </c>
      <c r="P516" s="242">
        <f>COUNTIFS('تجربه‌گرها'!$B:$B,$A516,'تجربه‌گرها'!$F:$F,P$1)</f>
        <v>0</v>
      </c>
      <c r="Q516" s="242">
        <f>COUNTIFS('تجربه‌گرها'!$B:$B,$A516,'تجربه‌گرها'!$F:$F,Q$1)</f>
        <v>0</v>
      </c>
      <c r="R516" s="242">
        <f>COUNTIFS('تجربه‌گرها'!$B:$B,$A516,'تجربه‌گرها'!$F:$F,R$1)</f>
        <v>0</v>
      </c>
      <c r="S516" s="242">
        <f>COUNTIFS('تجربه‌گرها'!$B:$B,$A516,'تجربه‌گرها'!$F:$F,S$1)</f>
        <v>0</v>
      </c>
      <c r="T516" s="242">
        <f>COUNTIFS('تجربه‌گرها'!$B:$B,$A516,'تجربه‌گرها'!$F:$F,T$1)</f>
        <v>0</v>
      </c>
      <c r="U516" s="242"/>
      <c r="V516" s="242"/>
      <c r="W516" s="242"/>
      <c r="X516" s="242"/>
      <c r="Y516" s="242"/>
      <c r="Z516" s="242"/>
      <c r="AA516" s="242"/>
      <c r="AB516" s="242"/>
    </row>
    <row r="517" hidden="1">
      <c r="A517" s="244" t="s">
        <v>3439</v>
      </c>
      <c r="B517" s="245" t="str">
        <f>VLOOKUP(A517,'تجربه‌گرها'!B:C,2,FALSE())</f>
        <v>9193218398</v>
      </c>
      <c r="C517" s="242"/>
      <c r="D517" s="242">
        <f t="shared" si="1"/>
        <v>1</v>
      </c>
      <c r="E517" s="242">
        <f>COUNTIFS('تجربه‌گرها'!$B:$B,$A517,'تجربه‌گرها'!$F:$F,E$1)</f>
        <v>0</v>
      </c>
      <c r="F517" s="242">
        <f>COUNTIFS('تجربه‌گرها'!$B:$B,$A517,'تجربه‌گرها'!$F:$F,F$1)</f>
        <v>0</v>
      </c>
      <c r="G517" s="242">
        <f>COUNTIFS('تجربه‌گرها'!$B:$B,$A517,'تجربه‌گرها'!$F:$F,G$1)</f>
        <v>1</v>
      </c>
      <c r="H517" s="242">
        <f>COUNTIFS('تجربه‌گرها'!$B:$B,$A517,'تجربه‌گرها'!$F:$F,H$1)</f>
        <v>0</v>
      </c>
      <c r="I517" s="242">
        <f>COUNTIFS('تجربه‌گرها'!$B:$B,$A517,'تجربه‌گرها'!$F:$F,I$1)</f>
        <v>0</v>
      </c>
      <c r="J517" s="242">
        <f>COUNTIFS('تجربه‌گرها'!$B:$B,$A517,'تجربه‌گرها'!$F:$F,J$1)</f>
        <v>0</v>
      </c>
      <c r="K517" s="242">
        <f>COUNTIFS('تجربه‌گرها'!$B:$B,$A517,'تجربه‌گرها'!$F:$F,K$1)</f>
        <v>0</v>
      </c>
      <c r="L517" s="242">
        <f>COUNTIFS('تجربه‌گرها'!$B:$B,$A517,'تجربه‌گرها'!$F:$F,L$1)</f>
        <v>0</v>
      </c>
      <c r="M517" s="242">
        <f>COUNTIFS('تجربه‌گرها'!$B:$B,$A517,'تجربه‌گرها'!$F:$F,M$1)</f>
        <v>0</v>
      </c>
      <c r="N517" s="242">
        <f>COUNTIFS('تجربه‌گرها'!$B:$B,$A517,'تجربه‌گرها'!$F:$F,N$1)</f>
        <v>0</v>
      </c>
      <c r="O517" s="242">
        <f>COUNTIFS('تجربه‌گرها'!$B:$B,$A517,'تجربه‌گرها'!$F:$F,O$1)</f>
        <v>0</v>
      </c>
      <c r="P517" s="242">
        <f>COUNTIFS('تجربه‌گرها'!$B:$B,$A517,'تجربه‌گرها'!$F:$F,P$1)</f>
        <v>0</v>
      </c>
      <c r="Q517" s="242">
        <f>COUNTIFS('تجربه‌گرها'!$B:$B,$A517,'تجربه‌گرها'!$F:$F,Q$1)</f>
        <v>0</v>
      </c>
      <c r="R517" s="242">
        <f>COUNTIFS('تجربه‌گرها'!$B:$B,$A517,'تجربه‌گرها'!$F:$F,R$1)</f>
        <v>0</v>
      </c>
      <c r="S517" s="242">
        <f>COUNTIFS('تجربه‌گرها'!$B:$B,$A517,'تجربه‌گرها'!$F:$F,S$1)</f>
        <v>0</v>
      </c>
      <c r="T517" s="242">
        <f>COUNTIFS('تجربه‌گرها'!$B:$B,$A517,'تجربه‌گرها'!$F:$F,T$1)</f>
        <v>0</v>
      </c>
      <c r="U517" s="242"/>
      <c r="V517" s="242"/>
      <c r="W517" s="242"/>
      <c r="X517" s="242"/>
      <c r="Y517" s="242"/>
      <c r="Z517" s="242"/>
      <c r="AA517" s="242"/>
      <c r="AB517" s="242"/>
    </row>
    <row r="518">
      <c r="A518" s="244" t="s">
        <v>3444</v>
      </c>
      <c r="B518" s="245" t="str">
        <f>VLOOKUP(A518,'تجربه‌گرها'!B:C,2,FALSE())</f>
        <v>9125140924</v>
      </c>
      <c r="C518" s="242"/>
      <c r="D518" s="242">
        <f t="shared" si="1"/>
        <v>1</v>
      </c>
      <c r="E518" s="242">
        <f>COUNTIFS('تجربه‌گرها'!$B:$B,$A518,'تجربه‌گرها'!$F:$F,E$1)</f>
        <v>0</v>
      </c>
      <c r="F518" s="242">
        <f>COUNTIFS('تجربه‌گرها'!$B:$B,$A518,'تجربه‌گرها'!$F:$F,F$1)</f>
        <v>0</v>
      </c>
      <c r="G518" s="242">
        <f>COUNTIFS('تجربه‌گرها'!$B:$B,$A518,'تجربه‌گرها'!$F:$F,G$1)</f>
        <v>1</v>
      </c>
      <c r="H518" s="242">
        <f>COUNTIFS('تجربه‌گرها'!$B:$B,$A518,'تجربه‌گرها'!$F:$F,H$1)</f>
        <v>0</v>
      </c>
      <c r="I518" s="242">
        <f>COUNTIFS('تجربه‌گرها'!$B:$B,$A518,'تجربه‌گرها'!$F:$F,I$1)</f>
        <v>0</v>
      </c>
      <c r="J518" s="242">
        <f>COUNTIFS('تجربه‌گرها'!$B:$B,$A518,'تجربه‌گرها'!$F:$F,J$1)</f>
        <v>0</v>
      </c>
      <c r="K518" s="242">
        <f>COUNTIFS('تجربه‌گرها'!$B:$B,$A518,'تجربه‌گرها'!$F:$F,K$1)</f>
        <v>0</v>
      </c>
      <c r="L518" s="242">
        <f>COUNTIFS('تجربه‌گرها'!$B:$B,$A518,'تجربه‌گرها'!$F:$F,L$1)</f>
        <v>0</v>
      </c>
      <c r="M518" s="242">
        <f>COUNTIFS('تجربه‌گرها'!$B:$B,$A518,'تجربه‌گرها'!$F:$F,M$1)</f>
        <v>0</v>
      </c>
      <c r="N518" s="242">
        <f>COUNTIFS('تجربه‌گرها'!$B:$B,$A518,'تجربه‌گرها'!$F:$F,N$1)</f>
        <v>0</v>
      </c>
      <c r="O518" s="242">
        <f>COUNTIFS('تجربه‌گرها'!$B:$B,$A518,'تجربه‌گرها'!$F:$F,O$1)</f>
        <v>0</v>
      </c>
      <c r="P518" s="242">
        <f>COUNTIFS('تجربه‌گرها'!$B:$B,$A518,'تجربه‌گرها'!$F:$F,P$1)</f>
        <v>0</v>
      </c>
      <c r="Q518" s="242">
        <f>COUNTIFS('تجربه‌گرها'!$B:$B,$A518,'تجربه‌گرها'!$F:$F,Q$1)</f>
        <v>0</v>
      </c>
      <c r="R518" s="242">
        <f>COUNTIFS('تجربه‌گرها'!$B:$B,$A518,'تجربه‌گرها'!$F:$F,R$1)</f>
        <v>0</v>
      </c>
      <c r="S518" s="242">
        <f>COUNTIFS('تجربه‌گرها'!$B:$B,$A518,'تجربه‌گرها'!$F:$F,S$1)</f>
        <v>0</v>
      </c>
      <c r="T518" s="242">
        <f>COUNTIFS('تجربه‌گرها'!$B:$B,$A518,'تجربه‌گرها'!$F:$F,T$1)</f>
        <v>0</v>
      </c>
      <c r="U518" s="242"/>
      <c r="V518" s="242"/>
      <c r="W518" s="242"/>
      <c r="X518" s="242"/>
      <c r="Y518" s="242"/>
      <c r="Z518" s="242"/>
      <c r="AA518" s="242"/>
      <c r="AB518" s="242"/>
    </row>
    <row r="519" hidden="1">
      <c r="A519" s="244" t="s">
        <v>3449</v>
      </c>
      <c r="B519" s="245" t="str">
        <f>VLOOKUP(A519,'تجربه‌گرها'!B:C,2,FALSE())</f>
        <v>9128801664</v>
      </c>
      <c r="C519" s="242"/>
      <c r="D519" s="242">
        <f t="shared" si="1"/>
        <v>1</v>
      </c>
      <c r="E519" s="242">
        <f>COUNTIFS('تجربه‌گرها'!$B:$B,$A519,'تجربه‌گرها'!$F:$F,E$1)</f>
        <v>0</v>
      </c>
      <c r="F519" s="242">
        <f>COUNTIFS('تجربه‌گرها'!$B:$B,$A519,'تجربه‌گرها'!$F:$F,F$1)</f>
        <v>0</v>
      </c>
      <c r="G519" s="242">
        <f>COUNTIFS('تجربه‌گرها'!$B:$B,$A519,'تجربه‌گرها'!$F:$F,G$1)</f>
        <v>1</v>
      </c>
      <c r="H519" s="242">
        <f>COUNTIFS('تجربه‌گرها'!$B:$B,$A519,'تجربه‌گرها'!$F:$F,H$1)</f>
        <v>0</v>
      </c>
      <c r="I519" s="242">
        <f>COUNTIFS('تجربه‌گرها'!$B:$B,$A519,'تجربه‌گرها'!$F:$F,I$1)</f>
        <v>0</v>
      </c>
      <c r="J519" s="242">
        <f>COUNTIFS('تجربه‌گرها'!$B:$B,$A519,'تجربه‌گرها'!$F:$F,J$1)</f>
        <v>0</v>
      </c>
      <c r="K519" s="242">
        <f>COUNTIFS('تجربه‌گرها'!$B:$B,$A519,'تجربه‌گرها'!$F:$F,K$1)</f>
        <v>0</v>
      </c>
      <c r="L519" s="242">
        <f>COUNTIFS('تجربه‌گرها'!$B:$B,$A519,'تجربه‌گرها'!$F:$F,L$1)</f>
        <v>0</v>
      </c>
      <c r="M519" s="242">
        <f>COUNTIFS('تجربه‌گرها'!$B:$B,$A519,'تجربه‌گرها'!$F:$F,M$1)</f>
        <v>0</v>
      </c>
      <c r="N519" s="242">
        <f>COUNTIFS('تجربه‌گرها'!$B:$B,$A519,'تجربه‌گرها'!$F:$F,N$1)</f>
        <v>0</v>
      </c>
      <c r="O519" s="242">
        <f>COUNTIFS('تجربه‌گرها'!$B:$B,$A519,'تجربه‌گرها'!$F:$F,O$1)</f>
        <v>0</v>
      </c>
      <c r="P519" s="242">
        <f>COUNTIFS('تجربه‌گرها'!$B:$B,$A519,'تجربه‌گرها'!$F:$F,P$1)</f>
        <v>0</v>
      </c>
      <c r="Q519" s="242">
        <f>COUNTIFS('تجربه‌گرها'!$B:$B,$A519,'تجربه‌گرها'!$F:$F,Q$1)</f>
        <v>0</v>
      </c>
      <c r="R519" s="242">
        <f>COUNTIFS('تجربه‌گرها'!$B:$B,$A519,'تجربه‌گرها'!$F:$F,R$1)</f>
        <v>0</v>
      </c>
      <c r="S519" s="242">
        <f>COUNTIFS('تجربه‌گرها'!$B:$B,$A519,'تجربه‌گرها'!$F:$F,S$1)</f>
        <v>0</v>
      </c>
      <c r="T519" s="242">
        <f>COUNTIFS('تجربه‌گرها'!$B:$B,$A519,'تجربه‌گرها'!$F:$F,T$1)</f>
        <v>0</v>
      </c>
      <c r="U519" s="242"/>
      <c r="V519" s="242"/>
      <c r="W519" s="242"/>
      <c r="X519" s="242"/>
      <c r="Y519" s="242"/>
      <c r="Z519" s="242"/>
      <c r="AA519" s="242"/>
      <c r="AB519" s="242"/>
    </row>
    <row r="520" hidden="1">
      <c r="A520" s="244" t="s">
        <v>3455</v>
      </c>
      <c r="B520" s="245" t="str">
        <f>VLOOKUP(A520,'تجربه‌گرها'!B:C,2,FALSE())</f>
        <v>9361846577</v>
      </c>
      <c r="C520" s="242"/>
      <c r="D520" s="242">
        <f t="shared" si="1"/>
        <v>1</v>
      </c>
      <c r="E520" s="242">
        <f>COUNTIFS('تجربه‌گرها'!$B:$B,$A520,'تجربه‌گرها'!$F:$F,E$1)</f>
        <v>0</v>
      </c>
      <c r="F520" s="242">
        <f>COUNTIFS('تجربه‌گرها'!$B:$B,$A520,'تجربه‌گرها'!$F:$F,F$1)</f>
        <v>0</v>
      </c>
      <c r="G520" s="242">
        <f>COUNTIFS('تجربه‌گرها'!$B:$B,$A520,'تجربه‌گرها'!$F:$F,G$1)</f>
        <v>1</v>
      </c>
      <c r="H520" s="242">
        <f>COUNTIFS('تجربه‌گرها'!$B:$B,$A520,'تجربه‌گرها'!$F:$F,H$1)</f>
        <v>0</v>
      </c>
      <c r="I520" s="242">
        <f>COUNTIFS('تجربه‌گرها'!$B:$B,$A520,'تجربه‌گرها'!$F:$F,I$1)</f>
        <v>0</v>
      </c>
      <c r="J520" s="242">
        <f>COUNTIFS('تجربه‌گرها'!$B:$B,$A520,'تجربه‌گرها'!$F:$F,J$1)</f>
        <v>0</v>
      </c>
      <c r="K520" s="242">
        <f>COUNTIFS('تجربه‌گرها'!$B:$B,$A520,'تجربه‌گرها'!$F:$F,K$1)</f>
        <v>0</v>
      </c>
      <c r="L520" s="242">
        <f>COUNTIFS('تجربه‌گرها'!$B:$B,$A520,'تجربه‌گرها'!$F:$F,L$1)</f>
        <v>0</v>
      </c>
      <c r="M520" s="242">
        <f>COUNTIFS('تجربه‌گرها'!$B:$B,$A520,'تجربه‌گرها'!$F:$F,M$1)</f>
        <v>0</v>
      </c>
      <c r="N520" s="242">
        <f>COUNTIFS('تجربه‌گرها'!$B:$B,$A520,'تجربه‌گرها'!$F:$F,N$1)</f>
        <v>0</v>
      </c>
      <c r="O520" s="242">
        <f>COUNTIFS('تجربه‌گرها'!$B:$B,$A520,'تجربه‌گرها'!$F:$F,O$1)</f>
        <v>0</v>
      </c>
      <c r="P520" s="242">
        <f>COUNTIFS('تجربه‌گرها'!$B:$B,$A520,'تجربه‌گرها'!$F:$F,P$1)</f>
        <v>0</v>
      </c>
      <c r="Q520" s="242">
        <f>COUNTIFS('تجربه‌گرها'!$B:$B,$A520,'تجربه‌گرها'!$F:$F,Q$1)</f>
        <v>0</v>
      </c>
      <c r="R520" s="242">
        <f>COUNTIFS('تجربه‌گرها'!$B:$B,$A520,'تجربه‌گرها'!$F:$F,R$1)</f>
        <v>0</v>
      </c>
      <c r="S520" s="242">
        <f>COUNTIFS('تجربه‌گرها'!$B:$B,$A520,'تجربه‌گرها'!$F:$F,S$1)</f>
        <v>0</v>
      </c>
      <c r="T520" s="242">
        <f>COUNTIFS('تجربه‌گرها'!$B:$B,$A520,'تجربه‌گرها'!$F:$F,T$1)</f>
        <v>0</v>
      </c>
      <c r="U520" s="242"/>
      <c r="V520" s="242"/>
      <c r="W520" s="242"/>
      <c r="X520" s="242"/>
      <c r="Y520" s="242"/>
      <c r="Z520" s="242"/>
      <c r="AA520" s="242"/>
      <c r="AB520" s="242"/>
    </row>
    <row r="521" hidden="1">
      <c r="A521" s="244" t="s">
        <v>3460</v>
      </c>
      <c r="B521" s="245" t="str">
        <f>VLOOKUP(A521,'تجربه‌گرها'!B:C,2,FALSE())</f>
        <v>9134819020</v>
      </c>
      <c r="C521" s="242"/>
      <c r="D521" s="242">
        <f t="shared" si="1"/>
        <v>1</v>
      </c>
      <c r="E521" s="242">
        <f>COUNTIFS('تجربه‌گرها'!$B:$B,$A521,'تجربه‌گرها'!$F:$F,E$1)</f>
        <v>0</v>
      </c>
      <c r="F521" s="242">
        <f>COUNTIFS('تجربه‌گرها'!$B:$B,$A521,'تجربه‌گرها'!$F:$F,F$1)</f>
        <v>0</v>
      </c>
      <c r="G521" s="242">
        <f>COUNTIFS('تجربه‌گرها'!$B:$B,$A521,'تجربه‌گرها'!$F:$F,G$1)</f>
        <v>1</v>
      </c>
      <c r="H521" s="242">
        <f>COUNTIFS('تجربه‌گرها'!$B:$B,$A521,'تجربه‌گرها'!$F:$F,H$1)</f>
        <v>0</v>
      </c>
      <c r="I521" s="242">
        <f>COUNTIFS('تجربه‌گرها'!$B:$B,$A521,'تجربه‌گرها'!$F:$F,I$1)</f>
        <v>0</v>
      </c>
      <c r="J521" s="242">
        <f>COUNTIFS('تجربه‌گرها'!$B:$B,$A521,'تجربه‌گرها'!$F:$F,J$1)</f>
        <v>0</v>
      </c>
      <c r="K521" s="242">
        <f>COUNTIFS('تجربه‌گرها'!$B:$B,$A521,'تجربه‌گرها'!$F:$F,K$1)</f>
        <v>0</v>
      </c>
      <c r="L521" s="242">
        <f>COUNTIFS('تجربه‌گرها'!$B:$B,$A521,'تجربه‌گرها'!$F:$F,L$1)</f>
        <v>0</v>
      </c>
      <c r="M521" s="242">
        <f>COUNTIFS('تجربه‌گرها'!$B:$B,$A521,'تجربه‌گرها'!$F:$F,M$1)</f>
        <v>0</v>
      </c>
      <c r="N521" s="242">
        <f>COUNTIFS('تجربه‌گرها'!$B:$B,$A521,'تجربه‌گرها'!$F:$F,N$1)</f>
        <v>0</v>
      </c>
      <c r="O521" s="242">
        <f>COUNTIFS('تجربه‌گرها'!$B:$B,$A521,'تجربه‌گرها'!$F:$F,O$1)</f>
        <v>0</v>
      </c>
      <c r="P521" s="242">
        <f>COUNTIFS('تجربه‌گرها'!$B:$B,$A521,'تجربه‌گرها'!$F:$F,P$1)</f>
        <v>0</v>
      </c>
      <c r="Q521" s="242">
        <f>COUNTIFS('تجربه‌گرها'!$B:$B,$A521,'تجربه‌گرها'!$F:$F,Q$1)</f>
        <v>0</v>
      </c>
      <c r="R521" s="242">
        <f>COUNTIFS('تجربه‌گرها'!$B:$B,$A521,'تجربه‌گرها'!$F:$F,R$1)</f>
        <v>0</v>
      </c>
      <c r="S521" s="242">
        <f>COUNTIFS('تجربه‌گرها'!$B:$B,$A521,'تجربه‌گرها'!$F:$F,S$1)</f>
        <v>0</v>
      </c>
      <c r="T521" s="242">
        <f>COUNTIFS('تجربه‌گرها'!$B:$B,$A521,'تجربه‌گرها'!$F:$F,T$1)</f>
        <v>0</v>
      </c>
      <c r="U521" s="242"/>
      <c r="V521" s="242"/>
      <c r="W521" s="242"/>
      <c r="X521" s="242"/>
      <c r="Y521" s="242"/>
      <c r="Z521" s="242"/>
      <c r="AA521" s="242"/>
      <c r="AB521" s="242"/>
    </row>
    <row r="522" hidden="1">
      <c r="A522" s="244" t="s">
        <v>3465</v>
      </c>
      <c r="B522" s="245" t="str">
        <f>VLOOKUP(A522,'تجربه‌گرها'!B:C,2,FALSE())</f>
        <v>9205212014</v>
      </c>
      <c r="C522" s="242"/>
      <c r="D522" s="242">
        <f t="shared" si="1"/>
        <v>1</v>
      </c>
      <c r="E522" s="242">
        <f>COUNTIFS('تجربه‌گرها'!$B:$B,$A522,'تجربه‌گرها'!$F:$F,E$1)</f>
        <v>0</v>
      </c>
      <c r="F522" s="242">
        <f>COUNTIFS('تجربه‌گرها'!$B:$B,$A522,'تجربه‌گرها'!$F:$F,F$1)</f>
        <v>0</v>
      </c>
      <c r="G522" s="242">
        <f>COUNTIFS('تجربه‌گرها'!$B:$B,$A522,'تجربه‌گرها'!$F:$F,G$1)</f>
        <v>1</v>
      </c>
      <c r="H522" s="242">
        <f>COUNTIFS('تجربه‌گرها'!$B:$B,$A522,'تجربه‌گرها'!$F:$F,H$1)</f>
        <v>0</v>
      </c>
      <c r="I522" s="242">
        <f>COUNTIFS('تجربه‌گرها'!$B:$B,$A522,'تجربه‌گرها'!$F:$F,I$1)</f>
        <v>0</v>
      </c>
      <c r="J522" s="242">
        <f>COUNTIFS('تجربه‌گرها'!$B:$B,$A522,'تجربه‌گرها'!$F:$F,J$1)</f>
        <v>0</v>
      </c>
      <c r="K522" s="242">
        <f>COUNTIFS('تجربه‌گرها'!$B:$B,$A522,'تجربه‌گرها'!$F:$F,K$1)</f>
        <v>0</v>
      </c>
      <c r="L522" s="242">
        <f>COUNTIFS('تجربه‌گرها'!$B:$B,$A522,'تجربه‌گرها'!$F:$F,L$1)</f>
        <v>0</v>
      </c>
      <c r="M522" s="242">
        <f>COUNTIFS('تجربه‌گرها'!$B:$B,$A522,'تجربه‌گرها'!$F:$F,M$1)</f>
        <v>0</v>
      </c>
      <c r="N522" s="242">
        <f>COUNTIFS('تجربه‌گرها'!$B:$B,$A522,'تجربه‌گرها'!$F:$F,N$1)</f>
        <v>0</v>
      </c>
      <c r="O522" s="242">
        <f>COUNTIFS('تجربه‌گرها'!$B:$B,$A522,'تجربه‌گرها'!$F:$F,O$1)</f>
        <v>0</v>
      </c>
      <c r="P522" s="242">
        <f>COUNTIFS('تجربه‌گرها'!$B:$B,$A522,'تجربه‌گرها'!$F:$F,P$1)</f>
        <v>0</v>
      </c>
      <c r="Q522" s="242">
        <f>COUNTIFS('تجربه‌گرها'!$B:$B,$A522,'تجربه‌گرها'!$F:$F,Q$1)</f>
        <v>0</v>
      </c>
      <c r="R522" s="242">
        <f>COUNTIFS('تجربه‌گرها'!$B:$B,$A522,'تجربه‌گرها'!$F:$F,R$1)</f>
        <v>0</v>
      </c>
      <c r="S522" s="242">
        <f>COUNTIFS('تجربه‌گرها'!$B:$B,$A522,'تجربه‌گرها'!$F:$F,S$1)</f>
        <v>0</v>
      </c>
      <c r="T522" s="242">
        <f>COUNTIFS('تجربه‌گرها'!$B:$B,$A522,'تجربه‌گرها'!$F:$F,T$1)</f>
        <v>0</v>
      </c>
      <c r="U522" s="242"/>
      <c r="V522" s="242"/>
      <c r="W522" s="242"/>
      <c r="X522" s="242"/>
      <c r="Y522" s="242"/>
      <c r="Z522" s="242"/>
      <c r="AA522" s="242"/>
      <c r="AB522" s="242"/>
    </row>
    <row r="523" hidden="1">
      <c r="A523" s="244" t="s">
        <v>3471</v>
      </c>
      <c r="B523" s="245" t="str">
        <f>VLOOKUP(A523,'تجربه‌گرها'!B:C,2,FALSE())</f>
        <v>9122468029</v>
      </c>
      <c r="C523" s="242"/>
      <c r="D523" s="242">
        <f t="shared" si="1"/>
        <v>1</v>
      </c>
      <c r="E523" s="242">
        <f>COUNTIFS('تجربه‌گرها'!$B:$B,$A523,'تجربه‌گرها'!$F:$F,E$1)</f>
        <v>0</v>
      </c>
      <c r="F523" s="242">
        <f>COUNTIFS('تجربه‌گرها'!$B:$B,$A523,'تجربه‌گرها'!$F:$F,F$1)</f>
        <v>0</v>
      </c>
      <c r="G523" s="242">
        <f>COUNTIFS('تجربه‌گرها'!$B:$B,$A523,'تجربه‌گرها'!$F:$F,G$1)</f>
        <v>1</v>
      </c>
      <c r="H523" s="242">
        <f>COUNTIFS('تجربه‌گرها'!$B:$B,$A523,'تجربه‌گرها'!$F:$F,H$1)</f>
        <v>0</v>
      </c>
      <c r="I523" s="242">
        <f>COUNTIFS('تجربه‌گرها'!$B:$B,$A523,'تجربه‌گرها'!$F:$F,I$1)</f>
        <v>0</v>
      </c>
      <c r="J523" s="242">
        <f>COUNTIFS('تجربه‌گرها'!$B:$B,$A523,'تجربه‌گرها'!$F:$F,J$1)</f>
        <v>0</v>
      </c>
      <c r="K523" s="242">
        <f>COUNTIFS('تجربه‌گرها'!$B:$B,$A523,'تجربه‌گرها'!$F:$F,K$1)</f>
        <v>0</v>
      </c>
      <c r="L523" s="242">
        <f>COUNTIFS('تجربه‌گرها'!$B:$B,$A523,'تجربه‌گرها'!$F:$F,L$1)</f>
        <v>0</v>
      </c>
      <c r="M523" s="242">
        <f>COUNTIFS('تجربه‌گرها'!$B:$B,$A523,'تجربه‌گرها'!$F:$F,M$1)</f>
        <v>0</v>
      </c>
      <c r="N523" s="242">
        <f>COUNTIFS('تجربه‌گرها'!$B:$B,$A523,'تجربه‌گرها'!$F:$F,N$1)</f>
        <v>0</v>
      </c>
      <c r="O523" s="242">
        <f>COUNTIFS('تجربه‌گرها'!$B:$B,$A523,'تجربه‌گرها'!$F:$F,O$1)</f>
        <v>0</v>
      </c>
      <c r="P523" s="242">
        <f>COUNTIFS('تجربه‌گرها'!$B:$B,$A523,'تجربه‌گرها'!$F:$F,P$1)</f>
        <v>0</v>
      </c>
      <c r="Q523" s="242">
        <f>COUNTIFS('تجربه‌گرها'!$B:$B,$A523,'تجربه‌گرها'!$F:$F,Q$1)</f>
        <v>0</v>
      </c>
      <c r="R523" s="242">
        <f>COUNTIFS('تجربه‌گرها'!$B:$B,$A523,'تجربه‌گرها'!$F:$F,R$1)</f>
        <v>0</v>
      </c>
      <c r="S523" s="242">
        <f>COUNTIFS('تجربه‌گرها'!$B:$B,$A523,'تجربه‌گرها'!$F:$F,S$1)</f>
        <v>0</v>
      </c>
      <c r="T523" s="242">
        <f>COUNTIFS('تجربه‌گرها'!$B:$B,$A523,'تجربه‌گرها'!$F:$F,T$1)</f>
        <v>0</v>
      </c>
      <c r="U523" s="242"/>
      <c r="V523" s="242"/>
      <c r="W523" s="242"/>
      <c r="X523" s="242"/>
      <c r="Y523" s="242"/>
      <c r="Z523" s="242"/>
      <c r="AA523" s="242"/>
      <c r="AB523" s="242"/>
    </row>
    <row r="524" hidden="1">
      <c r="A524" s="244" t="s">
        <v>3477</v>
      </c>
      <c r="B524" s="245" t="str">
        <f>VLOOKUP(A524,'تجربه‌گرها'!B:C,2,FALSE())</f>
        <v>9927962791</v>
      </c>
      <c r="C524" s="242"/>
      <c r="D524" s="242">
        <f t="shared" si="1"/>
        <v>1</v>
      </c>
      <c r="E524" s="242">
        <f>COUNTIFS('تجربه‌گرها'!$B:$B,$A524,'تجربه‌گرها'!$F:$F,E$1)</f>
        <v>0</v>
      </c>
      <c r="F524" s="242">
        <f>COUNTIFS('تجربه‌گرها'!$B:$B,$A524,'تجربه‌گرها'!$F:$F,F$1)</f>
        <v>0</v>
      </c>
      <c r="G524" s="242">
        <f>COUNTIFS('تجربه‌گرها'!$B:$B,$A524,'تجربه‌گرها'!$F:$F,G$1)</f>
        <v>1</v>
      </c>
      <c r="H524" s="242">
        <f>COUNTIFS('تجربه‌گرها'!$B:$B,$A524,'تجربه‌گرها'!$F:$F,H$1)</f>
        <v>0</v>
      </c>
      <c r="I524" s="242">
        <f>COUNTIFS('تجربه‌گرها'!$B:$B,$A524,'تجربه‌گرها'!$F:$F,I$1)</f>
        <v>0</v>
      </c>
      <c r="J524" s="242">
        <f>COUNTIFS('تجربه‌گرها'!$B:$B,$A524,'تجربه‌گرها'!$F:$F,J$1)</f>
        <v>0</v>
      </c>
      <c r="K524" s="242">
        <f>COUNTIFS('تجربه‌گرها'!$B:$B,$A524,'تجربه‌گرها'!$F:$F,K$1)</f>
        <v>0</v>
      </c>
      <c r="L524" s="242">
        <f>COUNTIFS('تجربه‌گرها'!$B:$B,$A524,'تجربه‌گرها'!$F:$F,L$1)</f>
        <v>0</v>
      </c>
      <c r="M524" s="242">
        <f>COUNTIFS('تجربه‌گرها'!$B:$B,$A524,'تجربه‌گرها'!$F:$F,M$1)</f>
        <v>0</v>
      </c>
      <c r="N524" s="242">
        <f>COUNTIFS('تجربه‌گرها'!$B:$B,$A524,'تجربه‌گرها'!$F:$F,N$1)</f>
        <v>0</v>
      </c>
      <c r="O524" s="242">
        <f>COUNTIFS('تجربه‌گرها'!$B:$B,$A524,'تجربه‌گرها'!$F:$F,O$1)</f>
        <v>0</v>
      </c>
      <c r="P524" s="242">
        <f>COUNTIFS('تجربه‌گرها'!$B:$B,$A524,'تجربه‌گرها'!$F:$F,P$1)</f>
        <v>0</v>
      </c>
      <c r="Q524" s="242">
        <f>COUNTIFS('تجربه‌گرها'!$B:$B,$A524,'تجربه‌گرها'!$F:$F,Q$1)</f>
        <v>0</v>
      </c>
      <c r="R524" s="242">
        <f>COUNTIFS('تجربه‌گرها'!$B:$B,$A524,'تجربه‌گرها'!$F:$F,R$1)</f>
        <v>0</v>
      </c>
      <c r="S524" s="242">
        <f>COUNTIFS('تجربه‌گرها'!$B:$B,$A524,'تجربه‌گرها'!$F:$F,S$1)</f>
        <v>0</v>
      </c>
      <c r="T524" s="242">
        <f>COUNTIFS('تجربه‌گرها'!$B:$B,$A524,'تجربه‌گرها'!$F:$F,T$1)</f>
        <v>0</v>
      </c>
      <c r="U524" s="242"/>
      <c r="V524" s="242"/>
      <c r="W524" s="242"/>
      <c r="X524" s="242"/>
      <c r="Y524" s="242"/>
      <c r="Z524" s="242"/>
      <c r="AA524" s="242"/>
      <c r="AB524" s="242"/>
    </row>
    <row r="525" hidden="1">
      <c r="A525" s="244" t="s">
        <v>3482</v>
      </c>
      <c r="B525" s="245" t="str">
        <f>VLOOKUP(A525,'تجربه‌گرها'!B:C,2,FALSE())</f>
        <v>9124522729</v>
      </c>
      <c r="C525" s="242"/>
      <c r="D525" s="242">
        <f t="shared" si="1"/>
        <v>1</v>
      </c>
      <c r="E525" s="242">
        <f>COUNTIFS('تجربه‌گرها'!$B:$B,$A525,'تجربه‌گرها'!$F:$F,E$1)</f>
        <v>0</v>
      </c>
      <c r="F525" s="242">
        <f>COUNTIFS('تجربه‌گرها'!$B:$B,$A525,'تجربه‌گرها'!$F:$F,F$1)</f>
        <v>0</v>
      </c>
      <c r="G525" s="242">
        <f>COUNTIFS('تجربه‌گرها'!$B:$B,$A525,'تجربه‌گرها'!$F:$F,G$1)</f>
        <v>1</v>
      </c>
      <c r="H525" s="242">
        <f>COUNTIFS('تجربه‌گرها'!$B:$B,$A525,'تجربه‌گرها'!$F:$F,H$1)</f>
        <v>0</v>
      </c>
      <c r="I525" s="242">
        <f>COUNTIFS('تجربه‌گرها'!$B:$B,$A525,'تجربه‌گرها'!$F:$F,I$1)</f>
        <v>0</v>
      </c>
      <c r="J525" s="242">
        <f>COUNTIFS('تجربه‌گرها'!$B:$B,$A525,'تجربه‌گرها'!$F:$F,J$1)</f>
        <v>0</v>
      </c>
      <c r="K525" s="242">
        <f>COUNTIFS('تجربه‌گرها'!$B:$B,$A525,'تجربه‌گرها'!$F:$F,K$1)</f>
        <v>0</v>
      </c>
      <c r="L525" s="242">
        <f>COUNTIFS('تجربه‌گرها'!$B:$B,$A525,'تجربه‌گرها'!$F:$F,L$1)</f>
        <v>0</v>
      </c>
      <c r="M525" s="242">
        <f>COUNTIFS('تجربه‌گرها'!$B:$B,$A525,'تجربه‌گرها'!$F:$F,M$1)</f>
        <v>0</v>
      </c>
      <c r="N525" s="242">
        <f>COUNTIFS('تجربه‌گرها'!$B:$B,$A525,'تجربه‌گرها'!$F:$F,N$1)</f>
        <v>0</v>
      </c>
      <c r="O525" s="242">
        <f>COUNTIFS('تجربه‌گرها'!$B:$B,$A525,'تجربه‌گرها'!$F:$F,O$1)</f>
        <v>0</v>
      </c>
      <c r="P525" s="242">
        <f>COUNTIFS('تجربه‌گرها'!$B:$B,$A525,'تجربه‌گرها'!$F:$F,P$1)</f>
        <v>0</v>
      </c>
      <c r="Q525" s="242">
        <f>COUNTIFS('تجربه‌گرها'!$B:$B,$A525,'تجربه‌گرها'!$F:$F,Q$1)</f>
        <v>0</v>
      </c>
      <c r="R525" s="242">
        <f>COUNTIFS('تجربه‌گرها'!$B:$B,$A525,'تجربه‌گرها'!$F:$F,R$1)</f>
        <v>0</v>
      </c>
      <c r="S525" s="242">
        <f>COUNTIFS('تجربه‌گرها'!$B:$B,$A525,'تجربه‌گرها'!$F:$F,S$1)</f>
        <v>0</v>
      </c>
      <c r="T525" s="242">
        <f>COUNTIFS('تجربه‌گرها'!$B:$B,$A525,'تجربه‌گرها'!$F:$F,T$1)</f>
        <v>0</v>
      </c>
      <c r="U525" s="242"/>
      <c r="V525" s="242"/>
      <c r="W525" s="242"/>
      <c r="X525" s="242"/>
      <c r="Y525" s="242"/>
      <c r="Z525" s="242"/>
      <c r="AA525" s="242"/>
      <c r="AB525" s="242"/>
    </row>
    <row r="526" hidden="1">
      <c r="A526" s="244" t="s">
        <v>3487</v>
      </c>
      <c r="B526" s="245" t="str">
        <f>VLOOKUP(A526,'تجربه‌گرها'!B:C,2,FALSE())</f>
        <v>9366037615</v>
      </c>
      <c r="C526" s="242"/>
      <c r="D526" s="242">
        <f t="shared" si="1"/>
        <v>1</v>
      </c>
      <c r="E526" s="242">
        <f>COUNTIFS('تجربه‌گرها'!$B:$B,$A526,'تجربه‌گرها'!$F:$F,E$1)</f>
        <v>0</v>
      </c>
      <c r="F526" s="242">
        <f>COUNTIFS('تجربه‌گرها'!$B:$B,$A526,'تجربه‌گرها'!$F:$F,F$1)</f>
        <v>0</v>
      </c>
      <c r="G526" s="242">
        <f>COUNTIFS('تجربه‌گرها'!$B:$B,$A526,'تجربه‌گرها'!$F:$F,G$1)</f>
        <v>1</v>
      </c>
      <c r="H526" s="242">
        <f>COUNTIFS('تجربه‌گرها'!$B:$B,$A526,'تجربه‌گرها'!$F:$F,H$1)</f>
        <v>0</v>
      </c>
      <c r="I526" s="242">
        <f>COUNTIFS('تجربه‌گرها'!$B:$B,$A526,'تجربه‌گرها'!$F:$F,I$1)</f>
        <v>0</v>
      </c>
      <c r="J526" s="242">
        <f>COUNTIFS('تجربه‌گرها'!$B:$B,$A526,'تجربه‌گرها'!$F:$F,J$1)</f>
        <v>0</v>
      </c>
      <c r="K526" s="242">
        <f>COUNTIFS('تجربه‌گرها'!$B:$B,$A526,'تجربه‌گرها'!$F:$F,K$1)</f>
        <v>0</v>
      </c>
      <c r="L526" s="242">
        <f>COUNTIFS('تجربه‌گرها'!$B:$B,$A526,'تجربه‌گرها'!$F:$F,L$1)</f>
        <v>0</v>
      </c>
      <c r="M526" s="242">
        <f>COUNTIFS('تجربه‌گرها'!$B:$B,$A526,'تجربه‌گرها'!$F:$F,M$1)</f>
        <v>0</v>
      </c>
      <c r="N526" s="242">
        <f>COUNTIFS('تجربه‌گرها'!$B:$B,$A526,'تجربه‌گرها'!$F:$F,N$1)</f>
        <v>0</v>
      </c>
      <c r="O526" s="242">
        <f>COUNTIFS('تجربه‌گرها'!$B:$B,$A526,'تجربه‌گرها'!$F:$F,O$1)</f>
        <v>0</v>
      </c>
      <c r="P526" s="242">
        <f>COUNTIFS('تجربه‌گرها'!$B:$B,$A526,'تجربه‌گرها'!$F:$F,P$1)</f>
        <v>0</v>
      </c>
      <c r="Q526" s="242">
        <f>COUNTIFS('تجربه‌گرها'!$B:$B,$A526,'تجربه‌گرها'!$F:$F,Q$1)</f>
        <v>0</v>
      </c>
      <c r="R526" s="242">
        <f>COUNTIFS('تجربه‌گرها'!$B:$B,$A526,'تجربه‌گرها'!$F:$F,R$1)</f>
        <v>0</v>
      </c>
      <c r="S526" s="242">
        <f>COUNTIFS('تجربه‌گرها'!$B:$B,$A526,'تجربه‌گرها'!$F:$F,S$1)</f>
        <v>0</v>
      </c>
      <c r="T526" s="242">
        <f>COUNTIFS('تجربه‌گرها'!$B:$B,$A526,'تجربه‌گرها'!$F:$F,T$1)</f>
        <v>0</v>
      </c>
      <c r="U526" s="242"/>
      <c r="V526" s="242"/>
      <c r="W526" s="242"/>
      <c r="X526" s="242"/>
      <c r="Y526" s="242"/>
      <c r="Z526" s="242"/>
      <c r="AA526" s="242"/>
      <c r="AB526" s="242"/>
    </row>
    <row r="527" hidden="1">
      <c r="A527" s="244" t="s">
        <v>3491</v>
      </c>
      <c r="B527" s="245" t="str">
        <f>VLOOKUP(A527,'تجربه‌گرها'!B:C,2,FALSE())</f>
        <v>9122026008</v>
      </c>
      <c r="C527" s="242"/>
      <c r="D527" s="242">
        <f t="shared" si="1"/>
        <v>1</v>
      </c>
      <c r="E527" s="242">
        <f>COUNTIFS('تجربه‌گرها'!$B:$B,$A527,'تجربه‌گرها'!$F:$F,E$1)</f>
        <v>0</v>
      </c>
      <c r="F527" s="242">
        <f>COUNTIFS('تجربه‌گرها'!$B:$B,$A527,'تجربه‌گرها'!$F:$F,F$1)</f>
        <v>0</v>
      </c>
      <c r="G527" s="242">
        <f>COUNTIFS('تجربه‌گرها'!$B:$B,$A527,'تجربه‌گرها'!$F:$F,G$1)</f>
        <v>1</v>
      </c>
      <c r="H527" s="242">
        <f>COUNTIFS('تجربه‌گرها'!$B:$B,$A527,'تجربه‌گرها'!$F:$F,H$1)</f>
        <v>0</v>
      </c>
      <c r="I527" s="242">
        <f>COUNTIFS('تجربه‌گرها'!$B:$B,$A527,'تجربه‌گرها'!$F:$F,I$1)</f>
        <v>0</v>
      </c>
      <c r="J527" s="242">
        <f>COUNTIFS('تجربه‌گرها'!$B:$B,$A527,'تجربه‌گرها'!$F:$F,J$1)</f>
        <v>0</v>
      </c>
      <c r="K527" s="242">
        <f>COUNTIFS('تجربه‌گرها'!$B:$B,$A527,'تجربه‌گرها'!$F:$F,K$1)</f>
        <v>0</v>
      </c>
      <c r="L527" s="242">
        <f>COUNTIFS('تجربه‌گرها'!$B:$B,$A527,'تجربه‌گرها'!$F:$F,L$1)</f>
        <v>0</v>
      </c>
      <c r="M527" s="242">
        <f>COUNTIFS('تجربه‌گرها'!$B:$B,$A527,'تجربه‌گرها'!$F:$F,M$1)</f>
        <v>0</v>
      </c>
      <c r="N527" s="242">
        <f>COUNTIFS('تجربه‌گرها'!$B:$B,$A527,'تجربه‌گرها'!$F:$F,N$1)</f>
        <v>0</v>
      </c>
      <c r="O527" s="242">
        <f>COUNTIFS('تجربه‌گرها'!$B:$B,$A527,'تجربه‌گرها'!$F:$F,O$1)</f>
        <v>0</v>
      </c>
      <c r="P527" s="242">
        <f>COUNTIFS('تجربه‌گرها'!$B:$B,$A527,'تجربه‌گرها'!$F:$F,P$1)</f>
        <v>0</v>
      </c>
      <c r="Q527" s="242">
        <f>COUNTIFS('تجربه‌گرها'!$B:$B,$A527,'تجربه‌گرها'!$F:$F,Q$1)</f>
        <v>0</v>
      </c>
      <c r="R527" s="242">
        <f>COUNTIFS('تجربه‌گرها'!$B:$B,$A527,'تجربه‌گرها'!$F:$F,R$1)</f>
        <v>0</v>
      </c>
      <c r="S527" s="242">
        <f>COUNTIFS('تجربه‌گرها'!$B:$B,$A527,'تجربه‌گرها'!$F:$F,S$1)</f>
        <v>0</v>
      </c>
      <c r="T527" s="242">
        <f>COUNTIFS('تجربه‌گرها'!$B:$B,$A527,'تجربه‌گرها'!$F:$F,T$1)</f>
        <v>0</v>
      </c>
      <c r="U527" s="242"/>
      <c r="V527" s="242"/>
      <c r="W527" s="242"/>
      <c r="X527" s="242"/>
      <c r="Y527" s="242"/>
      <c r="Z527" s="242"/>
      <c r="AA527" s="242"/>
      <c r="AB527" s="242"/>
    </row>
    <row r="528" hidden="1">
      <c r="A528" s="244" t="s">
        <v>3496</v>
      </c>
      <c r="B528" s="245" t="str">
        <f>VLOOKUP(A528,'تجربه‌گرها'!B:C,2,FALSE())</f>
        <v>9178164926</v>
      </c>
      <c r="C528" s="242"/>
      <c r="D528" s="242">
        <f t="shared" si="1"/>
        <v>1</v>
      </c>
      <c r="E528" s="242">
        <f>COUNTIFS('تجربه‌گرها'!$B:$B,$A528,'تجربه‌گرها'!$F:$F,E$1)</f>
        <v>0</v>
      </c>
      <c r="F528" s="242">
        <f>COUNTIFS('تجربه‌گرها'!$B:$B,$A528,'تجربه‌گرها'!$F:$F,F$1)</f>
        <v>0</v>
      </c>
      <c r="G528" s="242">
        <f>COUNTIFS('تجربه‌گرها'!$B:$B,$A528,'تجربه‌گرها'!$F:$F,G$1)</f>
        <v>1</v>
      </c>
      <c r="H528" s="242">
        <f>COUNTIFS('تجربه‌گرها'!$B:$B,$A528,'تجربه‌گرها'!$F:$F,H$1)</f>
        <v>0</v>
      </c>
      <c r="I528" s="242">
        <f>COUNTIFS('تجربه‌گرها'!$B:$B,$A528,'تجربه‌گرها'!$F:$F,I$1)</f>
        <v>0</v>
      </c>
      <c r="J528" s="242">
        <f>COUNTIFS('تجربه‌گرها'!$B:$B,$A528,'تجربه‌گرها'!$F:$F,J$1)</f>
        <v>0</v>
      </c>
      <c r="K528" s="242">
        <f>COUNTIFS('تجربه‌گرها'!$B:$B,$A528,'تجربه‌گرها'!$F:$F,K$1)</f>
        <v>0</v>
      </c>
      <c r="L528" s="242">
        <f>COUNTIFS('تجربه‌گرها'!$B:$B,$A528,'تجربه‌گرها'!$F:$F,L$1)</f>
        <v>0</v>
      </c>
      <c r="M528" s="242">
        <f>COUNTIFS('تجربه‌گرها'!$B:$B,$A528,'تجربه‌گرها'!$F:$F,M$1)</f>
        <v>0</v>
      </c>
      <c r="N528" s="242">
        <f>COUNTIFS('تجربه‌گرها'!$B:$B,$A528,'تجربه‌گرها'!$F:$F,N$1)</f>
        <v>0</v>
      </c>
      <c r="O528" s="242">
        <f>COUNTIFS('تجربه‌گرها'!$B:$B,$A528,'تجربه‌گرها'!$F:$F,O$1)</f>
        <v>0</v>
      </c>
      <c r="P528" s="242">
        <f>COUNTIFS('تجربه‌گرها'!$B:$B,$A528,'تجربه‌گرها'!$F:$F,P$1)</f>
        <v>0</v>
      </c>
      <c r="Q528" s="242">
        <f>COUNTIFS('تجربه‌گرها'!$B:$B,$A528,'تجربه‌گرها'!$F:$F,Q$1)</f>
        <v>0</v>
      </c>
      <c r="R528" s="242">
        <f>COUNTIFS('تجربه‌گرها'!$B:$B,$A528,'تجربه‌گرها'!$F:$F,R$1)</f>
        <v>0</v>
      </c>
      <c r="S528" s="242">
        <f>COUNTIFS('تجربه‌گرها'!$B:$B,$A528,'تجربه‌گرها'!$F:$F,S$1)</f>
        <v>0</v>
      </c>
      <c r="T528" s="242">
        <f>COUNTIFS('تجربه‌گرها'!$B:$B,$A528,'تجربه‌گرها'!$F:$F,T$1)</f>
        <v>0</v>
      </c>
      <c r="U528" s="242"/>
      <c r="V528" s="242"/>
      <c r="W528" s="242"/>
      <c r="X528" s="242"/>
      <c r="Y528" s="242"/>
      <c r="Z528" s="242"/>
      <c r="AA528" s="242"/>
      <c r="AB528" s="242"/>
    </row>
    <row r="529" hidden="1">
      <c r="A529" s="244" t="s">
        <v>3500</v>
      </c>
      <c r="B529" s="245" t="str">
        <f>VLOOKUP(A529,'تجربه‌گرها'!B:C,2,FALSE())</f>
        <v>9376868602</v>
      </c>
      <c r="C529" s="242"/>
      <c r="D529" s="242">
        <f t="shared" si="1"/>
        <v>1</v>
      </c>
      <c r="E529" s="242">
        <f>COUNTIFS('تجربه‌گرها'!$B:$B,$A529,'تجربه‌گرها'!$F:$F,E$1)</f>
        <v>0</v>
      </c>
      <c r="F529" s="242">
        <f>COUNTIFS('تجربه‌گرها'!$B:$B,$A529,'تجربه‌گرها'!$F:$F,F$1)</f>
        <v>0</v>
      </c>
      <c r="G529" s="242">
        <f>COUNTIFS('تجربه‌گرها'!$B:$B,$A529,'تجربه‌گرها'!$F:$F,G$1)</f>
        <v>1</v>
      </c>
      <c r="H529" s="242">
        <f>COUNTIFS('تجربه‌گرها'!$B:$B,$A529,'تجربه‌گرها'!$F:$F,H$1)</f>
        <v>0</v>
      </c>
      <c r="I529" s="242">
        <f>COUNTIFS('تجربه‌گرها'!$B:$B,$A529,'تجربه‌گرها'!$F:$F,I$1)</f>
        <v>0</v>
      </c>
      <c r="J529" s="242">
        <f>COUNTIFS('تجربه‌گرها'!$B:$B,$A529,'تجربه‌گرها'!$F:$F,J$1)</f>
        <v>0</v>
      </c>
      <c r="K529" s="242">
        <f>COUNTIFS('تجربه‌گرها'!$B:$B,$A529,'تجربه‌گرها'!$F:$F,K$1)</f>
        <v>0</v>
      </c>
      <c r="L529" s="242">
        <f>COUNTIFS('تجربه‌گرها'!$B:$B,$A529,'تجربه‌گرها'!$F:$F,L$1)</f>
        <v>0</v>
      </c>
      <c r="M529" s="242">
        <f>COUNTIFS('تجربه‌گرها'!$B:$B,$A529,'تجربه‌گرها'!$F:$F,M$1)</f>
        <v>0</v>
      </c>
      <c r="N529" s="242">
        <f>COUNTIFS('تجربه‌گرها'!$B:$B,$A529,'تجربه‌گرها'!$F:$F,N$1)</f>
        <v>0</v>
      </c>
      <c r="O529" s="242">
        <f>COUNTIFS('تجربه‌گرها'!$B:$B,$A529,'تجربه‌گرها'!$F:$F,O$1)</f>
        <v>0</v>
      </c>
      <c r="P529" s="242">
        <f>COUNTIFS('تجربه‌گرها'!$B:$B,$A529,'تجربه‌گرها'!$F:$F,P$1)</f>
        <v>0</v>
      </c>
      <c r="Q529" s="242">
        <f>COUNTIFS('تجربه‌گرها'!$B:$B,$A529,'تجربه‌گرها'!$F:$F,Q$1)</f>
        <v>0</v>
      </c>
      <c r="R529" s="242">
        <f>COUNTIFS('تجربه‌گرها'!$B:$B,$A529,'تجربه‌گرها'!$F:$F,R$1)</f>
        <v>0</v>
      </c>
      <c r="S529" s="242">
        <f>COUNTIFS('تجربه‌گرها'!$B:$B,$A529,'تجربه‌گرها'!$F:$F,S$1)</f>
        <v>0</v>
      </c>
      <c r="T529" s="242">
        <f>COUNTIFS('تجربه‌گرها'!$B:$B,$A529,'تجربه‌گرها'!$F:$F,T$1)</f>
        <v>0</v>
      </c>
      <c r="U529" s="242"/>
      <c r="V529" s="242"/>
      <c r="W529" s="242"/>
      <c r="X529" s="242"/>
      <c r="Y529" s="242"/>
      <c r="Z529" s="242"/>
      <c r="AA529" s="242"/>
      <c r="AB529" s="242"/>
    </row>
    <row r="530" hidden="1">
      <c r="A530" s="244" t="s">
        <v>3504</v>
      </c>
      <c r="B530" s="245" t="str">
        <f>VLOOKUP(A530,'تجربه‌گرها'!B:C,2,FALSE())</f>
        <v>9355073105</v>
      </c>
      <c r="C530" s="242"/>
      <c r="D530" s="242">
        <f t="shared" si="1"/>
        <v>2</v>
      </c>
      <c r="E530" s="242">
        <f>COUNTIFS('تجربه‌گرها'!$B:$B,$A530,'تجربه‌گرها'!$F:$F,E$1)</f>
        <v>0</v>
      </c>
      <c r="F530" s="242">
        <f>COUNTIFS('تجربه‌گرها'!$B:$B,$A530,'تجربه‌گرها'!$F:$F,F$1)</f>
        <v>0</v>
      </c>
      <c r="G530" s="242">
        <f>COUNTIFS('تجربه‌گرها'!$B:$B,$A530,'تجربه‌گرها'!$F:$F,G$1)</f>
        <v>1</v>
      </c>
      <c r="H530" s="242">
        <f>COUNTIFS('تجربه‌گرها'!$B:$B,$A530,'تجربه‌گرها'!$F:$F,H$1)</f>
        <v>0</v>
      </c>
      <c r="I530" s="242">
        <f>COUNTIFS('تجربه‌گرها'!$B:$B,$A530,'تجربه‌گرها'!$F:$F,I$1)</f>
        <v>0</v>
      </c>
      <c r="J530" s="242">
        <f>COUNTIFS('تجربه‌گرها'!$B:$B,$A530,'تجربه‌گرها'!$F:$F,J$1)</f>
        <v>0</v>
      </c>
      <c r="K530" s="242">
        <f>COUNTIFS('تجربه‌گرها'!$B:$B,$A530,'تجربه‌گرها'!$F:$F,K$1)</f>
        <v>0</v>
      </c>
      <c r="L530" s="242">
        <f>COUNTIFS('تجربه‌گرها'!$B:$B,$A530,'تجربه‌گرها'!$F:$F,L$1)</f>
        <v>0</v>
      </c>
      <c r="M530" s="242">
        <f>COUNTIFS('تجربه‌گرها'!$B:$B,$A530,'تجربه‌گرها'!$F:$F,M$1)</f>
        <v>0</v>
      </c>
      <c r="N530" s="242">
        <f>COUNTIFS('تجربه‌گرها'!$B:$B,$A530,'تجربه‌گرها'!$F:$F,N$1)</f>
        <v>1</v>
      </c>
      <c r="O530" s="242">
        <f>COUNTIFS('تجربه‌گرها'!$B:$B,$A530,'تجربه‌گرها'!$F:$F,O$1)</f>
        <v>0</v>
      </c>
      <c r="P530" s="242">
        <f>COUNTIFS('تجربه‌گرها'!$B:$B,$A530,'تجربه‌گرها'!$F:$F,P$1)</f>
        <v>0</v>
      </c>
      <c r="Q530" s="242">
        <f>COUNTIFS('تجربه‌گرها'!$B:$B,$A530,'تجربه‌گرها'!$F:$F,Q$1)</f>
        <v>0</v>
      </c>
      <c r="R530" s="242">
        <f>COUNTIFS('تجربه‌گرها'!$B:$B,$A530,'تجربه‌گرها'!$F:$F,R$1)</f>
        <v>0</v>
      </c>
      <c r="S530" s="242">
        <f>COUNTIFS('تجربه‌گرها'!$B:$B,$A530,'تجربه‌گرها'!$F:$F,S$1)</f>
        <v>0</v>
      </c>
      <c r="T530" s="242">
        <f>COUNTIFS('تجربه‌گرها'!$B:$B,$A530,'تجربه‌گرها'!$F:$F,T$1)</f>
        <v>0</v>
      </c>
      <c r="U530" s="242"/>
      <c r="V530" s="242"/>
      <c r="W530" s="242"/>
      <c r="X530" s="242"/>
      <c r="Y530" s="242"/>
      <c r="Z530" s="242"/>
      <c r="AA530" s="242"/>
      <c r="AB530" s="242"/>
    </row>
    <row r="531" hidden="1">
      <c r="A531" s="244" t="s">
        <v>3509</v>
      </c>
      <c r="B531" s="245" t="str">
        <f>VLOOKUP(A531,'تجربه‌گرها'!B:C,2,FALSE())</f>
        <v>9398679668</v>
      </c>
      <c r="C531" s="242"/>
      <c r="D531" s="242">
        <f t="shared" si="1"/>
        <v>1</v>
      </c>
      <c r="E531" s="242">
        <f>COUNTIFS('تجربه‌گرها'!$B:$B,$A531,'تجربه‌گرها'!$F:$F,E$1)</f>
        <v>0</v>
      </c>
      <c r="F531" s="242">
        <f>COUNTIFS('تجربه‌گرها'!$B:$B,$A531,'تجربه‌گرها'!$F:$F,F$1)</f>
        <v>0</v>
      </c>
      <c r="G531" s="242">
        <f>COUNTIFS('تجربه‌گرها'!$B:$B,$A531,'تجربه‌گرها'!$F:$F,G$1)</f>
        <v>1</v>
      </c>
      <c r="H531" s="242">
        <f>COUNTIFS('تجربه‌گرها'!$B:$B,$A531,'تجربه‌گرها'!$F:$F,H$1)</f>
        <v>0</v>
      </c>
      <c r="I531" s="242">
        <f>COUNTIFS('تجربه‌گرها'!$B:$B,$A531,'تجربه‌گرها'!$F:$F,I$1)</f>
        <v>0</v>
      </c>
      <c r="J531" s="242">
        <f>COUNTIFS('تجربه‌گرها'!$B:$B,$A531,'تجربه‌گرها'!$F:$F,J$1)</f>
        <v>0</v>
      </c>
      <c r="K531" s="242">
        <f>COUNTIFS('تجربه‌گرها'!$B:$B,$A531,'تجربه‌گرها'!$F:$F,K$1)</f>
        <v>0</v>
      </c>
      <c r="L531" s="242">
        <f>COUNTIFS('تجربه‌گرها'!$B:$B,$A531,'تجربه‌گرها'!$F:$F,L$1)</f>
        <v>0</v>
      </c>
      <c r="M531" s="242">
        <f>COUNTIFS('تجربه‌گرها'!$B:$B,$A531,'تجربه‌گرها'!$F:$F,M$1)</f>
        <v>0</v>
      </c>
      <c r="N531" s="242">
        <f>COUNTIFS('تجربه‌گرها'!$B:$B,$A531,'تجربه‌گرها'!$F:$F,N$1)</f>
        <v>0</v>
      </c>
      <c r="O531" s="242">
        <f>COUNTIFS('تجربه‌گرها'!$B:$B,$A531,'تجربه‌گرها'!$F:$F,O$1)</f>
        <v>0</v>
      </c>
      <c r="P531" s="242">
        <f>COUNTIFS('تجربه‌گرها'!$B:$B,$A531,'تجربه‌گرها'!$F:$F,P$1)</f>
        <v>0</v>
      </c>
      <c r="Q531" s="242">
        <f>COUNTIFS('تجربه‌گرها'!$B:$B,$A531,'تجربه‌گرها'!$F:$F,Q$1)</f>
        <v>0</v>
      </c>
      <c r="R531" s="242">
        <f>COUNTIFS('تجربه‌گرها'!$B:$B,$A531,'تجربه‌گرها'!$F:$F,R$1)</f>
        <v>0</v>
      </c>
      <c r="S531" s="242">
        <f>COUNTIFS('تجربه‌گرها'!$B:$B,$A531,'تجربه‌گرها'!$F:$F,S$1)</f>
        <v>0</v>
      </c>
      <c r="T531" s="242">
        <f>COUNTIFS('تجربه‌گرها'!$B:$B,$A531,'تجربه‌گرها'!$F:$F,T$1)</f>
        <v>0</v>
      </c>
      <c r="U531" s="242"/>
      <c r="V531" s="242"/>
      <c r="W531" s="242"/>
      <c r="X531" s="242"/>
      <c r="Y531" s="242"/>
      <c r="Z531" s="242"/>
      <c r="AA531" s="242"/>
      <c r="AB531" s="242"/>
    </row>
    <row r="532" hidden="1">
      <c r="A532" s="244" t="s">
        <v>3514</v>
      </c>
      <c r="B532" s="245" t="str">
        <f>VLOOKUP(A532,'تجربه‌گرها'!B:C,2,FALSE())</f>
        <v>9124849142</v>
      </c>
      <c r="C532" s="242"/>
      <c r="D532" s="242">
        <f t="shared" si="1"/>
        <v>2</v>
      </c>
      <c r="E532" s="242">
        <f>COUNTIFS('تجربه‌گرها'!$B:$B,$A532,'تجربه‌گرها'!$F:$F,E$1)</f>
        <v>0</v>
      </c>
      <c r="F532" s="242">
        <f>COUNTIFS('تجربه‌گرها'!$B:$B,$A532,'تجربه‌گرها'!$F:$F,F$1)</f>
        <v>0</v>
      </c>
      <c r="G532" s="242">
        <f>COUNTIFS('تجربه‌گرها'!$B:$B,$A532,'تجربه‌گرها'!$F:$F,G$1)</f>
        <v>1</v>
      </c>
      <c r="H532" s="242">
        <f>COUNTIFS('تجربه‌گرها'!$B:$B,$A532,'تجربه‌گرها'!$F:$F,H$1)</f>
        <v>0</v>
      </c>
      <c r="I532" s="242">
        <f>COUNTIFS('تجربه‌گرها'!$B:$B,$A532,'تجربه‌گرها'!$F:$F,I$1)</f>
        <v>0</v>
      </c>
      <c r="J532" s="242">
        <f>COUNTIFS('تجربه‌گرها'!$B:$B,$A532,'تجربه‌گرها'!$F:$F,J$1)</f>
        <v>0</v>
      </c>
      <c r="K532" s="242">
        <f>COUNTIFS('تجربه‌گرها'!$B:$B,$A532,'تجربه‌گرها'!$F:$F,K$1)</f>
        <v>0</v>
      </c>
      <c r="L532" s="242">
        <f>COUNTIFS('تجربه‌گرها'!$B:$B,$A532,'تجربه‌گرها'!$F:$F,L$1)</f>
        <v>1</v>
      </c>
      <c r="M532" s="242">
        <f>COUNTIFS('تجربه‌گرها'!$B:$B,$A532,'تجربه‌گرها'!$F:$F,M$1)</f>
        <v>0</v>
      </c>
      <c r="N532" s="242">
        <f>COUNTIFS('تجربه‌گرها'!$B:$B,$A532,'تجربه‌گرها'!$F:$F,N$1)</f>
        <v>0</v>
      </c>
      <c r="O532" s="242">
        <f>COUNTIFS('تجربه‌گرها'!$B:$B,$A532,'تجربه‌گرها'!$F:$F,O$1)</f>
        <v>0</v>
      </c>
      <c r="P532" s="242">
        <f>COUNTIFS('تجربه‌گرها'!$B:$B,$A532,'تجربه‌گرها'!$F:$F,P$1)</f>
        <v>0</v>
      </c>
      <c r="Q532" s="242">
        <f>COUNTIFS('تجربه‌گرها'!$B:$B,$A532,'تجربه‌گرها'!$F:$F,Q$1)</f>
        <v>0</v>
      </c>
      <c r="R532" s="242">
        <f>COUNTIFS('تجربه‌گرها'!$B:$B,$A532,'تجربه‌گرها'!$F:$F,R$1)</f>
        <v>0</v>
      </c>
      <c r="S532" s="242">
        <f>COUNTIFS('تجربه‌گرها'!$B:$B,$A532,'تجربه‌گرها'!$F:$F,S$1)</f>
        <v>0</v>
      </c>
      <c r="T532" s="242">
        <f>COUNTIFS('تجربه‌گرها'!$B:$B,$A532,'تجربه‌گرها'!$F:$F,T$1)</f>
        <v>0</v>
      </c>
      <c r="U532" s="242"/>
      <c r="V532" s="242"/>
      <c r="W532" s="242"/>
      <c r="X532" s="242"/>
      <c r="Y532" s="242"/>
      <c r="Z532" s="242"/>
      <c r="AA532" s="242"/>
      <c r="AB532" s="242"/>
    </row>
    <row r="533" hidden="1">
      <c r="A533" s="244" t="s">
        <v>3519</v>
      </c>
      <c r="B533" s="245" t="str">
        <f>VLOOKUP(A533,'تجربه‌گرها'!B:C,2,FALSE())</f>
        <v>9128601825</v>
      </c>
      <c r="C533" s="242"/>
      <c r="D533" s="242">
        <f t="shared" si="1"/>
        <v>1</v>
      </c>
      <c r="E533" s="242">
        <f>COUNTIFS('تجربه‌گرها'!$B:$B,$A533,'تجربه‌گرها'!$F:$F,E$1)</f>
        <v>0</v>
      </c>
      <c r="F533" s="242">
        <f>COUNTIFS('تجربه‌گرها'!$B:$B,$A533,'تجربه‌گرها'!$F:$F,F$1)</f>
        <v>0</v>
      </c>
      <c r="G533" s="242">
        <f>COUNTIFS('تجربه‌گرها'!$B:$B,$A533,'تجربه‌گرها'!$F:$F,G$1)</f>
        <v>1</v>
      </c>
      <c r="H533" s="242">
        <f>COUNTIFS('تجربه‌گرها'!$B:$B,$A533,'تجربه‌گرها'!$F:$F,H$1)</f>
        <v>0</v>
      </c>
      <c r="I533" s="242">
        <f>COUNTIFS('تجربه‌گرها'!$B:$B,$A533,'تجربه‌گرها'!$F:$F,I$1)</f>
        <v>0</v>
      </c>
      <c r="J533" s="242">
        <f>COUNTIFS('تجربه‌گرها'!$B:$B,$A533,'تجربه‌گرها'!$F:$F,J$1)</f>
        <v>0</v>
      </c>
      <c r="K533" s="242">
        <f>COUNTIFS('تجربه‌گرها'!$B:$B,$A533,'تجربه‌گرها'!$F:$F,K$1)</f>
        <v>0</v>
      </c>
      <c r="L533" s="242">
        <f>COUNTIFS('تجربه‌گرها'!$B:$B,$A533,'تجربه‌گرها'!$F:$F,L$1)</f>
        <v>0</v>
      </c>
      <c r="M533" s="242">
        <f>COUNTIFS('تجربه‌گرها'!$B:$B,$A533,'تجربه‌گرها'!$F:$F,M$1)</f>
        <v>0</v>
      </c>
      <c r="N533" s="242">
        <f>COUNTIFS('تجربه‌گرها'!$B:$B,$A533,'تجربه‌گرها'!$F:$F,N$1)</f>
        <v>0</v>
      </c>
      <c r="O533" s="242">
        <f>COUNTIFS('تجربه‌گرها'!$B:$B,$A533,'تجربه‌گرها'!$F:$F,O$1)</f>
        <v>0</v>
      </c>
      <c r="P533" s="242">
        <f>COUNTIFS('تجربه‌گرها'!$B:$B,$A533,'تجربه‌گرها'!$F:$F,P$1)</f>
        <v>0</v>
      </c>
      <c r="Q533" s="242">
        <f>COUNTIFS('تجربه‌گرها'!$B:$B,$A533,'تجربه‌گرها'!$F:$F,Q$1)</f>
        <v>0</v>
      </c>
      <c r="R533" s="242">
        <f>COUNTIFS('تجربه‌گرها'!$B:$B,$A533,'تجربه‌گرها'!$F:$F,R$1)</f>
        <v>0</v>
      </c>
      <c r="S533" s="242">
        <f>COUNTIFS('تجربه‌گرها'!$B:$B,$A533,'تجربه‌گرها'!$F:$F,S$1)</f>
        <v>0</v>
      </c>
      <c r="T533" s="242">
        <f>COUNTIFS('تجربه‌گرها'!$B:$B,$A533,'تجربه‌گرها'!$F:$F,T$1)</f>
        <v>0</v>
      </c>
      <c r="U533" s="242"/>
      <c r="V533" s="242"/>
      <c r="W533" s="242"/>
      <c r="X533" s="242"/>
      <c r="Y533" s="242"/>
      <c r="Z533" s="242"/>
      <c r="AA533" s="242"/>
      <c r="AB533" s="242"/>
    </row>
    <row r="534">
      <c r="A534" s="244" t="s">
        <v>3525</v>
      </c>
      <c r="B534" s="245" t="str">
        <f>VLOOKUP(A534,'تجربه‌گرها'!B:C,2,FALSE())</f>
        <v>9021852525</v>
      </c>
      <c r="C534" s="242"/>
      <c r="D534" s="242">
        <f t="shared" si="1"/>
        <v>1</v>
      </c>
      <c r="E534" s="242">
        <f>COUNTIFS('تجربه‌گرها'!$B:$B,$A534,'تجربه‌گرها'!$F:$F,E$1)</f>
        <v>0</v>
      </c>
      <c r="F534" s="242">
        <f>COUNTIFS('تجربه‌گرها'!$B:$B,$A534,'تجربه‌گرها'!$F:$F,F$1)</f>
        <v>0</v>
      </c>
      <c r="G534" s="242">
        <f>COUNTIFS('تجربه‌گرها'!$B:$B,$A534,'تجربه‌گرها'!$F:$F,G$1)</f>
        <v>1</v>
      </c>
      <c r="H534" s="242">
        <f>COUNTIFS('تجربه‌گرها'!$B:$B,$A534,'تجربه‌گرها'!$F:$F,H$1)</f>
        <v>0</v>
      </c>
      <c r="I534" s="242">
        <f>COUNTIFS('تجربه‌گرها'!$B:$B,$A534,'تجربه‌گرها'!$F:$F,I$1)</f>
        <v>0</v>
      </c>
      <c r="J534" s="242">
        <f>COUNTIFS('تجربه‌گرها'!$B:$B,$A534,'تجربه‌گرها'!$F:$F,J$1)</f>
        <v>0</v>
      </c>
      <c r="K534" s="242">
        <f>COUNTIFS('تجربه‌گرها'!$B:$B,$A534,'تجربه‌گرها'!$F:$F,K$1)</f>
        <v>0</v>
      </c>
      <c r="L534" s="242">
        <f>COUNTIFS('تجربه‌گرها'!$B:$B,$A534,'تجربه‌گرها'!$F:$F,L$1)</f>
        <v>0</v>
      </c>
      <c r="M534" s="242">
        <f>COUNTIFS('تجربه‌گرها'!$B:$B,$A534,'تجربه‌گرها'!$F:$F,M$1)</f>
        <v>0</v>
      </c>
      <c r="N534" s="242">
        <f>COUNTIFS('تجربه‌گرها'!$B:$B,$A534,'تجربه‌گرها'!$F:$F,N$1)</f>
        <v>0</v>
      </c>
      <c r="O534" s="242">
        <f>COUNTIFS('تجربه‌گرها'!$B:$B,$A534,'تجربه‌گرها'!$F:$F,O$1)</f>
        <v>0</v>
      </c>
      <c r="P534" s="242">
        <f>COUNTIFS('تجربه‌گرها'!$B:$B,$A534,'تجربه‌گرها'!$F:$F,P$1)</f>
        <v>0</v>
      </c>
      <c r="Q534" s="242">
        <f>COUNTIFS('تجربه‌گرها'!$B:$B,$A534,'تجربه‌گرها'!$F:$F,Q$1)</f>
        <v>0</v>
      </c>
      <c r="R534" s="242">
        <f>COUNTIFS('تجربه‌گرها'!$B:$B,$A534,'تجربه‌گرها'!$F:$F,R$1)</f>
        <v>0</v>
      </c>
      <c r="S534" s="242">
        <f>COUNTIFS('تجربه‌گرها'!$B:$B,$A534,'تجربه‌گرها'!$F:$F,S$1)</f>
        <v>0</v>
      </c>
      <c r="T534" s="242">
        <f>COUNTIFS('تجربه‌گرها'!$B:$B,$A534,'تجربه‌گرها'!$F:$F,T$1)</f>
        <v>0</v>
      </c>
      <c r="U534" s="242"/>
      <c r="V534" s="242"/>
      <c r="W534" s="242"/>
      <c r="X534" s="242"/>
      <c r="Y534" s="242"/>
      <c r="Z534" s="242"/>
      <c r="AA534" s="242"/>
      <c r="AB534" s="242"/>
    </row>
    <row r="535" hidden="1">
      <c r="A535" s="244" t="s">
        <v>3529</v>
      </c>
      <c r="B535" s="245" t="str">
        <f>VLOOKUP(A535,'تجربه‌گرها'!B:C,2,FALSE())</f>
        <v>9198197842</v>
      </c>
      <c r="C535" s="242"/>
      <c r="D535" s="242">
        <f t="shared" si="1"/>
        <v>2</v>
      </c>
      <c r="E535" s="242">
        <f>COUNTIFS('تجربه‌گرها'!$B:$B,$A535,'تجربه‌گرها'!$F:$F,E$1)</f>
        <v>0</v>
      </c>
      <c r="F535" s="242">
        <f>COUNTIFS('تجربه‌گرها'!$B:$B,$A535,'تجربه‌گرها'!$F:$F,F$1)</f>
        <v>0</v>
      </c>
      <c r="G535" s="242">
        <f>COUNTIFS('تجربه‌گرها'!$B:$B,$A535,'تجربه‌گرها'!$F:$F,G$1)</f>
        <v>0</v>
      </c>
      <c r="H535" s="242">
        <f>COUNTIFS('تجربه‌گرها'!$B:$B,$A535,'تجربه‌گرها'!$F:$F,H$1)</f>
        <v>1</v>
      </c>
      <c r="I535" s="242">
        <f>COUNTIFS('تجربه‌گرها'!$B:$B,$A535,'تجربه‌گرها'!$F:$F,I$1)</f>
        <v>0</v>
      </c>
      <c r="J535" s="242">
        <f>COUNTIFS('تجربه‌گرها'!$B:$B,$A535,'تجربه‌گرها'!$F:$F,J$1)</f>
        <v>0</v>
      </c>
      <c r="K535" s="242">
        <f>COUNTIFS('تجربه‌گرها'!$B:$B,$A535,'تجربه‌گرها'!$F:$F,K$1)</f>
        <v>0</v>
      </c>
      <c r="L535" s="242">
        <f>COUNTIFS('تجربه‌گرها'!$B:$B,$A535,'تجربه‌گرها'!$F:$F,L$1)</f>
        <v>0</v>
      </c>
      <c r="M535" s="242">
        <f>COUNTIFS('تجربه‌گرها'!$B:$B,$A535,'تجربه‌گرها'!$F:$F,M$1)</f>
        <v>1</v>
      </c>
      <c r="N535" s="242">
        <f>COUNTIFS('تجربه‌گرها'!$B:$B,$A535,'تجربه‌گرها'!$F:$F,N$1)</f>
        <v>0</v>
      </c>
      <c r="O535" s="242">
        <f>COUNTIFS('تجربه‌گرها'!$B:$B,$A535,'تجربه‌گرها'!$F:$F,O$1)</f>
        <v>0</v>
      </c>
      <c r="P535" s="242">
        <f>COUNTIFS('تجربه‌گرها'!$B:$B,$A535,'تجربه‌گرها'!$F:$F,P$1)</f>
        <v>0</v>
      </c>
      <c r="Q535" s="242">
        <f>COUNTIFS('تجربه‌گرها'!$B:$B,$A535,'تجربه‌گرها'!$F:$F,Q$1)</f>
        <v>0</v>
      </c>
      <c r="R535" s="242">
        <f>COUNTIFS('تجربه‌گرها'!$B:$B,$A535,'تجربه‌گرها'!$F:$F,R$1)</f>
        <v>0</v>
      </c>
      <c r="S535" s="242">
        <f>COUNTIFS('تجربه‌گرها'!$B:$B,$A535,'تجربه‌گرها'!$F:$F,S$1)</f>
        <v>0</v>
      </c>
      <c r="T535" s="242">
        <f>COUNTIFS('تجربه‌گرها'!$B:$B,$A535,'تجربه‌گرها'!$F:$F,T$1)</f>
        <v>0</v>
      </c>
      <c r="U535" s="242"/>
      <c r="V535" s="242"/>
      <c r="W535" s="242"/>
      <c r="X535" s="242"/>
      <c r="Y535" s="242"/>
      <c r="Z535" s="242"/>
      <c r="AA535" s="242"/>
      <c r="AB535" s="242"/>
    </row>
    <row r="536">
      <c r="A536" s="244" t="s">
        <v>3533</v>
      </c>
      <c r="B536" s="245" t="str">
        <f>VLOOKUP(A536,'تجربه‌گرها'!B:C,2,FALSE())</f>
        <v>9123369054</v>
      </c>
      <c r="C536" s="242"/>
      <c r="D536" s="242">
        <f t="shared" si="1"/>
        <v>1</v>
      </c>
      <c r="E536" s="242">
        <f>COUNTIFS('تجربه‌گرها'!$B:$B,$A536,'تجربه‌گرها'!$F:$F,E$1)</f>
        <v>0</v>
      </c>
      <c r="F536" s="242">
        <f>COUNTIFS('تجربه‌گرها'!$B:$B,$A536,'تجربه‌گرها'!$F:$F,F$1)</f>
        <v>0</v>
      </c>
      <c r="G536" s="242">
        <f>COUNTIFS('تجربه‌گرها'!$B:$B,$A536,'تجربه‌گرها'!$F:$F,G$1)</f>
        <v>0</v>
      </c>
      <c r="H536" s="242">
        <f>COUNTIFS('تجربه‌گرها'!$B:$B,$A536,'تجربه‌گرها'!$F:$F,H$1)</f>
        <v>1</v>
      </c>
      <c r="I536" s="242">
        <f>COUNTIFS('تجربه‌گرها'!$B:$B,$A536,'تجربه‌گرها'!$F:$F,I$1)</f>
        <v>0</v>
      </c>
      <c r="J536" s="242">
        <f>COUNTIFS('تجربه‌گرها'!$B:$B,$A536,'تجربه‌گرها'!$F:$F,J$1)</f>
        <v>0</v>
      </c>
      <c r="K536" s="242">
        <f>COUNTIFS('تجربه‌گرها'!$B:$B,$A536,'تجربه‌گرها'!$F:$F,K$1)</f>
        <v>0</v>
      </c>
      <c r="L536" s="242">
        <f>COUNTIFS('تجربه‌گرها'!$B:$B,$A536,'تجربه‌گرها'!$F:$F,L$1)</f>
        <v>0</v>
      </c>
      <c r="M536" s="242">
        <f>COUNTIFS('تجربه‌گرها'!$B:$B,$A536,'تجربه‌گرها'!$F:$F,M$1)</f>
        <v>0</v>
      </c>
      <c r="N536" s="242">
        <f>COUNTIFS('تجربه‌گرها'!$B:$B,$A536,'تجربه‌گرها'!$F:$F,N$1)</f>
        <v>0</v>
      </c>
      <c r="O536" s="242">
        <f>COUNTIFS('تجربه‌گرها'!$B:$B,$A536,'تجربه‌گرها'!$F:$F,O$1)</f>
        <v>0</v>
      </c>
      <c r="P536" s="242">
        <f>COUNTIFS('تجربه‌گرها'!$B:$B,$A536,'تجربه‌گرها'!$F:$F,P$1)</f>
        <v>0</v>
      </c>
      <c r="Q536" s="242">
        <f>COUNTIFS('تجربه‌گرها'!$B:$B,$A536,'تجربه‌گرها'!$F:$F,Q$1)</f>
        <v>0</v>
      </c>
      <c r="R536" s="242">
        <f>COUNTIFS('تجربه‌گرها'!$B:$B,$A536,'تجربه‌گرها'!$F:$F,R$1)</f>
        <v>0</v>
      </c>
      <c r="S536" s="242">
        <f>COUNTIFS('تجربه‌گرها'!$B:$B,$A536,'تجربه‌گرها'!$F:$F,S$1)</f>
        <v>0</v>
      </c>
      <c r="T536" s="242">
        <f>COUNTIFS('تجربه‌گرها'!$B:$B,$A536,'تجربه‌گرها'!$F:$F,T$1)</f>
        <v>0</v>
      </c>
      <c r="U536" s="242"/>
      <c r="V536" s="242"/>
      <c r="W536" s="242"/>
      <c r="X536" s="242"/>
      <c r="Y536" s="242"/>
      <c r="Z536" s="242"/>
      <c r="AA536" s="242"/>
      <c r="AB536" s="242"/>
    </row>
    <row r="537" hidden="1">
      <c r="A537" s="244" t="s">
        <v>3539</v>
      </c>
      <c r="B537" s="245" t="str">
        <f>VLOOKUP(A537,'تجربه‌گرها'!B:C,2,FALSE())</f>
        <v>9128178864</v>
      </c>
      <c r="C537" s="242"/>
      <c r="D537" s="242">
        <f t="shared" si="1"/>
        <v>1</v>
      </c>
      <c r="E537" s="242">
        <f>COUNTIFS('تجربه‌گرها'!$B:$B,$A537,'تجربه‌گرها'!$F:$F,E$1)</f>
        <v>0</v>
      </c>
      <c r="F537" s="242">
        <f>COUNTIFS('تجربه‌گرها'!$B:$B,$A537,'تجربه‌گرها'!$F:$F,F$1)</f>
        <v>0</v>
      </c>
      <c r="G537" s="242">
        <f>COUNTIFS('تجربه‌گرها'!$B:$B,$A537,'تجربه‌گرها'!$F:$F,G$1)</f>
        <v>0</v>
      </c>
      <c r="H537" s="242">
        <f>COUNTIFS('تجربه‌گرها'!$B:$B,$A537,'تجربه‌گرها'!$F:$F,H$1)</f>
        <v>1</v>
      </c>
      <c r="I537" s="242">
        <f>COUNTIFS('تجربه‌گرها'!$B:$B,$A537,'تجربه‌گرها'!$F:$F,I$1)</f>
        <v>0</v>
      </c>
      <c r="J537" s="242">
        <f>COUNTIFS('تجربه‌گرها'!$B:$B,$A537,'تجربه‌گرها'!$F:$F,J$1)</f>
        <v>0</v>
      </c>
      <c r="K537" s="242">
        <f>COUNTIFS('تجربه‌گرها'!$B:$B,$A537,'تجربه‌گرها'!$F:$F,K$1)</f>
        <v>0</v>
      </c>
      <c r="L537" s="242">
        <f>COUNTIFS('تجربه‌گرها'!$B:$B,$A537,'تجربه‌گرها'!$F:$F,L$1)</f>
        <v>0</v>
      </c>
      <c r="M537" s="242">
        <f>COUNTIFS('تجربه‌گرها'!$B:$B,$A537,'تجربه‌گرها'!$F:$F,M$1)</f>
        <v>0</v>
      </c>
      <c r="N537" s="242">
        <f>COUNTIFS('تجربه‌گرها'!$B:$B,$A537,'تجربه‌گرها'!$F:$F,N$1)</f>
        <v>0</v>
      </c>
      <c r="O537" s="242">
        <f>COUNTIFS('تجربه‌گرها'!$B:$B,$A537,'تجربه‌گرها'!$F:$F,O$1)</f>
        <v>0</v>
      </c>
      <c r="P537" s="242">
        <f>COUNTIFS('تجربه‌گرها'!$B:$B,$A537,'تجربه‌گرها'!$F:$F,P$1)</f>
        <v>0</v>
      </c>
      <c r="Q537" s="242">
        <f>COUNTIFS('تجربه‌گرها'!$B:$B,$A537,'تجربه‌گرها'!$F:$F,Q$1)</f>
        <v>0</v>
      </c>
      <c r="R537" s="242">
        <f>COUNTIFS('تجربه‌گرها'!$B:$B,$A537,'تجربه‌گرها'!$F:$F,R$1)</f>
        <v>0</v>
      </c>
      <c r="S537" s="242">
        <f>COUNTIFS('تجربه‌گرها'!$B:$B,$A537,'تجربه‌گرها'!$F:$F,S$1)</f>
        <v>0</v>
      </c>
      <c r="T537" s="242">
        <f>COUNTIFS('تجربه‌گرها'!$B:$B,$A537,'تجربه‌گرها'!$F:$F,T$1)</f>
        <v>0</v>
      </c>
      <c r="U537" s="242"/>
      <c r="V537" s="242"/>
      <c r="W537" s="242"/>
      <c r="X537" s="242"/>
      <c r="Y537" s="242"/>
      <c r="Z537" s="242"/>
      <c r="AA537" s="242"/>
      <c r="AB537" s="242"/>
    </row>
    <row r="538" hidden="1">
      <c r="A538" s="244" t="s">
        <v>3544</v>
      </c>
      <c r="B538" s="245" t="str">
        <f>VLOOKUP(A538,'تجربه‌گرها'!B:C,2,FALSE())</f>
        <v>9203541227</v>
      </c>
      <c r="C538" s="242"/>
      <c r="D538" s="242">
        <f t="shared" si="1"/>
        <v>1</v>
      </c>
      <c r="E538" s="242">
        <f>COUNTIFS('تجربه‌گرها'!$B:$B,$A538,'تجربه‌گرها'!$F:$F,E$1)</f>
        <v>0</v>
      </c>
      <c r="F538" s="242">
        <f>COUNTIFS('تجربه‌گرها'!$B:$B,$A538,'تجربه‌گرها'!$F:$F,F$1)</f>
        <v>0</v>
      </c>
      <c r="G538" s="242">
        <f>COUNTIFS('تجربه‌گرها'!$B:$B,$A538,'تجربه‌گرها'!$F:$F,G$1)</f>
        <v>0</v>
      </c>
      <c r="H538" s="242">
        <f>COUNTIFS('تجربه‌گرها'!$B:$B,$A538,'تجربه‌گرها'!$F:$F,H$1)</f>
        <v>1</v>
      </c>
      <c r="I538" s="242">
        <f>COUNTIFS('تجربه‌گرها'!$B:$B,$A538,'تجربه‌گرها'!$F:$F,I$1)</f>
        <v>0</v>
      </c>
      <c r="J538" s="242">
        <f>COUNTIFS('تجربه‌گرها'!$B:$B,$A538,'تجربه‌گرها'!$F:$F,J$1)</f>
        <v>0</v>
      </c>
      <c r="K538" s="242">
        <f>COUNTIFS('تجربه‌گرها'!$B:$B,$A538,'تجربه‌گرها'!$F:$F,K$1)</f>
        <v>0</v>
      </c>
      <c r="L538" s="242">
        <f>COUNTIFS('تجربه‌گرها'!$B:$B,$A538,'تجربه‌گرها'!$F:$F,L$1)</f>
        <v>0</v>
      </c>
      <c r="M538" s="242">
        <f>COUNTIFS('تجربه‌گرها'!$B:$B,$A538,'تجربه‌گرها'!$F:$F,M$1)</f>
        <v>0</v>
      </c>
      <c r="N538" s="242">
        <f>COUNTIFS('تجربه‌گرها'!$B:$B,$A538,'تجربه‌گرها'!$F:$F,N$1)</f>
        <v>0</v>
      </c>
      <c r="O538" s="242">
        <f>COUNTIFS('تجربه‌گرها'!$B:$B,$A538,'تجربه‌گرها'!$F:$F,O$1)</f>
        <v>0</v>
      </c>
      <c r="P538" s="242">
        <f>COUNTIFS('تجربه‌گرها'!$B:$B,$A538,'تجربه‌گرها'!$F:$F,P$1)</f>
        <v>0</v>
      </c>
      <c r="Q538" s="242">
        <f>COUNTIFS('تجربه‌گرها'!$B:$B,$A538,'تجربه‌گرها'!$F:$F,Q$1)</f>
        <v>0</v>
      </c>
      <c r="R538" s="242">
        <f>COUNTIFS('تجربه‌گرها'!$B:$B,$A538,'تجربه‌گرها'!$F:$F,R$1)</f>
        <v>0</v>
      </c>
      <c r="S538" s="242">
        <f>COUNTIFS('تجربه‌گرها'!$B:$B,$A538,'تجربه‌گرها'!$F:$F,S$1)</f>
        <v>0</v>
      </c>
      <c r="T538" s="242">
        <f>COUNTIFS('تجربه‌گرها'!$B:$B,$A538,'تجربه‌گرها'!$F:$F,T$1)</f>
        <v>0</v>
      </c>
      <c r="U538" s="242"/>
      <c r="V538" s="242"/>
      <c r="W538" s="242"/>
      <c r="X538" s="242"/>
      <c r="Y538" s="242"/>
      <c r="Z538" s="242"/>
      <c r="AA538" s="242"/>
      <c r="AB538" s="242"/>
    </row>
    <row r="539">
      <c r="A539" s="244" t="s">
        <v>3551</v>
      </c>
      <c r="B539" s="245" t="str">
        <f>VLOOKUP(A539,'تجربه‌گرها'!B:C,2,FALSE())</f>
        <v>9125596126</v>
      </c>
      <c r="C539" s="242"/>
      <c r="D539" s="242">
        <f t="shared" si="1"/>
        <v>1</v>
      </c>
      <c r="E539" s="242">
        <f>COUNTIFS('تجربه‌گرها'!$B:$B,$A539,'تجربه‌گرها'!$F:$F,E$1)</f>
        <v>0</v>
      </c>
      <c r="F539" s="242">
        <f>COUNTIFS('تجربه‌گرها'!$B:$B,$A539,'تجربه‌گرها'!$F:$F,F$1)</f>
        <v>0</v>
      </c>
      <c r="G539" s="242">
        <f>COUNTIFS('تجربه‌گرها'!$B:$B,$A539,'تجربه‌گرها'!$F:$F,G$1)</f>
        <v>0</v>
      </c>
      <c r="H539" s="242">
        <f>COUNTIFS('تجربه‌گرها'!$B:$B,$A539,'تجربه‌گرها'!$F:$F,H$1)</f>
        <v>1</v>
      </c>
      <c r="I539" s="242">
        <f>COUNTIFS('تجربه‌گرها'!$B:$B,$A539,'تجربه‌گرها'!$F:$F,I$1)</f>
        <v>0</v>
      </c>
      <c r="J539" s="242">
        <f>COUNTIFS('تجربه‌گرها'!$B:$B,$A539,'تجربه‌گرها'!$F:$F,J$1)</f>
        <v>0</v>
      </c>
      <c r="K539" s="242">
        <f>COUNTIFS('تجربه‌گرها'!$B:$B,$A539,'تجربه‌گرها'!$F:$F,K$1)</f>
        <v>0</v>
      </c>
      <c r="L539" s="242">
        <f>COUNTIFS('تجربه‌گرها'!$B:$B,$A539,'تجربه‌گرها'!$F:$F,L$1)</f>
        <v>0</v>
      </c>
      <c r="M539" s="242">
        <f>COUNTIFS('تجربه‌گرها'!$B:$B,$A539,'تجربه‌گرها'!$F:$F,M$1)</f>
        <v>0</v>
      </c>
      <c r="N539" s="242">
        <f>COUNTIFS('تجربه‌گرها'!$B:$B,$A539,'تجربه‌گرها'!$F:$F,N$1)</f>
        <v>0</v>
      </c>
      <c r="O539" s="242">
        <f>COUNTIFS('تجربه‌گرها'!$B:$B,$A539,'تجربه‌گرها'!$F:$F,O$1)</f>
        <v>0</v>
      </c>
      <c r="P539" s="242">
        <f>COUNTIFS('تجربه‌گرها'!$B:$B,$A539,'تجربه‌گرها'!$F:$F,P$1)</f>
        <v>0</v>
      </c>
      <c r="Q539" s="242">
        <f>COUNTIFS('تجربه‌گرها'!$B:$B,$A539,'تجربه‌گرها'!$F:$F,Q$1)</f>
        <v>0</v>
      </c>
      <c r="R539" s="242">
        <f>COUNTIFS('تجربه‌گرها'!$B:$B,$A539,'تجربه‌گرها'!$F:$F,R$1)</f>
        <v>0</v>
      </c>
      <c r="S539" s="242">
        <f>COUNTIFS('تجربه‌گرها'!$B:$B,$A539,'تجربه‌گرها'!$F:$F,S$1)</f>
        <v>0</v>
      </c>
      <c r="T539" s="242">
        <f>COUNTIFS('تجربه‌گرها'!$B:$B,$A539,'تجربه‌گرها'!$F:$F,T$1)</f>
        <v>0</v>
      </c>
      <c r="U539" s="242"/>
      <c r="V539" s="242"/>
      <c r="W539" s="242"/>
      <c r="X539" s="242"/>
      <c r="Y539" s="242"/>
      <c r="Z539" s="242"/>
      <c r="AA539" s="242"/>
      <c r="AB539" s="242"/>
    </row>
    <row r="540" hidden="1">
      <c r="A540" s="244" t="s">
        <v>3556</v>
      </c>
      <c r="B540" s="245" t="str">
        <f>VLOOKUP(A540,'تجربه‌گرها'!B:C,2,FALSE())</f>
        <v>9127215979</v>
      </c>
      <c r="C540" s="242"/>
      <c r="D540" s="242">
        <f t="shared" si="1"/>
        <v>1</v>
      </c>
      <c r="E540" s="242">
        <f>COUNTIFS('تجربه‌گرها'!$B:$B,$A540,'تجربه‌گرها'!$F:$F,E$1)</f>
        <v>0</v>
      </c>
      <c r="F540" s="242">
        <f>COUNTIFS('تجربه‌گرها'!$B:$B,$A540,'تجربه‌گرها'!$F:$F,F$1)</f>
        <v>0</v>
      </c>
      <c r="G540" s="242">
        <f>COUNTIFS('تجربه‌گرها'!$B:$B,$A540,'تجربه‌گرها'!$F:$F,G$1)</f>
        <v>0</v>
      </c>
      <c r="H540" s="242">
        <f>COUNTIFS('تجربه‌گرها'!$B:$B,$A540,'تجربه‌گرها'!$F:$F,H$1)</f>
        <v>1</v>
      </c>
      <c r="I540" s="242">
        <f>COUNTIFS('تجربه‌گرها'!$B:$B,$A540,'تجربه‌گرها'!$F:$F,I$1)</f>
        <v>0</v>
      </c>
      <c r="J540" s="242">
        <f>COUNTIFS('تجربه‌گرها'!$B:$B,$A540,'تجربه‌گرها'!$F:$F,J$1)</f>
        <v>0</v>
      </c>
      <c r="K540" s="242">
        <f>COUNTIFS('تجربه‌گرها'!$B:$B,$A540,'تجربه‌گرها'!$F:$F,K$1)</f>
        <v>0</v>
      </c>
      <c r="L540" s="242">
        <f>COUNTIFS('تجربه‌گرها'!$B:$B,$A540,'تجربه‌گرها'!$F:$F,L$1)</f>
        <v>0</v>
      </c>
      <c r="M540" s="242">
        <f>COUNTIFS('تجربه‌گرها'!$B:$B,$A540,'تجربه‌گرها'!$F:$F,M$1)</f>
        <v>0</v>
      </c>
      <c r="N540" s="242">
        <f>COUNTIFS('تجربه‌گرها'!$B:$B,$A540,'تجربه‌گرها'!$F:$F,N$1)</f>
        <v>0</v>
      </c>
      <c r="O540" s="242">
        <f>COUNTIFS('تجربه‌گرها'!$B:$B,$A540,'تجربه‌گرها'!$F:$F,O$1)</f>
        <v>0</v>
      </c>
      <c r="P540" s="242">
        <f>COUNTIFS('تجربه‌گرها'!$B:$B,$A540,'تجربه‌گرها'!$F:$F,P$1)</f>
        <v>0</v>
      </c>
      <c r="Q540" s="242">
        <f>COUNTIFS('تجربه‌گرها'!$B:$B,$A540,'تجربه‌گرها'!$F:$F,Q$1)</f>
        <v>0</v>
      </c>
      <c r="R540" s="242">
        <f>COUNTIFS('تجربه‌گرها'!$B:$B,$A540,'تجربه‌گرها'!$F:$F,R$1)</f>
        <v>0</v>
      </c>
      <c r="S540" s="242">
        <f>COUNTIFS('تجربه‌گرها'!$B:$B,$A540,'تجربه‌گرها'!$F:$F,S$1)</f>
        <v>0</v>
      </c>
      <c r="T540" s="242">
        <f>COUNTIFS('تجربه‌گرها'!$B:$B,$A540,'تجربه‌گرها'!$F:$F,T$1)</f>
        <v>0</v>
      </c>
      <c r="U540" s="242"/>
      <c r="V540" s="242"/>
      <c r="W540" s="242"/>
      <c r="X540" s="242"/>
      <c r="Y540" s="242"/>
      <c r="Z540" s="242"/>
      <c r="AA540" s="242"/>
      <c r="AB540" s="242"/>
    </row>
    <row r="541" hidden="1">
      <c r="A541" s="244" t="s">
        <v>3561</v>
      </c>
      <c r="B541" s="245" t="str">
        <f>VLOOKUP(A541,'تجربه‌گرها'!B:C,2,FALSE())</f>
        <v>9125122059</v>
      </c>
      <c r="C541" s="242"/>
      <c r="D541" s="242">
        <f t="shared" si="1"/>
        <v>3</v>
      </c>
      <c r="E541" s="242">
        <f>COUNTIFS('تجربه‌گرها'!$B:$B,$A541,'تجربه‌گرها'!$F:$F,E$1)</f>
        <v>0</v>
      </c>
      <c r="F541" s="242">
        <f>COUNTIFS('تجربه‌گرها'!$B:$B,$A541,'تجربه‌گرها'!$F:$F,F$1)</f>
        <v>0</v>
      </c>
      <c r="G541" s="242">
        <f>COUNTIFS('تجربه‌گرها'!$B:$B,$A541,'تجربه‌گرها'!$F:$F,G$1)</f>
        <v>0</v>
      </c>
      <c r="H541" s="242">
        <f>COUNTIFS('تجربه‌گرها'!$B:$B,$A541,'تجربه‌گرها'!$F:$F,H$1)</f>
        <v>1</v>
      </c>
      <c r="I541" s="242">
        <f>COUNTIFS('تجربه‌گرها'!$B:$B,$A541,'تجربه‌گرها'!$F:$F,I$1)</f>
        <v>1</v>
      </c>
      <c r="J541" s="242">
        <f>COUNTIFS('تجربه‌گرها'!$B:$B,$A541,'تجربه‌گرها'!$F:$F,J$1)</f>
        <v>0</v>
      </c>
      <c r="K541" s="242">
        <f>COUNTIFS('تجربه‌گرها'!$B:$B,$A541,'تجربه‌گرها'!$F:$F,K$1)</f>
        <v>1</v>
      </c>
      <c r="L541" s="242">
        <f>COUNTIFS('تجربه‌گرها'!$B:$B,$A541,'تجربه‌گرها'!$F:$F,L$1)</f>
        <v>0</v>
      </c>
      <c r="M541" s="242">
        <f>COUNTIFS('تجربه‌گرها'!$B:$B,$A541,'تجربه‌گرها'!$F:$F,M$1)</f>
        <v>0</v>
      </c>
      <c r="N541" s="242">
        <f>COUNTIFS('تجربه‌گرها'!$B:$B,$A541,'تجربه‌گرها'!$F:$F,N$1)</f>
        <v>0</v>
      </c>
      <c r="O541" s="242">
        <f>COUNTIFS('تجربه‌گرها'!$B:$B,$A541,'تجربه‌گرها'!$F:$F,O$1)</f>
        <v>0</v>
      </c>
      <c r="P541" s="242">
        <f>COUNTIFS('تجربه‌گرها'!$B:$B,$A541,'تجربه‌گرها'!$F:$F,P$1)</f>
        <v>0</v>
      </c>
      <c r="Q541" s="242">
        <f>COUNTIFS('تجربه‌گرها'!$B:$B,$A541,'تجربه‌گرها'!$F:$F,Q$1)</f>
        <v>0</v>
      </c>
      <c r="R541" s="242">
        <f>COUNTIFS('تجربه‌گرها'!$B:$B,$A541,'تجربه‌گرها'!$F:$F,R$1)</f>
        <v>0</v>
      </c>
      <c r="S541" s="242">
        <f>COUNTIFS('تجربه‌گرها'!$B:$B,$A541,'تجربه‌گرها'!$F:$F,S$1)</f>
        <v>0</v>
      </c>
      <c r="T541" s="242">
        <f>COUNTIFS('تجربه‌گرها'!$B:$B,$A541,'تجربه‌گرها'!$F:$F,T$1)</f>
        <v>0</v>
      </c>
      <c r="U541" s="242"/>
      <c r="V541" s="242"/>
      <c r="W541" s="242"/>
      <c r="X541" s="242"/>
      <c r="Y541" s="242"/>
      <c r="Z541" s="242"/>
      <c r="AA541" s="242"/>
      <c r="AB541" s="242"/>
    </row>
    <row r="542" hidden="1">
      <c r="A542" s="244" t="s">
        <v>3566</v>
      </c>
      <c r="B542" s="245" t="str">
        <f>VLOOKUP(A542,'تجربه‌گرها'!B:C,2,FALSE())</f>
        <v>9129217881</v>
      </c>
      <c r="C542" s="242"/>
      <c r="D542" s="242">
        <f t="shared" si="1"/>
        <v>1</v>
      </c>
      <c r="E542" s="242">
        <f>COUNTIFS('تجربه‌گرها'!$B:$B,$A542,'تجربه‌گرها'!$F:$F,E$1)</f>
        <v>0</v>
      </c>
      <c r="F542" s="242">
        <f>COUNTIFS('تجربه‌گرها'!$B:$B,$A542,'تجربه‌گرها'!$F:$F,F$1)</f>
        <v>0</v>
      </c>
      <c r="G542" s="242">
        <f>COUNTIFS('تجربه‌گرها'!$B:$B,$A542,'تجربه‌گرها'!$F:$F,G$1)</f>
        <v>0</v>
      </c>
      <c r="H542" s="242">
        <f>COUNTIFS('تجربه‌گرها'!$B:$B,$A542,'تجربه‌گرها'!$F:$F,H$1)</f>
        <v>1</v>
      </c>
      <c r="I542" s="242">
        <f>COUNTIFS('تجربه‌گرها'!$B:$B,$A542,'تجربه‌گرها'!$F:$F,I$1)</f>
        <v>0</v>
      </c>
      <c r="J542" s="242">
        <f>COUNTIFS('تجربه‌گرها'!$B:$B,$A542,'تجربه‌گرها'!$F:$F,J$1)</f>
        <v>0</v>
      </c>
      <c r="K542" s="242">
        <f>COUNTIFS('تجربه‌گرها'!$B:$B,$A542,'تجربه‌گرها'!$F:$F,K$1)</f>
        <v>0</v>
      </c>
      <c r="L542" s="242">
        <f>COUNTIFS('تجربه‌گرها'!$B:$B,$A542,'تجربه‌گرها'!$F:$F,L$1)</f>
        <v>0</v>
      </c>
      <c r="M542" s="242">
        <f>COUNTIFS('تجربه‌گرها'!$B:$B,$A542,'تجربه‌گرها'!$F:$F,M$1)</f>
        <v>0</v>
      </c>
      <c r="N542" s="242">
        <f>COUNTIFS('تجربه‌گرها'!$B:$B,$A542,'تجربه‌گرها'!$F:$F,N$1)</f>
        <v>0</v>
      </c>
      <c r="O542" s="242">
        <f>COUNTIFS('تجربه‌گرها'!$B:$B,$A542,'تجربه‌گرها'!$F:$F,O$1)</f>
        <v>0</v>
      </c>
      <c r="P542" s="242">
        <f>COUNTIFS('تجربه‌گرها'!$B:$B,$A542,'تجربه‌گرها'!$F:$F,P$1)</f>
        <v>0</v>
      </c>
      <c r="Q542" s="242">
        <f>COUNTIFS('تجربه‌گرها'!$B:$B,$A542,'تجربه‌گرها'!$F:$F,Q$1)</f>
        <v>0</v>
      </c>
      <c r="R542" s="242">
        <f>COUNTIFS('تجربه‌گرها'!$B:$B,$A542,'تجربه‌گرها'!$F:$F,R$1)</f>
        <v>0</v>
      </c>
      <c r="S542" s="242">
        <f>COUNTIFS('تجربه‌گرها'!$B:$B,$A542,'تجربه‌گرها'!$F:$F,S$1)</f>
        <v>0</v>
      </c>
      <c r="T542" s="242">
        <f>COUNTIFS('تجربه‌گرها'!$B:$B,$A542,'تجربه‌گرها'!$F:$F,T$1)</f>
        <v>0</v>
      </c>
      <c r="U542" s="242"/>
      <c r="V542" s="242"/>
      <c r="W542" s="242"/>
      <c r="X542" s="242"/>
      <c r="Y542" s="242"/>
      <c r="Z542" s="242"/>
      <c r="AA542" s="242"/>
      <c r="AB542" s="242"/>
    </row>
    <row r="543" hidden="1">
      <c r="A543" s="244" t="s">
        <v>3572</v>
      </c>
      <c r="B543" s="245" t="str">
        <f>VLOOKUP(A543,'تجربه‌گرها'!B:C,2,FALSE())</f>
        <v>9132957050</v>
      </c>
      <c r="C543" s="242"/>
      <c r="D543" s="242">
        <f t="shared" si="1"/>
        <v>1</v>
      </c>
      <c r="E543" s="242">
        <f>COUNTIFS('تجربه‌گرها'!$B:$B,$A543,'تجربه‌گرها'!$F:$F,E$1)</f>
        <v>0</v>
      </c>
      <c r="F543" s="242">
        <f>COUNTIFS('تجربه‌گرها'!$B:$B,$A543,'تجربه‌گرها'!$F:$F,F$1)</f>
        <v>0</v>
      </c>
      <c r="G543" s="242">
        <f>COUNTIFS('تجربه‌گرها'!$B:$B,$A543,'تجربه‌گرها'!$F:$F,G$1)</f>
        <v>0</v>
      </c>
      <c r="H543" s="242">
        <f>COUNTIFS('تجربه‌گرها'!$B:$B,$A543,'تجربه‌گرها'!$F:$F,H$1)</f>
        <v>1</v>
      </c>
      <c r="I543" s="242">
        <f>COUNTIFS('تجربه‌گرها'!$B:$B,$A543,'تجربه‌گرها'!$F:$F,I$1)</f>
        <v>0</v>
      </c>
      <c r="J543" s="242">
        <f>COUNTIFS('تجربه‌گرها'!$B:$B,$A543,'تجربه‌گرها'!$F:$F,J$1)</f>
        <v>0</v>
      </c>
      <c r="K543" s="242">
        <f>COUNTIFS('تجربه‌گرها'!$B:$B,$A543,'تجربه‌گرها'!$F:$F,K$1)</f>
        <v>0</v>
      </c>
      <c r="L543" s="242">
        <f>COUNTIFS('تجربه‌گرها'!$B:$B,$A543,'تجربه‌گرها'!$F:$F,L$1)</f>
        <v>0</v>
      </c>
      <c r="M543" s="242">
        <f>COUNTIFS('تجربه‌گرها'!$B:$B,$A543,'تجربه‌گرها'!$F:$F,M$1)</f>
        <v>0</v>
      </c>
      <c r="N543" s="242">
        <f>COUNTIFS('تجربه‌گرها'!$B:$B,$A543,'تجربه‌گرها'!$F:$F,N$1)</f>
        <v>0</v>
      </c>
      <c r="O543" s="242">
        <f>COUNTIFS('تجربه‌گرها'!$B:$B,$A543,'تجربه‌گرها'!$F:$F,O$1)</f>
        <v>0</v>
      </c>
      <c r="P543" s="242">
        <f>COUNTIFS('تجربه‌گرها'!$B:$B,$A543,'تجربه‌گرها'!$F:$F,P$1)</f>
        <v>0</v>
      </c>
      <c r="Q543" s="242">
        <f>COUNTIFS('تجربه‌گرها'!$B:$B,$A543,'تجربه‌گرها'!$F:$F,Q$1)</f>
        <v>0</v>
      </c>
      <c r="R543" s="242">
        <f>COUNTIFS('تجربه‌گرها'!$B:$B,$A543,'تجربه‌گرها'!$F:$F,R$1)</f>
        <v>0</v>
      </c>
      <c r="S543" s="242">
        <f>COUNTIFS('تجربه‌گرها'!$B:$B,$A543,'تجربه‌گرها'!$F:$F,S$1)</f>
        <v>0</v>
      </c>
      <c r="T543" s="242">
        <f>COUNTIFS('تجربه‌گرها'!$B:$B,$A543,'تجربه‌گرها'!$F:$F,T$1)</f>
        <v>0</v>
      </c>
      <c r="U543" s="242"/>
      <c r="V543" s="242"/>
      <c r="W543" s="242"/>
      <c r="X543" s="242"/>
      <c r="Y543" s="242"/>
      <c r="Z543" s="242"/>
      <c r="AA543" s="242"/>
      <c r="AB543" s="242"/>
    </row>
    <row r="544" hidden="1">
      <c r="A544" s="244" t="s">
        <v>3577</v>
      </c>
      <c r="B544" s="245" t="str">
        <f>VLOOKUP(A544,'تجربه‌گرها'!B:C,2,FALSE())</f>
        <v>9123101049</v>
      </c>
      <c r="C544" s="242"/>
      <c r="D544" s="242">
        <f t="shared" si="1"/>
        <v>1</v>
      </c>
      <c r="E544" s="242">
        <f>COUNTIFS('تجربه‌گرها'!$B:$B,$A544,'تجربه‌گرها'!$F:$F,E$1)</f>
        <v>0</v>
      </c>
      <c r="F544" s="242">
        <f>COUNTIFS('تجربه‌گرها'!$B:$B,$A544,'تجربه‌گرها'!$F:$F,F$1)</f>
        <v>0</v>
      </c>
      <c r="G544" s="242">
        <f>COUNTIFS('تجربه‌گرها'!$B:$B,$A544,'تجربه‌گرها'!$F:$F,G$1)</f>
        <v>0</v>
      </c>
      <c r="H544" s="242">
        <f>COUNTIFS('تجربه‌گرها'!$B:$B,$A544,'تجربه‌گرها'!$F:$F,H$1)</f>
        <v>1</v>
      </c>
      <c r="I544" s="242">
        <f>COUNTIFS('تجربه‌گرها'!$B:$B,$A544,'تجربه‌گرها'!$F:$F,I$1)</f>
        <v>0</v>
      </c>
      <c r="J544" s="242">
        <f>COUNTIFS('تجربه‌گرها'!$B:$B,$A544,'تجربه‌گرها'!$F:$F,J$1)</f>
        <v>0</v>
      </c>
      <c r="K544" s="242">
        <f>COUNTIFS('تجربه‌گرها'!$B:$B,$A544,'تجربه‌گرها'!$F:$F,K$1)</f>
        <v>0</v>
      </c>
      <c r="L544" s="242">
        <f>COUNTIFS('تجربه‌گرها'!$B:$B,$A544,'تجربه‌گرها'!$F:$F,L$1)</f>
        <v>0</v>
      </c>
      <c r="M544" s="242">
        <f>COUNTIFS('تجربه‌گرها'!$B:$B,$A544,'تجربه‌گرها'!$F:$F,M$1)</f>
        <v>0</v>
      </c>
      <c r="N544" s="242">
        <f>COUNTIFS('تجربه‌گرها'!$B:$B,$A544,'تجربه‌گرها'!$F:$F,N$1)</f>
        <v>0</v>
      </c>
      <c r="O544" s="242">
        <f>COUNTIFS('تجربه‌گرها'!$B:$B,$A544,'تجربه‌گرها'!$F:$F,O$1)</f>
        <v>0</v>
      </c>
      <c r="P544" s="242">
        <f>COUNTIFS('تجربه‌گرها'!$B:$B,$A544,'تجربه‌گرها'!$F:$F,P$1)</f>
        <v>0</v>
      </c>
      <c r="Q544" s="242">
        <f>COUNTIFS('تجربه‌گرها'!$B:$B,$A544,'تجربه‌گرها'!$F:$F,Q$1)</f>
        <v>0</v>
      </c>
      <c r="R544" s="242">
        <f>COUNTIFS('تجربه‌گرها'!$B:$B,$A544,'تجربه‌گرها'!$F:$F,R$1)</f>
        <v>0</v>
      </c>
      <c r="S544" s="242">
        <f>COUNTIFS('تجربه‌گرها'!$B:$B,$A544,'تجربه‌گرها'!$F:$F,S$1)</f>
        <v>0</v>
      </c>
      <c r="T544" s="242">
        <f>COUNTIFS('تجربه‌گرها'!$B:$B,$A544,'تجربه‌گرها'!$F:$F,T$1)</f>
        <v>0</v>
      </c>
      <c r="U544" s="242"/>
      <c r="V544" s="242"/>
      <c r="W544" s="242"/>
      <c r="X544" s="242"/>
      <c r="Y544" s="242"/>
      <c r="Z544" s="242"/>
      <c r="AA544" s="242"/>
      <c r="AB544" s="242"/>
    </row>
    <row r="545">
      <c r="A545" s="244" t="s">
        <v>3583</v>
      </c>
      <c r="B545" s="245" t="str">
        <f>VLOOKUP(A545,'تجربه‌گرها'!B:C,2,FALSE())</f>
        <v>9391938399</v>
      </c>
      <c r="C545" s="242"/>
      <c r="D545" s="242">
        <f t="shared" si="1"/>
        <v>1</v>
      </c>
      <c r="E545" s="242">
        <f>COUNTIFS('تجربه‌گرها'!$B:$B,$A545,'تجربه‌گرها'!$F:$F,E$1)</f>
        <v>0</v>
      </c>
      <c r="F545" s="242">
        <f>COUNTIFS('تجربه‌گرها'!$B:$B,$A545,'تجربه‌گرها'!$F:$F,F$1)</f>
        <v>0</v>
      </c>
      <c r="G545" s="242">
        <f>COUNTIFS('تجربه‌گرها'!$B:$B,$A545,'تجربه‌گرها'!$F:$F,G$1)</f>
        <v>0</v>
      </c>
      <c r="H545" s="242">
        <f>COUNTIFS('تجربه‌گرها'!$B:$B,$A545,'تجربه‌گرها'!$F:$F,H$1)</f>
        <v>1</v>
      </c>
      <c r="I545" s="242">
        <f>COUNTIFS('تجربه‌گرها'!$B:$B,$A545,'تجربه‌گرها'!$F:$F,I$1)</f>
        <v>0</v>
      </c>
      <c r="J545" s="242">
        <f>COUNTIFS('تجربه‌گرها'!$B:$B,$A545,'تجربه‌گرها'!$F:$F,J$1)</f>
        <v>0</v>
      </c>
      <c r="K545" s="242">
        <f>COUNTIFS('تجربه‌گرها'!$B:$B,$A545,'تجربه‌گرها'!$F:$F,K$1)</f>
        <v>0</v>
      </c>
      <c r="L545" s="242">
        <f>COUNTIFS('تجربه‌گرها'!$B:$B,$A545,'تجربه‌گرها'!$F:$F,L$1)</f>
        <v>0</v>
      </c>
      <c r="M545" s="242">
        <f>COUNTIFS('تجربه‌گرها'!$B:$B,$A545,'تجربه‌گرها'!$F:$F,M$1)</f>
        <v>0</v>
      </c>
      <c r="N545" s="242">
        <f>COUNTIFS('تجربه‌گرها'!$B:$B,$A545,'تجربه‌گرها'!$F:$F,N$1)</f>
        <v>0</v>
      </c>
      <c r="O545" s="242">
        <f>COUNTIFS('تجربه‌گرها'!$B:$B,$A545,'تجربه‌گرها'!$F:$F,O$1)</f>
        <v>0</v>
      </c>
      <c r="P545" s="242">
        <f>COUNTIFS('تجربه‌گرها'!$B:$B,$A545,'تجربه‌گرها'!$F:$F,P$1)</f>
        <v>0</v>
      </c>
      <c r="Q545" s="242">
        <f>COUNTIFS('تجربه‌گرها'!$B:$B,$A545,'تجربه‌گرها'!$F:$F,Q$1)</f>
        <v>0</v>
      </c>
      <c r="R545" s="242">
        <f>COUNTIFS('تجربه‌گرها'!$B:$B,$A545,'تجربه‌گرها'!$F:$F,R$1)</f>
        <v>0</v>
      </c>
      <c r="S545" s="242">
        <f>COUNTIFS('تجربه‌گرها'!$B:$B,$A545,'تجربه‌گرها'!$F:$F,S$1)</f>
        <v>0</v>
      </c>
      <c r="T545" s="242">
        <f>COUNTIFS('تجربه‌گرها'!$B:$B,$A545,'تجربه‌گرها'!$F:$F,T$1)</f>
        <v>0</v>
      </c>
      <c r="U545" s="242"/>
      <c r="V545" s="242"/>
      <c r="W545" s="242"/>
      <c r="X545" s="242"/>
      <c r="Y545" s="242"/>
      <c r="Z545" s="242"/>
      <c r="AA545" s="242"/>
      <c r="AB545" s="242"/>
    </row>
    <row r="546" hidden="1">
      <c r="A546" s="244" t="s">
        <v>3588</v>
      </c>
      <c r="B546" s="245" t="str">
        <f>VLOOKUP(A546,'تجربه‌گرها'!B:C,2,FALSE())</f>
        <v>9126880288</v>
      </c>
      <c r="C546" s="242"/>
      <c r="D546" s="242">
        <f t="shared" si="1"/>
        <v>2</v>
      </c>
      <c r="E546" s="242">
        <f>COUNTIFS('تجربه‌گرها'!$B:$B,$A546,'تجربه‌گرها'!$F:$F,E$1)</f>
        <v>0</v>
      </c>
      <c r="F546" s="242">
        <f>COUNTIFS('تجربه‌گرها'!$B:$B,$A546,'تجربه‌گرها'!$F:$F,F$1)</f>
        <v>0</v>
      </c>
      <c r="G546" s="242">
        <f>COUNTIFS('تجربه‌گرها'!$B:$B,$A546,'تجربه‌گرها'!$F:$F,G$1)</f>
        <v>0</v>
      </c>
      <c r="H546" s="242">
        <f>COUNTIFS('تجربه‌گرها'!$B:$B,$A546,'تجربه‌گرها'!$F:$F,H$1)</f>
        <v>1</v>
      </c>
      <c r="I546" s="242">
        <f>COUNTIFS('تجربه‌گرها'!$B:$B,$A546,'تجربه‌گرها'!$F:$F,I$1)</f>
        <v>0</v>
      </c>
      <c r="J546" s="242">
        <f>COUNTIFS('تجربه‌گرها'!$B:$B,$A546,'تجربه‌گرها'!$F:$F,J$1)</f>
        <v>1</v>
      </c>
      <c r="K546" s="242">
        <f>COUNTIFS('تجربه‌گرها'!$B:$B,$A546,'تجربه‌گرها'!$F:$F,K$1)</f>
        <v>0</v>
      </c>
      <c r="L546" s="242">
        <f>COUNTIFS('تجربه‌گرها'!$B:$B,$A546,'تجربه‌گرها'!$F:$F,L$1)</f>
        <v>0</v>
      </c>
      <c r="M546" s="242">
        <f>COUNTIFS('تجربه‌گرها'!$B:$B,$A546,'تجربه‌گرها'!$F:$F,M$1)</f>
        <v>0</v>
      </c>
      <c r="N546" s="242">
        <f>COUNTIFS('تجربه‌گرها'!$B:$B,$A546,'تجربه‌گرها'!$F:$F,N$1)</f>
        <v>0</v>
      </c>
      <c r="O546" s="242">
        <f>COUNTIFS('تجربه‌گرها'!$B:$B,$A546,'تجربه‌گرها'!$F:$F,O$1)</f>
        <v>0</v>
      </c>
      <c r="P546" s="242">
        <f>COUNTIFS('تجربه‌گرها'!$B:$B,$A546,'تجربه‌گرها'!$F:$F,P$1)</f>
        <v>0</v>
      </c>
      <c r="Q546" s="242">
        <f>COUNTIFS('تجربه‌گرها'!$B:$B,$A546,'تجربه‌گرها'!$F:$F,Q$1)</f>
        <v>0</v>
      </c>
      <c r="R546" s="242">
        <f>COUNTIFS('تجربه‌گرها'!$B:$B,$A546,'تجربه‌گرها'!$F:$F,R$1)</f>
        <v>0</v>
      </c>
      <c r="S546" s="242">
        <f>COUNTIFS('تجربه‌گرها'!$B:$B,$A546,'تجربه‌گرها'!$F:$F,S$1)</f>
        <v>0</v>
      </c>
      <c r="T546" s="242">
        <f>COUNTIFS('تجربه‌گرها'!$B:$B,$A546,'تجربه‌گرها'!$F:$F,T$1)</f>
        <v>0</v>
      </c>
      <c r="U546" s="242"/>
      <c r="V546" s="242"/>
      <c r="W546" s="242"/>
      <c r="X546" s="242"/>
      <c r="Y546" s="242"/>
      <c r="Z546" s="242"/>
      <c r="AA546" s="242"/>
      <c r="AB546" s="242"/>
    </row>
    <row r="547" hidden="1">
      <c r="A547" s="244" t="s">
        <v>3594</v>
      </c>
      <c r="B547" s="245" t="str">
        <f>VLOOKUP(A547,'تجربه‌گرها'!B:C,2,FALSE())</f>
        <v>9127429213</v>
      </c>
      <c r="C547" s="242"/>
      <c r="D547" s="242">
        <f t="shared" si="1"/>
        <v>2</v>
      </c>
      <c r="E547" s="242">
        <f>COUNTIFS('تجربه‌گرها'!$B:$B,$A547,'تجربه‌گرها'!$F:$F,E$1)</f>
        <v>0</v>
      </c>
      <c r="F547" s="242">
        <f>COUNTIFS('تجربه‌گرها'!$B:$B,$A547,'تجربه‌گرها'!$F:$F,F$1)</f>
        <v>0</v>
      </c>
      <c r="G547" s="242">
        <f>COUNTIFS('تجربه‌گرها'!$B:$B,$A547,'تجربه‌گرها'!$F:$F,G$1)</f>
        <v>0</v>
      </c>
      <c r="H547" s="242">
        <f>COUNTIFS('تجربه‌گرها'!$B:$B,$A547,'تجربه‌گرها'!$F:$F,H$1)</f>
        <v>1</v>
      </c>
      <c r="I547" s="242">
        <f>COUNTIFS('تجربه‌گرها'!$B:$B,$A547,'تجربه‌گرها'!$F:$F,I$1)</f>
        <v>0</v>
      </c>
      <c r="J547" s="242">
        <f>COUNTIFS('تجربه‌گرها'!$B:$B,$A547,'تجربه‌گرها'!$F:$F,J$1)</f>
        <v>1</v>
      </c>
      <c r="K547" s="242">
        <f>COUNTIFS('تجربه‌گرها'!$B:$B,$A547,'تجربه‌گرها'!$F:$F,K$1)</f>
        <v>0</v>
      </c>
      <c r="L547" s="242">
        <f>COUNTIFS('تجربه‌گرها'!$B:$B,$A547,'تجربه‌گرها'!$F:$F,L$1)</f>
        <v>0</v>
      </c>
      <c r="M547" s="242">
        <f>COUNTIFS('تجربه‌گرها'!$B:$B,$A547,'تجربه‌گرها'!$F:$F,M$1)</f>
        <v>0</v>
      </c>
      <c r="N547" s="242">
        <f>COUNTIFS('تجربه‌گرها'!$B:$B,$A547,'تجربه‌گرها'!$F:$F,N$1)</f>
        <v>0</v>
      </c>
      <c r="O547" s="242">
        <f>COUNTIFS('تجربه‌گرها'!$B:$B,$A547,'تجربه‌گرها'!$F:$F,O$1)</f>
        <v>0</v>
      </c>
      <c r="P547" s="242">
        <f>COUNTIFS('تجربه‌گرها'!$B:$B,$A547,'تجربه‌گرها'!$F:$F,P$1)</f>
        <v>0</v>
      </c>
      <c r="Q547" s="242">
        <f>COUNTIFS('تجربه‌گرها'!$B:$B,$A547,'تجربه‌گرها'!$F:$F,Q$1)</f>
        <v>0</v>
      </c>
      <c r="R547" s="242">
        <f>COUNTIFS('تجربه‌گرها'!$B:$B,$A547,'تجربه‌گرها'!$F:$F,R$1)</f>
        <v>0</v>
      </c>
      <c r="S547" s="242">
        <f>COUNTIFS('تجربه‌گرها'!$B:$B,$A547,'تجربه‌گرها'!$F:$F,S$1)</f>
        <v>0</v>
      </c>
      <c r="T547" s="242">
        <f>COUNTIFS('تجربه‌گرها'!$B:$B,$A547,'تجربه‌گرها'!$F:$F,T$1)</f>
        <v>0</v>
      </c>
      <c r="U547" s="242"/>
      <c r="V547" s="242"/>
      <c r="W547" s="242"/>
      <c r="X547" s="242"/>
      <c r="Y547" s="242"/>
      <c r="Z547" s="242"/>
      <c r="AA547" s="242"/>
      <c r="AB547" s="242"/>
    </row>
    <row r="548" hidden="1">
      <c r="A548" s="244" t="s">
        <v>3598</v>
      </c>
      <c r="B548" s="245" t="str">
        <f>VLOOKUP(A548,'تجربه‌گرها'!B:C,2,FALSE())</f>
        <v>9123994727</v>
      </c>
      <c r="C548" s="242"/>
      <c r="D548" s="242">
        <f t="shared" si="1"/>
        <v>1</v>
      </c>
      <c r="E548" s="242">
        <f>COUNTIFS('تجربه‌گرها'!$B:$B,$A548,'تجربه‌گرها'!$F:$F,E$1)</f>
        <v>0</v>
      </c>
      <c r="F548" s="242">
        <f>COUNTIFS('تجربه‌گرها'!$B:$B,$A548,'تجربه‌گرها'!$F:$F,F$1)</f>
        <v>0</v>
      </c>
      <c r="G548" s="242">
        <f>COUNTIFS('تجربه‌گرها'!$B:$B,$A548,'تجربه‌گرها'!$F:$F,G$1)</f>
        <v>0</v>
      </c>
      <c r="H548" s="242">
        <f>COUNTIFS('تجربه‌گرها'!$B:$B,$A548,'تجربه‌گرها'!$F:$F,H$1)</f>
        <v>1</v>
      </c>
      <c r="I548" s="242">
        <f>COUNTIFS('تجربه‌گرها'!$B:$B,$A548,'تجربه‌گرها'!$F:$F,I$1)</f>
        <v>0</v>
      </c>
      <c r="J548" s="242">
        <f>COUNTIFS('تجربه‌گرها'!$B:$B,$A548,'تجربه‌گرها'!$F:$F,J$1)</f>
        <v>0</v>
      </c>
      <c r="K548" s="242">
        <f>COUNTIFS('تجربه‌گرها'!$B:$B,$A548,'تجربه‌گرها'!$F:$F,K$1)</f>
        <v>0</v>
      </c>
      <c r="L548" s="242">
        <f>COUNTIFS('تجربه‌گرها'!$B:$B,$A548,'تجربه‌گرها'!$F:$F,L$1)</f>
        <v>0</v>
      </c>
      <c r="M548" s="242">
        <f>COUNTIFS('تجربه‌گرها'!$B:$B,$A548,'تجربه‌گرها'!$F:$F,M$1)</f>
        <v>0</v>
      </c>
      <c r="N548" s="242">
        <f>COUNTIFS('تجربه‌گرها'!$B:$B,$A548,'تجربه‌گرها'!$F:$F,N$1)</f>
        <v>0</v>
      </c>
      <c r="O548" s="242">
        <f>COUNTIFS('تجربه‌گرها'!$B:$B,$A548,'تجربه‌گرها'!$F:$F,O$1)</f>
        <v>0</v>
      </c>
      <c r="P548" s="242">
        <f>COUNTIFS('تجربه‌گرها'!$B:$B,$A548,'تجربه‌گرها'!$F:$F,P$1)</f>
        <v>0</v>
      </c>
      <c r="Q548" s="242">
        <f>COUNTIFS('تجربه‌گرها'!$B:$B,$A548,'تجربه‌گرها'!$F:$F,Q$1)</f>
        <v>0</v>
      </c>
      <c r="R548" s="242">
        <f>COUNTIFS('تجربه‌گرها'!$B:$B,$A548,'تجربه‌گرها'!$F:$F,R$1)</f>
        <v>0</v>
      </c>
      <c r="S548" s="242">
        <f>COUNTIFS('تجربه‌گرها'!$B:$B,$A548,'تجربه‌گرها'!$F:$F,S$1)</f>
        <v>0</v>
      </c>
      <c r="T548" s="242">
        <f>COUNTIFS('تجربه‌گرها'!$B:$B,$A548,'تجربه‌گرها'!$F:$F,T$1)</f>
        <v>0</v>
      </c>
      <c r="U548" s="242"/>
      <c r="V548" s="242"/>
      <c r="W548" s="242"/>
      <c r="X548" s="242"/>
      <c r="Y548" s="242"/>
      <c r="Z548" s="242"/>
      <c r="AA548" s="242"/>
      <c r="AB548" s="242"/>
    </row>
    <row r="549" hidden="1">
      <c r="A549" s="244" t="s">
        <v>3604</v>
      </c>
      <c r="B549" s="245" t="str">
        <f>VLOOKUP(A549,'تجربه‌گرها'!B:C,2,FALSE())</f>
        <v>9383862468</v>
      </c>
      <c r="C549" s="242"/>
      <c r="D549" s="242">
        <f t="shared" si="1"/>
        <v>3</v>
      </c>
      <c r="E549" s="242">
        <f>COUNTIFS('تجربه‌گرها'!$B:$B,$A549,'تجربه‌گرها'!$F:$F,E$1)</f>
        <v>0</v>
      </c>
      <c r="F549" s="242">
        <f>COUNTIFS('تجربه‌گرها'!$B:$B,$A549,'تجربه‌گرها'!$F:$F,F$1)</f>
        <v>0</v>
      </c>
      <c r="G549" s="242">
        <f>COUNTIFS('تجربه‌گرها'!$B:$B,$A549,'تجربه‌گرها'!$F:$F,G$1)</f>
        <v>0</v>
      </c>
      <c r="H549" s="242">
        <f>COUNTIFS('تجربه‌گرها'!$B:$B,$A549,'تجربه‌گرها'!$F:$F,H$1)</f>
        <v>1</v>
      </c>
      <c r="I549" s="242">
        <f>COUNTIFS('تجربه‌گرها'!$B:$B,$A549,'تجربه‌گرها'!$F:$F,I$1)</f>
        <v>0</v>
      </c>
      <c r="J549" s="242">
        <f>COUNTIFS('تجربه‌گرها'!$B:$B,$A549,'تجربه‌گرها'!$F:$F,J$1)</f>
        <v>1</v>
      </c>
      <c r="K549" s="242">
        <f>COUNTIFS('تجربه‌گرها'!$B:$B,$A549,'تجربه‌گرها'!$F:$F,K$1)</f>
        <v>1</v>
      </c>
      <c r="L549" s="242">
        <f>COUNTIFS('تجربه‌گرها'!$B:$B,$A549,'تجربه‌گرها'!$F:$F,L$1)</f>
        <v>0</v>
      </c>
      <c r="M549" s="242">
        <f>COUNTIFS('تجربه‌گرها'!$B:$B,$A549,'تجربه‌گرها'!$F:$F,M$1)</f>
        <v>0</v>
      </c>
      <c r="N549" s="242">
        <f>COUNTIFS('تجربه‌گرها'!$B:$B,$A549,'تجربه‌گرها'!$F:$F,N$1)</f>
        <v>0</v>
      </c>
      <c r="O549" s="242">
        <f>COUNTIFS('تجربه‌گرها'!$B:$B,$A549,'تجربه‌گرها'!$F:$F,O$1)</f>
        <v>0</v>
      </c>
      <c r="P549" s="242">
        <f>COUNTIFS('تجربه‌گرها'!$B:$B,$A549,'تجربه‌گرها'!$F:$F,P$1)</f>
        <v>0</v>
      </c>
      <c r="Q549" s="242">
        <f>COUNTIFS('تجربه‌گرها'!$B:$B,$A549,'تجربه‌گرها'!$F:$F,Q$1)</f>
        <v>0</v>
      </c>
      <c r="R549" s="242">
        <f>COUNTIFS('تجربه‌گرها'!$B:$B,$A549,'تجربه‌گرها'!$F:$F,R$1)</f>
        <v>0</v>
      </c>
      <c r="S549" s="242">
        <f>COUNTIFS('تجربه‌گرها'!$B:$B,$A549,'تجربه‌گرها'!$F:$F,S$1)</f>
        <v>0</v>
      </c>
      <c r="T549" s="242">
        <f>COUNTIFS('تجربه‌گرها'!$B:$B,$A549,'تجربه‌گرها'!$F:$F,T$1)</f>
        <v>0</v>
      </c>
      <c r="U549" s="242"/>
      <c r="V549" s="242"/>
      <c r="W549" s="242"/>
      <c r="X549" s="242"/>
      <c r="Y549" s="242"/>
      <c r="Z549" s="242"/>
      <c r="AA549" s="242"/>
      <c r="AB549" s="242"/>
    </row>
    <row r="550">
      <c r="A550" s="244" t="s">
        <v>3608</v>
      </c>
      <c r="B550" s="245" t="str">
        <f>VLOOKUP(A550,'تجربه‌گرها'!B:C,2,FALSE())</f>
        <v>9126220266</v>
      </c>
      <c r="C550" s="242"/>
      <c r="D550" s="242">
        <f t="shared" si="1"/>
        <v>2</v>
      </c>
      <c r="E550" s="242">
        <f>COUNTIFS('تجربه‌گرها'!$B:$B,$A550,'تجربه‌گرها'!$F:$F,E$1)</f>
        <v>0</v>
      </c>
      <c r="F550" s="242">
        <f>COUNTIFS('تجربه‌گرها'!$B:$B,$A550,'تجربه‌گرها'!$F:$F,F$1)</f>
        <v>0</v>
      </c>
      <c r="G550" s="242">
        <f>COUNTIFS('تجربه‌گرها'!$B:$B,$A550,'تجربه‌گرها'!$F:$F,G$1)</f>
        <v>0</v>
      </c>
      <c r="H550" s="242">
        <f>COUNTIFS('تجربه‌گرها'!$B:$B,$A550,'تجربه‌گرها'!$F:$F,H$1)</f>
        <v>1</v>
      </c>
      <c r="I550" s="242">
        <f>COUNTIFS('تجربه‌گرها'!$B:$B,$A550,'تجربه‌گرها'!$F:$F,I$1)</f>
        <v>1</v>
      </c>
      <c r="J550" s="242">
        <f>COUNTIFS('تجربه‌گرها'!$B:$B,$A550,'تجربه‌گرها'!$F:$F,J$1)</f>
        <v>0</v>
      </c>
      <c r="K550" s="242">
        <f>COUNTIFS('تجربه‌گرها'!$B:$B,$A550,'تجربه‌گرها'!$F:$F,K$1)</f>
        <v>0</v>
      </c>
      <c r="L550" s="242">
        <f>COUNTIFS('تجربه‌گرها'!$B:$B,$A550,'تجربه‌گرها'!$F:$F,L$1)</f>
        <v>0</v>
      </c>
      <c r="M550" s="242">
        <f>COUNTIFS('تجربه‌گرها'!$B:$B,$A550,'تجربه‌گرها'!$F:$F,M$1)</f>
        <v>0</v>
      </c>
      <c r="N550" s="242">
        <f>COUNTIFS('تجربه‌گرها'!$B:$B,$A550,'تجربه‌گرها'!$F:$F,N$1)</f>
        <v>0</v>
      </c>
      <c r="O550" s="242">
        <f>COUNTIFS('تجربه‌گرها'!$B:$B,$A550,'تجربه‌گرها'!$F:$F,O$1)</f>
        <v>0</v>
      </c>
      <c r="P550" s="242">
        <f>COUNTIFS('تجربه‌گرها'!$B:$B,$A550,'تجربه‌گرها'!$F:$F,P$1)</f>
        <v>0</v>
      </c>
      <c r="Q550" s="242">
        <f>COUNTIFS('تجربه‌گرها'!$B:$B,$A550,'تجربه‌گرها'!$F:$F,Q$1)</f>
        <v>0</v>
      </c>
      <c r="R550" s="242">
        <f>COUNTIFS('تجربه‌گرها'!$B:$B,$A550,'تجربه‌گرها'!$F:$F,R$1)</f>
        <v>0</v>
      </c>
      <c r="S550" s="242">
        <f>COUNTIFS('تجربه‌گرها'!$B:$B,$A550,'تجربه‌گرها'!$F:$F,S$1)</f>
        <v>0</v>
      </c>
      <c r="T550" s="242">
        <f>COUNTIFS('تجربه‌گرها'!$B:$B,$A550,'تجربه‌گرها'!$F:$F,T$1)</f>
        <v>0</v>
      </c>
      <c r="U550" s="242"/>
      <c r="V550" s="242"/>
      <c r="W550" s="242"/>
      <c r="X550" s="242"/>
      <c r="Y550" s="242"/>
      <c r="Z550" s="242"/>
      <c r="AA550" s="242"/>
      <c r="AB550" s="242"/>
    </row>
    <row r="551">
      <c r="A551" s="244" t="s">
        <v>3613</v>
      </c>
      <c r="B551" s="245" t="str">
        <f>VLOOKUP(A551,'تجربه‌گرها'!B:C,2,FALSE())</f>
        <v>9364041401</v>
      </c>
      <c r="C551" s="242"/>
      <c r="D551" s="242">
        <f t="shared" si="1"/>
        <v>1</v>
      </c>
      <c r="E551" s="242">
        <f>COUNTIFS('تجربه‌گرها'!$B:$B,$A551,'تجربه‌گرها'!$F:$F,E$1)</f>
        <v>0</v>
      </c>
      <c r="F551" s="242">
        <f>COUNTIFS('تجربه‌گرها'!$B:$B,$A551,'تجربه‌گرها'!$F:$F,F$1)</f>
        <v>0</v>
      </c>
      <c r="G551" s="242">
        <f>COUNTIFS('تجربه‌گرها'!$B:$B,$A551,'تجربه‌گرها'!$F:$F,G$1)</f>
        <v>0</v>
      </c>
      <c r="H551" s="242">
        <f>COUNTIFS('تجربه‌گرها'!$B:$B,$A551,'تجربه‌گرها'!$F:$F,H$1)</f>
        <v>1</v>
      </c>
      <c r="I551" s="242">
        <f>COUNTIFS('تجربه‌گرها'!$B:$B,$A551,'تجربه‌گرها'!$F:$F,I$1)</f>
        <v>0</v>
      </c>
      <c r="J551" s="242">
        <f>COUNTIFS('تجربه‌گرها'!$B:$B,$A551,'تجربه‌گرها'!$F:$F,J$1)</f>
        <v>0</v>
      </c>
      <c r="K551" s="242">
        <f>COUNTIFS('تجربه‌گرها'!$B:$B,$A551,'تجربه‌گرها'!$F:$F,K$1)</f>
        <v>0</v>
      </c>
      <c r="L551" s="242">
        <f>COUNTIFS('تجربه‌گرها'!$B:$B,$A551,'تجربه‌گرها'!$F:$F,L$1)</f>
        <v>0</v>
      </c>
      <c r="M551" s="242">
        <f>COUNTIFS('تجربه‌گرها'!$B:$B,$A551,'تجربه‌گرها'!$F:$F,M$1)</f>
        <v>0</v>
      </c>
      <c r="N551" s="242">
        <f>COUNTIFS('تجربه‌گرها'!$B:$B,$A551,'تجربه‌گرها'!$F:$F,N$1)</f>
        <v>0</v>
      </c>
      <c r="O551" s="242">
        <f>COUNTIFS('تجربه‌گرها'!$B:$B,$A551,'تجربه‌گرها'!$F:$F,O$1)</f>
        <v>0</v>
      </c>
      <c r="P551" s="242">
        <f>COUNTIFS('تجربه‌گرها'!$B:$B,$A551,'تجربه‌گرها'!$F:$F,P$1)</f>
        <v>0</v>
      </c>
      <c r="Q551" s="242">
        <f>COUNTIFS('تجربه‌گرها'!$B:$B,$A551,'تجربه‌گرها'!$F:$F,Q$1)</f>
        <v>0</v>
      </c>
      <c r="R551" s="242">
        <f>COUNTIFS('تجربه‌گرها'!$B:$B,$A551,'تجربه‌گرها'!$F:$F,R$1)</f>
        <v>0</v>
      </c>
      <c r="S551" s="242">
        <f>COUNTIFS('تجربه‌گرها'!$B:$B,$A551,'تجربه‌گرها'!$F:$F,S$1)</f>
        <v>0</v>
      </c>
      <c r="T551" s="242">
        <f>COUNTIFS('تجربه‌گرها'!$B:$B,$A551,'تجربه‌گرها'!$F:$F,T$1)</f>
        <v>0</v>
      </c>
      <c r="U551" s="242"/>
      <c r="V551" s="242"/>
      <c r="W551" s="242"/>
      <c r="X551" s="242"/>
      <c r="Y551" s="242"/>
      <c r="Z551" s="242"/>
      <c r="AA551" s="242"/>
      <c r="AB551" s="242"/>
    </row>
    <row r="552" hidden="1">
      <c r="A552" s="244" t="s">
        <v>3618</v>
      </c>
      <c r="B552" s="245" t="str">
        <f>VLOOKUP(A552,'تجربه‌گرها'!B:C,2,FALSE())</f>
        <v>9122492004</v>
      </c>
      <c r="C552" s="242"/>
      <c r="D552" s="242">
        <f t="shared" si="1"/>
        <v>1</v>
      </c>
      <c r="E552" s="242">
        <f>COUNTIFS('تجربه‌گرها'!$B:$B,$A552,'تجربه‌گرها'!$F:$F,E$1)</f>
        <v>0</v>
      </c>
      <c r="F552" s="242">
        <f>COUNTIFS('تجربه‌گرها'!$B:$B,$A552,'تجربه‌گرها'!$F:$F,F$1)</f>
        <v>0</v>
      </c>
      <c r="G552" s="242">
        <f>COUNTIFS('تجربه‌گرها'!$B:$B,$A552,'تجربه‌گرها'!$F:$F,G$1)</f>
        <v>0</v>
      </c>
      <c r="H552" s="242">
        <f>COUNTIFS('تجربه‌گرها'!$B:$B,$A552,'تجربه‌گرها'!$F:$F,H$1)</f>
        <v>1</v>
      </c>
      <c r="I552" s="242">
        <f>COUNTIFS('تجربه‌گرها'!$B:$B,$A552,'تجربه‌گرها'!$F:$F,I$1)</f>
        <v>0</v>
      </c>
      <c r="J552" s="242">
        <f>COUNTIFS('تجربه‌گرها'!$B:$B,$A552,'تجربه‌گرها'!$F:$F,J$1)</f>
        <v>0</v>
      </c>
      <c r="K552" s="242">
        <f>COUNTIFS('تجربه‌گرها'!$B:$B,$A552,'تجربه‌گرها'!$F:$F,K$1)</f>
        <v>0</v>
      </c>
      <c r="L552" s="242">
        <f>COUNTIFS('تجربه‌گرها'!$B:$B,$A552,'تجربه‌گرها'!$F:$F,L$1)</f>
        <v>0</v>
      </c>
      <c r="M552" s="242">
        <f>COUNTIFS('تجربه‌گرها'!$B:$B,$A552,'تجربه‌گرها'!$F:$F,M$1)</f>
        <v>0</v>
      </c>
      <c r="N552" s="242">
        <f>COUNTIFS('تجربه‌گرها'!$B:$B,$A552,'تجربه‌گرها'!$F:$F,N$1)</f>
        <v>0</v>
      </c>
      <c r="O552" s="242">
        <f>COUNTIFS('تجربه‌گرها'!$B:$B,$A552,'تجربه‌گرها'!$F:$F,O$1)</f>
        <v>0</v>
      </c>
      <c r="P552" s="242">
        <f>COUNTIFS('تجربه‌گرها'!$B:$B,$A552,'تجربه‌گرها'!$F:$F,P$1)</f>
        <v>0</v>
      </c>
      <c r="Q552" s="242">
        <f>COUNTIFS('تجربه‌گرها'!$B:$B,$A552,'تجربه‌گرها'!$F:$F,Q$1)</f>
        <v>0</v>
      </c>
      <c r="R552" s="242">
        <f>COUNTIFS('تجربه‌گرها'!$B:$B,$A552,'تجربه‌گرها'!$F:$F,R$1)</f>
        <v>0</v>
      </c>
      <c r="S552" s="242">
        <f>COUNTIFS('تجربه‌گرها'!$B:$B,$A552,'تجربه‌گرها'!$F:$F,S$1)</f>
        <v>0</v>
      </c>
      <c r="T552" s="242">
        <f>COUNTIFS('تجربه‌گرها'!$B:$B,$A552,'تجربه‌گرها'!$F:$F,T$1)</f>
        <v>0</v>
      </c>
      <c r="U552" s="242"/>
      <c r="V552" s="242"/>
      <c r="W552" s="242"/>
      <c r="X552" s="242"/>
      <c r="Y552" s="242"/>
      <c r="Z552" s="242"/>
      <c r="AA552" s="242"/>
      <c r="AB552" s="242"/>
    </row>
    <row r="553">
      <c r="A553" s="244" t="s">
        <v>3622</v>
      </c>
      <c r="B553" s="245" t="str">
        <f>VLOOKUP(A553,'تجربه‌گرها'!B:C,2,FALSE())</f>
        <v>9122899010</v>
      </c>
      <c r="C553" s="242"/>
      <c r="D553" s="242">
        <f t="shared" si="1"/>
        <v>1</v>
      </c>
      <c r="E553" s="242">
        <f>COUNTIFS('تجربه‌گرها'!$B:$B,$A553,'تجربه‌گرها'!$F:$F,E$1)</f>
        <v>0</v>
      </c>
      <c r="F553" s="242">
        <f>COUNTIFS('تجربه‌گرها'!$B:$B,$A553,'تجربه‌گرها'!$F:$F,F$1)</f>
        <v>0</v>
      </c>
      <c r="G553" s="242">
        <f>COUNTIFS('تجربه‌گرها'!$B:$B,$A553,'تجربه‌گرها'!$F:$F,G$1)</f>
        <v>0</v>
      </c>
      <c r="H553" s="242">
        <f>COUNTIFS('تجربه‌گرها'!$B:$B,$A553,'تجربه‌گرها'!$F:$F,H$1)</f>
        <v>1</v>
      </c>
      <c r="I553" s="242">
        <f>COUNTIFS('تجربه‌گرها'!$B:$B,$A553,'تجربه‌گرها'!$F:$F,I$1)</f>
        <v>0</v>
      </c>
      <c r="J553" s="242">
        <f>COUNTIFS('تجربه‌گرها'!$B:$B,$A553,'تجربه‌گرها'!$F:$F,J$1)</f>
        <v>0</v>
      </c>
      <c r="K553" s="242">
        <f>COUNTIFS('تجربه‌گرها'!$B:$B,$A553,'تجربه‌گرها'!$F:$F,K$1)</f>
        <v>0</v>
      </c>
      <c r="L553" s="242">
        <f>COUNTIFS('تجربه‌گرها'!$B:$B,$A553,'تجربه‌گرها'!$F:$F,L$1)</f>
        <v>0</v>
      </c>
      <c r="M553" s="242">
        <f>COUNTIFS('تجربه‌گرها'!$B:$B,$A553,'تجربه‌گرها'!$F:$F,M$1)</f>
        <v>0</v>
      </c>
      <c r="N553" s="242">
        <f>COUNTIFS('تجربه‌گرها'!$B:$B,$A553,'تجربه‌گرها'!$F:$F,N$1)</f>
        <v>0</v>
      </c>
      <c r="O553" s="242">
        <f>COUNTIFS('تجربه‌گرها'!$B:$B,$A553,'تجربه‌گرها'!$F:$F,O$1)</f>
        <v>0</v>
      </c>
      <c r="P553" s="242">
        <f>COUNTIFS('تجربه‌گرها'!$B:$B,$A553,'تجربه‌گرها'!$F:$F,P$1)</f>
        <v>0</v>
      </c>
      <c r="Q553" s="242">
        <f>COUNTIFS('تجربه‌گرها'!$B:$B,$A553,'تجربه‌گرها'!$F:$F,Q$1)</f>
        <v>0</v>
      </c>
      <c r="R553" s="242">
        <f>COUNTIFS('تجربه‌گرها'!$B:$B,$A553,'تجربه‌گرها'!$F:$F,R$1)</f>
        <v>0</v>
      </c>
      <c r="S553" s="242">
        <f>COUNTIFS('تجربه‌گرها'!$B:$B,$A553,'تجربه‌گرها'!$F:$F,S$1)</f>
        <v>0</v>
      </c>
      <c r="T553" s="242">
        <f>COUNTIFS('تجربه‌گرها'!$B:$B,$A553,'تجربه‌گرها'!$F:$F,T$1)</f>
        <v>0</v>
      </c>
      <c r="U553" s="242"/>
      <c r="V553" s="242"/>
      <c r="W553" s="242"/>
      <c r="X553" s="242"/>
      <c r="Y553" s="242"/>
      <c r="Z553" s="242"/>
      <c r="AA553" s="242"/>
      <c r="AB553" s="242"/>
    </row>
    <row r="554">
      <c r="A554" s="244" t="s">
        <v>3627</v>
      </c>
      <c r="B554" s="245" t="str">
        <f>VLOOKUP(A554,'تجربه‌گرها'!B:C,2,FALSE())</f>
        <v>9122899010</v>
      </c>
      <c r="C554" s="242"/>
      <c r="D554" s="242">
        <f t="shared" si="1"/>
        <v>2</v>
      </c>
      <c r="E554" s="242">
        <f>COUNTIFS('تجربه‌گرها'!$B:$B,$A554,'تجربه‌گرها'!$F:$F,E$1)</f>
        <v>0</v>
      </c>
      <c r="F554" s="242">
        <f>COUNTIFS('تجربه‌گرها'!$B:$B,$A554,'تجربه‌گرها'!$F:$F,F$1)</f>
        <v>0</v>
      </c>
      <c r="G554" s="242">
        <f>COUNTIFS('تجربه‌گرها'!$B:$B,$A554,'تجربه‌گرها'!$F:$F,G$1)</f>
        <v>0</v>
      </c>
      <c r="H554" s="242">
        <f>COUNTIFS('تجربه‌گرها'!$B:$B,$A554,'تجربه‌گرها'!$F:$F,H$1)</f>
        <v>1</v>
      </c>
      <c r="I554" s="242">
        <f>COUNTIFS('تجربه‌گرها'!$B:$B,$A554,'تجربه‌گرها'!$F:$F,I$1)</f>
        <v>0</v>
      </c>
      <c r="J554" s="242">
        <f>COUNTIFS('تجربه‌گرها'!$B:$B,$A554,'تجربه‌گرها'!$F:$F,J$1)</f>
        <v>0</v>
      </c>
      <c r="K554" s="242">
        <f>COUNTIFS('تجربه‌گرها'!$B:$B,$A554,'تجربه‌گرها'!$F:$F,K$1)</f>
        <v>0</v>
      </c>
      <c r="L554" s="242">
        <f>COUNTIFS('تجربه‌گرها'!$B:$B,$A554,'تجربه‌گرها'!$F:$F,L$1)</f>
        <v>1</v>
      </c>
      <c r="M554" s="242">
        <f>COUNTIFS('تجربه‌گرها'!$B:$B,$A554,'تجربه‌گرها'!$F:$F,M$1)</f>
        <v>0</v>
      </c>
      <c r="N554" s="242">
        <f>COUNTIFS('تجربه‌گرها'!$B:$B,$A554,'تجربه‌گرها'!$F:$F,N$1)</f>
        <v>0</v>
      </c>
      <c r="O554" s="242">
        <f>COUNTIFS('تجربه‌گرها'!$B:$B,$A554,'تجربه‌گرها'!$F:$F,O$1)</f>
        <v>0</v>
      </c>
      <c r="P554" s="242">
        <f>COUNTIFS('تجربه‌گرها'!$B:$B,$A554,'تجربه‌گرها'!$F:$F,P$1)</f>
        <v>0</v>
      </c>
      <c r="Q554" s="242">
        <f>COUNTIFS('تجربه‌گرها'!$B:$B,$A554,'تجربه‌گرها'!$F:$F,Q$1)</f>
        <v>0</v>
      </c>
      <c r="R554" s="242">
        <f>COUNTIFS('تجربه‌گرها'!$B:$B,$A554,'تجربه‌گرها'!$F:$F,R$1)</f>
        <v>0</v>
      </c>
      <c r="S554" s="242">
        <f>COUNTIFS('تجربه‌گرها'!$B:$B,$A554,'تجربه‌گرها'!$F:$F,S$1)</f>
        <v>0</v>
      </c>
      <c r="T554" s="242">
        <f>COUNTIFS('تجربه‌گرها'!$B:$B,$A554,'تجربه‌گرها'!$F:$F,T$1)</f>
        <v>0</v>
      </c>
      <c r="U554" s="242"/>
      <c r="V554" s="242"/>
      <c r="W554" s="242"/>
      <c r="X554" s="242"/>
      <c r="Y554" s="242"/>
      <c r="Z554" s="242"/>
      <c r="AA554" s="242"/>
      <c r="AB554" s="242"/>
    </row>
    <row r="555" hidden="1">
      <c r="A555" s="244" t="s">
        <v>3631</v>
      </c>
      <c r="B555" s="245" t="str">
        <f>VLOOKUP(A555,'تجربه‌گرها'!B:C,2,FALSE())</f>
        <v>9121986945</v>
      </c>
      <c r="C555" s="242"/>
      <c r="D555" s="242">
        <f t="shared" si="1"/>
        <v>1</v>
      </c>
      <c r="E555" s="242">
        <f>COUNTIFS('تجربه‌گرها'!$B:$B,$A555,'تجربه‌گرها'!$F:$F,E$1)</f>
        <v>0</v>
      </c>
      <c r="F555" s="242">
        <f>COUNTIFS('تجربه‌گرها'!$B:$B,$A555,'تجربه‌گرها'!$F:$F,F$1)</f>
        <v>0</v>
      </c>
      <c r="G555" s="242">
        <f>COUNTIFS('تجربه‌گرها'!$B:$B,$A555,'تجربه‌گرها'!$F:$F,G$1)</f>
        <v>0</v>
      </c>
      <c r="H555" s="242">
        <f>COUNTIFS('تجربه‌گرها'!$B:$B,$A555,'تجربه‌گرها'!$F:$F,H$1)</f>
        <v>1</v>
      </c>
      <c r="I555" s="242">
        <f>COUNTIFS('تجربه‌گرها'!$B:$B,$A555,'تجربه‌گرها'!$F:$F,I$1)</f>
        <v>0</v>
      </c>
      <c r="J555" s="242">
        <f>COUNTIFS('تجربه‌گرها'!$B:$B,$A555,'تجربه‌گرها'!$F:$F,J$1)</f>
        <v>0</v>
      </c>
      <c r="K555" s="242">
        <f>COUNTIFS('تجربه‌گرها'!$B:$B,$A555,'تجربه‌گرها'!$F:$F,K$1)</f>
        <v>0</v>
      </c>
      <c r="L555" s="242">
        <f>COUNTIFS('تجربه‌گرها'!$B:$B,$A555,'تجربه‌گرها'!$F:$F,L$1)</f>
        <v>0</v>
      </c>
      <c r="M555" s="242">
        <f>COUNTIFS('تجربه‌گرها'!$B:$B,$A555,'تجربه‌گرها'!$F:$F,M$1)</f>
        <v>0</v>
      </c>
      <c r="N555" s="242">
        <f>COUNTIFS('تجربه‌گرها'!$B:$B,$A555,'تجربه‌گرها'!$F:$F,N$1)</f>
        <v>0</v>
      </c>
      <c r="O555" s="242">
        <f>COUNTIFS('تجربه‌گرها'!$B:$B,$A555,'تجربه‌گرها'!$F:$F,O$1)</f>
        <v>0</v>
      </c>
      <c r="P555" s="242">
        <f>COUNTIFS('تجربه‌گرها'!$B:$B,$A555,'تجربه‌گرها'!$F:$F,P$1)</f>
        <v>0</v>
      </c>
      <c r="Q555" s="242">
        <f>COUNTIFS('تجربه‌گرها'!$B:$B,$A555,'تجربه‌گرها'!$F:$F,Q$1)</f>
        <v>0</v>
      </c>
      <c r="R555" s="242">
        <f>COUNTIFS('تجربه‌گرها'!$B:$B,$A555,'تجربه‌گرها'!$F:$F,R$1)</f>
        <v>0</v>
      </c>
      <c r="S555" s="242">
        <f>COUNTIFS('تجربه‌گرها'!$B:$B,$A555,'تجربه‌گرها'!$F:$F,S$1)</f>
        <v>0</v>
      </c>
      <c r="T555" s="242">
        <f>COUNTIFS('تجربه‌گرها'!$B:$B,$A555,'تجربه‌گرها'!$F:$F,T$1)</f>
        <v>0</v>
      </c>
      <c r="U555" s="242"/>
      <c r="V555" s="242"/>
      <c r="W555" s="242"/>
      <c r="X555" s="242"/>
      <c r="Y555" s="242"/>
      <c r="Z555" s="242"/>
      <c r="AA555" s="242"/>
      <c r="AB555" s="242"/>
    </row>
    <row r="556" hidden="1">
      <c r="A556" s="244" t="s">
        <v>3637</v>
      </c>
      <c r="B556" s="245" t="str">
        <f>VLOOKUP(A556,'تجربه‌گرها'!B:C,2,FALSE())</f>
        <v>9197850306</v>
      </c>
      <c r="C556" s="242"/>
      <c r="D556" s="242">
        <f t="shared" si="1"/>
        <v>1</v>
      </c>
      <c r="E556" s="242">
        <f>COUNTIFS('تجربه‌گرها'!$B:$B,$A556,'تجربه‌گرها'!$F:$F,E$1)</f>
        <v>0</v>
      </c>
      <c r="F556" s="242">
        <f>COUNTIFS('تجربه‌گرها'!$B:$B,$A556,'تجربه‌گرها'!$F:$F,F$1)</f>
        <v>0</v>
      </c>
      <c r="G556" s="242">
        <f>COUNTIFS('تجربه‌گرها'!$B:$B,$A556,'تجربه‌گرها'!$F:$F,G$1)</f>
        <v>0</v>
      </c>
      <c r="H556" s="242">
        <f>COUNTIFS('تجربه‌گرها'!$B:$B,$A556,'تجربه‌گرها'!$F:$F,H$1)</f>
        <v>1</v>
      </c>
      <c r="I556" s="242">
        <f>COUNTIFS('تجربه‌گرها'!$B:$B,$A556,'تجربه‌گرها'!$F:$F,I$1)</f>
        <v>0</v>
      </c>
      <c r="J556" s="242">
        <f>COUNTIFS('تجربه‌گرها'!$B:$B,$A556,'تجربه‌گرها'!$F:$F,J$1)</f>
        <v>0</v>
      </c>
      <c r="K556" s="242">
        <f>COUNTIFS('تجربه‌گرها'!$B:$B,$A556,'تجربه‌گرها'!$F:$F,K$1)</f>
        <v>0</v>
      </c>
      <c r="L556" s="242">
        <f>COUNTIFS('تجربه‌گرها'!$B:$B,$A556,'تجربه‌گرها'!$F:$F,L$1)</f>
        <v>0</v>
      </c>
      <c r="M556" s="242">
        <f>COUNTIFS('تجربه‌گرها'!$B:$B,$A556,'تجربه‌گرها'!$F:$F,M$1)</f>
        <v>0</v>
      </c>
      <c r="N556" s="242">
        <f>COUNTIFS('تجربه‌گرها'!$B:$B,$A556,'تجربه‌گرها'!$F:$F,N$1)</f>
        <v>0</v>
      </c>
      <c r="O556" s="242">
        <f>COUNTIFS('تجربه‌گرها'!$B:$B,$A556,'تجربه‌گرها'!$F:$F,O$1)</f>
        <v>0</v>
      </c>
      <c r="P556" s="242">
        <f>COUNTIFS('تجربه‌گرها'!$B:$B,$A556,'تجربه‌گرها'!$F:$F,P$1)</f>
        <v>0</v>
      </c>
      <c r="Q556" s="242">
        <f>COUNTIFS('تجربه‌گرها'!$B:$B,$A556,'تجربه‌گرها'!$F:$F,Q$1)</f>
        <v>0</v>
      </c>
      <c r="R556" s="242">
        <f>COUNTIFS('تجربه‌گرها'!$B:$B,$A556,'تجربه‌گرها'!$F:$F,R$1)</f>
        <v>0</v>
      </c>
      <c r="S556" s="242">
        <f>COUNTIFS('تجربه‌گرها'!$B:$B,$A556,'تجربه‌گرها'!$F:$F,S$1)</f>
        <v>0</v>
      </c>
      <c r="T556" s="242">
        <f>COUNTIFS('تجربه‌گرها'!$B:$B,$A556,'تجربه‌گرها'!$F:$F,T$1)</f>
        <v>0</v>
      </c>
      <c r="U556" s="242"/>
      <c r="V556" s="242"/>
      <c r="W556" s="242"/>
      <c r="X556" s="242"/>
      <c r="Y556" s="242"/>
      <c r="Z556" s="242"/>
      <c r="AA556" s="242"/>
      <c r="AB556" s="242"/>
    </row>
    <row r="557" hidden="1">
      <c r="A557" s="244" t="s">
        <v>3642</v>
      </c>
      <c r="B557" s="245" t="str">
        <f>VLOOKUP(A557,'تجربه‌گرها'!B:C,2,FALSE())</f>
        <v>9127146154</v>
      </c>
      <c r="C557" s="242"/>
      <c r="D557" s="242">
        <f t="shared" si="1"/>
        <v>1</v>
      </c>
      <c r="E557" s="242">
        <f>COUNTIFS('تجربه‌گرها'!$B:$B,$A557,'تجربه‌گرها'!$F:$F,E$1)</f>
        <v>0</v>
      </c>
      <c r="F557" s="242">
        <f>COUNTIFS('تجربه‌گرها'!$B:$B,$A557,'تجربه‌گرها'!$F:$F,F$1)</f>
        <v>0</v>
      </c>
      <c r="G557" s="242">
        <f>COUNTIFS('تجربه‌گرها'!$B:$B,$A557,'تجربه‌گرها'!$F:$F,G$1)</f>
        <v>0</v>
      </c>
      <c r="H557" s="242">
        <f>COUNTIFS('تجربه‌گرها'!$B:$B,$A557,'تجربه‌گرها'!$F:$F,H$1)</f>
        <v>0</v>
      </c>
      <c r="I557" s="242">
        <f>COUNTIFS('تجربه‌گرها'!$B:$B,$A557,'تجربه‌گرها'!$F:$F,I$1)</f>
        <v>1</v>
      </c>
      <c r="J557" s="242">
        <f>COUNTIFS('تجربه‌گرها'!$B:$B,$A557,'تجربه‌گرها'!$F:$F,J$1)</f>
        <v>0</v>
      </c>
      <c r="K557" s="242">
        <f>COUNTIFS('تجربه‌گرها'!$B:$B,$A557,'تجربه‌گرها'!$F:$F,K$1)</f>
        <v>0</v>
      </c>
      <c r="L557" s="242">
        <f>COUNTIFS('تجربه‌گرها'!$B:$B,$A557,'تجربه‌گرها'!$F:$F,L$1)</f>
        <v>0</v>
      </c>
      <c r="M557" s="242">
        <f>COUNTIFS('تجربه‌گرها'!$B:$B,$A557,'تجربه‌گرها'!$F:$F,M$1)</f>
        <v>0</v>
      </c>
      <c r="N557" s="242">
        <f>COUNTIFS('تجربه‌گرها'!$B:$B,$A557,'تجربه‌گرها'!$F:$F,N$1)</f>
        <v>0</v>
      </c>
      <c r="O557" s="242">
        <f>COUNTIFS('تجربه‌گرها'!$B:$B,$A557,'تجربه‌گرها'!$F:$F,O$1)</f>
        <v>0</v>
      </c>
      <c r="P557" s="242">
        <f>COUNTIFS('تجربه‌گرها'!$B:$B,$A557,'تجربه‌گرها'!$F:$F,P$1)</f>
        <v>0</v>
      </c>
      <c r="Q557" s="242">
        <f>COUNTIFS('تجربه‌گرها'!$B:$B,$A557,'تجربه‌گرها'!$F:$F,Q$1)</f>
        <v>0</v>
      </c>
      <c r="R557" s="242">
        <f>COUNTIFS('تجربه‌گرها'!$B:$B,$A557,'تجربه‌گرها'!$F:$F,R$1)</f>
        <v>0</v>
      </c>
      <c r="S557" s="242">
        <f>COUNTIFS('تجربه‌گرها'!$B:$B,$A557,'تجربه‌گرها'!$F:$F,S$1)</f>
        <v>0</v>
      </c>
      <c r="T557" s="242">
        <f>COUNTIFS('تجربه‌گرها'!$B:$B,$A557,'تجربه‌گرها'!$F:$F,T$1)</f>
        <v>0</v>
      </c>
      <c r="U557" s="242"/>
      <c r="V557" s="242"/>
      <c r="W557" s="242"/>
      <c r="X557" s="242"/>
      <c r="Y557" s="242"/>
      <c r="Z557" s="242"/>
      <c r="AA557" s="242"/>
      <c r="AB557" s="242"/>
    </row>
    <row r="558">
      <c r="A558" s="244" t="s">
        <v>3646</v>
      </c>
      <c r="B558" s="245" t="str">
        <f>VLOOKUP(A558,'تجربه‌گرها'!B:C,2,FALSE())</f>
        <v>9126157311</v>
      </c>
      <c r="C558" s="242"/>
      <c r="D558" s="242">
        <f t="shared" si="1"/>
        <v>1</v>
      </c>
      <c r="E558" s="242">
        <f>COUNTIFS('تجربه‌گرها'!$B:$B,$A558,'تجربه‌گرها'!$F:$F,E$1)</f>
        <v>0</v>
      </c>
      <c r="F558" s="242">
        <f>COUNTIFS('تجربه‌گرها'!$B:$B,$A558,'تجربه‌گرها'!$F:$F,F$1)</f>
        <v>0</v>
      </c>
      <c r="G558" s="242">
        <f>COUNTIFS('تجربه‌گرها'!$B:$B,$A558,'تجربه‌گرها'!$F:$F,G$1)</f>
        <v>0</v>
      </c>
      <c r="H558" s="242">
        <f>COUNTIFS('تجربه‌گرها'!$B:$B,$A558,'تجربه‌گرها'!$F:$F,H$1)</f>
        <v>0</v>
      </c>
      <c r="I558" s="242">
        <f>COUNTIFS('تجربه‌گرها'!$B:$B,$A558,'تجربه‌گرها'!$F:$F,I$1)</f>
        <v>1</v>
      </c>
      <c r="J558" s="242">
        <f>COUNTIFS('تجربه‌گرها'!$B:$B,$A558,'تجربه‌گرها'!$F:$F,J$1)</f>
        <v>0</v>
      </c>
      <c r="K558" s="242">
        <f>COUNTIFS('تجربه‌گرها'!$B:$B,$A558,'تجربه‌گرها'!$F:$F,K$1)</f>
        <v>0</v>
      </c>
      <c r="L558" s="242">
        <f>COUNTIFS('تجربه‌گرها'!$B:$B,$A558,'تجربه‌گرها'!$F:$F,L$1)</f>
        <v>0</v>
      </c>
      <c r="M558" s="242">
        <f>COUNTIFS('تجربه‌گرها'!$B:$B,$A558,'تجربه‌گرها'!$F:$F,M$1)</f>
        <v>0</v>
      </c>
      <c r="N558" s="242">
        <f>COUNTIFS('تجربه‌گرها'!$B:$B,$A558,'تجربه‌گرها'!$F:$F,N$1)</f>
        <v>0</v>
      </c>
      <c r="O558" s="242">
        <f>COUNTIFS('تجربه‌گرها'!$B:$B,$A558,'تجربه‌گرها'!$F:$F,O$1)</f>
        <v>0</v>
      </c>
      <c r="P558" s="242">
        <f>COUNTIFS('تجربه‌گرها'!$B:$B,$A558,'تجربه‌گرها'!$F:$F,P$1)</f>
        <v>0</v>
      </c>
      <c r="Q558" s="242">
        <f>COUNTIFS('تجربه‌گرها'!$B:$B,$A558,'تجربه‌گرها'!$F:$F,Q$1)</f>
        <v>0</v>
      </c>
      <c r="R558" s="242">
        <f>COUNTIFS('تجربه‌گرها'!$B:$B,$A558,'تجربه‌گرها'!$F:$F,R$1)</f>
        <v>0</v>
      </c>
      <c r="S558" s="242">
        <f>COUNTIFS('تجربه‌گرها'!$B:$B,$A558,'تجربه‌گرها'!$F:$F,S$1)</f>
        <v>0</v>
      </c>
      <c r="T558" s="242">
        <f>COUNTIFS('تجربه‌گرها'!$B:$B,$A558,'تجربه‌گرها'!$F:$F,T$1)</f>
        <v>0</v>
      </c>
      <c r="U558" s="242"/>
      <c r="V558" s="242"/>
      <c r="W558" s="242"/>
      <c r="X558" s="242"/>
      <c r="Y558" s="242"/>
      <c r="Z558" s="242"/>
      <c r="AA558" s="242"/>
      <c r="AB558" s="242"/>
    </row>
    <row r="559" hidden="1">
      <c r="A559" s="244" t="s">
        <v>3650</v>
      </c>
      <c r="B559" s="245" t="str">
        <f>VLOOKUP(A559,'تجربه‌گرها'!B:C,2,FALSE())</f>
        <v>۹۱۲۵۱۱۹۰۸۲</v>
      </c>
      <c r="C559" s="242"/>
      <c r="D559" s="242">
        <f t="shared" si="1"/>
        <v>1</v>
      </c>
      <c r="E559" s="242">
        <f>COUNTIFS('تجربه‌گرها'!$B:$B,$A559,'تجربه‌گرها'!$F:$F,E$1)</f>
        <v>0</v>
      </c>
      <c r="F559" s="242">
        <f>COUNTIFS('تجربه‌گرها'!$B:$B,$A559,'تجربه‌گرها'!$F:$F,F$1)</f>
        <v>0</v>
      </c>
      <c r="G559" s="242">
        <f>COUNTIFS('تجربه‌گرها'!$B:$B,$A559,'تجربه‌گرها'!$F:$F,G$1)</f>
        <v>0</v>
      </c>
      <c r="H559" s="242">
        <f>COUNTIFS('تجربه‌گرها'!$B:$B,$A559,'تجربه‌گرها'!$F:$F,H$1)</f>
        <v>0</v>
      </c>
      <c r="I559" s="242">
        <f>COUNTIFS('تجربه‌گرها'!$B:$B,$A559,'تجربه‌گرها'!$F:$F,I$1)</f>
        <v>1</v>
      </c>
      <c r="J559" s="242">
        <f>COUNTIFS('تجربه‌گرها'!$B:$B,$A559,'تجربه‌گرها'!$F:$F,J$1)</f>
        <v>0</v>
      </c>
      <c r="K559" s="242">
        <f>COUNTIFS('تجربه‌گرها'!$B:$B,$A559,'تجربه‌گرها'!$F:$F,K$1)</f>
        <v>0</v>
      </c>
      <c r="L559" s="242">
        <f>COUNTIFS('تجربه‌گرها'!$B:$B,$A559,'تجربه‌گرها'!$F:$F,L$1)</f>
        <v>0</v>
      </c>
      <c r="M559" s="242">
        <f>COUNTIFS('تجربه‌گرها'!$B:$B,$A559,'تجربه‌گرها'!$F:$F,M$1)</f>
        <v>0</v>
      </c>
      <c r="N559" s="242">
        <f>COUNTIFS('تجربه‌گرها'!$B:$B,$A559,'تجربه‌گرها'!$F:$F,N$1)</f>
        <v>0</v>
      </c>
      <c r="O559" s="242">
        <f>COUNTIFS('تجربه‌گرها'!$B:$B,$A559,'تجربه‌گرها'!$F:$F,O$1)</f>
        <v>0</v>
      </c>
      <c r="P559" s="242">
        <f>COUNTIFS('تجربه‌گرها'!$B:$B,$A559,'تجربه‌گرها'!$F:$F,P$1)</f>
        <v>0</v>
      </c>
      <c r="Q559" s="242">
        <f>COUNTIFS('تجربه‌گرها'!$B:$B,$A559,'تجربه‌گرها'!$F:$F,Q$1)</f>
        <v>0</v>
      </c>
      <c r="R559" s="242">
        <f>COUNTIFS('تجربه‌گرها'!$B:$B,$A559,'تجربه‌گرها'!$F:$F,R$1)</f>
        <v>0</v>
      </c>
      <c r="S559" s="242">
        <f>COUNTIFS('تجربه‌گرها'!$B:$B,$A559,'تجربه‌گرها'!$F:$F,S$1)</f>
        <v>0</v>
      </c>
      <c r="T559" s="242">
        <f>COUNTIFS('تجربه‌گرها'!$B:$B,$A559,'تجربه‌گرها'!$F:$F,T$1)</f>
        <v>0</v>
      </c>
      <c r="U559" s="242"/>
      <c r="V559" s="242"/>
      <c r="W559" s="242"/>
      <c r="X559" s="242"/>
      <c r="Y559" s="242"/>
      <c r="Z559" s="242"/>
      <c r="AA559" s="242"/>
      <c r="AB559" s="242"/>
    </row>
    <row r="560" hidden="1">
      <c r="A560" s="244" t="s">
        <v>3654</v>
      </c>
      <c r="B560" s="245" t="str">
        <f>VLOOKUP(A560,'تجربه‌گرها'!B:C,2,FALSE())</f>
        <v>9127108022</v>
      </c>
      <c r="C560" s="242"/>
      <c r="D560" s="242">
        <f t="shared" si="1"/>
        <v>1</v>
      </c>
      <c r="E560" s="242">
        <f>COUNTIFS('تجربه‌گرها'!$B:$B,$A560,'تجربه‌گرها'!$F:$F,E$1)</f>
        <v>0</v>
      </c>
      <c r="F560" s="242">
        <f>COUNTIFS('تجربه‌گرها'!$B:$B,$A560,'تجربه‌گرها'!$F:$F,F$1)</f>
        <v>0</v>
      </c>
      <c r="G560" s="242">
        <f>COUNTIFS('تجربه‌گرها'!$B:$B,$A560,'تجربه‌گرها'!$F:$F,G$1)</f>
        <v>0</v>
      </c>
      <c r="H560" s="242">
        <f>COUNTIFS('تجربه‌گرها'!$B:$B,$A560,'تجربه‌گرها'!$F:$F,H$1)</f>
        <v>0</v>
      </c>
      <c r="I560" s="242">
        <f>COUNTIFS('تجربه‌گرها'!$B:$B,$A560,'تجربه‌گرها'!$F:$F,I$1)</f>
        <v>1</v>
      </c>
      <c r="J560" s="242">
        <f>COUNTIFS('تجربه‌گرها'!$B:$B,$A560,'تجربه‌گرها'!$F:$F,J$1)</f>
        <v>0</v>
      </c>
      <c r="K560" s="242">
        <f>COUNTIFS('تجربه‌گرها'!$B:$B,$A560,'تجربه‌گرها'!$F:$F,K$1)</f>
        <v>0</v>
      </c>
      <c r="L560" s="242">
        <f>COUNTIFS('تجربه‌گرها'!$B:$B,$A560,'تجربه‌گرها'!$F:$F,L$1)</f>
        <v>0</v>
      </c>
      <c r="M560" s="242">
        <f>COUNTIFS('تجربه‌گرها'!$B:$B,$A560,'تجربه‌گرها'!$F:$F,M$1)</f>
        <v>0</v>
      </c>
      <c r="N560" s="242">
        <f>COUNTIFS('تجربه‌گرها'!$B:$B,$A560,'تجربه‌گرها'!$F:$F,N$1)</f>
        <v>0</v>
      </c>
      <c r="O560" s="242">
        <f>COUNTIFS('تجربه‌گرها'!$B:$B,$A560,'تجربه‌گرها'!$F:$F,O$1)</f>
        <v>0</v>
      </c>
      <c r="P560" s="242">
        <f>COUNTIFS('تجربه‌گرها'!$B:$B,$A560,'تجربه‌گرها'!$F:$F,P$1)</f>
        <v>0</v>
      </c>
      <c r="Q560" s="242">
        <f>COUNTIFS('تجربه‌گرها'!$B:$B,$A560,'تجربه‌گرها'!$F:$F,Q$1)</f>
        <v>0</v>
      </c>
      <c r="R560" s="242">
        <f>COUNTIFS('تجربه‌گرها'!$B:$B,$A560,'تجربه‌گرها'!$F:$F,R$1)</f>
        <v>0</v>
      </c>
      <c r="S560" s="242">
        <f>COUNTIFS('تجربه‌گرها'!$B:$B,$A560,'تجربه‌گرها'!$F:$F,S$1)</f>
        <v>0</v>
      </c>
      <c r="T560" s="242">
        <f>COUNTIFS('تجربه‌گرها'!$B:$B,$A560,'تجربه‌گرها'!$F:$F,T$1)</f>
        <v>0</v>
      </c>
      <c r="U560" s="242"/>
      <c r="V560" s="242"/>
      <c r="W560" s="242"/>
      <c r="X560" s="242"/>
      <c r="Y560" s="242"/>
      <c r="Z560" s="242"/>
      <c r="AA560" s="242"/>
      <c r="AB560" s="242"/>
    </row>
    <row r="561" hidden="1">
      <c r="A561" s="244" t="s">
        <v>3658</v>
      </c>
      <c r="B561" s="245" t="str">
        <f>VLOOKUP(A561,'تجربه‌گرها'!B:C,2,FALSE())</f>
        <v>09384806803</v>
      </c>
      <c r="C561" s="242"/>
      <c r="D561" s="242">
        <f t="shared" si="1"/>
        <v>1</v>
      </c>
      <c r="E561" s="242">
        <f>COUNTIFS('تجربه‌گرها'!$B:$B,$A561,'تجربه‌گرها'!$F:$F,E$1)</f>
        <v>0</v>
      </c>
      <c r="F561" s="242">
        <f>COUNTIFS('تجربه‌گرها'!$B:$B,$A561,'تجربه‌گرها'!$F:$F,F$1)</f>
        <v>0</v>
      </c>
      <c r="G561" s="242">
        <f>COUNTIFS('تجربه‌گرها'!$B:$B,$A561,'تجربه‌گرها'!$F:$F,G$1)</f>
        <v>0</v>
      </c>
      <c r="H561" s="242">
        <f>COUNTIFS('تجربه‌گرها'!$B:$B,$A561,'تجربه‌گرها'!$F:$F,H$1)</f>
        <v>0</v>
      </c>
      <c r="I561" s="242">
        <f>COUNTIFS('تجربه‌گرها'!$B:$B,$A561,'تجربه‌گرها'!$F:$F,I$1)</f>
        <v>1</v>
      </c>
      <c r="J561" s="242">
        <f>COUNTIFS('تجربه‌گرها'!$B:$B,$A561,'تجربه‌گرها'!$F:$F,J$1)</f>
        <v>0</v>
      </c>
      <c r="K561" s="242">
        <f>COUNTIFS('تجربه‌گرها'!$B:$B,$A561,'تجربه‌گرها'!$F:$F,K$1)</f>
        <v>0</v>
      </c>
      <c r="L561" s="242">
        <f>COUNTIFS('تجربه‌گرها'!$B:$B,$A561,'تجربه‌گرها'!$F:$F,L$1)</f>
        <v>0</v>
      </c>
      <c r="M561" s="242">
        <f>COUNTIFS('تجربه‌گرها'!$B:$B,$A561,'تجربه‌گرها'!$F:$F,M$1)</f>
        <v>0</v>
      </c>
      <c r="N561" s="242">
        <f>COUNTIFS('تجربه‌گرها'!$B:$B,$A561,'تجربه‌گرها'!$F:$F,N$1)</f>
        <v>0</v>
      </c>
      <c r="O561" s="242">
        <f>COUNTIFS('تجربه‌گرها'!$B:$B,$A561,'تجربه‌گرها'!$F:$F,O$1)</f>
        <v>0</v>
      </c>
      <c r="P561" s="242">
        <f>COUNTIFS('تجربه‌گرها'!$B:$B,$A561,'تجربه‌گرها'!$F:$F,P$1)</f>
        <v>0</v>
      </c>
      <c r="Q561" s="242">
        <f>COUNTIFS('تجربه‌گرها'!$B:$B,$A561,'تجربه‌گرها'!$F:$F,Q$1)</f>
        <v>0</v>
      </c>
      <c r="R561" s="242">
        <f>COUNTIFS('تجربه‌گرها'!$B:$B,$A561,'تجربه‌گرها'!$F:$F,R$1)</f>
        <v>0</v>
      </c>
      <c r="S561" s="242">
        <f>COUNTIFS('تجربه‌گرها'!$B:$B,$A561,'تجربه‌گرها'!$F:$F,S$1)</f>
        <v>0</v>
      </c>
      <c r="T561" s="242">
        <f>COUNTIFS('تجربه‌گرها'!$B:$B,$A561,'تجربه‌گرها'!$F:$F,T$1)</f>
        <v>0</v>
      </c>
      <c r="U561" s="242"/>
      <c r="V561" s="242"/>
      <c r="W561" s="242"/>
      <c r="X561" s="242"/>
      <c r="Y561" s="242"/>
      <c r="Z561" s="242"/>
      <c r="AA561" s="242"/>
      <c r="AB561" s="242"/>
    </row>
    <row r="562" hidden="1">
      <c r="A562" s="244" t="s">
        <v>3662</v>
      </c>
      <c r="B562" s="245" t="str">
        <f>VLOOKUP(A562,'تجربه‌گرها'!B:C,2,FALSE())</f>
        <v>9331503497</v>
      </c>
      <c r="C562" s="242"/>
      <c r="D562" s="242">
        <f t="shared" si="1"/>
        <v>1</v>
      </c>
      <c r="E562" s="242">
        <f>COUNTIFS('تجربه‌گرها'!$B:$B,$A562,'تجربه‌گرها'!$F:$F,E$1)</f>
        <v>0</v>
      </c>
      <c r="F562" s="242">
        <f>COUNTIFS('تجربه‌گرها'!$B:$B,$A562,'تجربه‌گرها'!$F:$F,F$1)</f>
        <v>0</v>
      </c>
      <c r="G562" s="242">
        <f>COUNTIFS('تجربه‌گرها'!$B:$B,$A562,'تجربه‌گرها'!$F:$F,G$1)</f>
        <v>0</v>
      </c>
      <c r="H562" s="242">
        <f>COUNTIFS('تجربه‌گرها'!$B:$B,$A562,'تجربه‌گرها'!$F:$F,H$1)</f>
        <v>0</v>
      </c>
      <c r="I562" s="242">
        <f>COUNTIFS('تجربه‌گرها'!$B:$B,$A562,'تجربه‌گرها'!$F:$F,I$1)</f>
        <v>1</v>
      </c>
      <c r="J562" s="242">
        <f>COUNTIFS('تجربه‌گرها'!$B:$B,$A562,'تجربه‌گرها'!$F:$F,J$1)</f>
        <v>0</v>
      </c>
      <c r="K562" s="242">
        <f>COUNTIFS('تجربه‌گرها'!$B:$B,$A562,'تجربه‌گرها'!$F:$F,K$1)</f>
        <v>0</v>
      </c>
      <c r="L562" s="242">
        <f>COUNTIFS('تجربه‌گرها'!$B:$B,$A562,'تجربه‌گرها'!$F:$F,L$1)</f>
        <v>0</v>
      </c>
      <c r="M562" s="242">
        <f>COUNTIFS('تجربه‌گرها'!$B:$B,$A562,'تجربه‌گرها'!$F:$F,M$1)</f>
        <v>0</v>
      </c>
      <c r="N562" s="242">
        <f>COUNTIFS('تجربه‌گرها'!$B:$B,$A562,'تجربه‌گرها'!$F:$F,N$1)</f>
        <v>0</v>
      </c>
      <c r="O562" s="242">
        <f>COUNTIFS('تجربه‌گرها'!$B:$B,$A562,'تجربه‌گرها'!$F:$F,O$1)</f>
        <v>0</v>
      </c>
      <c r="P562" s="242">
        <f>COUNTIFS('تجربه‌گرها'!$B:$B,$A562,'تجربه‌گرها'!$F:$F,P$1)</f>
        <v>0</v>
      </c>
      <c r="Q562" s="242">
        <f>COUNTIFS('تجربه‌گرها'!$B:$B,$A562,'تجربه‌گرها'!$F:$F,Q$1)</f>
        <v>0</v>
      </c>
      <c r="R562" s="242">
        <f>COUNTIFS('تجربه‌گرها'!$B:$B,$A562,'تجربه‌گرها'!$F:$F,R$1)</f>
        <v>0</v>
      </c>
      <c r="S562" s="242">
        <f>COUNTIFS('تجربه‌گرها'!$B:$B,$A562,'تجربه‌گرها'!$F:$F,S$1)</f>
        <v>0</v>
      </c>
      <c r="T562" s="242">
        <f>COUNTIFS('تجربه‌گرها'!$B:$B,$A562,'تجربه‌گرها'!$F:$F,T$1)</f>
        <v>0</v>
      </c>
      <c r="U562" s="242"/>
      <c r="V562" s="242"/>
      <c r="W562" s="242"/>
      <c r="X562" s="242"/>
      <c r="Y562" s="242"/>
      <c r="Z562" s="242"/>
      <c r="AA562" s="242"/>
      <c r="AB562" s="242"/>
    </row>
    <row r="563" hidden="1">
      <c r="A563" s="244" t="s">
        <v>3670</v>
      </c>
      <c r="B563" s="245" t="str">
        <f>VLOOKUP(A563,'تجربه‌گرها'!B:C,2,FALSE())</f>
        <v>9127742208</v>
      </c>
      <c r="C563" s="242"/>
      <c r="D563" s="242">
        <f t="shared" si="1"/>
        <v>1</v>
      </c>
      <c r="E563" s="242">
        <f>COUNTIFS('تجربه‌گرها'!$B:$B,$A563,'تجربه‌گرها'!$F:$F,E$1)</f>
        <v>0</v>
      </c>
      <c r="F563" s="242">
        <f>COUNTIFS('تجربه‌گرها'!$B:$B,$A563,'تجربه‌گرها'!$F:$F,F$1)</f>
        <v>0</v>
      </c>
      <c r="G563" s="242">
        <f>COUNTIFS('تجربه‌گرها'!$B:$B,$A563,'تجربه‌گرها'!$F:$F,G$1)</f>
        <v>0</v>
      </c>
      <c r="H563" s="242">
        <f>COUNTIFS('تجربه‌گرها'!$B:$B,$A563,'تجربه‌گرها'!$F:$F,H$1)</f>
        <v>0</v>
      </c>
      <c r="I563" s="242">
        <f>COUNTIFS('تجربه‌گرها'!$B:$B,$A563,'تجربه‌گرها'!$F:$F,I$1)</f>
        <v>1</v>
      </c>
      <c r="J563" s="242">
        <f>COUNTIFS('تجربه‌گرها'!$B:$B,$A563,'تجربه‌گرها'!$F:$F,J$1)</f>
        <v>0</v>
      </c>
      <c r="K563" s="242">
        <f>COUNTIFS('تجربه‌گرها'!$B:$B,$A563,'تجربه‌گرها'!$F:$F,K$1)</f>
        <v>0</v>
      </c>
      <c r="L563" s="242">
        <f>COUNTIFS('تجربه‌گرها'!$B:$B,$A563,'تجربه‌گرها'!$F:$F,L$1)</f>
        <v>0</v>
      </c>
      <c r="M563" s="242">
        <f>COUNTIFS('تجربه‌گرها'!$B:$B,$A563,'تجربه‌گرها'!$F:$F,M$1)</f>
        <v>0</v>
      </c>
      <c r="N563" s="242">
        <f>COUNTIFS('تجربه‌گرها'!$B:$B,$A563,'تجربه‌گرها'!$F:$F,N$1)</f>
        <v>0</v>
      </c>
      <c r="O563" s="242">
        <f>COUNTIFS('تجربه‌گرها'!$B:$B,$A563,'تجربه‌گرها'!$F:$F,O$1)</f>
        <v>0</v>
      </c>
      <c r="P563" s="242">
        <f>COUNTIFS('تجربه‌گرها'!$B:$B,$A563,'تجربه‌گرها'!$F:$F,P$1)</f>
        <v>0</v>
      </c>
      <c r="Q563" s="242">
        <f>COUNTIFS('تجربه‌گرها'!$B:$B,$A563,'تجربه‌گرها'!$F:$F,Q$1)</f>
        <v>0</v>
      </c>
      <c r="R563" s="242">
        <f>COUNTIFS('تجربه‌گرها'!$B:$B,$A563,'تجربه‌گرها'!$F:$F,R$1)</f>
        <v>0</v>
      </c>
      <c r="S563" s="242">
        <f>COUNTIFS('تجربه‌گرها'!$B:$B,$A563,'تجربه‌گرها'!$F:$F,S$1)</f>
        <v>0</v>
      </c>
      <c r="T563" s="242">
        <f>COUNTIFS('تجربه‌گرها'!$B:$B,$A563,'تجربه‌گرها'!$F:$F,T$1)</f>
        <v>0</v>
      </c>
      <c r="U563" s="242"/>
      <c r="V563" s="242"/>
      <c r="W563" s="242"/>
      <c r="X563" s="242"/>
      <c r="Y563" s="242"/>
      <c r="Z563" s="242"/>
      <c r="AA563" s="242"/>
      <c r="AB563" s="242"/>
    </row>
    <row r="564" hidden="1">
      <c r="A564" s="244" t="s">
        <v>3675</v>
      </c>
      <c r="B564" s="245" t="str">
        <f>VLOOKUP(A564,'تجربه‌گرها'!B:C,2,FALSE())</f>
        <v>9122365642</v>
      </c>
      <c r="C564" s="242"/>
      <c r="D564" s="242">
        <f t="shared" si="1"/>
        <v>1</v>
      </c>
      <c r="E564" s="242">
        <f>COUNTIFS('تجربه‌گرها'!$B:$B,$A564,'تجربه‌گرها'!$F:$F,E$1)</f>
        <v>0</v>
      </c>
      <c r="F564" s="242">
        <f>COUNTIFS('تجربه‌گرها'!$B:$B,$A564,'تجربه‌گرها'!$F:$F,F$1)</f>
        <v>0</v>
      </c>
      <c r="G564" s="242">
        <f>COUNTIFS('تجربه‌گرها'!$B:$B,$A564,'تجربه‌گرها'!$F:$F,G$1)</f>
        <v>0</v>
      </c>
      <c r="H564" s="242">
        <f>COUNTIFS('تجربه‌گرها'!$B:$B,$A564,'تجربه‌گرها'!$F:$F,H$1)</f>
        <v>0</v>
      </c>
      <c r="I564" s="242">
        <f>COUNTIFS('تجربه‌گرها'!$B:$B,$A564,'تجربه‌گرها'!$F:$F,I$1)</f>
        <v>1</v>
      </c>
      <c r="J564" s="242">
        <f>COUNTIFS('تجربه‌گرها'!$B:$B,$A564,'تجربه‌گرها'!$F:$F,J$1)</f>
        <v>0</v>
      </c>
      <c r="K564" s="242">
        <f>COUNTIFS('تجربه‌گرها'!$B:$B,$A564,'تجربه‌گرها'!$F:$F,K$1)</f>
        <v>0</v>
      </c>
      <c r="L564" s="242">
        <f>COUNTIFS('تجربه‌گرها'!$B:$B,$A564,'تجربه‌گرها'!$F:$F,L$1)</f>
        <v>0</v>
      </c>
      <c r="M564" s="242">
        <f>COUNTIFS('تجربه‌گرها'!$B:$B,$A564,'تجربه‌گرها'!$F:$F,M$1)</f>
        <v>0</v>
      </c>
      <c r="N564" s="242">
        <f>COUNTIFS('تجربه‌گرها'!$B:$B,$A564,'تجربه‌گرها'!$F:$F,N$1)</f>
        <v>0</v>
      </c>
      <c r="O564" s="242">
        <f>COUNTIFS('تجربه‌گرها'!$B:$B,$A564,'تجربه‌گرها'!$F:$F,O$1)</f>
        <v>0</v>
      </c>
      <c r="P564" s="242">
        <f>COUNTIFS('تجربه‌گرها'!$B:$B,$A564,'تجربه‌گرها'!$F:$F,P$1)</f>
        <v>0</v>
      </c>
      <c r="Q564" s="242">
        <f>COUNTIFS('تجربه‌گرها'!$B:$B,$A564,'تجربه‌گرها'!$F:$F,Q$1)</f>
        <v>0</v>
      </c>
      <c r="R564" s="242">
        <f>COUNTIFS('تجربه‌گرها'!$B:$B,$A564,'تجربه‌گرها'!$F:$F,R$1)</f>
        <v>0</v>
      </c>
      <c r="S564" s="242">
        <f>COUNTIFS('تجربه‌گرها'!$B:$B,$A564,'تجربه‌گرها'!$F:$F,S$1)</f>
        <v>0</v>
      </c>
      <c r="T564" s="242">
        <f>COUNTIFS('تجربه‌گرها'!$B:$B,$A564,'تجربه‌گرها'!$F:$F,T$1)</f>
        <v>0</v>
      </c>
      <c r="U564" s="242"/>
      <c r="V564" s="242"/>
      <c r="W564" s="242"/>
      <c r="X564" s="242"/>
      <c r="Y564" s="242"/>
      <c r="Z564" s="242"/>
      <c r="AA564" s="242"/>
      <c r="AB564" s="242"/>
    </row>
    <row r="565" hidden="1">
      <c r="A565" s="244" t="s">
        <v>3680</v>
      </c>
      <c r="B565" s="245" t="str">
        <f>VLOOKUP(A565,'تجربه‌گرها'!B:C,2,FALSE())</f>
        <v>9122880104</v>
      </c>
      <c r="C565" s="242"/>
      <c r="D565" s="242">
        <f t="shared" si="1"/>
        <v>1</v>
      </c>
      <c r="E565" s="242">
        <f>COUNTIFS('تجربه‌گرها'!$B:$B,$A565,'تجربه‌گرها'!$F:$F,E$1)</f>
        <v>0</v>
      </c>
      <c r="F565" s="242">
        <f>COUNTIFS('تجربه‌گرها'!$B:$B,$A565,'تجربه‌گرها'!$F:$F,F$1)</f>
        <v>0</v>
      </c>
      <c r="G565" s="242">
        <f>COUNTIFS('تجربه‌گرها'!$B:$B,$A565,'تجربه‌گرها'!$F:$F,G$1)</f>
        <v>0</v>
      </c>
      <c r="H565" s="242">
        <f>COUNTIFS('تجربه‌گرها'!$B:$B,$A565,'تجربه‌گرها'!$F:$F,H$1)</f>
        <v>0</v>
      </c>
      <c r="I565" s="242">
        <f>COUNTIFS('تجربه‌گرها'!$B:$B,$A565,'تجربه‌گرها'!$F:$F,I$1)</f>
        <v>1</v>
      </c>
      <c r="J565" s="242">
        <f>COUNTIFS('تجربه‌گرها'!$B:$B,$A565,'تجربه‌گرها'!$F:$F,J$1)</f>
        <v>0</v>
      </c>
      <c r="K565" s="242">
        <f>COUNTIFS('تجربه‌گرها'!$B:$B,$A565,'تجربه‌گرها'!$F:$F,K$1)</f>
        <v>0</v>
      </c>
      <c r="L565" s="242">
        <f>COUNTIFS('تجربه‌گرها'!$B:$B,$A565,'تجربه‌گرها'!$F:$F,L$1)</f>
        <v>0</v>
      </c>
      <c r="M565" s="242">
        <f>COUNTIFS('تجربه‌گرها'!$B:$B,$A565,'تجربه‌گرها'!$F:$F,M$1)</f>
        <v>0</v>
      </c>
      <c r="N565" s="242">
        <f>COUNTIFS('تجربه‌گرها'!$B:$B,$A565,'تجربه‌گرها'!$F:$F,N$1)</f>
        <v>0</v>
      </c>
      <c r="O565" s="242">
        <f>COUNTIFS('تجربه‌گرها'!$B:$B,$A565,'تجربه‌گرها'!$F:$F,O$1)</f>
        <v>0</v>
      </c>
      <c r="P565" s="242">
        <f>COUNTIFS('تجربه‌گرها'!$B:$B,$A565,'تجربه‌گرها'!$F:$F,P$1)</f>
        <v>0</v>
      </c>
      <c r="Q565" s="242">
        <f>COUNTIFS('تجربه‌گرها'!$B:$B,$A565,'تجربه‌گرها'!$F:$F,Q$1)</f>
        <v>0</v>
      </c>
      <c r="R565" s="242">
        <f>COUNTIFS('تجربه‌گرها'!$B:$B,$A565,'تجربه‌گرها'!$F:$F,R$1)</f>
        <v>0</v>
      </c>
      <c r="S565" s="242">
        <f>COUNTIFS('تجربه‌گرها'!$B:$B,$A565,'تجربه‌گرها'!$F:$F,S$1)</f>
        <v>0</v>
      </c>
      <c r="T565" s="242">
        <f>COUNTIFS('تجربه‌گرها'!$B:$B,$A565,'تجربه‌گرها'!$F:$F,T$1)</f>
        <v>0</v>
      </c>
      <c r="U565" s="242"/>
      <c r="V565" s="242"/>
      <c r="W565" s="242"/>
      <c r="X565" s="242"/>
      <c r="Y565" s="242"/>
      <c r="Z565" s="242"/>
      <c r="AA565" s="242"/>
      <c r="AB565" s="242"/>
    </row>
    <row r="566" hidden="1">
      <c r="A566" s="244" t="s">
        <v>3686</v>
      </c>
      <c r="B566" s="245" t="str">
        <f>VLOOKUP(A566,'تجربه‌گرها'!B:C,2,FALSE())</f>
        <v>9121768693</v>
      </c>
      <c r="C566" s="242"/>
      <c r="D566" s="242">
        <f t="shared" si="1"/>
        <v>1</v>
      </c>
      <c r="E566" s="242">
        <f>COUNTIFS('تجربه‌گرها'!$B:$B,$A566,'تجربه‌گرها'!$F:$F,E$1)</f>
        <v>0</v>
      </c>
      <c r="F566" s="242">
        <f>COUNTIFS('تجربه‌گرها'!$B:$B,$A566,'تجربه‌گرها'!$F:$F,F$1)</f>
        <v>0</v>
      </c>
      <c r="G566" s="242">
        <f>COUNTIFS('تجربه‌گرها'!$B:$B,$A566,'تجربه‌گرها'!$F:$F,G$1)</f>
        <v>0</v>
      </c>
      <c r="H566" s="242">
        <f>COUNTIFS('تجربه‌گرها'!$B:$B,$A566,'تجربه‌گرها'!$F:$F,H$1)</f>
        <v>0</v>
      </c>
      <c r="I566" s="242">
        <f>COUNTIFS('تجربه‌گرها'!$B:$B,$A566,'تجربه‌گرها'!$F:$F,I$1)</f>
        <v>1</v>
      </c>
      <c r="J566" s="242">
        <f>COUNTIFS('تجربه‌گرها'!$B:$B,$A566,'تجربه‌گرها'!$F:$F,J$1)</f>
        <v>0</v>
      </c>
      <c r="K566" s="242">
        <f>COUNTIFS('تجربه‌گرها'!$B:$B,$A566,'تجربه‌گرها'!$F:$F,K$1)</f>
        <v>0</v>
      </c>
      <c r="L566" s="242">
        <f>COUNTIFS('تجربه‌گرها'!$B:$B,$A566,'تجربه‌گرها'!$F:$F,L$1)</f>
        <v>0</v>
      </c>
      <c r="M566" s="242">
        <f>COUNTIFS('تجربه‌گرها'!$B:$B,$A566,'تجربه‌گرها'!$F:$F,M$1)</f>
        <v>0</v>
      </c>
      <c r="N566" s="242">
        <f>COUNTIFS('تجربه‌گرها'!$B:$B,$A566,'تجربه‌گرها'!$F:$F,N$1)</f>
        <v>0</v>
      </c>
      <c r="O566" s="242">
        <f>COUNTIFS('تجربه‌گرها'!$B:$B,$A566,'تجربه‌گرها'!$F:$F,O$1)</f>
        <v>0</v>
      </c>
      <c r="P566" s="242">
        <f>COUNTIFS('تجربه‌گرها'!$B:$B,$A566,'تجربه‌گرها'!$F:$F,P$1)</f>
        <v>0</v>
      </c>
      <c r="Q566" s="242">
        <f>COUNTIFS('تجربه‌گرها'!$B:$B,$A566,'تجربه‌گرها'!$F:$F,Q$1)</f>
        <v>0</v>
      </c>
      <c r="R566" s="242">
        <f>COUNTIFS('تجربه‌گرها'!$B:$B,$A566,'تجربه‌گرها'!$F:$F,R$1)</f>
        <v>0</v>
      </c>
      <c r="S566" s="242">
        <f>COUNTIFS('تجربه‌گرها'!$B:$B,$A566,'تجربه‌گرها'!$F:$F,S$1)</f>
        <v>0</v>
      </c>
      <c r="T566" s="242">
        <f>COUNTIFS('تجربه‌گرها'!$B:$B,$A566,'تجربه‌گرها'!$F:$F,T$1)</f>
        <v>0</v>
      </c>
      <c r="U566" s="242"/>
      <c r="V566" s="242"/>
      <c r="W566" s="242"/>
      <c r="X566" s="242"/>
      <c r="Y566" s="242"/>
      <c r="Z566" s="242"/>
      <c r="AA566" s="242"/>
      <c r="AB566" s="242"/>
    </row>
    <row r="567" hidden="1">
      <c r="A567" s="244" t="s">
        <v>3692</v>
      </c>
      <c r="B567" s="245" t="str">
        <f>VLOOKUP(A567,'تجربه‌گرها'!B:C,2,FALSE())</f>
        <v>9900987308</v>
      </c>
      <c r="C567" s="242"/>
      <c r="D567" s="242">
        <f t="shared" si="1"/>
        <v>1</v>
      </c>
      <c r="E567" s="242">
        <f>COUNTIFS('تجربه‌گرها'!$B:$B,$A567,'تجربه‌گرها'!$F:$F,E$1)</f>
        <v>0</v>
      </c>
      <c r="F567" s="242">
        <f>COUNTIFS('تجربه‌گرها'!$B:$B,$A567,'تجربه‌گرها'!$F:$F,F$1)</f>
        <v>0</v>
      </c>
      <c r="G567" s="242">
        <f>COUNTIFS('تجربه‌گرها'!$B:$B,$A567,'تجربه‌گرها'!$F:$F,G$1)</f>
        <v>0</v>
      </c>
      <c r="H567" s="242">
        <f>COUNTIFS('تجربه‌گرها'!$B:$B,$A567,'تجربه‌گرها'!$F:$F,H$1)</f>
        <v>0</v>
      </c>
      <c r="I567" s="242">
        <f>COUNTIFS('تجربه‌گرها'!$B:$B,$A567,'تجربه‌گرها'!$F:$F,I$1)</f>
        <v>1</v>
      </c>
      <c r="J567" s="242">
        <f>COUNTIFS('تجربه‌گرها'!$B:$B,$A567,'تجربه‌گرها'!$F:$F,J$1)</f>
        <v>0</v>
      </c>
      <c r="K567" s="242">
        <f>COUNTIFS('تجربه‌گرها'!$B:$B,$A567,'تجربه‌گرها'!$F:$F,K$1)</f>
        <v>0</v>
      </c>
      <c r="L567" s="242">
        <f>COUNTIFS('تجربه‌گرها'!$B:$B,$A567,'تجربه‌گرها'!$F:$F,L$1)</f>
        <v>0</v>
      </c>
      <c r="M567" s="242">
        <f>COUNTIFS('تجربه‌گرها'!$B:$B,$A567,'تجربه‌گرها'!$F:$F,M$1)</f>
        <v>0</v>
      </c>
      <c r="N567" s="242">
        <f>COUNTIFS('تجربه‌گرها'!$B:$B,$A567,'تجربه‌گرها'!$F:$F,N$1)</f>
        <v>0</v>
      </c>
      <c r="O567" s="242">
        <f>COUNTIFS('تجربه‌گرها'!$B:$B,$A567,'تجربه‌گرها'!$F:$F,O$1)</f>
        <v>0</v>
      </c>
      <c r="P567" s="242">
        <f>COUNTIFS('تجربه‌گرها'!$B:$B,$A567,'تجربه‌گرها'!$F:$F,P$1)</f>
        <v>0</v>
      </c>
      <c r="Q567" s="242">
        <f>COUNTIFS('تجربه‌گرها'!$B:$B,$A567,'تجربه‌گرها'!$F:$F,Q$1)</f>
        <v>0</v>
      </c>
      <c r="R567" s="242">
        <f>COUNTIFS('تجربه‌گرها'!$B:$B,$A567,'تجربه‌گرها'!$F:$F,R$1)</f>
        <v>0</v>
      </c>
      <c r="S567" s="242">
        <f>COUNTIFS('تجربه‌گرها'!$B:$B,$A567,'تجربه‌گرها'!$F:$F,S$1)</f>
        <v>0</v>
      </c>
      <c r="T567" s="242">
        <f>COUNTIFS('تجربه‌گرها'!$B:$B,$A567,'تجربه‌گرها'!$F:$F,T$1)</f>
        <v>0</v>
      </c>
      <c r="U567" s="242"/>
      <c r="V567" s="242"/>
      <c r="W567" s="242"/>
      <c r="X567" s="242"/>
      <c r="Y567" s="242"/>
      <c r="Z567" s="242"/>
      <c r="AA567" s="242"/>
      <c r="AB567" s="242"/>
    </row>
    <row r="568" hidden="1">
      <c r="A568" s="244" t="s">
        <v>3697</v>
      </c>
      <c r="B568" s="245" t="str">
        <f>VLOOKUP(A568,'تجربه‌گرها'!B:C,2,FALSE())</f>
        <v>9125189949</v>
      </c>
      <c r="C568" s="242"/>
      <c r="D568" s="242">
        <f t="shared" si="1"/>
        <v>1</v>
      </c>
      <c r="E568" s="242">
        <f>COUNTIFS('تجربه‌گرها'!$B:$B,$A568,'تجربه‌گرها'!$F:$F,E$1)</f>
        <v>0</v>
      </c>
      <c r="F568" s="242">
        <f>COUNTIFS('تجربه‌گرها'!$B:$B,$A568,'تجربه‌گرها'!$F:$F,F$1)</f>
        <v>0</v>
      </c>
      <c r="G568" s="242">
        <f>COUNTIFS('تجربه‌گرها'!$B:$B,$A568,'تجربه‌گرها'!$F:$F,G$1)</f>
        <v>0</v>
      </c>
      <c r="H568" s="242">
        <f>COUNTIFS('تجربه‌گرها'!$B:$B,$A568,'تجربه‌گرها'!$F:$F,H$1)</f>
        <v>0</v>
      </c>
      <c r="I568" s="242">
        <f>COUNTIFS('تجربه‌گرها'!$B:$B,$A568,'تجربه‌گرها'!$F:$F,I$1)</f>
        <v>1</v>
      </c>
      <c r="J568" s="242">
        <f>COUNTIFS('تجربه‌گرها'!$B:$B,$A568,'تجربه‌گرها'!$F:$F,J$1)</f>
        <v>0</v>
      </c>
      <c r="K568" s="242">
        <f>COUNTIFS('تجربه‌گرها'!$B:$B,$A568,'تجربه‌گرها'!$F:$F,K$1)</f>
        <v>0</v>
      </c>
      <c r="L568" s="242">
        <f>COUNTIFS('تجربه‌گرها'!$B:$B,$A568,'تجربه‌گرها'!$F:$F,L$1)</f>
        <v>0</v>
      </c>
      <c r="M568" s="242">
        <f>COUNTIFS('تجربه‌گرها'!$B:$B,$A568,'تجربه‌گرها'!$F:$F,M$1)</f>
        <v>0</v>
      </c>
      <c r="N568" s="242">
        <f>COUNTIFS('تجربه‌گرها'!$B:$B,$A568,'تجربه‌گرها'!$F:$F,N$1)</f>
        <v>0</v>
      </c>
      <c r="O568" s="242">
        <f>COUNTIFS('تجربه‌گرها'!$B:$B,$A568,'تجربه‌گرها'!$F:$F,O$1)</f>
        <v>0</v>
      </c>
      <c r="P568" s="242">
        <f>COUNTIFS('تجربه‌گرها'!$B:$B,$A568,'تجربه‌گرها'!$F:$F,P$1)</f>
        <v>0</v>
      </c>
      <c r="Q568" s="242">
        <f>COUNTIFS('تجربه‌گرها'!$B:$B,$A568,'تجربه‌گرها'!$F:$F,Q$1)</f>
        <v>0</v>
      </c>
      <c r="R568" s="242">
        <f>COUNTIFS('تجربه‌گرها'!$B:$B,$A568,'تجربه‌گرها'!$F:$F,R$1)</f>
        <v>0</v>
      </c>
      <c r="S568" s="242">
        <f>COUNTIFS('تجربه‌گرها'!$B:$B,$A568,'تجربه‌گرها'!$F:$F,S$1)</f>
        <v>0</v>
      </c>
      <c r="T568" s="242">
        <f>COUNTIFS('تجربه‌گرها'!$B:$B,$A568,'تجربه‌گرها'!$F:$F,T$1)</f>
        <v>0</v>
      </c>
      <c r="U568" s="242"/>
      <c r="V568" s="242"/>
      <c r="W568" s="242"/>
      <c r="X568" s="242"/>
      <c r="Y568" s="242"/>
      <c r="Z568" s="242"/>
      <c r="AA568" s="242"/>
      <c r="AB568" s="242"/>
    </row>
    <row r="569" hidden="1">
      <c r="A569" s="244" t="s">
        <v>3702</v>
      </c>
      <c r="B569" s="245" t="str">
        <f>VLOOKUP(A569,'تجربه‌گرها'!B:C,2,FALSE())</f>
        <v>9120409980</v>
      </c>
      <c r="C569" s="242"/>
      <c r="D569" s="242">
        <f t="shared" si="1"/>
        <v>1</v>
      </c>
      <c r="E569" s="242">
        <f>COUNTIFS('تجربه‌گرها'!$B:$B,$A569,'تجربه‌گرها'!$F:$F,E$1)</f>
        <v>0</v>
      </c>
      <c r="F569" s="242">
        <f>COUNTIFS('تجربه‌گرها'!$B:$B,$A569,'تجربه‌گرها'!$F:$F,F$1)</f>
        <v>0</v>
      </c>
      <c r="G569" s="242">
        <f>COUNTIFS('تجربه‌گرها'!$B:$B,$A569,'تجربه‌گرها'!$F:$F,G$1)</f>
        <v>0</v>
      </c>
      <c r="H569" s="242">
        <f>COUNTIFS('تجربه‌گرها'!$B:$B,$A569,'تجربه‌گرها'!$F:$F,H$1)</f>
        <v>0</v>
      </c>
      <c r="I569" s="242">
        <f>COUNTIFS('تجربه‌گرها'!$B:$B,$A569,'تجربه‌گرها'!$F:$F,I$1)</f>
        <v>1</v>
      </c>
      <c r="J569" s="242">
        <f>COUNTIFS('تجربه‌گرها'!$B:$B,$A569,'تجربه‌گرها'!$F:$F,J$1)</f>
        <v>0</v>
      </c>
      <c r="K569" s="242">
        <f>COUNTIFS('تجربه‌گرها'!$B:$B,$A569,'تجربه‌گرها'!$F:$F,K$1)</f>
        <v>0</v>
      </c>
      <c r="L569" s="242">
        <f>COUNTIFS('تجربه‌گرها'!$B:$B,$A569,'تجربه‌گرها'!$F:$F,L$1)</f>
        <v>0</v>
      </c>
      <c r="M569" s="242">
        <f>COUNTIFS('تجربه‌گرها'!$B:$B,$A569,'تجربه‌گرها'!$F:$F,M$1)</f>
        <v>0</v>
      </c>
      <c r="N569" s="242">
        <f>COUNTIFS('تجربه‌گرها'!$B:$B,$A569,'تجربه‌گرها'!$F:$F,N$1)</f>
        <v>0</v>
      </c>
      <c r="O569" s="242">
        <f>COUNTIFS('تجربه‌گرها'!$B:$B,$A569,'تجربه‌گرها'!$F:$F,O$1)</f>
        <v>0</v>
      </c>
      <c r="P569" s="242">
        <f>COUNTIFS('تجربه‌گرها'!$B:$B,$A569,'تجربه‌گرها'!$F:$F,P$1)</f>
        <v>0</v>
      </c>
      <c r="Q569" s="242">
        <f>COUNTIFS('تجربه‌گرها'!$B:$B,$A569,'تجربه‌گرها'!$F:$F,Q$1)</f>
        <v>0</v>
      </c>
      <c r="R569" s="242">
        <f>COUNTIFS('تجربه‌گرها'!$B:$B,$A569,'تجربه‌گرها'!$F:$F,R$1)</f>
        <v>0</v>
      </c>
      <c r="S569" s="242">
        <f>COUNTIFS('تجربه‌گرها'!$B:$B,$A569,'تجربه‌گرها'!$F:$F,S$1)</f>
        <v>0</v>
      </c>
      <c r="T569" s="242">
        <f>COUNTIFS('تجربه‌گرها'!$B:$B,$A569,'تجربه‌گرها'!$F:$F,T$1)</f>
        <v>0</v>
      </c>
      <c r="U569" s="242"/>
      <c r="V569" s="242"/>
      <c r="W569" s="242"/>
      <c r="X569" s="242"/>
      <c r="Y569" s="242"/>
      <c r="Z569" s="242"/>
      <c r="AA569" s="242"/>
      <c r="AB569" s="242"/>
    </row>
    <row r="570" hidden="1">
      <c r="A570" s="244" t="s">
        <v>3708</v>
      </c>
      <c r="B570" s="245" t="str">
        <f>VLOOKUP(A570,'تجربه‌گرها'!B:C,2,FALSE())</f>
        <v>09127305229-09226840839</v>
      </c>
      <c r="C570" s="242"/>
      <c r="D570" s="242">
        <f t="shared" si="1"/>
        <v>1</v>
      </c>
      <c r="E570" s="242">
        <f>COUNTIFS('تجربه‌گرها'!$B:$B,$A570,'تجربه‌گرها'!$F:$F,E$1)</f>
        <v>0</v>
      </c>
      <c r="F570" s="242">
        <f>COUNTIFS('تجربه‌گرها'!$B:$B,$A570,'تجربه‌گرها'!$F:$F,F$1)</f>
        <v>0</v>
      </c>
      <c r="G570" s="242">
        <f>COUNTIFS('تجربه‌گرها'!$B:$B,$A570,'تجربه‌گرها'!$F:$F,G$1)</f>
        <v>0</v>
      </c>
      <c r="H570" s="242">
        <f>COUNTIFS('تجربه‌گرها'!$B:$B,$A570,'تجربه‌گرها'!$F:$F,H$1)</f>
        <v>0</v>
      </c>
      <c r="I570" s="242">
        <f>COUNTIFS('تجربه‌گرها'!$B:$B,$A570,'تجربه‌گرها'!$F:$F,I$1)</f>
        <v>1</v>
      </c>
      <c r="J570" s="242">
        <f>COUNTIFS('تجربه‌گرها'!$B:$B,$A570,'تجربه‌گرها'!$F:$F,J$1)</f>
        <v>0</v>
      </c>
      <c r="K570" s="242">
        <f>COUNTIFS('تجربه‌گرها'!$B:$B,$A570,'تجربه‌گرها'!$F:$F,K$1)</f>
        <v>0</v>
      </c>
      <c r="L570" s="242">
        <f>COUNTIFS('تجربه‌گرها'!$B:$B,$A570,'تجربه‌گرها'!$F:$F,L$1)</f>
        <v>0</v>
      </c>
      <c r="M570" s="242">
        <f>COUNTIFS('تجربه‌گرها'!$B:$B,$A570,'تجربه‌گرها'!$F:$F,M$1)</f>
        <v>0</v>
      </c>
      <c r="N570" s="242">
        <f>COUNTIFS('تجربه‌گرها'!$B:$B,$A570,'تجربه‌گرها'!$F:$F,N$1)</f>
        <v>0</v>
      </c>
      <c r="O570" s="242">
        <f>COUNTIFS('تجربه‌گرها'!$B:$B,$A570,'تجربه‌گرها'!$F:$F,O$1)</f>
        <v>0</v>
      </c>
      <c r="P570" s="242">
        <f>COUNTIFS('تجربه‌گرها'!$B:$B,$A570,'تجربه‌گرها'!$F:$F,P$1)</f>
        <v>0</v>
      </c>
      <c r="Q570" s="242">
        <f>COUNTIFS('تجربه‌گرها'!$B:$B,$A570,'تجربه‌گرها'!$F:$F,Q$1)</f>
        <v>0</v>
      </c>
      <c r="R570" s="242">
        <f>COUNTIFS('تجربه‌گرها'!$B:$B,$A570,'تجربه‌گرها'!$F:$F,R$1)</f>
        <v>0</v>
      </c>
      <c r="S570" s="242">
        <f>COUNTIFS('تجربه‌گرها'!$B:$B,$A570,'تجربه‌گرها'!$F:$F,S$1)</f>
        <v>0</v>
      </c>
      <c r="T570" s="242">
        <f>COUNTIFS('تجربه‌گرها'!$B:$B,$A570,'تجربه‌گرها'!$F:$F,T$1)</f>
        <v>0</v>
      </c>
      <c r="U570" s="242"/>
      <c r="V570" s="242"/>
      <c r="W570" s="242"/>
      <c r="X570" s="242"/>
      <c r="Y570" s="242"/>
      <c r="Z570" s="242"/>
      <c r="AA570" s="242"/>
      <c r="AB570" s="242"/>
    </row>
    <row r="571" hidden="1">
      <c r="A571" s="244" t="s">
        <v>3713</v>
      </c>
      <c r="B571" s="245" t="str">
        <f>VLOOKUP(A571,'تجربه‌گرها'!B:C,2,FALSE())</f>
        <v>09129723455- 9059636994</v>
      </c>
      <c r="C571" s="242"/>
      <c r="D571" s="242">
        <f t="shared" si="1"/>
        <v>1</v>
      </c>
      <c r="E571" s="242">
        <f>COUNTIFS('تجربه‌گرها'!$B:$B,$A571,'تجربه‌گرها'!$F:$F,E$1)</f>
        <v>0</v>
      </c>
      <c r="F571" s="242">
        <f>COUNTIFS('تجربه‌گرها'!$B:$B,$A571,'تجربه‌گرها'!$F:$F,F$1)</f>
        <v>0</v>
      </c>
      <c r="G571" s="242">
        <f>COUNTIFS('تجربه‌گرها'!$B:$B,$A571,'تجربه‌گرها'!$F:$F,G$1)</f>
        <v>0</v>
      </c>
      <c r="H571" s="242">
        <f>COUNTIFS('تجربه‌گرها'!$B:$B,$A571,'تجربه‌گرها'!$F:$F,H$1)</f>
        <v>0</v>
      </c>
      <c r="I571" s="242">
        <f>COUNTIFS('تجربه‌گرها'!$B:$B,$A571,'تجربه‌گرها'!$F:$F,I$1)</f>
        <v>1</v>
      </c>
      <c r="J571" s="242">
        <f>COUNTIFS('تجربه‌گرها'!$B:$B,$A571,'تجربه‌گرها'!$F:$F,J$1)</f>
        <v>0</v>
      </c>
      <c r="K571" s="242">
        <f>COUNTIFS('تجربه‌گرها'!$B:$B,$A571,'تجربه‌گرها'!$F:$F,K$1)</f>
        <v>0</v>
      </c>
      <c r="L571" s="242">
        <f>COUNTIFS('تجربه‌گرها'!$B:$B,$A571,'تجربه‌گرها'!$F:$F,L$1)</f>
        <v>0</v>
      </c>
      <c r="M571" s="242">
        <f>COUNTIFS('تجربه‌گرها'!$B:$B,$A571,'تجربه‌گرها'!$F:$F,M$1)</f>
        <v>0</v>
      </c>
      <c r="N571" s="242">
        <f>COUNTIFS('تجربه‌گرها'!$B:$B,$A571,'تجربه‌گرها'!$F:$F,N$1)</f>
        <v>0</v>
      </c>
      <c r="O571" s="242">
        <f>COUNTIFS('تجربه‌گرها'!$B:$B,$A571,'تجربه‌گرها'!$F:$F,O$1)</f>
        <v>0</v>
      </c>
      <c r="P571" s="242">
        <f>COUNTIFS('تجربه‌گرها'!$B:$B,$A571,'تجربه‌گرها'!$F:$F,P$1)</f>
        <v>0</v>
      </c>
      <c r="Q571" s="242">
        <f>COUNTIFS('تجربه‌گرها'!$B:$B,$A571,'تجربه‌گرها'!$F:$F,Q$1)</f>
        <v>0</v>
      </c>
      <c r="R571" s="242">
        <f>COUNTIFS('تجربه‌گرها'!$B:$B,$A571,'تجربه‌گرها'!$F:$F,R$1)</f>
        <v>0</v>
      </c>
      <c r="S571" s="242">
        <f>COUNTIFS('تجربه‌گرها'!$B:$B,$A571,'تجربه‌گرها'!$F:$F,S$1)</f>
        <v>0</v>
      </c>
      <c r="T571" s="242">
        <f>COUNTIFS('تجربه‌گرها'!$B:$B,$A571,'تجربه‌گرها'!$F:$F,T$1)</f>
        <v>0</v>
      </c>
      <c r="U571" s="242"/>
      <c r="V571" s="242"/>
      <c r="W571" s="242"/>
      <c r="X571" s="242"/>
      <c r="Y571" s="242"/>
      <c r="Z571" s="242"/>
      <c r="AA571" s="242"/>
      <c r="AB571" s="242"/>
    </row>
    <row r="572" hidden="1">
      <c r="A572" s="244" t="s">
        <v>3718</v>
      </c>
      <c r="B572" s="245" t="str">
        <f>VLOOKUP(A572,'تجربه‌گرها'!B:C,2,FALSE())</f>
        <v>9382574015</v>
      </c>
      <c r="C572" s="242"/>
      <c r="D572" s="242">
        <f t="shared" si="1"/>
        <v>1</v>
      </c>
      <c r="E572" s="242">
        <f>COUNTIFS('تجربه‌گرها'!$B:$B,$A572,'تجربه‌گرها'!$F:$F,E$1)</f>
        <v>0</v>
      </c>
      <c r="F572" s="242">
        <f>COUNTIFS('تجربه‌گرها'!$B:$B,$A572,'تجربه‌گرها'!$F:$F,F$1)</f>
        <v>0</v>
      </c>
      <c r="G572" s="242">
        <f>COUNTIFS('تجربه‌گرها'!$B:$B,$A572,'تجربه‌گرها'!$F:$F,G$1)</f>
        <v>0</v>
      </c>
      <c r="H572" s="242">
        <f>COUNTIFS('تجربه‌گرها'!$B:$B,$A572,'تجربه‌گرها'!$F:$F,H$1)</f>
        <v>0</v>
      </c>
      <c r="I572" s="242">
        <f>COUNTIFS('تجربه‌گرها'!$B:$B,$A572,'تجربه‌گرها'!$F:$F,I$1)</f>
        <v>1</v>
      </c>
      <c r="J572" s="242">
        <f>COUNTIFS('تجربه‌گرها'!$B:$B,$A572,'تجربه‌گرها'!$F:$F,J$1)</f>
        <v>0</v>
      </c>
      <c r="K572" s="242">
        <f>COUNTIFS('تجربه‌گرها'!$B:$B,$A572,'تجربه‌گرها'!$F:$F,K$1)</f>
        <v>0</v>
      </c>
      <c r="L572" s="242">
        <f>COUNTIFS('تجربه‌گرها'!$B:$B,$A572,'تجربه‌گرها'!$F:$F,L$1)</f>
        <v>0</v>
      </c>
      <c r="M572" s="242">
        <f>COUNTIFS('تجربه‌گرها'!$B:$B,$A572,'تجربه‌گرها'!$F:$F,M$1)</f>
        <v>0</v>
      </c>
      <c r="N572" s="242">
        <f>COUNTIFS('تجربه‌گرها'!$B:$B,$A572,'تجربه‌گرها'!$F:$F,N$1)</f>
        <v>0</v>
      </c>
      <c r="O572" s="242">
        <f>COUNTIFS('تجربه‌گرها'!$B:$B,$A572,'تجربه‌گرها'!$F:$F,O$1)</f>
        <v>0</v>
      </c>
      <c r="P572" s="242">
        <f>COUNTIFS('تجربه‌گرها'!$B:$B,$A572,'تجربه‌گرها'!$F:$F,P$1)</f>
        <v>0</v>
      </c>
      <c r="Q572" s="242">
        <f>COUNTIFS('تجربه‌گرها'!$B:$B,$A572,'تجربه‌گرها'!$F:$F,Q$1)</f>
        <v>0</v>
      </c>
      <c r="R572" s="242">
        <f>COUNTIFS('تجربه‌گرها'!$B:$B,$A572,'تجربه‌گرها'!$F:$F,R$1)</f>
        <v>0</v>
      </c>
      <c r="S572" s="242">
        <f>COUNTIFS('تجربه‌گرها'!$B:$B,$A572,'تجربه‌گرها'!$F:$F,S$1)</f>
        <v>0</v>
      </c>
      <c r="T572" s="242">
        <f>COUNTIFS('تجربه‌گرها'!$B:$B,$A572,'تجربه‌گرها'!$F:$F,T$1)</f>
        <v>0</v>
      </c>
      <c r="U572" s="242"/>
      <c r="V572" s="242"/>
      <c r="W572" s="242"/>
      <c r="X572" s="242"/>
      <c r="Y572" s="242"/>
      <c r="Z572" s="242"/>
      <c r="AA572" s="242"/>
      <c r="AB572" s="242"/>
    </row>
    <row r="573" hidden="1">
      <c r="A573" s="244" t="s">
        <v>3724</v>
      </c>
      <c r="B573" s="245" t="str">
        <f>VLOOKUP(A573,'تجربه‌گرها'!B:C,2,FALSE())</f>
        <v>9123371250</v>
      </c>
      <c r="C573" s="242"/>
      <c r="D573" s="242">
        <f t="shared" si="1"/>
        <v>1</v>
      </c>
      <c r="E573" s="242">
        <f>COUNTIFS('تجربه‌گرها'!$B:$B,$A573,'تجربه‌گرها'!$F:$F,E$1)</f>
        <v>0</v>
      </c>
      <c r="F573" s="242">
        <f>COUNTIFS('تجربه‌گرها'!$B:$B,$A573,'تجربه‌گرها'!$F:$F,F$1)</f>
        <v>0</v>
      </c>
      <c r="G573" s="242">
        <f>COUNTIFS('تجربه‌گرها'!$B:$B,$A573,'تجربه‌گرها'!$F:$F,G$1)</f>
        <v>0</v>
      </c>
      <c r="H573" s="242">
        <f>COUNTIFS('تجربه‌گرها'!$B:$B,$A573,'تجربه‌گرها'!$F:$F,H$1)</f>
        <v>0</v>
      </c>
      <c r="I573" s="242">
        <f>COUNTIFS('تجربه‌گرها'!$B:$B,$A573,'تجربه‌گرها'!$F:$F,I$1)</f>
        <v>1</v>
      </c>
      <c r="J573" s="242">
        <f>COUNTIFS('تجربه‌گرها'!$B:$B,$A573,'تجربه‌گرها'!$F:$F,J$1)</f>
        <v>0</v>
      </c>
      <c r="K573" s="242">
        <f>COUNTIFS('تجربه‌گرها'!$B:$B,$A573,'تجربه‌گرها'!$F:$F,K$1)</f>
        <v>0</v>
      </c>
      <c r="L573" s="242">
        <f>COUNTIFS('تجربه‌گرها'!$B:$B,$A573,'تجربه‌گرها'!$F:$F,L$1)</f>
        <v>0</v>
      </c>
      <c r="M573" s="242">
        <f>COUNTIFS('تجربه‌گرها'!$B:$B,$A573,'تجربه‌گرها'!$F:$F,M$1)</f>
        <v>0</v>
      </c>
      <c r="N573" s="242">
        <f>COUNTIFS('تجربه‌گرها'!$B:$B,$A573,'تجربه‌گرها'!$F:$F,N$1)</f>
        <v>0</v>
      </c>
      <c r="O573" s="242">
        <f>COUNTIFS('تجربه‌گرها'!$B:$B,$A573,'تجربه‌گرها'!$F:$F,O$1)</f>
        <v>0</v>
      </c>
      <c r="P573" s="242">
        <f>COUNTIFS('تجربه‌گرها'!$B:$B,$A573,'تجربه‌گرها'!$F:$F,P$1)</f>
        <v>0</v>
      </c>
      <c r="Q573" s="242">
        <f>COUNTIFS('تجربه‌گرها'!$B:$B,$A573,'تجربه‌گرها'!$F:$F,Q$1)</f>
        <v>0</v>
      </c>
      <c r="R573" s="242">
        <f>COUNTIFS('تجربه‌گرها'!$B:$B,$A573,'تجربه‌گرها'!$F:$F,R$1)</f>
        <v>0</v>
      </c>
      <c r="S573" s="242">
        <f>COUNTIFS('تجربه‌گرها'!$B:$B,$A573,'تجربه‌گرها'!$F:$F,S$1)</f>
        <v>0</v>
      </c>
      <c r="T573" s="242">
        <f>COUNTIFS('تجربه‌گرها'!$B:$B,$A573,'تجربه‌گرها'!$F:$F,T$1)</f>
        <v>0</v>
      </c>
      <c r="U573" s="242"/>
      <c r="V573" s="242"/>
      <c r="W573" s="242"/>
      <c r="X573" s="242"/>
      <c r="Y573" s="242"/>
      <c r="Z573" s="242"/>
      <c r="AA573" s="242"/>
      <c r="AB573" s="242"/>
    </row>
    <row r="574" hidden="1">
      <c r="A574" s="244" t="s">
        <v>3729</v>
      </c>
      <c r="B574" s="245" t="str">
        <f>VLOOKUP(A574,'تجربه‌گرها'!B:C,2,FALSE())</f>
        <v>9024288237</v>
      </c>
      <c r="C574" s="242"/>
      <c r="D574" s="242">
        <f t="shared" si="1"/>
        <v>1</v>
      </c>
      <c r="E574" s="242">
        <f>COUNTIFS('تجربه‌گرها'!$B:$B,$A574,'تجربه‌گرها'!$F:$F,E$1)</f>
        <v>0</v>
      </c>
      <c r="F574" s="242">
        <f>COUNTIFS('تجربه‌گرها'!$B:$B,$A574,'تجربه‌گرها'!$F:$F,F$1)</f>
        <v>0</v>
      </c>
      <c r="G574" s="242">
        <f>COUNTIFS('تجربه‌گرها'!$B:$B,$A574,'تجربه‌گرها'!$F:$F,G$1)</f>
        <v>0</v>
      </c>
      <c r="H574" s="242">
        <f>COUNTIFS('تجربه‌گرها'!$B:$B,$A574,'تجربه‌گرها'!$F:$F,H$1)</f>
        <v>0</v>
      </c>
      <c r="I574" s="242">
        <f>COUNTIFS('تجربه‌گرها'!$B:$B,$A574,'تجربه‌گرها'!$F:$F,I$1)</f>
        <v>1</v>
      </c>
      <c r="J574" s="242">
        <f>COUNTIFS('تجربه‌گرها'!$B:$B,$A574,'تجربه‌گرها'!$F:$F,J$1)</f>
        <v>0</v>
      </c>
      <c r="K574" s="242">
        <f>COUNTIFS('تجربه‌گرها'!$B:$B,$A574,'تجربه‌گرها'!$F:$F,K$1)</f>
        <v>0</v>
      </c>
      <c r="L574" s="242">
        <f>COUNTIFS('تجربه‌گرها'!$B:$B,$A574,'تجربه‌گرها'!$F:$F,L$1)</f>
        <v>0</v>
      </c>
      <c r="M574" s="242">
        <f>COUNTIFS('تجربه‌گرها'!$B:$B,$A574,'تجربه‌گرها'!$F:$F,M$1)</f>
        <v>0</v>
      </c>
      <c r="N574" s="242">
        <f>COUNTIFS('تجربه‌گرها'!$B:$B,$A574,'تجربه‌گرها'!$F:$F,N$1)</f>
        <v>0</v>
      </c>
      <c r="O574" s="242">
        <f>COUNTIFS('تجربه‌گرها'!$B:$B,$A574,'تجربه‌گرها'!$F:$F,O$1)</f>
        <v>0</v>
      </c>
      <c r="P574" s="242">
        <f>COUNTIFS('تجربه‌گرها'!$B:$B,$A574,'تجربه‌گرها'!$F:$F,P$1)</f>
        <v>0</v>
      </c>
      <c r="Q574" s="242">
        <f>COUNTIFS('تجربه‌گرها'!$B:$B,$A574,'تجربه‌گرها'!$F:$F,Q$1)</f>
        <v>0</v>
      </c>
      <c r="R574" s="242">
        <f>COUNTIFS('تجربه‌گرها'!$B:$B,$A574,'تجربه‌گرها'!$F:$F,R$1)</f>
        <v>0</v>
      </c>
      <c r="S574" s="242">
        <f>COUNTIFS('تجربه‌گرها'!$B:$B,$A574,'تجربه‌گرها'!$F:$F,S$1)</f>
        <v>0</v>
      </c>
      <c r="T574" s="242">
        <f>COUNTIFS('تجربه‌گرها'!$B:$B,$A574,'تجربه‌گرها'!$F:$F,T$1)</f>
        <v>0</v>
      </c>
      <c r="U574" s="242"/>
      <c r="V574" s="242"/>
      <c r="W574" s="242"/>
      <c r="X574" s="242"/>
      <c r="Y574" s="242"/>
      <c r="Z574" s="242"/>
      <c r="AA574" s="242"/>
      <c r="AB574" s="242"/>
    </row>
    <row r="575" hidden="1">
      <c r="A575" s="244" t="s">
        <v>3734</v>
      </c>
      <c r="B575" s="245">
        <f>VLOOKUP(A575,'تجربه‌گرها'!B:C,2,FALSE())</f>
        <v>989122974153</v>
      </c>
      <c r="C575" s="242"/>
      <c r="D575" s="242">
        <f t="shared" si="1"/>
        <v>1</v>
      </c>
      <c r="E575" s="242">
        <f>COUNTIFS('تجربه‌گرها'!$B:$B,$A575,'تجربه‌گرها'!$F:$F,E$1)</f>
        <v>0</v>
      </c>
      <c r="F575" s="242">
        <f>COUNTIFS('تجربه‌گرها'!$B:$B,$A575,'تجربه‌گرها'!$F:$F,F$1)</f>
        <v>0</v>
      </c>
      <c r="G575" s="242">
        <f>COUNTIFS('تجربه‌گرها'!$B:$B,$A575,'تجربه‌گرها'!$F:$F,G$1)</f>
        <v>0</v>
      </c>
      <c r="H575" s="242">
        <f>COUNTIFS('تجربه‌گرها'!$B:$B,$A575,'تجربه‌گرها'!$F:$F,H$1)</f>
        <v>0</v>
      </c>
      <c r="I575" s="242">
        <f>COUNTIFS('تجربه‌گرها'!$B:$B,$A575,'تجربه‌گرها'!$F:$F,I$1)</f>
        <v>1</v>
      </c>
      <c r="J575" s="242">
        <f>COUNTIFS('تجربه‌گرها'!$B:$B,$A575,'تجربه‌گرها'!$F:$F,J$1)</f>
        <v>0</v>
      </c>
      <c r="K575" s="242">
        <f>COUNTIFS('تجربه‌گرها'!$B:$B,$A575,'تجربه‌گرها'!$F:$F,K$1)</f>
        <v>0</v>
      </c>
      <c r="L575" s="242">
        <f>COUNTIFS('تجربه‌گرها'!$B:$B,$A575,'تجربه‌گرها'!$F:$F,L$1)</f>
        <v>0</v>
      </c>
      <c r="M575" s="242">
        <f>COUNTIFS('تجربه‌گرها'!$B:$B,$A575,'تجربه‌گرها'!$F:$F,M$1)</f>
        <v>0</v>
      </c>
      <c r="N575" s="242">
        <f>COUNTIFS('تجربه‌گرها'!$B:$B,$A575,'تجربه‌گرها'!$F:$F,N$1)</f>
        <v>0</v>
      </c>
      <c r="O575" s="242">
        <f>COUNTIFS('تجربه‌گرها'!$B:$B,$A575,'تجربه‌گرها'!$F:$F,O$1)</f>
        <v>0</v>
      </c>
      <c r="P575" s="242">
        <f>COUNTIFS('تجربه‌گرها'!$B:$B,$A575,'تجربه‌گرها'!$F:$F,P$1)</f>
        <v>0</v>
      </c>
      <c r="Q575" s="242">
        <f>COUNTIFS('تجربه‌گرها'!$B:$B,$A575,'تجربه‌گرها'!$F:$F,Q$1)</f>
        <v>0</v>
      </c>
      <c r="R575" s="242">
        <f>COUNTIFS('تجربه‌گرها'!$B:$B,$A575,'تجربه‌گرها'!$F:$F,R$1)</f>
        <v>0</v>
      </c>
      <c r="S575" s="242">
        <f>COUNTIFS('تجربه‌گرها'!$B:$B,$A575,'تجربه‌گرها'!$F:$F,S$1)</f>
        <v>0</v>
      </c>
      <c r="T575" s="242">
        <f>COUNTIFS('تجربه‌گرها'!$B:$B,$A575,'تجربه‌گرها'!$F:$F,T$1)</f>
        <v>0</v>
      </c>
      <c r="U575" s="242"/>
      <c r="V575" s="242"/>
      <c r="W575" s="242"/>
      <c r="X575" s="242"/>
      <c r="Y575" s="242"/>
      <c r="Z575" s="242"/>
      <c r="AA575" s="242"/>
      <c r="AB575" s="242"/>
    </row>
    <row r="576" hidden="1">
      <c r="A576" s="244" t="s">
        <v>3736</v>
      </c>
      <c r="B576" s="245" t="str">
        <f>VLOOKUP(A576,'تجربه‌گرها'!B:C,2,FALSE())</f>
        <v>9162053103</v>
      </c>
      <c r="C576" s="242"/>
      <c r="D576" s="242">
        <f t="shared" si="1"/>
        <v>1</v>
      </c>
      <c r="E576" s="242">
        <f>COUNTIFS('تجربه‌گرها'!$B:$B,$A576,'تجربه‌گرها'!$F:$F,E$1)</f>
        <v>0</v>
      </c>
      <c r="F576" s="242">
        <f>COUNTIFS('تجربه‌گرها'!$B:$B,$A576,'تجربه‌گرها'!$F:$F,F$1)</f>
        <v>0</v>
      </c>
      <c r="G576" s="242">
        <f>COUNTIFS('تجربه‌گرها'!$B:$B,$A576,'تجربه‌گرها'!$F:$F,G$1)</f>
        <v>0</v>
      </c>
      <c r="H576" s="242">
        <f>COUNTIFS('تجربه‌گرها'!$B:$B,$A576,'تجربه‌گرها'!$F:$F,H$1)</f>
        <v>0</v>
      </c>
      <c r="I576" s="242">
        <f>COUNTIFS('تجربه‌گرها'!$B:$B,$A576,'تجربه‌گرها'!$F:$F,I$1)</f>
        <v>1</v>
      </c>
      <c r="J576" s="242">
        <f>COUNTIFS('تجربه‌گرها'!$B:$B,$A576,'تجربه‌گرها'!$F:$F,J$1)</f>
        <v>0</v>
      </c>
      <c r="K576" s="242">
        <f>COUNTIFS('تجربه‌گرها'!$B:$B,$A576,'تجربه‌گرها'!$F:$F,K$1)</f>
        <v>0</v>
      </c>
      <c r="L576" s="242">
        <f>COUNTIFS('تجربه‌گرها'!$B:$B,$A576,'تجربه‌گرها'!$F:$F,L$1)</f>
        <v>0</v>
      </c>
      <c r="M576" s="242">
        <f>COUNTIFS('تجربه‌گرها'!$B:$B,$A576,'تجربه‌گرها'!$F:$F,M$1)</f>
        <v>0</v>
      </c>
      <c r="N576" s="242">
        <f>COUNTIFS('تجربه‌گرها'!$B:$B,$A576,'تجربه‌گرها'!$F:$F,N$1)</f>
        <v>0</v>
      </c>
      <c r="O576" s="242">
        <f>COUNTIFS('تجربه‌گرها'!$B:$B,$A576,'تجربه‌گرها'!$F:$F,O$1)</f>
        <v>0</v>
      </c>
      <c r="P576" s="242">
        <f>COUNTIFS('تجربه‌گرها'!$B:$B,$A576,'تجربه‌گرها'!$F:$F,P$1)</f>
        <v>0</v>
      </c>
      <c r="Q576" s="242">
        <f>COUNTIFS('تجربه‌گرها'!$B:$B,$A576,'تجربه‌گرها'!$F:$F,Q$1)</f>
        <v>0</v>
      </c>
      <c r="R576" s="242">
        <f>COUNTIFS('تجربه‌گرها'!$B:$B,$A576,'تجربه‌گرها'!$F:$F,R$1)</f>
        <v>0</v>
      </c>
      <c r="S576" s="242">
        <f>COUNTIFS('تجربه‌گرها'!$B:$B,$A576,'تجربه‌گرها'!$F:$F,S$1)</f>
        <v>0</v>
      </c>
      <c r="T576" s="242">
        <f>COUNTIFS('تجربه‌گرها'!$B:$B,$A576,'تجربه‌گرها'!$F:$F,T$1)</f>
        <v>0</v>
      </c>
      <c r="U576" s="242"/>
      <c r="V576" s="242"/>
      <c r="W576" s="242"/>
      <c r="X576" s="242"/>
      <c r="Y576" s="242"/>
      <c r="Z576" s="242"/>
      <c r="AA576" s="242"/>
      <c r="AB576" s="242"/>
    </row>
    <row r="577" hidden="1">
      <c r="A577" s="244" t="s">
        <v>3741</v>
      </c>
      <c r="B577" s="245" t="str">
        <f>VLOOKUP(A577,'تجربه‌گرها'!B:C,2,FALSE())</f>
        <v>9122154378</v>
      </c>
      <c r="C577" s="242"/>
      <c r="D577" s="242">
        <f t="shared" si="1"/>
        <v>1</v>
      </c>
      <c r="E577" s="242">
        <f>COUNTIFS('تجربه‌گرها'!$B:$B,$A577,'تجربه‌گرها'!$F:$F,E$1)</f>
        <v>0</v>
      </c>
      <c r="F577" s="242">
        <f>COUNTIFS('تجربه‌گرها'!$B:$B,$A577,'تجربه‌گرها'!$F:$F,F$1)</f>
        <v>0</v>
      </c>
      <c r="G577" s="242">
        <f>COUNTIFS('تجربه‌گرها'!$B:$B,$A577,'تجربه‌گرها'!$F:$F,G$1)</f>
        <v>0</v>
      </c>
      <c r="H577" s="242">
        <f>COUNTIFS('تجربه‌گرها'!$B:$B,$A577,'تجربه‌گرها'!$F:$F,H$1)</f>
        <v>0</v>
      </c>
      <c r="I577" s="242">
        <f>COUNTIFS('تجربه‌گرها'!$B:$B,$A577,'تجربه‌گرها'!$F:$F,I$1)</f>
        <v>1</v>
      </c>
      <c r="J577" s="242">
        <f>COUNTIFS('تجربه‌گرها'!$B:$B,$A577,'تجربه‌گرها'!$F:$F,J$1)</f>
        <v>0</v>
      </c>
      <c r="K577" s="242">
        <f>COUNTIFS('تجربه‌گرها'!$B:$B,$A577,'تجربه‌گرها'!$F:$F,K$1)</f>
        <v>0</v>
      </c>
      <c r="L577" s="242">
        <f>COUNTIFS('تجربه‌گرها'!$B:$B,$A577,'تجربه‌گرها'!$F:$F,L$1)</f>
        <v>0</v>
      </c>
      <c r="M577" s="242">
        <f>COUNTIFS('تجربه‌گرها'!$B:$B,$A577,'تجربه‌گرها'!$F:$F,M$1)</f>
        <v>0</v>
      </c>
      <c r="N577" s="242">
        <f>COUNTIFS('تجربه‌گرها'!$B:$B,$A577,'تجربه‌گرها'!$F:$F,N$1)</f>
        <v>0</v>
      </c>
      <c r="O577" s="242">
        <f>COUNTIFS('تجربه‌گرها'!$B:$B,$A577,'تجربه‌گرها'!$F:$F,O$1)</f>
        <v>0</v>
      </c>
      <c r="P577" s="242">
        <f>COUNTIFS('تجربه‌گرها'!$B:$B,$A577,'تجربه‌گرها'!$F:$F,P$1)</f>
        <v>0</v>
      </c>
      <c r="Q577" s="242">
        <f>COUNTIFS('تجربه‌گرها'!$B:$B,$A577,'تجربه‌گرها'!$F:$F,Q$1)</f>
        <v>0</v>
      </c>
      <c r="R577" s="242">
        <f>COUNTIFS('تجربه‌گرها'!$B:$B,$A577,'تجربه‌گرها'!$F:$F,R$1)</f>
        <v>0</v>
      </c>
      <c r="S577" s="242">
        <f>COUNTIFS('تجربه‌گرها'!$B:$B,$A577,'تجربه‌گرها'!$F:$F,S$1)</f>
        <v>0</v>
      </c>
      <c r="T577" s="242">
        <f>COUNTIFS('تجربه‌گرها'!$B:$B,$A577,'تجربه‌گرها'!$F:$F,T$1)</f>
        <v>0</v>
      </c>
      <c r="U577" s="242"/>
      <c r="V577" s="242"/>
      <c r="W577" s="242"/>
      <c r="X577" s="242"/>
      <c r="Y577" s="242"/>
      <c r="Z577" s="242"/>
      <c r="AA577" s="242"/>
      <c r="AB577" s="242"/>
    </row>
    <row r="578" hidden="1">
      <c r="A578" s="244" t="s">
        <v>3746</v>
      </c>
      <c r="B578" s="245" t="str">
        <f>VLOOKUP(A578,'تجربه‌گرها'!B:C,2,FALSE())</f>
        <v>9335759009</v>
      </c>
      <c r="C578" s="242"/>
      <c r="D578" s="242">
        <f t="shared" si="1"/>
        <v>1</v>
      </c>
      <c r="E578" s="242">
        <f>COUNTIFS('تجربه‌گرها'!$B:$B,$A578,'تجربه‌گرها'!$F:$F,E$1)</f>
        <v>0</v>
      </c>
      <c r="F578" s="242">
        <f>COUNTIFS('تجربه‌گرها'!$B:$B,$A578,'تجربه‌گرها'!$F:$F,F$1)</f>
        <v>0</v>
      </c>
      <c r="G578" s="242">
        <f>COUNTIFS('تجربه‌گرها'!$B:$B,$A578,'تجربه‌گرها'!$F:$F,G$1)</f>
        <v>0</v>
      </c>
      <c r="H578" s="242">
        <f>COUNTIFS('تجربه‌گرها'!$B:$B,$A578,'تجربه‌گرها'!$F:$F,H$1)</f>
        <v>0</v>
      </c>
      <c r="I578" s="242">
        <f>COUNTIFS('تجربه‌گرها'!$B:$B,$A578,'تجربه‌گرها'!$F:$F,I$1)</f>
        <v>1</v>
      </c>
      <c r="J578" s="242">
        <f>COUNTIFS('تجربه‌گرها'!$B:$B,$A578,'تجربه‌گرها'!$F:$F,J$1)</f>
        <v>0</v>
      </c>
      <c r="K578" s="242">
        <f>COUNTIFS('تجربه‌گرها'!$B:$B,$A578,'تجربه‌گرها'!$F:$F,K$1)</f>
        <v>0</v>
      </c>
      <c r="L578" s="242">
        <f>COUNTIFS('تجربه‌گرها'!$B:$B,$A578,'تجربه‌گرها'!$F:$F,L$1)</f>
        <v>0</v>
      </c>
      <c r="M578" s="242">
        <f>COUNTIFS('تجربه‌گرها'!$B:$B,$A578,'تجربه‌گرها'!$F:$F,M$1)</f>
        <v>0</v>
      </c>
      <c r="N578" s="242">
        <f>COUNTIFS('تجربه‌گرها'!$B:$B,$A578,'تجربه‌گرها'!$F:$F,N$1)</f>
        <v>0</v>
      </c>
      <c r="O578" s="242">
        <f>COUNTIFS('تجربه‌گرها'!$B:$B,$A578,'تجربه‌گرها'!$F:$F,O$1)</f>
        <v>0</v>
      </c>
      <c r="P578" s="242">
        <f>COUNTIFS('تجربه‌گرها'!$B:$B,$A578,'تجربه‌گرها'!$F:$F,P$1)</f>
        <v>0</v>
      </c>
      <c r="Q578" s="242">
        <f>COUNTIFS('تجربه‌گرها'!$B:$B,$A578,'تجربه‌گرها'!$F:$F,Q$1)</f>
        <v>0</v>
      </c>
      <c r="R578" s="242">
        <f>COUNTIFS('تجربه‌گرها'!$B:$B,$A578,'تجربه‌گرها'!$F:$F,R$1)</f>
        <v>0</v>
      </c>
      <c r="S578" s="242">
        <f>COUNTIFS('تجربه‌گرها'!$B:$B,$A578,'تجربه‌گرها'!$F:$F,S$1)</f>
        <v>0</v>
      </c>
      <c r="T578" s="242">
        <f>COUNTIFS('تجربه‌گرها'!$B:$B,$A578,'تجربه‌گرها'!$F:$F,T$1)</f>
        <v>0</v>
      </c>
      <c r="U578" s="242"/>
      <c r="V578" s="242"/>
      <c r="W578" s="242"/>
      <c r="X578" s="242"/>
      <c r="Y578" s="242"/>
      <c r="Z578" s="242"/>
      <c r="AA578" s="242"/>
      <c r="AB578" s="242"/>
    </row>
    <row r="579" hidden="1">
      <c r="A579" s="244" t="s">
        <v>3751</v>
      </c>
      <c r="B579" s="245" t="str">
        <f>VLOOKUP(A579,'تجربه‌گرها'!B:C,2,FALSE())</f>
        <v>9128161007</v>
      </c>
      <c r="C579" s="242"/>
      <c r="D579" s="242">
        <f t="shared" si="1"/>
        <v>1</v>
      </c>
      <c r="E579" s="242">
        <f>COUNTIFS('تجربه‌گرها'!$B:$B,$A579,'تجربه‌گرها'!$F:$F,E$1)</f>
        <v>0</v>
      </c>
      <c r="F579" s="242">
        <f>COUNTIFS('تجربه‌گرها'!$B:$B,$A579,'تجربه‌گرها'!$F:$F,F$1)</f>
        <v>0</v>
      </c>
      <c r="G579" s="242">
        <f>COUNTIFS('تجربه‌گرها'!$B:$B,$A579,'تجربه‌گرها'!$F:$F,G$1)</f>
        <v>0</v>
      </c>
      <c r="H579" s="242">
        <f>COUNTIFS('تجربه‌گرها'!$B:$B,$A579,'تجربه‌گرها'!$F:$F,H$1)</f>
        <v>0</v>
      </c>
      <c r="I579" s="242">
        <f>COUNTIFS('تجربه‌گرها'!$B:$B,$A579,'تجربه‌گرها'!$F:$F,I$1)</f>
        <v>1</v>
      </c>
      <c r="J579" s="242">
        <f>COUNTIFS('تجربه‌گرها'!$B:$B,$A579,'تجربه‌گرها'!$F:$F,J$1)</f>
        <v>0</v>
      </c>
      <c r="K579" s="242">
        <f>COUNTIFS('تجربه‌گرها'!$B:$B,$A579,'تجربه‌گرها'!$F:$F,K$1)</f>
        <v>0</v>
      </c>
      <c r="L579" s="242">
        <f>COUNTIFS('تجربه‌گرها'!$B:$B,$A579,'تجربه‌گرها'!$F:$F,L$1)</f>
        <v>0</v>
      </c>
      <c r="M579" s="242">
        <f>COUNTIFS('تجربه‌گرها'!$B:$B,$A579,'تجربه‌گرها'!$F:$F,M$1)</f>
        <v>0</v>
      </c>
      <c r="N579" s="242">
        <f>COUNTIFS('تجربه‌گرها'!$B:$B,$A579,'تجربه‌گرها'!$F:$F,N$1)</f>
        <v>0</v>
      </c>
      <c r="O579" s="242">
        <f>COUNTIFS('تجربه‌گرها'!$B:$B,$A579,'تجربه‌گرها'!$F:$F,O$1)</f>
        <v>0</v>
      </c>
      <c r="P579" s="242">
        <f>COUNTIFS('تجربه‌گرها'!$B:$B,$A579,'تجربه‌گرها'!$F:$F,P$1)</f>
        <v>0</v>
      </c>
      <c r="Q579" s="242">
        <f>COUNTIFS('تجربه‌گرها'!$B:$B,$A579,'تجربه‌گرها'!$F:$F,Q$1)</f>
        <v>0</v>
      </c>
      <c r="R579" s="242">
        <f>COUNTIFS('تجربه‌گرها'!$B:$B,$A579,'تجربه‌گرها'!$F:$F,R$1)</f>
        <v>0</v>
      </c>
      <c r="S579" s="242">
        <f>COUNTIFS('تجربه‌گرها'!$B:$B,$A579,'تجربه‌گرها'!$F:$F,S$1)</f>
        <v>0</v>
      </c>
      <c r="T579" s="242">
        <f>COUNTIFS('تجربه‌گرها'!$B:$B,$A579,'تجربه‌گرها'!$F:$F,T$1)</f>
        <v>0</v>
      </c>
      <c r="U579" s="242"/>
      <c r="V579" s="242"/>
      <c r="W579" s="242"/>
      <c r="X579" s="242"/>
      <c r="Y579" s="242"/>
      <c r="Z579" s="242"/>
      <c r="AA579" s="242"/>
      <c r="AB579" s="242"/>
    </row>
    <row r="580" hidden="1">
      <c r="A580" s="244" t="s">
        <v>3757</v>
      </c>
      <c r="B580" s="245" t="str">
        <f>VLOOKUP(A580,'تجربه‌گرها'!B:C,2,FALSE())</f>
        <v>9123938892</v>
      </c>
      <c r="C580" s="242"/>
      <c r="D580" s="242">
        <f t="shared" si="1"/>
        <v>1</v>
      </c>
      <c r="E580" s="242">
        <f>COUNTIFS('تجربه‌گرها'!$B:$B,$A580,'تجربه‌گرها'!$F:$F,E$1)</f>
        <v>0</v>
      </c>
      <c r="F580" s="242">
        <f>COUNTIFS('تجربه‌گرها'!$B:$B,$A580,'تجربه‌گرها'!$F:$F,F$1)</f>
        <v>0</v>
      </c>
      <c r="G580" s="242">
        <f>COUNTIFS('تجربه‌گرها'!$B:$B,$A580,'تجربه‌گرها'!$F:$F,G$1)</f>
        <v>0</v>
      </c>
      <c r="H580" s="242">
        <f>COUNTIFS('تجربه‌گرها'!$B:$B,$A580,'تجربه‌گرها'!$F:$F,H$1)</f>
        <v>0</v>
      </c>
      <c r="I580" s="242">
        <f>COUNTIFS('تجربه‌گرها'!$B:$B,$A580,'تجربه‌گرها'!$F:$F,I$1)</f>
        <v>1</v>
      </c>
      <c r="J580" s="242">
        <f>COUNTIFS('تجربه‌گرها'!$B:$B,$A580,'تجربه‌گرها'!$F:$F,J$1)</f>
        <v>0</v>
      </c>
      <c r="K580" s="242">
        <f>COUNTIFS('تجربه‌گرها'!$B:$B,$A580,'تجربه‌گرها'!$F:$F,K$1)</f>
        <v>0</v>
      </c>
      <c r="L580" s="242">
        <f>COUNTIFS('تجربه‌گرها'!$B:$B,$A580,'تجربه‌گرها'!$F:$F,L$1)</f>
        <v>0</v>
      </c>
      <c r="M580" s="242">
        <f>COUNTIFS('تجربه‌گرها'!$B:$B,$A580,'تجربه‌گرها'!$F:$F,M$1)</f>
        <v>0</v>
      </c>
      <c r="N580" s="242">
        <f>COUNTIFS('تجربه‌گرها'!$B:$B,$A580,'تجربه‌گرها'!$F:$F,N$1)</f>
        <v>0</v>
      </c>
      <c r="O580" s="242">
        <f>COUNTIFS('تجربه‌گرها'!$B:$B,$A580,'تجربه‌گرها'!$F:$F,O$1)</f>
        <v>0</v>
      </c>
      <c r="P580" s="242">
        <f>COUNTIFS('تجربه‌گرها'!$B:$B,$A580,'تجربه‌گرها'!$F:$F,P$1)</f>
        <v>0</v>
      </c>
      <c r="Q580" s="242">
        <f>COUNTIFS('تجربه‌گرها'!$B:$B,$A580,'تجربه‌گرها'!$F:$F,Q$1)</f>
        <v>0</v>
      </c>
      <c r="R580" s="242">
        <f>COUNTIFS('تجربه‌گرها'!$B:$B,$A580,'تجربه‌گرها'!$F:$F,R$1)</f>
        <v>0</v>
      </c>
      <c r="S580" s="242">
        <f>COUNTIFS('تجربه‌گرها'!$B:$B,$A580,'تجربه‌گرها'!$F:$F,S$1)</f>
        <v>0</v>
      </c>
      <c r="T580" s="242">
        <f>COUNTIFS('تجربه‌گرها'!$B:$B,$A580,'تجربه‌گرها'!$F:$F,T$1)</f>
        <v>0</v>
      </c>
      <c r="U580" s="242"/>
      <c r="V580" s="242"/>
      <c r="W580" s="242"/>
      <c r="X580" s="242"/>
      <c r="Y580" s="242"/>
      <c r="Z580" s="242"/>
      <c r="AA580" s="242"/>
      <c r="AB580" s="242"/>
    </row>
    <row r="581" hidden="1">
      <c r="A581" s="244" t="s">
        <v>3766</v>
      </c>
      <c r="B581" s="245" t="str">
        <f>VLOOKUP(A581,'تجربه‌گرها'!B:C,2,FALSE())</f>
        <v>9123182643</v>
      </c>
      <c r="C581" s="242"/>
      <c r="D581" s="242">
        <f t="shared" si="1"/>
        <v>1</v>
      </c>
      <c r="E581" s="242">
        <f>COUNTIFS('تجربه‌گرها'!$B:$B,$A581,'تجربه‌گرها'!$F:$F,E$1)</f>
        <v>0</v>
      </c>
      <c r="F581" s="242">
        <f>COUNTIFS('تجربه‌گرها'!$B:$B,$A581,'تجربه‌گرها'!$F:$F,F$1)</f>
        <v>0</v>
      </c>
      <c r="G581" s="242">
        <f>COUNTIFS('تجربه‌گرها'!$B:$B,$A581,'تجربه‌گرها'!$F:$F,G$1)</f>
        <v>0</v>
      </c>
      <c r="H581" s="242">
        <f>COUNTIFS('تجربه‌گرها'!$B:$B,$A581,'تجربه‌گرها'!$F:$F,H$1)</f>
        <v>0</v>
      </c>
      <c r="I581" s="242">
        <f>COUNTIFS('تجربه‌گرها'!$B:$B,$A581,'تجربه‌گرها'!$F:$F,I$1)</f>
        <v>1</v>
      </c>
      <c r="J581" s="242">
        <f>COUNTIFS('تجربه‌گرها'!$B:$B,$A581,'تجربه‌گرها'!$F:$F,J$1)</f>
        <v>0</v>
      </c>
      <c r="K581" s="242">
        <f>COUNTIFS('تجربه‌گرها'!$B:$B,$A581,'تجربه‌گرها'!$F:$F,K$1)</f>
        <v>0</v>
      </c>
      <c r="L581" s="242">
        <f>COUNTIFS('تجربه‌گرها'!$B:$B,$A581,'تجربه‌گرها'!$F:$F,L$1)</f>
        <v>0</v>
      </c>
      <c r="M581" s="242">
        <f>COUNTIFS('تجربه‌گرها'!$B:$B,$A581,'تجربه‌گرها'!$F:$F,M$1)</f>
        <v>0</v>
      </c>
      <c r="N581" s="242">
        <f>COUNTIFS('تجربه‌گرها'!$B:$B,$A581,'تجربه‌گرها'!$F:$F,N$1)</f>
        <v>0</v>
      </c>
      <c r="O581" s="242">
        <f>COUNTIFS('تجربه‌گرها'!$B:$B,$A581,'تجربه‌گرها'!$F:$F,O$1)</f>
        <v>0</v>
      </c>
      <c r="P581" s="242">
        <f>COUNTIFS('تجربه‌گرها'!$B:$B,$A581,'تجربه‌گرها'!$F:$F,P$1)</f>
        <v>0</v>
      </c>
      <c r="Q581" s="242">
        <f>COUNTIFS('تجربه‌گرها'!$B:$B,$A581,'تجربه‌گرها'!$F:$F,Q$1)</f>
        <v>0</v>
      </c>
      <c r="R581" s="242">
        <f>COUNTIFS('تجربه‌گرها'!$B:$B,$A581,'تجربه‌گرها'!$F:$F,R$1)</f>
        <v>0</v>
      </c>
      <c r="S581" s="242">
        <f>COUNTIFS('تجربه‌گرها'!$B:$B,$A581,'تجربه‌گرها'!$F:$F,S$1)</f>
        <v>0</v>
      </c>
      <c r="T581" s="242">
        <f>COUNTIFS('تجربه‌گرها'!$B:$B,$A581,'تجربه‌گرها'!$F:$F,T$1)</f>
        <v>0</v>
      </c>
      <c r="U581" s="242"/>
      <c r="V581" s="242"/>
      <c r="W581" s="242"/>
      <c r="X581" s="242"/>
      <c r="Y581" s="242"/>
      <c r="Z581" s="242"/>
      <c r="AA581" s="242"/>
      <c r="AB581" s="242"/>
    </row>
    <row r="582" hidden="1">
      <c r="A582" s="244" t="s">
        <v>3770</v>
      </c>
      <c r="B582" s="245" t="str">
        <f>VLOOKUP(A582,'تجربه‌گرها'!B:C,2,FALSE())</f>
        <v>9354664186</v>
      </c>
      <c r="C582" s="242"/>
      <c r="D582" s="242">
        <f t="shared" si="1"/>
        <v>1</v>
      </c>
      <c r="E582" s="242">
        <f>COUNTIFS('تجربه‌گرها'!$B:$B,$A582,'تجربه‌گرها'!$F:$F,E$1)</f>
        <v>0</v>
      </c>
      <c r="F582" s="242">
        <f>COUNTIFS('تجربه‌گرها'!$B:$B,$A582,'تجربه‌گرها'!$F:$F,F$1)</f>
        <v>0</v>
      </c>
      <c r="G582" s="242">
        <f>COUNTIFS('تجربه‌گرها'!$B:$B,$A582,'تجربه‌گرها'!$F:$F,G$1)</f>
        <v>0</v>
      </c>
      <c r="H582" s="242">
        <f>COUNTIFS('تجربه‌گرها'!$B:$B,$A582,'تجربه‌گرها'!$F:$F,H$1)</f>
        <v>0</v>
      </c>
      <c r="I582" s="242">
        <f>COUNTIFS('تجربه‌گرها'!$B:$B,$A582,'تجربه‌گرها'!$F:$F,I$1)</f>
        <v>1</v>
      </c>
      <c r="J582" s="242">
        <f>COUNTIFS('تجربه‌گرها'!$B:$B,$A582,'تجربه‌گرها'!$F:$F,J$1)</f>
        <v>0</v>
      </c>
      <c r="K582" s="242">
        <f>COUNTIFS('تجربه‌گرها'!$B:$B,$A582,'تجربه‌گرها'!$F:$F,K$1)</f>
        <v>0</v>
      </c>
      <c r="L582" s="242">
        <f>COUNTIFS('تجربه‌گرها'!$B:$B,$A582,'تجربه‌گرها'!$F:$F,L$1)</f>
        <v>0</v>
      </c>
      <c r="M582" s="242">
        <f>COUNTIFS('تجربه‌گرها'!$B:$B,$A582,'تجربه‌گرها'!$F:$F,M$1)</f>
        <v>0</v>
      </c>
      <c r="N582" s="242">
        <f>COUNTIFS('تجربه‌گرها'!$B:$B,$A582,'تجربه‌گرها'!$F:$F,N$1)</f>
        <v>0</v>
      </c>
      <c r="O582" s="242">
        <f>COUNTIFS('تجربه‌گرها'!$B:$B,$A582,'تجربه‌گرها'!$F:$F,O$1)</f>
        <v>0</v>
      </c>
      <c r="P582" s="242">
        <f>COUNTIFS('تجربه‌گرها'!$B:$B,$A582,'تجربه‌گرها'!$F:$F,P$1)</f>
        <v>0</v>
      </c>
      <c r="Q582" s="242">
        <f>COUNTIFS('تجربه‌گرها'!$B:$B,$A582,'تجربه‌گرها'!$F:$F,Q$1)</f>
        <v>0</v>
      </c>
      <c r="R582" s="242">
        <f>COUNTIFS('تجربه‌گرها'!$B:$B,$A582,'تجربه‌گرها'!$F:$F,R$1)</f>
        <v>0</v>
      </c>
      <c r="S582" s="242">
        <f>COUNTIFS('تجربه‌گرها'!$B:$B,$A582,'تجربه‌گرها'!$F:$F,S$1)</f>
        <v>0</v>
      </c>
      <c r="T582" s="242">
        <f>COUNTIFS('تجربه‌گرها'!$B:$B,$A582,'تجربه‌گرها'!$F:$F,T$1)</f>
        <v>0</v>
      </c>
      <c r="U582" s="242"/>
      <c r="V582" s="242"/>
      <c r="W582" s="242"/>
      <c r="X582" s="242"/>
      <c r="Y582" s="242"/>
      <c r="Z582" s="242"/>
      <c r="AA582" s="242"/>
      <c r="AB582" s="242"/>
    </row>
    <row r="583" hidden="1">
      <c r="A583" s="244" t="s">
        <v>3776</v>
      </c>
      <c r="B583" s="245" t="str">
        <f>VLOOKUP(A583,'تجربه‌گرها'!B:C,2,FALSE())</f>
        <v>9128627279</v>
      </c>
      <c r="C583" s="242"/>
      <c r="D583" s="242">
        <f t="shared" si="1"/>
        <v>1</v>
      </c>
      <c r="E583" s="242">
        <f>COUNTIFS('تجربه‌گرها'!$B:$B,$A583,'تجربه‌گرها'!$F:$F,E$1)</f>
        <v>0</v>
      </c>
      <c r="F583" s="242">
        <f>COUNTIFS('تجربه‌گرها'!$B:$B,$A583,'تجربه‌گرها'!$F:$F,F$1)</f>
        <v>0</v>
      </c>
      <c r="G583" s="242">
        <f>COUNTIFS('تجربه‌گرها'!$B:$B,$A583,'تجربه‌گرها'!$F:$F,G$1)</f>
        <v>0</v>
      </c>
      <c r="H583" s="242">
        <f>COUNTIFS('تجربه‌گرها'!$B:$B,$A583,'تجربه‌گرها'!$F:$F,H$1)</f>
        <v>0</v>
      </c>
      <c r="I583" s="242">
        <f>COUNTIFS('تجربه‌گرها'!$B:$B,$A583,'تجربه‌گرها'!$F:$F,I$1)</f>
        <v>1</v>
      </c>
      <c r="J583" s="242">
        <f>COUNTIFS('تجربه‌گرها'!$B:$B,$A583,'تجربه‌گرها'!$F:$F,J$1)</f>
        <v>0</v>
      </c>
      <c r="K583" s="242">
        <f>COUNTIFS('تجربه‌گرها'!$B:$B,$A583,'تجربه‌گرها'!$F:$F,K$1)</f>
        <v>0</v>
      </c>
      <c r="L583" s="242">
        <f>COUNTIFS('تجربه‌گرها'!$B:$B,$A583,'تجربه‌گرها'!$F:$F,L$1)</f>
        <v>0</v>
      </c>
      <c r="M583" s="242">
        <f>COUNTIFS('تجربه‌گرها'!$B:$B,$A583,'تجربه‌گرها'!$F:$F,M$1)</f>
        <v>0</v>
      </c>
      <c r="N583" s="242">
        <f>COUNTIFS('تجربه‌گرها'!$B:$B,$A583,'تجربه‌گرها'!$F:$F,N$1)</f>
        <v>0</v>
      </c>
      <c r="O583" s="242">
        <f>COUNTIFS('تجربه‌گرها'!$B:$B,$A583,'تجربه‌گرها'!$F:$F,O$1)</f>
        <v>0</v>
      </c>
      <c r="P583" s="242">
        <f>COUNTIFS('تجربه‌گرها'!$B:$B,$A583,'تجربه‌گرها'!$F:$F,P$1)</f>
        <v>0</v>
      </c>
      <c r="Q583" s="242">
        <f>COUNTIFS('تجربه‌گرها'!$B:$B,$A583,'تجربه‌گرها'!$F:$F,Q$1)</f>
        <v>0</v>
      </c>
      <c r="R583" s="242">
        <f>COUNTIFS('تجربه‌گرها'!$B:$B,$A583,'تجربه‌گرها'!$F:$F,R$1)</f>
        <v>0</v>
      </c>
      <c r="S583" s="242">
        <f>COUNTIFS('تجربه‌گرها'!$B:$B,$A583,'تجربه‌گرها'!$F:$F,S$1)</f>
        <v>0</v>
      </c>
      <c r="T583" s="242">
        <f>COUNTIFS('تجربه‌گرها'!$B:$B,$A583,'تجربه‌گرها'!$F:$F,T$1)</f>
        <v>0</v>
      </c>
      <c r="U583" s="242"/>
      <c r="V583" s="242"/>
      <c r="W583" s="242"/>
      <c r="X583" s="242"/>
      <c r="Y583" s="242"/>
      <c r="Z583" s="242"/>
      <c r="AA583" s="242"/>
      <c r="AB583" s="242"/>
    </row>
    <row r="584" hidden="1">
      <c r="A584" s="244" t="s">
        <v>3780</v>
      </c>
      <c r="B584" s="245" t="str">
        <f>VLOOKUP(A584,'تجربه‌گرها'!B:C,2,FALSE())</f>
        <v>9171116662</v>
      </c>
      <c r="C584" s="242"/>
      <c r="D584" s="242">
        <f t="shared" si="1"/>
        <v>1</v>
      </c>
      <c r="E584" s="242">
        <f>COUNTIFS('تجربه‌گرها'!$B:$B,$A584,'تجربه‌گرها'!$F:$F,E$1)</f>
        <v>0</v>
      </c>
      <c r="F584" s="242">
        <f>COUNTIFS('تجربه‌گرها'!$B:$B,$A584,'تجربه‌گرها'!$F:$F,F$1)</f>
        <v>0</v>
      </c>
      <c r="G584" s="242">
        <f>COUNTIFS('تجربه‌گرها'!$B:$B,$A584,'تجربه‌گرها'!$F:$F,G$1)</f>
        <v>0</v>
      </c>
      <c r="H584" s="242">
        <f>COUNTIFS('تجربه‌گرها'!$B:$B,$A584,'تجربه‌گرها'!$F:$F,H$1)</f>
        <v>0</v>
      </c>
      <c r="I584" s="242">
        <f>COUNTIFS('تجربه‌گرها'!$B:$B,$A584,'تجربه‌گرها'!$F:$F,I$1)</f>
        <v>1</v>
      </c>
      <c r="J584" s="242">
        <f>COUNTIFS('تجربه‌گرها'!$B:$B,$A584,'تجربه‌گرها'!$F:$F,J$1)</f>
        <v>0</v>
      </c>
      <c r="K584" s="242">
        <f>COUNTIFS('تجربه‌گرها'!$B:$B,$A584,'تجربه‌گرها'!$F:$F,K$1)</f>
        <v>0</v>
      </c>
      <c r="L584" s="242">
        <f>COUNTIFS('تجربه‌گرها'!$B:$B,$A584,'تجربه‌گرها'!$F:$F,L$1)</f>
        <v>0</v>
      </c>
      <c r="M584" s="242">
        <f>COUNTIFS('تجربه‌گرها'!$B:$B,$A584,'تجربه‌گرها'!$F:$F,M$1)</f>
        <v>0</v>
      </c>
      <c r="N584" s="242">
        <f>COUNTIFS('تجربه‌گرها'!$B:$B,$A584,'تجربه‌گرها'!$F:$F,N$1)</f>
        <v>0</v>
      </c>
      <c r="O584" s="242">
        <f>COUNTIFS('تجربه‌گرها'!$B:$B,$A584,'تجربه‌گرها'!$F:$F,O$1)</f>
        <v>0</v>
      </c>
      <c r="P584" s="242">
        <f>COUNTIFS('تجربه‌گرها'!$B:$B,$A584,'تجربه‌گرها'!$F:$F,P$1)</f>
        <v>0</v>
      </c>
      <c r="Q584" s="242">
        <f>COUNTIFS('تجربه‌گرها'!$B:$B,$A584,'تجربه‌گرها'!$F:$F,Q$1)</f>
        <v>0</v>
      </c>
      <c r="R584" s="242">
        <f>COUNTIFS('تجربه‌گرها'!$B:$B,$A584,'تجربه‌گرها'!$F:$F,R$1)</f>
        <v>0</v>
      </c>
      <c r="S584" s="242">
        <f>COUNTIFS('تجربه‌گرها'!$B:$B,$A584,'تجربه‌گرها'!$F:$F,S$1)</f>
        <v>0</v>
      </c>
      <c r="T584" s="242">
        <f>COUNTIFS('تجربه‌گرها'!$B:$B,$A584,'تجربه‌گرها'!$F:$F,T$1)</f>
        <v>0</v>
      </c>
      <c r="U584" s="242"/>
      <c r="V584" s="242"/>
      <c r="W584" s="242"/>
      <c r="X584" s="242"/>
      <c r="Y584" s="242"/>
      <c r="Z584" s="242"/>
      <c r="AA584" s="242"/>
      <c r="AB584" s="242"/>
    </row>
    <row r="585" hidden="1">
      <c r="A585" s="244" t="s">
        <v>3785</v>
      </c>
      <c r="B585" s="245" t="str">
        <f>VLOOKUP(A585,'تجربه‌گرها'!B:C,2,FALSE())</f>
        <v>9217199196</v>
      </c>
      <c r="C585" s="242"/>
      <c r="D585" s="242">
        <f t="shared" si="1"/>
        <v>1</v>
      </c>
      <c r="E585" s="242">
        <f>COUNTIFS('تجربه‌گرها'!$B:$B,$A585,'تجربه‌گرها'!$F:$F,E$1)</f>
        <v>0</v>
      </c>
      <c r="F585" s="242">
        <f>COUNTIFS('تجربه‌گرها'!$B:$B,$A585,'تجربه‌گرها'!$F:$F,F$1)</f>
        <v>0</v>
      </c>
      <c r="G585" s="242">
        <f>COUNTIFS('تجربه‌گرها'!$B:$B,$A585,'تجربه‌گرها'!$F:$F,G$1)</f>
        <v>0</v>
      </c>
      <c r="H585" s="242">
        <f>COUNTIFS('تجربه‌گرها'!$B:$B,$A585,'تجربه‌گرها'!$F:$F,H$1)</f>
        <v>0</v>
      </c>
      <c r="I585" s="242">
        <f>COUNTIFS('تجربه‌گرها'!$B:$B,$A585,'تجربه‌گرها'!$F:$F,I$1)</f>
        <v>1</v>
      </c>
      <c r="J585" s="242">
        <f>COUNTIFS('تجربه‌گرها'!$B:$B,$A585,'تجربه‌گرها'!$F:$F,J$1)</f>
        <v>0</v>
      </c>
      <c r="K585" s="242">
        <f>COUNTIFS('تجربه‌گرها'!$B:$B,$A585,'تجربه‌گرها'!$F:$F,K$1)</f>
        <v>0</v>
      </c>
      <c r="L585" s="242">
        <f>COUNTIFS('تجربه‌گرها'!$B:$B,$A585,'تجربه‌گرها'!$F:$F,L$1)</f>
        <v>0</v>
      </c>
      <c r="M585" s="242">
        <f>COUNTIFS('تجربه‌گرها'!$B:$B,$A585,'تجربه‌گرها'!$F:$F,M$1)</f>
        <v>0</v>
      </c>
      <c r="N585" s="242">
        <f>COUNTIFS('تجربه‌گرها'!$B:$B,$A585,'تجربه‌گرها'!$F:$F,N$1)</f>
        <v>0</v>
      </c>
      <c r="O585" s="242">
        <f>COUNTIFS('تجربه‌گرها'!$B:$B,$A585,'تجربه‌گرها'!$F:$F,O$1)</f>
        <v>0</v>
      </c>
      <c r="P585" s="242">
        <f>COUNTIFS('تجربه‌گرها'!$B:$B,$A585,'تجربه‌گرها'!$F:$F,P$1)</f>
        <v>0</v>
      </c>
      <c r="Q585" s="242">
        <f>COUNTIFS('تجربه‌گرها'!$B:$B,$A585,'تجربه‌گرها'!$F:$F,Q$1)</f>
        <v>0</v>
      </c>
      <c r="R585" s="242">
        <f>COUNTIFS('تجربه‌گرها'!$B:$B,$A585,'تجربه‌گرها'!$F:$F,R$1)</f>
        <v>0</v>
      </c>
      <c r="S585" s="242">
        <f>COUNTIFS('تجربه‌گرها'!$B:$B,$A585,'تجربه‌گرها'!$F:$F,S$1)</f>
        <v>0</v>
      </c>
      <c r="T585" s="242">
        <f>COUNTIFS('تجربه‌گرها'!$B:$B,$A585,'تجربه‌گرها'!$F:$F,T$1)</f>
        <v>0</v>
      </c>
      <c r="U585" s="242"/>
      <c r="V585" s="242"/>
      <c r="W585" s="242"/>
      <c r="X585" s="242"/>
      <c r="Y585" s="242"/>
      <c r="Z585" s="242"/>
      <c r="AA585" s="242"/>
      <c r="AB585" s="242"/>
    </row>
    <row r="586" hidden="1">
      <c r="A586" s="244" t="s">
        <v>3792</v>
      </c>
      <c r="B586" s="245" t="str">
        <f>VLOOKUP(A586,'تجربه‌گرها'!B:C,2,FALSE())</f>
        <v>9120697966</v>
      </c>
      <c r="C586" s="242"/>
      <c r="D586" s="242">
        <f t="shared" si="1"/>
        <v>1</v>
      </c>
      <c r="E586" s="242">
        <f>COUNTIFS('تجربه‌گرها'!$B:$B,$A586,'تجربه‌گرها'!$F:$F,E$1)</f>
        <v>0</v>
      </c>
      <c r="F586" s="242">
        <f>COUNTIFS('تجربه‌گرها'!$B:$B,$A586,'تجربه‌گرها'!$F:$F,F$1)</f>
        <v>0</v>
      </c>
      <c r="G586" s="242">
        <f>COUNTIFS('تجربه‌گرها'!$B:$B,$A586,'تجربه‌گرها'!$F:$F,G$1)</f>
        <v>0</v>
      </c>
      <c r="H586" s="242">
        <f>COUNTIFS('تجربه‌گرها'!$B:$B,$A586,'تجربه‌گرها'!$F:$F,H$1)</f>
        <v>0</v>
      </c>
      <c r="I586" s="242">
        <f>COUNTIFS('تجربه‌گرها'!$B:$B,$A586,'تجربه‌گرها'!$F:$F,I$1)</f>
        <v>1</v>
      </c>
      <c r="J586" s="242">
        <f>COUNTIFS('تجربه‌گرها'!$B:$B,$A586,'تجربه‌گرها'!$F:$F,J$1)</f>
        <v>0</v>
      </c>
      <c r="K586" s="242">
        <f>COUNTIFS('تجربه‌گرها'!$B:$B,$A586,'تجربه‌گرها'!$F:$F,K$1)</f>
        <v>0</v>
      </c>
      <c r="L586" s="242">
        <f>COUNTIFS('تجربه‌گرها'!$B:$B,$A586,'تجربه‌گرها'!$F:$F,L$1)</f>
        <v>0</v>
      </c>
      <c r="M586" s="242">
        <f>COUNTIFS('تجربه‌گرها'!$B:$B,$A586,'تجربه‌گرها'!$F:$F,M$1)</f>
        <v>0</v>
      </c>
      <c r="N586" s="242">
        <f>COUNTIFS('تجربه‌گرها'!$B:$B,$A586,'تجربه‌گرها'!$F:$F,N$1)</f>
        <v>0</v>
      </c>
      <c r="O586" s="242">
        <f>COUNTIFS('تجربه‌گرها'!$B:$B,$A586,'تجربه‌گرها'!$F:$F,O$1)</f>
        <v>0</v>
      </c>
      <c r="P586" s="242">
        <f>COUNTIFS('تجربه‌گرها'!$B:$B,$A586,'تجربه‌گرها'!$F:$F,P$1)</f>
        <v>0</v>
      </c>
      <c r="Q586" s="242">
        <f>COUNTIFS('تجربه‌گرها'!$B:$B,$A586,'تجربه‌گرها'!$F:$F,Q$1)</f>
        <v>0</v>
      </c>
      <c r="R586" s="242">
        <f>COUNTIFS('تجربه‌گرها'!$B:$B,$A586,'تجربه‌گرها'!$F:$F,R$1)</f>
        <v>0</v>
      </c>
      <c r="S586" s="242">
        <f>COUNTIFS('تجربه‌گرها'!$B:$B,$A586,'تجربه‌گرها'!$F:$F,S$1)</f>
        <v>0</v>
      </c>
      <c r="T586" s="242">
        <f>COUNTIFS('تجربه‌گرها'!$B:$B,$A586,'تجربه‌گرها'!$F:$F,T$1)</f>
        <v>0</v>
      </c>
      <c r="U586" s="242"/>
      <c r="V586" s="242"/>
      <c r="W586" s="242"/>
      <c r="X586" s="242"/>
      <c r="Y586" s="242"/>
      <c r="Z586" s="242"/>
      <c r="AA586" s="242"/>
      <c r="AB586" s="242"/>
    </row>
    <row r="587" hidden="1">
      <c r="A587" s="244" t="s">
        <v>3797</v>
      </c>
      <c r="B587" s="245" t="str">
        <f>VLOOKUP(A587,'تجربه‌گرها'!B:C,2,FALSE())</f>
        <v>9120955264</v>
      </c>
      <c r="C587" s="242"/>
      <c r="D587" s="242">
        <f t="shared" si="1"/>
        <v>1</v>
      </c>
      <c r="E587" s="242">
        <f>COUNTIFS('تجربه‌گرها'!$B:$B,$A587,'تجربه‌گرها'!$F:$F,E$1)</f>
        <v>0</v>
      </c>
      <c r="F587" s="242">
        <f>COUNTIFS('تجربه‌گرها'!$B:$B,$A587,'تجربه‌گرها'!$F:$F,F$1)</f>
        <v>0</v>
      </c>
      <c r="G587" s="242">
        <f>COUNTIFS('تجربه‌گرها'!$B:$B,$A587,'تجربه‌گرها'!$F:$F,G$1)</f>
        <v>0</v>
      </c>
      <c r="H587" s="242">
        <f>COUNTIFS('تجربه‌گرها'!$B:$B,$A587,'تجربه‌گرها'!$F:$F,H$1)</f>
        <v>0</v>
      </c>
      <c r="I587" s="242">
        <f>COUNTIFS('تجربه‌گرها'!$B:$B,$A587,'تجربه‌گرها'!$F:$F,I$1)</f>
        <v>1</v>
      </c>
      <c r="J587" s="242">
        <f>COUNTIFS('تجربه‌گرها'!$B:$B,$A587,'تجربه‌گرها'!$F:$F,J$1)</f>
        <v>0</v>
      </c>
      <c r="K587" s="242">
        <f>COUNTIFS('تجربه‌گرها'!$B:$B,$A587,'تجربه‌گرها'!$F:$F,K$1)</f>
        <v>0</v>
      </c>
      <c r="L587" s="242">
        <f>COUNTIFS('تجربه‌گرها'!$B:$B,$A587,'تجربه‌گرها'!$F:$F,L$1)</f>
        <v>0</v>
      </c>
      <c r="M587" s="242">
        <f>COUNTIFS('تجربه‌گرها'!$B:$B,$A587,'تجربه‌گرها'!$F:$F,M$1)</f>
        <v>0</v>
      </c>
      <c r="N587" s="242">
        <f>COUNTIFS('تجربه‌گرها'!$B:$B,$A587,'تجربه‌گرها'!$F:$F,N$1)</f>
        <v>0</v>
      </c>
      <c r="O587" s="242">
        <f>COUNTIFS('تجربه‌گرها'!$B:$B,$A587,'تجربه‌گرها'!$F:$F,O$1)</f>
        <v>0</v>
      </c>
      <c r="P587" s="242">
        <f>COUNTIFS('تجربه‌گرها'!$B:$B,$A587,'تجربه‌گرها'!$F:$F,P$1)</f>
        <v>0</v>
      </c>
      <c r="Q587" s="242">
        <f>COUNTIFS('تجربه‌گرها'!$B:$B,$A587,'تجربه‌گرها'!$F:$F,Q$1)</f>
        <v>0</v>
      </c>
      <c r="R587" s="242">
        <f>COUNTIFS('تجربه‌گرها'!$B:$B,$A587,'تجربه‌گرها'!$F:$F,R$1)</f>
        <v>0</v>
      </c>
      <c r="S587" s="242">
        <f>COUNTIFS('تجربه‌گرها'!$B:$B,$A587,'تجربه‌گرها'!$F:$F,S$1)</f>
        <v>0</v>
      </c>
      <c r="T587" s="242">
        <f>COUNTIFS('تجربه‌گرها'!$B:$B,$A587,'تجربه‌گرها'!$F:$F,T$1)</f>
        <v>0</v>
      </c>
      <c r="U587" s="242"/>
      <c r="V587" s="242"/>
      <c r="W587" s="242"/>
      <c r="X587" s="242"/>
      <c r="Y587" s="242"/>
      <c r="Z587" s="242"/>
      <c r="AA587" s="242"/>
      <c r="AB587" s="242"/>
    </row>
    <row r="588" hidden="1">
      <c r="A588" s="244" t="s">
        <v>3801</v>
      </c>
      <c r="B588" s="245" t="str">
        <f>VLOOKUP(A588,'تجربه‌گرها'!B:C,2,FALSE())</f>
        <v>9122345714</v>
      </c>
      <c r="C588" s="242"/>
      <c r="D588" s="242">
        <f t="shared" si="1"/>
        <v>1</v>
      </c>
      <c r="E588" s="242">
        <f>COUNTIFS('تجربه‌گرها'!$B:$B,$A588,'تجربه‌گرها'!$F:$F,E$1)</f>
        <v>0</v>
      </c>
      <c r="F588" s="242">
        <f>COUNTIFS('تجربه‌گرها'!$B:$B,$A588,'تجربه‌گرها'!$F:$F,F$1)</f>
        <v>0</v>
      </c>
      <c r="G588" s="242">
        <f>COUNTIFS('تجربه‌گرها'!$B:$B,$A588,'تجربه‌گرها'!$F:$F,G$1)</f>
        <v>0</v>
      </c>
      <c r="H588" s="242">
        <f>COUNTIFS('تجربه‌گرها'!$B:$B,$A588,'تجربه‌گرها'!$F:$F,H$1)</f>
        <v>0</v>
      </c>
      <c r="I588" s="242">
        <f>COUNTIFS('تجربه‌گرها'!$B:$B,$A588,'تجربه‌گرها'!$F:$F,I$1)</f>
        <v>1</v>
      </c>
      <c r="J588" s="242">
        <f>COUNTIFS('تجربه‌گرها'!$B:$B,$A588,'تجربه‌گرها'!$F:$F,J$1)</f>
        <v>0</v>
      </c>
      <c r="K588" s="242">
        <f>COUNTIFS('تجربه‌گرها'!$B:$B,$A588,'تجربه‌گرها'!$F:$F,K$1)</f>
        <v>0</v>
      </c>
      <c r="L588" s="242">
        <f>COUNTIFS('تجربه‌گرها'!$B:$B,$A588,'تجربه‌گرها'!$F:$F,L$1)</f>
        <v>0</v>
      </c>
      <c r="M588" s="242">
        <f>COUNTIFS('تجربه‌گرها'!$B:$B,$A588,'تجربه‌گرها'!$F:$F,M$1)</f>
        <v>0</v>
      </c>
      <c r="N588" s="242">
        <f>COUNTIFS('تجربه‌گرها'!$B:$B,$A588,'تجربه‌گرها'!$F:$F,N$1)</f>
        <v>0</v>
      </c>
      <c r="O588" s="242">
        <f>COUNTIFS('تجربه‌گرها'!$B:$B,$A588,'تجربه‌گرها'!$F:$F,O$1)</f>
        <v>0</v>
      </c>
      <c r="P588" s="242">
        <f>COUNTIFS('تجربه‌گرها'!$B:$B,$A588,'تجربه‌گرها'!$F:$F,P$1)</f>
        <v>0</v>
      </c>
      <c r="Q588" s="242">
        <f>COUNTIFS('تجربه‌گرها'!$B:$B,$A588,'تجربه‌گرها'!$F:$F,Q$1)</f>
        <v>0</v>
      </c>
      <c r="R588" s="242">
        <f>COUNTIFS('تجربه‌گرها'!$B:$B,$A588,'تجربه‌گرها'!$F:$F,R$1)</f>
        <v>0</v>
      </c>
      <c r="S588" s="242">
        <f>COUNTIFS('تجربه‌گرها'!$B:$B,$A588,'تجربه‌گرها'!$F:$F,S$1)</f>
        <v>0</v>
      </c>
      <c r="T588" s="242">
        <f>COUNTIFS('تجربه‌گرها'!$B:$B,$A588,'تجربه‌گرها'!$F:$F,T$1)</f>
        <v>0</v>
      </c>
      <c r="U588" s="242"/>
      <c r="V588" s="242"/>
      <c r="W588" s="242"/>
      <c r="X588" s="242"/>
      <c r="Y588" s="242"/>
      <c r="Z588" s="242"/>
      <c r="AA588" s="242"/>
      <c r="AB588" s="242"/>
    </row>
    <row r="589" hidden="1">
      <c r="A589" s="244" t="s">
        <v>3806</v>
      </c>
      <c r="B589" s="245" t="str">
        <f>VLOOKUP(A589,'تجربه‌گرها'!B:C,2,FALSE())</f>
        <v>9122777586</v>
      </c>
      <c r="C589" s="242"/>
      <c r="D589" s="242">
        <f t="shared" si="1"/>
        <v>1</v>
      </c>
      <c r="E589" s="242">
        <f>COUNTIFS('تجربه‌گرها'!$B:$B,$A589,'تجربه‌گرها'!$F:$F,E$1)</f>
        <v>0</v>
      </c>
      <c r="F589" s="242">
        <f>COUNTIFS('تجربه‌گرها'!$B:$B,$A589,'تجربه‌گرها'!$F:$F,F$1)</f>
        <v>0</v>
      </c>
      <c r="G589" s="242">
        <f>COUNTIFS('تجربه‌گرها'!$B:$B,$A589,'تجربه‌گرها'!$F:$F,G$1)</f>
        <v>0</v>
      </c>
      <c r="H589" s="242">
        <f>COUNTIFS('تجربه‌گرها'!$B:$B,$A589,'تجربه‌گرها'!$F:$F,H$1)</f>
        <v>0</v>
      </c>
      <c r="I589" s="242">
        <f>COUNTIFS('تجربه‌گرها'!$B:$B,$A589,'تجربه‌گرها'!$F:$F,I$1)</f>
        <v>1</v>
      </c>
      <c r="J589" s="242">
        <f>COUNTIFS('تجربه‌گرها'!$B:$B,$A589,'تجربه‌گرها'!$F:$F,J$1)</f>
        <v>0</v>
      </c>
      <c r="K589" s="242">
        <f>COUNTIFS('تجربه‌گرها'!$B:$B,$A589,'تجربه‌گرها'!$F:$F,K$1)</f>
        <v>0</v>
      </c>
      <c r="L589" s="242">
        <f>COUNTIFS('تجربه‌گرها'!$B:$B,$A589,'تجربه‌گرها'!$F:$F,L$1)</f>
        <v>0</v>
      </c>
      <c r="M589" s="242">
        <f>COUNTIFS('تجربه‌گرها'!$B:$B,$A589,'تجربه‌گرها'!$F:$F,M$1)</f>
        <v>0</v>
      </c>
      <c r="N589" s="242">
        <f>COUNTIFS('تجربه‌گرها'!$B:$B,$A589,'تجربه‌گرها'!$F:$F,N$1)</f>
        <v>0</v>
      </c>
      <c r="O589" s="242">
        <f>COUNTIFS('تجربه‌گرها'!$B:$B,$A589,'تجربه‌گرها'!$F:$F,O$1)</f>
        <v>0</v>
      </c>
      <c r="P589" s="242">
        <f>COUNTIFS('تجربه‌گرها'!$B:$B,$A589,'تجربه‌گرها'!$F:$F,P$1)</f>
        <v>0</v>
      </c>
      <c r="Q589" s="242">
        <f>COUNTIFS('تجربه‌گرها'!$B:$B,$A589,'تجربه‌گرها'!$F:$F,Q$1)</f>
        <v>0</v>
      </c>
      <c r="R589" s="242">
        <f>COUNTIFS('تجربه‌گرها'!$B:$B,$A589,'تجربه‌گرها'!$F:$F,R$1)</f>
        <v>0</v>
      </c>
      <c r="S589" s="242">
        <f>COUNTIFS('تجربه‌گرها'!$B:$B,$A589,'تجربه‌گرها'!$F:$F,S$1)</f>
        <v>0</v>
      </c>
      <c r="T589" s="242">
        <f>COUNTIFS('تجربه‌گرها'!$B:$B,$A589,'تجربه‌گرها'!$F:$F,T$1)</f>
        <v>0</v>
      </c>
      <c r="U589" s="242"/>
      <c r="V589" s="242"/>
      <c r="W589" s="242"/>
      <c r="X589" s="242"/>
      <c r="Y589" s="242"/>
      <c r="Z589" s="242"/>
      <c r="AA589" s="242"/>
      <c r="AB589" s="242"/>
    </row>
    <row r="590" hidden="1">
      <c r="A590" s="244" t="s">
        <v>3811</v>
      </c>
      <c r="B590" s="245" t="str">
        <f>VLOOKUP(A590,'تجربه‌گرها'!B:C,2,FALSE())</f>
        <v>9160611168</v>
      </c>
      <c r="C590" s="242"/>
      <c r="D590" s="242">
        <f t="shared" si="1"/>
        <v>1</v>
      </c>
      <c r="E590" s="242">
        <f>COUNTIFS('تجربه‌گرها'!$B:$B,$A590,'تجربه‌گرها'!$F:$F,E$1)</f>
        <v>0</v>
      </c>
      <c r="F590" s="242">
        <f>COUNTIFS('تجربه‌گرها'!$B:$B,$A590,'تجربه‌گرها'!$F:$F,F$1)</f>
        <v>0</v>
      </c>
      <c r="G590" s="242">
        <f>COUNTIFS('تجربه‌گرها'!$B:$B,$A590,'تجربه‌گرها'!$F:$F,G$1)</f>
        <v>0</v>
      </c>
      <c r="H590" s="242">
        <f>COUNTIFS('تجربه‌گرها'!$B:$B,$A590,'تجربه‌گرها'!$F:$F,H$1)</f>
        <v>0</v>
      </c>
      <c r="I590" s="242">
        <f>COUNTIFS('تجربه‌گرها'!$B:$B,$A590,'تجربه‌گرها'!$F:$F,I$1)</f>
        <v>1</v>
      </c>
      <c r="J590" s="242">
        <f>COUNTIFS('تجربه‌گرها'!$B:$B,$A590,'تجربه‌گرها'!$F:$F,J$1)</f>
        <v>0</v>
      </c>
      <c r="K590" s="242">
        <f>COUNTIFS('تجربه‌گرها'!$B:$B,$A590,'تجربه‌گرها'!$F:$F,K$1)</f>
        <v>0</v>
      </c>
      <c r="L590" s="242">
        <f>COUNTIFS('تجربه‌گرها'!$B:$B,$A590,'تجربه‌گرها'!$F:$F,L$1)</f>
        <v>0</v>
      </c>
      <c r="M590" s="242">
        <f>COUNTIFS('تجربه‌گرها'!$B:$B,$A590,'تجربه‌گرها'!$F:$F,M$1)</f>
        <v>0</v>
      </c>
      <c r="N590" s="242">
        <f>COUNTIFS('تجربه‌گرها'!$B:$B,$A590,'تجربه‌گرها'!$F:$F,N$1)</f>
        <v>0</v>
      </c>
      <c r="O590" s="242">
        <f>COUNTIFS('تجربه‌گرها'!$B:$B,$A590,'تجربه‌گرها'!$F:$F,O$1)</f>
        <v>0</v>
      </c>
      <c r="P590" s="242">
        <f>COUNTIFS('تجربه‌گرها'!$B:$B,$A590,'تجربه‌گرها'!$F:$F,P$1)</f>
        <v>0</v>
      </c>
      <c r="Q590" s="242">
        <f>COUNTIFS('تجربه‌گرها'!$B:$B,$A590,'تجربه‌گرها'!$F:$F,Q$1)</f>
        <v>0</v>
      </c>
      <c r="R590" s="242">
        <f>COUNTIFS('تجربه‌گرها'!$B:$B,$A590,'تجربه‌گرها'!$F:$F,R$1)</f>
        <v>0</v>
      </c>
      <c r="S590" s="242">
        <f>COUNTIFS('تجربه‌گرها'!$B:$B,$A590,'تجربه‌گرها'!$F:$F,S$1)</f>
        <v>0</v>
      </c>
      <c r="T590" s="242">
        <f>COUNTIFS('تجربه‌گرها'!$B:$B,$A590,'تجربه‌گرها'!$F:$F,T$1)</f>
        <v>0</v>
      </c>
      <c r="U590" s="242"/>
      <c r="V590" s="242"/>
      <c r="W590" s="242"/>
      <c r="X590" s="242"/>
      <c r="Y590" s="242"/>
      <c r="Z590" s="242"/>
      <c r="AA590" s="242"/>
      <c r="AB590" s="242"/>
    </row>
    <row r="591" hidden="1">
      <c r="A591" s="244" t="s">
        <v>3816</v>
      </c>
      <c r="B591" s="245" t="str">
        <f>VLOOKUP(A591,'تجربه‌گرها'!B:C,2,FALSE())</f>
        <v>9134044240</v>
      </c>
      <c r="C591" s="242"/>
      <c r="D591" s="242">
        <f t="shared" si="1"/>
        <v>1</v>
      </c>
      <c r="E591" s="242">
        <f>COUNTIFS('تجربه‌گرها'!$B:$B,$A591,'تجربه‌گرها'!$F:$F,E$1)</f>
        <v>0</v>
      </c>
      <c r="F591" s="242">
        <f>COUNTIFS('تجربه‌گرها'!$B:$B,$A591,'تجربه‌گرها'!$F:$F,F$1)</f>
        <v>0</v>
      </c>
      <c r="G591" s="242">
        <f>COUNTIFS('تجربه‌گرها'!$B:$B,$A591,'تجربه‌گرها'!$F:$F,G$1)</f>
        <v>0</v>
      </c>
      <c r="H591" s="242">
        <f>COUNTIFS('تجربه‌گرها'!$B:$B,$A591,'تجربه‌گرها'!$F:$F,H$1)</f>
        <v>0</v>
      </c>
      <c r="I591" s="242">
        <f>COUNTIFS('تجربه‌گرها'!$B:$B,$A591,'تجربه‌گرها'!$F:$F,I$1)</f>
        <v>1</v>
      </c>
      <c r="J591" s="242">
        <f>COUNTIFS('تجربه‌گرها'!$B:$B,$A591,'تجربه‌گرها'!$F:$F,J$1)</f>
        <v>0</v>
      </c>
      <c r="K591" s="242">
        <f>COUNTIFS('تجربه‌گرها'!$B:$B,$A591,'تجربه‌گرها'!$F:$F,K$1)</f>
        <v>0</v>
      </c>
      <c r="L591" s="242">
        <f>COUNTIFS('تجربه‌گرها'!$B:$B,$A591,'تجربه‌گرها'!$F:$F,L$1)</f>
        <v>0</v>
      </c>
      <c r="M591" s="242">
        <f>COUNTIFS('تجربه‌گرها'!$B:$B,$A591,'تجربه‌گرها'!$F:$F,M$1)</f>
        <v>0</v>
      </c>
      <c r="N591" s="242">
        <f>COUNTIFS('تجربه‌گرها'!$B:$B,$A591,'تجربه‌گرها'!$F:$F,N$1)</f>
        <v>0</v>
      </c>
      <c r="O591" s="242">
        <f>COUNTIFS('تجربه‌گرها'!$B:$B,$A591,'تجربه‌گرها'!$F:$F,O$1)</f>
        <v>0</v>
      </c>
      <c r="P591" s="242">
        <f>COUNTIFS('تجربه‌گرها'!$B:$B,$A591,'تجربه‌گرها'!$F:$F,P$1)</f>
        <v>0</v>
      </c>
      <c r="Q591" s="242">
        <f>COUNTIFS('تجربه‌گرها'!$B:$B,$A591,'تجربه‌گرها'!$F:$F,Q$1)</f>
        <v>0</v>
      </c>
      <c r="R591" s="242">
        <f>COUNTIFS('تجربه‌گرها'!$B:$B,$A591,'تجربه‌گرها'!$F:$F,R$1)</f>
        <v>0</v>
      </c>
      <c r="S591" s="242">
        <f>COUNTIFS('تجربه‌گرها'!$B:$B,$A591,'تجربه‌گرها'!$F:$F,S$1)</f>
        <v>0</v>
      </c>
      <c r="T591" s="242">
        <f>COUNTIFS('تجربه‌گرها'!$B:$B,$A591,'تجربه‌گرها'!$F:$F,T$1)</f>
        <v>0</v>
      </c>
      <c r="U591" s="242"/>
      <c r="V591" s="242"/>
      <c r="W591" s="242"/>
      <c r="X591" s="242"/>
      <c r="Y591" s="242"/>
      <c r="Z591" s="242"/>
      <c r="AA591" s="242"/>
      <c r="AB591" s="242"/>
    </row>
    <row r="592" hidden="1">
      <c r="A592" s="244" t="s">
        <v>3820</v>
      </c>
      <c r="B592" s="245" t="str">
        <f>VLOOKUP(A592,'تجربه‌گرها'!B:C,2,FALSE())</f>
        <v>9372011223</v>
      </c>
      <c r="C592" s="242"/>
      <c r="D592" s="242">
        <f t="shared" si="1"/>
        <v>1</v>
      </c>
      <c r="E592" s="242">
        <f>COUNTIFS('تجربه‌گرها'!$B:$B,$A592,'تجربه‌گرها'!$F:$F,E$1)</f>
        <v>0</v>
      </c>
      <c r="F592" s="242">
        <f>COUNTIFS('تجربه‌گرها'!$B:$B,$A592,'تجربه‌گرها'!$F:$F,F$1)</f>
        <v>0</v>
      </c>
      <c r="G592" s="242">
        <f>COUNTIFS('تجربه‌گرها'!$B:$B,$A592,'تجربه‌گرها'!$F:$F,G$1)</f>
        <v>0</v>
      </c>
      <c r="H592" s="242">
        <f>COUNTIFS('تجربه‌گرها'!$B:$B,$A592,'تجربه‌گرها'!$F:$F,H$1)</f>
        <v>0</v>
      </c>
      <c r="I592" s="242">
        <f>COUNTIFS('تجربه‌گرها'!$B:$B,$A592,'تجربه‌گرها'!$F:$F,I$1)</f>
        <v>1</v>
      </c>
      <c r="J592" s="242">
        <f>COUNTIFS('تجربه‌گرها'!$B:$B,$A592,'تجربه‌گرها'!$F:$F,J$1)</f>
        <v>0</v>
      </c>
      <c r="K592" s="242">
        <f>COUNTIFS('تجربه‌گرها'!$B:$B,$A592,'تجربه‌گرها'!$F:$F,K$1)</f>
        <v>0</v>
      </c>
      <c r="L592" s="242">
        <f>COUNTIFS('تجربه‌گرها'!$B:$B,$A592,'تجربه‌گرها'!$F:$F,L$1)</f>
        <v>0</v>
      </c>
      <c r="M592" s="242">
        <f>COUNTIFS('تجربه‌گرها'!$B:$B,$A592,'تجربه‌گرها'!$F:$F,M$1)</f>
        <v>0</v>
      </c>
      <c r="N592" s="242">
        <f>COUNTIFS('تجربه‌گرها'!$B:$B,$A592,'تجربه‌گرها'!$F:$F,N$1)</f>
        <v>0</v>
      </c>
      <c r="O592" s="242">
        <f>COUNTIFS('تجربه‌گرها'!$B:$B,$A592,'تجربه‌گرها'!$F:$F,O$1)</f>
        <v>0</v>
      </c>
      <c r="P592" s="242">
        <f>COUNTIFS('تجربه‌گرها'!$B:$B,$A592,'تجربه‌گرها'!$F:$F,P$1)</f>
        <v>0</v>
      </c>
      <c r="Q592" s="242">
        <f>COUNTIFS('تجربه‌گرها'!$B:$B,$A592,'تجربه‌گرها'!$F:$F,Q$1)</f>
        <v>0</v>
      </c>
      <c r="R592" s="242">
        <f>COUNTIFS('تجربه‌گرها'!$B:$B,$A592,'تجربه‌گرها'!$F:$F,R$1)</f>
        <v>0</v>
      </c>
      <c r="S592" s="242">
        <f>COUNTIFS('تجربه‌گرها'!$B:$B,$A592,'تجربه‌گرها'!$F:$F,S$1)</f>
        <v>0</v>
      </c>
      <c r="T592" s="242">
        <f>COUNTIFS('تجربه‌گرها'!$B:$B,$A592,'تجربه‌گرها'!$F:$F,T$1)</f>
        <v>0</v>
      </c>
      <c r="U592" s="242"/>
      <c r="V592" s="242"/>
      <c r="W592" s="242"/>
      <c r="X592" s="242"/>
      <c r="Y592" s="242"/>
      <c r="Z592" s="242"/>
      <c r="AA592" s="242"/>
      <c r="AB592" s="242"/>
    </row>
    <row r="593" hidden="1">
      <c r="A593" s="244" t="s">
        <v>3824</v>
      </c>
      <c r="B593" s="245" t="str">
        <f>VLOOKUP(A593,'تجربه‌گرها'!B:C,2,FALSE())</f>
        <v>9103144078</v>
      </c>
      <c r="C593" s="242"/>
      <c r="D593" s="242">
        <f t="shared" si="1"/>
        <v>1</v>
      </c>
      <c r="E593" s="242">
        <f>COUNTIFS('تجربه‌گرها'!$B:$B,$A593,'تجربه‌گرها'!$F:$F,E$1)</f>
        <v>0</v>
      </c>
      <c r="F593" s="242">
        <f>COUNTIFS('تجربه‌گرها'!$B:$B,$A593,'تجربه‌گرها'!$F:$F,F$1)</f>
        <v>0</v>
      </c>
      <c r="G593" s="242">
        <f>COUNTIFS('تجربه‌گرها'!$B:$B,$A593,'تجربه‌گرها'!$F:$F,G$1)</f>
        <v>0</v>
      </c>
      <c r="H593" s="242">
        <f>COUNTIFS('تجربه‌گرها'!$B:$B,$A593,'تجربه‌گرها'!$F:$F,H$1)</f>
        <v>0</v>
      </c>
      <c r="I593" s="242">
        <f>COUNTIFS('تجربه‌گرها'!$B:$B,$A593,'تجربه‌گرها'!$F:$F,I$1)</f>
        <v>1</v>
      </c>
      <c r="J593" s="242">
        <f>COUNTIFS('تجربه‌گرها'!$B:$B,$A593,'تجربه‌گرها'!$F:$F,J$1)</f>
        <v>0</v>
      </c>
      <c r="K593" s="242">
        <f>COUNTIFS('تجربه‌گرها'!$B:$B,$A593,'تجربه‌گرها'!$F:$F,K$1)</f>
        <v>0</v>
      </c>
      <c r="L593" s="242">
        <f>COUNTIFS('تجربه‌گرها'!$B:$B,$A593,'تجربه‌گرها'!$F:$F,L$1)</f>
        <v>0</v>
      </c>
      <c r="M593" s="242">
        <f>COUNTIFS('تجربه‌گرها'!$B:$B,$A593,'تجربه‌گرها'!$F:$F,M$1)</f>
        <v>0</v>
      </c>
      <c r="N593" s="242">
        <f>COUNTIFS('تجربه‌گرها'!$B:$B,$A593,'تجربه‌گرها'!$F:$F,N$1)</f>
        <v>0</v>
      </c>
      <c r="O593" s="242">
        <f>COUNTIFS('تجربه‌گرها'!$B:$B,$A593,'تجربه‌گرها'!$F:$F,O$1)</f>
        <v>0</v>
      </c>
      <c r="P593" s="242">
        <f>COUNTIFS('تجربه‌گرها'!$B:$B,$A593,'تجربه‌گرها'!$F:$F,P$1)</f>
        <v>0</v>
      </c>
      <c r="Q593" s="242">
        <f>COUNTIFS('تجربه‌گرها'!$B:$B,$A593,'تجربه‌گرها'!$F:$F,Q$1)</f>
        <v>0</v>
      </c>
      <c r="R593" s="242">
        <f>COUNTIFS('تجربه‌گرها'!$B:$B,$A593,'تجربه‌گرها'!$F:$F,R$1)</f>
        <v>0</v>
      </c>
      <c r="S593" s="242">
        <f>COUNTIFS('تجربه‌گرها'!$B:$B,$A593,'تجربه‌گرها'!$F:$F,S$1)</f>
        <v>0</v>
      </c>
      <c r="T593" s="242">
        <f>COUNTIFS('تجربه‌گرها'!$B:$B,$A593,'تجربه‌گرها'!$F:$F,T$1)</f>
        <v>0</v>
      </c>
      <c r="U593" s="242"/>
      <c r="V593" s="242"/>
      <c r="W593" s="242"/>
      <c r="X593" s="242"/>
      <c r="Y593" s="242"/>
      <c r="Z593" s="242"/>
      <c r="AA593" s="242"/>
      <c r="AB593" s="242"/>
    </row>
    <row r="594" hidden="1">
      <c r="A594" s="244" t="s">
        <v>3829</v>
      </c>
      <c r="B594" s="245" t="str">
        <f>VLOOKUP(A594,'تجربه‌گرها'!B:C,2,FALSE())</f>
        <v>9036174842</v>
      </c>
      <c r="C594" s="242"/>
      <c r="D594" s="242">
        <f t="shared" si="1"/>
        <v>1</v>
      </c>
      <c r="E594" s="242">
        <f>COUNTIFS('تجربه‌گرها'!$B:$B,$A594,'تجربه‌گرها'!$F:$F,E$1)</f>
        <v>0</v>
      </c>
      <c r="F594" s="242">
        <f>COUNTIFS('تجربه‌گرها'!$B:$B,$A594,'تجربه‌گرها'!$F:$F,F$1)</f>
        <v>0</v>
      </c>
      <c r="G594" s="242">
        <f>COUNTIFS('تجربه‌گرها'!$B:$B,$A594,'تجربه‌گرها'!$F:$F,G$1)</f>
        <v>0</v>
      </c>
      <c r="H594" s="242">
        <f>COUNTIFS('تجربه‌گرها'!$B:$B,$A594,'تجربه‌گرها'!$F:$F,H$1)</f>
        <v>0</v>
      </c>
      <c r="I594" s="242">
        <f>COUNTIFS('تجربه‌گرها'!$B:$B,$A594,'تجربه‌گرها'!$F:$F,I$1)</f>
        <v>1</v>
      </c>
      <c r="J594" s="242">
        <f>COUNTIFS('تجربه‌گرها'!$B:$B,$A594,'تجربه‌گرها'!$F:$F,J$1)</f>
        <v>0</v>
      </c>
      <c r="K594" s="242">
        <f>COUNTIFS('تجربه‌گرها'!$B:$B,$A594,'تجربه‌گرها'!$F:$F,K$1)</f>
        <v>0</v>
      </c>
      <c r="L594" s="242">
        <f>COUNTIFS('تجربه‌گرها'!$B:$B,$A594,'تجربه‌گرها'!$F:$F,L$1)</f>
        <v>0</v>
      </c>
      <c r="M594" s="242">
        <f>COUNTIFS('تجربه‌گرها'!$B:$B,$A594,'تجربه‌گرها'!$F:$F,M$1)</f>
        <v>0</v>
      </c>
      <c r="N594" s="242">
        <f>COUNTIFS('تجربه‌گرها'!$B:$B,$A594,'تجربه‌گرها'!$F:$F,N$1)</f>
        <v>0</v>
      </c>
      <c r="O594" s="242">
        <f>COUNTIFS('تجربه‌گرها'!$B:$B,$A594,'تجربه‌گرها'!$F:$F,O$1)</f>
        <v>0</v>
      </c>
      <c r="P594" s="242">
        <f>COUNTIFS('تجربه‌گرها'!$B:$B,$A594,'تجربه‌گرها'!$F:$F,P$1)</f>
        <v>0</v>
      </c>
      <c r="Q594" s="242">
        <f>COUNTIFS('تجربه‌گرها'!$B:$B,$A594,'تجربه‌گرها'!$F:$F,Q$1)</f>
        <v>0</v>
      </c>
      <c r="R594" s="242">
        <f>COUNTIFS('تجربه‌گرها'!$B:$B,$A594,'تجربه‌گرها'!$F:$F,R$1)</f>
        <v>0</v>
      </c>
      <c r="S594" s="242">
        <f>COUNTIFS('تجربه‌گرها'!$B:$B,$A594,'تجربه‌گرها'!$F:$F,S$1)</f>
        <v>0</v>
      </c>
      <c r="T594" s="242">
        <f>COUNTIFS('تجربه‌گرها'!$B:$B,$A594,'تجربه‌گرها'!$F:$F,T$1)</f>
        <v>0</v>
      </c>
      <c r="U594" s="242"/>
      <c r="V594" s="242"/>
      <c r="W594" s="242"/>
      <c r="X594" s="242"/>
      <c r="Y594" s="242"/>
      <c r="Z594" s="242"/>
      <c r="AA594" s="242"/>
      <c r="AB594" s="242"/>
    </row>
    <row r="595" hidden="1">
      <c r="A595" s="244" t="s">
        <v>3834</v>
      </c>
      <c r="B595" s="245" t="str">
        <f>VLOOKUP(A595,'تجربه‌گرها'!B:C,2,FALSE())</f>
        <v>9907352570</v>
      </c>
      <c r="C595" s="242"/>
      <c r="D595" s="242">
        <f t="shared" si="1"/>
        <v>1</v>
      </c>
      <c r="E595" s="242">
        <f>COUNTIFS('تجربه‌گرها'!$B:$B,$A595,'تجربه‌گرها'!$F:$F,E$1)</f>
        <v>0</v>
      </c>
      <c r="F595" s="242">
        <f>COUNTIFS('تجربه‌گرها'!$B:$B,$A595,'تجربه‌گرها'!$F:$F,F$1)</f>
        <v>0</v>
      </c>
      <c r="G595" s="242">
        <f>COUNTIFS('تجربه‌گرها'!$B:$B,$A595,'تجربه‌گرها'!$F:$F,G$1)</f>
        <v>0</v>
      </c>
      <c r="H595" s="242">
        <f>COUNTIFS('تجربه‌گرها'!$B:$B,$A595,'تجربه‌گرها'!$F:$F,H$1)</f>
        <v>0</v>
      </c>
      <c r="I595" s="242">
        <f>COUNTIFS('تجربه‌گرها'!$B:$B,$A595,'تجربه‌گرها'!$F:$F,I$1)</f>
        <v>1</v>
      </c>
      <c r="J595" s="242">
        <f>COUNTIFS('تجربه‌گرها'!$B:$B,$A595,'تجربه‌گرها'!$F:$F,J$1)</f>
        <v>0</v>
      </c>
      <c r="K595" s="242">
        <f>COUNTIFS('تجربه‌گرها'!$B:$B,$A595,'تجربه‌گرها'!$F:$F,K$1)</f>
        <v>0</v>
      </c>
      <c r="L595" s="242">
        <f>COUNTIFS('تجربه‌گرها'!$B:$B,$A595,'تجربه‌گرها'!$F:$F,L$1)</f>
        <v>0</v>
      </c>
      <c r="M595" s="242">
        <f>COUNTIFS('تجربه‌گرها'!$B:$B,$A595,'تجربه‌گرها'!$F:$F,M$1)</f>
        <v>0</v>
      </c>
      <c r="N595" s="242">
        <f>COUNTIFS('تجربه‌گرها'!$B:$B,$A595,'تجربه‌گرها'!$F:$F,N$1)</f>
        <v>0</v>
      </c>
      <c r="O595" s="242">
        <f>COUNTIFS('تجربه‌گرها'!$B:$B,$A595,'تجربه‌گرها'!$F:$F,O$1)</f>
        <v>0</v>
      </c>
      <c r="P595" s="242">
        <f>COUNTIFS('تجربه‌گرها'!$B:$B,$A595,'تجربه‌گرها'!$F:$F,P$1)</f>
        <v>0</v>
      </c>
      <c r="Q595" s="242">
        <f>COUNTIFS('تجربه‌گرها'!$B:$B,$A595,'تجربه‌گرها'!$F:$F,Q$1)</f>
        <v>0</v>
      </c>
      <c r="R595" s="242">
        <f>COUNTIFS('تجربه‌گرها'!$B:$B,$A595,'تجربه‌گرها'!$F:$F,R$1)</f>
        <v>0</v>
      </c>
      <c r="S595" s="242">
        <f>COUNTIFS('تجربه‌گرها'!$B:$B,$A595,'تجربه‌گرها'!$F:$F,S$1)</f>
        <v>0</v>
      </c>
      <c r="T595" s="242">
        <f>COUNTIFS('تجربه‌گرها'!$B:$B,$A595,'تجربه‌گرها'!$F:$F,T$1)</f>
        <v>0</v>
      </c>
      <c r="U595" s="242"/>
      <c r="V595" s="242"/>
      <c r="W595" s="242"/>
      <c r="X595" s="242"/>
      <c r="Y595" s="242"/>
      <c r="Z595" s="242"/>
      <c r="AA595" s="242"/>
      <c r="AB595" s="242"/>
    </row>
    <row r="596" hidden="1">
      <c r="A596" s="244" t="s">
        <v>3839</v>
      </c>
      <c r="B596" s="245" t="str">
        <f>VLOOKUP(A596,'تجربه‌گرها'!B:C,2,FALSE())</f>
        <v>9127957942</v>
      </c>
      <c r="C596" s="242"/>
      <c r="D596" s="242">
        <f t="shared" si="1"/>
        <v>1</v>
      </c>
      <c r="E596" s="242">
        <f>COUNTIFS('تجربه‌گرها'!$B:$B,$A596,'تجربه‌گرها'!$F:$F,E$1)</f>
        <v>0</v>
      </c>
      <c r="F596" s="242">
        <f>COUNTIFS('تجربه‌گرها'!$B:$B,$A596,'تجربه‌گرها'!$F:$F,F$1)</f>
        <v>0</v>
      </c>
      <c r="G596" s="242">
        <f>COUNTIFS('تجربه‌گرها'!$B:$B,$A596,'تجربه‌گرها'!$F:$F,G$1)</f>
        <v>0</v>
      </c>
      <c r="H596" s="242">
        <f>COUNTIFS('تجربه‌گرها'!$B:$B,$A596,'تجربه‌گرها'!$F:$F,H$1)</f>
        <v>0</v>
      </c>
      <c r="I596" s="242">
        <f>COUNTIFS('تجربه‌گرها'!$B:$B,$A596,'تجربه‌گرها'!$F:$F,I$1)</f>
        <v>1</v>
      </c>
      <c r="J596" s="242">
        <f>COUNTIFS('تجربه‌گرها'!$B:$B,$A596,'تجربه‌گرها'!$F:$F,J$1)</f>
        <v>0</v>
      </c>
      <c r="K596" s="242">
        <f>COUNTIFS('تجربه‌گرها'!$B:$B,$A596,'تجربه‌گرها'!$F:$F,K$1)</f>
        <v>0</v>
      </c>
      <c r="L596" s="242">
        <f>COUNTIFS('تجربه‌گرها'!$B:$B,$A596,'تجربه‌گرها'!$F:$F,L$1)</f>
        <v>0</v>
      </c>
      <c r="M596" s="242">
        <f>COUNTIFS('تجربه‌گرها'!$B:$B,$A596,'تجربه‌گرها'!$F:$F,M$1)</f>
        <v>0</v>
      </c>
      <c r="N596" s="242">
        <f>COUNTIFS('تجربه‌گرها'!$B:$B,$A596,'تجربه‌گرها'!$F:$F,N$1)</f>
        <v>0</v>
      </c>
      <c r="O596" s="242">
        <f>COUNTIFS('تجربه‌گرها'!$B:$B,$A596,'تجربه‌گرها'!$F:$F,O$1)</f>
        <v>0</v>
      </c>
      <c r="P596" s="242">
        <f>COUNTIFS('تجربه‌گرها'!$B:$B,$A596,'تجربه‌گرها'!$F:$F,P$1)</f>
        <v>0</v>
      </c>
      <c r="Q596" s="242">
        <f>COUNTIFS('تجربه‌گرها'!$B:$B,$A596,'تجربه‌گرها'!$F:$F,Q$1)</f>
        <v>0</v>
      </c>
      <c r="R596" s="242">
        <f>COUNTIFS('تجربه‌گرها'!$B:$B,$A596,'تجربه‌گرها'!$F:$F,R$1)</f>
        <v>0</v>
      </c>
      <c r="S596" s="242">
        <f>COUNTIFS('تجربه‌گرها'!$B:$B,$A596,'تجربه‌گرها'!$F:$F,S$1)</f>
        <v>0</v>
      </c>
      <c r="T596" s="242">
        <f>COUNTIFS('تجربه‌گرها'!$B:$B,$A596,'تجربه‌گرها'!$F:$F,T$1)</f>
        <v>0</v>
      </c>
      <c r="U596" s="242"/>
      <c r="V596" s="242"/>
      <c r="W596" s="242"/>
      <c r="X596" s="242"/>
      <c r="Y596" s="242"/>
      <c r="Z596" s="242"/>
      <c r="AA596" s="242"/>
      <c r="AB596" s="242"/>
    </row>
    <row r="597" hidden="1">
      <c r="A597" s="244" t="s">
        <v>3844</v>
      </c>
      <c r="B597" s="245" t="str">
        <f>VLOOKUP(A597,'تجربه‌گرها'!B:C,2,FALSE())</f>
        <v>9120355431</v>
      </c>
      <c r="C597" s="242"/>
      <c r="D597" s="242">
        <f t="shared" si="1"/>
        <v>1</v>
      </c>
      <c r="E597" s="242">
        <f>COUNTIFS('تجربه‌گرها'!$B:$B,$A597,'تجربه‌گرها'!$F:$F,E$1)</f>
        <v>0</v>
      </c>
      <c r="F597" s="242">
        <f>COUNTIFS('تجربه‌گرها'!$B:$B,$A597,'تجربه‌گرها'!$F:$F,F$1)</f>
        <v>0</v>
      </c>
      <c r="G597" s="242">
        <f>COUNTIFS('تجربه‌گرها'!$B:$B,$A597,'تجربه‌گرها'!$F:$F,G$1)</f>
        <v>0</v>
      </c>
      <c r="H597" s="242">
        <f>COUNTIFS('تجربه‌گرها'!$B:$B,$A597,'تجربه‌گرها'!$F:$F,H$1)</f>
        <v>0</v>
      </c>
      <c r="I597" s="242">
        <f>COUNTIFS('تجربه‌گرها'!$B:$B,$A597,'تجربه‌گرها'!$F:$F,I$1)</f>
        <v>1</v>
      </c>
      <c r="J597" s="242">
        <f>COUNTIFS('تجربه‌گرها'!$B:$B,$A597,'تجربه‌گرها'!$F:$F,J$1)</f>
        <v>0</v>
      </c>
      <c r="K597" s="242">
        <f>COUNTIFS('تجربه‌گرها'!$B:$B,$A597,'تجربه‌گرها'!$F:$F,K$1)</f>
        <v>0</v>
      </c>
      <c r="L597" s="242">
        <f>COUNTIFS('تجربه‌گرها'!$B:$B,$A597,'تجربه‌گرها'!$F:$F,L$1)</f>
        <v>0</v>
      </c>
      <c r="M597" s="242">
        <f>COUNTIFS('تجربه‌گرها'!$B:$B,$A597,'تجربه‌گرها'!$F:$F,M$1)</f>
        <v>0</v>
      </c>
      <c r="N597" s="242">
        <f>COUNTIFS('تجربه‌گرها'!$B:$B,$A597,'تجربه‌گرها'!$F:$F,N$1)</f>
        <v>0</v>
      </c>
      <c r="O597" s="242">
        <f>COUNTIFS('تجربه‌گرها'!$B:$B,$A597,'تجربه‌گرها'!$F:$F,O$1)</f>
        <v>0</v>
      </c>
      <c r="P597" s="242">
        <f>COUNTIFS('تجربه‌گرها'!$B:$B,$A597,'تجربه‌گرها'!$F:$F,P$1)</f>
        <v>0</v>
      </c>
      <c r="Q597" s="242">
        <f>COUNTIFS('تجربه‌گرها'!$B:$B,$A597,'تجربه‌گرها'!$F:$F,Q$1)</f>
        <v>0</v>
      </c>
      <c r="R597" s="242">
        <f>COUNTIFS('تجربه‌گرها'!$B:$B,$A597,'تجربه‌گرها'!$F:$F,R$1)</f>
        <v>0</v>
      </c>
      <c r="S597" s="242">
        <f>COUNTIFS('تجربه‌گرها'!$B:$B,$A597,'تجربه‌گرها'!$F:$F,S$1)</f>
        <v>0</v>
      </c>
      <c r="T597" s="242">
        <f>COUNTIFS('تجربه‌گرها'!$B:$B,$A597,'تجربه‌گرها'!$F:$F,T$1)</f>
        <v>0</v>
      </c>
      <c r="U597" s="242"/>
      <c r="V597" s="242"/>
      <c r="W597" s="242"/>
      <c r="X597" s="242"/>
      <c r="Y597" s="242"/>
      <c r="Z597" s="242"/>
      <c r="AA597" s="242"/>
      <c r="AB597" s="242"/>
    </row>
    <row r="598" hidden="1">
      <c r="A598" s="244" t="s">
        <v>3849</v>
      </c>
      <c r="B598" s="245" t="str">
        <f>VLOOKUP(A598,'تجربه‌گرها'!B:C,2,FALSE())</f>
        <v>9384200110</v>
      </c>
      <c r="C598" s="242"/>
      <c r="D598" s="242">
        <f t="shared" si="1"/>
        <v>1</v>
      </c>
      <c r="E598" s="242">
        <f>COUNTIFS('تجربه‌گرها'!$B:$B,$A598,'تجربه‌گرها'!$F:$F,E$1)</f>
        <v>0</v>
      </c>
      <c r="F598" s="242">
        <f>COUNTIFS('تجربه‌گرها'!$B:$B,$A598,'تجربه‌گرها'!$F:$F,F$1)</f>
        <v>0</v>
      </c>
      <c r="G598" s="242">
        <f>COUNTIFS('تجربه‌گرها'!$B:$B,$A598,'تجربه‌گرها'!$F:$F,G$1)</f>
        <v>0</v>
      </c>
      <c r="H598" s="242">
        <f>COUNTIFS('تجربه‌گرها'!$B:$B,$A598,'تجربه‌گرها'!$F:$F,H$1)</f>
        <v>0</v>
      </c>
      <c r="I598" s="242">
        <f>COUNTIFS('تجربه‌گرها'!$B:$B,$A598,'تجربه‌گرها'!$F:$F,I$1)</f>
        <v>1</v>
      </c>
      <c r="J598" s="242">
        <f>COUNTIFS('تجربه‌گرها'!$B:$B,$A598,'تجربه‌گرها'!$F:$F,J$1)</f>
        <v>0</v>
      </c>
      <c r="K598" s="242">
        <f>COUNTIFS('تجربه‌گرها'!$B:$B,$A598,'تجربه‌گرها'!$F:$F,K$1)</f>
        <v>0</v>
      </c>
      <c r="L598" s="242">
        <f>COUNTIFS('تجربه‌گرها'!$B:$B,$A598,'تجربه‌گرها'!$F:$F,L$1)</f>
        <v>0</v>
      </c>
      <c r="M598" s="242">
        <f>COUNTIFS('تجربه‌گرها'!$B:$B,$A598,'تجربه‌گرها'!$F:$F,M$1)</f>
        <v>0</v>
      </c>
      <c r="N598" s="242">
        <f>COUNTIFS('تجربه‌گرها'!$B:$B,$A598,'تجربه‌گرها'!$F:$F,N$1)</f>
        <v>0</v>
      </c>
      <c r="O598" s="242">
        <f>COUNTIFS('تجربه‌گرها'!$B:$B,$A598,'تجربه‌گرها'!$F:$F,O$1)</f>
        <v>0</v>
      </c>
      <c r="P598" s="242">
        <f>COUNTIFS('تجربه‌گرها'!$B:$B,$A598,'تجربه‌گرها'!$F:$F,P$1)</f>
        <v>0</v>
      </c>
      <c r="Q598" s="242">
        <f>COUNTIFS('تجربه‌گرها'!$B:$B,$A598,'تجربه‌گرها'!$F:$F,Q$1)</f>
        <v>0</v>
      </c>
      <c r="R598" s="242">
        <f>COUNTIFS('تجربه‌گرها'!$B:$B,$A598,'تجربه‌گرها'!$F:$F,R$1)</f>
        <v>0</v>
      </c>
      <c r="S598" s="242">
        <f>COUNTIFS('تجربه‌گرها'!$B:$B,$A598,'تجربه‌گرها'!$F:$F,S$1)</f>
        <v>0</v>
      </c>
      <c r="T598" s="242">
        <f>COUNTIFS('تجربه‌گرها'!$B:$B,$A598,'تجربه‌گرها'!$F:$F,T$1)</f>
        <v>0</v>
      </c>
      <c r="U598" s="242"/>
      <c r="V598" s="242"/>
      <c r="W598" s="242"/>
      <c r="X598" s="242"/>
      <c r="Y598" s="242"/>
      <c r="Z598" s="242"/>
      <c r="AA598" s="242"/>
      <c r="AB598" s="242"/>
    </row>
    <row r="599" hidden="1">
      <c r="A599" s="244" t="s">
        <v>3854</v>
      </c>
      <c r="B599" s="245" t="str">
        <f>VLOOKUP(A599,'تجربه‌گرها'!B:C,2,FALSE())</f>
        <v>9124707706</v>
      </c>
      <c r="C599" s="242"/>
      <c r="D599" s="242">
        <f t="shared" si="1"/>
        <v>1</v>
      </c>
      <c r="E599" s="242">
        <f>COUNTIFS('تجربه‌گرها'!$B:$B,$A599,'تجربه‌گرها'!$F:$F,E$1)</f>
        <v>0</v>
      </c>
      <c r="F599" s="242">
        <f>COUNTIFS('تجربه‌گرها'!$B:$B,$A599,'تجربه‌گرها'!$F:$F,F$1)</f>
        <v>0</v>
      </c>
      <c r="G599" s="242">
        <f>COUNTIFS('تجربه‌گرها'!$B:$B,$A599,'تجربه‌گرها'!$F:$F,G$1)</f>
        <v>0</v>
      </c>
      <c r="H599" s="242">
        <f>COUNTIFS('تجربه‌گرها'!$B:$B,$A599,'تجربه‌گرها'!$F:$F,H$1)</f>
        <v>0</v>
      </c>
      <c r="I599" s="242">
        <f>COUNTIFS('تجربه‌گرها'!$B:$B,$A599,'تجربه‌گرها'!$F:$F,I$1)</f>
        <v>1</v>
      </c>
      <c r="J599" s="242">
        <f>COUNTIFS('تجربه‌گرها'!$B:$B,$A599,'تجربه‌گرها'!$F:$F,J$1)</f>
        <v>0</v>
      </c>
      <c r="K599" s="242">
        <f>COUNTIFS('تجربه‌گرها'!$B:$B,$A599,'تجربه‌گرها'!$F:$F,K$1)</f>
        <v>0</v>
      </c>
      <c r="L599" s="242">
        <f>COUNTIFS('تجربه‌گرها'!$B:$B,$A599,'تجربه‌گرها'!$F:$F,L$1)</f>
        <v>0</v>
      </c>
      <c r="M599" s="242">
        <f>COUNTIFS('تجربه‌گرها'!$B:$B,$A599,'تجربه‌گرها'!$F:$F,M$1)</f>
        <v>0</v>
      </c>
      <c r="N599" s="242">
        <f>COUNTIFS('تجربه‌گرها'!$B:$B,$A599,'تجربه‌گرها'!$F:$F,N$1)</f>
        <v>0</v>
      </c>
      <c r="O599" s="242">
        <f>COUNTIFS('تجربه‌گرها'!$B:$B,$A599,'تجربه‌گرها'!$F:$F,O$1)</f>
        <v>0</v>
      </c>
      <c r="P599" s="242">
        <f>COUNTIFS('تجربه‌گرها'!$B:$B,$A599,'تجربه‌گرها'!$F:$F,P$1)</f>
        <v>0</v>
      </c>
      <c r="Q599" s="242">
        <f>COUNTIFS('تجربه‌گرها'!$B:$B,$A599,'تجربه‌گرها'!$F:$F,Q$1)</f>
        <v>0</v>
      </c>
      <c r="R599" s="242">
        <f>COUNTIFS('تجربه‌گرها'!$B:$B,$A599,'تجربه‌گرها'!$F:$F,R$1)</f>
        <v>0</v>
      </c>
      <c r="S599" s="242">
        <f>COUNTIFS('تجربه‌گرها'!$B:$B,$A599,'تجربه‌گرها'!$F:$F,S$1)</f>
        <v>0</v>
      </c>
      <c r="T599" s="242">
        <f>COUNTIFS('تجربه‌گرها'!$B:$B,$A599,'تجربه‌گرها'!$F:$F,T$1)</f>
        <v>0</v>
      </c>
      <c r="U599" s="242"/>
      <c r="V599" s="242"/>
      <c r="W599" s="242"/>
      <c r="X599" s="242"/>
      <c r="Y599" s="242"/>
      <c r="Z599" s="242"/>
      <c r="AA599" s="242"/>
      <c r="AB599" s="242"/>
    </row>
    <row r="600" hidden="1">
      <c r="A600" s="244" t="s">
        <v>3859</v>
      </c>
      <c r="B600" s="245" t="str">
        <f>VLOOKUP(A600,'تجربه‌گرها'!B:C,2,FALSE())</f>
        <v>9127147937</v>
      </c>
      <c r="C600" s="242"/>
      <c r="D600" s="242">
        <f t="shared" si="1"/>
        <v>1</v>
      </c>
      <c r="E600" s="242">
        <f>COUNTIFS('تجربه‌گرها'!$B:$B,$A600,'تجربه‌گرها'!$F:$F,E$1)</f>
        <v>0</v>
      </c>
      <c r="F600" s="242">
        <f>COUNTIFS('تجربه‌گرها'!$B:$B,$A600,'تجربه‌گرها'!$F:$F,F$1)</f>
        <v>0</v>
      </c>
      <c r="G600" s="242">
        <f>COUNTIFS('تجربه‌گرها'!$B:$B,$A600,'تجربه‌گرها'!$F:$F,G$1)</f>
        <v>0</v>
      </c>
      <c r="H600" s="242">
        <f>COUNTIFS('تجربه‌گرها'!$B:$B,$A600,'تجربه‌گرها'!$F:$F,H$1)</f>
        <v>0</v>
      </c>
      <c r="I600" s="242">
        <f>COUNTIFS('تجربه‌گرها'!$B:$B,$A600,'تجربه‌گرها'!$F:$F,I$1)</f>
        <v>1</v>
      </c>
      <c r="J600" s="242">
        <f>COUNTIFS('تجربه‌گرها'!$B:$B,$A600,'تجربه‌گرها'!$F:$F,J$1)</f>
        <v>0</v>
      </c>
      <c r="K600" s="242">
        <f>COUNTIFS('تجربه‌گرها'!$B:$B,$A600,'تجربه‌گرها'!$F:$F,K$1)</f>
        <v>0</v>
      </c>
      <c r="L600" s="242">
        <f>COUNTIFS('تجربه‌گرها'!$B:$B,$A600,'تجربه‌گرها'!$F:$F,L$1)</f>
        <v>0</v>
      </c>
      <c r="M600" s="242">
        <f>COUNTIFS('تجربه‌گرها'!$B:$B,$A600,'تجربه‌گرها'!$F:$F,M$1)</f>
        <v>0</v>
      </c>
      <c r="N600" s="242">
        <f>COUNTIFS('تجربه‌گرها'!$B:$B,$A600,'تجربه‌گرها'!$F:$F,N$1)</f>
        <v>0</v>
      </c>
      <c r="O600" s="242">
        <f>COUNTIFS('تجربه‌گرها'!$B:$B,$A600,'تجربه‌گرها'!$F:$F,O$1)</f>
        <v>0</v>
      </c>
      <c r="P600" s="242">
        <f>COUNTIFS('تجربه‌گرها'!$B:$B,$A600,'تجربه‌گرها'!$F:$F,P$1)</f>
        <v>0</v>
      </c>
      <c r="Q600" s="242">
        <f>COUNTIFS('تجربه‌گرها'!$B:$B,$A600,'تجربه‌گرها'!$F:$F,Q$1)</f>
        <v>0</v>
      </c>
      <c r="R600" s="242">
        <f>COUNTIFS('تجربه‌گرها'!$B:$B,$A600,'تجربه‌گرها'!$F:$F,R$1)</f>
        <v>0</v>
      </c>
      <c r="S600" s="242">
        <f>COUNTIFS('تجربه‌گرها'!$B:$B,$A600,'تجربه‌گرها'!$F:$F,S$1)</f>
        <v>0</v>
      </c>
      <c r="T600" s="242">
        <f>COUNTIFS('تجربه‌گرها'!$B:$B,$A600,'تجربه‌گرها'!$F:$F,T$1)</f>
        <v>0</v>
      </c>
      <c r="U600" s="242"/>
      <c r="V600" s="242"/>
      <c r="W600" s="242"/>
      <c r="X600" s="242"/>
      <c r="Y600" s="242"/>
      <c r="Z600" s="242"/>
      <c r="AA600" s="242"/>
      <c r="AB600" s="242"/>
    </row>
    <row r="601" hidden="1">
      <c r="A601" s="244" t="s">
        <v>3864</v>
      </c>
      <c r="B601" s="245" t="str">
        <f>VLOOKUP(A601,'تجربه‌گرها'!B:C,2,FALSE())</f>
        <v>9353675724</v>
      </c>
      <c r="C601" s="242"/>
      <c r="D601" s="242">
        <f t="shared" si="1"/>
        <v>1</v>
      </c>
      <c r="E601" s="242">
        <f>COUNTIFS('تجربه‌گرها'!$B:$B,$A601,'تجربه‌گرها'!$F:$F,E$1)</f>
        <v>0</v>
      </c>
      <c r="F601" s="242">
        <f>COUNTIFS('تجربه‌گرها'!$B:$B,$A601,'تجربه‌گرها'!$F:$F,F$1)</f>
        <v>0</v>
      </c>
      <c r="G601" s="242">
        <f>COUNTIFS('تجربه‌گرها'!$B:$B,$A601,'تجربه‌گرها'!$F:$F,G$1)</f>
        <v>0</v>
      </c>
      <c r="H601" s="242">
        <f>COUNTIFS('تجربه‌گرها'!$B:$B,$A601,'تجربه‌گرها'!$F:$F,H$1)</f>
        <v>0</v>
      </c>
      <c r="I601" s="242">
        <f>COUNTIFS('تجربه‌گرها'!$B:$B,$A601,'تجربه‌گرها'!$F:$F,I$1)</f>
        <v>1</v>
      </c>
      <c r="J601" s="242">
        <f>COUNTIFS('تجربه‌گرها'!$B:$B,$A601,'تجربه‌گرها'!$F:$F,J$1)</f>
        <v>0</v>
      </c>
      <c r="K601" s="242">
        <f>COUNTIFS('تجربه‌گرها'!$B:$B,$A601,'تجربه‌گرها'!$F:$F,K$1)</f>
        <v>0</v>
      </c>
      <c r="L601" s="242">
        <f>COUNTIFS('تجربه‌گرها'!$B:$B,$A601,'تجربه‌گرها'!$F:$F,L$1)</f>
        <v>0</v>
      </c>
      <c r="M601" s="242">
        <f>COUNTIFS('تجربه‌گرها'!$B:$B,$A601,'تجربه‌گرها'!$F:$F,M$1)</f>
        <v>0</v>
      </c>
      <c r="N601" s="242">
        <f>COUNTIFS('تجربه‌گرها'!$B:$B,$A601,'تجربه‌گرها'!$F:$F,N$1)</f>
        <v>0</v>
      </c>
      <c r="O601" s="242">
        <f>COUNTIFS('تجربه‌گرها'!$B:$B,$A601,'تجربه‌گرها'!$F:$F,O$1)</f>
        <v>0</v>
      </c>
      <c r="P601" s="242">
        <f>COUNTIFS('تجربه‌گرها'!$B:$B,$A601,'تجربه‌گرها'!$F:$F,P$1)</f>
        <v>0</v>
      </c>
      <c r="Q601" s="242">
        <f>COUNTIFS('تجربه‌گرها'!$B:$B,$A601,'تجربه‌گرها'!$F:$F,Q$1)</f>
        <v>0</v>
      </c>
      <c r="R601" s="242">
        <f>COUNTIFS('تجربه‌گرها'!$B:$B,$A601,'تجربه‌گرها'!$F:$F,R$1)</f>
        <v>0</v>
      </c>
      <c r="S601" s="242">
        <f>COUNTIFS('تجربه‌گرها'!$B:$B,$A601,'تجربه‌گرها'!$F:$F,S$1)</f>
        <v>0</v>
      </c>
      <c r="T601" s="242">
        <f>COUNTIFS('تجربه‌گرها'!$B:$B,$A601,'تجربه‌گرها'!$F:$F,T$1)</f>
        <v>0</v>
      </c>
      <c r="U601" s="242"/>
      <c r="V601" s="242"/>
      <c r="W601" s="242"/>
      <c r="X601" s="242"/>
      <c r="Y601" s="242"/>
      <c r="Z601" s="242"/>
      <c r="AA601" s="242"/>
      <c r="AB601" s="242"/>
    </row>
    <row r="602" hidden="1">
      <c r="A602" s="244" t="s">
        <v>3869</v>
      </c>
      <c r="B602" s="245" t="str">
        <f>VLOOKUP(A602,'تجربه‌گرها'!B:C,2,FALSE())</f>
        <v>9361341925</v>
      </c>
      <c r="C602" s="242"/>
      <c r="D602" s="242">
        <f t="shared" si="1"/>
        <v>1</v>
      </c>
      <c r="E602" s="242">
        <f>COUNTIFS('تجربه‌گرها'!$B:$B,$A602,'تجربه‌گرها'!$F:$F,E$1)</f>
        <v>0</v>
      </c>
      <c r="F602" s="242">
        <f>COUNTIFS('تجربه‌گرها'!$B:$B,$A602,'تجربه‌گرها'!$F:$F,F$1)</f>
        <v>0</v>
      </c>
      <c r="G602" s="242">
        <f>COUNTIFS('تجربه‌گرها'!$B:$B,$A602,'تجربه‌گرها'!$F:$F,G$1)</f>
        <v>0</v>
      </c>
      <c r="H602" s="242">
        <f>COUNTIFS('تجربه‌گرها'!$B:$B,$A602,'تجربه‌گرها'!$F:$F,H$1)</f>
        <v>0</v>
      </c>
      <c r="I602" s="242">
        <f>COUNTIFS('تجربه‌گرها'!$B:$B,$A602,'تجربه‌گرها'!$F:$F,I$1)</f>
        <v>1</v>
      </c>
      <c r="J602" s="242">
        <f>COUNTIFS('تجربه‌گرها'!$B:$B,$A602,'تجربه‌گرها'!$F:$F,J$1)</f>
        <v>0</v>
      </c>
      <c r="K602" s="242">
        <f>COUNTIFS('تجربه‌گرها'!$B:$B,$A602,'تجربه‌گرها'!$F:$F,K$1)</f>
        <v>0</v>
      </c>
      <c r="L602" s="242">
        <f>COUNTIFS('تجربه‌گرها'!$B:$B,$A602,'تجربه‌گرها'!$F:$F,L$1)</f>
        <v>0</v>
      </c>
      <c r="M602" s="242">
        <f>COUNTIFS('تجربه‌گرها'!$B:$B,$A602,'تجربه‌گرها'!$F:$F,M$1)</f>
        <v>0</v>
      </c>
      <c r="N602" s="242">
        <f>COUNTIFS('تجربه‌گرها'!$B:$B,$A602,'تجربه‌گرها'!$F:$F,N$1)</f>
        <v>0</v>
      </c>
      <c r="O602" s="242">
        <f>COUNTIFS('تجربه‌گرها'!$B:$B,$A602,'تجربه‌گرها'!$F:$F,O$1)</f>
        <v>0</v>
      </c>
      <c r="P602" s="242">
        <f>COUNTIFS('تجربه‌گرها'!$B:$B,$A602,'تجربه‌گرها'!$F:$F,P$1)</f>
        <v>0</v>
      </c>
      <c r="Q602" s="242">
        <f>COUNTIFS('تجربه‌گرها'!$B:$B,$A602,'تجربه‌گرها'!$F:$F,Q$1)</f>
        <v>0</v>
      </c>
      <c r="R602" s="242">
        <f>COUNTIFS('تجربه‌گرها'!$B:$B,$A602,'تجربه‌گرها'!$F:$F,R$1)</f>
        <v>0</v>
      </c>
      <c r="S602" s="242">
        <f>COUNTIFS('تجربه‌گرها'!$B:$B,$A602,'تجربه‌گرها'!$F:$F,S$1)</f>
        <v>0</v>
      </c>
      <c r="T602" s="242">
        <f>COUNTIFS('تجربه‌گرها'!$B:$B,$A602,'تجربه‌گرها'!$F:$F,T$1)</f>
        <v>0</v>
      </c>
      <c r="U602" s="242"/>
      <c r="V602" s="242"/>
      <c r="W602" s="242"/>
      <c r="X602" s="242"/>
      <c r="Y602" s="242"/>
      <c r="Z602" s="242"/>
      <c r="AA602" s="242"/>
      <c r="AB602" s="242"/>
    </row>
    <row r="603" hidden="1">
      <c r="A603" s="244" t="s">
        <v>3874</v>
      </c>
      <c r="B603" s="245" t="str">
        <f>VLOOKUP(A603,'تجربه‌گرها'!B:C,2,FALSE())</f>
        <v>9355007907</v>
      </c>
      <c r="C603" s="242"/>
      <c r="D603" s="242">
        <f t="shared" si="1"/>
        <v>1</v>
      </c>
      <c r="E603" s="242">
        <f>COUNTIFS('تجربه‌گرها'!$B:$B,$A603,'تجربه‌گرها'!$F:$F,E$1)</f>
        <v>0</v>
      </c>
      <c r="F603" s="242">
        <f>COUNTIFS('تجربه‌گرها'!$B:$B,$A603,'تجربه‌گرها'!$F:$F,F$1)</f>
        <v>0</v>
      </c>
      <c r="G603" s="242">
        <f>COUNTIFS('تجربه‌گرها'!$B:$B,$A603,'تجربه‌گرها'!$F:$F,G$1)</f>
        <v>0</v>
      </c>
      <c r="H603" s="242">
        <f>COUNTIFS('تجربه‌گرها'!$B:$B,$A603,'تجربه‌گرها'!$F:$F,H$1)</f>
        <v>0</v>
      </c>
      <c r="I603" s="242">
        <f>COUNTIFS('تجربه‌گرها'!$B:$B,$A603,'تجربه‌گرها'!$F:$F,I$1)</f>
        <v>1</v>
      </c>
      <c r="J603" s="242">
        <f>COUNTIFS('تجربه‌گرها'!$B:$B,$A603,'تجربه‌گرها'!$F:$F,J$1)</f>
        <v>0</v>
      </c>
      <c r="K603" s="242">
        <f>COUNTIFS('تجربه‌گرها'!$B:$B,$A603,'تجربه‌گرها'!$F:$F,K$1)</f>
        <v>0</v>
      </c>
      <c r="L603" s="242">
        <f>COUNTIFS('تجربه‌گرها'!$B:$B,$A603,'تجربه‌گرها'!$F:$F,L$1)</f>
        <v>0</v>
      </c>
      <c r="M603" s="242">
        <f>COUNTIFS('تجربه‌گرها'!$B:$B,$A603,'تجربه‌گرها'!$F:$F,M$1)</f>
        <v>0</v>
      </c>
      <c r="N603" s="242">
        <f>COUNTIFS('تجربه‌گرها'!$B:$B,$A603,'تجربه‌گرها'!$F:$F,N$1)</f>
        <v>0</v>
      </c>
      <c r="O603" s="242">
        <f>COUNTIFS('تجربه‌گرها'!$B:$B,$A603,'تجربه‌گرها'!$F:$F,O$1)</f>
        <v>0</v>
      </c>
      <c r="P603" s="242">
        <f>COUNTIFS('تجربه‌گرها'!$B:$B,$A603,'تجربه‌گرها'!$F:$F,P$1)</f>
        <v>0</v>
      </c>
      <c r="Q603" s="242">
        <f>COUNTIFS('تجربه‌گرها'!$B:$B,$A603,'تجربه‌گرها'!$F:$F,Q$1)</f>
        <v>0</v>
      </c>
      <c r="R603" s="242">
        <f>COUNTIFS('تجربه‌گرها'!$B:$B,$A603,'تجربه‌گرها'!$F:$F,R$1)</f>
        <v>0</v>
      </c>
      <c r="S603" s="242">
        <f>COUNTIFS('تجربه‌گرها'!$B:$B,$A603,'تجربه‌گرها'!$F:$F,S$1)</f>
        <v>0</v>
      </c>
      <c r="T603" s="242">
        <f>COUNTIFS('تجربه‌گرها'!$B:$B,$A603,'تجربه‌گرها'!$F:$F,T$1)</f>
        <v>0</v>
      </c>
      <c r="U603" s="242"/>
      <c r="V603" s="242"/>
      <c r="W603" s="242"/>
      <c r="X603" s="242"/>
      <c r="Y603" s="242"/>
      <c r="Z603" s="242"/>
      <c r="AA603" s="242"/>
      <c r="AB603" s="242"/>
    </row>
    <row r="604" hidden="1">
      <c r="A604" s="244" t="s">
        <v>3879</v>
      </c>
      <c r="B604" s="245" t="str">
        <f>VLOOKUP(A604,'تجربه‌گرها'!B:C,2,FALSE())</f>
        <v>9128264399</v>
      </c>
      <c r="C604" s="242"/>
      <c r="D604" s="242">
        <f t="shared" si="1"/>
        <v>1</v>
      </c>
      <c r="E604" s="242">
        <f>COUNTIFS('تجربه‌گرها'!$B:$B,$A604,'تجربه‌گرها'!$F:$F,E$1)</f>
        <v>0</v>
      </c>
      <c r="F604" s="242">
        <f>COUNTIFS('تجربه‌گرها'!$B:$B,$A604,'تجربه‌گرها'!$F:$F,F$1)</f>
        <v>0</v>
      </c>
      <c r="G604" s="242">
        <f>COUNTIFS('تجربه‌گرها'!$B:$B,$A604,'تجربه‌گرها'!$F:$F,G$1)</f>
        <v>0</v>
      </c>
      <c r="H604" s="242">
        <f>COUNTIFS('تجربه‌گرها'!$B:$B,$A604,'تجربه‌گرها'!$F:$F,H$1)</f>
        <v>0</v>
      </c>
      <c r="I604" s="242">
        <f>COUNTIFS('تجربه‌گرها'!$B:$B,$A604,'تجربه‌گرها'!$F:$F,I$1)</f>
        <v>1</v>
      </c>
      <c r="J604" s="242">
        <f>COUNTIFS('تجربه‌گرها'!$B:$B,$A604,'تجربه‌گرها'!$F:$F,J$1)</f>
        <v>0</v>
      </c>
      <c r="K604" s="242">
        <f>COUNTIFS('تجربه‌گرها'!$B:$B,$A604,'تجربه‌گرها'!$F:$F,K$1)</f>
        <v>0</v>
      </c>
      <c r="L604" s="242">
        <f>COUNTIFS('تجربه‌گرها'!$B:$B,$A604,'تجربه‌گرها'!$F:$F,L$1)</f>
        <v>0</v>
      </c>
      <c r="M604" s="242">
        <f>COUNTIFS('تجربه‌گرها'!$B:$B,$A604,'تجربه‌گرها'!$F:$F,M$1)</f>
        <v>0</v>
      </c>
      <c r="N604" s="242">
        <f>COUNTIFS('تجربه‌گرها'!$B:$B,$A604,'تجربه‌گرها'!$F:$F,N$1)</f>
        <v>0</v>
      </c>
      <c r="O604" s="242">
        <f>COUNTIFS('تجربه‌گرها'!$B:$B,$A604,'تجربه‌گرها'!$F:$F,O$1)</f>
        <v>0</v>
      </c>
      <c r="P604" s="242">
        <f>COUNTIFS('تجربه‌گرها'!$B:$B,$A604,'تجربه‌گرها'!$F:$F,P$1)</f>
        <v>0</v>
      </c>
      <c r="Q604" s="242">
        <f>COUNTIFS('تجربه‌گرها'!$B:$B,$A604,'تجربه‌گرها'!$F:$F,Q$1)</f>
        <v>0</v>
      </c>
      <c r="R604" s="242">
        <f>COUNTIFS('تجربه‌گرها'!$B:$B,$A604,'تجربه‌گرها'!$F:$F,R$1)</f>
        <v>0</v>
      </c>
      <c r="S604" s="242">
        <f>COUNTIFS('تجربه‌گرها'!$B:$B,$A604,'تجربه‌گرها'!$F:$F,S$1)</f>
        <v>0</v>
      </c>
      <c r="T604" s="242">
        <f>COUNTIFS('تجربه‌گرها'!$B:$B,$A604,'تجربه‌گرها'!$F:$F,T$1)</f>
        <v>0</v>
      </c>
      <c r="U604" s="242"/>
      <c r="V604" s="242"/>
      <c r="W604" s="242"/>
      <c r="X604" s="242"/>
      <c r="Y604" s="242"/>
      <c r="Z604" s="242"/>
      <c r="AA604" s="242"/>
      <c r="AB604" s="242"/>
    </row>
    <row r="605" hidden="1">
      <c r="A605" s="244" t="s">
        <v>3884</v>
      </c>
      <c r="B605" s="245" t="str">
        <f>VLOOKUP(A605,'تجربه‌گرها'!B:C,2,FALSE())</f>
        <v>9133560929</v>
      </c>
      <c r="C605" s="242"/>
      <c r="D605" s="242">
        <f t="shared" si="1"/>
        <v>1</v>
      </c>
      <c r="E605" s="242">
        <f>COUNTIFS('تجربه‌گرها'!$B:$B,$A605,'تجربه‌گرها'!$F:$F,E$1)</f>
        <v>0</v>
      </c>
      <c r="F605" s="242">
        <f>COUNTIFS('تجربه‌گرها'!$B:$B,$A605,'تجربه‌گرها'!$F:$F,F$1)</f>
        <v>0</v>
      </c>
      <c r="G605" s="242">
        <f>COUNTIFS('تجربه‌گرها'!$B:$B,$A605,'تجربه‌گرها'!$F:$F,G$1)</f>
        <v>0</v>
      </c>
      <c r="H605" s="242">
        <f>COUNTIFS('تجربه‌گرها'!$B:$B,$A605,'تجربه‌گرها'!$F:$F,H$1)</f>
        <v>0</v>
      </c>
      <c r="I605" s="242">
        <f>COUNTIFS('تجربه‌گرها'!$B:$B,$A605,'تجربه‌گرها'!$F:$F,I$1)</f>
        <v>1</v>
      </c>
      <c r="J605" s="242">
        <f>COUNTIFS('تجربه‌گرها'!$B:$B,$A605,'تجربه‌گرها'!$F:$F,J$1)</f>
        <v>0</v>
      </c>
      <c r="K605" s="242">
        <f>COUNTIFS('تجربه‌گرها'!$B:$B,$A605,'تجربه‌گرها'!$F:$F,K$1)</f>
        <v>0</v>
      </c>
      <c r="L605" s="242">
        <f>COUNTIFS('تجربه‌گرها'!$B:$B,$A605,'تجربه‌گرها'!$F:$F,L$1)</f>
        <v>0</v>
      </c>
      <c r="M605" s="242">
        <f>COUNTIFS('تجربه‌گرها'!$B:$B,$A605,'تجربه‌گرها'!$F:$F,M$1)</f>
        <v>0</v>
      </c>
      <c r="N605" s="242">
        <f>COUNTIFS('تجربه‌گرها'!$B:$B,$A605,'تجربه‌گرها'!$F:$F,N$1)</f>
        <v>0</v>
      </c>
      <c r="O605" s="242">
        <f>COUNTIFS('تجربه‌گرها'!$B:$B,$A605,'تجربه‌گرها'!$F:$F,O$1)</f>
        <v>0</v>
      </c>
      <c r="P605" s="242">
        <f>COUNTIFS('تجربه‌گرها'!$B:$B,$A605,'تجربه‌گرها'!$F:$F,P$1)</f>
        <v>0</v>
      </c>
      <c r="Q605" s="242">
        <f>COUNTIFS('تجربه‌گرها'!$B:$B,$A605,'تجربه‌گرها'!$F:$F,Q$1)</f>
        <v>0</v>
      </c>
      <c r="R605" s="242">
        <f>COUNTIFS('تجربه‌گرها'!$B:$B,$A605,'تجربه‌گرها'!$F:$F,R$1)</f>
        <v>0</v>
      </c>
      <c r="S605" s="242">
        <f>COUNTIFS('تجربه‌گرها'!$B:$B,$A605,'تجربه‌گرها'!$F:$F,S$1)</f>
        <v>0</v>
      </c>
      <c r="T605" s="242">
        <f>COUNTIFS('تجربه‌گرها'!$B:$B,$A605,'تجربه‌گرها'!$F:$F,T$1)</f>
        <v>0</v>
      </c>
      <c r="U605" s="242"/>
      <c r="V605" s="242"/>
      <c r="W605" s="242"/>
      <c r="X605" s="242"/>
      <c r="Y605" s="242"/>
      <c r="Z605" s="242"/>
      <c r="AA605" s="242"/>
      <c r="AB605" s="242"/>
    </row>
    <row r="606" hidden="1">
      <c r="A606" s="244" t="s">
        <v>3889</v>
      </c>
      <c r="B606" s="245" t="str">
        <f>VLOOKUP(A606,'تجربه‌گرها'!B:C,2,FALSE())</f>
        <v>9128895095</v>
      </c>
      <c r="C606" s="242"/>
      <c r="D606" s="242">
        <f t="shared" si="1"/>
        <v>1</v>
      </c>
      <c r="E606" s="242">
        <f>COUNTIFS('تجربه‌گرها'!$B:$B,$A606,'تجربه‌گرها'!$F:$F,E$1)</f>
        <v>0</v>
      </c>
      <c r="F606" s="242">
        <f>COUNTIFS('تجربه‌گرها'!$B:$B,$A606,'تجربه‌گرها'!$F:$F,F$1)</f>
        <v>0</v>
      </c>
      <c r="G606" s="242">
        <f>COUNTIFS('تجربه‌گرها'!$B:$B,$A606,'تجربه‌گرها'!$F:$F,G$1)</f>
        <v>0</v>
      </c>
      <c r="H606" s="242">
        <f>COUNTIFS('تجربه‌گرها'!$B:$B,$A606,'تجربه‌گرها'!$F:$F,H$1)</f>
        <v>0</v>
      </c>
      <c r="I606" s="242">
        <f>COUNTIFS('تجربه‌گرها'!$B:$B,$A606,'تجربه‌گرها'!$F:$F,I$1)</f>
        <v>1</v>
      </c>
      <c r="J606" s="242">
        <f>COUNTIFS('تجربه‌گرها'!$B:$B,$A606,'تجربه‌گرها'!$F:$F,J$1)</f>
        <v>0</v>
      </c>
      <c r="K606" s="242">
        <f>COUNTIFS('تجربه‌گرها'!$B:$B,$A606,'تجربه‌گرها'!$F:$F,K$1)</f>
        <v>0</v>
      </c>
      <c r="L606" s="242">
        <f>COUNTIFS('تجربه‌گرها'!$B:$B,$A606,'تجربه‌گرها'!$F:$F,L$1)</f>
        <v>0</v>
      </c>
      <c r="M606" s="242">
        <f>COUNTIFS('تجربه‌گرها'!$B:$B,$A606,'تجربه‌گرها'!$F:$F,M$1)</f>
        <v>0</v>
      </c>
      <c r="N606" s="242">
        <f>COUNTIFS('تجربه‌گرها'!$B:$B,$A606,'تجربه‌گرها'!$F:$F,N$1)</f>
        <v>0</v>
      </c>
      <c r="O606" s="242">
        <f>COUNTIFS('تجربه‌گرها'!$B:$B,$A606,'تجربه‌گرها'!$F:$F,O$1)</f>
        <v>0</v>
      </c>
      <c r="P606" s="242">
        <f>COUNTIFS('تجربه‌گرها'!$B:$B,$A606,'تجربه‌گرها'!$F:$F,P$1)</f>
        <v>0</v>
      </c>
      <c r="Q606" s="242">
        <f>COUNTIFS('تجربه‌گرها'!$B:$B,$A606,'تجربه‌گرها'!$F:$F,Q$1)</f>
        <v>0</v>
      </c>
      <c r="R606" s="242">
        <f>COUNTIFS('تجربه‌گرها'!$B:$B,$A606,'تجربه‌گرها'!$F:$F,R$1)</f>
        <v>0</v>
      </c>
      <c r="S606" s="242">
        <f>COUNTIFS('تجربه‌گرها'!$B:$B,$A606,'تجربه‌گرها'!$F:$F,S$1)</f>
        <v>0</v>
      </c>
      <c r="T606" s="242">
        <f>COUNTIFS('تجربه‌گرها'!$B:$B,$A606,'تجربه‌گرها'!$F:$F,T$1)</f>
        <v>0</v>
      </c>
      <c r="U606" s="242"/>
      <c r="V606" s="242"/>
      <c r="W606" s="242"/>
      <c r="X606" s="242"/>
      <c r="Y606" s="242"/>
      <c r="Z606" s="242"/>
      <c r="AA606" s="242"/>
      <c r="AB606" s="242"/>
    </row>
    <row r="607" hidden="1">
      <c r="A607" s="244" t="s">
        <v>3894</v>
      </c>
      <c r="B607" s="245" t="str">
        <f>VLOOKUP(A607,'تجربه‌گرها'!B:C,2,FALSE())</f>
        <v>9108823927</v>
      </c>
      <c r="C607" s="242"/>
      <c r="D607" s="242">
        <f t="shared" si="1"/>
        <v>1</v>
      </c>
      <c r="E607" s="242">
        <f>COUNTIFS('تجربه‌گرها'!$B:$B,$A607,'تجربه‌گرها'!$F:$F,E$1)</f>
        <v>0</v>
      </c>
      <c r="F607" s="242">
        <f>COUNTIFS('تجربه‌گرها'!$B:$B,$A607,'تجربه‌گرها'!$F:$F,F$1)</f>
        <v>0</v>
      </c>
      <c r="G607" s="242">
        <f>COUNTIFS('تجربه‌گرها'!$B:$B,$A607,'تجربه‌گرها'!$F:$F,G$1)</f>
        <v>0</v>
      </c>
      <c r="H607" s="242">
        <f>COUNTIFS('تجربه‌گرها'!$B:$B,$A607,'تجربه‌گرها'!$F:$F,H$1)</f>
        <v>0</v>
      </c>
      <c r="I607" s="242">
        <f>COUNTIFS('تجربه‌گرها'!$B:$B,$A607,'تجربه‌گرها'!$F:$F,I$1)</f>
        <v>1</v>
      </c>
      <c r="J607" s="242">
        <f>COUNTIFS('تجربه‌گرها'!$B:$B,$A607,'تجربه‌گرها'!$F:$F,J$1)</f>
        <v>0</v>
      </c>
      <c r="K607" s="242">
        <f>COUNTIFS('تجربه‌گرها'!$B:$B,$A607,'تجربه‌گرها'!$F:$F,K$1)</f>
        <v>0</v>
      </c>
      <c r="L607" s="242">
        <f>COUNTIFS('تجربه‌گرها'!$B:$B,$A607,'تجربه‌گرها'!$F:$F,L$1)</f>
        <v>0</v>
      </c>
      <c r="M607" s="242">
        <f>COUNTIFS('تجربه‌گرها'!$B:$B,$A607,'تجربه‌گرها'!$F:$F,M$1)</f>
        <v>0</v>
      </c>
      <c r="N607" s="242">
        <f>COUNTIFS('تجربه‌گرها'!$B:$B,$A607,'تجربه‌گرها'!$F:$F,N$1)</f>
        <v>0</v>
      </c>
      <c r="O607" s="242">
        <f>COUNTIFS('تجربه‌گرها'!$B:$B,$A607,'تجربه‌گرها'!$F:$F,O$1)</f>
        <v>0</v>
      </c>
      <c r="P607" s="242">
        <f>COUNTIFS('تجربه‌گرها'!$B:$B,$A607,'تجربه‌گرها'!$F:$F,P$1)</f>
        <v>0</v>
      </c>
      <c r="Q607" s="242">
        <f>COUNTIFS('تجربه‌گرها'!$B:$B,$A607,'تجربه‌گرها'!$F:$F,Q$1)</f>
        <v>0</v>
      </c>
      <c r="R607" s="242">
        <f>COUNTIFS('تجربه‌گرها'!$B:$B,$A607,'تجربه‌گرها'!$F:$F,R$1)</f>
        <v>0</v>
      </c>
      <c r="S607" s="242">
        <f>COUNTIFS('تجربه‌گرها'!$B:$B,$A607,'تجربه‌گرها'!$F:$F,S$1)</f>
        <v>0</v>
      </c>
      <c r="T607" s="242">
        <f>COUNTIFS('تجربه‌گرها'!$B:$B,$A607,'تجربه‌گرها'!$F:$F,T$1)</f>
        <v>0</v>
      </c>
      <c r="U607" s="242"/>
      <c r="V607" s="242"/>
      <c r="W607" s="242"/>
      <c r="X607" s="242"/>
      <c r="Y607" s="242"/>
      <c r="Z607" s="242"/>
      <c r="AA607" s="242"/>
      <c r="AB607" s="242"/>
    </row>
    <row r="608" hidden="1">
      <c r="A608" s="244" t="s">
        <v>3899</v>
      </c>
      <c r="B608" s="245" t="str">
        <f>VLOOKUP(A608,'تجربه‌گرها'!B:C,2,FALSE())</f>
        <v>9120481789</v>
      </c>
      <c r="C608" s="242"/>
      <c r="D608" s="242">
        <f t="shared" si="1"/>
        <v>1</v>
      </c>
      <c r="E608" s="242">
        <f>COUNTIFS('تجربه‌گرها'!$B:$B,$A608,'تجربه‌گرها'!$F:$F,E$1)</f>
        <v>0</v>
      </c>
      <c r="F608" s="242">
        <f>COUNTIFS('تجربه‌گرها'!$B:$B,$A608,'تجربه‌گرها'!$F:$F,F$1)</f>
        <v>0</v>
      </c>
      <c r="G608" s="242">
        <f>COUNTIFS('تجربه‌گرها'!$B:$B,$A608,'تجربه‌گرها'!$F:$F,G$1)</f>
        <v>0</v>
      </c>
      <c r="H608" s="242">
        <f>COUNTIFS('تجربه‌گرها'!$B:$B,$A608,'تجربه‌گرها'!$F:$F,H$1)</f>
        <v>0</v>
      </c>
      <c r="I608" s="242">
        <f>COUNTIFS('تجربه‌گرها'!$B:$B,$A608,'تجربه‌گرها'!$F:$F,I$1)</f>
        <v>1</v>
      </c>
      <c r="J608" s="242">
        <f>COUNTIFS('تجربه‌گرها'!$B:$B,$A608,'تجربه‌گرها'!$F:$F,J$1)</f>
        <v>0</v>
      </c>
      <c r="K608" s="242">
        <f>COUNTIFS('تجربه‌گرها'!$B:$B,$A608,'تجربه‌گرها'!$F:$F,K$1)</f>
        <v>0</v>
      </c>
      <c r="L608" s="242">
        <f>COUNTIFS('تجربه‌گرها'!$B:$B,$A608,'تجربه‌گرها'!$F:$F,L$1)</f>
        <v>0</v>
      </c>
      <c r="M608" s="242">
        <f>COUNTIFS('تجربه‌گرها'!$B:$B,$A608,'تجربه‌گرها'!$F:$F,M$1)</f>
        <v>0</v>
      </c>
      <c r="N608" s="242">
        <f>COUNTIFS('تجربه‌گرها'!$B:$B,$A608,'تجربه‌گرها'!$F:$F,N$1)</f>
        <v>0</v>
      </c>
      <c r="O608" s="242">
        <f>COUNTIFS('تجربه‌گرها'!$B:$B,$A608,'تجربه‌گرها'!$F:$F,O$1)</f>
        <v>0</v>
      </c>
      <c r="P608" s="242">
        <f>COUNTIFS('تجربه‌گرها'!$B:$B,$A608,'تجربه‌گرها'!$F:$F,P$1)</f>
        <v>0</v>
      </c>
      <c r="Q608" s="242">
        <f>COUNTIFS('تجربه‌گرها'!$B:$B,$A608,'تجربه‌گرها'!$F:$F,Q$1)</f>
        <v>0</v>
      </c>
      <c r="R608" s="242">
        <f>COUNTIFS('تجربه‌گرها'!$B:$B,$A608,'تجربه‌گرها'!$F:$F,R$1)</f>
        <v>0</v>
      </c>
      <c r="S608" s="242">
        <f>COUNTIFS('تجربه‌گرها'!$B:$B,$A608,'تجربه‌گرها'!$F:$F,S$1)</f>
        <v>0</v>
      </c>
      <c r="T608" s="242">
        <f>COUNTIFS('تجربه‌گرها'!$B:$B,$A608,'تجربه‌گرها'!$F:$F,T$1)</f>
        <v>0</v>
      </c>
      <c r="U608" s="242"/>
      <c r="V608" s="242"/>
      <c r="W608" s="242"/>
      <c r="X608" s="242"/>
      <c r="Y608" s="242"/>
      <c r="Z608" s="242"/>
      <c r="AA608" s="242"/>
      <c r="AB608" s="242"/>
    </row>
    <row r="609" hidden="1">
      <c r="A609" s="244" t="s">
        <v>3905</v>
      </c>
      <c r="B609" s="245" t="str">
        <f>VLOOKUP(A609,'تجربه‌گرها'!B:C,2,FALSE())</f>
        <v>9124922268</v>
      </c>
      <c r="C609" s="242"/>
      <c r="D609" s="242">
        <f t="shared" si="1"/>
        <v>1</v>
      </c>
      <c r="E609" s="242">
        <f>COUNTIFS('تجربه‌گرها'!$B:$B,$A609,'تجربه‌گرها'!$F:$F,E$1)</f>
        <v>0</v>
      </c>
      <c r="F609" s="242">
        <f>COUNTIFS('تجربه‌گرها'!$B:$B,$A609,'تجربه‌گرها'!$F:$F,F$1)</f>
        <v>0</v>
      </c>
      <c r="G609" s="242">
        <f>COUNTIFS('تجربه‌گرها'!$B:$B,$A609,'تجربه‌گرها'!$F:$F,G$1)</f>
        <v>0</v>
      </c>
      <c r="H609" s="242">
        <f>COUNTIFS('تجربه‌گرها'!$B:$B,$A609,'تجربه‌گرها'!$F:$F,H$1)</f>
        <v>0</v>
      </c>
      <c r="I609" s="242">
        <f>COUNTIFS('تجربه‌گرها'!$B:$B,$A609,'تجربه‌گرها'!$F:$F,I$1)</f>
        <v>1</v>
      </c>
      <c r="J609" s="242">
        <f>COUNTIFS('تجربه‌گرها'!$B:$B,$A609,'تجربه‌گرها'!$F:$F,J$1)</f>
        <v>0</v>
      </c>
      <c r="K609" s="242">
        <f>COUNTIFS('تجربه‌گرها'!$B:$B,$A609,'تجربه‌گرها'!$F:$F,K$1)</f>
        <v>0</v>
      </c>
      <c r="L609" s="242">
        <f>COUNTIFS('تجربه‌گرها'!$B:$B,$A609,'تجربه‌گرها'!$F:$F,L$1)</f>
        <v>0</v>
      </c>
      <c r="M609" s="242">
        <f>COUNTIFS('تجربه‌گرها'!$B:$B,$A609,'تجربه‌گرها'!$F:$F,M$1)</f>
        <v>0</v>
      </c>
      <c r="N609" s="242">
        <f>COUNTIFS('تجربه‌گرها'!$B:$B,$A609,'تجربه‌گرها'!$F:$F,N$1)</f>
        <v>0</v>
      </c>
      <c r="O609" s="242">
        <f>COUNTIFS('تجربه‌گرها'!$B:$B,$A609,'تجربه‌گرها'!$F:$F,O$1)</f>
        <v>0</v>
      </c>
      <c r="P609" s="242">
        <f>COUNTIFS('تجربه‌گرها'!$B:$B,$A609,'تجربه‌گرها'!$F:$F,P$1)</f>
        <v>0</v>
      </c>
      <c r="Q609" s="242">
        <f>COUNTIFS('تجربه‌گرها'!$B:$B,$A609,'تجربه‌گرها'!$F:$F,Q$1)</f>
        <v>0</v>
      </c>
      <c r="R609" s="242">
        <f>COUNTIFS('تجربه‌گرها'!$B:$B,$A609,'تجربه‌گرها'!$F:$F,R$1)</f>
        <v>0</v>
      </c>
      <c r="S609" s="242">
        <f>COUNTIFS('تجربه‌گرها'!$B:$B,$A609,'تجربه‌گرها'!$F:$F,S$1)</f>
        <v>0</v>
      </c>
      <c r="T609" s="242">
        <f>COUNTIFS('تجربه‌گرها'!$B:$B,$A609,'تجربه‌گرها'!$F:$F,T$1)</f>
        <v>0</v>
      </c>
      <c r="U609" s="242"/>
      <c r="V609" s="242"/>
      <c r="W609" s="242"/>
      <c r="X609" s="242"/>
      <c r="Y609" s="242"/>
      <c r="Z609" s="242"/>
      <c r="AA609" s="242"/>
      <c r="AB609" s="242"/>
    </row>
    <row r="610" hidden="1">
      <c r="A610" s="244" t="s">
        <v>3910</v>
      </c>
      <c r="B610" s="245" t="str">
        <f>VLOOKUP(A610,'تجربه‌گرها'!B:C,2,FALSE())</f>
        <v>9192573008</v>
      </c>
      <c r="C610" s="242"/>
      <c r="D610" s="242">
        <f t="shared" si="1"/>
        <v>1</v>
      </c>
      <c r="E610" s="242">
        <f>COUNTIFS('تجربه‌گرها'!$B:$B,$A610,'تجربه‌گرها'!$F:$F,E$1)</f>
        <v>0</v>
      </c>
      <c r="F610" s="242">
        <f>COUNTIFS('تجربه‌گرها'!$B:$B,$A610,'تجربه‌گرها'!$F:$F,F$1)</f>
        <v>0</v>
      </c>
      <c r="G610" s="242">
        <f>COUNTIFS('تجربه‌گرها'!$B:$B,$A610,'تجربه‌گرها'!$F:$F,G$1)</f>
        <v>0</v>
      </c>
      <c r="H610" s="242">
        <f>COUNTIFS('تجربه‌گرها'!$B:$B,$A610,'تجربه‌گرها'!$F:$F,H$1)</f>
        <v>0</v>
      </c>
      <c r="I610" s="242">
        <f>COUNTIFS('تجربه‌گرها'!$B:$B,$A610,'تجربه‌گرها'!$F:$F,I$1)</f>
        <v>1</v>
      </c>
      <c r="J610" s="242">
        <f>COUNTIFS('تجربه‌گرها'!$B:$B,$A610,'تجربه‌گرها'!$F:$F,J$1)</f>
        <v>0</v>
      </c>
      <c r="K610" s="242">
        <f>COUNTIFS('تجربه‌گرها'!$B:$B,$A610,'تجربه‌گرها'!$F:$F,K$1)</f>
        <v>0</v>
      </c>
      <c r="L610" s="242">
        <f>COUNTIFS('تجربه‌گرها'!$B:$B,$A610,'تجربه‌گرها'!$F:$F,L$1)</f>
        <v>0</v>
      </c>
      <c r="M610" s="242">
        <f>COUNTIFS('تجربه‌گرها'!$B:$B,$A610,'تجربه‌گرها'!$F:$F,M$1)</f>
        <v>0</v>
      </c>
      <c r="N610" s="242">
        <f>COUNTIFS('تجربه‌گرها'!$B:$B,$A610,'تجربه‌گرها'!$F:$F,N$1)</f>
        <v>0</v>
      </c>
      <c r="O610" s="242">
        <f>COUNTIFS('تجربه‌گرها'!$B:$B,$A610,'تجربه‌گرها'!$F:$F,O$1)</f>
        <v>0</v>
      </c>
      <c r="P610" s="242">
        <f>COUNTIFS('تجربه‌گرها'!$B:$B,$A610,'تجربه‌گرها'!$F:$F,P$1)</f>
        <v>0</v>
      </c>
      <c r="Q610" s="242">
        <f>COUNTIFS('تجربه‌گرها'!$B:$B,$A610,'تجربه‌گرها'!$F:$F,Q$1)</f>
        <v>0</v>
      </c>
      <c r="R610" s="242">
        <f>COUNTIFS('تجربه‌گرها'!$B:$B,$A610,'تجربه‌گرها'!$F:$F,R$1)</f>
        <v>0</v>
      </c>
      <c r="S610" s="242">
        <f>COUNTIFS('تجربه‌گرها'!$B:$B,$A610,'تجربه‌گرها'!$F:$F,S$1)</f>
        <v>0</v>
      </c>
      <c r="T610" s="242">
        <f>COUNTIFS('تجربه‌گرها'!$B:$B,$A610,'تجربه‌گرها'!$F:$F,T$1)</f>
        <v>0</v>
      </c>
      <c r="U610" s="242"/>
      <c r="V610" s="242"/>
      <c r="W610" s="242"/>
      <c r="X610" s="242"/>
      <c r="Y610" s="242"/>
      <c r="Z610" s="242"/>
      <c r="AA610" s="242"/>
      <c r="AB610" s="242"/>
    </row>
    <row r="611" hidden="1">
      <c r="A611" s="244" t="s">
        <v>3915</v>
      </c>
      <c r="B611" s="245" t="str">
        <f>VLOOKUP(A611,'تجربه‌گرها'!B:C,2,FALSE())</f>
        <v>9120397881</v>
      </c>
      <c r="C611" s="242"/>
      <c r="D611" s="242">
        <f t="shared" si="1"/>
        <v>2</v>
      </c>
      <c r="E611" s="242">
        <f>COUNTIFS('تجربه‌گرها'!$B:$B,$A611,'تجربه‌گرها'!$F:$F,E$1)</f>
        <v>0</v>
      </c>
      <c r="F611" s="242">
        <f>COUNTIFS('تجربه‌گرها'!$B:$B,$A611,'تجربه‌گرها'!$F:$F,F$1)</f>
        <v>0</v>
      </c>
      <c r="G611" s="242">
        <f>COUNTIFS('تجربه‌گرها'!$B:$B,$A611,'تجربه‌گرها'!$F:$F,G$1)</f>
        <v>0</v>
      </c>
      <c r="H611" s="242">
        <f>COUNTIFS('تجربه‌گرها'!$B:$B,$A611,'تجربه‌گرها'!$F:$F,H$1)</f>
        <v>0</v>
      </c>
      <c r="I611" s="242">
        <f>COUNTIFS('تجربه‌گرها'!$B:$B,$A611,'تجربه‌گرها'!$F:$F,I$1)</f>
        <v>1</v>
      </c>
      <c r="J611" s="242">
        <f>COUNTIFS('تجربه‌گرها'!$B:$B,$A611,'تجربه‌گرها'!$F:$F,J$1)</f>
        <v>1</v>
      </c>
      <c r="K611" s="242">
        <f>COUNTIFS('تجربه‌گرها'!$B:$B,$A611,'تجربه‌گرها'!$F:$F,K$1)</f>
        <v>0</v>
      </c>
      <c r="L611" s="242">
        <f>COUNTIFS('تجربه‌گرها'!$B:$B,$A611,'تجربه‌گرها'!$F:$F,L$1)</f>
        <v>0</v>
      </c>
      <c r="M611" s="242">
        <f>COUNTIFS('تجربه‌گرها'!$B:$B,$A611,'تجربه‌گرها'!$F:$F,M$1)</f>
        <v>0</v>
      </c>
      <c r="N611" s="242">
        <f>COUNTIFS('تجربه‌گرها'!$B:$B,$A611,'تجربه‌گرها'!$F:$F,N$1)</f>
        <v>0</v>
      </c>
      <c r="O611" s="242">
        <f>COUNTIFS('تجربه‌گرها'!$B:$B,$A611,'تجربه‌گرها'!$F:$F,O$1)</f>
        <v>0</v>
      </c>
      <c r="P611" s="242">
        <f>COUNTIFS('تجربه‌گرها'!$B:$B,$A611,'تجربه‌گرها'!$F:$F,P$1)</f>
        <v>0</v>
      </c>
      <c r="Q611" s="242">
        <f>COUNTIFS('تجربه‌گرها'!$B:$B,$A611,'تجربه‌گرها'!$F:$F,Q$1)</f>
        <v>0</v>
      </c>
      <c r="R611" s="242">
        <f>COUNTIFS('تجربه‌گرها'!$B:$B,$A611,'تجربه‌گرها'!$F:$F,R$1)</f>
        <v>0</v>
      </c>
      <c r="S611" s="242">
        <f>COUNTIFS('تجربه‌گرها'!$B:$B,$A611,'تجربه‌گرها'!$F:$F,S$1)</f>
        <v>0</v>
      </c>
      <c r="T611" s="242">
        <f>COUNTIFS('تجربه‌گرها'!$B:$B,$A611,'تجربه‌گرها'!$F:$F,T$1)</f>
        <v>0</v>
      </c>
      <c r="U611" s="242"/>
      <c r="V611" s="242"/>
      <c r="W611" s="242"/>
      <c r="X611" s="242"/>
      <c r="Y611" s="242"/>
      <c r="Z611" s="242"/>
      <c r="AA611" s="242"/>
      <c r="AB611" s="242"/>
    </row>
    <row r="612" hidden="1">
      <c r="A612" s="244" t="s">
        <v>3920</v>
      </c>
      <c r="B612" s="245" t="str">
        <f>VLOOKUP(A612,'تجربه‌گرها'!B:C,2,FALSE())</f>
        <v>9373672545</v>
      </c>
      <c r="C612" s="242"/>
      <c r="D612" s="242">
        <f t="shared" si="1"/>
        <v>1</v>
      </c>
      <c r="E612" s="242">
        <f>COUNTIFS('تجربه‌گرها'!$B:$B,$A612,'تجربه‌گرها'!$F:$F,E$1)</f>
        <v>0</v>
      </c>
      <c r="F612" s="242">
        <f>COUNTIFS('تجربه‌گرها'!$B:$B,$A612,'تجربه‌گرها'!$F:$F,F$1)</f>
        <v>0</v>
      </c>
      <c r="G612" s="242">
        <f>COUNTIFS('تجربه‌گرها'!$B:$B,$A612,'تجربه‌گرها'!$F:$F,G$1)</f>
        <v>0</v>
      </c>
      <c r="H612" s="242">
        <f>COUNTIFS('تجربه‌گرها'!$B:$B,$A612,'تجربه‌گرها'!$F:$F,H$1)</f>
        <v>0</v>
      </c>
      <c r="I612" s="242">
        <f>COUNTIFS('تجربه‌گرها'!$B:$B,$A612,'تجربه‌گرها'!$F:$F,I$1)</f>
        <v>1</v>
      </c>
      <c r="J612" s="242">
        <f>COUNTIFS('تجربه‌گرها'!$B:$B,$A612,'تجربه‌گرها'!$F:$F,J$1)</f>
        <v>0</v>
      </c>
      <c r="K612" s="242">
        <f>COUNTIFS('تجربه‌گرها'!$B:$B,$A612,'تجربه‌گرها'!$F:$F,K$1)</f>
        <v>0</v>
      </c>
      <c r="L612" s="242">
        <f>COUNTIFS('تجربه‌گرها'!$B:$B,$A612,'تجربه‌گرها'!$F:$F,L$1)</f>
        <v>0</v>
      </c>
      <c r="M612" s="242">
        <f>COUNTIFS('تجربه‌گرها'!$B:$B,$A612,'تجربه‌گرها'!$F:$F,M$1)</f>
        <v>0</v>
      </c>
      <c r="N612" s="242">
        <f>COUNTIFS('تجربه‌گرها'!$B:$B,$A612,'تجربه‌گرها'!$F:$F,N$1)</f>
        <v>0</v>
      </c>
      <c r="O612" s="242">
        <f>COUNTIFS('تجربه‌گرها'!$B:$B,$A612,'تجربه‌گرها'!$F:$F,O$1)</f>
        <v>0</v>
      </c>
      <c r="P612" s="242">
        <f>COUNTIFS('تجربه‌گرها'!$B:$B,$A612,'تجربه‌گرها'!$F:$F,P$1)</f>
        <v>0</v>
      </c>
      <c r="Q612" s="242">
        <f>COUNTIFS('تجربه‌گرها'!$B:$B,$A612,'تجربه‌گرها'!$F:$F,Q$1)</f>
        <v>0</v>
      </c>
      <c r="R612" s="242">
        <f>COUNTIFS('تجربه‌گرها'!$B:$B,$A612,'تجربه‌گرها'!$F:$F,R$1)</f>
        <v>0</v>
      </c>
      <c r="S612" s="242">
        <f>COUNTIFS('تجربه‌گرها'!$B:$B,$A612,'تجربه‌گرها'!$F:$F,S$1)</f>
        <v>0</v>
      </c>
      <c r="T612" s="242">
        <f>COUNTIFS('تجربه‌گرها'!$B:$B,$A612,'تجربه‌گرها'!$F:$F,T$1)</f>
        <v>0</v>
      </c>
      <c r="U612" s="242"/>
      <c r="V612" s="242"/>
      <c r="W612" s="242"/>
      <c r="X612" s="242"/>
      <c r="Y612" s="242"/>
      <c r="Z612" s="242"/>
      <c r="AA612" s="242"/>
      <c r="AB612" s="242"/>
    </row>
    <row r="613" hidden="1">
      <c r="A613" s="244" t="s">
        <v>3924</v>
      </c>
      <c r="B613" s="245" t="str">
        <f>VLOOKUP(A613,'تجربه‌گرها'!B:C,2,FALSE())</f>
        <v>9126000338</v>
      </c>
      <c r="C613" s="242"/>
      <c r="D613" s="242">
        <f t="shared" si="1"/>
        <v>1</v>
      </c>
      <c r="E613" s="242">
        <f>COUNTIFS('تجربه‌گرها'!$B:$B,$A613,'تجربه‌گرها'!$F:$F,E$1)</f>
        <v>0</v>
      </c>
      <c r="F613" s="242">
        <f>COUNTIFS('تجربه‌گرها'!$B:$B,$A613,'تجربه‌گرها'!$F:$F,F$1)</f>
        <v>0</v>
      </c>
      <c r="G613" s="242">
        <f>COUNTIFS('تجربه‌گرها'!$B:$B,$A613,'تجربه‌گرها'!$F:$F,G$1)</f>
        <v>0</v>
      </c>
      <c r="H613" s="242">
        <f>COUNTIFS('تجربه‌گرها'!$B:$B,$A613,'تجربه‌گرها'!$F:$F,H$1)</f>
        <v>0</v>
      </c>
      <c r="I613" s="242">
        <f>COUNTIFS('تجربه‌گرها'!$B:$B,$A613,'تجربه‌گرها'!$F:$F,I$1)</f>
        <v>0</v>
      </c>
      <c r="J613" s="242">
        <f>COUNTIFS('تجربه‌گرها'!$B:$B,$A613,'تجربه‌گرها'!$F:$F,J$1)</f>
        <v>1</v>
      </c>
      <c r="K613" s="242">
        <f>COUNTIFS('تجربه‌گرها'!$B:$B,$A613,'تجربه‌گرها'!$F:$F,K$1)</f>
        <v>0</v>
      </c>
      <c r="L613" s="242">
        <f>COUNTIFS('تجربه‌گرها'!$B:$B,$A613,'تجربه‌گرها'!$F:$F,L$1)</f>
        <v>0</v>
      </c>
      <c r="M613" s="242">
        <f>COUNTIFS('تجربه‌گرها'!$B:$B,$A613,'تجربه‌گرها'!$F:$F,M$1)</f>
        <v>0</v>
      </c>
      <c r="N613" s="242">
        <f>COUNTIFS('تجربه‌گرها'!$B:$B,$A613,'تجربه‌گرها'!$F:$F,N$1)</f>
        <v>0</v>
      </c>
      <c r="O613" s="242">
        <f>COUNTIFS('تجربه‌گرها'!$B:$B,$A613,'تجربه‌گرها'!$F:$F,O$1)</f>
        <v>0</v>
      </c>
      <c r="P613" s="242">
        <f>COUNTIFS('تجربه‌گرها'!$B:$B,$A613,'تجربه‌گرها'!$F:$F,P$1)</f>
        <v>0</v>
      </c>
      <c r="Q613" s="242">
        <f>COUNTIFS('تجربه‌گرها'!$B:$B,$A613,'تجربه‌گرها'!$F:$F,Q$1)</f>
        <v>0</v>
      </c>
      <c r="R613" s="242">
        <f>COUNTIFS('تجربه‌گرها'!$B:$B,$A613,'تجربه‌گرها'!$F:$F,R$1)</f>
        <v>0</v>
      </c>
      <c r="S613" s="242">
        <f>COUNTIFS('تجربه‌گرها'!$B:$B,$A613,'تجربه‌گرها'!$F:$F,S$1)</f>
        <v>0</v>
      </c>
      <c r="T613" s="242">
        <f>COUNTIFS('تجربه‌گرها'!$B:$B,$A613,'تجربه‌گرها'!$F:$F,T$1)</f>
        <v>0</v>
      </c>
      <c r="U613" s="242"/>
      <c r="V613" s="242"/>
      <c r="W613" s="242"/>
      <c r="X613" s="242"/>
      <c r="Y613" s="242"/>
      <c r="Z613" s="242"/>
      <c r="AA613" s="242"/>
      <c r="AB613" s="242"/>
    </row>
    <row r="614" hidden="1">
      <c r="A614" s="244" t="s">
        <v>3929</v>
      </c>
      <c r="B614" s="245" t="str">
        <f>VLOOKUP(A614,'تجربه‌گرها'!B:C,2,FALSE())</f>
        <v>9127932318</v>
      </c>
      <c r="C614" s="242"/>
      <c r="D614" s="242">
        <f t="shared" si="1"/>
        <v>1</v>
      </c>
      <c r="E614" s="242">
        <f>COUNTIFS('تجربه‌گرها'!$B:$B,$A614,'تجربه‌گرها'!$F:$F,E$1)</f>
        <v>0</v>
      </c>
      <c r="F614" s="242">
        <f>COUNTIFS('تجربه‌گرها'!$B:$B,$A614,'تجربه‌گرها'!$F:$F,F$1)</f>
        <v>0</v>
      </c>
      <c r="G614" s="242">
        <f>COUNTIFS('تجربه‌گرها'!$B:$B,$A614,'تجربه‌گرها'!$F:$F,G$1)</f>
        <v>0</v>
      </c>
      <c r="H614" s="242">
        <f>COUNTIFS('تجربه‌گرها'!$B:$B,$A614,'تجربه‌گرها'!$F:$F,H$1)</f>
        <v>0</v>
      </c>
      <c r="I614" s="242">
        <f>COUNTIFS('تجربه‌گرها'!$B:$B,$A614,'تجربه‌گرها'!$F:$F,I$1)</f>
        <v>0</v>
      </c>
      <c r="J614" s="242">
        <f>COUNTIFS('تجربه‌گرها'!$B:$B,$A614,'تجربه‌گرها'!$F:$F,J$1)</f>
        <v>1</v>
      </c>
      <c r="K614" s="242">
        <f>COUNTIFS('تجربه‌گرها'!$B:$B,$A614,'تجربه‌گرها'!$F:$F,K$1)</f>
        <v>0</v>
      </c>
      <c r="L614" s="242">
        <f>COUNTIFS('تجربه‌گرها'!$B:$B,$A614,'تجربه‌گرها'!$F:$F,L$1)</f>
        <v>0</v>
      </c>
      <c r="M614" s="242">
        <f>COUNTIFS('تجربه‌گرها'!$B:$B,$A614,'تجربه‌گرها'!$F:$F,M$1)</f>
        <v>0</v>
      </c>
      <c r="N614" s="242">
        <f>COUNTIFS('تجربه‌گرها'!$B:$B,$A614,'تجربه‌گرها'!$F:$F,N$1)</f>
        <v>0</v>
      </c>
      <c r="O614" s="242">
        <f>COUNTIFS('تجربه‌گرها'!$B:$B,$A614,'تجربه‌گرها'!$F:$F,O$1)</f>
        <v>0</v>
      </c>
      <c r="P614" s="242">
        <f>COUNTIFS('تجربه‌گرها'!$B:$B,$A614,'تجربه‌گرها'!$F:$F,P$1)</f>
        <v>0</v>
      </c>
      <c r="Q614" s="242">
        <f>COUNTIFS('تجربه‌گرها'!$B:$B,$A614,'تجربه‌گرها'!$F:$F,Q$1)</f>
        <v>0</v>
      </c>
      <c r="R614" s="242">
        <f>COUNTIFS('تجربه‌گرها'!$B:$B,$A614,'تجربه‌گرها'!$F:$F,R$1)</f>
        <v>0</v>
      </c>
      <c r="S614" s="242">
        <f>COUNTIFS('تجربه‌گرها'!$B:$B,$A614,'تجربه‌گرها'!$F:$F,S$1)</f>
        <v>0</v>
      </c>
      <c r="T614" s="242">
        <f>COUNTIFS('تجربه‌گرها'!$B:$B,$A614,'تجربه‌گرها'!$F:$F,T$1)</f>
        <v>0</v>
      </c>
      <c r="U614" s="242"/>
      <c r="V614" s="242"/>
      <c r="W614" s="242"/>
      <c r="X614" s="242"/>
      <c r="Y614" s="242"/>
      <c r="Z614" s="242"/>
      <c r="AA614" s="242"/>
      <c r="AB614" s="242"/>
    </row>
    <row r="615">
      <c r="A615" s="244" t="s">
        <v>3933</v>
      </c>
      <c r="B615" s="245" t="str">
        <f>VLOOKUP(A615,'تجربه‌گرها'!B:C,2,FALSE())</f>
        <v>9013282244</v>
      </c>
      <c r="C615" s="242"/>
      <c r="D615" s="242">
        <f t="shared" si="1"/>
        <v>1</v>
      </c>
      <c r="E615" s="242">
        <f>COUNTIFS('تجربه‌گرها'!$B:$B,$A615,'تجربه‌گرها'!$F:$F,E$1)</f>
        <v>0</v>
      </c>
      <c r="F615" s="242">
        <f>COUNTIFS('تجربه‌گرها'!$B:$B,$A615,'تجربه‌گرها'!$F:$F,F$1)</f>
        <v>0</v>
      </c>
      <c r="G615" s="242">
        <f>COUNTIFS('تجربه‌گرها'!$B:$B,$A615,'تجربه‌گرها'!$F:$F,G$1)</f>
        <v>0</v>
      </c>
      <c r="H615" s="242">
        <f>COUNTIFS('تجربه‌گرها'!$B:$B,$A615,'تجربه‌گرها'!$F:$F,H$1)</f>
        <v>0</v>
      </c>
      <c r="I615" s="242">
        <f>COUNTIFS('تجربه‌گرها'!$B:$B,$A615,'تجربه‌گرها'!$F:$F,I$1)</f>
        <v>0</v>
      </c>
      <c r="J615" s="242">
        <f>COUNTIFS('تجربه‌گرها'!$B:$B,$A615,'تجربه‌گرها'!$F:$F,J$1)</f>
        <v>1</v>
      </c>
      <c r="K615" s="242">
        <f>COUNTIFS('تجربه‌گرها'!$B:$B,$A615,'تجربه‌گرها'!$F:$F,K$1)</f>
        <v>0</v>
      </c>
      <c r="L615" s="242">
        <f>COUNTIFS('تجربه‌گرها'!$B:$B,$A615,'تجربه‌گرها'!$F:$F,L$1)</f>
        <v>0</v>
      </c>
      <c r="M615" s="242">
        <f>COUNTIFS('تجربه‌گرها'!$B:$B,$A615,'تجربه‌گرها'!$F:$F,M$1)</f>
        <v>0</v>
      </c>
      <c r="N615" s="242">
        <f>COUNTIFS('تجربه‌گرها'!$B:$B,$A615,'تجربه‌گرها'!$F:$F,N$1)</f>
        <v>0</v>
      </c>
      <c r="O615" s="242">
        <f>COUNTIFS('تجربه‌گرها'!$B:$B,$A615,'تجربه‌گرها'!$F:$F,O$1)</f>
        <v>0</v>
      </c>
      <c r="P615" s="242">
        <f>COUNTIFS('تجربه‌گرها'!$B:$B,$A615,'تجربه‌گرها'!$F:$F,P$1)</f>
        <v>0</v>
      </c>
      <c r="Q615" s="242">
        <f>COUNTIFS('تجربه‌گرها'!$B:$B,$A615,'تجربه‌گرها'!$F:$F,Q$1)</f>
        <v>0</v>
      </c>
      <c r="R615" s="242">
        <f>COUNTIFS('تجربه‌گرها'!$B:$B,$A615,'تجربه‌گرها'!$F:$F,R$1)</f>
        <v>0</v>
      </c>
      <c r="S615" s="242">
        <f>COUNTIFS('تجربه‌گرها'!$B:$B,$A615,'تجربه‌گرها'!$F:$F,S$1)</f>
        <v>0</v>
      </c>
      <c r="T615" s="242">
        <f>COUNTIFS('تجربه‌گرها'!$B:$B,$A615,'تجربه‌گرها'!$F:$F,T$1)</f>
        <v>0</v>
      </c>
      <c r="U615" s="242"/>
      <c r="V615" s="242"/>
      <c r="W615" s="242"/>
      <c r="X615" s="242"/>
      <c r="Y615" s="242"/>
      <c r="Z615" s="242"/>
      <c r="AA615" s="242"/>
      <c r="AB615" s="242"/>
    </row>
    <row r="616" hidden="1">
      <c r="A616" s="244" t="s">
        <v>3936</v>
      </c>
      <c r="B616" s="245" t="str">
        <f>VLOOKUP(A616,'تجربه‌گرها'!B:C,2,FALSE())</f>
        <v>9127453264</v>
      </c>
      <c r="C616" s="242"/>
      <c r="D616" s="242">
        <f t="shared" si="1"/>
        <v>1</v>
      </c>
      <c r="E616" s="242">
        <f>COUNTIFS('تجربه‌گرها'!$B:$B,$A616,'تجربه‌گرها'!$F:$F,E$1)</f>
        <v>0</v>
      </c>
      <c r="F616" s="242">
        <f>COUNTIFS('تجربه‌گرها'!$B:$B,$A616,'تجربه‌گرها'!$F:$F,F$1)</f>
        <v>0</v>
      </c>
      <c r="G616" s="242">
        <f>COUNTIFS('تجربه‌گرها'!$B:$B,$A616,'تجربه‌گرها'!$F:$F,G$1)</f>
        <v>0</v>
      </c>
      <c r="H616" s="242">
        <f>COUNTIFS('تجربه‌گرها'!$B:$B,$A616,'تجربه‌گرها'!$F:$F,H$1)</f>
        <v>0</v>
      </c>
      <c r="I616" s="242">
        <f>COUNTIFS('تجربه‌گرها'!$B:$B,$A616,'تجربه‌گرها'!$F:$F,I$1)</f>
        <v>0</v>
      </c>
      <c r="J616" s="242">
        <f>COUNTIFS('تجربه‌گرها'!$B:$B,$A616,'تجربه‌گرها'!$F:$F,J$1)</f>
        <v>1</v>
      </c>
      <c r="K616" s="242">
        <f>COUNTIFS('تجربه‌گرها'!$B:$B,$A616,'تجربه‌گرها'!$F:$F,K$1)</f>
        <v>0</v>
      </c>
      <c r="L616" s="242">
        <f>COUNTIFS('تجربه‌گرها'!$B:$B,$A616,'تجربه‌گرها'!$F:$F,L$1)</f>
        <v>0</v>
      </c>
      <c r="M616" s="242">
        <f>COUNTIFS('تجربه‌گرها'!$B:$B,$A616,'تجربه‌گرها'!$F:$F,M$1)</f>
        <v>0</v>
      </c>
      <c r="N616" s="242">
        <f>COUNTIFS('تجربه‌گرها'!$B:$B,$A616,'تجربه‌گرها'!$F:$F,N$1)</f>
        <v>0</v>
      </c>
      <c r="O616" s="242">
        <f>COUNTIFS('تجربه‌گرها'!$B:$B,$A616,'تجربه‌گرها'!$F:$F,O$1)</f>
        <v>0</v>
      </c>
      <c r="P616" s="242">
        <f>COUNTIFS('تجربه‌گرها'!$B:$B,$A616,'تجربه‌گرها'!$F:$F,P$1)</f>
        <v>0</v>
      </c>
      <c r="Q616" s="242">
        <f>COUNTIFS('تجربه‌گرها'!$B:$B,$A616,'تجربه‌گرها'!$F:$F,Q$1)</f>
        <v>0</v>
      </c>
      <c r="R616" s="242">
        <f>COUNTIFS('تجربه‌گرها'!$B:$B,$A616,'تجربه‌گرها'!$F:$F,R$1)</f>
        <v>0</v>
      </c>
      <c r="S616" s="242">
        <f>COUNTIFS('تجربه‌گرها'!$B:$B,$A616,'تجربه‌گرها'!$F:$F,S$1)</f>
        <v>0</v>
      </c>
      <c r="T616" s="242">
        <f>COUNTIFS('تجربه‌گرها'!$B:$B,$A616,'تجربه‌گرها'!$F:$F,T$1)</f>
        <v>0</v>
      </c>
      <c r="U616" s="242"/>
      <c r="V616" s="242"/>
      <c r="W616" s="242"/>
      <c r="X616" s="242"/>
      <c r="Y616" s="242"/>
      <c r="Z616" s="242"/>
      <c r="AA616" s="242"/>
      <c r="AB616" s="242"/>
    </row>
    <row r="617" hidden="1">
      <c r="A617" s="244" t="s">
        <v>3941</v>
      </c>
      <c r="B617" s="245" t="str">
        <f>VLOOKUP(A617,'تجربه‌گرها'!B:C,2,FALSE())</f>
        <v>9124855037</v>
      </c>
      <c r="C617" s="242"/>
      <c r="D617" s="242">
        <f t="shared" si="1"/>
        <v>1</v>
      </c>
      <c r="E617" s="242">
        <f>COUNTIFS('تجربه‌گرها'!$B:$B,$A617,'تجربه‌گرها'!$F:$F,E$1)</f>
        <v>0</v>
      </c>
      <c r="F617" s="242">
        <f>COUNTIFS('تجربه‌گرها'!$B:$B,$A617,'تجربه‌گرها'!$F:$F,F$1)</f>
        <v>0</v>
      </c>
      <c r="G617" s="242">
        <f>COUNTIFS('تجربه‌گرها'!$B:$B,$A617,'تجربه‌گرها'!$F:$F,G$1)</f>
        <v>0</v>
      </c>
      <c r="H617" s="242">
        <f>COUNTIFS('تجربه‌گرها'!$B:$B,$A617,'تجربه‌گرها'!$F:$F,H$1)</f>
        <v>0</v>
      </c>
      <c r="I617" s="242">
        <f>COUNTIFS('تجربه‌گرها'!$B:$B,$A617,'تجربه‌گرها'!$F:$F,I$1)</f>
        <v>0</v>
      </c>
      <c r="J617" s="242">
        <f>COUNTIFS('تجربه‌گرها'!$B:$B,$A617,'تجربه‌گرها'!$F:$F,J$1)</f>
        <v>1</v>
      </c>
      <c r="K617" s="242">
        <f>COUNTIFS('تجربه‌گرها'!$B:$B,$A617,'تجربه‌گرها'!$F:$F,K$1)</f>
        <v>0</v>
      </c>
      <c r="L617" s="242">
        <f>COUNTIFS('تجربه‌گرها'!$B:$B,$A617,'تجربه‌گرها'!$F:$F,L$1)</f>
        <v>0</v>
      </c>
      <c r="M617" s="242">
        <f>COUNTIFS('تجربه‌گرها'!$B:$B,$A617,'تجربه‌گرها'!$F:$F,M$1)</f>
        <v>0</v>
      </c>
      <c r="N617" s="242">
        <f>COUNTIFS('تجربه‌گرها'!$B:$B,$A617,'تجربه‌گرها'!$F:$F,N$1)</f>
        <v>0</v>
      </c>
      <c r="O617" s="242">
        <f>COUNTIFS('تجربه‌گرها'!$B:$B,$A617,'تجربه‌گرها'!$F:$F,O$1)</f>
        <v>0</v>
      </c>
      <c r="P617" s="242">
        <f>COUNTIFS('تجربه‌گرها'!$B:$B,$A617,'تجربه‌گرها'!$F:$F,P$1)</f>
        <v>0</v>
      </c>
      <c r="Q617" s="242">
        <f>COUNTIFS('تجربه‌گرها'!$B:$B,$A617,'تجربه‌گرها'!$F:$F,Q$1)</f>
        <v>0</v>
      </c>
      <c r="R617" s="242">
        <f>COUNTIFS('تجربه‌گرها'!$B:$B,$A617,'تجربه‌گرها'!$F:$F,R$1)</f>
        <v>0</v>
      </c>
      <c r="S617" s="242">
        <f>COUNTIFS('تجربه‌گرها'!$B:$B,$A617,'تجربه‌گرها'!$F:$F,S$1)</f>
        <v>0</v>
      </c>
      <c r="T617" s="242">
        <f>COUNTIFS('تجربه‌گرها'!$B:$B,$A617,'تجربه‌گرها'!$F:$F,T$1)</f>
        <v>0</v>
      </c>
      <c r="U617" s="242"/>
      <c r="V617" s="242"/>
      <c r="W617" s="242"/>
      <c r="X617" s="242"/>
      <c r="Y617" s="242"/>
      <c r="Z617" s="242"/>
      <c r="AA617" s="242"/>
      <c r="AB617" s="242"/>
    </row>
    <row r="618" hidden="1">
      <c r="A618" s="244" t="s">
        <v>3945</v>
      </c>
      <c r="B618" s="245" t="str">
        <f>VLOOKUP(A618,'تجربه‌گرها'!B:C,2,FALSE())</f>
        <v>9038238012</v>
      </c>
      <c r="C618" s="242"/>
      <c r="D618" s="242">
        <f t="shared" si="1"/>
        <v>1</v>
      </c>
      <c r="E618" s="242">
        <f>COUNTIFS('تجربه‌گرها'!$B:$B,$A618,'تجربه‌گرها'!$F:$F,E$1)</f>
        <v>0</v>
      </c>
      <c r="F618" s="242">
        <f>COUNTIFS('تجربه‌گرها'!$B:$B,$A618,'تجربه‌گرها'!$F:$F,F$1)</f>
        <v>0</v>
      </c>
      <c r="G618" s="242">
        <f>COUNTIFS('تجربه‌گرها'!$B:$B,$A618,'تجربه‌گرها'!$F:$F,G$1)</f>
        <v>0</v>
      </c>
      <c r="H618" s="242">
        <f>COUNTIFS('تجربه‌گرها'!$B:$B,$A618,'تجربه‌گرها'!$F:$F,H$1)</f>
        <v>0</v>
      </c>
      <c r="I618" s="242">
        <f>COUNTIFS('تجربه‌گرها'!$B:$B,$A618,'تجربه‌گرها'!$F:$F,I$1)</f>
        <v>0</v>
      </c>
      <c r="J618" s="242">
        <f>COUNTIFS('تجربه‌گرها'!$B:$B,$A618,'تجربه‌گرها'!$F:$F,J$1)</f>
        <v>1</v>
      </c>
      <c r="K618" s="242">
        <f>COUNTIFS('تجربه‌گرها'!$B:$B,$A618,'تجربه‌گرها'!$F:$F,K$1)</f>
        <v>0</v>
      </c>
      <c r="L618" s="242">
        <f>COUNTIFS('تجربه‌گرها'!$B:$B,$A618,'تجربه‌گرها'!$F:$F,L$1)</f>
        <v>0</v>
      </c>
      <c r="M618" s="242">
        <f>COUNTIFS('تجربه‌گرها'!$B:$B,$A618,'تجربه‌گرها'!$F:$F,M$1)</f>
        <v>0</v>
      </c>
      <c r="N618" s="242">
        <f>COUNTIFS('تجربه‌گرها'!$B:$B,$A618,'تجربه‌گرها'!$F:$F,N$1)</f>
        <v>0</v>
      </c>
      <c r="O618" s="242">
        <f>COUNTIFS('تجربه‌گرها'!$B:$B,$A618,'تجربه‌گرها'!$F:$F,O$1)</f>
        <v>0</v>
      </c>
      <c r="P618" s="242">
        <f>COUNTIFS('تجربه‌گرها'!$B:$B,$A618,'تجربه‌گرها'!$F:$F,P$1)</f>
        <v>0</v>
      </c>
      <c r="Q618" s="242">
        <f>COUNTIFS('تجربه‌گرها'!$B:$B,$A618,'تجربه‌گرها'!$F:$F,Q$1)</f>
        <v>0</v>
      </c>
      <c r="R618" s="242">
        <f>COUNTIFS('تجربه‌گرها'!$B:$B,$A618,'تجربه‌گرها'!$F:$F,R$1)</f>
        <v>0</v>
      </c>
      <c r="S618" s="242">
        <f>COUNTIFS('تجربه‌گرها'!$B:$B,$A618,'تجربه‌گرها'!$F:$F,S$1)</f>
        <v>0</v>
      </c>
      <c r="T618" s="242">
        <f>COUNTIFS('تجربه‌گرها'!$B:$B,$A618,'تجربه‌گرها'!$F:$F,T$1)</f>
        <v>0</v>
      </c>
      <c r="U618" s="242"/>
      <c r="V618" s="242"/>
      <c r="W618" s="242"/>
      <c r="X618" s="242"/>
      <c r="Y618" s="242"/>
      <c r="Z618" s="242"/>
      <c r="AA618" s="242"/>
      <c r="AB618" s="242"/>
    </row>
    <row r="619" hidden="1">
      <c r="A619" s="244" t="s">
        <v>3949</v>
      </c>
      <c r="B619" s="245" t="str">
        <f>VLOOKUP(A619,'تجربه‌گرها'!B:C,2,FALSE())</f>
        <v>9125579097</v>
      </c>
      <c r="C619" s="242"/>
      <c r="D619" s="242">
        <f t="shared" si="1"/>
        <v>1</v>
      </c>
      <c r="E619" s="242">
        <f>COUNTIFS('تجربه‌گرها'!$B:$B,$A619,'تجربه‌گرها'!$F:$F,E$1)</f>
        <v>0</v>
      </c>
      <c r="F619" s="242">
        <f>COUNTIFS('تجربه‌گرها'!$B:$B,$A619,'تجربه‌گرها'!$F:$F,F$1)</f>
        <v>0</v>
      </c>
      <c r="G619" s="242">
        <f>COUNTIFS('تجربه‌گرها'!$B:$B,$A619,'تجربه‌گرها'!$F:$F,G$1)</f>
        <v>0</v>
      </c>
      <c r="H619" s="242">
        <f>COUNTIFS('تجربه‌گرها'!$B:$B,$A619,'تجربه‌گرها'!$F:$F,H$1)</f>
        <v>0</v>
      </c>
      <c r="I619" s="242">
        <f>COUNTIFS('تجربه‌گرها'!$B:$B,$A619,'تجربه‌گرها'!$F:$F,I$1)</f>
        <v>0</v>
      </c>
      <c r="J619" s="242">
        <f>COUNTIFS('تجربه‌گرها'!$B:$B,$A619,'تجربه‌گرها'!$F:$F,J$1)</f>
        <v>1</v>
      </c>
      <c r="K619" s="242">
        <f>COUNTIFS('تجربه‌گرها'!$B:$B,$A619,'تجربه‌گرها'!$F:$F,K$1)</f>
        <v>0</v>
      </c>
      <c r="L619" s="242">
        <f>COUNTIFS('تجربه‌گرها'!$B:$B,$A619,'تجربه‌گرها'!$F:$F,L$1)</f>
        <v>0</v>
      </c>
      <c r="M619" s="242">
        <f>COUNTIFS('تجربه‌گرها'!$B:$B,$A619,'تجربه‌گرها'!$F:$F,M$1)</f>
        <v>0</v>
      </c>
      <c r="N619" s="242">
        <f>COUNTIFS('تجربه‌گرها'!$B:$B,$A619,'تجربه‌گرها'!$F:$F,N$1)</f>
        <v>0</v>
      </c>
      <c r="O619" s="242">
        <f>COUNTIFS('تجربه‌گرها'!$B:$B,$A619,'تجربه‌گرها'!$F:$F,O$1)</f>
        <v>0</v>
      </c>
      <c r="P619" s="242">
        <f>COUNTIFS('تجربه‌گرها'!$B:$B,$A619,'تجربه‌گرها'!$F:$F,P$1)</f>
        <v>0</v>
      </c>
      <c r="Q619" s="242">
        <f>COUNTIFS('تجربه‌گرها'!$B:$B,$A619,'تجربه‌گرها'!$F:$F,Q$1)</f>
        <v>0</v>
      </c>
      <c r="R619" s="242">
        <f>COUNTIFS('تجربه‌گرها'!$B:$B,$A619,'تجربه‌گرها'!$F:$F,R$1)</f>
        <v>0</v>
      </c>
      <c r="S619" s="242">
        <f>COUNTIFS('تجربه‌گرها'!$B:$B,$A619,'تجربه‌گرها'!$F:$F,S$1)</f>
        <v>0</v>
      </c>
      <c r="T619" s="242">
        <f>COUNTIFS('تجربه‌گرها'!$B:$B,$A619,'تجربه‌گرها'!$F:$F,T$1)</f>
        <v>0</v>
      </c>
      <c r="U619" s="242"/>
      <c r="V619" s="242"/>
      <c r="W619" s="242"/>
      <c r="X619" s="242"/>
      <c r="Y619" s="242"/>
      <c r="Z619" s="242"/>
      <c r="AA619" s="242"/>
      <c r="AB619" s="242"/>
    </row>
    <row r="620" hidden="1">
      <c r="A620" s="244" t="s">
        <v>3953</v>
      </c>
      <c r="B620" s="245" t="str">
        <f>VLOOKUP(A620,'تجربه‌گرها'!B:C,2,FALSE())</f>
        <v>9151247322</v>
      </c>
      <c r="C620" s="242"/>
      <c r="D620" s="242">
        <f t="shared" si="1"/>
        <v>1</v>
      </c>
      <c r="E620" s="242">
        <f>COUNTIFS('تجربه‌گرها'!$B:$B,$A620,'تجربه‌گرها'!$F:$F,E$1)</f>
        <v>0</v>
      </c>
      <c r="F620" s="242">
        <f>COUNTIFS('تجربه‌گرها'!$B:$B,$A620,'تجربه‌گرها'!$F:$F,F$1)</f>
        <v>0</v>
      </c>
      <c r="G620" s="242">
        <f>COUNTIFS('تجربه‌گرها'!$B:$B,$A620,'تجربه‌گرها'!$F:$F,G$1)</f>
        <v>0</v>
      </c>
      <c r="H620" s="242">
        <f>COUNTIFS('تجربه‌گرها'!$B:$B,$A620,'تجربه‌گرها'!$F:$F,H$1)</f>
        <v>0</v>
      </c>
      <c r="I620" s="242">
        <f>COUNTIFS('تجربه‌گرها'!$B:$B,$A620,'تجربه‌گرها'!$F:$F,I$1)</f>
        <v>0</v>
      </c>
      <c r="J620" s="242">
        <f>COUNTIFS('تجربه‌گرها'!$B:$B,$A620,'تجربه‌گرها'!$F:$F,J$1)</f>
        <v>1</v>
      </c>
      <c r="K620" s="242">
        <f>COUNTIFS('تجربه‌گرها'!$B:$B,$A620,'تجربه‌گرها'!$F:$F,K$1)</f>
        <v>0</v>
      </c>
      <c r="L620" s="242">
        <f>COUNTIFS('تجربه‌گرها'!$B:$B,$A620,'تجربه‌گرها'!$F:$F,L$1)</f>
        <v>0</v>
      </c>
      <c r="M620" s="242">
        <f>COUNTIFS('تجربه‌گرها'!$B:$B,$A620,'تجربه‌گرها'!$F:$F,M$1)</f>
        <v>0</v>
      </c>
      <c r="N620" s="242">
        <f>COUNTIFS('تجربه‌گرها'!$B:$B,$A620,'تجربه‌گرها'!$F:$F,N$1)</f>
        <v>0</v>
      </c>
      <c r="O620" s="242">
        <f>COUNTIFS('تجربه‌گرها'!$B:$B,$A620,'تجربه‌گرها'!$F:$F,O$1)</f>
        <v>0</v>
      </c>
      <c r="P620" s="242">
        <f>COUNTIFS('تجربه‌گرها'!$B:$B,$A620,'تجربه‌گرها'!$F:$F,P$1)</f>
        <v>0</v>
      </c>
      <c r="Q620" s="242">
        <f>COUNTIFS('تجربه‌گرها'!$B:$B,$A620,'تجربه‌گرها'!$F:$F,Q$1)</f>
        <v>0</v>
      </c>
      <c r="R620" s="242">
        <f>COUNTIFS('تجربه‌گرها'!$B:$B,$A620,'تجربه‌گرها'!$F:$F,R$1)</f>
        <v>0</v>
      </c>
      <c r="S620" s="242">
        <f>COUNTIFS('تجربه‌گرها'!$B:$B,$A620,'تجربه‌گرها'!$F:$F,S$1)</f>
        <v>0</v>
      </c>
      <c r="T620" s="242">
        <f>COUNTIFS('تجربه‌گرها'!$B:$B,$A620,'تجربه‌گرها'!$F:$F,T$1)</f>
        <v>0</v>
      </c>
      <c r="U620" s="242"/>
      <c r="V620" s="242"/>
      <c r="W620" s="242"/>
      <c r="X620" s="242"/>
      <c r="Y620" s="242"/>
      <c r="Z620" s="242"/>
      <c r="AA620" s="242"/>
      <c r="AB620" s="242"/>
    </row>
    <row r="621" hidden="1">
      <c r="A621" s="244" t="s">
        <v>3957</v>
      </c>
      <c r="B621" s="245" t="str">
        <f>VLOOKUP(A621,'تجربه‌گرها'!B:C,2,FALSE())</f>
        <v>9120058499</v>
      </c>
      <c r="C621" s="242"/>
      <c r="D621" s="242">
        <f t="shared" si="1"/>
        <v>1</v>
      </c>
      <c r="E621" s="242">
        <f>COUNTIFS('تجربه‌گرها'!$B:$B,$A621,'تجربه‌گرها'!$F:$F,E$1)</f>
        <v>0</v>
      </c>
      <c r="F621" s="242">
        <f>COUNTIFS('تجربه‌گرها'!$B:$B,$A621,'تجربه‌گرها'!$F:$F,F$1)</f>
        <v>0</v>
      </c>
      <c r="G621" s="242">
        <f>COUNTIFS('تجربه‌گرها'!$B:$B,$A621,'تجربه‌گرها'!$F:$F,G$1)</f>
        <v>0</v>
      </c>
      <c r="H621" s="242">
        <f>COUNTIFS('تجربه‌گرها'!$B:$B,$A621,'تجربه‌گرها'!$F:$F,H$1)</f>
        <v>0</v>
      </c>
      <c r="I621" s="242">
        <f>COUNTIFS('تجربه‌گرها'!$B:$B,$A621,'تجربه‌گرها'!$F:$F,I$1)</f>
        <v>0</v>
      </c>
      <c r="J621" s="242">
        <f>COUNTIFS('تجربه‌گرها'!$B:$B,$A621,'تجربه‌گرها'!$F:$F,J$1)</f>
        <v>1</v>
      </c>
      <c r="K621" s="242">
        <f>COUNTIFS('تجربه‌گرها'!$B:$B,$A621,'تجربه‌گرها'!$F:$F,K$1)</f>
        <v>0</v>
      </c>
      <c r="L621" s="242">
        <f>COUNTIFS('تجربه‌گرها'!$B:$B,$A621,'تجربه‌گرها'!$F:$F,L$1)</f>
        <v>0</v>
      </c>
      <c r="M621" s="242">
        <f>COUNTIFS('تجربه‌گرها'!$B:$B,$A621,'تجربه‌گرها'!$F:$F,M$1)</f>
        <v>0</v>
      </c>
      <c r="N621" s="242">
        <f>COUNTIFS('تجربه‌گرها'!$B:$B,$A621,'تجربه‌گرها'!$F:$F,N$1)</f>
        <v>0</v>
      </c>
      <c r="O621" s="242">
        <f>COUNTIFS('تجربه‌گرها'!$B:$B,$A621,'تجربه‌گرها'!$F:$F,O$1)</f>
        <v>0</v>
      </c>
      <c r="P621" s="242">
        <f>COUNTIFS('تجربه‌گرها'!$B:$B,$A621,'تجربه‌گرها'!$F:$F,P$1)</f>
        <v>0</v>
      </c>
      <c r="Q621" s="242">
        <f>COUNTIFS('تجربه‌گرها'!$B:$B,$A621,'تجربه‌گرها'!$F:$F,Q$1)</f>
        <v>0</v>
      </c>
      <c r="R621" s="242">
        <f>COUNTIFS('تجربه‌گرها'!$B:$B,$A621,'تجربه‌گرها'!$F:$F,R$1)</f>
        <v>0</v>
      </c>
      <c r="S621" s="242">
        <f>COUNTIFS('تجربه‌گرها'!$B:$B,$A621,'تجربه‌گرها'!$F:$F,S$1)</f>
        <v>0</v>
      </c>
      <c r="T621" s="242">
        <f>COUNTIFS('تجربه‌گرها'!$B:$B,$A621,'تجربه‌گرها'!$F:$F,T$1)</f>
        <v>0</v>
      </c>
      <c r="U621" s="242"/>
      <c r="V621" s="242"/>
      <c r="W621" s="242"/>
      <c r="X621" s="242"/>
      <c r="Y621" s="242"/>
      <c r="Z621" s="242"/>
      <c r="AA621" s="242"/>
      <c r="AB621" s="242"/>
    </row>
    <row r="622" hidden="1">
      <c r="A622" s="244" t="s">
        <v>3962</v>
      </c>
      <c r="B622" s="245" t="str">
        <f>VLOOKUP(A622,'تجربه‌گرها'!B:C,2,FALSE())</f>
        <v>9125863580</v>
      </c>
      <c r="C622" s="242"/>
      <c r="D622" s="242">
        <f t="shared" si="1"/>
        <v>1</v>
      </c>
      <c r="E622" s="242">
        <f>COUNTIFS('تجربه‌گرها'!$B:$B,$A622,'تجربه‌گرها'!$F:$F,E$1)</f>
        <v>0</v>
      </c>
      <c r="F622" s="242">
        <f>COUNTIFS('تجربه‌گرها'!$B:$B,$A622,'تجربه‌گرها'!$F:$F,F$1)</f>
        <v>0</v>
      </c>
      <c r="G622" s="242">
        <f>COUNTIFS('تجربه‌گرها'!$B:$B,$A622,'تجربه‌گرها'!$F:$F,G$1)</f>
        <v>0</v>
      </c>
      <c r="H622" s="242">
        <f>COUNTIFS('تجربه‌گرها'!$B:$B,$A622,'تجربه‌گرها'!$F:$F,H$1)</f>
        <v>0</v>
      </c>
      <c r="I622" s="242">
        <f>COUNTIFS('تجربه‌گرها'!$B:$B,$A622,'تجربه‌گرها'!$F:$F,I$1)</f>
        <v>0</v>
      </c>
      <c r="J622" s="242">
        <f>COUNTIFS('تجربه‌گرها'!$B:$B,$A622,'تجربه‌گرها'!$F:$F,J$1)</f>
        <v>1</v>
      </c>
      <c r="K622" s="242">
        <f>COUNTIFS('تجربه‌گرها'!$B:$B,$A622,'تجربه‌گرها'!$F:$F,K$1)</f>
        <v>0</v>
      </c>
      <c r="L622" s="242">
        <f>COUNTIFS('تجربه‌گرها'!$B:$B,$A622,'تجربه‌گرها'!$F:$F,L$1)</f>
        <v>0</v>
      </c>
      <c r="M622" s="242">
        <f>COUNTIFS('تجربه‌گرها'!$B:$B,$A622,'تجربه‌گرها'!$F:$F,M$1)</f>
        <v>0</v>
      </c>
      <c r="N622" s="242">
        <f>COUNTIFS('تجربه‌گرها'!$B:$B,$A622,'تجربه‌گرها'!$F:$F,N$1)</f>
        <v>0</v>
      </c>
      <c r="O622" s="242">
        <f>COUNTIFS('تجربه‌گرها'!$B:$B,$A622,'تجربه‌گرها'!$F:$F,O$1)</f>
        <v>0</v>
      </c>
      <c r="P622" s="242">
        <f>COUNTIFS('تجربه‌گرها'!$B:$B,$A622,'تجربه‌گرها'!$F:$F,P$1)</f>
        <v>0</v>
      </c>
      <c r="Q622" s="242">
        <f>COUNTIFS('تجربه‌گرها'!$B:$B,$A622,'تجربه‌گرها'!$F:$F,Q$1)</f>
        <v>0</v>
      </c>
      <c r="R622" s="242">
        <f>COUNTIFS('تجربه‌گرها'!$B:$B,$A622,'تجربه‌گرها'!$F:$F,R$1)</f>
        <v>0</v>
      </c>
      <c r="S622" s="242">
        <f>COUNTIFS('تجربه‌گرها'!$B:$B,$A622,'تجربه‌گرها'!$F:$F,S$1)</f>
        <v>0</v>
      </c>
      <c r="T622" s="242">
        <f>COUNTIFS('تجربه‌گرها'!$B:$B,$A622,'تجربه‌گرها'!$F:$F,T$1)</f>
        <v>0</v>
      </c>
      <c r="U622" s="242"/>
      <c r="V622" s="242"/>
      <c r="W622" s="242"/>
      <c r="X622" s="242"/>
      <c r="Y622" s="242"/>
      <c r="Z622" s="242"/>
      <c r="AA622" s="242"/>
      <c r="AB622" s="242"/>
    </row>
    <row r="623" hidden="1">
      <c r="A623" s="244" t="s">
        <v>3967</v>
      </c>
      <c r="B623" s="245" t="str">
        <f>VLOOKUP(A623,'تجربه‌گرها'!B:C,2,FALSE())</f>
        <v>9125962702</v>
      </c>
      <c r="C623" s="242"/>
      <c r="D623" s="242">
        <f t="shared" si="1"/>
        <v>1</v>
      </c>
      <c r="E623" s="242">
        <f>COUNTIFS('تجربه‌گرها'!$B:$B,$A623,'تجربه‌گرها'!$F:$F,E$1)</f>
        <v>0</v>
      </c>
      <c r="F623" s="242">
        <f>COUNTIFS('تجربه‌گرها'!$B:$B,$A623,'تجربه‌گرها'!$F:$F,F$1)</f>
        <v>0</v>
      </c>
      <c r="G623" s="242">
        <f>COUNTIFS('تجربه‌گرها'!$B:$B,$A623,'تجربه‌گرها'!$F:$F,G$1)</f>
        <v>0</v>
      </c>
      <c r="H623" s="242">
        <f>COUNTIFS('تجربه‌گرها'!$B:$B,$A623,'تجربه‌گرها'!$F:$F,H$1)</f>
        <v>0</v>
      </c>
      <c r="I623" s="242">
        <f>COUNTIFS('تجربه‌گرها'!$B:$B,$A623,'تجربه‌گرها'!$F:$F,I$1)</f>
        <v>0</v>
      </c>
      <c r="J623" s="242">
        <f>COUNTIFS('تجربه‌گرها'!$B:$B,$A623,'تجربه‌گرها'!$F:$F,J$1)</f>
        <v>1</v>
      </c>
      <c r="K623" s="242">
        <f>COUNTIFS('تجربه‌گرها'!$B:$B,$A623,'تجربه‌گرها'!$F:$F,K$1)</f>
        <v>0</v>
      </c>
      <c r="L623" s="242">
        <f>COUNTIFS('تجربه‌گرها'!$B:$B,$A623,'تجربه‌گرها'!$F:$F,L$1)</f>
        <v>0</v>
      </c>
      <c r="M623" s="242">
        <f>COUNTIFS('تجربه‌گرها'!$B:$B,$A623,'تجربه‌گرها'!$F:$F,M$1)</f>
        <v>0</v>
      </c>
      <c r="N623" s="242">
        <f>COUNTIFS('تجربه‌گرها'!$B:$B,$A623,'تجربه‌گرها'!$F:$F,N$1)</f>
        <v>0</v>
      </c>
      <c r="O623" s="242">
        <f>COUNTIFS('تجربه‌گرها'!$B:$B,$A623,'تجربه‌گرها'!$F:$F,O$1)</f>
        <v>0</v>
      </c>
      <c r="P623" s="242">
        <f>COUNTIFS('تجربه‌گرها'!$B:$B,$A623,'تجربه‌گرها'!$F:$F,P$1)</f>
        <v>0</v>
      </c>
      <c r="Q623" s="242">
        <f>COUNTIFS('تجربه‌گرها'!$B:$B,$A623,'تجربه‌گرها'!$F:$F,Q$1)</f>
        <v>0</v>
      </c>
      <c r="R623" s="242">
        <f>COUNTIFS('تجربه‌گرها'!$B:$B,$A623,'تجربه‌گرها'!$F:$F,R$1)</f>
        <v>0</v>
      </c>
      <c r="S623" s="242">
        <f>COUNTIFS('تجربه‌گرها'!$B:$B,$A623,'تجربه‌گرها'!$F:$F,S$1)</f>
        <v>0</v>
      </c>
      <c r="T623" s="242">
        <f>COUNTIFS('تجربه‌گرها'!$B:$B,$A623,'تجربه‌گرها'!$F:$F,T$1)</f>
        <v>0</v>
      </c>
      <c r="U623" s="242"/>
      <c r="V623" s="242"/>
      <c r="W623" s="242"/>
      <c r="X623" s="242"/>
      <c r="Y623" s="242"/>
      <c r="Z623" s="242"/>
      <c r="AA623" s="242"/>
      <c r="AB623" s="242"/>
    </row>
    <row r="624" hidden="1">
      <c r="A624" s="244" t="s">
        <v>3972</v>
      </c>
      <c r="B624" s="245" t="str">
        <f>VLOOKUP(A624,'تجربه‌گرها'!B:C,2,FALSE())</f>
        <v>9123129095</v>
      </c>
      <c r="C624" s="242"/>
      <c r="D624" s="242">
        <f t="shared" si="1"/>
        <v>1</v>
      </c>
      <c r="E624" s="242">
        <f>COUNTIFS('تجربه‌گرها'!$B:$B,$A624,'تجربه‌گرها'!$F:$F,E$1)</f>
        <v>0</v>
      </c>
      <c r="F624" s="242">
        <f>COUNTIFS('تجربه‌گرها'!$B:$B,$A624,'تجربه‌گرها'!$F:$F,F$1)</f>
        <v>0</v>
      </c>
      <c r="G624" s="242">
        <f>COUNTIFS('تجربه‌گرها'!$B:$B,$A624,'تجربه‌گرها'!$F:$F,G$1)</f>
        <v>0</v>
      </c>
      <c r="H624" s="242">
        <f>COUNTIFS('تجربه‌گرها'!$B:$B,$A624,'تجربه‌گرها'!$F:$F,H$1)</f>
        <v>0</v>
      </c>
      <c r="I624" s="242">
        <f>COUNTIFS('تجربه‌گرها'!$B:$B,$A624,'تجربه‌گرها'!$F:$F,I$1)</f>
        <v>0</v>
      </c>
      <c r="J624" s="242">
        <f>COUNTIFS('تجربه‌گرها'!$B:$B,$A624,'تجربه‌گرها'!$F:$F,J$1)</f>
        <v>1</v>
      </c>
      <c r="K624" s="242">
        <f>COUNTIFS('تجربه‌گرها'!$B:$B,$A624,'تجربه‌گرها'!$F:$F,K$1)</f>
        <v>0</v>
      </c>
      <c r="L624" s="242">
        <f>COUNTIFS('تجربه‌گرها'!$B:$B,$A624,'تجربه‌گرها'!$F:$F,L$1)</f>
        <v>0</v>
      </c>
      <c r="M624" s="242">
        <f>COUNTIFS('تجربه‌گرها'!$B:$B,$A624,'تجربه‌گرها'!$F:$F,M$1)</f>
        <v>0</v>
      </c>
      <c r="N624" s="242">
        <f>COUNTIFS('تجربه‌گرها'!$B:$B,$A624,'تجربه‌گرها'!$F:$F,N$1)</f>
        <v>0</v>
      </c>
      <c r="O624" s="242">
        <f>COUNTIFS('تجربه‌گرها'!$B:$B,$A624,'تجربه‌گرها'!$F:$F,O$1)</f>
        <v>0</v>
      </c>
      <c r="P624" s="242">
        <f>COUNTIFS('تجربه‌گرها'!$B:$B,$A624,'تجربه‌گرها'!$F:$F,P$1)</f>
        <v>0</v>
      </c>
      <c r="Q624" s="242">
        <f>COUNTIFS('تجربه‌گرها'!$B:$B,$A624,'تجربه‌گرها'!$F:$F,Q$1)</f>
        <v>0</v>
      </c>
      <c r="R624" s="242">
        <f>COUNTIFS('تجربه‌گرها'!$B:$B,$A624,'تجربه‌گرها'!$F:$F,R$1)</f>
        <v>0</v>
      </c>
      <c r="S624" s="242">
        <f>COUNTIFS('تجربه‌گرها'!$B:$B,$A624,'تجربه‌گرها'!$F:$F,S$1)</f>
        <v>0</v>
      </c>
      <c r="T624" s="242">
        <f>COUNTIFS('تجربه‌گرها'!$B:$B,$A624,'تجربه‌گرها'!$F:$F,T$1)</f>
        <v>0</v>
      </c>
      <c r="U624" s="242"/>
      <c r="V624" s="242"/>
      <c r="W624" s="242"/>
      <c r="X624" s="242"/>
      <c r="Y624" s="242"/>
      <c r="Z624" s="242"/>
      <c r="AA624" s="242"/>
      <c r="AB624" s="242"/>
    </row>
    <row r="625" hidden="1">
      <c r="A625" s="244" t="s">
        <v>3975</v>
      </c>
      <c r="B625" s="245" t="str">
        <f>VLOOKUP(A625,'تجربه‌گرها'!B:C,2,FALSE())</f>
        <v>9122415365</v>
      </c>
      <c r="C625" s="242"/>
      <c r="D625" s="242">
        <f t="shared" si="1"/>
        <v>1</v>
      </c>
      <c r="E625" s="242">
        <f>COUNTIFS('تجربه‌گرها'!$B:$B,$A625,'تجربه‌گرها'!$F:$F,E$1)</f>
        <v>0</v>
      </c>
      <c r="F625" s="242">
        <f>COUNTIFS('تجربه‌گرها'!$B:$B,$A625,'تجربه‌گرها'!$F:$F,F$1)</f>
        <v>0</v>
      </c>
      <c r="G625" s="242">
        <f>COUNTIFS('تجربه‌گرها'!$B:$B,$A625,'تجربه‌گرها'!$F:$F,G$1)</f>
        <v>0</v>
      </c>
      <c r="H625" s="242">
        <f>COUNTIFS('تجربه‌گرها'!$B:$B,$A625,'تجربه‌گرها'!$F:$F,H$1)</f>
        <v>0</v>
      </c>
      <c r="I625" s="242">
        <f>COUNTIFS('تجربه‌گرها'!$B:$B,$A625,'تجربه‌گرها'!$F:$F,I$1)</f>
        <v>0</v>
      </c>
      <c r="J625" s="242">
        <f>COUNTIFS('تجربه‌گرها'!$B:$B,$A625,'تجربه‌گرها'!$F:$F,J$1)</f>
        <v>1</v>
      </c>
      <c r="K625" s="242">
        <f>COUNTIFS('تجربه‌گرها'!$B:$B,$A625,'تجربه‌گرها'!$F:$F,K$1)</f>
        <v>0</v>
      </c>
      <c r="L625" s="242">
        <f>COUNTIFS('تجربه‌گرها'!$B:$B,$A625,'تجربه‌گرها'!$F:$F,L$1)</f>
        <v>0</v>
      </c>
      <c r="M625" s="242">
        <f>COUNTIFS('تجربه‌گرها'!$B:$B,$A625,'تجربه‌گرها'!$F:$F,M$1)</f>
        <v>0</v>
      </c>
      <c r="N625" s="242">
        <f>COUNTIFS('تجربه‌گرها'!$B:$B,$A625,'تجربه‌گرها'!$F:$F,N$1)</f>
        <v>0</v>
      </c>
      <c r="O625" s="242">
        <f>COUNTIFS('تجربه‌گرها'!$B:$B,$A625,'تجربه‌گرها'!$F:$F,O$1)</f>
        <v>0</v>
      </c>
      <c r="P625" s="242">
        <f>COUNTIFS('تجربه‌گرها'!$B:$B,$A625,'تجربه‌گرها'!$F:$F,P$1)</f>
        <v>0</v>
      </c>
      <c r="Q625" s="242">
        <f>COUNTIFS('تجربه‌گرها'!$B:$B,$A625,'تجربه‌گرها'!$F:$F,Q$1)</f>
        <v>0</v>
      </c>
      <c r="R625" s="242">
        <f>COUNTIFS('تجربه‌گرها'!$B:$B,$A625,'تجربه‌گرها'!$F:$F,R$1)</f>
        <v>0</v>
      </c>
      <c r="S625" s="242">
        <f>COUNTIFS('تجربه‌گرها'!$B:$B,$A625,'تجربه‌گرها'!$F:$F,S$1)</f>
        <v>0</v>
      </c>
      <c r="T625" s="242">
        <f>COUNTIFS('تجربه‌گرها'!$B:$B,$A625,'تجربه‌گرها'!$F:$F,T$1)</f>
        <v>0</v>
      </c>
      <c r="U625" s="242"/>
      <c r="V625" s="242"/>
      <c r="W625" s="242"/>
      <c r="X625" s="242"/>
      <c r="Y625" s="242"/>
      <c r="Z625" s="242"/>
      <c r="AA625" s="242"/>
      <c r="AB625" s="242"/>
    </row>
    <row r="626" hidden="1">
      <c r="A626" s="244" t="s">
        <v>3979</v>
      </c>
      <c r="B626" s="245" t="str">
        <f>VLOOKUP(A626,'تجربه‌گرها'!B:C,2,FALSE())</f>
        <v>9130322702</v>
      </c>
      <c r="C626" s="242"/>
      <c r="D626" s="242">
        <f t="shared" si="1"/>
        <v>1</v>
      </c>
      <c r="E626" s="242">
        <f>COUNTIFS('تجربه‌گرها'!$B:$B,$A626,'تجربه‌گرها'!$F:$F,E$1)</f>
        <v>0</v>
      </c>
      <c r="F626" s="242">
        <f>COUNTIFS('تجربه‌گرها'!$B:$B,$A626,'تجربه‌گرها'!$F:$F,F$1)</f>
        <v>0</v>
      </c>
      <c r="G626" s="242">
        <f>COUNTIFS('تجربه‌گرها'!$B:$B,$A626,'تجربه‌گرها'!$F:$F,G$1)</f>
        <v>0</v>
      </c>
      <c r="H626" s="242">
        <f>COUNTIFS('تجربه‌گرها'!$B:$B,$A626,'تجربه‌گرها'!$F:$F,H$1)</f>
        <v>0</v>
      </c>
      <c r="I626" s="242">
        <f>COUNTIFS('تجربه‌گرها'!$B:$B,$A626,'تجربه‌گرها'!$F:$F,I$1)</f>
        <v>0</v>
      </c>
      <c r="J626" s="242">
        <f>COUNTIFS('تجربه‌گرها'!$B:$B,$A626,'تجربه‌گرها'!$F:$F,J$1)</f>
        <v>1</v>
      </c>
      <c r="K626" s="242">
        <f>COUNTIFS('تجربه‌گرها'!$B:$B,$A626,'تجربه‌گرها'!$F:$F,K$1)</f>
        <v>0</v>
      </c>
      <c r="L626" s="242">
        <f>COUNTIFS('تجربه‌گرها'!$B:$B,$A626,'تجربه‌گرها'!$F:$F,L$1)</f>
        <v>0</v>
      </c>
      <c r="M626" s="242">
        <f>COUNTIFS('تجربه‌گرها'!$B:$B,$A626,'تجربه‌گرها'!$F:$F,M$1)</f>
        <v>0</v>
      </c>
      <c r="N626" s="242">
        <f>COUNTIFS('تجربه‌گرها'!$B:$B,$A626,'تجربه‌گرها'!$F:$F,N$1)</f>
        <v>0</v>
      </c>
      <c r="O626" s="242">
        <f>COUNTIFS('تجربه‌گرها'!$B:$B,$A626,'تجربه‌گرها'!$F:$F,O$1)</f>
        <v>0</v>
      </c>
      <c r="P626" s="242">
        <f>COUNTIFS('تجربه‌گرها'!$B:$B,$A626,'تجربه‌گرها'!$F:$F,P$1)</f>
        <v>0</v>
      </c>
      <c r="Q626" s="242">
        <f>COUNTIFS('تجربه‌گرها'!$B:$B,$A626,'تجربه‌گرها'!$F:$F,Q$1)</f>
        <v>0</v>
      </c>
      <c r="R626" s="242">
        <f>COUNTIFS('تجربه‌گرها'!$B:$B,$A626,'تجربه‌گرها'!$F:$F,R$1)</f>
        <v>0</v>
      </c>
      <c r="S626" s="242">
        <f>COUNTIFS('تجربه‌گرها'!$B:$B,$A626,'تجربه‌گرها'!$F:$F,S$1)</f>
        <v>0</v>
      </c>
      <c r="T626" s="242">
        <f>COUNTIFS('تجربه‌گرها'!$B:$B,$A626,'تجربه‌گرها'!$F:$F,T$1)</f>
        <v>0</v>
      </c>
      <c r="U626" s="242"/>
      <c r="V626" s="242"/>
      <c r="W626" s="242"/>
      <c r="X626" s="242"/>
      <c r="Y626" s="242"/>
      <c r="Z626" s="242"/>
      <c r="AA626" s="242"/>
      <c r="AB626" s="242"/>
    </row>
    <row r="627" hidden="1">
      <c r="A627" s="244" t="s">
        <v>3983</v>
      </c>
      <c r="B627" s="245" t="str">
        <f>VLOOKUP(A627,'تجربه‌گرها'!B:C,2,FALSE())</f>
        <v>9383370890</v>
      </c>
      <c r="C627" s="242"/>
      <c r="D627" s="242">
        <f t="shared" si="1"/>
        <v>1</v>
      </c>
      <c r="E627" s="242">
        <f>COUNTIFS('تجربه‌گرها'!$B:$B,$A627,'تجربه‌گرها'!$F:$F,E$1)</f>
        <v>0</v>
      </c>
      <c r="F627" s="242">
        <f>COUNTIFS('تجربه‌گرها'!$B:$B,$A627,'تجربه‌گرها'!$F:$F,F$1)</f>
        <v>0</v>
      </c>
      <c r="G627" s="242">
        <f>COUNTIFS('تجربه‌گرها'!$B:$B,$A627,'تجربه‌گرها'!$F:$F,G$1)</f>
        <v>0</v>
      </c>
      <c r="H627" s="242">
        <f>COUNTIFS('تجربه‌گرها'!$B:$B,$A627,'تجربه‌گرها'!$F:$F,H$1)</f>
        <v>0</v>
      </c>
      <c r="I627" s="242">
        <f>COUNTIFS('تجربه‌گرها'!$B:$B,$A627,'تجربه‌گرها'!$F:$F,I$1)</f>
        <v>0</v>
      </c>
      <c r="J627" s="242">
        <f>COUNTIFS('تجربه‌گرها'!$B:$B,$A627,'تجربه‌گرها'!$F:$F,J$1)</f>
        <v>1</v>
      </c>
      <c r="K627" s="242">
        <f>COUNTIFS('تجربه‌گرها'!$B:$B,$A627,'تجربه‌گرها'!$F:$F,K$1)</f>
        <v>0</v>
      </c>
      <c r="L627" s="242">
        <f>COUNTIFS('تجربه‌گرها'!$B:$B,$A627,'تجربه‌گرها'!$F:$F,L$1)</f>
        <v>0</v>
      </c>
      <c r="M627" s="242">
        <f>COUNTIFS('تجربه‌گرها'!$B:$B,$A627,'تجربه‌گرها'!$F:$F,M$1)</f>
        <v>0</v>
      </c>
      <c r="N627" s="242">
        <f>COUNTIFS('تجربه‌گرها'!$B:$B,$A627,'تجربه‌گرها'!$F:$F,N$1)</f>
        <v>0</v>
      </c>
      <c r="O627" s="242">
        <f>COUNTIFS('تجربه‌گرها'!$B:$B,$A627,'تجربه‌گرها'!$F:$F,O$1)</f>
        <v>0</v>
      </c>
      <c r="P627" s="242">
        <f>COUNTIFS('تجربه‌گرها'!$B:$B,$A627,'تجربه‌گرها'!$F:$F,P$1)</f>
        <v>0</v>
      </c>
      <c r="Q627" s="242">
        <f>COUNTIFS('تجربه‌گرها'!$B:$B,$A627,'تجربه‌گرها'!$F:$F,Q$1)</f>
        <v>0</v>
      </c>
      <c r="R627" s="242">
        <f>COUNTIFS('تجربه‌گرها'!$B:$B,$A627,'تجربه‌گرها'!$F:$F,R$1)</f>
        <v>0</v>
      </c>
      <c r="S627" s="242">
        <f>COUNTIFS('تجربه‌گرها'!$B:$B,$A627,'تجربه‌گرها'!$F:$F,S$1)</f>
        <v>0</v>
      </c>
      <c r="T627" s="242">
        <f>COUNTIFS('تجربه‌گرها'!$B:$B,$A627,'تجربه‌گرها'!$F:$F,T$1)</f>
        <v>0</v>
      </c>
      <c r="U627" s="242"/>
      <c r="V627" s="242"/>
      <c r="W627" s="242"/>
      <c r="X627" s="242"/>
      <c r="Y627" s="242"/>
      <c r="Z627" s="242"/>
      <c r="AA627" s="242"/>
      <c r="AB627" s="242"/>
    </row>
    <row r="628" hidden="1">
      <c r="A628" s="244" t="s">
        <v>3988</v>
      </c>
      <c r="B628" s="245" t="str">
        <f>VLOOKUP(A628,'تجربه‌گرها'!B:C,2,FALSE())</f>
        <v>9374412397</v>
      </c>
      <c r="C628" s="242"/>
      <c r="D628" s="242">
        <f t="shared" si="1"/>
        <v>1</v>
      </c>
      <c r="E628" s="242">
        <f>COUNTIFS('تجربه‌گرها'!$B:$B,$A628,'تجربه‌گرها'!$F:$F,E$1)</f>
        <v>0</v>
      </c>
      <c r="F628" s="242">
        <f>COUNTIFS('تجربه‌گرها'!$B:$B,$A628,'تجربه‌گرها'!$F:$F,F$1)</f>
        <v>0</v>
      </c>
      <c r="G628" s="242">
        <f>COUNTIFS('تجربه‌گرها'!$B:$B,$A628,'تجربه‌گرها'!$F:$F,G$1)</f>
        <v>0</v>
      </c>
      <c r="H628" s="242">
        <f>COUNTIFS('تجربه‌گرها'!$B:$B,$A628,'تجربه‌گرها'!$F:$F,H$1)</f>
        <v>0</v>
      </c>
      <c r="I628" s="242">
        <f>COUNTIFS('تجربه‌گرها'!$B:$B,$A628,'تجربه‌گرها'!$F:$F,I$1)</f>
        <v>0</v>
      </c>
      <c r="J628" s="242">
        <f>COUNTIFS('تجربه‌گرها'!$B:$B,$A628,'تجربه‌گرها'!$F:$F,J$1)</f>
        <v>1</v>
      </c>
      <c r="K628" s="242">
        <f>COUNTIFS('تجربه‌گرها'!$B:$B,$A628,'تجربه‌گرها'!$F:$F,K$1)</f>
        <v>0</v>
      </c>
      <c r="L628" s="242">
        <f>COUNTIFS('تجربه‌گرها'!$B:$B,$A628,'تجربه‌گرها'!$F:$F,L$1)</f>
        <v>0</v>
      </c>
      <c r="M628" s="242">
        <f>COUNTIFS('تجربه‌گرها'!$B:$B,$A628,'تجربه‌گرها'!$F:$F,M$1)</f>
        <v>0</v>
      </c>
      <c r="N628" s="242">
        <f>COUNTIFS('تجربه‌گرها'!$B:$B,$A628,'تجربه‌گرها'!$F:$F,N$1)</f>
        <v>0</v>
      </c>
      <c r="O628" s="242">
        <f>COUNTIFS('تجربه‌گرها'!$B:$B,$A628,'تجربه‌گرها'!$F:$F,O$1)</f>
        <v>0</v>
      </c>
      <c r="P628" s="242">
        <f>COUNTIFS('تجربه‌گرها'!$B:$B,$A628,'تجربه‌گرها'!$F:$F,P$1)</f>
        <v>0</v>
      </c>
      <c r="Q628" s="242">
        <f>COUNTIFS('تجربه‌گرها'!$B:$B,$A628,'تجربه‌گرها'!$F:$F,Q$1)</f>
        <v>0</v>
      </c>
      <c r="R628" s="242">
        <f>COUNTIFS('تجربه‌گرها'!$B:$B,$A628,'تجربه‌گرها'!$F:$F,R$1)</f>
        <v>0</v>
      </c>
      <c r="S628" s="242">
        <f>COUNTIFS('تجربه‌گرها'!$B:$B,$A628,'تجربه‌گرها'!$F:$F,S$1)</f>
        <v>0</v>
      </c>
      <c r="T628" s="242">
        <f>COUNTIFS('تجربه‌گرها'!$B:$B,$A628,'تجربه‌گرها'!$F:$F,T$1)</f>
        <v>0</v>
      </c>
      <c r="U628" s="242"/>
      <c r="V628" s="242"/>
      <c r="W628" s="242"/>
      <c r="X628" s="242"/>
      <c r="Y628" s="242"/>
      <c r="Z628" s="242"/>
      <c r="AA628" s="242"/>
      <c r="AB628" s="242"/>
    </row>
    <row r="629" hidden="1">
      <c r="A629" s="244" t="s">
        <v>3992</v>
      </c>
      <c r="B629" s="245" t="str">
        <f>VLOOKUP(A629,'تجربه‌گرها'!B:C,2,FALSE())</f>
        <v>9155039642</v>
      </c>
      <c r="C629" s="242"/>
      <c r="D629" s="242">
        <f t="shared" si="1"/>
        <v>1</v>
      </c>
      <c r="E629" s="242">
        <f>COUNTIFS('تجربه‌گرها'!$B:$B,$A629,'تجربه‌گرها'!$F:$F,E$1)</f>
        <v>0</v>
      </c>
      <c r="F629" s="242">
        <f>COUNTIFS('تجربه‌گرها'!$B:$B,$A629,'تجربه‌گرها'!$F:$F,F$1)</f>
        <v>0</v>
      </c>
      <c r="G629" s="242">
        <f>COUNTIFS('تجربه‌گرها'!$B:$B,$A629,'تجربه‌گرها'!$F:$F,G$1)</f>
        <v>0</v>
      </c>
      <c r="H629" s="242">
        <f>COUNTIFS('تجربه‌گرها'!$B:$B,$A629,'تجربه‌گرها'!$F:$F,H$1)</f>
        <v>0</v>
      </c>
      <c r="I629" s="242">
        <f>COUNTIFS('تجربه‌گرها'!$B:$B,$A629,'تجربه‌گرها'!$F:$F,I$1)</f>
        <v>0</v>
      </c>
      <c r="J629" s="242">
        <f>COUNTIFS('تجربه‌گرها'!$B:$B,$A629,'تجربه‌گرها'!$F:$F,J$1)</f>
        <v>1</v>
      </c>
      <c r="K629" s="242">
        <f>COUNTIFS('تجربه‌گرها'!$B:$B,$A629,'تجربه‌گرها'!$F:$F,K$1)</f>
        <v>0</v>
      </c>
      <c r="L629" s="242">
        <f>COUNTIFS('تجربه‌گرها'!$B:$B,$A629,'تجربه‌گرها'!$F:$F,L$1)</f>
        <v>0</v>
      </c>
      <c r="M629" s="242">
        <f>COUNTIFS('تجربه‌گرها'!$B:$B,$A629,'تجربه‌گرها'!$F:$F,M$1)</f>
        <v>0</v>
      </c>
      <c r="N629" s="242">
        <f>COUNTIFS('تجربه‌گرها'!$B:$B,$A629,'تجربه‌گرها'!$F:$F,N$1)</f>
        <v>0</v>
      </c>
      <c r="O629" s="242">
        <f>COUNTIFS('تجربه‌گرها'!$B:$B,$A629,'تجربه‌گرها'!$F:$F,O$1)</f>
        <v>0</v>
      </c>
      <c r="P629" s="242">
        <f>COUNTIFS('تجربه‌گرها'!$B:$B,$A629,'تجربه‌گرها'!$F:$F,P$1)</f>
        <v>0</v>
      </c>
      <c r="Q629" s="242">
        <f>COUNTIFS('تجربه‌گرها'!$B:$B,$A629,'تجربه‌گرها'!$F:$F,Q$1)</f>
        <v>0</v>
      </c>
      <c r="R629" s="242">
        <f>COUNTIFS('تجربه‌گرها'!$B:$B,$A629,'تجربه‌گرها'!$F:$F,R$1)</f>
        <v>0</v>
      </c>
      <c r="S629" s="242">
        <f>COUNTIFS('تجربه‌گرها'!$B:$B,$A629,'تجربه‌گرها'!$F:$F,S$1)</f>
        <v>0</v>
      </c>
      <c r="T629" s="242">
        <f>COUNTIFS('تجربه‌گرها'!$B:$B,$A629,'تجربه‌گرها'!$F:$F,T$1)</f>
        <v>0</v>
      </c>
      <c r="U629" s="242"/>
      <c r="V629" s="242"/>
      <c r="W629" s="242"/>
      <c r="X629" s="242"/>
      <c r="Y629" s="242"/>
      <c r="Z629" s="242"/>
      <c r="AA629" s="242"/>
      <c r="AB629" s="242"/>
    </row>
    <row r="630" hidden="1">
      <c r="A630" s="244" t="s">
        <v>3996</v>
      </c>
      <c r="B630" s="245" t="str">
        <f>VLOOKUP(A630,'تجربه‌گرها'!B:C,2,FALSE())</f>
        <v>9358966892</v>
      </c>
      <c r="C630" s="242"/>
      <c r="D630" s="242">
        <f t="shared" si="1"/>
        <v>1</v>
      </c>
      <c r="E630" s="242">
        <f>COUNTIFS('تجربه‌گرها'!$B:$B,$A630,'تجربه‌گرها'!$F:$F,E$1)</f>
        <v>0</v>
      </c>
      <c r="F630" s="242">
        <f>COUNTIFS('تجربه‌گرها'!$B:$B,$A630,'تجربه‌گرها'!$F:$F,F$1)</f>
        <v>0</v>
      </c>
      <c r="G630" s="242">
        <f>COUNTIFS('تجربه‌گرها'!$B:$B,$A630,'تجربه‌گرها'!$F:$F,G$1)</f>
        <v>0</v>
      </c>
      <c r="H630" s="242">
        <f>COUNTIFS('تجربه‌گرها'!$B:$B,$A630,'تجربه‌گرها'!$F:$F,H$1)</f>
        <v>0</v>
      </c>
      <c r="I630" s="242">
        <f>COUNTIFS('تجربه‌گرها'!$B:$B,$A630,'تجربه‌گرها'!$F:$F,I$1)</f>
        <v>0</v>
      </c>
      <c r="J630" s="242">
        <f>COUNTIFS('تجربه‌گرها'!$B:$B,$A630,'تجربه‌گرها'!$F:$F,J$1)</f>
        <v>1</v>
      </c>
      <c r="K630" s="242">
        <f>COUNTIFS('تجربه‌گرها'!$B:$B,$A630,'تجربه‌گرها'!$F:$F,K$1)</f>
        <v>0</v>
      </c>
      <c r="L630" s="242">
        <f>COUNTIFS('تجربه‌گرها'!$B:$B,$A630,'تجربه‌گرها'!$F:$F,L$1)</f>
        <v>0</v>
      </c>
      <c r="M630" s="242">
        <f>COUNTIFS('تجربه‌گرها'!$B:$B,$A630,'تجربه‌گرها'!$F:$F,M$1)</f>
        <v>0</v>
      </c>
      <c r="N630" s="242">
        <f>COUNTIFS('تجربه‌گرها'!$B:$B,$A630,'تجربه‌گرها'!$F:$F,N$1)</f>
        <v>0</v>
      </c>
      <c r="O630" s="242">
        <f>COUNTIFS('تجربه‌گرها'!$B:$B,$A630,'تجربه‌گرها'!$F:$F,O$1)</f>
        <v>0</v>
      </c>
      <c r="P630" s="242">
        <f>COUNTIFS('تجربه‌گرها'!$B:$B,$A630,'تجربه‌گرها'!$F:$F,P$1)</f>
        <v>0</v>
      </c>
      <c r="Q630" s="242">
        <f>COUNTIFS('تجربه‌گرها'!$B:$B,$A630,'تجربه‌گرها'!$F:$F,Q$1)</f>
        <v>0</v>
      </c>
      <c r="R630" s="242">
        <f>COUNTIFS('تجربه‌گرها'!$B:$B,$A630,'تجربه‌گرها'!$F:$F,R$1)</f>
        <v>0</v>
      </c>
      <c r="S630" s="242">
        <f>COUNTIFS('تجربه‌گرها'!$B:$B,$A630,'تجربه‌گرها'!$F:$F,S$1)</f>
        <v>0</v>
      </c>
      <c r="T630" s="242">
        <f>COUNTIFS('تجربه‌گرها'!$B:$B,$A630,'تجربه‌گرها'!$F:$F,T$1)</f>
        <v>0</v>
      </c>
      <c r="U630" s="242"/>
      <c r="V630" s="242"/>
      <c r="W630" s="242"/>
      <c r="X630" s="242"/>
      <c r="Y630" s="242"/>
      <c r="Z630" s="242"/>
      <c r="AA630" s="242"/>
      <c r="AB630" s="242"/>
    </row>
    <row r="631" hidden="1">
      <c r="A631" s="244" t="s">
        <v>4000</v>
      </c>
      <c r="B631" s="245" t="str">
        <f>VLOOKUP(A631,'تجربه‌گرها'!B:C,2,FALSE())</f>
        <v>9125948797</v>
      </c>
      <c r="C631" s="242"/>
      <c r="D631" s="242">
        <f t="shared" si="1"/>
        <v>1</v>
      </c>
      <c r="E631" s="242">
        <f>COUNTIFS('تجربه‌گرها'!$B:$B,$A631,'تجربه‌گرها'!$F:$F,E$1)</f>
        <v>0</v>
      </c>
      <c r="F631" s="242">
        <f>COUNTIFS('تجربه‌گرها'!$B:$B,$A631,'تجربه‌گرها'!$F:$F,F$1)</f>
        <v>0</v>
      </c>
      <c r="G631" s="242">
        <f>COUNTIFS('تجربه‌گرها'!$B:$B,$A631,'تجربه‌گرها'!$F:$F,G$1)</f>
        <v>0</v>
      </c>
      <c r="H631" s="242">
        <f>COUNTIFS('تجربه‌گرها'!$B:$B,$A631,'تجربه‌گرها'!$F:$F,H$1)</f>
        <v>0</v>
      </c>
      <c r="I631" s="242">
        <f>COUNTIFS('تجربه‌گرها'!$B:$B,$A631,'تجربه‌گرها'!$F:$F,I$1)</f>
        <v>0</v>
      </c>
      <c r="J631" s="242">
        <f>COUNTIFS('تجربه‌گرها'!$B:$B,$A631,'تجربه‌گرها'!$F:$F,J$1)</f>
        <v>1</v>
      </c>
      <c r="K631" s="242">
        <f>COUNTIFS('تجربه‌گرها'!$B:$B,$A631,'تجربه‌گرها'!$F:$F,K$1)</f>
        <v>0</v>
      </c>
      <c r="L631" s="242">
        <f>COUNTIFS('تجربه‌گرها'!$B:$B,$A631,'تجربه‌گرها'!$F:$F,L$1)</f>
        <v>0</v>
      </c>
      <c r="M631" s="242">
        <f>COUNTIFS('تجربه‌گرها'!$B:$B,$A631,'تجربه‌گرها'!$F:$F,M$1)</f>
        <v>0</v>
      </c>
      <c r="N631" s="242">
        <f>COUNTIFS('تجربه‌گرها'!$B:$B,$A631,'تجربه‌گرها'!$F:$F,N$1)</f>
        <v>0</v>
      </c>
      <c r="O631" s="242">
        <f>COUNTIFS('تجربه‌گرها'!$B:$B,$A631,'تجربه‌گرها'!$F:$F,O$1)</f>
        <v>0</v>
      </c>
      <c r="P631" s="242">
        <f>COUNTIFS('تجربه‌گرها'!$B:$B,$A631,'تجربه‌گرها'!$F:$F,P$1)</f>
        <v>0</v>
      </c>
      <c r="Q631" s="242">
        <f>COUNTIFS('تجربه‌گرها'!$B:$B,$A631,'تجربه‌گرها'!$F:$F,Q$1)</f>
        <v>0</v>
      </c>
      <c r="R631" s="242">
        <f>COUNTIFS('تجربه‌گرها'!$B:$B,$A631,'تجربه‌گرها'!$F:$F,R$1)</f>
        <v>0</v>
      </c>
      <c r="S631" s="242">
        <f>COUNTIFS('تجربه‌گرها'!$B:$B,$A631,'تجربه‌گرها'!$F:$F,S$1)</f>
        <v>0</v>
      </c>
      <c r="T631" s="242">
        <f>COUNTIFS('تجربه‌گرها'!$B:$B,$A631,'تجربه‌گرها'!$F:$F,T$1)</f>
        <v>0</v>
      </c>
      <c r="U631" s="242"/>
      <c r="V631" s="242"/>
      <c r="W631" s="242"/>
      <c r="X631" s="242"/>
      <c r="Y631" s="242"/>
      <c r="Z631" s="242"/>
      <c r="AA631" s="242"/>
      <c r="AB631" s="242"/>
    </row>
    <row r="632" hidden="1">
      <c r="A632" s="244" t="s">
        <v>4004</v>
      </c>
      <c r="B632" s="245" t="str">
        <f>VLOOKUP(A632,'تجربه‌گرها'!B:C,2,FALSE())</f>
        <v>9117274961</v>
      </c>
      <c r="C632" s="242"/>
      <c r="D632" s="242">
        <f t="shared" si="1"/>
        <v>1</v>
      </c>
      <c r="E632" s="242">
        <f>COUNTIFS('تجربه‌گرها'!$B:$B,$A632,'تجربه‌گرها'!$F:$F,E$1)</f>
        <v>0</v>
      </c>
      <c r="F632" s="242">
        <f>COUNTIFS('تجربه‌گرها'!$B:$B,$A632,'تجربه‌گرها'!$F:$F,F$1)</f>
        <v>0</v>
      </c>
      <c r="G632" s="242">
        <f>COUNTIFS('تجربه‌گرها'!$B:$B,$A632,'تجربه‌گرها'!$F:$F,G$1)</f>
        <v>0</v>
      </c>
      <c r="H632" s="242">
        <f>COUNTIFS('تجربه‌گرها'!$B:$B,$A632,'تجربه‌گرها'!$F:$F,H$1)</f>
        <v>0</v>
      </c>
      <c r="I632" s="242">
        <f>COUNTIFS('تجربه‌گرها'!$B:$B,$A632,'تجربه‌گرها'!$F:$F,I$1)</f>
        <v>0</v>
      </c>
      <c r="J632" s="242">
        <f>COUNTIFS('تجربه‌گرها'!$B:$B,$A632,'تجربه‌گرها'!$F:$F,J$1)</f>
        <v>1</v>
      </c>
      <c r="K632" s="242">
        <f>COUNTIFS('تجربه‌گرها'!$B:$B,$A632,'تجربه‌گرها'!$F:$F,K$1)</f>
        <v>0</v>
      </c>
      <c r="L632" s="242">
        <f>COUNTIFS('تجربه‌گرها'!$B:$B,$A632,'تجربه‌گرها'!$F:$F,L$1)</f>
        <v>0</v>
      </c>
      <c r="M632" s="242">
        <f>COUNTIFS('تجربه‌گرها'!$B:$B,$A632,'تجربه‌گرها'!$F:$F,M$1)</f>
        <v>0</v>
      </c>
      <c r="N632" s="242">
        <f>COUNTIFS('تجربه‌گرها'!$B:$B,$A632,'تجربه‌گرها'!$F:$F,N$1)</f>
        <v>0</v>
      </c>
      <c r="O632" s="242">
        <f>COUNTIFS('تجربه‌گرها'!$B:$B,$A632,'تجربه‌گرها'!$F:$F,O$1)</f>
        <v>0</v>
      </c>
      <c r="P632" s="242">
        <f>COUNTIFS('تجربه‌گرها'!$B:$B,$A632,'تجربه‌گرها'!$F:$F,P$1)</f>
        <v>0</v>
      </c>
      <c r="Q632" s="242">
        <f>COUNTIFS('تجربه‌گرها'!$B:$B,$A632,'تجربه‌گرها'!$F:$F,Q$1)</f>
        <v>0</v>
      </c>
      <c r="R632" s="242">
        <f>COUNTIFS('تجربه‌گرها'!$B:$B,$A632,'تجربه‌گرها'!$F:$F,R$1)</f>
        <v>0</v>
      </c>
      <c r="S632" s="242">
        <f>COUNTIFS('تجربه‌گرها'!$B:$B,$A632,'تجربه‌گرها'!$F:$F,S$1)</f>
        <v>0</v>
      </c>
      <c r="T632" s="242">
        <f>COUNTIFS('تجربه‌گرها'!$B:$B,$A632,'تجربه‌گرها'!$F:$F,T$1)</f>
        <v>0</v>
      </c>
      <c r="U632" s="242"/>
      <c r="V632" s="242"/>
      <c r="W632" s="242"/>
      <c r="X632" s="242"/>
      <c r="Y632" s="242"/>
      <c r="Z632" s="242"/>
      <c r="AA632" s="242"/>
      <c r="AB632" s="242"/>
    </row>
    <row r="633" hidden="1">
      <c r="A633" s="244" t="s">
        <v>4011</v>
      </c>
      <c r="B633" s="245" t="str">
        <f>VLOOKUP(A633,'تجربه‌گرها'!B:C,2,FALSE())</f>
        <v>9123169663</v>
      </c>
      <c r="C633" s="242"/>
      <c r="D633" s="242">
        <f t="shared" si="1"/>
        <v>1</v>
      </c>
      <c r="E633" s="242">
        <f>COUNTIFS('تجربه‌گرها'!$B:$B,$A633,'تجربه‌گرها'!$F:$F,E$1)</f>
        <v>0</v>
      </c>
      <c r="F633" s="242">
        <f>COUNTIFS('تجربه‌گرها'!$B:$B,$A633,'تجربه‌گرها'!$F:$F,F$1)</f>
        <v>0</v>
      </c>
      <c r="G633" s="242">
        <f>COUNTIFS('تجربه‌گرها'!$B:$B,$A633,'تجربه‌گرها'!$F:$F,G$1)</f>
        <v>0</v>
      </c>
      <c r="H633" s="242">
        <f>COUNTIFS('تجربه‌گرها'!$B:$B,$A633,'تجربه‌گرها'!$F:$F,H$1)</f>
        <v>0</v>
      </c>
      <c r="I633" s="242">
        <f>COUNTIFS('تجربه‌گرها'!$B:$B,$A633,'تجربه‌گرها'!$F:$F,I$1)</f>
        <v>0</v>
      </c>
      <c r="J633" s="242">
        <f>COUNTIFS('تجربه‌گرها'!$B:$B,$A633,'تجربه‌گرها'!$F:$F,J$1)</f>
        <v>1</v>
      </c>
      <c r="K633" s="242">
        <f>COUNTIFS('تجربه‌گرها'!$B:$B,$A633,'تجربه‌گرها'!$F:$F,K$1)</f>
        <v>0</v>
      </c>
      <c r="L633" s="242">
        <f>COUNTIFS('تجربه‌گرها'!$B:$B,$A633,'تجربه‌گرها'!$F:$F,L$1)</f>
        <v>0</v>
      </c>
      <c r="M633" s="242">
        <f>COUNTIFS('تجربه‌گرها'!$B:$B,$A633,'تجربه‌گرها'!$F:$F,M$1)</f>
        <v>0</v>
      </c>
      <c r="N633" s="242">
        <f>COUNTIFS('تجربه‌گرها'!$B:$B,$A633,'تجربه‌گرها'!$F:$F,N$1)</f>
        <v>0</v>
      </c>
      <c r="O633" s="242">
        <f>COUNTIFS('تجربه‌گرها'!$B:$B,$A633,'تجربه‌گرها'!$F:$F,O$1)</f>
        <v>0</v>
      </c>
      <c r="P633" s="242">
        <f>COUNTIFS('تجربه‌گرها'!$B:$B,$A633,'تجربه‌گرها'!$F:$F,P$1)</f>
        <v>0</v>
      </c>
      <c r="Q633" s="242">
        <f>COUNTIFS('تجربه‌گرها'!$B:$B,$A633,'تجربه‌گرها'!$F:$F,Q$1)</f>
        <v>0</v>
      </c>
      <c r="R633" s="242">
        <f>COUNTIFS('تجربه‌گرها'!$B:$B,$A633,'تجربه‌گرها'!$F:$F,R$1)</f>
        <v>0</v>
      </c>
      <c r="S633" s="242">
        <f>COUNTIFS('تجربه‌گرها'!$B:$B,$A633,'تجربه‌گرها'!$F:$F,S$1)</f>
        <v>0</v>
      </c>
      <c r="T633" s="242">
        <f>COUNTIFS('تجربه‌گرها'!$B:$B,$A633,'تجربه‌گرها'!$F:$F,T$1)</f>
        <v>0</v>
      </c>
      <c r="U633" s="242"/>
      <c r="V633" s="242"/>
      <c r="W633" s="242"/>
      <c r="X633" s="242"/>
      <c r="Y633" s="242"/>
      <c r="Z633" s="242"/>
      <c r="AA633" s="242"/>
      <c r="AB633" s="242"/>
    </row>
    <row r="634" hidden="1">
      <c r="A634" s="244" t="s">
        <v>4016</v>
      </c>
      <c r="B634" s="245" t="str">
        <f>VLOOKUP(A634,'تجربه‌گرها'!B:C,2,FALSE())</f>
        <v>9149101379</v>
      </c>
      <c r="C634" s="242"/>
      <c r="D634" s="242">
        <f t="shared" si="1"/>
        <v>1</v>
      </c>
      <c r="E634" s="242">
        <f>COUNTIFS('تجربه‌گرها'!$B:$B,$A634,'تجربه‌گرها'!$F:$F,E$1)</f>
        <v>0</v>
      </c>
      <c r="F634" s="242">
        <f>COUNTIFS('تجربه‌گرها'!$B:$B,$A634,'تجربه‌گرها'!$F:$F,F$1)</f>
        <v>0</v>
      </c>
      <c r="G634" s="242">
        <f>COUNTIFS('تجربه‌گرها'!$B:$B,$A634,'تجربه‌گرها'!$F:$F,G$1)</f>
        <v>0</v>
      </c>
      <c r="H634" s="242">
        <f>COUNTIFS('تجربه‌گرها'!$B:$B,$A634,'تجربه‌گرها'!$F:$F,H$1)</f>
        <v>0</v>
      </c>
      <c r="I634" s="242">
        <f>COUNTIFS('تجربه‌گرها'!$B:$B,$A634,'تجربه‌گرها'!$F:$F,I$1)</f>
        <v>0</v>
      </c>
      <c r="J634" s="242">
        <f>COUNTIFS('تجربه‌گرها'!$B:$B,$A634,'تجربه‌گرها'!$F:$F,J$1)</f>
        <v>1</v>
      </c>
      <c r="K634" s="242">
        <f>COUNTIFS('تجربه‌گرها'!$B:$B,$A634,'تجربه‌گرها'!$F:$F,K$1)</f>
        <v>0</v>
      </c>
      <c r="L634" s="242">
        <f>COUNTIFS('تجربه‌گرها'!$B:$B,$A634,'تجربه‌گرها'!$F:$F,L$1)</f>
        <v>0</v>
      </c>
      <c r="M634" s="242">
        <f>COUNTIFS('تجربه‌گرها'!$B:$B,$A634,'تجربه‌گرها'!$F:$F,M$1)</f>
        <v>0</v>
      </c>
      <c r="N634" s="242">
        <f>COUNTIFS('تجربه‌گرها'!$B:$B,$A634,'تجربه‌گرها'!$F:$F,N$1)</f>
        <v>0</v>
      </c>
      <c r="O634" s="242">
        <f>COUNTIFS('تجربه‌گرها'!$B:$B,$A634,'تجربه‌گرها'!$F:$F,O$1)</f>
        <v>0</v>
      </c>
      <c r="P634" s="242">
        <f>COUNTIFS('تجربه‌گرها'!$B:$B,$A634,'تجربه‌گرها'!$F:$F,P$1)</f>
        <v>0</v>
      </c>
      <c r="Q634" s="242">
        <f>COUNTIFS('تجربه‌گرها'!$B:$B,$A634,'تجربه‌گرها'!$F:$F,Q$1)</f>
        <v>0</v>
      </c>
      <c r="R634" s="242">
        <f>COUNTIFS('تجربه‌گرها'!$B:$B,$A634,'تجربه‌گرها'!$F:$F,R$1)</f>
        <v>0</v>
      </c>
      <c r="S634" s="242">
        <f>COUNTIFS('تجربه‌گرها'!$B:$B,$A634,'تجربه‌گرها'!$F:$F,S$1)</f>
        <v>0</v>
      </c>
      <c r="T634" s="242">
        <f>COUNTIFS('تجربه‌گرها'!$B:$B,$A634,'تجربه‌گرها'!$F:$F,T$1)</f>
        <v>0</v>
      </c>
      <c r="U634" s="242"/>
      <c r="V634" s="242"/>
      <c r="W634" s="242"/>
      <c r="X634" s="242"/>
      <c r="Y634" s="242"/>
      <c r="Z634" s="242"/>
      <c r="AA634" s="242"/>
      <c r="AB634" s="242"/>
    </row>
    <row r="635" hidden="1">
      <c r="A635" s="244" t="s">
        <v>4021</v>
      </c>
      <c r="B635" s="245" t="str">
        <f>VLOOKUP(A635,'تجربه‌گرها'!B:C,2,FALSE())</f>
        <v>9122829116</v>
      </c>
      <c r="C635" s="242"/>
      <c r="D635" s="242">
        <f t="shared" si="1"/>
        <v>1</v>
      </c>
      <c r="E635" s="242">
        <f>COUNTIFS('تجربه‌گرها'!$B:$B,$A635,'تجربه‌گرها'!$F:$F,E$1)</f>
        <v>0</v>
      </c>
      <c r="F635" s="242">
        <f>COUNTIFS('تجربه‌گرها'!$B:$B,$A635,'تجربه‌گرها'!$F:$F,F$1)</f>
        <v>0</v>
      </c>
      <c r="G635" s="242">
        <f>COUNTIFS('تجربه‌گرها'!$B:$B,$A635,'تجربه‌گرها'!$F:$F,G$1)</f>
        <v>0</v>
      </c>
      <c r="H635" s="242">
        <f>COUNTIFS('تجربه‌گرها'!$B:$B,$A635,'تجربه‌گرها'!$F:$F,H$1)</f>
        <v>0</v>
      </c>
      <c r="I635" s="242">
        <f>COUNTIFS('تجربه‌گرها'!$B:$B,$A635,'تجربه‌گرها'!$F:$F,I$1)</f>
        <v>0</v>
      </c>
      <c r="J635" s="242">
        <f>COUNTIFS('تجربه‌گرها'!$B:$B,$A635,'تجربه‌گرها'!$F:$F,J$1)</f>
        <v>1</v>
      </c>
      <c r="K635" s="242">
        <f>COUNTIFS('تجربه‌گرها'!$B:$B,$A635,'تجربه‌گرها'!$F:$F,K$1)</f>
        <v>0</v>
      </c>
      <c r="L635" s="242">
        <f>COUNTIFS('تجربه‌گرها'!$B:$B,$A635,'تجربه‌گرها'!$F:$F,L$1)</f>
        <v>0</v>
      </c>
      <c r="M635" s="242">
        <f>COUNTIFS('تجربه‌گرها'!$B:$B,$A635,'تجربه‌گرها'!$F:$F,M$1)</f>
        <v>0</v>
      </c>
      <c r="N635" s="242">
        <f>COUNTIFS('تجربه‌گرها'!$B:$B,$A635,'تجربه‌گرها'!$F:$F,N$1)</f>
        <v>0</v>
      </c>
      <c r="O635" s="242">
        <f>COUNTIFS('تجربه‌گرها'!$B:$B,$A635,'تجربه‌گرها'!$F:$F,O$1)</f>
        <v>0</v>
      </c>
      <c r="P635" s="242">
        <f>COUNTIFS('تجربه‌گرها'!$B:$B,$A635,'تجربه‌گرها'!$F:$F,P$1)</f>
        <v>0</v>
      </c>
      <c r="Q635" s="242">
        <f>COUNTIFS('تجربه‌گرها'!$B:$B,$A635,'تجربه‌گرها'!$F:$F,Q$1)</f>
        <v>0</v>
      </c>
      <c r="R635" s="242">
        <f>COUNTIFS('تجربه‌گرها'!$B:$B,$A635,'تجربه‌گرها'!$F:$F,R$1)</f>
        <v>0</v>
      </c>
      <c r="S635" s="242">
        <f>COUNTIFS('تجربه‌گرها'!$B:$B,$A635,'تجربه‌گرها'!$F:$F,S$1)</f>
        <v>0</v>
      </c>
      <c r="T635" s="242">
        <f>COUNTIFS('تجربه‌گرها'!$B:$B,$A635,'تجربه‌گرها'!$F:$F,T$1)</f>
        <v>0</v>
      </c>
      <c r="U635" s="242"/>
      <c r="V635" s="242"/>
      <c r="W635" s="242"/>
      <c r="X635" s="242"/>
      <c r="Y635" s="242"/>
      <c r="Z635" s="242"/>
      <c r="AA635" s="242"/>
      <c r="AB635" s="242"/>
    </row>
    <row r="636" hidden="1">
      <c r="A636" s="244" t="s">
        <v>4026</v>
      </c>
      <c r="B636" s="245" t="str">
        <f>VLOOKUP(A636,'تجربه‌گرها'!B:C,2,FALSE())</f>
        <v>9128125942</v>
      </c>
      <c r="C636" s="242"/>
      <c r="D636" s="242">
        <f t="shared" si="1"/>
        <v>1</v>
      </c>
      <c r="E636" s="242">
        <f>COUNTIFS('تجربه‌گرها'!$B:$B,$A636,'تجربه‌گرها'!$F:$F,E$1)</f>
        <v>0</v>
      </c>
      <c r="F636" s="242">
        <f>COUNTIFS('تجربه‌گرها'!$B:$B,$A636,'تجربه‌گرها'!$F:$F,F$1)</f>
        <v>0</v>
      </c>
      <c r="G636" s="242">
        <f>COUNTIFS('تجربه‌گرها'!$B:$B,$A636,'تجربه‌گرها'!$F:$F,G$1)</f>
        <v>0</v>
      </c>
      <c r="H636" s="242">
        <f>COUNTIFS('تجربه‌گرها'!$B:$B,$A636,'تجربه‌گرها'!$F:$F,H$1)</f>
        <v>0</v>
      </c>
      <c r="I636" s="242">
        <f>COUNTIFS('تجربه‌گرها'!$B:$B,$A636,'تجربه‌گرها'!$F:$F,I$1)</f>
        <v>0</v>
      </c>
      <c r="J636" s="242">
        <f>COUNTIFS('تجربه‌گرها'!$B:$B,$A636,'تجربه‌گرها'!$F:$F,J$1)</f>
        <v>1</v>
      </c>
      <c r="K636" s="242">
        <f>COUNTIFS('تجربه‌گرها'!$B:$B,$A636,'تجربه‌گرها'!$F:$F,K$1)</f>
        <v>0</v>
      </c>
      <c r="L636" s="242">
        <f>COUNTIFS('تجربه‌گرها'!$B:$B,$A636,'تجربه‌گرها'!$F:$F,L$1)</f>
        <v>0</v>
      </c>
      <c r="M636" s="242">
        <f>COUNTIFS('تجربه‌گرها'!$B:$B,$A636,'تجربه‌گرها'!$F:$F,M$1)</f>
        <v>0</v>
      </c>
      <c r="N636" s="242">
        <f>COUNTIFS('تجربه‌گرها'!$B:$B,$A636,'تجربه‌گرها'!$F:$F,N$1)</f>
        <v>0</v>
      </c>
      <c r="O636" s="242">
        <f>COUNTIFS('تجربه‌گرها'!$B:$B,$A636,'تجربه‌گرها'!$F:$F,O$1)</f>
        <v>0</v>
      </c>
      <c r="P636" s="242">
        <f>COUNTIFS('تجربه‌گرها'!$B:$B,$A636,'تجربه‌گرها'!$F:$F,P$1)</f>
        <v>0</v>
      </c>
      <c r="Q636" s="242">
        <f>COUNTIFS('تجربه‌گرها'!$B:$B,$A636,'تجربه‌گرها'!$F:$F,Q$1)</f>
        <v>0</v>
      </c>
      <c r="R636" s="242">
        <f>COUNTIFS('تجربه‌گرها'!$B:$B,$A636,'تجربه‌گرها'!$F:$F,R$1)</f>
        <v>0</v>
      </c>
      <c r="S636" s="242">
        <f>COUNTIFS('تجربه‌گرها'!$B:$B,$A636,'تجربه‌گرها'!$F:$F,S$1)</f>
        <v>0</v>
      </c>
      <c r="T636" s="242">
        <f>COUNTIFS('تجربه‌گرها'!$B:$B,$A636,'تجربه‌گرها'!$F:$F,T$1)</f>
        <v>0</v>
      </c>
      <c r="U636" s="242"/>
      <c r="V636" s="242"/>
      <c r="W636" s="242"/>
      <c r="X636" s="242"/>
      <c r="Y636" s="242"/>
      <c r="Z636" s="242"/>
      <c r="AA636" s="242"/>
      <c r="AB636" s="242"/>
    </row>
    <row r="637" hidden="1">
      <c r="A637" s="244" t="s">
        <v>4031</v>
      </c>
      <c r="B637" s="245" t="str">
        <f>VLOOKUP(A637,'تجربه‌گرها'!B:C,2,FALSE())</f>
        <v>9122092892</v>
      </c>
      <c r="C637" s="242"/>
      <c r="D637" s="242">
        <f t="shared" si="1"/>
        <v>1</v>
      </c>
      <c r="E637" s="242">
        <f>COUNTIFS('تجربه‌گرها'!$B:$B,$A637,'تجربه‌گرها'!$F:$F,E$1)</f>
        <v>0</v>
      </c>
      <c r="F637" s="242">
        <f>COUNTIFS('تجربه‌گرها'!$B:$B,$A637,'تجربه‌گرها'!$F:$F,F$1)</f>
        <v>0</v>
      </c>
      <c r="G637" s="242">
        <f>COUNTIFS('تجربه‌گرها'!$B:$B,$A637,'تجربه‌گرها'!$F:$F,G$1)</f>
        <v>0</v>
      </c>
      <c r="H637" s="242">
        <f>COUNTIFS('تجربه‌گرها'!$B:$B,$A637,'تجربه‌گرها'!$F:$F,H$1)</f>
        <v>0</v>
      </c>
      <c r="I637" s="242">
        <f>COUNTIFS('تجربه‌گرها'!$B:$B,$A637,'تجربه‌گرها'!$F:$F,I$1)</f>
        <v>0</v>
      </c>
      <c r="J637" s="242">
        <f>COUNTIFS('تجربه‌گرها'!$B:$B,$A637,'تجربه‌گرها'!$F:$F,J$1)</f>
        <v>1</v>
      </c>
      <c r="K637" s="242">
        <f>COUNTIFS('تجربه‌گرها'!$B:$B,$A637,'تجربه‌گرها'!$F:$F,K$1)</f>
        <v>0</v>
      </c>
      <c r="L637" s="242">
        <f>COUNTIFS('تجربه‌گرها'!$B:$B,$A637,'تجربه‌گرها'!$F:$F,L$1)</f>
        <v>0</v>
      </c>
      <c r="M637" s="242">
        <f>COUNTIFS('تجربه‌گرها'!$B:$B,$A637,'تجربه‌گرها'!$F:$F,M$1)</f>
        <v>0</v>
      </c>
      <c r="N637" s="242">
        <f>COUNTIFS('تجربه‌گرها'!$B:$B,$A637,'تجربه‌گرها'!$F:$F,N$1)</f>
        <v>0</v>
      </c>
      <c r="O637" s="242">
        <f>COUNTIFS('تجربه‌گرها'!$B:$B,$A637,'تجربه‌گرها'!$F:$F,O$1)</f>
        <v>0</v>
      </c>
      <c r="P637" s="242">
        <f>COUNTIFS('تجربه‌گرها'!$B:$B,$A637,'تجربه‌گرها'!$F:$F,P$1)</f>
        <v>0</v>
      </c>
      <c r="Q637" s="242">
        <f>COUNTIFS('تجربه‌گرها'!$B:$B,$A637,'تجربه‌گرها'!$F:$F,Q$1)</f>
        <v>0</v>
      </c>
      <c r="R637" s="242">
        <f>COUNTIFS('تجربه‌گرها'!$B:$B,$A637,'تجربه‌گرها'!$F:$F,R$1)</f>
        <v>0</v>
      </c>
      <c r="S637" s="242">
        <f>COUNTIFS('تجربه‌گرها'!$B:$B,$A637,'تجربه‌گرها'!$F:$F,S$1)</f>
        <v>0</v>
      </c>
      <c r="T637" s="242">
        <f>COUNTIFS('تجربه‌گرها'!$B:$B,$A637,'تجربه‌گرها'!$F:$F,T$1)</f>
        <v>0</v>
      </c>
      <c r="U637" s="242"/>
      <c r="V637" s="242"/>
      <c r="W637" s="242"/>
      <c r="X637" s="242"/>
      <c r="Y637" s="242"/>
      <c r="Z637" s="242"/>
      <c r="AA637" s="242"/>
      <c r="AB637" s="242"/>
    </row>
    <row r="638" hidden="1">
      <c r="A638" s="244" t="s">
        <v>4035</v>
      </c>
      <c r="B638" s="245" t="str">
        <f>VLOOKUP(A638,'تجربه‌گرها'!B:C,2,FALSE())</f>
        <v>9121331770</v>
      </c>
      <c r="C638" s="242"/>
      <c r="D638" s="242">
        <f t="shared" si="1"/>
        <v>1</v>
      </c>
      <c r="E638" s="242">
        <f>COUNTIFS('تجربه‌گرها'!$B:$B,$A638,'تجربه‌گرها'!$F:$F,E$1)</f>
        <v>0</v>
      </c>
      <c r="F638" s="242">
        <f>COUNTIFS('تجربه‌گرها'!$B:$B,$A638,'تجربه‌گرها'!$F:$F,F$1)</f>
        <v>0</v>
      </c>
      <c r="G638" s="242">
        <f>COUNTIFS('تجربه‌گرها'!$B:$B,$A638,'تجربه‌گرها'!$F:$F,G$1)</f>
        <v>0</v>
      </c>
      <c r="H638" s="242">
        <f>COUNTIFS('تجربه‌گرها'!$B:$B,$A638,'تجربه‌گرها'!$F:$F,H$1)</f>
        <v>0</v>
      </c>
      <c r="I638" s="242">
        <f>COUNTIFS('تجربه‌گرها'!$B:$B,$A638,'تجربه‌گرها'!$F:$F,I$1)</f>
        <v>0</v>
      </c>
      <c r="J638" s="242">
        <f>COUNTIFS('تجربه‌گرها'!$B:$B,$A638,'تجربه‌گرها'!$F:$F,J$1)</f>
        <v>1</v>
      </c>
      <c r="K638" s="242">
        <f>COUNTIFS('تجربه‌گرها'!$B:$B,$A638,'تجربه‌گرها'!$F:$F,K$1)</f>
        <v>0</v>
      </c>
      <c r="L638" s="242">
        <f>COUNTIFS('تجربه‌گرها'!$B:$B,$A638,'تجربه‌گرها'!$F:$F,L$1)</f>
        <v>0</v>
      </c>
      <c r="M638" s="242">
        <f>COUNTIFS('تجربه‌گرها'!$B:$B,$A638,'تجربه‌گرها'!$F:$F,M$1)</f>
        <v>0</v>
      </c>
      <c r="N638" s="242">
        <f>COUNTIFS('تجربه‌گرها'!$B:$B,$A638,'تجربه‌گرها'!$F:$F,N$1)</f>
        <v>0</v>
      </c>
      <c r="O638" s="242">
        <f>COUNTIFS('تجربه‌گرها'!$B:$B,$A638,'تجربه‌گرها'!$F:$F,O$1)</f>
        <v>0</v>
      </c>
      <c r="P638" s="242">
        <f>COUNTIFS('تجربه‌گرها'!$B:$B,$A638,'تجربه‌گرها'!$F:$F,P$1)</f>
        <v>0</v>
      </c>
      <c r="Q638" s="242">
        <f>COUNTIFS('تجربه‌گرها'!$B:$B,$A638,'تجربه‌گرها'!$F:$F,Q$1)</f>
        <v>0</v>
      </c>
      <c r="R638" s="242">
        <f>COUNTIFS('تجربه‌گرها'!$B:$B,$A638,'تجربه‌گرها'!$F:$F,R$1)</f>
        <v>0</v>
      </c>
      <c r="S638" s="242">
        <f>COUNTIFS('تجربه‌گرها'!$B:$B,$A638,'تجربه‌گرها'!$F:$F,S$1)</f>
        <v>0</v>
      </c>
      <c r="T638" s="242">
        <f>COUNTIFS('تجربه‌گرها'!$B:$B,$A638,'تجربه‌گرها'!$F:$F,T$1)</f>
        <v>0</v>
      </c>
      <c r="U638" s="242"/>
      <c r="V638" s="242"/>
      <c r="W638" s="242"/>
      <c r="X638" s="242"/>
      <c r="Y638" s="242"/>
      <c r="Z638" s="242"/>
      <c r="AA638" s="242"/>
      <c r="AB638" s="242"/>
    </row>
    <row r="639" hidden="1">
      <c r="A639" s="244" t="s">
        <v>4038</v>
      </c>
      <c r="B639" s="245" t="str">
        <f>VLOOKUP(A639,'تجربه‌گرها'!B:C,2,FALSE())</f>
        <v>9217974091</v>
      </c>
      <c r="C639" s="242"/>
      <c r="D639" s="242">
        <f t="shared" si="1"/>
        <v>1</v>
      </c>
      <c r="E639" s="242">
        <f>COUNTIFS('تجربه‌گرها'!$B:$B,$A639,'تجربه‌گرها'!$F:$F,E$1)</f>
        <v>0</v>
      </c>
      <c r="F639" s="242">
        <f>COUNTIFS('تجربه‌گرها'!$B:$B,$A639,'تجربه‌گرها'!$F:$F,F$1)</f>
        <v>0</v>
      </c>
      <c r="G639" s="242">
        <f>COUNTIFS('تجربه‌گرها'!$B:$B,$A639,'تجربه‌گرها'!$F:$F,G$1)</f>
        <v>0</v>
      </c>
      <c r="H639" s="242">
        <f>COUNTIFS('تجربه‌گرها'!$B:$B,$A639,'تجربه‌گرها'!$F:$F,H$1)</f>
        <v>0</v>
      </c>
      <c r="I639" s="242">
        <f>COUNTIFS('تجربه‌گرها'!$B:$B,$A639,'تجربه‌گرها'!$F:$F,I$1)</f>
        <v>0</v>
      </c>
      <c r="J639" s="242">
        <f>COUNTIFS('تجربه‌گرها'!$B:$B,$A639,'تجربه‌گرها'!$F:$F,J$1)</f>
        <v>1</v>
      </c>
      <c r="K639" s="242">
        <f>COUNTIFS('تجربه‌گرها'!$B:$B,$A639,'تجربه‌گرها'!$F:$F,K$1)</f>
        <v>0</v>
      </c>
      <c r="L639" s="242">
        <f>COUNTIFS('تجربه‌گرها'!$B:$B,$A639,'تجربه‌گرها'!$F:$F,L$1)</f>
        <v>0</v>
      </c>
      <c r="M639" s="242">
        <f>COUNTIFS('تجربه‌گرها'!$B:$B,$A639,'تجربه‌گرها'!$F:$F,M$1)</f>
        <v>0</v>
      </c>
      <c r="N639" s="242">
        <f>COUNTIFS('تجربه‌گرها'!$B:$B,$A639,'تجربه‌گرها'!$F:$F,N$1)</f>
        <v>0</v>
      </c>
      <c r="O639" s="242">
        <f>COUNTIFS('تجربه‌گرها'!$B:$B,$A639,'تجربه‌گرها'!$F:$F,O$1)</f>
        <v>0</v>
      </c>
      <c r="P639" s="242">
        <f>COUNTIFS('تجربه‌گرها'!$B:$B,$A639,'تجربه‌گرها'!$F:$F,P$1)</f>
        <v>0</v>
      </c>
      <c r="Q639" s="242">
        <f>COUNTIFS('تجربه‌گرها'!$B:$B,$A639,'تجربه‌گرها'!$F:$F,Q$1)</f>
        <v>0</v>
      </c>
      <c r="R639" s="242">
        <f>COUNTIFS('تجربه‌گرها'!$B:$B,$A639,'تجربه‌گرها'!$F:$F,R$1)</f>
        <v>0</v>
      </c>
      <c r="S639" s="242">
        <f>COUNTIFS('تجربه‌گرها'!$B:$B,$A639,'تجربه‌گرها'!$F:$F,S$1)</f>
        <v>0</v>
      </c>
      <c r="T639" s="242">
        <f>COUNTIFS('تجربه‌گرها'!$B:$B,$A639,'تجربه‌گرها'!$F:$F,T$1)</f>
        <v>0</v>
      </c>
      <c r="U639" s="242"/>
      <c r="V639" s="242"/>
      <c r="W639" s="242"/>
      <c r="X639" s="242"/>
      <c r="Y639" s="242"/>
      <c r="Z639" s="242"/>
      <c r="AA639" s="242"/>
      <c r="AB639" s="242"/>
    </row>
    <row r="640" hidden="1">
      <c r="A640" s="244" t="s">
        <v>4042</v>
      </c>
      <c r="B640" s="245" t="str">
        <f>VLOOKUP(A640,'تجربه‌گرها'!B:C,2,FALSE())</f>
        <v>9154150086</v>
      </c>
      <c r="C640" s="242"/>
      <c r="D640" s="242">
        <f t="shared" si="1"/>
        <v>1</v>
      </c>
      <c r="E640" s="242">
        <f>COUNTIFS('تجربه‌گرها'!$B:$B,$A640,'تجربه‌گرها'!$F:$F,E$1)</f>
        <v>0</v>
      </c>
      <c r="F640" s="242">
        <f>COUNTIFS('تجربه‌گرها'!$B:$B,$A640,'تجربه‌گرها'!$F:$F,F$1)</f>
        <v>0</v>
      </c>
      <c r="G640" s="242">
        <f>COUNTIFS('تجربه‌گرها'!$B:$B,$A640,'تجربه‌گرها'!$F:$F,G$1)</f>
        <v>0</v>
      </c>
      <c r="H640" s="242">
        <f>COUNTIFS('تجربه‌گرها'!$B:$B,$A640,'تجربه‌گرها'!$F:$F,H$1)</f>
        <v>0</v>
      </c>
      <c r="I640" s="242">
        <f>COUNTIFS('تجربه‌گرها'!$B:$B,$A640,'تجربه‌گرها'!$F:$F,I$1)</f>
        <v>0</v>
      </c>
      <c r="J640" s="242">
        <f>COUNTIFS('تجربه‌گرها'!$B:$B,$A640,'تجربه‌گرها'!$F:$F,J$1)</f>
        <v>1</v>
      </c>
      <c r="K640" s="242">
        <f>COUNTIFS('تجربه‌گرها'!$B:$B,$A640,'تجربه‌گرها'!$F:$F,K$1)</f>
        <v>0</v>
      </c>
      <c r="L640" s="242">
        <f>COUNTIFS('تجربه‌گرها'!$B:$B,$A640,'تجربه‌گرها'!$F:$F,L$1)</f>
        <v>0</v>
      </c>
      <c r="M640" s="242">
        <f>COUNTIFS('تجربه‌گرها'!$B:$B,$A640,'تجربه‌گرها'!$F:$F,M$1)</f>
        <v>0</v>
      </c>
      <c r="N640" s="242">
        <f>COUNTIFS('تجربه‌گرها'!$B:$B,$A640,'تجربه‌گرها'!$F:$F,N$1)</f>
        <v>0</v>
      </c>
      <c r="O640" s="242">
        <f>COUNTIFS('تجربه‌گرها'!$B:$B,$A640,'تجربه‌گرها'!$F:$F,O$1)</f>
        <v>0</v>
      </c>
      <c r="P640" s="242">
        <f>COUNTIFS('تجربه‌گرها'!$B:$B,$A640,'تجربه‌گرها'!$F:$F,P$1)</f>
        <v>0</v>
      </c>
      <c r="Q640" s="242">
        <f>COUNTIFS('تجربه‌گرها'!$B:$B,$A640,'تجربه‌گرها'!$F:$F,Q$1)</f>
        <v>0</v>
      </c>
      <c r="R640" s="242">
        <f>COUNTIFS('تجربه‌گرها'!$B:$B,$A640,'تجربه‌گرها'!$F:$F,R$1)</f>
        <v>0</v>
      </c>
      <c r="S640" s="242">
        <f>COUNTIFS('تجربه‌گرها'!$B:$B,$A640,'تجربه‌گرها'!$F:$F,S$1)</f>
        <v>0</v>
      </c>
      <c r="T640" s="242">
        <f>COUNTIFS('تجربه‌گرها'!$B:$B,$A640,'تجربه‌گرها'!$F:$F,T$1)</f>
        <v>0</v>
      </c>
      <c r="U640" s="242"/>
      <c r="V640" s="242"/>
      <c r="W640" s="242"/>
      <c r="X640" s="242"/>
      <c r="Y640" s="242"/>
      <c r="Z640" s="242"/>
      <c r="AA640" s="242"/>
      <c r="AB640" s="242"/>
    </row>
    <row r="641" hidden="1">
      <c r="A641" s="244" t="s">
        <v>4046</v>
      </c>
      <c r="B641" s="245" t="str">
        <f>VLOOKUP(A641,'تجربه‌گرها'!B:C,2,FALSE())</f>
        <v/>
      </c>
      <c r="C641" s="242"/>
      <c r="D641" s="242">
        <f t="shared" si="1"/>
        <v>1</v>
      </c>
      <c r="E641" s="242">
        <f>COUNTIFS('تجربه‌گرها'!$B:$B,$A641,'تجربه‌گرها'!$F:$F,E$1)</f>
        <v>0</v>
      </c>
      <c r="F641" s="242">
        <f>COUNTIFS('تجربه‌گرها'!$B:$B,$A641,'تجربه‌گرها'!$F:$F,F$1)</f>
        <v>0</v>
      </c>
      <c r="G641" s="242">
        <f>COUNTIFS('تجربه‌گرها'!$B:$B,$A641,'تجربه‌گرها'!$F:$F,G$1)</f>
        <v>0</v>
      </c>
      <c r="H641" s="242">
        <f>COUNTIFS('تجربه‌گرها'!$B:$B,$A641,'تجربه‌گرها'!$F:$F,H$1)</f>
        <v>0</v>
      </c>
      <c r="I641" s="242">
        <f>COUNTIFS('تجربه‌گرها'!$B:$B,$A641,'تجربه‌گرها'!$F:$F,I$1)</f>
        <v>0</v>
      </c>
      <c r="J641" s="242">
        <f>COUNTIFS('تجربه‌گرها'!$B:$B,$A641,'تجربه‌گرها'!$F:$F,J$1)</f>
        <v>1</v>
      </c>
      <c r="K641" s="242">
        <f>COUNTIFS('تجربه‌گرها'!$B:$B,$A641,'تجربه‌گرها'!$F:$F,K$1)</f>
        <v>0</v>
      </c>
      <c r="L641" s="242">
        <f>COUNTIFS('تجربه‌گرها'!$B:$B,$A641,'تجربه‌گرها'!$F:$F,L$1)</f>
        <v>0</v>
      </c>
      <c r="M641" s="242">
        <f>COUNTIFS('تجربه‌گرها'!$B:$B,$A641,'تجربه‌گرها'!$F:$F,M$1)</f>
        <v>0</v>
      </c>
      <c r="N641" s="242">
        <f>COUNTIFS('تجربه‌گرها'!$B:$B,$A641,'تجربه‌گرها'!$F:$F,N$1)</f>
        <v>0</v>
      </c>
      <c r="O641" s="242">
        <f>COUNTIFS('تجربه‌گرها'!$B:$B,$A641,'تجربه‌گرها'!$F:$F,O$1)</f>
        <v>0</v>
      </c>
      <c r="P641" s="242">
        <f>COUNTIFS('تجربه‌گرها'!$B:$B,$A641,'تجربه‌گرها'!$F:$F,P$1)</f>
        <v>0</v>
      </c>
      <c r="Q641" s="242">
        <f>COUNTIFS('تجربه‌گرها'!$B:$B,$A641,'تجربه‌گرها'!$F:$F,Q$1)</f>
        <v>0</v>
      </c>
      <c r="R641" s="242">
        <f>COUNTIFS('تجربه‌گرها'!$B:$B,$A641,'تجربه‌گرها'!$F:$F,R$1)</f>
        <v>0</v>
      </c>
      <c r="S641" s="242">
        <f>COUNTIFS('تجربه‌گرها'!$B:$B,$A641,'تجربه‌گرها'!$F:$F,S$1)</f>
        <v>0</v>
      </c>
      <c r="T641" s="242">
        <f>COUNTIFS('تجربه‌گرها'!$B:$B,$A641,'تجربه‌گرها'!$F:$F,T$1)</f>
        <v>0</v>
      </c>
      <c r="U641" s="242"/>
      <c r="V641" s="242"/>
      <c r="W641" s="242"/>
      <c r="X641" s="242"/>
      <c r="Y641" s="242"/>
      <c r="Z641" s="242"/>
      <c r="AA641" s="242"/>
      <c r="AB641" s="242"/>
    </row>
    <row r="642" hidden="1">
      <c r="A642" s="244" t="s">
        <v>4048</v>
      </c>
      <c r="B642" s="245" t="str">
        <f>VLOOKUP(A642,'تجربه‌گرها'!B:C,2,FALSE())</f>
        <v>9125246145</v>
      </c>
      <c r="C642" s="242"/>
      <c r="D642" s="242">
        <f t="shared" si="1"/>
        <v>1</v>
      </c>
      <c r="E642" s="242">
        <f>COUNTIFS('تجربه‌گرها'!$B:$B,$A642,'تجربه‌گرها'!$F:$F,E$1)</f>
        <v>0</v>
      </c>
      <c r="F642" s="242">
        <f>COUNTIFS('تجربه‌گرها'!$B:$B,$A642,'تجربه‌گرها'!$F:$F,F$1)</f>
        <v>0</v>
      </c>
      <c r="G642" s="242">
        <f>COUNTIFS('تجربه‌گرها'!$B:$B,$A642,'تجربه‌گرها'!$F:$F,G$1)</f>
        <v>0</v>
      </c>
      <c r="H642" s="242">
        <f>COUNTIFS('تجربه‌گرها'!$B:$B,$A642,'تجربه‌گرها'!$F:$F,H$1)</f>
        <v>0</v>
      </c>
      <c r="I642" s="242">
        <f>COUNTIFS('تجربه‌گرها'!$B:$B,$A642,'تجربه‌گرها'!$F:$F,I$1)</f>
        <v>0</v>
      </c>
      <c r="J642" s="242">
        <f>COUNTIFS('تجربه‌گرها'!$B:$B,$A642,'تجربه‌گرها'!$F:$F,J$1)</f>
        <v>1</v>
      </c>
      <c r="K642" s="242">
        <f>COUNTIFS('تجربه‌گرها'!$B:$B,$A642,'تجربه‌گرها'!$F:$F,K$1)</f>
        <v>0</v>
      </c>
      <c r="L642" s="242">
        <f>COUNTIFS('تجربه‌گرها'!$B:$B,$A642,'تجربه‌گرها'!$F:$F,L$1)</f>
        <v>0</v>
      </c>
      <c r="M642" s="242">
        <f>COUNTIFS('تجربه‌گرها'!$B:$B,$A642,'تجربه‌گرها'!$F:$F,M$1)</f>
        <v>0</v>
      </c>
      <c r="N642" s="242">
        <f>COUNTIFS('تجربه‌گرها'!$B:$B,$A642,'تجربه‌گرها'!$F:$F,N$1)</f>
        <v>0</v>
      </c>
      <c r="O642" s="242">
        <f>COUNTIFS('تجربه‌گرها'!$B:$B,$A642,'تجربه‌گرها'!$F:$F,O$1)</f>
        <v>0</v>
      </c>
      <c r="P642" s="242">
        <f>COUNTIFS('تجربه‌گرها'!$B:$B,$A642,'تجربه‌گرها'!$F:$F,P$1)</f>
        <v>0</v>
      </c>
      <c r="Q642" s="242">
        <f>COUNTIFS('تجربه‌گرها'!$B:$B,$A642,'تجربه‌گرها'!$F:$F,Q$1)</f>
        <v>0</v>
      </c>
      <c r="R642" s="242">
        <f>COUNTIFS('تجربه‌گرها'!$B:$B,$A642,'تجربه‌گرها'!$F:$F,R$1)</f>
        <v>0</v>
      </c>
      <c r="S642" s="242">
        <f>COUNTIFS('تجربه‌گرها'!$B:$B,$A642,'تجربه‌گرها'!$F:$F,S$1)</f>
        <v>0</v>
      </c>
      <c r="T642" s="242">
        <f>COUNTIFS('تجربه‌گرها'!$B:$B,$A642,'تجربه‌گرها'!$F:$F,T$1)</f>
        <v>0</v>
      </c>
      <c r="U642" s="242"/>
      <c r="V642" s="242"/>
      <c r="W642" s="242"/>
      <c r="X642" s="242"/>
      <c r="Y642" s="242"/>
      <c r="Z642" s="242"/>
      <c r="AA642" s="242"/>
      <c r="AB642" s="242"/>
    </row>
    <row r="643" hidden="1">
      <c r="A643" s="244" t="s">
        <v>4052</v>
      </c>
      <c r="B643" s="245" t="str">
        <f>VLOOKUP(A643,'تجربه‌گرها'!B:C,2,FALSE())</f>
        <v>9171749165</v>
      </c>
      <c r="C643" s="242"/>
      <c r="D643" s="242">
        <f t="shared" si="1"/>
        <v>1</v>
      </c>
      <c r="E643" s="242">
        <f>COUNTIFS('تجربه‌گرها'!$B:$B,$A643,'تجربه‌گرها'!$F:$F,E$1)</f>
        <v>0</v>
      </c>
      <c r="F643" s="242">
        <f>COUNTIFS('تجربه‌گرها'!$B:$B,$A643,'تجربه‌گرها'!$F:$F,F$1)</f>
        <v>0</v>
      </c>
      <c r="G643" s="242">
        <f>COUNTIFS('تجربه‌گرها'!$B:$B,$A643,'تجربه‌گرها'!$F:$F,G$1)</f>
        <v>0</v>
      </c>
      <c r="H643" s="242">
        <f>COUNTIFS('تجربه‌گرها'!$B:$B,$A643,'تجربه‌گرها'!$F:$F,H$1)</f>
        <v>0</v>
      </c>
      <c r="I643" s="242">
        <f>COUNTIFS('تجربه‌گرها'!$B:$B,$A643,'تجربه‌گرها'!$F:$F,I$1)</f>
        <v>0</v>
      </c>
      <c r="J643" s="242">
        <f>COUNTIFS('تجربه‌گرها'!$B:$B,$A643,'تجربه‌گرها'!$F:$F,J$1)</f>
        <v>1</v>
      </c>
      <c r="K643" s="242">
        <f>COUNTIFS('تجربه‌گرها'!$B:$B,$A643,'تجربه‌گرها'!$F:$F,K$1)</f>
        <v>0</v>
      </c>
      <c r="L643" s="242">
        <f>COUNTIFS('تجربه‌گرها'!$B:$B,$A643,'تجربه‌گرها'!$F:$F,L$1)</f>
        <v>0</v>
      </c>
      <c r="M643" s="242">
        <f>COUNTIFS('تجربه‌گرها'!$B:$B,$A643,'تجربه‌گرها'!$F:$F,M$1)</f>
        <v>0</v>
      </c>
      <c r="N643" s="242">
        <f>COUNTIFS('تجربه‌گرها'!$B:$B,$A643,'تجربه‌گرها'!$F:$F,N$1)</f>
        <v>0</v>
      </c>
      <c r="O643" s="242">
        <f>COUNTIFS('تجربه‌گرها'!$B:$B,$A643,'تجربه‌گرها'!$F:$F,O$1)</f>
        <v>0</v>
      </c>
      <c r="P643" s="242">
        <f>COUNTIFS('تجربه‌گرها'!$B:$B,$A643,'تجربه‌گرها'!$F:$F,P$1)</f>
        <v>0</v>
      </c>
      <c r="Q643" s="242">
        <f>COUNTIFS('تجربه‌گرها'!$B:$B,$A643,'تجربه‌گرها'!$F:$F,Q$1)</f>
        <v>0</v>
      </c>
      <c r="R643" s="242">
        <f>COUNTIFS('تجربه‌گرها'!$B:$B,$A643,'تجربه‌گرها'!$F:$F,R$1)</f>
        <v>0</v>
      </c>
      <c r="S643" s="242">
        <f>COUNTIFS('تجربه‌گرها'!$B:$B,$A643,'تجربه‌گرها'!$F:$F,S$1)</f>
        <v>0</v>
      </c>
      <c r="T643" s="242">
        <f>COUNTIFS('تجربه‌گرها'!$B:$B,$A643,'تجربه‌گرها'!$F:$F,T$1)</f>
        <v>0</v>
      </c>
      <c r="U643" s="242"/>
      <c r="V643" s="242"/>
      <c r="W643" s="242"/>
      <c r="X643" s="242"/>
      <c r="Y643" s="242"/>
      <c r="Z643" s="242"/>
      <c r="AA643" s="242"/>
      <c r="AB643" s="242"/>
    </row>
    <row r="644" hidden="1">
      <c r="A644" s="244" t="s">
        <v>4058</v>
      </c>
      <c r="B644" s="245" t="str">
        <f>VLOOKUP(A644,'تجربه‌گرها'!B:C,2,FALSE())</f>
        <v>9109870870</v>
      </c>
      <c r="C644" s="242"/>
      <c r="D644" s="242">
        <f t="shared" si="1"/>
        <v>1</v>
      </c>
      <c r="E644" s="242">
        <f>COUNTIFS('تجربه‌گرها'!$B:$B,$A644,'تجربه‌گرها'!$F:$F,E$1)</f>
        <v>0</v>
      </c>
      <c r="F644" s="242">
        <f>COUNTIFS('تجربه‌گرها'!$B:$B,$A644,'تجربه‌گرها'!$F:$F,F$1)</f>
        <v>0</v>
      </c>
      <c r="G644" s="242">
        <f>COUNTIFS('تجربه‌گرها'!$B:$B,$A644,'تجربه‌گرها'!$F:$F,G$1)</f>
        <v>0</v>
      </c>
      <c r="H644" s="242">
        <f>COUNTIFS('تجربه‌گرها'!$B:$B,$A644,'تجربه‌گرها'!$F:$F,H$1)</f>
        <v>0</v>
      </c>
      <c r="I644" s="242">
        <f>COUNTIFS('تجربه‌گرها'!$B:$B,$A644,'تجربه‌گرها'!$F:$F,I$1)</f>
        <v>0</v>
      </c>
      <c r="J644" s="242">
        <f>COUNTIFS('تجربه‌گرها'!$B:$B,$A644,'تجربه‌گرها'!$F:$F,J$1)</f>
        <v>1</v>
      </c>
      <c r="K644" s="242">
        <f>COUNTIFS('تجربه‌گرها'!$B:$B,$A644,'تجربه‌گرها'!$F:$F,K$1)</f>
        <v>0</v>
      </c>
      <c r="L644" s="242">
        <f>COUNTIFS('تجربه‌گرها'!$B:$B,$A644,'تجربه‌گرها'!$F:$F,L$1)</f>
        <v>0</v>
      </c>
      <c r="M644" s="242">
        <f>COUNTIFS('تجربه‌گرها'!$B:$B,$A644,'تجربه‌گرها'!$F:$F,M$1)</f>
        <v>0</v>
      </c>
      <c r="N644" s="242">
        <f>COUNTIFS('تجربه‌گرها'!$B:$B,$A644,'تجربه‌گرها'!$F:$F,N$1)</f>
        <v>0</v>
      </c>
      <c r="O644" s="242">
        <f>COUNTIFS('تجربه‌گرها'!$B:$B,$A644,'تجربه‌گرها'!$F:$F,O$1)</f>
        <v>0</v>
      </c>
      <c r="P644" s="242">
        <f>COUNTIFS('تجربه‌گرها'!$B:$B,$A644,'تجربه‌گرها'!$F:$F,P$1)</f>
        <v>0</v>
      </c>
      <c r="Q644" s="242">
        <f>COUNTIFS('تجربه‌گرها'!$B:$B,$A644,'تجربه‌گرها'!$F:$F,Q$1)</f>
        <v>0</v>
      </c>
      <c r="R644" s="242">
        <f>COUNTIFS('تجربه‌گرها'!$B:$B,$A644,'تجربه‌گرها'!$F:$F,R$1)</f>
        <v>0</v>
      </c>
      <c r="S644" s="242">
        <f>COUNTIFS('تجربه‌گرها'!$B:$B,$A644,'تجربه‌گرها'!$F:$F,S$1)</f>
        <v>0</v>
      </c>
      <c r="T644" s="242">
        <f>COUNTIFS('تجربه‌گرها'!$B:$B,$A644,'تجربه‌گرها'!$F:$F,T$1)</f>
        <v>0</v>
      </c>
      <c r="U644" s="242"/>
      <c r="V644" s="242"/>
      <c r="W644" s="242"/>
      <c r="X644" s="242"/>
      <c r="Y644" s="242"/>
      <c r="Z644" s="242"/>
      <c r="AA644" s="242"/>
      <c r="AB644" s="242"/>
    </row>
    <row r="645" hidden="1">
      <c r="A645" s="244" t="s">
        <v>4063</v>
      </c>
      <c r="B645" s="245" t="str">
        <f>VLOOKUP(A645,'تجربه‌گرها'!B:C,2,FALSE())</f>
        <v>9395064351</v>
      </c>
      <c r="C645" s="242"/>
      <c r="D645" s="242">
        <f t="shared" si="1"/>
        <v>1</v>
      </c>
      <c r="E645" s="242">
        <f>COUNTIFS('تجربه‌گرها'!$B:$B,$A645,'تجربه‌گرها'!$F:$F,E$1)</f>
        <v>0</v>
      </c>
      <c r="F645" s="242">
        <f>COUNTIFS('تجربه‌گرها'!$B:$B,$A645,'تجربه‌گرها'!$F:$F,F$1)</f>
        <v>0</v>
      </c>
      <c r="G645" s="242">
        <f>COUNTIFS('تجربه‌گرها'!$B:$B,$A645,'تجربه‌گرها'!$F:$F,G$1)</f>
        <v>0</v>
      </c>
      <c r="H645" s="242">
        <f>COUNTIFS('تجربه‌گرها'!$B:$B,$A645,'تجربه‌گرها'!$F:$F,H$1)</f>
        <v>0</v>
      </c>
      <c r="I645" s="242">
        <f>COUNTIFS('تجربه‌گرها'!$B:$B,$A645,'تجربه‌گرها'!$F:$F,I$1)</f>
        <v>0</v>
      </c>
      <c r="J645" s="242">
        <f>COUNTIFS('تجربه‌گرها'!$B:$B,$A645,'تجربه‌گرها'!$F:$F,J$1)</f>
        <v>1</v>
      </c>
      <c r="K645" s="242">
        <f>COUNTIFS('تجربه‌گرها'!$B:$B,$A645,'تجربه‌گرها'!$F:$F,K$1)</f>
        <v>0</v>
      </c>
      <c r="L645" s="242">
        <f>COUNTIFS('تجربه‌گرها'!$B:$B,$A645,'تجربه‌گرها'!$F:$F,L$1)</f>
        <v>0</v>
      </c>
      <c r="M645" s="242">
        <f>COUNTIFS('تجربه‌گرها'!$B:$B,$A645,'تجربه‌گرها'!$F:$F,M$1)</f>
        <v>0</v>
      </c>
      <c r="N645" s="242">
        <f>COUNTIFS('تجربه‌گرها'!$B:$B,$A645,'تجربه‌گرها'!$F:$F,N$1)</f>
        <v>0</v>
      </c>
      <c r="O645" s="242">
        <f>COUNTIFS('تجربه‌گرها'!$B:$B,$A645,'تجربه‌گرها'!$F:$F,O$1)</f>
        <v>0</v>
      </c>
      <c r="P645" s="242">
        <f>COUNTIFS('تجربه‌گرها'!$B:$B,$A645,'تجربه‌گرها'!$F:$F,P$1)</f>
        <v>0</v>
      </c>
      <c r="Q645" s="242">
        <f>COUNTIFS('تجربه‌گرها'!$B:$B,$A645,'تجربه‌گرها'!$F:$F,Q$1)</f>
        <v>0</v>
      </c>
      <c r="R645" s="242">
        <f>COUNTIFS('تجربه‌گرها'!$B:$B,$A645,'تجربه‌گرها'!$F:$F,R$1)</f>
        <v>0</v>
      </c>
      <c r="S645" s="242">
        <f>COUNTIFS('تجربه‌گرها'!$B:$B,$A645,'تجربه‌گرها'!$F:$F,S$1)</f>
        <v>0</v>
      </c>
      <c r="T645" s="242">
        <f>COUNTIFS('تجربه‌گرها'!$B:$B,$A645,'تجربه‌گرها'!$F:$F,T$1)</f>
        <v>0</v>
      </c>
      <c r="U645" s="242"/>
      <c r="V645" s="242"/>
      <c r="W645" s="242"/>
      <c r="X645" s="242"/>
      <c r="Y645" s="242"/>
      <c r="Z645" s="242"/>
      <c r="AA645" s="242"/>
      <c r="AB645" s="242"/>
    </row>
    <row r="646" hidden="1">
      <c r="A646" s="244" t="s">
        <v>4067</v>
      </c>
      <c r="B646" s="245" t="str">
        <f>VLOOKUP(A646,'تجربه‌گرها'!B:C,2,FALSE())</f>
        <v>46720171720</v>
      </c>
      <c r="C646" s="242"/>
      <c r="D646" s="242">
        <f t="shared" si="1"/>
        <v>1</v>
      </c>
      <c r="E646" s="242">
        <f>COUNTIFS('تجربه‌گرها'!$B:$B,$A646,'تجربه‌گرها'!$F:$F,E$1)</f>
        <v>0</v>
      </c>
      <c r="F646" s="242">
        <f>COUNTIFS('تجربه‌گرها'!$B:$B,$A646,'تجربه‌گرها'!$F:$F,F$1)</f>
        <v>0</v>
      </c>
      <c r="G646" s="242">
        <f>COUNTIFS('تجربه‌گرها'!$B:$B,$A646,'تجربه‌گرها'!$F:$F,G$1)</f>
        <v>0</v>
      </c>
      <c r="H646" s="242">
        <f>COUNTIFS('تجربه‌گرها'!$B:$B,$A646,'تجربه‌گرها'!$F:$F,H$1)</f>
        <v>0</v>
      </c>
      <c r="I646" s="242">
        <f>COUNTIFS('تجربه‌گرها'!$B:$B,$A646,'تجربه‌گرها'!$F:$F,I$1)</f>
        <v>0</v>
      </c>
      <c r="J646" s="242">
        <f>COUNTIFS('تجربه‌گرها'!$B:$B,$A646,'تجربه‌گرها'!$F:$F,J$1)</f>
        <v>1</v>
      </c>
      <c r="K646" s="242">
        <f>COUNTIFS('تجربه‌گرها'!$B:$B,$A646,'تجربه‌گرها'!$F:$F,K$1)</f>
        <v>0</v>
      </c>
      <c r="L646" s="242">
        <f>COUNTIFS('تجربه‌گرها'!$B:$B,$A646,'تجربه‌گرها'!$F:$F,L$1)</f>
        <v>0</v>
      </c>
      <c r="M646" s="242">
        <f>COUNTIFS('تجربه‌گرها'!$B:$B,$A646,'تجربه‌گرها'!$F:$F,M$1)</f>
        <v>0</v>
      </c>
      <c r="N646" s="242">
        <f>COUNTIFS('تجربه‌گرها'!$B:$B,$A646,'تجربه‌گرها'!$F:$F,N$1)</f>
        <v>0</v>
      </c>
      <c r="O646" s="242">
        <f>COUNTIFS('تجربه‌گرها'!$B:$B,$A646,'تجربه‌گرها'!$F:$F,O$1)</f>
        <v>0</v>
      </c>
      <c r="P646" s="242">
        <f>COUNTIFS('تجربه‌گرها'!$B:$B,$A646,'تجربه‌گرها'!$F:$F,P$1)</f>
        <v>0</v>
      </c>
      <c r="Q646" s="242">
        <f>COUNTIFS('تجربه‌گرها'!$B:$B,$A646,'تجربه‌گرها'!$F:$F,Q$1)</f>
        <v>0</v>
      </c>
      <c r="R646" s="242">
        <f>COUNTIFS('تجربه‌گرها'!$B:$B,$A646,'تجربه‌گرها'!$F:$F,R$1)</f>
        <v>0</v>
      </c>
      <c r="S646" s="242">
        <f>COUNTIFS('تجربه‌گرها'!$B:$B,$A646,'تجربه‌گرها'!$F:$F,S$1)</f>
        <v>0</v>
      </c>
      <c r="T646" s="242">
        <f>COUNTIFS('تجربه‌گرها'!$B:$B,$A646,'تجربه‌گرها'!$F:$F,T$1)</f>
        <v>0</v>
      </c>
      <c r="U646" s="242"/>
      <c r="V646" s="242"/>
      <c r="W646" s="242"/>
      <c r="X646" s="242"/>
      <c r="Y646" s="242"/>
      <c r="Z646" s="242"/>
      <c r="AA646" s="242"/>
      <c r="AB646" s="242"/>
    </row>
    <row r="647" hidden="1">
      <c r="A647" s="244" t="s">
        <v>4071</v>
      </c>
      <c r="B647" s="245" t="str">
        <f>VLOOKUP(A647,'تجربه‌گرها'!B:C,2,FALSE())</f>
        <v>#ERROR!</v>
      </c>
      <c r="C647" s="242"/>
      <c r="D647" s="242">
        <f t="shared" si="1"/>
        <v>1</v>
      </c>
      <c r="E647" s="242">
        <f>COUNTIFS('تجربه‌گرها'!$B:$B,$A647,'تجربه‌گرها'!$F:$F,E$1)</f>
        <v>0</v>
      </c>
      <c r="F647" s="242">
        <f>COUNTIFS('تجربه‌گرها'!$B:$B,$A647,'تجربه‌گرها'!$F:$F,F$1)</f>
        <v>0</v>
      </c>
      <c r="G647" s="242">
        <f>COUNTIFS('تجربه‌گرها'!$B:$B,$A647,'تجربه‌گرها'!$F:$F,G$1)</f>
        <v>0</v>
      </c>
      <c r="H647" s="242">
        <f>COUNTIFS('تجربه‌گرها'!$B:$B,$A647,'تجربه‌گرها'!$F:$F,H$1)</f>
        <v>0</v>
      </c>
      <c r="I647" s="242">
        <f>COUNTIFS('تجربه‌گرها'!$B:$B,$A647,'تجربه‌گرها'!$F:$F,I$1)</f>
        <v>0</v>
      </c>
      <c r="J647" s="242">
        <f>COUNTIFS('تجربه‌گرها'!$B:$B,$A647,'تجربه‌گرها'!$F:$F,J$1)</f>
        <v>1</v>
      </c>
      <c r="K647" s="242">
        <f>COUNTIFS('تجربه‌گرها'!$B:$B,$A647,'تجربه‌گرها'!$F:$F,K$1)</f>
        <v>0</v>
      </c>
      <c r="L647" s="242">
        <f>COUNTIFS('تجربه‌گرها'!$B:$B,$A647,'تجربه‌گرها'!$F:$F,L$1)</f>
        <v>0</v>
      </c>
      <c r="M647" s="242">
        <f>COUNTIFS('تجربه‌گرها'!$B:$B,$A647,'تجربه‌گرها'!$F:$F,M$1)</f>
        <v>0</v>
      </c>
      <c r="N647" s="242">
        <f>COUNTIFS('تجربه‌گرها'!$B:$B,$A647,'تجربه‌گرها'!$F:$F,N$1)</f>
        <v>0</v>
      </c>
      <c r="O647" s="242">
        <f>COUNTIFS('تجربه‌گرها'!$B:$B,$A647,'تجربه‌گرها'!$F:$F,O$1)</f>
        <v>0</v>
      </c>
      <c r="P647" s="242">
        <f>COUNTIFS('تجربه‌گرها'!$B:$B,$A647,'تجربه‌گرها'!$F:$F,P$1)</f>
        <v>0</v>
      </c>
      <c r="Q647" s="242">
        <f>COUNTIFS('تجربه‌گرها'!$B:$B,$A647,'تجربه‌گرها'!$F:$F,Q$1)</f>
        <v>0</v>
      </c>
      <c r="R647" s="242">
        <f>COUNTIFS('تجربه‌گرها'!$B:$B,$A647,'تجربه‌گرها'!$F:$F,R$1)</f>
        <v>0</v>
      </c>
      <c r="S647" s="242">
        <f>COUNTIFS('تجربه‌گرها'!$B:$B,$A647,'تجربه‌گرها'!$F:$F,S$1)</f>
        <v>0</v>
      </c>
      <c r="T647" s="242">
        <f>COUNTIFS('تجربه‌گرها'!$B:$B,$A647,'تجربه‌گرها'!$F:$F,T$1)</f>
        <v>0</v>
      </c>
      <c r="U647" s="242"/>
      <c r="V647" s="242"/>
      <c r="W647" s="242"/>
      <c r="X647" s="242"/>
      <c r="Y647" s="242"/>
      <c r="Z647" s="242"/>
      <c r="AA647" s="242"/>
      <c r="AB647" s="242"/>
    </row>
    <row r="648" hidden="1">
      <c r="A648" s="244" t="s">
        <v>4073</v>
      </c>
      <c r="B648" s="245" t="str">
        <f>VLOOKUP(A648,'تجربه‌گرها'!B:C,2,FALSE())</f>
        <v>#ERROR!</v>
      </c>
      <c r="C648" s="242"/>
      <c r="D648" s="242">
        <f t="shared" si="1"/>
        <v>1</v>
      </c>
      <c r="E648" s="242">
        <f>COUNTIFS('تجربه‌گرها'!$B:$B,$A648,'تجربه‌گرها'!$F:$F,E$1)</f>
        <v>0</v>
      </c>
      <c r="F648" s="242">
        <f>COUNTIFS('تجربه‌گرها'!$B:$B,$A648,'تجربه‌گرها'!$F:$F,F$1)</f>
        <v>0</v>
      </c>
      <c r="G648" s="242">
        <f>COUNTIFS('تجربه‌گرها'!$B:$B,$A648,'تجربه‌گرها'!$F:$F,G$1)</f>
        <v>0</v>
      </c>
      <c r="H648" s="242">
        <f>COUNTIFS('تجربه‌گرها'!$B:$B,$A648,'تجربه‌گرها'!$F:$F,H$1)</f>
        <v>0</v>
      </c>
      <c r="I648" s="242">
        <f>COUNTIFS('تجربه‌گرها'!$B:$B,$A648,'تجربه‌گرها'!$F:$F,I$1)</f>
        <v>0</v>
      </c>
      <c r="J648" s="242">
        <f>COUNTIFS('تجربه‌گرها'!$B:$B,$A648,'تجربه‌گرها'!$F:$F,J$1)</f>
        <v>1</v>
      </c>
      <c r="K648" s="242">
        <f>COUNTIFS('تجربه‌گرها'!$B:$B,$A648,'تجربه‌گرها'!$F:$F,K$1)</f>
        <v>0</v>
      </c>
      <c r="L648" s="242">
        <f>COUNTIFS('تجربه‌گرها'!$B:$B,$A648,'تجربه‌گرها'!$F:$F,L$1)</f>
        <v>0</v>
      </c>
      <c r="M648" s="242">
        <f>COUNTIFS('تجربه‌گرها'!$B:$B,$A648,'تجربه‌گرها'!$F:$F,M$1)</f>
        <v>0</v>
      </c>
      <c r="N648" s="242">
        <f>COUNTIFS('تجربه‌گرها'!$B:$B,$A648,'تجربه‌گرها'!$F:$F,N$1)</f>
        <v>0</v>
      </c>
      <c r="O648" s="242">
        <f>COUNTIFS('تجربه‌گرها'!$B:$B,$A648,'تجربه‌گرها'!$F:$F,O$1)</f>
        <v>0</v>
      </c>
      <c r="P648" s="242">
        <f>COUNTIFS('تجربه‌گرها'!$B:$B,$A648,'تجربه‌گرها'!$F:$F,P$1)</f>
        <v>0</v>
      </c>
      <c r="Q648" s="242">
        <f>COUNTIFS('تجربه‌گرها'!$B:$B,$A648,'تجربه‌گرها'!$F:$F,Q$1)</f>
        <v>0</v>
      </c>
      <c r="R648" s="242">
        <f>COUNTIFS('تجربه‌گرها'!$B:$B,$A648,'تجربه‌گرها'!$F:$F,R$1)</f>
        <v>0</v>
      </c>
      <c r="S648" s="242">
        <f>COUNTIFS('تجربه‌گرها'!$B:$B,$A648,'تجربه‌گرها'!$F:$F,S$1)</f>
        <v>0</v>
      </c>
      <c r="T648" s="242">
        <f>COUNTIFS('تجربه‌گرها'!$B:$B,$A648,'تجربه‌گرها'!$F:$F,T$1)</f>
        <v>0</v>
      </c>
      <c r="U648" s="242"/>
      <c r="V648" s="242"/>
      <c r="W648" s="242"/>
      <c r="X648" s="242"/>
      <c r="Y648" s="242"/>
      <c r="Z648" s="242"/>
      <c r="AA648" s="242"/>
      <c r="AB648" s="242"/>
    </row>
    <row r="649" hidden="1">
      <c r="A649" s="244" t="s">
        <v>4076</v>
      </c>
      <c r="B649" s="245" t="str">
        <f>VLOOKUP(A649,'تجربه‌گرها'!B:C,2,FALSE())</f>
        <v>9120585033</v>
      </c>
      <c r="C649" s="242"/>
      <c r="D649" s="242">
        <f t="shared" si="1"/>
        <v>1</v>
      </c>
      <c r="E649" s="242">
        <f>COUNTIFS('تجربه‌گرها'!$B:$B,$A649,'تجربه‌گرها'!$F:$F,E$1)</f>
        <v>0</v>
      </c>
      <c r="F649" s="242">
        <f>COUNTIFS('تجربه‌گرها'!$B:$B,$A649,'تجربه‌گرها'!$F:$F,F$1)</f>
        <v>0</v>
      </c>
      <c r="G649" s="242">
        <f>COUNTIFS('تجربه‌گرها'!$B:$B,$A649,'تجربه‌گرها'!$F:$F,G$1)</f>
        <v>0</v>
      </c>
      <c r="H649" s="242">
        <f>COUNTIFS('تجربه‌گرها'!$B:$B,$A649,'تجربه‌گرها'!$F:$F,H$1)</f>
        <v>0</v>
      </c>
      <c r="I649" s="242">
        <f>COUNTIFS('تجربه‌گرها'!$B:$B,$A649,'تجربه‌گرها'!$F:$F,I$1)</f>
        <v>0</v>
      </c>
      <c r="J649" s="242">
        <f>COUNTIFS('تجربه‌گرها'!$B:$B,$A649,'تجربه‌گرها'!$F:$F,J$1)</f>
        <v>1</v>
      </c>
      <c r="K649" s="242">
        <f>COUNTIFS('تجربه‌گرها'!$B:$B,$A649,'تجربه‌گرها'!$F:$F,K$1)</f>
        <v>0</v>
      </c>
      <c r="L649" s="242">
        <f>COUNTIFS('تجربه‌گرها'!$B:$B,$A649,'تجربه‌گرها'!$F:$F,L$1)</f>
        <v>0</v>
      </c>
      <c r="M649" s="242">
        <f>COUNTIFS('تجربه‌گرها'!$B:$B,$A649,'تجربه‌گرها'!$F:$F,M$1)</f>
        <v>0</v>
      </c>
      <c r="N649" s="242">
        <f>COUNTIFS('تجربه‌گرها'!$B:$B,$A649,'تجربه‌گرها'!$F:$F,N$1)</f>
        <v>0</v>
      </c>
      <c r="O649" s="242">
        <f>COUNTIFS('تجربه‌گرها'!$B:$B,$A649,'تجربه‌گرها'!$F:$F,O$1)</f>
        <v>0</v>
      </c>
      <c r="P649" s="242">
        <f>COUNTIFS('تجربه‌گرها'!$B:$B,$A649,'تجربه‌گرها'!$F:$F,P$1)</f>
        <v>0</v>
      </c>
      <c r="Q649" s="242">
        <f>COUNTIFS('تجربه‌گرها'!$B:$B,$A649,'تجربه‌گرها'!$F:$F,Q$1)</f>
        <v>0</v>
      </c>
      <c r="R649" s="242">
        <f>COUNTIFS('تجربه‌گرها'!$B:$B,$A649,'تجربه‌گرها'!$F:$F,R$1)</f>
        <v>0</v>
      </c>
      <c r="S649" s="242">
        <f>COUNTIFS('تجربه‌گرها'!$B:$B,$A649,'تجربه‌گرها'!$F:$F,S$1)</f>
        <v>0</v>
      </c>
      <c r="T649" s="242">
        <f>COUNTIFS('تجربه‌گرها'!$B:$B,$A649,'تجربه‌گرها'!$F:$F,T$1)</f>
        <v>0</v>
      </c>
      <c r="U649" s="242"/>
      <c r="V649" s="242"/>
      <c r="W649" s="242"/>
      <c r="X649" s="242"/>
      <c r="Y649" s="242"/>
      <c r="Z649" s="242"/>
      <c r="AA649" s="242"/>
      <c r="AB649" s="242"/>
    </row>
    <row r="650" hidden="1">
      <c r="A650" s="244" t="s">
        <v>4081</v>
      </c>
      <c r="B650" s="245" t="str">
        <f>VLOOKUP(A650,'تجربه‌گرها'!B:C,2,FALSE())</f>
        <v>9194060500</v>
      </c>
      <c r="C650" s="242"/>
      <c r="D650" s="242">
        <f t="shared" si="1"/>
        <v>1</v>
      </c>
      <c r="E650" s="242">
        <f>COUNTIFS('تجربه‌گرها'!$B:$B,$A650,'تجربه‌گرها'!$F:$F,E$1)</f>
        <v>0</v>
      </c>
      <c r="F650" s="242">
        <f>COUNTIFS('تجربه‌گرها'!$B:$B,$A650,'تجربه‌گرها'!$F:$F,F$1)</f>
        <v>0</v>
      </c>
      <c r="G650" s="242">
        <f>COUNTIFS('تجربه‌گرها'!$B:$B,$A650,'تجربه‌گرها'!$F:$F,G$1)</f>
        <v>0</v>
      </c>
      <c r="H650" s="242">
        <f>COUNTIFS('تجربه‌گرها'!$B:$B,$A650,'تجربه‌گرها'!$F:$F,H$1)</f>
        <v>0</v>
      </c>
      <c r="I650" s="242">
        <f>COUNTIFS('تجربه‌گرها'!$B:$B,$A650,'تجربه‌گرها'!$F:$F,I$1)</f>
        <v>0</v>
      </c>
      <c r="J650" s="242">
        <f>COUNTIFS('تجربه‌گرها'!$B:$B,$A650,'تجربه‌گرها'!$F:$F,J$1)</f>
        <v>1</v>
      </c>
      <c r="K650" s="242">
        <f>COUNTIFS('تجربه‌گرها'!$B:$B,$A650,'تجربه‌گرها'!$F:$F,K$1)</f>
        <v>0</v>
      </c>
      <c r="L650" s="242">
        <f>COUNTIFS('تجربه‌گرها'!$B:$B,$A650,'تجربه‌گرها'!$F:$F,L$1)</f>
        <v>0</v>
      </c>
      <c r="M650" s="242">
        <f>COUNTIFS('تجربه‌گرها'!$B:$B,$A650,'تجربه‌گرها'!$F:$F,M$1)</f>
        <v>0</v>
      </c>
      <c r="N650" s="242">
        <f>COUNTIFS('تجربه‌گرها'!$B:$B,$A650,'تجربه‌گرها'!$F:$F,N$1)</f>
        <v>0</v>
      </c>
      <c r="O650" s="242">
        <f>COUNTIFS('تجربه‌گرها'!$B:$B,$A650,'تجربه‌گرها'!$F:$F,O$1)</f>
        <v>0</v>
      </c>
      <c r="P650" s="242">
        <f>COUNTIFS('تجربه‌گرها'!$B:$B,$A650,'تجربه‌گرها'!$F:$F,P$1)</f>
        <v>0</v>
      </c>
      <c r="Q650" s="242">
        <f>COUNTIFS('تجربه‌گرها'!$B:$B,$A650,'تجربه‌گرها'!$F:$F,Q$1)</f>
        <v>0</v>
      </c>
      <c r="R650" s="242">
        <f>COUNTIFS('تجربه‌گرها'!$B:$B,$A650,'تجربه‌گرها'!$F:$F,R$1)</f>
        <v>0</v>
      </c>
      <c r="S650" s="242">
        <f>COUNTIFS('تجربه‌گرها'!$B:$B,$A650,'تجربه‌گرها'!$F:$F,S$1)</f>
        <v>0</v>
      </c>
      <c r="T650" s="242">
        <f>COUNTIFS('تجربه‌گرها'!$B:$B,$A650,'تجربه‌گرها'!$F:$F,T$1)</f>
        <v>0</v>
      </c>
      <c r="U650" s="242"/>
      <c r="V650" s="242"/>
      <c r="W650" s="242"/>
      <c r="X650" s="242"/>
      <c r="Y650" s="242"/>
      <c r="Z650" s="242"/>
      <c r="AA650" s="242"/>
      <c r="AB650" s="242"/>
    </row>
    <row r="651" hidden="1">
      <c r="A651" s="244" t="s">
        <v>4084</v>
      </c>
      <c r="B651" s="245" t="str">
        <f>VLOOKUP(A651,'تجربه‌گرها'!B:C,2,FALSE())</f>
        <v>9122079561</v>
      </c>
      <c r="C651" s="242"/>
      <c r="D651" s="242">
        <f t="shared" si="1"/>
        <v>1</v>
      </c>
      <c r="E651" s="242">
        <f>COUNTIFS('تجربه‌گرها'!$B:$B,$A651,'تجربه‌گرها'!$F:$F,E$1)</f>
        <v>0</v>
      </c>
      <c r="F651" s="242">
        <f>COUNTIFS('تجربه‌گرها'!$B:$B,$A651,'تجربه‌گرها'!$F:$F,F$1)</f>
        <v>0</v>
      </c>
      <c r="G651" s="242">
        <f>COUNTIFS('تجربه‌گرها'!$B:$B,$A651,'تجربه‌گرها'!$F:$F,G$1)</f>
        <v>0</v>
      </c>
      <c r="H651" s="242">
        <f>COUNTIFS('تجربه‌گرها'!$B:$B,$A651,'تجربه‌گرها'!$F:$F,H$1)</f>
        <v>0</v>
      </c>
      <c r="I651" s="242">
        <f>COUNTIFS('تجربه‌گرها'!$B:$B,$A651,'تجربه‌گرها'!$F:$F,I$1)</f>
        <v>0</v>
      </c>
      <c r="J651" s="242">
        <f>COUNTIFS('تجربه‌گرها'!$B:$B,$A651,'تجربه‌گرها'!$F:$F,J$1)</f>
        <v>1</v>
      </c>
      <c r="K651" s="242">
        <f>COUNTIFS('تجربه‌گرها'!$B:$B,$A651,'تجربه‌گرها'!$F:$F,K$1)</f>
        <v>0</v>
      </c>
      <c r="L651" s="242">
        <f>COUNTIFS('تجربه‌گرها'!$B:$B,$A651,'تجربه‌گرها'!$F:$F,L$1)</f>
        <v>0</v>
      </c>
      <c r="M651" s="242">
        <f>COUNTIFS('تجربه‌گرها'!$B:$B,$A651,'تجربه‌گرها'!$F:$F,M$1)</f>
        <v>0</v>
      </c>
      <c r="N651" s="242">
        <f>COUNTIFS('تجربه‌گرها'!$B:$B,$A651,'تجربه‌گرها'!$F:$F,N$1)</f>
        <v>0</v>
      </c>
      <c r="O651" s="242">
        <f>COUNTIFS('تجربه‌گرها'!$B:$B,$A651,'تجربه‌گرها'!$F:$F,O$1)</f>
        <v>0</v>
      </c>
      <c r="P651" s="242">
        <f>COUNTIFS('تجربه‌گرها'!$B:$B,$A651,'تجربه‌گرها'!$F:$F,P$1)</f>
        <v>0</v>
      </c>
      <c r="Q651" s="242">
        <f>COUNTIFS('تجربه‌گرها'!$B:$B,$A651,'تجربه‌گرها'!$F:$F,Q$1)</f>
        <v>0</v>
      </c>
      <c r="R651" s="242">
        <f>COUNTIFS('تجربه‌گرها'!$B:$B,$A651,'تجربه‌گرها'!$F:$F,R$1)</f>
        <v>0</v>
      </c>
      <c r="S651" s="242">
        <f>COUNTIFS('تجربه‌گرها'!$B:$B,$A651,'تجربه‌گرها'!$F:$F,S$1)</f>
        <v>0</v>
      </c>
      <c r="T651" s="242">
        <f>COUNTIFS('تجربه‌گرها'!$B:$B,$A651,'تجربه‌گرها'!$F:$F,T$1)</f>
        <v>0</v>
      </c>
      <c r="U651" s="242"/>
      <c r="V651" s="242"/>
      <c r="W651" s="242"/>
      <c r="X651" s="242"/>
      <c r="Y651" s="242"/>
      <c r="Z651" s="242"/>
      <c r="AA651" s="242"/>
      <c r="AB651" s="242"/>
    </row>
    <row r="652" hidden="1">
      <c r="A652" s="244" t="s">
        <v>4088</v>
      </c>
      <c r="B652" s="245" t="str">
        <f>VLOOKUP(A652,'تجربه‌گرها'!B:C,2,FALSE())</f>
        <v>9104751916</v>
      </c>
      <c r="C652" s="242"/>
      <c r="D652" s="242">
        <f t="shared" si="1"/>
        <v>1</v>
      </c>
      <c r="E652" s="242">
        <f>COUNTIFS('تجربه‌گرها'!$B:$B,$A652,'تجربه‌گرها'!$F:$F,E$1)</f>
        <v>0</v>
      </c>
      <c r="F652" s="242">
        <f>COUNTIFS('تجربه‌گرها'!$B:$B,$A652,'تجربه‌گرها'!$F:$F,F$1)</f>
        <v>0</v>
      </c>
      <c r="G652" s="242">
        <f>COUNTIFS('تجربه‌گرها'!$B:$B,$A652,'تجربه‌گرها'!$F:$F,G$1)</f>
        <v>0</v>
      </c>
      <c r="H652" s="242">
        <f>COUNTIFS('تجربه‌گرها'!$B:$B,$A652,'تجربه‌گرها'!$F:$F,H$1)</f>
        <v>0</v>
      </c>
      <c r="I652" s="242">
        <f>COUNTIFS('تجربه‌گرها'!$B:$B,$A652,'تجربه‌گرها'!$F:$F,I$1)</f>
        <v>0</v>
      </c>
      <c r="J652" s="242">
        <f>COUNTIFS('تجربه‌گرها'!$B:$B,$A652,'تجربه‌گرها'!$F:$F,J$1)</f>
        <v>1</v>
      </c>
      <c r="K652" s="242">
        <f>COUNTIFS('تجربه‌گرها'!$B:$B,$A652,'تجربه‌گرها'!$F:$F,K$1)</f>
        <v>0</v>
      </c>
      <c r="L652" s="242">
        <f>COUNTIFS('تجربه‌گرها'!$B:$B,$A652,'تجربه‌گرها'!$F:$F,L$1)</f>
        <v>0</v>
      </c>
      <c r="M652" s="242">
        <f>COUNTIFS('تجربه‌گرها'!$B:$B,$A652,'تجربه‌گرها'!$F:$F,M$1)</f>
        <v>0</v>
      </c>
      <c r="N652" s="242">
        <f>COUNTIFS('تجربه‌گرها'!$B:$B,$A652,'تجربه‌گرها'!$F:$F,N$1)</f>
        <v>0</v>
      </c>
      <c r="O652" s="242">
        <f>COUNTIFS('تجربه‌گرها'!$B:$B,$A652,'تجربه‌گرها'!$F:$F,O$1)</f>
        <v>0</v>
      </c>
      <c r="P652" s="242">
        <f>COUNTIFS('تجربه‌گرها'!$B:$B,$A652,'تجربه‌گرها'!$F:$F,P$1)</f>
        <v>0</v>
      </c>
      <c r="Q652" s="242">
        <f>COUNTIFS('تجربه‌گرها'!$B:$B,$A652,'تجربه‌گرها'!$F:$F,Q$1)</f>
        <v>0</v>
      </c>
      <c r="R652" s="242">
        <f>COUNTIFS('تجربه‌گرها'!$B:$B,$A652,'تجربه‌گرها'!$F:$F,R$1)</f>
        <v>0</v>
      </c>
      <c r="S652" s="242">
        <f>COUNTIFS('تجربه‌گرها'!$B:$B,$A652,'تجربه‌گرها'!$F:$F,S$1)</f>
        <v>0</v>
      </c>
      <c r="T652" s="242">
        <f>COUNTIFS('تجربه‌گرها'!$B:$B,$A652,'تجربه‌گرها'!$F:$F,T$1)</f>
        <v>0</v>
      </c>
      <c r="U652" s="242"/>
      <c r="V652" s="242"/>
      <c r="W652" s="242"/>
      <c r="X652" s="242"/>
      <c r="Y652" s="242"/>
      <c r="Z652" s="242"/>
      <c r="AA652" s="242"/>
      <c r="AB652" s="242"/>
    </row>
    <row r="653" hidden="1">
      <c r="A653" s="244" t="s">
        <v>4092</v>
      </c>
      <c r="B653" s="245" t="str">
        <f>VLOOKUP(A653,'تجربه‌گرها'!B:C,2,FALSE())</f>
        <v>9141039561</v>
      </c>
      <c r="C653" s="242"/>
      <c r="D653" s="242">
        <f t="shared" si="1"/>
        <v>1</v>
      </c>
      <c r="E653" s="242">
        <f>COUNTIFS('تجربه‌گرها'!$B:$B,$A653,'تجربه‌گرها'!$F:$F,E$1)</f>
        <v>0</v>
      </c>
      <c r="F653" s="242">
        <f>COUNTIFS('تجربه‌گرها'!$B:$B,$A653,'تجربه‌گرها'!$F:$F,F$1)</f>
        <v>0</v>
      </c>
      <c r="G653" s="242">
        <f>COUNTIFS('تجربه‌گرها'!$B:$B,$A653,'تجربه‌گرها'!$F:$F,G$1)</f>
        <v>0</v>
      </c>
      <c r="H653" s="242">
        <f>COUNTIFS('تجربه‌گرها'!$B:$B,$A653,'تجربه‌گرها'!$F:$F,H$1)</f>
        <v>0</v>
      </c>
      <c r="I653" s="242">
        <f>COUNTIFS('تجربه‌گرها'!$B:$B,$A653,'تجربه‌گرها'!$F:$F,I$1)</f>
        <v>0</v>
      </c>
      <c r="J653" s="242">
        <f>COUNTIFS('تجربه‌گرها'!$B:$B,$A653,'تجربه‌گرها'!$F:$F,J$1)</f>
        <v>1</v>
      </c>
      <c r="K653" s="242">
        <f>COUNTIFS('تجربه‌گرها'!$B:$B,$A653,'تجربه‌گرها'!$F:$F,K$1)</f>
        <v>0</v>
      </c>
      <c r="L653" s="242">
        <f>COUNTIFS('تجربه‌گرها'!$B:$B,$A653,'تجربه‌گرها'!$F:$F,L$1)</f>
        <v>0</v>
      </c>
      <c r="M653" s="242">
        <f>COUNTIFS('تجربه‌گرها'!$B:$B,$A653,'تجربه‌گرها'!$F:$F,M$1)</f>
        <v>0</v>
      </c>
      <c r="N653" s="242">
        <f>COUNTIFS('تجربه‌گرها'!$B:$B,$A653,'تجربه‌گرها'!$F:$F,N$1)</f>
        <v>0</v>
      </c>
      <c r="O653" s="242">
        <f>COUNTIFS('تجربه‌گرها'!$B:$B,$A653,'تجربه‌گرها'!$F:$F,O$1)</f>
        <v>0</v>
      </c>
      <c r="P653" s="242">
        <f>COUNTIFS('تجربه‌گرها'!$B:$B,$A653,'تجربه‌گرها'!$F:$F,P$1)</f>
        <v>0</v>
      </c>
      <c r="Q653" s="242">
        <f>COUNTIFS('تجربه‌گرها'!$B:$B,$A653,'تجربه‌گرها'!$F:$F,Q$1)</f>
        <v>0</v>
      </c>
      <c r="R653" s="242">
        <f>COUNTIFS('تجربه‌گرها'!$B:$B,$A653,'تجربه‌گرها'!$F:$F,R$1)</f>
        <v>0</v>
      </c>
      <c r="S653" s="242">
        <f>COUNTIFS('تجربه‌گرها'!$B:$B,$A653,'تجربه‌گرها'!$F:$F,S$1)</f>
        <v>0</v>
      </c>
      <c r="T653" s="242">
        <f>COUNTIFS('تجربه‌گرها'!$B:$B,$A653,'تجربه‌گرها'!$F:$F,T$1)</f>
        <v>0</v>
      </c>
      <c r="U653" s="242"/>
      <c r="V653" s="242"/>
      <c r="W653" s="242"/>
      <c r="X653" s="242"/>
      <c r="Y653" s="242"/>
      <c r="Z653" s="242"/>
      <c r="AA653" s="242"/>
      <c r="AB653" s="242"/>
    </row>
    <row r="654" hidden="1">
      <c r="A654" s="244" t="s">
        <v>4096</v>
      </c>
      <c r="B654" s="245" t="str">
        <f>VLOOKUP(A654,'تجربه‌گرها'!B:C,2,FALSE())</f>
        <v>9120509940</v>
      </c>
      <c r="C654" s="242"/>
      <c r="D654" s="242">
        <f t="shared" si="1"/>
        <v>1</v>
      </c>
      <c r="E654" s="242">
        <f>COUNTIFS('تجربه‌گرها'!$B:$B,$A654,'تجربه‌گرها'!$F:$F,E$1)</f>
        <v>0</v>
      </c>
      <c r="F654" s="242">
        <f>COUNTIFS('تجربه‌گرها'!$B:$B,$A654,'تجربه‌گرها'!$F:$F,F$1)</f>
        <v>0</v>
      </c>
      <c r="G654" s="242">
        <f>COUNTIFS('تجربه‌گرها'!$B:$B,$A654,'تجربه‌گرها'!$F:$F,G$1)</f>
        <v>0</v>
      </c>
      <c r="H654" s="242">
        <f>COUNTIFS('تجربه‌گرها'!$B:$B,$A654,'تجربه‌گرها'!$F:$F,H$1)</f>
        <v>0</v>
      </c>
      <c r="I654" s="242">
        <f>COUNTIFS('تجربه‌گرها'!$B:$B,$A654,'تجربه‌گرها'!$F:$F,I$1)</f>
        <v>0</v>
      </c>
      <c r="J654" s="242">
        <f>COUNTIFS('تجربه‌گرها'!$B:$B,$A654,'تجربه‌گرها'!$F:$F,J$1)</f>
        <v>1</v>
      </c>
      <c r="K654" s="242">
        <f>COUNTIFS('تجربه‌گرها'!$B:$B,$A654,'تجربه‌گرها'!$F:$F,K$1)</f>
        <v>0</v>
      </c>
      <c r="L654" s="242">
        <f>COUNTIFS('تجربه‌گرها'!$B:$B,$A654,'تجربه‌گرها'!$F:$F,L$1)</f>
        <v>0</v>
      </c>
      <c r="M654" s="242">
        <f>COUNTIFS('تجربه‌گرها'!$B:$B,$A654,'تجربه‌گرها'!$F:$F,M$1)</f>
        <v>0</v>
      </c>
      <c r="N654" s="242">
        <f>COUNTIFS('تجربه‌گرها'!$B:$B,$A654,'تجربه‌گرها'!$F:$F,N$1)</f>
        <v>0</v>
      </c>
      <c r="O654" s="242">
        <f>COUNTIFS('تجربه‌گرها'!$B:$B,$A654,'تجربه‌گرها'!$F:$F,O$1)</f>
        <v>0</v>
      </c>
      <c r="P654" s="242">
        <f>COUNTIFS('تجربه‌گرها'!$B:$B,$A654,'تجربه‌گرها'!$F:$F,P$1)</f>
        <v>0</v>
      </c>
      <c r="Q654" s="242">
        <f>COUNTIFS('تجربه‌گرها'!$B:$B,$A654,'تجربه‌گرها'!$F:$F,Q$1)</f>
        <v>0</v>
      </c>
      <c r="R654" s="242">
        <f>COUNTIFS('تجربه‌گرها'!$B:$B,$A654,'تجربه‌گرها'!$F:$F,R$1)</f>
        <v>0</v>
      </c>
      <c r="S654" s="242">
        <f>COUNTIFS('تجربه‌گرها'!$B:$B,$A654,'تجربه‌گرها'!$F:$F,S$1)</f>
        <v>0</v>
      </c>
      <c r="T654" s="242">
        <f>COUNTIFS('تجربه‌گرها'!$B:$B,$A654,'تجربه‌گرها'!$F:$F,T$1)</f>
        <v>0</v>
      </c>
      <c r="U654" s="242"/>
      <c r="V654" s="242"/>
      <c r="W654" s="242"/>
      <c r="X654" s="242"/>
      <c r="Y654" s="242"/>
      <c r="Z654" s="242"/>
      <c r="AA654" s="242"/>
      <c r="AB654" s="242"/>
    </row>
    <row r="655" hidden="1">
      <c r="A655" s="244" t="s">
        <v>4101</v>
      </c>
      <c r="B655" s="245" t="str">
        <f>VLOOKUP(A655,'تجربه‌گرها'!B:C,2,FALSE())</f>
        <v>9120158957</v>
      </c>
      <c r="C655" s="242"/>
      <c r="D655" s="242">
        <f t="shared" si="1"/>
        <v>1</v>
      </c>
      <c r="E655" s="242">
        <f>COUNTIFS('تجربه‌گرها'!$B:$B,$A655,'تجربه‌گرها'!$F:$F,E$1)</f>
        <v>0</v>
      </c>
      <c r="F655" s="242">
        <f>COUNTIFS('تجربه‌گرها'!$B:$B,$A655,'تجربه‌گرها'!$F:$F,F$1)</f>
        <v>0</v>
      </c>
      <c r="G655" s="242">
        <f>COUNTIFS('تجربه‌گرها'!$B:$B,$A655,'تجربه‌گرها'!$F:$F,G$1)</f>
        <v>0</v>
      </c>
      <c r="H655" s="242">
        <f>COUNTIFS('تجربه‌گرها'!$B:$B,$A655,'تجربه‌گرها'!$F:$F,H$1)</f>
        <v>0</v>
      </c>
      <c r="I655" s="242">
        <f>COUNTIFS('تجربه‌گرها'!$B:$B,$A655,'تجربه‌گرها'!$F:$F,I$1)</f>
        <v>0</v>
      </c>
      <c r="J655" s="242">
        <f>COUNTIFS('تجربه‌گرها'!$B:$B,$A655,'تجربه‌گرها'!$F:$F,J$1)</f>
        <v>1</v>
      </c>
      <c r="K655" s="242">
        <f>COUNTIFS('تجربه‌گرها'!$B:$B,$A655,'تجربه‌گرها'!$F:$F,K$1)</f>
        <v>0</v>
      </c>
      <c r="L655" s="242">
        <f>COUNTIFS('تجربه‌گرها'!$B:$B,$A655,'تجربه‌گرها'!$F:$F,L$1)</f>
        <v>0</v>
      </c>
      <c r="M655" s="242">
        <f>COUNTIFS('تجربه‌گرها'!$B:$B,$A655,'تجربه‌گرها'!$F:$F,M$1)</f>
        <v>0</v>
      </c>
      <c r="N655" s="242">
        <f>COUNTIFS('تجربه‌گرها'!$B:$B,$A655,'تجربه‌گرها'!$F:$F,N$1)</f>
        <v>0</v>
      </c>
      <c r="O655" s="242">
        <f>COUNTIFS('تجربه‌گرها'!$B:$B,$A655,'تجربه‌گرها'!$F:$F,O$1)</f>
        <v>0</v>
      </c>
      <c r="P655" s="242">
        <f>COUNTIFS('تجربه‌گرها'!$B:$B,$A655,'تجربه‌گرها'!$F:$F,P$1)</f>
        <v>0</v>
      </c>
      <c r="Q655" s="242">
        <f>COUNTIFS('تجربه‌گرها'!$B:$B,$A655,'تجربه‌گرها'!$F:$F,Q$1)</f>
        <v>0</v>
      </c>
      <c r="R655" s="242">
        <f>COUNTIFS('تجربه‌گرها'!$B:$B,$A655,'تجربه‌گرها'!$F:$F,R$1)</f>
        <v>0</v>
      </c>
      <c r="S655" s="242">
        <f>COUNTIFS('تجربه‌گرها'!$B:$B,$A655,'تجربه‌گرها'!$F:$F,S$1)</f>
        <v>0</v>
      </c>
      <c r="T655" s="242">
        <f>COUNTIFS('تجربه‌گرها'!$B:$B,$A655,'تجربه‌گرها'!$F:$F,T$1)</f>
        <v>0</v>
      </c>
      <c r="U655" s="242"/>
      <c r="V655" s="242"/>
      <c r="W655" s="242"/>
      <c r="X655" s="242"/>
      <c r="Y655" s="242"/>
      <c r="Z655" s="242"/>
      <c r="AA655" s="242"/>
      <c r="AB655" s="242"/>
    </row>
    <row r="656" hidden="1">
      <c r="A656" s="244" t="s">
        <v>4105</v>
      </c>
      <c r="B656" s="245" t="str">
        <f>VLOOKUP(A656,'تجربه‌گرها'!B:C,2,FALSE())</f>
        <v>#ERROR!</v>
      </c>
      <c r="C656" s="242"/>
      <c r="D656" s="242">
        <f t="shared" si="1"/>
        <v>1</v>
      </c>
      <c r="E656" s="242">
        <f>COUNTIFS('تجربه‌گرها'!$B:$B,$A656,'تجربه‌گرها'!$F:$F,E$1)</f>
        <v>0</v>
      </c>
      <c r="F656" s="242">
        <f>COUNTIFS('تجربه‌گرها'!$B:$B,$A656,'تجربه‌گرها'!$F:$F,F$1)</f>
        <v>0</v>
      </c>
      <c r="G656" s="242">
        <f>COUNTIFS('تجربه‌گرها'!$B:$B,$A656,'تجربه‌گرها'!$F:$F,G$1)</f>
        <v>0</v>
      </c>
      <c r="H656" s="242">
        <f>COUNTIFS('تجربه‌گرها'!$B:$B,$A656,'تجربه‌گرها'!$F:$F,H$1)</f>
        <v>0</v>
      </c>
      <c r="I656" s="242">
        <f>COUNTIFS('تجربه‌گرها'!$B:$B,$A656,'تجربه‌گرها'!$F:$F,I$1)</f>
        <v>0</v>
      </c>
      <c r="J656" s="242">
        <f>COUNTIFS('تجربه‌گرها'!$B:$B,$A656,'تجربه‌گرها'!$F:$F,J$1)</f>
        <v>1</v>
      </c>
      <c r="K656" s="242">
        <f>COUNTIFS('تجربه‌گرها'!$B:$B,$A656,'تجربه‌گرها'!$F:$F,K$1)</f>
        <v>0</v>
      </c>
      <c r="L656" s="242">
        <f>COUNTIFS('تجربه‌گرها'!$B:$B,$A656,'تجربه‌گرها'!$F:$F,L$1)</f>
        <v>0</v>
      </c>
      <c r="M656" s="242">
        <f>COUNTIFS('تجربه‌گرها'!$B:$B,$A656,'تجربه‌گرها'!$F:$F,M$1)</f>
        <v>0</v>
      </c>
      <c r="N656" s="242">
        <f>COUNTIFS('تجربه‌گرها'!$B:$B,$A656,'تجربه‌گرها'!$F:$F,N$1)</f>
        <v>0</v>
      </c>
      <c r="O656" s="242">
        <f>COUNTIFS('تجربه‌گرها'!$B:$B,$A656,'تجربه‌گرها'!$F:$F,O$1)</f>
        <v>0</v>
      </c>
      <c r="P656" s="242">
        <f>COUNTIFS('تجربه‌گرها'!$B:$B,$A656,'تجربه‌گرها'!$F:$F,P$1)</f>
        <v>0</v>
      </c>
      <c r="Q656" s="242">
        <f>COUNTIFS('تجربه‌گرها'!$B:$B,$A656,'تجربه‌گرها'!$F:$F,Q$1)</f>
        <v>0</v>
      </c>
      <c r="R656" s="242">
        <f>COUNTIFS('تجربه‌گرها'!$B:$B,$A656,'تجربه‌گرها'!$F:$F,R$1)</f>
        <v>0</v>
      </c>
      <c r="S656" s="242">
        <f>COUNTIFS('تجربه‌گرها'!$B:$B,$A656,'تجربه‌گرها'!$F:$F,S$1)</f>
        <v>0</v>
      </c>
      <c r="T656" s="242">
        <f>COUNTIFS('تجربه‌گرها'!$B:$B,$A656,'تجربه‌گرها'!$F:$F,T$1)</f>
        <v>0</v>
      </c>
      <c r="U656" s="242"/>
      <c r="V656" s="242"/>
      <c r="W656" s="242"/>
      <c r="X656" s="242"/>
      <c r="Y656" s="242"/>
      <c r="Z656" s="242"/>
      <c r="AA656" s="242"/>
      <c r="AB656" s="242"/>
    </row>
    <row r="657" hidden="1">
      <c r="A657" s="244" t="s">
        <v>4109</v>
      </c>
      <c r="B657" s="245" t="str">
        <f>VLOOKUP(A657,'تجربه‌گرها'!B:C,2,FALSE())</f>
        <v>#ERROR!</v>
      </c>
      <c r="C657" s="242"/>
      <c r="D657" s="242">
        <f t="shared" si="1"/>
        <v>1</v>
      </c>
      <c r="E657" s="242">
        <f>COUNTIFS('تجربه‌گرها'!$B:$B,$A657,'تجربه‌گرها'!$F:$F,E$1)</f>
        <v>0</v>
      </c>
      <c r="F657" s="242">
        <f>COUNTIFS('تجربه‌گرها'!$B:$B,$A657,'تجربه‌گرها'!$F:$F,F$1)</f>
        <v>0</v>
      </c>
      <c r="G657" s="242">
        <f>COUNTIFS('تجربه‌گرها'!$B:$B,$A657,'تجربه‌گرها'!$F:$F,G$1)</f>
        <v>0</v>
      </c>
      <c r="H657" s="242">
        <f>COUNTIFS('تجربه‌گرها'!$B:$B,$A657,'تجربه‌گرها'!$F:$F,H$1)</f>
        <v>0</v>
      </c>
      <c r="I657" s="242">
        <f>COUNTIFS('تجربه‌گرها'!$B:$B,$A657,'تجربه‌گرها'!$F:$F,I$1)</f>
        <v>0</v>
      </c>
      <c r="J657" s="242">
        <f>COUNTIFS('تجربه‌گرها'!$B:$B,$A657,'تجربه‌گرها'!$F:$F,J$1)</f>
        <v>1</v>
      </c>
      <c r="K657" s="242">
        <f>COUNTIFS('تجربه‌گرها'!$B:$B,$A657,'تجربه‌گرها'!$F:$F,K$1)</f>
        <v>0</v>
      </c>
      <c r="L657" s="242">
        <f>COUNTIFS('تجربه‌گرها'!$B:$B,$A657,'تجربه‌گرها'!$F:$F,L$1)</f>
        <v>0</v>
      </c>
      <c r="M657" s="242">
        <f>COUNTIFS('تجربه‌گرها'!$B:$B,$A657,'تجربه‌گرها'!$F:$F,M$1)</f>
        <v>0</v>
      </c>
      <c r="N657" s="242">
        <f>COUNTIFS('تجربه‌گرها'!$B:$B,$A657,'تجربه‌گرها'!$F:$F,N$1)</f>
        <v>0</v>
      </c>
      <c r="O657" s="242">
        <f>COUNTIFS('تجربه‌گرها'!$B:$B,$A657,'تجربه‌گرها'!$F:$F,O$1)</f>
        <v>0</v>
      </c>
      <c r="P657" s="242">
        <f>COUNTIFS('تجربه‌گرها'!$B:$B,$A657,'تجربه‌گرها'!$F:$F,P$1)</f>
        <v>0</v>
      </c>
      <c r="Q657" s="242">
        <f>COUNTIFS('تجربه‌گرها'!$B:$B,$A657,'تجربه‌گرها'!$F:$F,Q$1)</f>
        <v>0</v>
      </c>
      <c r="R657" s="242">
        <f>COUNTIFS('تجربه‌گرها'!$B:$B,$A657,'تجربه‌گرها'!$F:$F,R$1)</f>
        <v>0</v>
      </c>
      <c r="S657" s="242">
        <f>COUNTIFS('تجربه‌گرها'!$B:$B,$A657,'تجربه‌گرها'!$F:$F,S$1)</f>
        <v>0</v>
      </c>
      <c r="T657" s="242">
        <f>COUNTIFS('تجربه‌گرها'!$B:$B,$A657,'تجربه‌گرها'!$F:$F,T$1)</f>
        <v>0</v>
      </c>
      <c r="U657" s="242"/>
      <c r="V657" s="242"/>
      <c r="W657" s="242"/>
      <c r="X657" s="242"/>
      <c r="Y657" s="242"/>
      <c r="Z657" s="242"/>
      <c r="AA657" s="242"/>
      <c r="AB657" s="242"/>
    </row>
    <row r="658" hidden="1">
      <c r="A658" s="244" t="s">
        <v>4112</v>
      </c>
      <c r="B658" s="245" t="str">
        <f>VLOOKUP(A658,'تجربه‌گرها'!B:C,2,FALSE())</f>
        <v>9124447730</v>
      </c>
      <c r="C658" s="242"/>
      <c r="D658" s="242">
        <f t="shared" si="1"/>
        <v>1</v>
      </c>
      <c r="E658" s="242">
        <f>COUNTIFS('تجربه‌گرها'!$B:$B,$A658,'تجربه‌گرها'!$F:$F,E$1)</f>
        <v>0</v>
      </c>
      <c r="F658" s="242">
        <f>COUNTIFS('تجربه‌گرها'!$B:$B,$A658,'تجربه‌گرها'!$F:$F,F$1)</f>
        <v>0</v>
      </c>
      <c r="G658" s="242">
        <f>COUNTIFS('تجربه‌گرها'!$B:$B,$A658,'تجربه‌گرها'!$F:$F,G$1)</f>
        <v>0</v>
      </c>
      <c r="H658" s="242">
        <f>COUNTIFS('تجربه‌گرها'!$B:$B,$A658,'تجربه‌گرها'!$F:$F,H$1)</f>
        <v>0</v>
      </c>
      <c r="I658" s="242">
        <f>COUNTIFS('تجربه‌گرها'!$B:$B,$A658,'تجربه‌گرها'!$F:$F,I$1)</f>
        <v>0</v>
      </c>
      <c r="J658" s="242">
        <f>COUNTIFS('تجربه‌گرها'!$B:$B,$A658,'تجربه‌گرها'!$F:$F,J$1)</f>
        <v>1</v>
      </c>
      <c r="K658" s="242">
        <f>COUNTIFS('تجربه‌گرها'!$B:$B,$A658,'تجربه‌گرها'!$F:$F,K$1)</f>
        <v>0</v>
      </c>
      <c r="L658" s="242">
        <f>COUNTIFS('تجربه‌گرها'!$B:$B,$A658,'تجربه‌گرها'!$F:$F,L$1)</f>
        <v>0</v>
      </c>
      <c r="M658" s="242">
        <f>COUNTIFS('تجربه‌گرها'!$B:$B,$A658,'تجربه‌گرها'!$F:$F,M$1)</f>
        <v>0</v>
      </c>
      <c r="N658" s="242">
        <f>COUNTIFS('تجربه‌گرها'!$B:$B,$A658,'تجربه‌گرها'!$F:$F,N$1)</f>
        <v>0</v>
      </c>
      <c r="O658" s="242">
        <f>COUNTIFS('تجربه‌گرها'!$B:$B,$A658,'تجربه‌گرها'!$F:$F,O$1)</f>
        <v>0</v>
      </c>
      <c r="P658" s="242">
        <f>COUNTIFS('تجربه‌گرها'!$B:$B,$A658,'تجربه‌گرها'!$F:$F,P$1)</f>
        <v>0</v>
      </c>
      <c r="Q658" s="242">
        <f>COUNTIFS('تجربه‌گرها'!$B:$B,$A658,'تجربه‌گرها'!$F:$F,Q$1)</f>
        <v>0</v>
      </c>
      <c r="R658" s="242">
        <f>COUNTIFS('تجربه‌گرها'!$B:$B,$A658,'تجربه‌گرها'!$F:$F,R$1)</f>
        <v>0</v>
      </c>
      <c r="S658" s="242">
        <f>COUNTIFS('تجربه‌گرها'!$B:$B,$A658,'تجربه‌گرها'!$F:$F,S$1)</f>
        <v>0</v>
      </c>
      <c r="T658" s="242">
        <f>COUNTIFS('تجربه‌گرها'!$B:$B,$A658,'تجربه‌گرها'!$F:$F,T$1)</f>
        <v>0</v>
      </c>
      <c r="U658" s="242"/>
      <c r="V658" s="242"/>
      <c r="W658" s="242"/>
      <c r="X658" s="242"/>
      <c r="Y658" s="242"/>
      <c r="Z658" s="242"/>
      <c r="AA658" s="242"/>
      <c r="AB658" s="242"/>
    </row>
    <row r="659" hidden="1">
      <c r="A659" s="244" t="s">
        <v>4116</v>
      </c>
      <c r="B659" s="245" t="str">
        <f>VLOOKUP(A659,'تجربه‌گرها'!B:C,2,FALSE())</f>
        <v>9919472624</v>
      </c>
      <c r="C659" s="242"/>
      <c r="D659" s="242">
        <f t="shared" si="1"/>
        <v>2</v>
      </c>
      <c r="E659" s="242">
        <f>COUNTIFS('تجربه‌گرها'!$B:$B,$A659,'تجربه‌گرها'!$F:$F,E$1)</f>
        <v>0</v>
      </c>
      <c r="F659" s="242">
        <f>COUNTIFS('تجربه‌گرها'!$B:$B,$A659,'تجربه‌گرها'!$F:$F,F$1)</f>
        <v>0</v>
      </c>
      <c r="G659" s="242">
        <f>COUNTIFS('تجربه‌گرها'!$B:$B,$A659,'تجربه‌گرها'!$F:$F,G$1)</f>
        <v>0</v>
      </c>
      <c r="H659" s="242">
        <f>COUNTIFS('تجربه‌گرها'!$B:$B,$A659,'تجربه‌گرها'!$F:$F,H$1)</f>
        <v>0</v>
      </c>
      <c r="I659" s="242">
        <f>COUNTIFS('تجربه‌گرها'!$B:$B,$A659,'تجربه‌گرها'!$F:$F,I$1)</f>
        <v>0</v>
      </c>
      <c r="J659" s="242">
        <f>COUNTIFS('تجربه‌گرها'!$B:$B,$A659,'تجربه‌گرها'!$F:$F,J$1)</f>
        <v>1</v>
      </c>
      <c r="K659" s="242">
        <f>COUNTIFS('تجربه‌گرها'!$B:$B,$A659,'تجربه‌گرها'!$F:$F,K$1)</f>
        <v>0</v>
      </c>
      <c r="L659" s="242">
        <f>COUNTIFS('تجربه‌گرها'!$B:$B,$A659,'تجربه‌گرها'!$F:$F,L$1)</f>
        <v>0</v>
      </c>
      <c r="M659" s="242">
        <f>COUNTIFS('تجربه‌گرها'!$B:$B,$A659,'تجربه‌گرها'!$F:$F,M$1)</f>
        <v>0</v>
      </c>
      <c r="N659" s="242">
        <f>COUNTIFS('تجربه‌گرها'!$B:$B,$A659,'تجربه‌گرها'!$F:$F,N$1)</f>
        <v>0</v>
      </c>
      <c r="O659" s="242">
        <f>COUNTIFS('تجربه‌گرها'!$B:$B,$A659,'تجربه‌گرها'!$F:$F,O$1)</f>
        <v>1</v>
      </c>
      <c r="P659" s="242">
        <f>COUNTIFS('تجربه‌گرها'!$B:$B,$A659,'تجربه‌گرها'!$F:$F,P$1)</f>
        <v>0</v>
      </c>
      <c r="Q659" s="242">
        <f>COUNTIFS('تجربه‌گرها'!$B:$B,$A659,'تجربه‌گرها'!$F:$F,Q$1)</f>
        <v>0</v>
      </c>
      <c r="R659" s="242">
        <f>COUNTIFS('تجربه‌گرها'!$B:$B,$A659,'تجربه‌گرها'!$F:$F,R$1)</f>
        <v>0</v>
      </c>
      <c r="S659" s="242">
        <f>COUNTIFS('تجربه‌گرها'!$B:$B,$A659,'تجربه‌گرها'!$F:$F,S$1)</f>
        <v>0</v>
      </c>
      <c r="T659" s="242">
        <f>COUNTIFS('تجربه‌گرها'!$B:$B,$A659,'تجربه‌گرها'!$F:$F,T$1)</f>
        <v>0</v>
      </c>
      <c r="U659" s="242"/>
      <c r="V659" s="242"/>
      <c r="W659" s="242"/>
      <c r="X659" s="242"/>
      <c r="Y659" s="242"/>
      <c r="Z659" s="242"/>
      <c r="AA659" s="242"/>
      <c r="AB659" s="242"/>
    </row>
    <row r="660" hidden="1">
      <c r="A660" s="244" t="s">
        <v>4119</v>
      </c>
      <c r="B660" s="245" t="str">
        <f>VLOOKUP(A660,'تجربه‌گرها'!B:C,2,FALSE())</f>
        <v>9307678137</v>
      </c>
      <c r="C660" s="242"/>
      <c r="D660" s="242">
        <f t="shared" si="1"/>
        <v>1</v>
      </c>
      <c r="E660" s="242">
        <f>COUNTIFS('تجربه‌گرها'!$B:$B,$A660,'تجربه‌گرها'!$F:$F,E$1)</f>
        <v>0</v>
      </c>
      <c r="F660" s="242">
        <f>COUNTIFS('تجربه‌گرها'!$B:$B,$A660,'تجربه‌گرها'!$F:$F,F$1)</f>
        <v>0</v>
      </c>
      <c r="G660" s="242">
        <f>COUNTIFS('تجربه‌گرها'!$B:$B,$A660,'تجربه‌گرها'!$F:$F,G$1)</f>
        <v>0</v>
      </c>
      <c r="H660" s="242">
        <f>COUNTIFS('تجربه‌گرها'!$B:$B,$A660,'تجربه‌گرها'!$F:$F,H$1)</f>
        <v>0</v>
      </c>
      <c r="I660" s="242">
        <f>COUNTIFS('تجربه‌گرها'!$B:$B,$A660,'تجربه‌گرها'!$F:$F,I$1)</f>
        <v>0</v>
      </c>
      <c r="J660" s="242">
        <f>COUNTIFS('تجربه‌گرها'!$B:$B,$A660,'تجربه‌گرها'!$F:$F,J$1)</f>
        <v>1</v>
      </c>
      <c r="K660" s="242">
        <f>COUNTIFS('تجربه‌گرها'!$B:$B,$A660,'تجربه‌گرها'!$F:$F,K$1)</f>
        <v>0</v>
      </c>
      <c r="L660" s="242">
        <f>COUNTIFS('تجربه‌گرها'!$B:$B,$A660,'تجربه‌گرها'!$F:$F,L$1)</f>
        <v>0</v>
      </c>
      <c r="M660" s="242">
        <f>COUNTIFS('تجربه‌گرها'!$B:$B,$A660,'تجربه‌گرها'!$F:$F,M$1)</f>
        <v>0</v>
      </c>
      <c r="N660" s="242">
        <f>COUNTIFS('تجربه‌گرها'!$B:$B,$A660,'تجربه‌گرها'!$F:$F,N$1)</f>
        <v>0</v>
      </c>
      <c r="O660" s="242">
        <f>COUNTIFS('تجربه‌گرها'!$B:$B,$A660,'تجربه‌گرها'!$F:$F,O$1)</f>
        <v>0</v>
      </c>
      <c r="P660" s="242">
        <f>COUNTIFS('تجربه‌گرها'!$B:$B,$A660,'تجربه‌گرها'!$F:$F,P$1)</f>
        <v>0</v>
      </c>
      <c r="Q660" s="242">
        <f>COUNTIFS('تجربه‌گرها'!$B:$B,$A660,'تجربه‌گرها'!$F:$F,Q$1)</f>
        <v>0</v>
      </c>
      <c r="R660" s="242">
        <f>COUNTIFS('تجربه‌گرها'!$B:$B,$A660,'تجربه‌گرها'!$F:$F,R$1)</f>
        <v>0</v>
      </c>
      <c r="S660" s="242">
        <f>COUNTIFS('تجربه‌گرها'!$B:$B,$A660,'تجربه‌گرها'!$F:$F,S$1)</f>
        <v>0</v>
      </c>
      <c r="T660" s="242">
        <f>COUNTIFS('تجربه‌گرها'!$B:$B,$A660,'تجربه‌گرها'!$F:$F,T$1)</f>
        <v>0</v>
      </c>
      <c r="U660" s="242"/>
      <c r="V660" s="242"/>
      <c r="W660" s="242"/>
      <c r="X660" s="242"/>
      <c r="Y660" s="242"/>
      <c r="Z660" s="242"/>
      <c r="AA660" s="242"/>
      <c r="AB660" s="242"/>
    </row>
    <row r="661" hidden="1">
      <c r="A661" s="244" t="s">
        <v>4122</v>
      </c>
      <c r="B661" s="245" t="str">
        <f>VLOOKUP(A661,'تجربه‌گرها'!B:C,2,FALSE())</f>
        <v>#ERROR!</v>
      </c>
      <c r="C661" s="242"/>
      <c r="D661" s="242">
        <f t="shared" si="1"/>
        <v>3</v>
      </c>
      <c r="E661" s="242">
        <f>COUNTIFS('تجربه‌گرها'!$B:$B,$A661,'تجربه‌گرها'!$F:$F,E$1)</f>
        <v>0</v>
      </c>
      <c r="F661" s="242">
        <f>COUNTIFS('تجربه‌گرها'!$B:$B,$A661,'تجربه‌گرها'!$F:$F,F$1)</f>
        <v>0</v>
      </c>
      <c r="G661" s="242">
        <f>COUNTIFS('تجربه‌گرها'!$B:$B,$A661,'تجربه‌گرها'!$F:$F,G$1)</f>
        <v>0</v>
      </c>
      <c r="H661" s="242">
        <f>COUNTIFS('تجربه‌گرها'!$B:$B,$A661,'تجربه‌گرها'!$F:$F,H$1)</f>
        <v>0</v>
      </c>
      <c r="I661" s="242">
        <f>COUNTIFS('تجربه‌گرها'!$B:$B,$A661,'تجربه‌گرها'!$F:$F,I$1)</f>
        <v>0</v>
      </c>
      <c r="J661" s="242">
        <f>COUNTIFS('تجربه‌گرها'!$B:$B,$A661,'تجربه‌گرها'!$F:$F,J$1)</f>
        <v>1</v>
      </c>
      <c r="K661" s="242">
        <f>COUNTIFS('تجربه‌گرها'!$B:$B,$A661,'تجربه‌گرها'!$F:$F,K$1)</f>
        <v>1</v>
      </c>
      <c r="L661" s="242">
        <f>COUNTIFS('تجربه‌گرها'!$B:$B,$A661,'تجربه‌گرها'!$F:$F,L$1)</f>
        <v>1</v>
      </c>
      <c r="M661" s="242">
        <f>COUNTIFS('تجربه‌گرها'!$B:$B,$A661,'تجربه‌گرها'!$F:$F,M$1)</f>
        <v>0</v>
      </c>
      <c r="N661" s="242">
        <f>COUNTIFS('تجربه‌گرها'!$B:$B,$A661,'تجربه‌گرها'!$F:$F,N$1)</f>
        <v>0</v>
      </c>
      <c r="O661" s="242">
        <f>COUNTIFS('تجربه‌گرها'!$B:$B,$A661,'تجربه‌گرها'!$F:$F,O$1)</f>
        <v>0</v>
      </c>
      <c r="P661" s="242">
        <f>COUNTIFS('تجربه‌گرها'!$B:$B,$A661,'تجربه‌گرها'!$F:$F,P$1)</f>
        <v>0</v>
      </c>
      <c r="Q661" s="242">
        <f>COUNTIFS('تجربه‌گرها'!$B:$B,$A661,'تجربه‌گرها'!$F:$F,Q$1)</f>
        <v>0</v>
      </c>
      <c r="R661" s="242">
        <f>COUNTIFS('تجربه‌گرها'!$B:$B,$A661,'تجربه‌گرها'!$F:$F,R$1)</f>
        <v>0</v>
      </c>
      <c r="S661" s="242">
        <f>COUNTIFS('تجربه‌گرها'!$B:$B,$A661,'تجربه‌گرها'!$F:$F,S$1)</f>
        <v>0</v>
      </c>
      <c r="T661" s="242">
        <f>COUNTIFS('تجربه‌گرها'!$B:$B,$A661,'تجربه‌گرها'!$F:$F,T$1)</f>
        <v>0</v>
      </c>
      <c r="U661" s="242"/>
      <c r="V661" s="242"/>
      <c r="W661" s="242"/>
      <c r="X661" s="242"/>
      <c r="Y661" s="242"/>
      <c r="Z661" s="242"/>
      <c r="AA661" s="242"/>
      <c r="AB661" s="242"/>
    </row>
    <row r="662" hidden="1">
      <c r="A662" s="244" t="s">
        <v>4126</v>
      </c>
      <c r="B662" s="245" t="str">
        <f>VLOOKUP(A662,'تجربه‌گرها'!B:C,2,FALSE())</f>
        <v>#ERROR!</v>
      </c>
      <c r="C662" s="242"/>
      <c r="D662" s="242">
        <f t="shared" si="1"/>
        <v>1</v>
      </c>
      <c r="E662" s="242">
        <f>COUNTIFS('تجربه‌گرها'!$B:$B,$A662,'تجربه‌گرها'!$F:$F,E$1)</f>
        <v>0</v>
      </c>
      <c r="F662" s="242">
        <f>COUNTIFS('تجربه‌گرها'!$B:$B,$A662,'تجربه‌گرها'!$F:$F,F$1)</f>
        <v>0</v>
      </c>
      <c r="G662" s="242">
        <f>COUNTIFS('تجربه‌گرها'!$B:$B,$A662,'تجربه‌گرها'!$F:$F,G$1)</f>
        <v>0</v>
      </c>
      <c r="H662" s="242">
        <f>COUNTIFS('تجربه‌گرها'!$B:$B,$A662,'تجربه‌گرها'!$F:$F,H$1)</f>
        <v>0</v>
      </c>
      <c r="I662" s="242">
        <f>COUNTIFS('تجربه‌گرها'!$B:$B,$A662,'تجربه‌گرها'!$F:$F,I$1)</f>
        <v>0</v>
      </c>
      <c r="J662" s="242">
        <f>COUNTIFS('تجربه‌گرها'!$B:$B,$A662,'تجربه‌گرها'!$F:$F,J$1)</f>
        <v>1</v>
      </c>
      <c r="K662" s="242">
        <f>COUNTIFS('تجربه‌گرها'!$B:$B,$A662,'تجربه‌گرها'!$F:$F,K$1)</f>
        <v>0</v>
      </c>
      <c r="L662" s="242">
        <f>COUNTIFS('تجربه‌گرها'!$B:$B,$A662,'تجربه‌گرها'!$F:$F,L$1)</f>
        <v>0</v>
      </c>
      <c r="M662" s="242">
        <f>COUNTIFS('تجربه‌گرها'!$B:$B,$A662,'تجربه‌گرها'!$F:$F,M$1)</f>
        <v>0</v>
      </c>
      <c r="N662" s="242">
        <f>COUNTIFS('تجربه‌گرها'!$B:$B,$A662,'تجربه‌گرها'!$F:$F,N$1)</f>
        <v>0</v>
      </c>
      <c r="O662" s="242">
        <f>COUNTIFS('تجربه‌گرها'!$B:$B,$A662,'تجربه‌گرها'!$F:$F,O$1)</f>
        <v>0</v>
      </c>
      <c r="P662" s="242">
        <f>COUNTIFS('تجربه‌گرها'!$B:$B,$A662,'تجربه‌گرها'!$F:$F,P$1)</f>
        <v>0</v>
      </c>
      <c r="Q662" s="242">
        <f>COUNTIFS('تجربه‌گرها'!$B:$B,$A662,'تجربه‌گرها'!$F:$F,Q$1)</f>
        <v>0</v>
      </c>
      <c r="R662" s="242">
        <f>COUNTIFS('تجربه‌گرها'!$B:$B,$A662,'تجربه‌گرها'!$F:$F,R$1)</f>
        <v>0</v>
      </c>
      <c r="S662" s="242">
        <f>COUNTIFS('تجربه‌گرها'!$B:$B,$A662,'تجربه‌گرها'!$F:$F,S$1)</f>
        <v>0</v>
      </c>
      <c r="T662" s="242">
        <f>COUNTIFS('تجربه‌گرها'!$B:$B,$A662,'تجربه‌گرها'!$F:$F,T$1)</f>
        <v>0</v>
      </c>
      <c r="U662" s="242"/>
      <c r="V662" s="242"/>
      <c r="W662" s="242"/>
      <c r="X662" s="242"/>
      <c r="Y662" s="242"/>
      <c r="Z662" s="242"/>
      <c r="AA662" s="242"/>
      <c r="AB662" s="242"/>
    </row>
    <row r="663" hidden="1">
      <c r="A663" s="244" t="s">
        <v>4129</v>
      </c>
      <c r="B663" s="245" t="str">
        <f>VLOOKUP(A663,'تجربه‌گرها'!B:C,2,FALSE())</f>
        <v>9148331349</v>
      </c>
      <c r="C663" s="242"/>
      <c r="D663" s="242">
        <f t="shared" si="1"/>
        <v>1</v>
      </c>
      <c r="E663" s="242">
        <f>COUNTIFS('تجربه‌گرها'!$B:$B,$A663,'تجربه‌گرها'!$F:$F,E$1)</f>
        <v>0</v>
      </c>
      <c r="F663" s="242">
        <f>COUNTIFS('تجربه‌گرها'!$B:$B,$A663,'تجربه‌گرها'!$F:$F,F$1)</f>
        <v>0</v>
      </c>
      <c r="G663" s="242">
        <f>COUNTIFS('تجربه‌گرها'!$B:$B,$A663,'تجربه‌گرها'!$F:$F,G$1)</f>
        <v>0</v>
      </c>
      <c r="H663" s="242">
        <f>COUNTIFS('تجربه‌گرها'!$B:$B,$A663,'تجربه‌گرها'!$F:$F,H$1)</f>
        <v>0</v>
      </c>
      <c r="I663" s="242">
        <f>COUNTIFS('تجربه‌گرها'!$B:$B,$A663,'تجربه‌گرها'!$F:$F,I$1)</f>
        <v>0</v>
      </c>
      <c r="J663" s="242">
        <f>COUNTIFS('تجربه‌گرها'!$B:$B,$A663,'تجربه‌گرها'!$F:$F,J$1)</f>
        <v>1</v>
      </c>
      <c r="K663" s="242">
        <f>COUNTIFS('تجربه‌گرها'!$B:$B,$A663,'تجربه‌گرها'!$F:$F,K$1)</f>
        <v>0</v>
      </c>
      <c r="L663" s="242">
        <f>COUNTIFS('تجربه‌گرها'!$B:$B,$A663,'تجربه‌گرها'!$F:$F,L$1)</f>
        <v>0</v>
      </c>
      <c r="M663" s="242">
        <f>COUNTIFS('تجربه‌گرها'!$B:$B,$A663,'تجربه‌گرها'!$F:$F,M$1)</f>
        <v>0</v>
      </c>
      <c r="N663" s="242">
        <f>COUNTIFS('تجربه‌گرها'!$B:$B,$A663,'تجربه‌گرها'!$F:$F,N$1)</f>
        <v>0</v>
      </c>
      <c r="O663" s="242">
        <f>COUNTIFS('تجربه‌گرها'!$B:$B,$A663,'تجربه‌گرها'!$F:$F,O$1)</f>
        <v>0</v>
      </c>
      <c r="P663" s="242">
        <f>COUNTIFS('تجربه‌گرها'!$B:$B,$A663,'تجربه‌گرها'!$F:$F,P$1)</f>
        <v>0</v>
      </c>
      <c r="Q663" s="242">
        <f>COUNTIFS('تجربه‌گرها'!$B:$B,$A663,'تجربه‌گرها'!$F:$F,Q$1)</f>
        <v>0</v>
      </c>
      <c r="R663" s="242">
        <f>COUNTIFS('تجربه‌گرها'!$B:$B,$A663,'تجربه‌گرها'!$F:$F,R$1)</f>
        <v>0</v>
      </c>
      <c r="S663" s="242">
        <f>COUNTIFS('تجربه‌گرها'!$B:$B,$A663,'تجربه‌گرها'!$F:$F,S$1)</f>
        <v>0</v>
      </c>
      <c r="T663" s="242">
        <f>COUNTIFS('تجربه‌گرها'!$B:$B,$A663,'تجربه‌گرها'!$F:$F,T$1)</f>
        <v>0</v>
      </c>
      <c r="U663" s="242"/>
      <c r="V663" s="242"/>
      <c r="W663" s="242"/>
      <c r="X663" s="242"/>
      <c r="Y663" s="242"/>
      <c r="Z663" s="242"/>
      <c r="AA663" s="242"/>
      <c r="AB663" s="242"/>
    </row>
    <row r="664" hidden="1">
      <c r="A664" s="244" t="s">
        <v>4133</v>
      </c>
      <c r="B664" s="245" t="str">
        <f>VLOOKUP(A664,'تجربه‌گرها'!B:C,2,FALSE())</f>
        <v>9127192230</v>
      </c>
      <c r="C664" s="242"/>
      <c r="D664" s="242">
        <f t="shared" si="1"/>
        <v>1</v>
      </c>
      <c r="E664" s="242">
        <f>COUNTIFS('تجربه‌گرها'!$B:$B,$A664,'تجربه‌گرها'!$F:$F,E$1)</f>
        <v>0</v>
      </c>
      <c r="F664" s="242">
        <f>COUNTIFS('تجربه‌گرها'!$B:$B,$A664,'تجربه‌گرها'!$F:$F,F$1)</f>
        <v>0</v>
      </c>
      <c r="G664" s="242">
        <f>COUNTIFS('تجربه‌گرها'!$B:$B,$A664,'تجربه‌گرها'!$F:$F,G$1)</f>
        <v>0</v>
      </c>
      <c r="H664" s="242">
        <f>COUNTIFS('تجربه‌گرها'!$B:$B,$A664,'تجربه‌گرها'!$F:$F,H$1)</f>
        <v>0</v>
      </c>
      <c r="I664" s="242">
        <f>COUNTIFS('تجربه‌گرها'!$B:$B,$A664,'تجربه‌گرها'!$F:$F,I$1)</f>
        <v>0</v>
      </c>
      <c r="J664" s="242">
        <f>COUNTIFS('تجربه‌گرها'!$B:$B,$A664,'تجربه‌گرها'!$F:$F,J$1)</f>
        <v>1</v>
      </c>
      <c r="K664" s="242">
        <f>COUNTIFS('تجربه‌گرها'!$B:$B,$A664,'تجربه‌گرها'!$F:$F,K$1)</f>
        <v>0</v>
      </c>
      <c r="L664" s="242">
        <f>COUNTIFS('تجربه‌گرها'!$B:$B,$A664,'تجربه‌گرها'!$F:$F,L$1)</f>
        <v>0</v>
      </c>
      <c r="M664" s="242">
        <f>COUNTIFS('تجربه‌گرها'!$B:$B,$A664,'تجربه‌گرها'!$F:$F,M$1)</f>
        <v>0</v>
      </c>
      <c r="N664" s="242">
        <f>COUNTIFS('تجربه‌گرها'!$B:$B,$A664,'تجربه‌گرها'!$F:$F,N$1)</f>
        <v>0</v>
      </c>
      <c r="O664" s="242">
        <f>COUNTIFS('تجربه‌گرها'!$B:$B,$A664,'تجربه‌گرها'!$F:$F,O$1)</f>
        <v>0</v>
      </c>
      <c r="P664" s="242">
        <f>COUNTIFS('تجربه‌گرها'!$B:$B,$A664,'تجربه‌گرها'!$F:$F,P$1)</f>
        <v>0</v>
      </c>
      <c r="Q664" s="242">
        <f>COUNTIFS('تجربه‌گرها'!$B:$B,$A664,'تجربه‌گرها'!$F:$F,Q$1)</f>
        <v>0</v>
      </c>
      <c r="R664" s="242">
        <f>COUNTIFS('تجربه‌گرها'!$B:$B,$A664,'تجربه‌گرها'!$F:$F,R$1)</f>
        <v>0</v>
      </c>
      <c r="S664" s="242">
        <f>COUNTIFS('تجربه‌گرها'!$B:$B,$A664,'تجربه‌گرها'!$F:$F,S$1)</f>
        <v>0</v>
      </c>
      <c r="T664" s="242">
        <f>COUNTIFS('تجربه‌گرها'!$B:$B,$A664,'تجربه‌گرها'!$F:$F,T$1)</f>
        <v>0</v>
      </c>
      <c r="U664" s="242"/>
      <c r="V664" s="242"/>
      <c r="W664" s="242"/>
      <c r="X664" s="242"/>
      <c r="Y664" s="242"/>
      <c r="Z664" s="242"/>
      <c r="AA664" s="242"/>
      <c r="AB664" s="242"/>
    </row>
    <row r="665">
      <c r="A665" s="244" t="s">
        <v>4137</v>
      </c>
      <c r="B665" s="245" t="str">
        <f>VLOOKUP(A665,'تجربه‌گرها'!B:C,2,FALSE())</f>
        <v>9155127849</v>
      </c>
      <c r="C665" s="242"/>
      <c r="D665" s="242">
        <f t="shared" si="1"/>
        <v>1</v>
      </c>
      <c r="E665" s="242">
        <f>COUNTIFS('تجربه‌گرها'!$B:$B,$A665,'تجربه‌گرها'!$F:$F,E$1)</f>
        <v>0</v>
      </c>
      <c r="F665" s="242">
        <f>COUNTIFS('تجربه‌گرها'!$B:$B,$A665,'تجربه‌گرها'!$F:$F,F$1)</f>
        <v>0</v>
      </c>
      <c r="G665" s="242">
        <f>COUNTIFS('تجربه‌گرها'!$B:$B,$A665,'تجربه‌گرها'!$F:$F,G$1)</f>
        <v>0</v>
      </c>
      <c r="H665" s="242">
        <f>COUNTIFS('تجربه‌گرها'!$B:$B,$A665,'تجربه‌گرها'!$F:$F,H$1)</f>
        <v>0</v>
      </c>
      <c r="I665" s="242">
        <f>COUNTIFS('تجربه‌گرها'!$B:$B,$A665,'تجربه‌گرها'!$F:$F,I$1)</f>
        <v>0</v>
      </c>
      <c r="J665" s="242">
        <f>COUNTIFS('تجربه‌گرها'!$B:$B,$A665,'تجربه‌گرها'!$F:$F,J$1)</f>
        <v>1</v>
      </c>
      <c r="K665" s="242">
        <f>COUNTIFS('تجربه‌گرها'!$B:$B,$A665,'تجربه‌گرها'!$F:$F,K$1)</f>
        <v>0</v>
      </c>
      <c r="L665" s="242">
        <f>COUNTIFS('تجربه‌گرها'!$B:$B,$A665,'تجربه‌گرها'!$F:$F,L$1)</f>
        <v>0</v>
      </c>
      <c r="M665" s="242">
        <f>COUNTIFS('تجربه‌گرها'!$B:$B,$A665,'تجربه‌گرها'!$F:$F,M$1)</f>
        <v>0</v>
      </c>
      <c r="N665" s="242">
        <f>COUNTIFS('تجربه‌گرها'!$B:$B,$A665,'تجربه‌گرها'!$F:$F,N$1)</f>
        <v>0</v>
      </c>
      <c r="O665" s="242">
        <f>COUNTIFS('تجربه‌گرها'!$B:$B,$A665,'تجربه‌گرها'!$F:$F,O$1)</f>
        <v>0</v>
      </c>
      <c r="P665" s="242">
        <f>COUNTIFS('تجربه‌گرها'!$B:$B,$A665,'تجربه‌گرها'!$F:$F,P$1)</f>
        <v>0</v>
      </c>
      <c r="Q665" s="242">
        <f>COUNTIFS('تجربه‌گرها'!$B:$B,$A665,'تجربه‌گرها'!$F:$F,Q$1)</f>
        <v>0</v>
      </c>
      <c r="R665" s="242">
        <f>COUNTIFS('تجربه‌گرها'!$B:$B,$A665,'تجربه‌گرها'!$F:$F,R$1)</f>
        <v>0</v>
      </c>
      <c r="S665" s="242">
        <f>COUNTIFS('تجربه‌گرها'!$B:$B,$A665,'تجربه‌گرها'!$F:$F,S$1)</f>
        <v>0</v>
      </c>
      <c r="T665" s="242">
        <f>COUNTIFS('تجربه‌گرها'!$B:$B,$A665,'تجربه‌گرها'!$F:$F,T$1)</f>
        <v>0</v>
      </c>
      <c r="U665" s="242"/>
      <c r="V665" s="242"/>
      <c r="W665" s="242"/>
      <c r="X665" s="242"/>
      <c r="Y665" s="242"/>
      <c r="Z665" s="242"/>
      <c r="AA665" s="242"/>
      <c r="AB665" s="242"/>
    </row>
    <row r="666" hidden="1">
      <c r="A666" s="244" t="s">
        <v>4140</v>
      </c>
      <c r="B666" s="245" t="str">
        <f>VLOOKUP(A666,'تجربه‌گرها'!B:C,2,FALSE())</f>
        <v>9163918667</v>
      </c>
      <c r="C666" s="242"/>
      <c r="D666" s="242">
        <f t="shared" si="1"/>
        <v>1</v>
      </c>
      <c r="E666" s="242">
        <f>COUNTIFS('تجربه‌گرها'!$B:$B,$A666,'تجربه‌گرها'!$F:$F,E$1)</f>
        <v>0</v>
      </c>
      <c r="F666" s="242">
        <f>COUNTIFS('تجربه‌گرها'!$B:$B,$A666,'تجربه‌گرها'!$F:$F,F$1)</f>
        <v>0</v>
      </c>
      <c r="G666" s="242">
        <f>COUNTIFS('تجربه‌گرها'!$B:$B,$A666,'تجربه‌گرها'!$F:$F,G$1)</f>
        <v>0</v>
      </c>
      <c r="H666" s="242">
        <f>COUNTIFS('تجربه‌گرها'!$B:$B,$A666,'تجربه‌گرها'!$F:$F,H$1)</f>
        <v>0</v>
      </c>
      <c r="I666" s="242">
        <f>COUNTIFS('تجربه‌گرها'!$B:$B,$A666,'تجربه‌گرها'!$F:$F,I$1)</f>
        <v>0</v>
      </c>
      <c r="J666" s="242">
        <f>COUNTIFS('تجربه‌گرها'!$B:$B,$A666,'تجربه‌گرها'!$F:$F,J$1)</f>
        <v>1</v>
      </c>
      <c r="K666" s="242">
        <f>COUNTIFS('تجربه‌گرها'!$B:$B,$A666,'تجربه‌گرها'!$F:$F,K$1)</f>
        <v>0</v>
      </c>
      <c r="L666" s="242">
        <f>COUNTIFS('تجربه‌گرها'!$B:$B,$A666,'تجربه‌گرها'!$F:$F,L$1)</f>
        <v>0</v>
      </c>
      <c r="M666" s="242">
        <f>COUNTIFS('تجربه‌گرها'!$B:$B,$A666,'تجربه‌گرها'!$F:$F,M$1)</f>
        <v>0</v>
      </c>
      <c r="N666" s="242">
        <f>COUNTIFS('تجربه‌گرها'!$B:$B,$A666,'تجربه‌گرها'!$F:$F,N$1)</f>
        <v>0</v>
      </c>
      <c r="O666" s="242">
        <f>COUNTIFS('تجربه‌گرها'!$B:$B,$A666,'تجربه‌گرها'!$F:$F,O$1)</f>
        <v>0</v>
      </c>
      <c r="P666" s="242">
        <f>COUNTIFS('تجربه‌گرها'!$B:$B,$A666,'تجربه‌گرها'!$F:$F,P$1)</f>
        <v>0</v>
      </c>
      <c r="Q666" s="242">
        <f>COUNTIFS('تجربه‌گرها'!$B:$B,$A666,'تجربه‌گرها'!$F:$F,Q$1)</f>
        <v>0</v>
      </c>
      <c r="R666" s="242">
        <f>COUNTIFS('تجربه‌گرها'!$B:$B,$A666,'تجربه‌گرها'!$F:$F,R$1)</f>
        <v>0</v>
      </c>
      <c r="S666" s="242">
        <f>COUNTIFS('تجربه‌گرها'!$B:$B,$A666,'تجربه‌گرها'!$F:$F,S$1)</f>
        <v>0</v>
      </c>
      <c r="T666" s="242">
        <f>COUNTIFS('تجربه‌گرها'!$B:$B,$A666,'تجربه‌گرها'!$F:$F,T$1)</f>
        <v>0</v>
      </c>
      <c r="U666" s="242"/>
      <c r="V666" s="242"/>
      <c r="W666" s="242"/>
      <c r="X666" s="242"/>
      <c r="Y666" s="242"/>
      <c r="Z666" s="242"/>
      <c r="AA666" s="242"/>
      <c r="AB666" s="242"/>
    </row>
    <row r="667">
      <c r="A667" s="244" t="s">
        <v>4143</v>
      </c>
      <c r="B667" s="245" t="str">
        <f>VLOOKUP(A667,'تجربه‌گرها'!B:C,2,FALSE())</f>
        <v>#ERROR!</v>
      </c>
      <c r="C667" s="242"/>
      <c r="D667" s="242">
        <f t="shared" si="1"/>
        <v>1</v>
      </c>
      <c r="E667" s="242">
        <f>COUNTIFS('تجربه‌گرها'!$B:$B,$A667,'تجربه‌گرها'!$F:$F,E$1)</f>
        <v>0</v>
      </c>
      <c r="F667" s="242">
        <f>COUNTIFS('تجربه‌گرها'!$B:$B,$A667,'تجربه‌گرها'!$F:$F,F$1)</f>
        <v>0</v>
      </c>
      <c r="G667" s="242">
        <f>COUNTIFS('تجربه‌گرها'!$B:$B,$A667,'تجربه‌گرها'!$F:$F,G$1)</f>
        <v>0</v>
      </c>
      <c r="H667" s="242">
        <f>COUNTIFS('تجربه‌گرها'!$B:$B,$A667,'تجربه‌گرها'!$F:$F,H$1)</f>
        <v>0</v>
      </c>
      <c r="I667" s="242">
        <f>COUNTIFS('تجربه‌گرها'!$B:$B,$A667,'تجربه‌گرها'!$F:$F,I$1)</f>
        <v>0</v>
      </c>
      <c r="J667" s="242">
        <f>COUNTIFS('تجربه‌گرها'!$B:$B,$A667,'تجربه‌گرها'!$F:$F,J$1)</f>
        <v>1</v>
      </c>
      <c r="K667" s="242">
        <f>COUNTIFS('تجربه‌گرها'!$B:$B,$A667,'تجربه‌گرها'!$F:$F,K$1)</f>
        <v>0</v>
      </c>
      <c r="L667" s="242">
        <f>COUNTIFS('تجربه‌گرها'!$B:$B,$A667,'تجربه‌گرها'!$F:$F,L$1)</f>
        <v>0</v>
      </c>
      <c r="M667" s="242">
        <f>COUNTIFS('تجربه‌گرها'!$B:$B,$A667,'تجربه‌گرها'!$F:$F,M$1)</f>
        <v>0</v>
      </c>
      <c r="N667" s="242">
        <f>COUNTIFS('تجربه‌گرها'!$B:$B,$A667,'تجربه‌گرها'!$F:$F,N$1)</f>
        <v>0</v>
      </c>
      <c r="O667" s="242">
        <f>COUNTIFS('تجربه‌گرها'!$B:$B,$A667,'تجربه‌گرها'!$F:$F,O$1)</f>
        <v>0</v>
      </c>
      <c r="P667" s="242">
        <f>COUNTIFS('تجربه‌گرها'!$B:$B,$A667,'تجربه‌گرها'!$F:$F,P$1)</f>
        <v>0</v>
      </c>
      <c r="Q667" s="242">
        <f>COUNTIFS('تجربه‌گرها'!$B:$B,$A667,'تجربه‌گرها'!$F:$F,Q$1)</f>
        <v>0</v>
      </c>
      <c r="R667" s="242">
        <f>COUNTIFS('تجربه‌گرها'!$B:$B,$A667,'تجربه‌گرها'!$F:$F,R$1)</f>
        <v>0</v>
      </c>
      <c r="S667" s="242">
        <f>COUNTIFS('تجربه‌گرها'!$B:$B,$A667,'تجربه‌گرها'!$F:$F,S$1)</f>
        <v>0</v>
      </c>
      <c r="T667" s="242">
        <f>COUNTIFS('تجربه‌گرها'!$B:$B,$A667,'تجربه‌گرها'!$F:$F,T$1)</f>
        <v>0</v>
      </c>
      <c r="U667" s="242"/>
      <c r="V667" s="242"/>
      <c r="W667" s="242"/>
      <c r="X667" s="242"/>
      <c r="Y667" s="242"/>
      <c r="Z667" s="242"/>
      <c r="AA667" s="242"/>
      <c r="AB667" s="242"/>
    </row>
    <row r="668" hidden="1">
      <c r="A668" s="244" t="s">
        <v>4145</v>
      </c>
      <c r="B668" s="245" t="str">
        <f>VLOOKUP(A668,'تجربه‌گرها'!B:C,2,FALSE())</f>
        <v>7830776620</v>
      </c>
      <c r="C668" s="242"/>
      <c r="D668" s="242">
        <f t="shared" si="1"/>
        <v>1</v>
      </c>
      <c r="E668" s="242">
        <f>COUNTIFS('تجربه‌گرها'!$B:$B,$A668,'تجربه‌گرها'!$F:$F,E$1)</f>
        <v>0</v>
      </c>
      <c r="F668" s="242">
        <f>COUNTIFS('تجربه‌گرها'!$B:$B,$A668,'تجربه‌گرها'!$F:$F,F$1)</f>
        <v>0</v>
      </c>
      <c r="G668" s="242">
        <f>COUNTIFS('تجربه‌گرها'!$B:$B,$A668,'تجربه‌گرها'!$F:$F,G$1)</f>
        <v>0</v>
      </c>
      <c r="H668" s="242">
        <f>COUNTIFS('تجربه‌گرها'!$B:$B,$A668,'تجربه‌گرها'!$F:$F,H$1)</f>
        <v>0</v>
      </c>
      <c r="I668" s="242">
        <f>COUNTIFS('تجربه‌گرها'!$B:$B,$A668,'تجربه‌گرها'!$F:$F,I$1)</f>
        <v>0</v>
      </c>
      <c r="J668" s="242">
        <f>COUNTIFS('تجربه‌گرها'!$B:$B,$A668,'تجربه‌گرها'!$F:$F,J$1)</f>
        <v>1</v>
      </c>
      <c r="K668" s="242">
        <f>COUNTIFS('تجربه‌گرها'!$B:$B,$A668,'تجربه‌گرها'!$F:$F,K$1)</f>
        <v>0</v>
      </c>
      <c r="L668" s="242">
        <f>COUNTIFS('تجربه‌گرها'!$B:$B,$A668,'تجربه‌گرها'!$F:$F,L$1)</f>
        <v>0</v>
      </c>
      <c r="M668" s="242">
        <f>COUNTIFS('تجربه‌گرها'!$B:$B,$A668,'تجربه‌گرها'!$F:$F,M$1)</f>
        <v>0</v>
      </c>
      <c r="N668" s="242">
        <f>COUNTIFS('تجربه‌گرها'!$B:$B,$A668,'تجربه‌گرها'!$F:$F,N$1)</f>
        <v>0</v>
      </c>
      <c r="O668" s="242">
        <f>COUNTIFS('تجربه‌گرها'!$B:$B,$A668,'تجربه‌گرها'!$F:$F,O$1)</f>
        <v>0</v>
      </c>
      <c r="P668" s="242">
        <f>COUNTIFS('تجربه‌گرها'!$B:$B,$A668,'تجربه‌گرها'!$F:$F,P$1)</f>
        <v>0</v>
      </c>
      <c r="Q668" s="242">
        <f>COUNTIFS('تجربه‌گرها'!$B:$B,$A668,'تجربه‌گرها'!$F:$F,Q$1)</f>
        <v>0</v>
      </c>
      <c r="R668" s="242">
        <f>COUNTIFS('تجربه‌گرها'!$B:$B,$A668,'تجربه‌گرها'!$F:$F,R$1)</f>
        <v>0</v>
      </c>
      <c r="S668" s="242">
        <f>COUNTIFS('تجربه‌گرها'!$B:$B,$A668,'تجربه‌گرها'!$F:$F,S$1)</f>
        <v>0</v>
      </c>
      <c r="T668" s="242">
        <f>COUNTIFS('تجربه‌گرها'!$B:$B,$A668,'تجربه‌گرها'!$F:$F,T$1)</f>
        <v>0</v>
      </c>
      <c r="U668" s="242"/>
      <c r="V668" s="242"/>
      <c r="W668" s="242"/>
      <c r="X668" s="242"/>
      <c r="Y668" s="242"/>
      <c r="Z668" s="242"/>
      <c r="AA668" s="242"/>
      <c r="AB668" s="242"/>
    </row>
    <row r="669" hidden="1">
      <c r="A669" s="244" t="s">
        <v>4150</v>
      </c>
      <c r="B669" s="245" t="str">
        <f>VLOOKUP(A669,'تجربه‌گرها'!B:C,2,FALSE())</f>
        <v>9154527323</v>
      </c>
      <c r="C669" s="242"/>
      <c r="D669" s="242">
        <f t="shared" si="1"/>
        <v>1</v>
      </c>
      <c r="E669" s="242">
        <f>COUNTIFS('تجربه‌گرها'!$B:$B,$A669,'تجربه‌گرها'!$F:$F,E$1)</f>
        <v>0</v>
      </c>
      <c r="F669" s="242">
        <f>COUNTIFS('تجربه‌گرها'!$B:$B,$A669,'تجربه‌گرها'!$F:$F,F$1)</f>
        <v>0</v>
      </c>
      <c r="G669" s="242">
        <f>COUNTIFS('تجربه‌گرها'!$B:$B,$A669,'تجربه‌گرها'!$F:$F,G$1)</f>
        <v>0</v>
      </c>
      <c r="H669" s="242">
        <f>COUNTIFS('تجربه‌گرها'!$B:$B,$A669,'تجربه‌گرها'!$F:$F,H$1)</f>
        <v>0</v>
      </c>
      <c r="I669" s="242">
        <f>COUNTIFS('تجربه‌گرها'!$B:$B,$A669,'تجربه‌گرها'!$F:$F,I$1)</f>
        <v>0</v>
      </c>
      <c r="J669" s="242">
        <f>COUNTIFS('تجربه‌گرها'!$B:$B,$A669,'تجربه‌گرها'!$F:$F,J$1)</f>
        <v>1</v>
      </c>
      <c r="K669" s="242">
        <f>COUNTIFS('تجربه‌گرها'!$B:$B,$A669,'تجربه‌گرها'!$F:$F,K$1)</f>
        <v>0</v>
      </c>
      <c r="L669" s="242">
        <f>COUNTIFS('تجربه‌گرها'!$B:$B,$A669,'تجربه‌گرها'!$F:$F,L$1)</f>
        <v>0</v>
      </c>
      <c r="M669" s="242">
        <f>COUNTIFS('تجربه‌گرها'!$B:$B,$A669,'تجربه‌گرها'!$F:$F,M$1)</f>
        <v>0</v>
      </c>
      <c r="N669" s="242">
        <f>COUNTIFS('تجربه‌گرها'!$B:$B,$A669,'تجربه‌گرها'!$F:$F,N$1)</f>
        <v>0</v>
      </c>
      <c r="O669" s="242">
        <f>COUNTIFS('تجربه‌گرها'!$B:$B,$A669,'تجربه‌گرها'!$F:$F,O$1)</f>
        <v>0</v>
      </c>
      <c r="P669" s="242">
        <f>COUNTIFS('تجربه‌گرها'!$B:$B,$A669,'تجربه‌گرها'!$F:$F,P$1)</f>
        <v>0</v>
      </c>
      <c r="Q669" s="242">
        <f>COUNTIFS('تجربه‌گرها'!$B:$B,$A669,'تجربه‌گرها'!$F:$F,Q$1)</f>
        <v>0</v>
      </c>
      <c r="R669" s="242">
        <f>COUNTIFS('تجربه‌گرها'!$B:$B,$A669,'تجربه‌گرها'!$F:$F,R$1)</f>
        <v>0</v>
      </c>
      <c r="S669" s="242">
        <f>COUNTIFS('تجربه‌گرها'!$B:$B,$A669,'تجربه‌گرها'!$F:$F,S$1)</f>
        <v>0</v>
      </c>
      <c r="T669" s="242">
        <f>COUNTIFS('تجربه‌گرها'!$B:$B,$A669,'تجربه‌گرها'!$F:$F,T$1)</f>
        <v>0</v>
      </c>
      <c r="U669" s="242"/>
      <c r="V669" s="242"/>
      <c r="W669" s="242"/>
      <c r="X669" s="242"/>
      <c r="Y669" s="242"/>
      <c r="Z669" s="242"/>
      <c r="AA669" s="242"/>
      <c r="AB669" s="242"/>
    </row>
    <row r="670" hidden="1">
      <c r="A670" s="244" t="s">
        <v>4153</v>
      </c>
      <c r="B670" s="245" t="str">
        <f>VLOOKUP(A670,'تجربه‌گرها'!B:C,2,FALSE())</f>
        <v>9124309373</v>
      </c>
      <c r="C670" s="242"/>
      <c r="D670" s="242">
        <f t="shared" si="1"/>
        <v>1</v>
      </c>
      <c r="E670" s="242">
        <f>COUNTIFS('تجربه‌گرها'!$B:$B,$A670,'تجربه‌گرها'!$F:$F,E$1)</f>
        <v>0</v>
      </c>
      <c r="F670" s="242">
        <f>COUNTIFS('تجربه‌گرها'!$B:$B,$A670,'تجربه‌گرها'!$F:$F,F$1)</f>
        <v>0</v>
      </c>
      <c r="G670" s="242">
        <f>COUNTIFS('تجربه‌گرها'!$B:$B,$A670,'تجربه‌گرها'!$F:$F,G$1)</f>
        <v>0</v>
      </c>
      <c r="H670" s="242">
        <f>COUNTIFS('تجربه‌گرها'!$B:$B,$A670,'تجربه‌گرها'!$F:$F,H$1)</f>
        <v>0</v>
      </c>
      <c r="I670" s="242">
        <f>COUNTIFS('تجربه‌گرها'!$B:$B,$A670,'تجربه‌گرها'!$F:$F,I$1)</f>
        <v>0</v>
      </c>
      <c r="J670" s="242">
        <f>COUNTIFS('تجربه‌گرها'!$B:$B,$A670,'تجربه‌گرها'!$F:$F,J$1)</f>
        <v>1</v>
      </c>
      <c r="K670" s="242">
        <f>COUNTIFS('تجربه‌گرها'!$B:$B,$A670,'تجربه‌گرها'!$F:$F,K$1)</f>
        <v>0</v>
      </c>
      <c r="L670" s="242">
        <f>COUNTIFS('تجربه‌گرها'!$B:$B,$A670,'تجربه‌گرها'!$F:$F,L$1)</f>
        <v>0</v>
      </c>
      <c r="M670" s="242">
        <f>COUNTIFS('تجربه‌گرها'!$B:$B,$A670,'تجربه‌گرها'!$F:$F,M$1)</f>
        <v>0</v>
      </c>
      <c r="N670" s="242">
        <f>COUNTIFS('تجربه‌گرها'!$B:$B,$A670,'تجربه‌گرها'!$F:$F,N$1)</f>
        <v>0</v>
      </c>
      <c r="O670" s="242">
        <f>COUNTIFS('تجربه‌گرها'!$B:$B,$A670,'تجربه‌گرها'!$F:$F,O$1)</f>
        <v>0</v>
      </c>
      <c r="P670" s="242">
        <f>COUNTIFS('تجربه‌گرها'!$B:$B,$A670,'تجربه‌گرها'!$F:$F,P$1)</f>
        <v>0</v>
      </c>
      <c r="Q670" s="242">
        <f>COUNTIFS('تجربه‌گرها'!$B:$B,$A670,'تجربه‌گرها'!$F:$F,Q$1)</f>
        <v>0</v>
      </c>
      <c r="R670" s="242">
        <f>COUNTIFS('تجربه‌گرها'!$B:$B,$A670,'تجربه‌گرها'!$F:$F,R$1)</f>
        <v>0</v>
      </c>
      <c r="S670" s="242">
        <f>COUNTIFS('تجربه‌گرها'!$B:$B,$A670,'تجربه‌گرها'!$F:$F,S$1)</f>
        <v>0</v>
      </c>
      <c r="T670" s="242">
        <f>COUNTIFS('تجربه‌گرها'!$B:$B,$A670,'تجربه‌گرها'!$F:$F,T$1)</f>
        <v>0</v>
      </c>
      <c r="U670" s="242"/>
      <c r="V670" s="242"/>
      <c r="W670" s="242"/>
      <c r="X670" s="242"/>
      <c r="Y670" s="242"/>
      <c r="Z670" s="242"/>
      <c r="AA670" s="242"/>
      <c r="AB670" s="242"/>
    </row>
    <row r="671" hidden="1">
      <c r="A671" s="244" t="s">
        <v>4156</v>
      </c>
      <c r="B671" s="245" t="str">
        <f>VLOOKUP(A671,'تجربه‌گرها'!B:C,2,FALSE())</f>
        <v>۹۱۲۹۳۸۲۸۴۲</v>
      </c>
      <c r="C671" s="242"/>
      <c r="D671" s="242">
        <f t="shared" si="1"/>
        <v>1</v>
      </c>
      <c r="E671" s="242">
        <f>COUNTIFS('تجربه‌گرها'!$B:$B,$A671,'تجربه‌گرها'!$F:$F,E$1)</f>
        <v>0</v>
      </c>
      <c r="F671" s="242">
        <f>COUNTIFS('تجربه‌گرها'!$B:$B,$A671,'تجربه‌گرها'!$F:$F,F$1)</f>
        <v>0</v>
      </c>
      <c r="G671" s="242">
        <f>COUNTIFS('تجربه‌گرها'!$B:$B,$A671,'تجربه‌گرها'!$F:$F,G$1)</f>
        <v>0</v>
      </c>
      <c r="H671" s="242">
        <f>COUNTIFS('تجربه‌گرها'!$B:$B,$A671,'تجربه‌گرها'!$F:$F,H$1)</f>
        <v>0</v>
      </c>
      <c r="I671" s="242">
        <f>COUNTIFS('تجربه‌گرها'!$B:$B,$A671,'تجربه‌گرها'!$F:$F,I$1)</f>
        <v>0</v>
      </c>
      <c r="J671" s="242">
        <f>COUNTIFS('تجربه‌گرها'!$B:$B,$A671,'تجربه‌گرها'!$F:$F,J$1)</f>
        <v>1</v>
      </c>
      <c r="K671" s="242">
        <f>COUNTIFS('تجربه‌گرها'!$B:$B,$A671,'تجربه‌گرها'!$F:$F,K$1)</f>
        <v>0</v>
      </c>
      <c r="L671" s="242">
        <f>COUNTIFS('تجربه‌گرها'!$B:$B,$A671,'تجربه‌گرها'!$F:$F,L$1)</f>
        <v>0</v>
      </c>
      <c r="M671" s="242">
        <f>COUNTIFS('تجربه‌گرها'!$B:$B,$A671,'تجربه‌گرها'!$F:$F,M$1)</f>
        <v>0</v>
      </c>
      <c r="N671" s="242">
        <f>COUNTIFS('تجربه‌گرها'!$B:$B,$A671,'تجربه‌گرها'!$F:$F,N$1)</f>
        <v>0</v>
      </c>
      <c r="O671" s="242">
        <f>COUNTIFS('تجربه‌گرها'!$B:$B,$A671,'تجربه‌گرها'!$F:$F,O$1)</f>
        <v>0</v>
      </c>
      <c r="P671" s="242">
        <f>COUNTIFS('تجربه‌گرها'!$B:$B,$A671,'تجربه‌گرها'!$F:$F,P$1)</f>
        <v>0</v>
      </c>
      <c r="Q671" s="242">
        <f>COUNTIFS('تجربه‌گرها'!$B:$B,$A671,'تجربه‌گرها'!$F:$F,Q$1)</f>
        <v>0</v>
      </c>
      <c r="R671" s="242">
        <f>COUNTIFS('تجربه‌گرها'!$B:$B,$A671,'تجربه‌گرها'!$F:$F,R$1)</f>
        <v>0</v>
      </c>
      <c r="S671" s="242">
        <f>COUNTIFS('تجربه‌گرها'!$B:$B,$A671,'تجربه‌گرها'!$F:$F,S$1)</f>
        <v>0</v>
      </c>
      <c r="T671" s="242">
        <f>COUNTIFS('تجربه‌گرها'!$B:$B,$A671,'تجربه‌گرها'!$F:$F,T$1)</f>
        <v>0</v>
      </c>
      <c r="U671" s="242"/>
      <c r="V671" s="242"/>
      <c r="W671" s="242"/>
      <c r="X671" s="242"/>
      <c r="Y671" s="242"/>
      <c r="Z671" s="242"/>
      <c r="AA671" s="242"/>
      <c r="AB671" s="242"/>
    </row>
    <row r="672" hidden="1">
      <c r="A672" s="244" t="s">
        <v>245</v>
      </c>
      <c r="B672" s="245" t="str">
        <f>VLOOKUP(A672,'تجربه‌گرها'!B:C,2,FALSE())</f>
        <v>9125398521</v>
      </c>
      <c r="C672" s="242"/>
      <c r="D672" s="242">
        <f t="shared" si="1"/>
        <v>1</v>
      </c>
      <c r="E672" s="242">
        <f>COUNTIFS('تجربه‌گرها'!$B:$B,$A672,'تجربه‌گرها'!$F:$F,E$1)</f>
        <v>0</v>
      </c>
      <c r="F672" s="242">
        <f>COUNTIFS('تجربه‌گرها'!$B:$B,$A672,'تجربه‌گرها'!$F:$F,F$1)</f>
        <v>0</v>
      </c>
      <c r="G672" s="242">
        <f>COUNTIFS('تجربه‌گرها'!$B:$B,$A672,'تجربه‌گرها'!$F:$F,G$1)</f>
        <v>0</v>
      </c>
      <c r="H672" s="242">
        <f>COUNTIFS('تجربه‌گرها'!$B:$B,$A672,'تجربه‌گرها'!$F:$F,H$1)</f>
        <v>0</v>
      </c>
      <c r="I672" s="242">
        <f>COUNTIFS('تجربه‌گرها'!$B:$B,$A672,'تجربه‌گرها'!$F:$F,I$1)</f>
        <v>0</v>
      </c>
      <c r="J672" s="242">
        <f>COUNTIFS('تجربه‌گرها'!$B:$B,$A672,'تجربه‌گرها'!$F:$F,J$1)</f>
        <v>1</v>
      </c>
      <c r="K672" s="242">
        <f>COUNTIFS('تجربه‌گرها'!$B:$B,$A672,'تجربه‌گرها'!$F:$F,K$1)</f>
        <v>0</v>
      </c>
      <c r="L672" s="242">
        <f>COUNTIFS('تجربه‌گرها'!$B:$B,$A672,'تجربه‌گرها'!$F:$F,L$1)</f>
        <v>0</v>
      </c>
      <c r="M672" s="242">
        <f>COUNTIFS('تجربه‌گرها'!$B:$B,$A672,'تجربه‌گرها'!$F:$F,M$1)</f>
        <v>0</v>
      </c>
      <c r="N672" s="242">
        <f>COUNTIFS('تجربه‌گرها'!$B:$B,$A672,'تجربه‌گرها'!$F:$F,N$1)</f>
        <v>0</v>
      </c>
      <c r="O672" s="242">
        <f>COUNTIFS('تجربه‌گرها'!$B:$B,$A672,'تجربه‌گرها'!$F:$F,O$1)</f>
        <v>0</v>
      </c>
      <c r="P672" s="242">
        <f>COUNTIFS('تجربه‌گرها'!$B:$B,$A672,'تجربه‌گرها'!$F:$F,P$1)</f>
        <v>0</v>
      </c>
      <c r="Q672" s="242">
        <f>COUNTIFS('تجربه‌گرها'!$B:$B,$A672,'تجربه‌گرها'!$F:$F,Q$1)</f>
        <v>0</v>
      </c>
      <c r="R672" s="242">
        <f>COUNTIFS('تجربه‌گرها'!$B:$B,$A672,'تجربه‌گرها'!$F:$F,R$1)</f>
        <v>0</v>
      </c>
      <c r="S672" s="242">
        <f>COUNTIFS('تجربه‌گرها'!$B:$B,$A672,'تجربه‌گرها'!$F:$F,S$1)</f>
        <v>0</v>
      </c>
      <c r="T672" s="242">
        <f>COUNTIFS('تجربه‌گرها'!$B:$B,$A672,'تجربه‌گرها'!$F:$F,T$1)</f>
        <v>0</v>
      </c>
      <c r="U672" s="242"/>
      <c r="V672" s="242"/>
      <c r="W672" s="242"/>
      <c r="X672" s="242"/>
      <c r="Y672" s="242"/>
      <c r="Z672" s="242"/>
      <c r="AA672" s="242"/>
      <c r="AB672" s="242"/>
    </row>
    <row r="673" hidden="1">
      <c r="A673" s="244" t="s">
        <v>4164</v>
      </c>
      <c r="B673" s="245" t="str">
        <f>VLOOKUP(A673,'تجربه‌گرها'!B:C,2,FALSE())</f>
        <v>9929536993</v>
      </c>
      <c r="C673" s="242"/>
      <c r="D673" s="242">
        <f t="shared" si="1"/>
        <v>1</v>
      </c>
      <c r="E673" s="242">
        <f>COUNTIFS('تجربه‌گرها'!$B:$B,$A673,'تجربه‌گرها'!$F:$F,E$1)</f>
        <v>0</v>
      </c>
      <c r="F673" s="242">
        <f>COUNTIFS('تجربه‌گرها'!$B:$B,$A673,'تجربه‌گرها'!$F:$F,F$1)</f>
        <v>0</v>
      </c>
      <c r="G673" s="242">
        <f>COUNTIFS('تجربه‌گرها'!$B:$B,$A673,'تجربه‌گرها'!$F:$F,G$1)</f>
        <v>0</v>
      </c>
      <c r="H673" s="242">
        <f>COUNTIFS('تجربه‌گرها'!$B:$B,$A673,'تجربه‌گرها'!$F:$F,H$1)</f>
        <v>0</v>
      </c>
      <c r="I673" s="242">
        <f>COUNTIFS('تجربه‌گرها'!$B:$B,$A673,'تجربه‌گرها'!$F:$F,I$1)</f>
        <v>0</v>
      </c>
      <c r="J673" s="242">
        <f>COUNTIFS('تجربه‌گرها'!$B:$B,$A673,'تجربه‌گرها'!$F:$F,J$1)</f>
        <v>1</v>
      </c>
      <c r="K673" s="242">
        <f>COUNTIFS('تجربه‌گرها'!$B:$B,$A673,'تجربه‌گرها'!$F:$F,K$1)</f>
        <v>0</v>
      </c>
      <c r="L673" s="242">
        <f>COUNTIFS('تجربه‌گرها'!$B:$B,$A673,'تجربه‌گرها'!$F:$F,L$1)</f>
        <v>0</v>
      </c>
      <c r="M673" s="242">
        <f>COUNTIFS('تجربه‌گرها'!$B:$B,$A673,'تجربه‌گرها'!$F:$F,M$1)</f>
        <v>0</v>
      </c>
      <c r="N673" s="242">
        <f>COUNTIFS('تجربه‌گرها'!$B:$B,$A673,'تجربه‌گرها'!$F:$F,N$1)</f>
        <v>0</v>
      </c>
      <c r="O673" s="242">
        <f>COUNTIFS('تجربه‌گرها'!$B:$B,$A673,'تجربه‌گرها'!$F:$F,O$1)</f>
        <v>0</v>
      </c>
      <c r="P673" s="242">
        <f>COUNTIFS('تجربه‌گرها'!$B:$B,$A673,'تجربه‌گرها'!$F:$F,P$1)</f>
        <v>0</v>
      </c>
      <c r="Q673" s="242">
        <f>COUNTIFS('تجربه‌گرها'!$B:$B,$A673,'تجربه‌گرها'!$F:$F,Q$1)</f>
        <v>0</v>
      </c>
      <c r="R673" s="242">
        <f>COUNTIFS('تجربه‌گرها'!$B:$B,$A673,'تجربه‌گرها'!$F:$F,R$1)</f>
        <v>0</v>
      </c>
      <c r="S673" s="242">
        <f>COUNTIFS('تجربه‌گرها'!$B:$B,$A673,'تجربه‌گرها'!$F:$F,S$1)</f>
        <v>0</v>
      </c>
      <c r="T673" s="242">
        <f>COUNTIFS('تجربه‌گرها'!$B:$B,$A673,'تجربه‌گرها'!$F:$F,T$1)</f>
        <v>0</v>
      </c>
      <c r="U673" s="242"/>
      <c r="V673" s="242"/>
      <c r="W673" s="242"/>
      <c r="X673" s="242"/>
      <c r="Y673" s="242"/>
      <c r="Z673" s="242"/>
      <c r="AA673" s="242"/>
      <c r="AB673" s="242"/>
    </row>
    <row r="674" hidden="1">
      <c r="A674" s="244" t="s">
        <v>4167</v>
      </c>
      <c r="B674" s="245" t="str">
        <f>VLOOKUP(A674,'تجربه‌گرها'!B:C,2,FALSE())</f>
        <v>9142501663</v>
      </c>
      <c r="C674" s="242"/>
      <c r="D674" s="242">
        <f t="shared" si="1"/>
        <v>1</v>
      </c>
      <c r="E674" s="242">
        <f>COUNTIFS('تجربه‌گرها'!$B:$B,$A674,'تجربه‌گرها'!$F:$F,E$1)</f>
        <v>0</v>
      </c>
      <c r="F674" s="242">
        <f>COUNTIFS('تجربه‌گرها'!$B:$B,$A674,'تجربه‌گرها'!$F:$F,F$1)</f>
        <v>0</v>
      </c>
      <c r="G674" s="242">
        <f>COUNTIFS('تجربه‌گرها'!$B:$B,$A674,'تجربه‌گرها'!$F:$F,G$1)</f>
        <v>0</v>
      </c>
      <c r="H674" s="242">
        <f>COUNTIFS('تجربه‌گرها'!$B:$B,$A674,'تجربه‌گرها'!$F:$F,H$1)</f>
        <v>0</v>
      </c>
      <c r="I674" s="242">
        <f>COUNTIFS('تجربه‌گرها'!$B:$B,$A674,'تجربه‌گرها'!$F:$F,I$1)</f>
        <v>0</v>
      </c>
      <c r="J674" s="242">
        <f>COUNTIFS('تجربه‌گرها'!$B:$B,$A674,'تجربه‌گرها'!$F:$F,J$1)</f>
        <v>1</v>
      </c>
      <c r="K674" s="242">
        <f>COUNTIFS('تجربه‌گرها'!$B:$B,$A674,'تجربه‌گرها'!$F:$F,K$1)</f>
        <v>0</v>
      </c>
      <c r="L674" s="242">
        <f>COUNTIFS('تجربه‌گرها'!$B:$B,$A674,'تجربه‌گرها'!$F:$F,L$1)</f>
        <v>0</v>
      </c>
      <c r="M674" s="242">
        <f>COUNTIFS('تجربه‌گرها'!$B:$B,$A674,'تجربه‌گرها'!$F:$F,M$1)</f>
        <v>0</v>
      </c>
      <c r="N674" s="242">
        <f>COUNTIFS('تجربه‌گرها'!$B:$B,$A674,'تجربه‌گرها'!$F:$F,N$1)</f>
        <v>0</v>
      </c>
      <c r="O674" s="242">
        <f>COUNTIFS('تجربه‌گرها'!$B:$B,$A674,'تجربه‌گرها'!$F:$F,O$1)</f>
        <v>0</v>
      </c>
      <c r="P674" s="242">
        <f>COUNTIFS('تجربه‌گرها'!$B:$B,$A674,'تجربه‌گرها'!$F:$F,P$1)</f>
        <v>0</v>
      </c>
      <c r="Q674" s="242">
        <f>COUNTIFS('تجربه‌گرها'!$B:$B,$A674,'تجربه‌گرها'!$F:$F,Q$1)</f>
        <v>0</v>
      </c>
      <c r="R674" s="242">
        <f>COUNTIFS('تجربه‌گرها'!$B:$B,$A674,'تجربه‌گرها'!$F:$F,R$1)</f>
        <v>0</v>
      </c>
      <c r="S674" s="242">
        <f>COUNTIFS('تجربه‌گرها'!$B:$B,$A674,'تجربه‌گرها'!$F:$F,S$1)</f>
        <v>0</v>
      </c>
      <c r="T674" s="242">
        <f>COUNTIFS('تجربه‌گرها'!$B:$B,$A674,'تجربه‌گرها'!$F:$F,T$1)</f>
        <v>0</v>
      </c>
      <c r="U674" s="242"/>
      <c r="V674" s="242"/>
      <c r="W674" s="242"/>
      <c r="X674" s="242"/>
      <c r="Y674" s="242"/>
      <c r="Z674" s="242"/>
      <c r="AA674" s="242"/>
      <c r="AB674" s="242"/>
    </row>
    <row r="675" hidden="1">
      <c r="A675" s="244" t="s">
        <v>4171</v>
      </c>
      <c r="B675" s="245" t="str">
        <f>VLOOKUP(A675,'تجربه‌گرها'!B:C,2,FALSE())</f>
        <v>9121352110</v>
      </c>
      <c r="C675" s="242"/>
      <c r="D675" s="242">
        <f t="shared" si="1"/>
        <v>1</v>
      </c>
      <c r="E675" s="242">
        <f>COUNTIFS('تجربه‌گرها'!$B:$B,$A675,'تجربه‌گرها'!$F:$F,E$1)</f>
        <v>0</v>
      </c>
      <c r="F675" s="242">
        <f>COUNTIFS('تجربه‌گرها'!$B:$B,$A675,'تجربه‌گرها'!$F:$F,F$1)</f>
        <v>0</v>
      </c>
      <c r="G675" s="242">
        <f>COUNTIFS('تجربه‌گرها'!$B:$B,$A675,'تجربه‌گرها'!$F:$F,G$1)</f>
        <v>0</v>
      </c>
      <c r="H675" s="242">
        <f>COUNTIFS('تجربه‌گرها'!$B:$B,$A675,'تجربه‌گرها'!$F:$F,H$1)</f>
        <v>0</v>
      </c>
      <c r="I675" s="242">
        <f>COUNTIFS('تجربه‌گرها'!$B:$B,$A675,'تجربه‌گرها'!$F:$F,I$1)</f>
        <v>0</v>
      </c>
      <c r="J675" s="242">
        <f>COUNTIFS('تجربه‌گرها'!$B:$B,$A675,'تجربه‌گرها'!$F:$F,J$1)</f>
        <v>1</v>
      </c>
      <c r="K675" s="242">
        <f>COUNTIFS('تجربه‌گرها'!$B:$B,$A675,'تجربه‌گرها'!$F:$F,K$1)</f>
        <v>0</v>
      </c>
      <c r="L675" s="242">
        <f>COUNTIFS('تجربه‌گرها'!$B:$B,$A675,'تجربه‌گرها'!$F:$F,L$1)</f>
        <v>0</v>
      </c>
      <c r="M675" s="242">
        <f>COUNTIFS('تجربه‌گرها'!$B:$B,$A675,'تجربه‌گرها'!$F:$F,M$1)</f>
        <v>0</v>
      </c>
      <c r="N675" s="242">
        <f>COUNTIFS('تجربه‌گرها'!$B:$B,$A675,'تجربه‌گرها'!$F:$F,N$1)</f>
        <v>0</v>
      </c>
      <c r="O675" s="242">
        <f>COUNTIFS('تجربه‌گرها'!$B:$B,$A675,'تجربه‌گرها'!$F:$F,O$1)</f>
        <v>0</v>
      </c>
      <c r="P675" s="242">
        <f>COUNTIFS('تجربه‌گرها'!$B:$B,$A675,'تجربه‌گرها'!$F:$F,P$1)</f>
        <v>0</v>
      </c>
      <c r="Q675" s="242">
        <f>COUNTIFS('تجربه‌گرها'!$B:$B,$A675,'تجربه‌گرها'!$F:$F,Q$1)</f>
        <v>0</v>
      </c>
      <c r="R675" s="242">
        <f>COUNTIFS('تجربه‌گرها'!$B:$B,$A675,'تجربه‌گرها'!$F:$F,R$1)</f>
        <v>0</v>
      </c>
      <c r="S675" s="242">
        <f>COUNTIFS('تجربه‌گرها'!$B:$B,$A675,'تجربه‌گرها'!$F:$F,S$1)</f>
        <v>0</v>
      </c>
      <c r="T675" s="242">
        <f>COUNTIFS('تجربه‌گرها'!$B:$B,$A675,'تجربه‌گرها'!$F:$F,T$1)</f>
        <v>0</v>
      </c>
      <c r="U675" s="242"/>
      <c r="V675" s="242"/>
      <c r="W675" s="242"/>
      <c r="X675" s="242"/>
      <c r="Y675" s="242"/>
      <c r="Z675" s="242"/>
      <c r="AA675" s="242"/>
      <c r="AB675" s="242"/>
    </row>
    <row r="676" hidden="1">
      <c r="A676" s="244" t="s">
        <v>4175</v>
      </c>
      <c r="B676" s="245" t="str">
        <f>VLOOKUP(A676,'تجربه‌گرها'!B:C,2,FALSE())</f>
        <v>۹۱۲۸۵۲۲۵۸۵</v>
      </c>
      <c r="C676" s="242"/>
      <c r="D676" s="242">
        <f t="shared" si="1"/>
        <v>1</v>
      </c>
      <c r="E676" s="242">
        <f>COUNTIFS('تجربه‌گرها'!$B:$B,$A676,'تجربه‌گرها'!$F:$F,E$1)</f>
        <v>0</v>
      </c>
      <c r="F676" s="242">
        <f>COUNTIFS('تجربه‌گرها'!$B:$B,$A676,'تجربه‌گرها'!$F:$F,F$1)</f>
        <v>0</v>
      </c>
      <c r="G676" s="242">
        <f>COUNTIFS('تجربه‌گرها'!$B:$B,$A676,'تجربه‌گرها'!$F:$F,G$1)</f>
        <v>0</v>
      </c>
      <c r="H676" s="242">
        <f>COUNTIFS('تجربه‌گرها'!$B:$B,$A676,'تجربه‌گرها'!$F:$F,H$1)</f>
        <v>0</v>
      </c>
      <c r="I676" s="242">
        <f>COUNTIFS('تجربه‌گرها'!$B:$B,$A676,'تجربه‌گرها'!$F:$F,I$1)</f>
        <v>0</v>
      </c>
      <c r="J676" s="242">
        <f>COUNTIFS('تجربه‌گرها'!$B:$B,$A676,'تجربه‌گرها'!$F:$F,J$1)</f>
        <v>1</v>
      </c>
      <c r="K676" s="242">
        <f>COUNTIFS('تجربه‌گرها'!$B:$B,$A676,'تجربه‌گرها'!$F:$F,K$1)</f>
        <v>0</v>
      </c>
      <c r="L676" s="242">
        <f>COUNTIFS('تجربه‌گرها'!$B:$B,$A676,'تجربه‌گرها'!$F:$F,L$1)</f>
        <v>0</v>
      </c>
      <c r="M676" s="242">
        <f>COUNTIFS('تجربه‌گرها'!$B:$B,$A676,'تجربه‌گرها'!$F:$F,M$1)</f>
        <v>0</v>
      </c>
      <c r="N676" s="242">
        <f>COUNTIFS('تجربه‌گرها'!$B:$B,$A676,'تجربه‌گرها'!$F:$F,N$1)</f>
        <v>0</v>
      </c>
      <c r="O676" s="242">
        <f>COUNTIFS('تجربه‌گرها'!$B:$B,$A676,'تجربه‌گرها'!$F:$F,O$1)</f>
        <v>0</v>
      </c>
      <c r="P676" s="242">
        <f>COUNTIFS('تجربه‌گرها'!$B:$B,$A676,'تجربه‌گرها'!$F:$F,P$1)</f>
        <v>0</v>
      </c>
      <c r="Q676" s="242">
        <f>COUNTIFS('تجربه‌گرها'!$B:$B,$A676,'تجربه‌گرها'!$F:$F,Q$1)</f>
        <v>0</v>
      </c>
      <c r="R676" s="242">
        <f>COUNTIFS('تجربه‌گرها'!$B:$B,$A676,'تجربه‌گرها'!$F:$F,R$1)</f>
        <v>0</v>
      </c>
      <c r="S676" s="242">
        <f>COUNTIFS('تجربه‌گرها'!$B:$B,$A676,'تجربه‌گرها'!$F:$F,S$1)</f>
        <v>0</v>
      </c>
      <c r="T676" s="242">
        <f>COUNTIFS('تجربه‌گرها'!$B:$B,$A676,'تجربه‌گرها'!$F:$F,T$1)</f>
        <v>0</v>
      </c>
      <c r="U676" s="242"/>
      <c r="V676" s="242"/>
      <c r="W676" s="242"/>
      <c r="X676" s="242"/>
      <c r="Y676" s="242"/>
      <c r="Z676" s="242"/>
      <c r="AA676" s="242"/>
      <c r="AB676" s="242"/>
    </row>
    <row r="677" hidden="1">
      <c r="A677" s="244" t="s">
        <v>4178</v>
      </c>
      <c r="B677" s="245" t="str">
        <f>VLOOKUP(A677,'تجربه‌گرها'!B:C,2,FALSE())</f>
        <v>9125209524</v>
      </c>
      <c r="C677" s="242"/>
      <c r="D677" s="242">
        <f t="shared" si="1"/>
        <v>1</v>
      </c>
      <c r="E677" s="242">
        <f>COUNTIFS('تجربه‌گرها'!$B:$B,$A677,'تجربه‌گرها'!$F:$F,E$1)</f>
        <v>0</v>
      </c>
      <c r="F677" s="242">
        <f>COUNTIFS('تجربه‌گرها'!$B:$B,$A677,'تجربه‌گرها'!$F:$F,F$1)</f>
        <v>0</v>
      </c>
      <c r="G677" s="242">
        <f>COUNTIFS('تجربه‌گرها'!$B:$B,$A677,'تجربه‌گرها'!$F:$F,G$1)</f>
        <v>0</v>
      </c>
      <c r="H677" s="242">
        <f>COUNTIFS('تجربه‌گرها'!$B:$B,$A677,'تجربه‌گرها'!$F:$F,H$1)</f>
        <v>0</v>
      </c>
      <c r="I677" s="242">
        <f>COUNTIFS('تجربه‌گرها'!$B:$B,$A677,'تجربه‌گرها'!$F:$F,I$1)</f>
        <v>0</v>
      </c>
      <c r="J677" s="242">
        <f>COUNTIFS('تجربه‌گرها'!$B:$B,$A677,'تجربه‌گرها'!$F:$F,J$1)</f>
        <v>1</v>
      </c>
      <c r="K677" s="242">
        <f>COUNTIFS('تجربه‌گرها'!$B:$B,$A677,'تجربه‌گرها'!$F:$F,K$1)</f>
        <v>0</v>
      </c>
      <c r="L677" s="242">
        <f>COUNTIFS('تجربه‌گرها'!$B:$B,$A677,'تجربه‌گرها'!$F:$F,L$1)</f>
        <v>0</v>
      </c>
      <c r="M677" s="242">
        <f>COUNTIFS('تجربه‌گرها'!$B:$B,$A677,'تجربه‌گرها'!$F:$F,M$1)</f>
        <v>0</v>
      </c>
      <c r="N677" s="242">
        <f>COUNTIFS('تجربه‌گرها'!$B:$B,$A677,'تجربه‌گرها'!$F:$F,N$1)</f>
        <v>0</v>
      </c>
      <c r="O677" s="242">
        <f>COUNTIFS('تجربه‌گرها'!$B:$B,$A677,'تجربه‌گرها'!$F:$F,O$1)</f>
        <v>0</v>
      </c>
      <c r="P677" s="242">
        <f>COUNTIFS('تجربه‌گرها'!$B:$B,$A677,'تجربه‌گرها'!$F:$F,P$1)</f>
        <v>0</v>
      </c>
      <c r="Q677" s="242">
        <f>COUNTIFS('تجربه‌گرها'!$B:$B,$A677,'تجربه‌گرها'!$F:$F,Q$1)</f>
        <v>0</v>
      </c>
      <c r="R677" s="242">
        <f>COUNTIFS('تجربه‌گرها'!$B:$B,$A677,'تجربه‌گرها'!$F:$F,R$1)</f>
        <v>0</v>
      </c>
      <c r="S677" s="242">
        <f>COUNTIFS('تجربه‌گرها'!$B:$B,$A677,'تجربه‌گرها'!$F:$F,S$1)</f>
        <v>0</v>
      </c>
      <c r="T677" s="242">
        <f>COUNTIFS('تجربه‌گرها'!$B:$B,$A677,'تجربه‌گرها'!$F:$F,T$1)</f>
        <v>0</v>
      </c>
      <c r="U677" s="242"/>
      <c r="V677" s="242"/>
      <c r="W677" s="242"/>
      <c r="X677" s="242"/>
      <c r="Y677" s="242"/>
      <c r="Z677" s="242"/>
      <c r="AA677" s="242"/>
      <c r="AB677" s="242"/>
    </row>
    <row r="678" hidden="1">
      <c r="A678" s="244" t="s">
        <v>4182</v>
      </c>
      <c r="B678" s="245" t="str">
        <f>VLOOKUP(A678,'تجربه‌گرها'!B:C,2,FALSE())</f>
        <v>9165280522</v>
      </c>
      <c r="C678" s="242"/>
      <c r="D678" s="242">
        <f t="shared" si="1"/>
        <v>1</v>
      </c>
      <c r="E678" s="242">
        <f>COUNTIFS('تجربه‌گرها'!$B:$B,$A678,'تجربه‌گرها'!$F:$F,E$1)</f>
        <v>0</v>
      </c>
      <c r="F678" s="242">
        <f>COUNTIFS('تجربه‌گرها'!$B:$B,$A678,'تجربه‌گرها'!$F:$F,F$1)</f>
        <v>0</v>
      </c>
      <c r="G678" s="242">
        <f>COUNTIFS('تجربه‌گرها'!$B:$B,$A678,'تجربه‌گرها'!$F:$F,G$1)</f>
        <v>0</v>
      </c>
      <c r="H678" s="242">
        <f>COUNTIFS('تجربه‌گرها'!$B:$B,$A678,'تجربه‌گرها'!$F:$F,H$1)</f>
        <v>0</v>
      </c>
      <c r="I678" s="242">
        <f>COUNTIFS('تجربه‌گرها'!$B:$B,$A678,'تجربه‌گرها'!$F:$F,I$1)</f>
        <v>0</v>
      </c>
      <c r="J678" s="242">
        <f>COUNTIFS('تجربه‌گرها'!$B:$B,$A678,'تجربه‌گرها'!$F:$F,J$1)</f>
        <v>1</v>
      </c>
      <c r="K678" s="242">
        <f>COUNTIFS('تجربه‌گرها'!$B:$B,$A678,'تجربه‌گرها'!$F:$F,K$1)</f>
        <v>0</v>
      </c>
      <c r="L678" s="242">
        <f>COUNTIFS('تجربه‌گرها'!$B:$B,$A678,'تجربه‌گرها'!$F:$F,L$1)</f>
        <v>0</v>
      </c>
      <c r="M678" s="242">
        <f>COUNTIFS('تجربه‌گرها'!$B:$B,$A678,'تجربه‌گرها'!$F:$F,M$1)</f>
        <v>0</v>
      </c>
      <c r="N678" s="242">
        <f>COUNTIFS('تجربه‌گرها'!$B:$B,$A678,'تجربه‌گرها'!$F:$F,N$1)</f>
        <v>0</v>
      </c>
      <c r="O678" s="242">
        <f>COUNTIFS('تجربه‌گرها'!$B:$B,$A678,'تجربه‌گرها'!$F:$F,O$1)</f>
        <v>0</v>
      </c>
      <c r="P678" s="242">
        <f>COUNTIFS('تجربه‌گرها'!$B:$B,$A678,'تجربه‌گرها'!$F:$F,P$1)</f>
        <v>0</v>
      </c>
      <c r="Q678" s="242">
        <f>COUNTIFS('تجربه‌گرها'!$B:$B,$A678,'تجربه‌گرها'!$F:$F,Q$1)</f>
        <v>0</v>
      </c>
      <c r="R678" s="242">
        <f>COUNTIFS('تجربه‌گرها'!$B:$B,$A678,'تجربه‌گرها'!$F:$F,R$1)</f>
        <v>0</v>
      </c>
      <c r="S678" s="242">
        <f>COUNTIFS('تجربه‌گرها'!$B:$B,$A678,'تجربه‌گرها'!$F:$F,S$1)</f>
        <v>0</v>
      </c>
      <c r="T678" s="242">
        <f>COUNTIFS('تجربه‌گرها'!$B:$B,$A678,'تجربه‌گرها'!$F:$F,T$1)</f>
        <v>0</v>
      </c>
      <c r="U678" s="242"/>
      <c r="V678" s="242"/>
      <c r="W678" s="242"/>
      <c r="X678" s="242"/>
      <c r="Y678" s="242"/>
      <c r="Z678" s="242"/>
      <c r="AA678" s="242"/>
      <c r="AB678" s="242"/>
    </row>
    <row r="679" hidden="1">
      <c r="A679" s="244" t="s">
        <v>4185</v>
      </c>
      <c r="B679" s="245" t="str">
        <f>VLOOKUP(A679,'تجربه‌گرها'!B:C,2,FALSE())</f>
        <v>9126066927</v>
      </c>
      <c r="C679" s="242"/>
      <c r="D679" s="242">
        <f t="shared" si="1"/>
        <v>1</v>
      </c>
      <c r="E679" s="242">
        <f>COUNTIFS('تجربه‌گرها'!$B:$B,$A679,'تجربه‌گرها'!$F:$F,E$1)</f>
        <v>0</v>
      </c>
      <c r="F679" s="242">
        <f>COUNTIFS('تجربه‌گرها'!$B:$B,$A679,'تجربه‌گرها'!$F:$F,F$1)</f>
        <v>0</v>
      </c>
      <c r="G679" s="242">
        <f>COUNTIFS('تجربه‌گرها'!$B:$B,$A679,'تجربه‌گرها'!$F:$F,G$1)</f>
        <v>0</v>
      </c>
      <c r="H679" s="242">
        <f>COUNTIFS('تجربه‌گرها'!$B:$B,$A679,'تجربه‌گرها'!$F:$F,H$1)</f>
        <v>0</v>
      </c>
      <c r="I679" s="242">
        <f>COUNTIFS('تجربه‌گرها'!$B:$B,$A679,'تجربه‌گرها'!$F:$F,I$1)</f>
        <v>0</v>
      </c>
      <c r="J679" s="242">
        <f>COUNTIFS('تجربه‌گرها'!$B:$B,$A679,'تجربه‌گرها'!$F:$F,J$1)</f>
        <v>1</v>
      </c>
      <c r="K679" s="242">
        <f>COUNTIFS('تجربه‌گرها'!$B:$B,$A679,'تجربه‌گرها'!$F:$F,K$1)</f>
        <v>0</v>
      </c>
      <c r="L679" s="242">
        <f>COUNTIFS('تجربه‌گرها'!$B:$B,$A679,'تجربه‌گرها'!$F:$F,L$1)</f>
        <v>0</v>
      </c>
      <c r="M679" s="242">
        <f>COUNTIFS('تجربه‌گرها'!$B:$B,$A679,'تجربه‌گرها'!$F:$F,M$1)</f>
        <v>0</v>
      </c>
      <c r="N679" s="242">
        <f>COUNTIFS('تجربه‌گرها'!$B:$B,$A679,'تجربه‌گرها'!$F:$F,N$1)</f>
        <v>0</v>
      </c>
      <c r="O679" s="242">
        <f>COUNTIFS('تجربه‌گرها'!$B:$B,$A679,'تجربه‌گرها'!$F:$F,O$1)</f>
        <v>0</v>
      </c>
      <c r="P679" s="242">
        <f>COUNTIFS('تجربه‌گرها'!$B:$B,$A679,'تجربه‌گرها'!$F:$F,P$1)</f>
        <v>0</v>
      </c>
      <c r="Q679" s="242">
        <f>COUNTIFS('تجربه‌گرها'!$B:$B,$A679,'تجربه‌گرها'!$F:$F,Q$1)</f>
        <v>0</v>
      </c>
      <c r="R679" s="242">
        <f>COUNTIFS('تجربه‌گرها'!$B:$B,$A679,'تجربه‌گرها'!$F:$F,R$1)</f>
        <v>0</v>
      </c>
      <c r="S679" s="242">
        <f>COUNTIFS('تجربه‌گرها'!$B:$B,$A679,'تجربه‌گرها'!$F:$F,S$1)</f>
        <v>0</v>
      </c>
      <c r="T679" s="242">
        <f>COUNTIFS('تجربه‌گرها'!$B:$B,$A679,'تجربه‌گرها'!$F:$F,T$1)</f>
        <v>0</v>
      </c>
      <c r="U679" s="242"/>
      <c r="V679" s="242"/>
      <c r="W679" s="242"/>
      <c r="X679" s="242"/>
      <c r="Y679" s="242"/>
      <c r="Z679" s="242"/>
      <c r="AA679" s="242"/>
      <c r="AB679" s="242"/>
    </row>
    <row r="680" hidden="1">
      <c r="A680" s="244" t="s">
        <v>4189</v>
      </c>
      <c r="B680" s="245" t="str">
        <f>VLOOKUP(A680,'تجربه‌گرها'!B:C,2,FALSE())</f>
        <v>9037766234</v>
      </c>
      <c r="C680" s="242"/>
      <c r="D680" s="242">
        <f t="shared" si="1"/>
        <v>1</v>
      </c>
      <c r="E680" s="242">
        <f>COUNTIFS('تجربه‌گرها'!$B:$B,$A680,'تجربه‌گرها'!$F:$F,E$1)</f>
        <v>0</v>
      </c>
      <c r="F680" s="242">
        <f>COUNTIFS('تجربه‌گرها'!$B:$B,$A680,'تجربه‌گرها'!$F:$F,F$1)</f>
        <v>0</v>
      </c>
      <c r="G680" s="242">
        <f>COUNTIFS('تجربه‌گرها'!$B:$B,$A680,'تجربه‌گرها'!$F:$F,G$1)</f>
        <v>0</v>
      </c>
      <c r="H680" s="242">
        <f>COUNTIFS('تجربه‌گرها'!$B:$B,$A680,'تجربه‌گرها'!$F:$F,H$1)</f>
        <v>0</v>
      </c>
      <c r="I680" s="242">
        <f>COUNTIFS('تجربه‌گرها'!$B:$B,$A680,'تجربه‌گرها'!$F:$F,I$1)</f>
        <v>0</v>
      </c>
      <c r="J680" s="242">
        <f>COUNTIFS('تجربه‌گرها'!$B:$B,$A680,'تجربه‌گرها'!$F:$F,J$1)</f>
        <v>1</v>
      </c>
      <c r="K680" s="242">
        <f>COUNTIFS('تجربه‌گرها'!$B:$B,$A680,'تجربه‌گرها'!$F:$F,K$1)</f>
        <v>0</v>
      </c>
      <c r="L680" s="242">
        <f>COUNTIFS('تجربه‌گرها'!$B:$B,$A680,'تجربه‌گرها'!$F:$F,L$1)</f>
        <v>0</v>
      </c>
      <c r="M680" s="242">
        <f>COUNTIFS('تجربه‌گرها'!$B:$B,$A680,'تجربه‌گرها'!$F:$F,M$1)</f>
        <v>0</v>
      </c>
      <c r="N680" s="242">
        <f>COUNTIFS('تجربه‌گرها'!$B:$B,$A680,'تجربه‌گرها'!$F:$F,N$1)</f>
        <v>0</v>
      </c>
      <c r="O680" s="242">
        <f>COUNTIFS('تجربه‌گرها'!$B:$B,$A680,'تجربه‌گرها'!$F:$F,O$1)</f>
        <v>0</v>
      </c>
      <c r="P680" s="242">
        <f>COUNTIFS('تجربه‌گرها'!$B:$B,$A680,'تجربه‌گرها'!$F:$F,P$1)</f>
        <v>0</v>
      </c>
      <c r="Q680" s="242">
        <f>COUNTIFS('تجربه‌گرها'!$B:$B,$A680,'تجربه‌گرها'!$F:$F,Q$1)</f>
        <v>0</v>
      </c>
      <c r="R680" s="242">
        <f>COUNTIFS('تجربه‌گرها'!$B:$B,$A680,'تجربه‌گرها'!$F:$F,R$1)</f>
        <v>0</v>
      </c>
      <c r="S680" s="242">
        <f>COUNTIFS('تجربه‌گرها'!$B:$B,$A680,'تجربه‌گرها'!$F:$F,S$1)</f>
        <v>0</v>
      </c>
      <c r="T680" s="242">
        <f>COUNTIFS('تجربه‌گرها'!$B:$B,$A680,'تجربه‌گرها'!$F:$F,T$1)</f>
        <v>0</v>
      </c>
      <c r="U680" s="242"/>
      <c r="V680" s="242"/>
      <c r="W680" s="242"/>
      <c r="X680" s="242"/>
      <c r="Y680" s="242"/>
      <c r="Z680" s="242"/>
      <c r="AA680" s="242"/>
      <c r="AB680" s="242"/>
    </row>
    <row r="681" hidden="1">
      <c r="A681" s="244" t="s">
        <v>4193</v>
      </c>
      <c r="B681" s="245" t="str">
        <f>VLOOKUP(A681,'تجربه‌گرها'!B:C,2,FALSE())</f>
        <v>۹۳۷۶۵۴۶۱۶۶</v>
      </c>
      <c r="C681" s="242"/>
      <c r="D681" s="242">
        <f t="shared" si="1"/>
        <v>2</v>
      </c>
      <c r="E681" s="242">
        <f>COUNTIFS('تجربه‌گرها'!$B:$B,$A681,'تجربه‌گرها'!$F:$F,E$1)</f>
        <v>0</v>
      </c>
      <c r="F681" s="242">
        <f>COUNTIFS('تجربه‌گرها'!$B:$B,$A681,'تجربه‌گرها'!$F:$F,F$1)</f>
        <v>0</v>
      </c>
      <c r="G681" s="242">
        <f>COUNTIFS('تجربه‌گرها'!$B:$B,$A681,'تجربه‌گرها'!$F:$F,G$1)</f>
        <v>0</v>
      </c>
      <c r="H681" s="242">
        <f>COUNTIFS('تجربه‌گرها'!$B:$B,$A681,'تجربه‌گرها'!$F:$F,H$1)</f>
        <v>0</v>
      </c>
      <c r="I681" s="242">
        <f>COUNTIFS('تجربه‌گرها'!$B:$B,$A681,'تجربه‌گرها'!$F:$F,I$1)</f>
        <v>0</v>
      </c>
      <c r="J681" s="242">
        <f>COUNTIFS('تجربه‌گرها'!$B:$B,$A681,'تجربه‌گرها'!$F:$F,J$1)</f>
        <v>1</v>
      </c>
      <c r="K681" s="242">
        <f>COUNTIFS('تجربه‌گرها'!$B:$B,$A681,'تجربه‌گرها'!$F:$F,K$1)</f>
        <v>0</v>
      </c>
      <c r="L681" s="242">
        <f>COUNTIFS('تجربه‌گرها'!$B:$B,$A681,'تجربه‌گرها'!$F:$F,L$1)</f>
        <v>0</v>
      </c>
      <c r="M681" s="242">
        <f>COUNTIFS('تجربه‌گرها'!$B:$B,$A681,'تجربه‌گرها'!$F:$F,M$1)</f>
        <v>0</v>
      </c>
      <c r="N681" s="242">
        <f>COUNTIFS('تجربه‌گرها'!$B:$B,$A681,'تجربه‌گرها'!$F:$F,N$1)</f>
        <v>0</v>
      </c>
      <c r="O681" s="242">
        <f>COUNTIFS('تجربه‌گرها'!$B:$B,$A681,'تجربه‌گرها'!$F:$F,O$1)</f>
        <v>0</v>
      </c>
      <c r="P681" s="242">
        <f>COUNTIFS('تجربه‌گرها'!$B:$B,$A681,'تجربه‌گرها'!$F:$F,P$1)</f>
        <v>0</v>
      </c>
      <c r="Q681" s="242">
        <f>COUNTIFS('تجربه‌گرها'!$B:$B,$A681,'تجربه‌گرها'!$F:$F,Q$1)</f>
        <v>1</v>
      </c>
      <c r="R681" s="242">
        <f>COUNTIFS('تجربه‌گرها'!$B:$B,$A681,'تجربه‌گرها'!$F:$F,R$1)</f>
        <v>0</v>
      </c>
      <c r="S681" s="242">
        <f>COUNTIFS('تجربه‌گرها'!$B:$B,$A681,'تجربه‌گرها'!$F:$F,S$1)</f>
        <v>0</v>
      </c>
      <c r="T681" s="242">
        <f>COUNTIFS('تجربه‌گرها'!$B:$B,$A681,'تجربه‌گرها'!$F:$F,T$1)</f>
        <v>0</v>
      </c>
      <c r="U681" s="242"/>
      <c r="V681" s="242"/>
      <c r="W681" s="242"/>
      <c r="X681" s="242"/>
      <c r="Y681" s="242"/>
      <c r="Z681" s="242"/>
      <c r="AA681" s="242"/>
      <c r="AB681" s="242"/>
    </row>
    <row r="682" hidden="1">
      <c r="A682" s="244" t="s">
        <v>4196</v>
      </c>
      <c r="B682" s="245" t="str">
        <f>VLOOKUP(A682,'تجربه‌گرها'!B:C,2,FALSE())</f>
        <v>09354299258</v>
      </c>
      <c r="C682" s="242"/>
      <c r="D682" s="242">
        <f t="shared" si="1"/>
        <v>1</v>
      </c>
      <c r="E682" s="242">
        <f>COUNTIFS('تجربه‌گرها'!$B:$B,$A682,'تجربه‌گرها'!$F:$F,E$1)</f>
        <v>0</v>
      </c>
      <c r="F682" s="242">
        <f>COUNTIFS('تجربه‌گرها'!$B:$B,$A682,'تجربه‌گرها'!$F:$F,F$1)</f>
        <v>0</v>
      </c>
      <c r="G682" s="242">
        <f>COUNTIFS('تجربه‌گرها'!$B:$B,$A682,'تجربه‌گرها'!$F:$F,G$1)</f>
        <v>0</v>
      </c>
      <c r="H682" s="242">
        <f>COUNTIFS('تجربه‌گرها'!$B:$B,$A682,'تجربه‌گرها'!$F:$F,H$1)</f>
        <v>0</v>
      </c>
      <c r="I682" s="242">
        <f>COUNTIFS('تجربه‌گرها'!$B:$B,$A682,'تجربه‌گرها'!$F:$F,I$1)</f>
        <v>0</v>
      </c>
      <c r="J682" s="242">
        <f>COUNTIFS('تجربه‌گرها'!$B:$B,$A682,'تجربه‌گرها'!$F:$F,J$1)</f>
        <v>1</v>
      </c>
      <c r="K682" s="242">
        <f>COUNTIFS('تجربه‌گرها'!$B:$B,$A682,'تجربه‌گرها'!$F:$F,K$1)</f>
        <v>0</v>
      </c>
      <c r="L682" s="242">
        <f>COUNTIFS('تجربه‌گرها'!$B:$B,$A682,'تجربه‌گرها'!$F:$F,L$1)</f>
        <v>0</v>
      </c>
      <c r="M682" s="242">
        <f>COUNTIFS('تجربه‌گرها'!$B:$B,$A682,'تجربه‌گرها'!$F:$F,M$1)</f>
        <v>0</v>
      </c>
      <c r="N682" s="242">
        <f>COUNTIFS('تجربه‌گرها'!$B:$B,$A682,'تجربه‌گرها'!$F:$F,N$1)</f>
        <v>0</v>
      </c>
      <c r="O682" s="242">
        <f>COUNTIFS('تجربه‌گرها'!$B:$B,$A682,'تجربه‌گرها'!$F:$F,O$1)</f>
        <v>0</v>
      </c>
      <c r="P682" s="242">
        <f>COUNTIFS('تجربه‌گرها'!$B:$B,$A682,'تجربه‌گرها'!$F:$F,P$1)</f>
        <v>0</v>
      </c>
      <c r="Q682" s="242">
        <f>COUNTIFS('تجربه‌گرها'!$B:$B,$A682,'تجربه‌گرها'!$F:$F,Q$1)</f>
        <v>0</v>
      </c>
      <c r="R682" s="242">
        <f>COUNTIFS('تجربه‌گرها'!$B:$B,$A682,'تجربه‌گرها'!$F:$F,R$1)</f>
        <v>0</v>
      </c>
      <c r="S682" s="242">
        <f>COUNTIFS('تجربه‌گرها'!$B:$B,$A682,'تجربه‌گرها'!$F:$F,S$1)</f>
        <v>0</v>
      </c>
      <c r="T682" s="242">
        <f>COUNTIFS('تجربه‌گرها'!$B:$B,$A682,'تجربه‌گرها'!$F:$F,T$1)</f>
        <v>0</v>
      </c>
      <c r="U682" s="242"/>
      <c r="V682" s="242"/>
      <c r="W682" s="242"/>
      <c r="X682" s="242"/>
      <c r="Y682" s="242"/>
      <c r="Z682" s="242"/>
      <c r="AA682" s="242"/>
      <c r="AB682" s="242"/>
    </row>
    <row r="683" hidden="1">
      <c r="A683" s="244" t="s">
        <v>4200</v>
      </c>
      <c r="B683" s="245" t="str">
        <f>VLOOKUP(A683,'تجربه‌گرها'!B:C,2,FALSE())</f>
        <v>9122597327</v>
      </c>
      <c r="C683" s="242"/>
      <c r="D683" s="242">
        <f t="shared" si="1"/>
        <v>1</v>
      </c>
      <c r="E683" s="242">
        <f>COUNTIFS('تجربه‌گرها'!$B:$B,$A683,'تجربه‌گرها'!$F:$F,E$1)</f>
        <v>0</v>
      </c>
      <c r="F683" s="242">
        <f>COUNTIFS('تجربه‌گرها'!$B:$B,$A683,'تجربه‌گرها'!$F:$F,F$1)</f>
        <v>0</v>
      </c>
      <c r="G683" s="242">
        <f>COUNTIFS('تجربه‌گرها'!$B:$B,$A683,'تجربه‌گرها'!$F:$F,G$1)</f>
        <v>0</v>
      </c>
      <c r="H683" s="242">
        <f>COUNTIFS('تجربه‌گرها'!$B:$B,$A683,'تجربه‌گرها'!$F:$F,H$1)</f>
        <v>0</v>
      </c>
      <c r="I683" s="242">
        <f>COUNTIFS('تجربه‌گرها'!$B:$B,$A683,'تجربه‌گرها'!$F:$F,I$1)</f>
        <v>0</v>
      </c>
      <c r="J683" s="242">
        <f>COUNTIFS('تجربه‌گرها'!$B:$B,$A683,'تجربه‌گرها'!$F:$F,J$1)</f>
        <v>1</v>
      </c>
      <c r="K683" s="242">
        <f>COUNTIFS('تجربه‌گرها'!$B:$B,$A683,'تجربه‌گرها'!$F:$F,K$1)</f>
        <v>0</v>
      </c>
      <c r="L683" s="242">
        <f>COUNTIFS('تجربه‌گرها'!$B:$B,$A683,'تجربه‌گرها'!$F:$F,L$1)</f>
        <v>0</v>
      </c>
      <c r="M683" s="242">
        <f>COUNTIFS('تجربه‌گرها'!$B:$B,$A683,'تجربه‌گرها'!$F:$F,M$1)</f>
        <v>0</v>
      </c>
      <c r="N683" s="242">
        <f>COUNTIFS('تجربه‌گرها'!$B:$B,$A683,'تجربه‌گرها'!$F:$F,N$1)</f>
        <v>0</v>
      </c>
      <c r="O683" s="242">
        <f>COUNTIFS('تجربه‌گرها'!$B:$B,$A683,'تجربه‌گرها'!$F:$F,O$1)</f>
        <v>0</v>
      </c>
      <c r="P683" s="242">
        <f>COUNTIFS('تجربه‌گرها'!$B:$B,$A683,'تجربه‌گرها'!$F:$F,P$1)</f>
        <v>0</v>
      </c>
      <c r="Q683" s="242">
        <f>COUNTIFS('تجربه‌گرها'!$B:$B,$A683,'تجربه‌گرها'!$F:$F,Q$1)</f>
        <v>0</v>
      </c>
      <c r="R683" s="242">
        <f>COUNTIFS('تجربه‌گرها'!$B:$B,$A683,'تجربه‌گرها'!$F:$F,R$1)</f>
        <v>0</v>
      </c>
      <c r="S683" s="242">
        <f>COUNTIFS('تجربه‌گرها'!$B:$B,$A683,'تجربه‌گرها'!$F:$F,S$1)</f>
        <v>0</v>
      </c>
      <c r="T683" s="242">
        <f>COUNTIFS('تجربه‌گرها'!$B:$B,$A683,'تجربه‌گرها'!$F:$F,T$1)</f>
        <v>0</v>
      </c>
      <c r="U683" s="242"/>
      <c r="V683" s="242"/>
      <c r="W683" s="242"/>
      <c r="X683" s="242"/>
      <c r="Y683" s="242"/>
      <c r="Z683" s="242"/>
      <c r="AA683" s="242"/>
      <c r="AB683" s="242"/>
    </row>
    <row r="684" hidden="1">
      <c r="A684" s="244" t="s">
        <v>4203</v>
      </c>
      <c r="B684" s="245" t="str">
        <f>VLOOKUP(A684,'تجربه‌گرها'!B:C,2,FALSE())</f>
        <v>09123201068</v>
      </c>
      <c r="C684" s="242"/>
      <c r="D684" s="242">
        <f t="shared" si="1"/>
        <v>1</v>
      </c>
      <c r="E684" s="242">
        <f>COUNTIFS('تجربه‌گرها'!$B:$B,$A684,'تجربه‌گرها'!$F:$F,E$1)</f>
        <v>0</v>
      </c>
      <c r="F684" s="242">
        <f>COUNTIFS('تجربه‌گرها'!$B:$B,$A684,'تجربه‌گرها'!$F:$F,F$1)</f>
        <v>0</v>
      </c>
      <c r="G684" s="242">
        <f>COUNTIFS('تجربه‌گرها'!$B:$B,$A684,'تجربه‌گرها'!$F:$F,G$1)</f>
        <v>0</v>
      </c>
      <c r="H684" s="242">
        <f>COUNTIFS('تجربه‌گرها'!$B:$B,$A684,'تجربه‌گرها'!$F:$F,H$1)</f>
        <v>0</v>
      </c>
      <c r="I684" s="242">
        <f>COUNTIFS('تجربه‌گرها'!$B:$B,$A684,'تجربه‌گرها'!$F:$F,I$1)</f>
        <v>0</v>
      </c>
      <c r="J684" s="242">
        <f>COUNTIFS('تجربه‌گرها'!$B:$B,$A684,'تجربه‌گرها'!$F:$F,J$1)</f>
        <v>1</v>
      </c>
      <c r="K684" s="242">
        <f>COUNTIFS('تجربه‌گرها'!$B:$B,$A684,'تجربه‌گرها'!$F:$F,K$1)</f>
        <v>0</v>
      </c>
      <c r="L684" s="242">
        <f>COUNTIFS('تجربه‌گرها'!$B:$B,$A684,'تجربه‌گرها'!$F:$F,L$1)</f>
        <v>0</v>
      </c>
      <c r="M684" s="242">
        <f>COUNTIFS('تجربه‌گرها'!$B:$B,$A684,'تجربه‌گرها'!$F:$F,M$1)</f>
        <v>0</v>
      </c>
      <c r="N684" s="242">
        <f>COUNTIFS('تجربه‌گرها'!$B:$B,$A684,'تجربه‌گرها'!$F:$F,N$1)</f>
        <v>0</v>
      </c>
      <c r="O684" s="242">
        <f>COUNTIFS('تجربه‌گرها'!$B:$B,$A684,'تجربه‌گرها'!$F:$F,O$1)</f>
        <v>0</v>
      </c>
      <c r="P684" s="242">
        <f>COUNTIFS('تجربه‌گرها'!$B:$B,$A684,'تجربه‌گرها'!$F:$F,P$1)</f>
        <v>0</v>
      </c>
      <c r="Q684" s="242">
        <f>COUNTIFS('تجربه‌گرها'!$B:$B,$A684,'تجربه‌گرها'!$F:$F,Q$1)</f>
        <v>0</v>
      </c>
      <c r="R684" s="242">
        <f>COUNTIFS('تجربه‌گرها'!$B:$B,$A684,'تجربه‌گرها'!$F:$F,R$1)</f>
        <v>0</v>
      </c>
      <c r="S684" s="242">
        <f>COUNTIFS('تجربه‌گرها'!$B:$B,$A684,'تجربه‌گرها'!$F:$F,S$1)</f>
        <v>0</v>
      </c>
      <c r="T684" s="242">
        <f>COUNTIFS('تجربه‌گرها'!$B:$B,$A684,'تجربه‌گرها'!$F:$F,T$1)</f>
        <v>0</v>
      </c>
      <c r="U684" s="242"/>
      <c r="V684" s="242"/>
      <c r="W684" s="242"/>
      <c r="X684" s="242"/>
      <c r="Y684" s="242"/>
      <c r="Z684" s="242"/>
      <c r="AA684" s="242"/>
      <c r="AB684" s="242"/>
    </row>
    <row r="685" hidden="1">
      <c r="A685" s="244" t="s">
        <v>4206</v>
      </c>
      <c r="B685" s="245" t="str">
        <f>VLOOKUP(A685,'تجربه‌گرها'!B:C,2,FALSE())</f>
        <v>09124672363</v>
      </c>
      <c r="C685" s="242"/>
      <c r="D685" s="242">
        <f t="shared" si="1"/>
        <v>1</v>
      </c>
      <c r="E685" s="242">
        <f>COUNTIFS('تجربه‌گرها'!$B:$B,$A685,'تجربه‌گرها'!$F:$F,E$1)</f>
        <v>0</v>
      </c>
      <c r="F685" s="242">
        <f>COUNTIFS('تجربه‌گرها'!$B:$B,$A685,'تجربه‌گرها'!$F:$F,F$1)</f>
        <v>0</v>
      </c>
      <c r="G685" s="242">
        <f>COUNTIFS('تجربه‌گرها'!$B:$B,$A685,'تجربه‌گرها'!$F:$F,G$1)</f>
        <v>0</v>
      </c>
      <c r="H685" s="242">
        <f>COUNTIFS('تجربه‌گرها'!$B:$B,$A685,'تجربه‌گرها'!$F:$F,H$1)</f>
        <v>0</v>
      </c>
      <c r="I685" s="242">
        <f>COUNTIFS('تجربه‌گرها'!$B:$B,$A685,'تجربه‌گرها'!$F:$F,I$1)</f>
        <v>0</v>
      </c>
      <c r="J685" s="242">
        <f>COUNTIFS('تجربه‌گرها'!$B:$B,$A685,'تجربه‌گرها'!$F:$F,J$1)</f>
        <v>1</v>
      </c>
      <c r="K685" s="242">
        <f>COUNTIFS('تجربه‌گرها'!$B:$B,$A685,'تجربه‌گرها'!$F:$F,K$1)</f>
        <v>0</v>
      </c>
      <c r="L685" s="242">
        <f>COUNTIFS('تجربه‌گرها'!$B:$B,$A685,'تجربه‌گرها'!$F:$F,L$1)</f>
        <v>0</v>
      </c>
      <c r="M685" s="242">
        <f>COUNTIFS('تجربه‌گرها'!$B:$B,$A685,'تجربه‌گرها'!$F:$F,M$1)</f>
        <v>0</v>
      </c>
      <c r="N685" s="242">
        <f>COUNTIFS('تجربه‌گرها'!$B:$B,$A685,'تجربه‌گرها'!$F:$F,N$1)</f>
        <v>0</v>
      </c>
      <c r="O685" s="242">
        <f>COUNTIFS('تجربه‌گرها'!$B:$B,$A685,'تجربه‌گرها'!$F:$F,O$1)</f>
        <v>0</v>
      </c>
      <c r="P685" s="242">
        <f>COUNTIFS('تجربه‌گرها'!$B:$B,$A685,'تجربه‌گرها'!$F:$F,P$1)</f>
        <v>0</v>
      </c>
      <c r="Q685" s="242">
        <f>COUNTIFS('تجربه‌گرها'!$B:$B,$A685,'تجربه‌گرها'!$F:$F,Q$1)</f>
        <v>0</v>
      </c>
      <c r="R685" s="242">
        <f>COUNTIFS('تجربه‌گرها'!$B:$B,$A685,'تجربه‌گرها'!$F:$F,R$1)</f>
        <v>0</v>
      </c>
      <c r="S685" s="242">
        <f>COUNTIFS('تجربه‌گرها'!$B:$B,$A685,'تجربه‌گرها'!$F:$F,S$1)</f>
        <v>0</v>
      </c>
      <c r="T685" s="242">
        <f>COUNTIFS('تجربه‌گرها'!$B:$B,$A685,'تجربه‌گرها'!$F:$F,T$1)</f>
        <v>0</v>
      </c>
      <c r="U685" s="242"/>
      <c r="V685" s="242"/>
      <c r="W685" s="242"/>
      <c r="X685" s="242"/>
      <c r="Y685" s="242"/>
      <c r="Z685" s="242"/>
      <c r="AA685" s="242"/>
      <c r="AB685" s="242"/>
    </row>
    <row r="686" hidden="1">
      <c r="A686" s="244" t="s">
        <v>4212</v>
      </c>
      <c r="B686" s="245">
        <f>VLOOKUP(A686,'تجربه‌گرها'!B:C,2,FALSE())</f>
        <v>61476589676</v>
      </c>
      <c r="C686" s="242"/>
      <c r="D686" s="242">
        <f t="shared" si="1"/>
        <v>1</v>
      </c>
      <c r="E686" s="242">
        <f>COUNTIFS('تجربه‌گرها'!$B:$B,$A686,'تجربه‌گرها'!$F:$F,E$1)</f>
        <v>0</v>
      </c>
      <c r="F686" s="242">
        <f>COUNTIFS('تجربه‌گرها'!$B:$B,$A686,'تجربه‌گرها'!$F:$F,F$1)</f>
        <v>0</v>
      </c>
      <c r="G686" s="242">
        <f>COUNTIFS('تجربه‌گرها'!$B:$B,$A686,'تجربه‌گرها'!$F:$F,G$1)</f>
        <v>0</v>
      </c>
      <c r="H686" s="242">
        <f>COUNTIFS('تجربه‌گرها'!$B:$B,$A686,'تجربه‌گرها'!$F:$F,H$1)</f>
        <v>0</v>
      </c>
      <c r="I686" s="242">
        <f>COUNTIFS('تجربه‌گرها'!$B:$B,$A686,'تجربه‌گرها'!$F:$F,I$1)</f>
        <v>0</v>
      </c>
      <c r="J686" s="242">
        <f>COUNTIFS('تجربه‌گرها'!$B:$B,$A686,'تجربه‌گرها'!$F:$F,J$1)</f>
        <v>1</v>
      </c>
      <c r="K686" s="242">
        <f>COUNTIFS('تجربه‌گرها'!$B:$B,$A686,'تجربه‌گرها'!$F:$F,K$1)</f>
        <v>0</v>
      </c>
      <c r="L686" s="242">
        <f>COUNTIFS('تجربه‌گرها'!$B:$B,$A686,'تجربه‌گرها'!$F:$F,L$1)</f>
        <v>0</v>
      </c>
      <c r="M686" s="242">
        <f>COUNTIFS('تجربه‌گرها'!$B:$B,$A686,'تجربه‌گرها'!$F:$F,M$1)</f>
        <v>0</v>
      </c>
      <c r="N686" s="242">
        <f>COUNTIFS('تجربه‌گرها'!$B:$B,$A686,'تجربه‌گرها'!$F:$F,N$1)</f>
        <v>0</v>
      </c>
      <c r="O686" s="242">
        <f>COUNTIFS('تجربه‌گرها'!$B:$B,$A686,'تجربه‌گرها'!$F:$F,O$1)</f>
        <v>0</v>
      </c>
      <c r="P686" s="242">
        <f>COUNTIFS('تجربه‌گرها'!$B:$B,$A686,'تجربه‌گرها'!$F:$F,P$1)</f>
        <v>0</v>
      </c>
      <c r="Q686" s="242">
        <f>COUNTIFS('تجربه‌گرها'!$B:$B,$A686,'تجربه‌گرها'!$F:$F,Q$1)</f>
        <v>0</v>
      </c>
      <c r="R686" s="242">
        <f>COUNTIFS('تجربه‌گرها'!$B:$B,$A686,'تجربه‌گرها'!$F:$F,R$1)</f>
        <v>0</v>
      </c>
      <c r="S686" s="242">
        <f>COUNTIFS('تجربه‌گرها'!$B:$B,$A686,'تجربه‌گرها'!$F:$F,S$1)</f>
        <v>0</v>
      </c>
      <c r="T686" s="242">
        <f>COUNTIFS('تجربه‌گرها'!$B:$B,$A686,'تجربه‌گرها'!$F:$F,T$1)</f>
        <v>0</v>
      </c>
      <c r="U686" s="242"/>
      <c r="V686" s="242"/>
      <c r="W686" s="242"/>
      <c r="X686" s="242"/>
      <c r="Y686" s="242"/>
      <c r="Z686" s="242"/>
      <c r="AA686" s="242"/>
      <c r="AB686" s="242"/>
    </row>
    <row r="687">
      <c r="A687" s="244" t="s">
        <v>4216</v>
      </c>
      <c r="B687" s="245" t="str">
        <f>VLOOKUP(A687,'تجربه‌گرها'!B:C,2,FALSE())</f>
        <v>09374869963</v>
      </c>
      <c r="C687" s="242"/>
      <c r="D687" s="242">
        <f t="shared" si="1"/>
        <v>1</v>
      </c>
      <c r="E687" s="242">
        <f>COUNTIFS('تجربه‌گرها'!$B:$B,$A687,'تجربه‌گرها'!$F:$F,E$1)</f>
        <v>0</v>
      </c>
      <c r="F687" s="242">
        <f>COUNTIFS('تجربه‌گرها'!$B:$B,$A687,'تجربه‌گرها'!$F:$F,F$1)</f>
        <v>0</v>
      </c>
      <c r="G687" s="242">
        <f>COUNTIFS('تجربه‌گرها'!$B:$B,$A687,'تجربه‌گرها'!$F:$F,G$1)</f>
        <v>0</v>
      </c>
      <c r="H687" s="242">
        <f>COUNTIFS('تجربه‌گرها'!$B:$B,$A687,'تجربه‌گرها'!$F:$F,H$1)</f>
        <v>0</v>
      </c>
      <c r="I687" s="242">
        <f>COUNTIFS('تجربه‌گرها'!$B:$B,$A687,'تجربه‌گرها'!$F:$F,I$1)</f>
        <v>0</v>
      </c>
      <c r="J687" s="242">
        <f>COUNTIFS('تجربه‌گرها'!$B:$B,$A687,'تجربه‌گرها'!$F:$F,J$1)</f>
        <v>1</v>
      </c>
      <c r="K687" s="242">
        <f>COUNTIFS('تجربه‌گرها'!$B:$B,$A687,'تجربه‌گرها'!$F:$F,K$1)</f>
        <v>0</v>
      </c>
      <c r="L687" s="242">
        <f>COUNTIFS('تجربه‌گرها'!$B:$B,$A687,'تجربه‌گرها'!$F:$F,L$1)</f>
        <v>0</v>
      </c>
      <c r="M687" s="242">
        <f>COUNTIFS('تجربه‌گرها'!$B:$B,$A687,'تجربه‌گرها'!$F:$F,M$1)</f>
        <v>0</v>
      </c>
      <c r="N687" s="242">
        <f>COUNTIFS('تجربه‌گرها'!$B:$B,$A687,'تجربه‌گرها'!$F:$F,N$1)</f>
        <v>0</v>
      </c>
      <c r="O687" s="242">
        <f>COUNTIFS('تجربه‌گرها'!$B:$B,$A687,'تجربه‌گرها'!$F:$F,O$1)</f>
        <v>0</v>
      </c>
      <c r="P687" s="242">
        <f>COUNTIFS('تجربه‌گرها'!$B:$B,$A687,'تجربه‌گرها'!$F:$F,P$1)</f>
        <v>0</v>
      </c>
      <c r="Q687" s="242">
        <f>COUNTIFS('تجربه‌گرها'!$B:$B,$A687,'تجربه‌گرها'!$F:$F,Q$1)</f>
        <v>0</v>
      </c>
      <c r="R687" s="242">
        <f>COUNTIFS('تجربه‌گرها'!$B:$B,$A687,'تجربه‌گرها'!$F:$F,R$1)</f>
        <v>0</v>
      </c>
      <c r="S687" s="242">
        <f>COUNTIFS('تجربه‌گرها'!$B:$B,$A687,'تجربه‌گرها'!$F:$F,S$1)</f>
        <v>0</v>
      </c>
      <c r="T687" s="242">
        <f>COUNTIFS('تجربه‌گرها'!$B:$B,$A687,'تجربه‌گرها'!$F:$F,T$1)</f>
        <v>0</v>
      </c>
      <c r="U687" s="242"/>
      <c r="V687" s="242"/>
      <c r="W687" s="242"/>
      <c r="X687" s="242"/>
      <c r="Y687" s="242"/>
      <c r="Z687" s="242"/>
      <c r="AA687" s="242"/>
      <c r="AB687" s="242"/>
    </row>
    <row r="688" hidden="1">
      <c r="A688" s="244" t="s">
        <v>4220</v>
      </c>
      <c r="B688" s="245" t="str">
        <f>VLOOKUP(A688,'تجربه‌گرها'!B:C,2,FALSE())</f>
        <v>9124980423</v>
      </c>
      <c r="C688" s="242"/>
      <c r="D688" s="242">
        <f t="shared" si="1"/>
        <v>1</v>
      </c>
      <c r="E688" s="242">
        <f>COUNTIFS('تجربه‌گرها'!$B:$B,$A688,'تجربه‌گرها'!$F:$F,E$1)</f>
        <v>0</v>
      </c>
      <c r="F688" s="242">
        <f>COUNTIFS('تجربه‌گرها'!$B:$B,$A688,'تجربه‌گرها'!$F:$F,F$1)</f>
        <v>0</v>
      </c>
      <c r="G688" s="242">
        <f>COUNTIFS('تجربه‌گرها'!$B:$B,$A688,'تجربه‌گرها'!$F:$F,G$1)</f>
        <v>0</v>
      </c>
      <c r="H688" s="242">
        <f>COUNTIFS('تجربه‌گرها'!$B:$B,$A688,'تجربه‌گرها'!$F:$F,H$1)</f>
        <v>0</v>
      </c>
      <c r="I688" s="242">
        <f>COUNTIFS('تجربه‌گرها'!$B:$B,$A688,'تجربه‌گرها'!$F:$F,I$1)</f>
        <v>0</v>
      </c>
      <c r="J688" s="242">
        <f>COUNTIFS('تجربه‌گرها'!$B:$B,$A688,'تجربه‌گرها'!$F:$F,J$1)</f>
        <v>1</v>
      </c>
      <c r="K688" s="242">
        <f>COUNTIFS('تجربه‌گرها'!$B:$B,$A688,'تجربه‌گرها'!$F:$F,K$1)</f>
        <v>0</v>
      </c>
      <c r="L688" s="242">
        <f>COUNTIFS('تجربه‌گرها'!$B:$B,$A688,'تجربه‌گرها'!$F:$F,L$1)</f>
        <v>0</v>
      </c>
      <c r="M688" s="242">
        <f>COUNTIFS('تجربه‌گرها'!$B:$B,$A688,'تجربه‌گرها'!$F:$F,M$1)</f>
        <v>0</v>
      </c>
      <c r="N688" s="242">
        <f>COUNTIFS('تجربه‌گرها'!$B:$B,$A688,'تجربه‌گرها'!$F:$F,N$1)</f>
        <v>0</v>
      </c>
      <c r="O688" s="242">
        <f>COUNTIFS('تجربه‌گرها'!$B:$B,$A688,'تجربه‌گرها'!$F:$F,O$1)</f>
        <v>0</v>
      </c>
      <c r="P688" s="242">
        <f>COUNTIFS('تجربه‌گرها'!$B:$B,$A688,'تجربه‌گرها'!$F:$F,P$1)</f>
        <v>0</v>
      </c>
      <c r="Q688" s="242">
        <f>COUNTIFS('تجربه‌گرها'!$B:$B,$A688,'تجربه‌گرها'!$F:$F,Q$1)</f>
        <v>0</v>
      </c>
      <c r="R688" s="242">
        <f>COUNTIFS('تجربه‌گرها'!$B:$B,$A688,'تجربه‌گرها'!$F:$F,R$1)</f>
        <v>0</v>
      </c>
      <c r="S688" s="242">
        <f>COUNTIFS('تجربه‌گرها'!$B:$B,$A688,'تجربه‌گرها'!$F:$F,S$1)</f>
        <v>0</v>
      </c>
      <c r="T688" s="242">
        <f>COUNTIFS('تجربه‌گرها'!$B:$B,$A688,'تجربه‌گرها'!$F:$F,T$1)</f>
        <v>0</v>
      </c>
      <c r="U688" s="242"/>
      <c r="V688" s="242"/>
      <c r="W688" s="242"/>
      <c r="X688" s="242"/>
      <c r="Y688" s="242"/>
      <c r="Z688" s="242"/>
      <c r="AA688" s="242"/>
      <c r="AB688" s="242"/>
    </row>
    <row r="689" hidden="1">
      <c r="A689" s="244" t="s">
        <v>4223</v>
      </c>
      <c r="B689" s="245" t="str">
        <f>VLOOKUP(A689,'تجربه‌گرها'!B:C,2,FALSE())</f>
        <v>9125488255</v>
      </c>
      <c r="C689" s="242"/>
      <c r="D689" s="242">
        <f t="shared" si="1"/>
        <v>1</v>
      </c>
      <c r="E689" s="242">
        <f>COUNTIFS('تجربه‌گرها'!$B:$B,$A689,'تجربه‌گرها'!$F:$F,E$1)</f>
        <v>0</v>
      </c>
      <c r="F689" s="242">
        <f>COUNTIFS('تجربه‌گرها'!$B:$B,$A689,'تجربه‌گرها'!$F:$F,F$1)</f>
        <v>0</v>
      </c>
      <c r="G689" s="242">
        <f>COUNTIFS('تجربه‌گرها'!$B:$B,$A689,'تجربه‌گرها'!$F:$F,G$1)</f>
        <v>0</v>
      </c>
      <c r="H689" s="242">
        <f>COUNTIFS('تجربه‌گرها'!$B:$B,$A689,'تجربه‌گرها'!$F:$F,H$1)</f>
        <v>0</v>
      </c>
      <c r="I689" s="242">
        <f>COUNTIFS('تجربه‌گرها'!$B:$B,$A689,'تجربه‌گرها'!$F:$F,I$1)</f>
        <v>0</v>
      </c>
      <c r="J689" s="242">
        <f>COUNTIFS('تجربه‌گرها'!$B:$B,$A689,'تجربه‌گرها'!$F:$F,J$1)</f>
        <v>1</v>
      </c>
      <c r="K689" s="242">
        <f>COUNTIFS('تجربه‌گرها'!$B:$B,$A689,'تجربه‌گرها'!$F:$F,K$1)</f>
        <v>0</v>
      </c>
      <c r="L689" s="242">
        <f>COUNTIFS('تجربه‌گرها'!$B:$B,$A689,'تجربه‌گرها'!$F:$F,L$1)</f>
        <v>0</v>
      </c>
      <c r="M689" s="242">
        <f>COUNTIFS('تجربه‌گرها'!$B:$B,$A689,'تجربه‌گرها'!$F:$F,M$1)</f>
        <v>0</v>
      </c>
      <c r="N689" s="242">
        <f>COUNTIFS('تجربه‌گرها'!$B:$B,$A689,'تجربه‌گرها'!$F:$F,N$1)</f>
        <v>0</v>
      </c>
      <c r="O689" s="242">
        <f>COUNTIFS('تجربه‌گرها'!$B:$B,$A689,'تجربه‌گرها'!$F:$F,O$1)</f>
        <v>0</v>
      </c>
      <c r="P689" s="242">
        <f>COUNTIFS('تجربه‌گرها'!$B:$B,$A689,'تجربه‌گرها'!$F:$F,P$1)</f>
        <v>0</v>
      </c>
      <c r="Q689" s="242">
        <f>COUNTIFS('تجربه‌گرها'!$B:$B,$A689,'تجربه‌گرها'!$F:$F,Q$1)</f>
        <v>0</v>
      </c>
      <c r="R689" s="242">
        <f>COUNTIFS('تجربه‌گرها'!$B:$B,$A689,'تجربه‌گرها'!$F:$F,R$1)</f>
        <v>0</v>
      </c>
      <c r="S689" s="242">
        <f>COUNTIFS('تجربه‌گرها'!$B:$B,$A689,'تجربه‌گرها'!$F:$F,S$1)</f>
        <v>0</v>
      </c>
      <c r="T689" s="242">
        <f>COUNTIFS('تجربه‌گرها'!$B:$B,$A689,'تجربه‌گرها'!$F:$F,T$1)</f>
        <v>0</v>
      </c>
      <c r="U689" s="242"/>
      <c r="V689" s="242"/>
      <c r="W689" s="242"/>
      <c r="X689" s="242"/>
      <c r="Y689" s="242"/>
      <c r="Z689" s="242"/>
      <c r="AA689" s="242"/>
      <c r="AB689" s="242"/>
    </row>
    <row r="690" hidden="1">
      <c r="A690" s="244" t="s">
        <v>62</v>
      </c>
      <c r="B690" s="245" t="str">
        <f>VLOOKUP(A690,'تجربه‌گرها'!B:C,2,FALSE())</f>
        <v>9125052440</v>
      </c>
      <c r="C690" s="242"/>
      <c r="D690" s="242">
        <f t="shared" si="1"/>
        <v>4</v>
      </c>
      <c r="E690" s="242">
        <f>COUNTIFS('تجربه‌گرها'!$B:$B,$A690,'تجربه‌گرها'!$F:$F,E$1)</f>
        <v>0</v>
      </c>
      <c r="F690" s="242">
        <f>COUNTIFS('تجربه‌گرها'!$B:$B,$A690,'تجربه‌گرها'!$F:$F,F$1)</f>
        <v>0</v>
      </c>
      <c r="G690" s="242">
        <f>COUNTIFS('تجربه‌گرها'!$B:$B,$A690,'تجربه‌گرها'!$F:$F,G$1)</f>
        <v>0</v>
      </c>
      <c r="H690" s="242">
        <f>COUNTIFS('تجربه‌گرها'!$B:$B,$A690,'تجربه‌گرها'!$F:$F,H$1)</f>
        <v>0</v>
      </c>
      <c r="I690" s="242">
        <f>COUNTIFS('تجربه‌گرها'!$B:$B,$A690,'تجربه‌گرها'!$F:$F,I$1)</f>
        <v>0</v>
      </c>
      <c r="J690" s="242">
        <f>COUNTIFS('تجربه‌گرها'!$B:$B,$A690,'تجربه‌گرها'!$F:$F,J$1)</f>
        <v>1</v>
      </c>
      <c r="K690" s="242">
        <f>COUNTIFS('تجربه‌گرها'!$B:$B,$A690,'تجربه‌گرها'!$F:$F,K$1)</f>
        <v>1</v>
      </c>
      <c r="L690" s="242">
        <f>COUNTIFS('تجربه‌گرها'!$B:$B,$A690,'تجربه‌گرها'!$F:$F,L$1)</f>
        <v>0</v>
      </c>
      <c r="M690" s="242">
        <f>COUNTIFS('تجربه‌گرها'!$B:$B,$A690,'تجربه‌گرها'!$F:$F,M$1)</f>
        <v>1</v>
      </c>
      <c r="N690" s="242">
        <f>COUNTIFS('تجربه‌گرها'!$B:$B,$A690,'تجربه‌گرها'!$F:$F,N$1)</f>
        <v>1</v>
      </c>
      <c r="O690" s="242">
        <f>COUNTIFS('تجربه‌گرها'!$B:$B,$A690,'تجربه‌گرها'!$F:$F,O$1)</f>
        <v>0</v>
      </c>
      <c r="P690" s="242">
        <f>COUNTIFS('تجربه‌گرها'!$B:$B,$A690,'تجربه‌گرها'!$F:$F,P$1)</f>
        <v>0</v>
      </c>
      <c r="Q690" s="242">
        <f>COUNTIFS('تجربه‌گرها'!$B:$B,$A690,'تجربه‌گرها'!$F:$F,Q$1)</f>
        <v>0</v>
      </c>
      <c r="R690" s="242">
        <f>COUNTIFS('تجربه‌گرها'!$B:$B,$A690,'تجربه‌گرها'!$F:$F,R$1)</f>
        <v>0</v>
      </c>
      <c r="S690" s="242">
        <f>COUNTIFS('تجربه‌گرها'!$B:$B,$A690,'تجربه‌گرها'!$F:$F,S$1)</f>
        <v>0</v>
      </c>
      <c r="T690" s="242">
        <f>COUNTIFS('تجربه‌گرها'!$B:$B,$A690,'تجربه‌گرها'!$F:$F,T$1)</f>
        <v>0</v>
      </c>
      <c r="U690" s="242"/>
      <c r="V690" s="242"/>
      <c r="W690" s="242"/>
      <c r="X690" s="242"/>
      <c r="Y690" s="242"/>
      <c r="Z690" s="242"/>
      <c r="AA690" s="242"/>
      <c r="AB690" s="242"/>
    </row>
    <row r="691" hidden="1">
      <c r="A691" s="244" t="s">
        <v>4229</v>
      </c>
      <c r="B691" s="245" t="str">
        <f>VLOOKUP(A691,'تجربه‌گرها'!B:C,2,FALSE())</f>
        <v>9123819877</v>
      </c>
      <c r="C691" s="242"/>
      <c r="D691" s="242">
        <f t="shared" si="1"/>
        <v>1</v>
      </c>
      <c r="E691" s="242">
        <f>COUNTIFS('تجربه‌گرها'!$B:$B,$A691,'تجربه‌گرها'!$F:$F,E$1)</f>
        <v>0</v>
      </c>
      <c r="F691" s="242">
        <f>COUNTIFS('تجربه‌گرها'!$B:$B,$A691,'تجربه‌گرها'!$F:$F,F$1)</f>
        <v>0</v>
      </c>
      <c r="G691" s="242">
        <f>COUNTIFS('تجربه‌گرها'!$B:$B,$A691,'تجربه‌گرها'!$F:$F,G$1)</f>
        <v>0</v>
      </c>
      <c r="H691" s="242">
        <f>COUNTIFS('تجربه‌گرها'!$B:$B,$A691,'تجربه‌گرها'!$F:$F,H$1)</f>
        <v>0</v>
      </c>
      <c r="I691" s="242">
        <f>COUNTIFS('تجربه‌گرها'!$B:$B,$A691,'تجربه‌گرها'!$F:$F,I$1)</f>
        <v>0</v>
      </c>
      <c r="J691" s="242">
        <f>COUNTIFS('تجربه‌گرها'!$B:$B,$A691,'تجربه‌گرها'!$F:$F,J$1)</f>
        <v>0</v>
      </c>
      <c r="K691" s="242">
        <f>COUNTIFS('تجربه‌گرها'!$B:$B,$A691,'تجربه‌گرها'!$F:$F,K$1)</f>
        <v>1</v>
      </c>
      <c r="L691" s="242">
        <f>COUNTIFS('تجربه‌گرها'!$B:$B,$A691,'تجربه‌گرها'!$F:$F,L$1)</f>
        <v>0</v>
      </c>
      <c r="M691" s="242">
        <f>COUNTIFS('تجربه‌گرها'!$B:$B,$A691,'تجربه‌گرها'!$F:$F,M$1)</f>
        <v>0</v>
      </c>
      <c r="N691" s="242">
        <f>COUNTIFS('تجربه‌گرها'!$B:$B,$A691,'تجربه‌گرها'!$F:$F,N$1)</f>
        <v>0</v>
      </c>
      <c r="O691" s="242">
        <f>COUNTIFS('تجربه‌گرها'!$B:$B,$A691,'تجربه‌گرها'!$F:$F,O$1)</f>
        <v>0</v>
      </c>
      <c r="P691" s="242">
        <f>COUNTIFS('تجربه‌گرها'!$B:$B,$A691,'تجربه‌گرها'!$F:$F,P$1)</f>
        <v>0</v>
      </c>
      <c r="Q691" s="242">
        <f>COUNTIFS('تجربه‌گرها'!$B:$B,$A691,'تجربه‌گرها'!$F:$F,Q$1)</f>
        <v>0</v>
      </c>
      <c r="R691" s="242">
        <f>COUNTIFS('تجربه‌گرها'!$B:$B,$A691,'تجربه‌گرها'!$F:$F,R$1)</f>
        <v>0</v>
      </c>
      <c r="S691" s="242">
        <f>COUNTIFS('تجربه‌گرها'!$B:$B,$A691,'تجربه‌گرها'!$F:$F,S$1)</f>
        <v>0</v>
      </c>
      <c r="T691" s="242">
        <f>COUNTIFS('تجربه‌گرها'!$B:$B,$A691,'تجربه‌گرها'!$F:$F,T$1)</f>
        <v>0</v>
      </c>
      <c r="U691" s="242"/>
      <c r="V691" s="242"/>
      <c r="W691" s="242"/>
      <c r="X691" s="242"/>
      <c r="Y691" s="242"/>
      <c r="Z691" s="242"/>
      <c r="AA691" s="242"/>
      <c r="AB691" s="242"/>
    </row>
    <row r="692" hidden="1">
      <c r="A692" s="244" t="s">
        <v>4232</v>
      </c>
      <c r="B692" s="245" t="str">
        <f>VLOOKUP(A692,'تجربه‌گرها'!B:C,2,FALSE())</f>
        <v>9927962791</v>
      </c>
      <c r="C692" s="242"/>
      <c r="D692" s="242">
        <f t="shared" si="1"/>
        <v>1</v>
      </c>
      <c r="E692" s="242">
        <f>COUNTIFS('تجربه‌گرها'!$B:$B,$A692,'تجربه‌گرها'!$F:$F,E$1)</f>
        <v>0</v>
      </c>
      <c r="F692" s="242">
        <f>COUNTIFS('تجربه‌گرها'!$B:$B,$A692,'تجربه‌گرها'!$F:$F,F$1)</f>
        <v>0</v>
      </c>
      <c r="G692" s="242">
        <f>COUNTIFS('تجربه‌گرها'!$B:$B,$A692,'تجربه‌گرها'!$F:$F,G$1)</f>
        <v>0</v>
      </c>
      <c r="H692" s="242">
        <f>COUNTIFS('تجربه‌گرها'!$B:$B,$A692,'تجربه‌گرها'!$F:$F,H$1)</f>
        <v>0</v>
      </c>
      <c r="I692" s="242">
        <f>COUNTIFS('تجربه‌گرها'!$B:$B,$A692,'تجربه‌گرها'!$F:$F,I$1)</f>
        <v>0</v>
      </c>
      <c r="J692" s="242">
        <f>COUNTIFS('تجربه‌گرها'!$B:$B,$A692,'تجربه‌گرها'!$F:$F,J$1)</f>
        <v>0</v>
      </c>
      <c r="K692" s="242">
        <f>COUNTIFS('تجربه‌گرها'!$B:$B,$A692,'تجربه‌گرها'!$F:$F,K$1)</f>
        <v>1</v>
      </c>
      <c r="L692" s="242">
        <f>COUNTIFS('تجربه‌گرها'!$B:$B,$A692,'تجربه‌گرها'!$F:$F,L$1)</f>
        <v>0</v>
      </c>
      <c r="M692" s="242">
        <f>COUNTIFS('تجربه‌گرها'!$B:$B,$A692,'تجربه‌گرها'!$F:$F,M$1)</f>
        <v>0</v>
      </c>
      <c r="N692" s="242">
        <f>COUNTIFS('تجربه‌گرها'!$B:$B,$A692,'تجربه‌گرها'!$F:$F,N$1)</f>
        <v>0</v>
      </c>
      <c r="O692" s="242">
        <f>COUNTIFS('تجربه‌گرها'!$B:$B,$A692,'تجربه‌گرها'!$F:$F,O$1)</f>
        <v>0</v>
      </c>
      <c r="P692" s="242">
        <f>COUNTIFS('تجربه‌گرها'!$B:$B,$A692,'تجربه‌گرها'!$F:$F,P$1)</f>
        <v>0</v>
      </c>
      <c r="Q692" s="242">
        <f>COUNTIFS('تجربه‌گرها'!$B:$B,$A692,'تجربه‌گرها'!$F:$F,Q$1)</f>
        <v>0</v>
      </c>
      <c r="R692" s="242">
        <f>COUNTIFS('تجربه‌گرها'!$B:$B,$A692,'تجربه‌گرها'!$F:$F,R$1)</f>
        <v>0</v>
      </c>
      <c r="S692" s="242">
        <f>COUNTIFS('تجربه‌گرها'!$B:$B,$A692,'تجربه‌گرها'!$F:$F,S$1)</f>
        <v>0</v>
      </c>
      <c r="T692" s="242">
        <f>COUNTIFS('تجربه‌گرها'!$B:$B,$A692,'تجربه‌گرها'!$F:$F,T$1)</f>
        <v>0</v>
      </c>
      <c r="U692" s="242"/>
      <c r="V692" s="242"/>
      <c r="W692" s="242"/>
      <c r="X692" s="242"/>
      <c r="Y692" s="242"/>
      <c r="Z692" s="242"/>
      <c r="AA692" s="242"/>
      <c r="AB692" s="242"/>
    </row>
    <row r="693" hidden="1">
      <c r="A693" s="244" t="s">
        <v>4233</v>
      </c>
      <c r="B693" s="245" t="str">
        <f>VLOOKUP(A693,'تجربه‌گرها'!B:C,2,FALSE())</f>
        <v>9352493013</v>
      </c>
      <c r="C693" s="242"/>
      <c r="D693" s="242">
        <f t="shared" si="1"/>
        <v>1</v>
      </c>
      <c r="E693" s="242">
        <f>COUNTIFS('تجربه‌گرها'!$B:$B,$A693,'تجربه‌گرها'!$F:$F,E$1)</f>
        <v>0</v>
      </c>
      <c r="F693" s="242">
        <f>COUNTIFS('تجربه‌گرها'!$B:$B,$A693,'تجربه‌گرها'!$F:$F,F$1)</f>
        <v>0</v>
      </c>
      <c r="G693" s="242">
        <f>COUNTIFS('تجربه‌گرها'!$B:$B,$A693,'تجربه‌گرها'!$F:$F,G$1)</f>
        <v>0</v>
      </c>
      <c r="H693" s="242">
        <f>COUNTIFS('تجربه‌گرها'!$B:$B,$A693,'تجربه‌گرها'!$F:$F,H$1)</f>
        <v>0</v>
      </c>
      <c r="I693" s="242">
        <f>COUNTIFS('تجربه‌گرها'!$B:$B,$A693,'تجربه‌گرها'!$F:$F,I$1)</f>
        <v>0</v>
      </c>
      <c r="J693" s="242">
        <f>COUNTIFS('تجربه‌گرها'!$B:$B,$A693,'تجربه‌گرها'!$F:$F,J$1)</f>
        <v>0</v>
      </c>
      <c r="K693" s="242">
        <f>COUNTIFS('تجربه‌گرها'!$B:$B,$A693,'تجربه‌گرها'!$F:$F,K$1)</f>
        <v>1</v>
      </c>
      <c r="L693" s="242">
        <f>COUNTIFS('تجربه‌گرها'!$B:$B,$A693,'تجربه‌گرها'!$F:$F,L$1)</f>
        <v>0</v>
      </c>
      <c r="M693" s="242">
        <f>COUNTIFS('تجربه‌گرها'!$B:$B,$A693,'تجربه‌گرها'!$F:$F,M$1)</f>
        <v>0</v>
      </c>
      <c r="N693" s="242">
        <f>COUNTIFS('تجربه‌گرها'!$B:$B,$A693,'تجربه‌گرها'!$F:$F,N$1)</f>
        <v>0</v>
      </c>
      <c r="O693" s="242">
        <f>COUNTIFS('تجربه‌گرها'!$B:$B,$A693,'تجربه‌گرها'!$F:$F,O$1)</f>
        <v>0</v>
      </c>
      <c r="P693" s="242">
        <f>COUNTIFS('تجربه‌گرها'!$B:$B,$A693,'تجربه‌گرها'!$F:$F,P$1)</f>
        <v>0</v>
      </c>
      <c r="Q693" s="242">
        <f>COUNTIFS('تجربه‌گرها'!$B:$B,$A693,'تجربه‌گرها'!$F:$F,Q$1)</f>
        <v>0</v>
      </c>
      <c r="R693" s="242">
        <f>COUNTIFS('تجربه‌گرها'!$B:$B,$A693,'تجربه‌گرها'!$F:$F,R$1)</f>
        <v>0</v>
      </c>
      <c r="S693" s="242">
        <f>COUNTIFS('تجربه‌گرها'!$B:$B,$A693,'تجربه‌گرها'!$F:$F,S$1)</f>
        <v>0</v>
      </c>
      <c r="T693" s="242">
        <f>COUNTIFS('تجربه‌گرها'!$B:$B,$A693,'تجربه‌گرها'!$F:$F,T$1)</f>
        <v>0</v>
      </c>
      <c r="U693" s="242"/>
      <c r="V693" s="242"/>
      <c r="W693" s="242"/>
      <c r="X693" s="242"/>
      <c r="Y693" s="242"/>
      <c r="Z693" s="242"/>
      <c r="AA693" s="242"/>
      <c r="AB693" s="242"/>
    </row>
    <row r="694" hidden="1">
      <c r="A694" s="244" t="s">
        <v>4237</v>
      </c>
      <c r="B694" s="245" t="str">
        <f>VLOOKUP(A694,'تجربه‌گرها'!B:C,2,FALSE())</f>
        <v>9127696121</v>
      </c>
      <c r="C694" s="242"/>
      <c r="D694" s="242">
        <f t="shared" si="1"/>
        <v>1</v>
      </c>
      <c r="E694" s="242">
        <f>COUNTIFS('تجربه‌گرها'!$B:$B,$A694,'تجربه‌گرها'!$F:$F,E$1)</f>
        <v>0</v>
      </c>
      <c r="F694" s="242">
        <f>COUNTIFS('تجربه‌گرها'!$B:$B,$A694,'تجربه‌گرها'!$F:$F,F$1)</f>
        <v>0</v>
      </c>
      <c r="G694" s="242">
        <f>COUNTIFS('تجربه‌گرها'!$B:$B,$A694,'تجربه‌گرها'!$F:$F,G$1)</f>
        <v>0</v>
      </c>
      <c r="H694" s="242">
        <f>COUNTIFS('تجربه‌گرها'!$B:$B,$A694,'تجربه‌گرها'!$F:$F,H$1)</f>
        <v>0</v>
      </c>
      <c r="I694" s="242">
        <f>COUNTIFS('تجربه‌گرها'!$B:$B,$A694,'تجربه‌گرها'!$F:$F,I$1)</f>
        <v>0</v>
      </c>
      <c r="J694" s="242">
        <f>COUNTIFS('تجربه‌گرها'!$B:$B,$A694,'تجربه‌گرها'!$F:$F,J$1)</f>
        <v>0</v>
      </c>
      <c r="K694" s="242">
        <f>COUNTIFS('تجربه‌گرها'!$B:$B,$A694,'تجربه‌گرها'!$F:$F,K$1)</f>
        <v>1</v>
      </c>
      <c r="L694" s="242">
        <f>COUNTIFS('تجربه‌گرها'!$B:$B,$A694,'تجربه‌گرها'!$F:$F,L$1)</f>
        <v>0</v>
      </c>
      <c r="M694" s="242">
        <f>COUNTIFS('تجربه‌گرها'!$B:$B,$A694,'تجربه‌گرها'!$F:$F,M$1)</f>
        <v>0</v>
      </c>
      <c r="N694" s="242">
        <f>COUNTIFS('تجربه‌گرها'!$B:$B,$A694,'تجربه‌گرها'!$F:$F,N$1)</f>
        <v>0</v>
      </c>
      <c r="O694" s="242">
        <f>COUNTIFS('تجربه‌گرها'!$B:$B,$A694,'تجربه‌گرها'!$F:$F,O$1)</f>
        <v>0</v>
      </c>
      <c r="P694" s="242">
        <f>COUNTIFS('تجربه‌گرها'!$B:$B,$A694,'تجربه‌گرها'!$F:$F,P$1)</f>
        <v>0</v>
      </c>
      <c r="Q694" s="242">
        <f>COUNTIFS('تجربه‌گرها'!$B:$B,$A694,'تجربه‌گرها'!$F:$F,Q$1)</f>
        <v>0</v>
      </c>
      <c r="R694" s="242">
        <f>COUNTIFS('تجربه‌گرها'!$B:$B,$A694,'تجربه‌گرها'!$F:$F,R$1)</f>
        <v>0</v>
      </c>
      <c r="S694" s="242">
        <f>COUNTIFS('تجربه‌گرها'!$B:$B,$A694,'تجربه‌گرها'!$F:$F,S$1)</f>
        <v>0</v>
      </c>
      <c r="T694" s="242">
        <f>COUNTIFS('تجربه‌گرها'!$B:$B,$A694,'تجربه‌گرها'!$F:$F,T$1)</f>
        <v>0</v>
      </c>
      <c r="U694" s="242"/>
      <c r="V694" s="242"/>
      <c r="W694" s="242"/>
      <c r="X694" s="242"/>
      <c r="Y694" s="242"/>
      <c r="Z694" s="242"/>
      <c r="AA694" s="242"/>
      <c r="AB694" s="242"/>
    </row>
    <row r="695" hidden="1">
      <c r="A695" s="244" t="s">
        <v>4242</v>
      </c>
      <c r="B695" s="245" t="str">
        <f>VLOOKUP(A695,'تجربه‌گرها'!B:C,2,FALSE())</f>
        <v>9384605300</v>
      </c>
      <c r="C695" s="242"/>
      <c r="D695" s="242">
        <f t="shared" si="1"/>
        <v>1</v>
      </c>
      <c r="E695" s="242">
        <f>COUNTIFS('تجربه‌گرها'!$B:$B,$A695,'تجربه‌گرها'!$F:$F,E$1)</f>
        <v>0</v>
      </c>
      <c r="F695" s="242">
        <f>COUNTIFS('تجربه‌گرها'!$B:$B,$A695,'تجربه‌گرها'!$F:$F,F$1)</f>
        <v>0</v>
      </c>
      <c r="G695" s="242">
        <f>COUNTIFS('تجربه‌گرها'!$B:$B,$A695,'تجربه‌گرها'!$F:$F,G$1)</f>
        <v>0</v>
      </c>
      <c r="H695" s="242">
        <f>COUNTIFS('تجربه‌گرها'!$B:$B,$A695,'تجربه‌گرها'!$F:$F,H$1)</f>
        <v>0</v>
      </c>
      <c r="I695" s="242">
        <f>COUNTIFS('تجربه‌گرها'!$B:$B,$A695,'تجربه‌گرها'!$F:$F,I$1)</f>
        <v>0</v>
      </c>
      <c r="J695" s="242">
        <f>COUNTIFS('تجربه‌گرها'!$B:$B,$A695,'تجربه‌گرها'!$F:$F,J$1)</f>
        <v>0</v>
      </c>
      <c r="K695" s="242">
        <f>COUNTIFS('تجربه‌گرها'!$B:$B,$A695,'تجربه‌گرها'!$F:$F,K$1)</f>
        <v>1</v>
      </c>
      <c r="L695" s="242">
        <f>COUNTIFS('تجربه‌گرها'!$B:$B,$A695,'تجربه‌گرها'!$F:$F,L$1)</f>
        <v>0</v>
      </c>
      <c r="M695" s="242">
        <f>COUNTIFS('تجربه‌گرها'!$B:$B,$A695,'تجربه‌گرها'!$F:$F,M$1)</f>
        <v>0</v>
      </c>
      <c r="N695" s="242">
        <f>COUNTIFS('تجربه‌گرها'!$B:$B,$A695,'تجربه‌گرها'!$F:$F,N$1)</f>
        <v>0</v>
      </c>
      <c r="O695" s="242">
        <f>COUNTIFS('تجربه‌گرها'!$B:$B,$A695,'تجربه‌گرها'!$F:$F,O$1)</f>
        <v>0</v>
      </c>
      <c r="P695" s="242">
        <f>COUNTIFS('تجربه‌گرها'!$B:$B,$A695,'تجربه‌گرها'!$F:$F,P$1)</f>
        <v>0</v>
      </c>
      <c r="Q695" s="242">
        <f>COUNTIFS('تجربه‌گرها'!$B:$B,$A695,'تجربه‌گرها'!$F:$F,Q$1)</f>
        <v>0</v>
      </c>
      <c r="R695" s="242">
        <f>COUNTIFS('تجربه‌گرها'!$B:$B,$A695,'تجربه‌گرها'!$F:$F,R$1)</f>
        <v>0</v>
      </c>
      <c r="S695" s="242">
        <f>COUNTIFS('تجربه‌گرها'!$B:$B,$A695,'تجربه‌گرها'!$F:$F,S$1)</f>
        <v>0</v>
      </c>
      <c r="T695" s="242">
        <f>COUNTIFS('تجربه‌گرها'!$B:$B,$A695,'تجربه‌گرها'!$F:$F,T$1)</f>
        <v>0</v>
      </c>
      <c r="U695" s="242"/>
      <c r="V695" s="242"/>
      <c r="W695" s="242"/>
      <c r="X695" s="242"/>
      <c r="Y695" s="242"/>
      <c r="Z695" s="242"/>
      <c r="AA695" s="242"/>
      <c r="AB695" s="242"/>
    </row>
    <row r="696">
      <c r="A696" s="244" t="s">
        <v>4247</v>
      </c>
      <c r="B696" s="245" t="str">
        <f>VLOOKUP(A696,'تجربه‌گرها'!B:C,2,FALSE())</f>
        <v>9124086602</v>
      </c>
      <c r="C696" s="242"/>
      <c r="D696" s="242">
        <f t="shared" si="1"/>
        <v>1</v>
      </c>
      <c r="E696" s="242">
        <f>COUNTIFS('تجربه‌گرها'!$B:$B,$A696,'تجربه‌گرها'!$F:$F,E$1)</f>
        <v>0</v>
      </c>
      <c r="F696" s="242">
        <f>COUNTIFS('تجربه‌گرها'!$B:$B,$A696,'تجربه‌گرها'!$F:$F,F$1)</f>
        <v>0</v>
      </c>
      <c r="G696" s="242">
        <f>COUNTIFS('تجربه‌گرها'!$B:$B,$A696,'تجربه‌گرها'!$F:$F,G$1)</f>
        <v>0</v>
      </c>
      <c r="H696" s="242">
        <f>COUNTIFS('تجربه‌گرها'!$B:$B,$A696,'تجربه‌گرها'!$F:$F,H$1)</f>
        <v>0</v>
      </c>
      <c r="I696" s="242">
        <f>COUNTIFS('تجربه‌گرها'!$B:$B,$A696,'تجربه‌گرها'!$F:$F,I$1)</f>
        <v>0</v>
      </c>
      <c r="J696" s="242">
        <f>COUNTIFS('تجربه‌گرها'!$B:$B,$A696,'تجربه‌گرها'!$F:$F,J$1)</f>
        <v>0</v>
      </c>
      <c r="K696" s="242">
        <f>COUNTIFS('تجربه‌گرها'!$B:$B,$A696,'تجربه‌گرها'!$F:$F,K$1)</f>
        <v>1</v>
      </c>
      <c r="L696" s="242">
        <f>COUNTIFS('تجربه‌گرها'!$B:$B,$A696,'تجربه‌گرها'!$F:$F,L$1)</f>
        <v>0</v>
      </c>
      <c r="M696" s="242">
        <f>COUNTIFS('تجربه‌گرها'!$B:$B,$A696,'تجربه‌گرها'!$F:$F,M$1)</f>
        <v>0</v>
      </c>
      <c r="N696" s="242">
        <f>COUNTIFS('تجربه‌گرها'!$B:$B,$A696,'تجربه‌گرها'!$F:$F,N$1)</f>
        <v>0</v>
      </c>
      <c r="O696" s="242">
        <f>COUNTIFS('تجربه‌گرها'!$B:$B,$A696,'تجربه‌گرها'!$F:$F,O$1)</f>
        <v>0</v>
      </c>
      <c r="P696" s="242">
        <f>COUNTIFS('تجربه‌گرها'!$B:$B,$A696,'تجربه‌گرها'!$F:$F,P$1)</f>
        <v>0</v>
      </c>
      <c r="Q696" s="242">
        <f>COUNTIFS('تجربه‌گرها'!$B:$B,$A696,'تجربه‌گرها'!$F:$F,Q$1)</f>
        <v>0</v>
      </c>
      <c r="R696" s="242">
        <f>COUNTIFS('تجربه‌گرها'!$B:$B,$A696,'تجربه‌گرها'!$F:$F,R$1)</f>
        <v>0</v>
      </c>
      <c r="S696" s="242">
        <f>COUNTIFS('تجربه‌گرها'!$B:$B,$A696,'تجربه‌گرها'!$F:$F,S$1)</f>
        <v>0</v>
      </c>
      <c r="T696" s="242">
        <f>COUNTIFS('تجربه‌گرها'!$B:$B,$A696,'تجربه‌گرها'!$F:$F,T$1)</f>
        <v>0</v>
      </c>
      <c r="U696" s="242"/>
      <c r="V696" s="242"/>
      <c r="W696" s="242"/>
      <c r="X696" s="242"/>
      <c r="Y696" s="242"/>
      <c r="Z696" s="242"/>
      <c r="AA696" s="242"/>
      <c r="AB696" s="242"/>
    </row>
    <row r="697" hidden="1">
      <c r="A697" s="244" t="s">
        <v>4252</v>
      </c>
      <c r="B697" s="245" t="str">
        <f>VLOOKUP(A697,'تجربه‌گرها'!B:C,2,FALSE())</f>
        <v>9122251875</v>
      </c>
      <c r="C697" s="242"/>
      <c r="D697" s="242">
        <f t="shared" si="1"/>
        <v>1</v>
      </c>
      <c r="E697" s="242">
        <f>COUNTIFS('تجربه‌گرها'!$B:$B,$A697,'تجربه‌گرها'!$F:$F,E$1)</f>
        <v>0</v>
      </c>
      <c r="F697" s="242">
        <f>COUNTIFS('تجربه‌گرها'!$B:$B,$A697,'تجربه‌گرها'!$F:$F,F$1)</f>
        <v>0</v>
      </c>
      <c r="G697" s="242">
        <f>COUNTIFS('تجربه‌گرها'!$B:$B,$A697,'تجربه‌گرها'!$F:$F,G$1)</f>
        <v>0</v>
      </c>
      <c r="H697" s="242">
        <f>COUNTIFS('تجربه‌گرها'!$B:$B,$A697,'تجربه‌گرها'!$F:$F,H$1)</f>
        <v>0</v>
      </c>
      <c r="I697" s="242">
        <f>COUNTIFS('تجربه‌گرها'!$B:$B,$A697,'تجربه‌گرها'!$F:$F,I$1)</f>
        <v>0</v>
      </c>
      <c r="J697" s="242">
        <f>COUNTIFS('تجربه‌گرها'!$B:$B,$A697,'تجربه‌گرها'!$F:$F,J$1)</f>
        <v>0</v>
      </c>
      <c r="K697" s="242">
        <f>COUNTIFS('تجربه‌گرها'!$B:$B,$A697,'تجربه‌گرها'!$F:$F,K$1)</f>
        <v>1</v>
      </c>
      <c r="L697" s="242">
        <f>COUNTIFS('تجربه‌گرها'!$B:$B,$A697,'تجربه‌گرها'!$F:$F,L$1)</f>
        <v>0</v>
      </c>
      <c r="M697" s="242">
        <f>COUNTIFS('تجربه‌گرها'!$B:$B,$A697,'تجربه‌گرها'!$F:$F,M$1)</f>
        <v>0</v>
      </c>
      <c r="N697" s="242">
        <f>COUNTIFS('تجربه‌گرها'!$B:$B,$A697,'تجربه‌گرها'!$F:$F,N$1)</f>
        <v>0</v>
      </c>
      <c r="O697" s="242">
        <f>COUNTIFS('تجربه‌گرها'!$B:$B,$A697,'تجربه‌گرها'!$F:$F,O$1)</f>
        <v>0</v>
      </c>
      <c r="P697" s="242">
        <f>COUNTIFS('تجربه‌گرها'!$B:$B,$A697,'تجربه‌گرها'!$F:$F,P$1)</f>
        <v>0</v>
      </c>
      <c r="Q697" s="242">
        <f>COUNTIFS('تجربه‌گرها'!$B:$B,$A697,'تجربه‌گرها'!$F:$F,Q$1)</f>
        <v>0</v>
      </c>
      <c r="R697" s="242">
        <f>COUNTIFS('تجربه‌گرها'!$B:$B,$A697,'تجربه‌گرها'!$F:$F,R$1)</f>
        <v>0</v>
      </c>
      <c r="S697" s="242">
        <f>COUNTIFS('تجربه‌گرها'!$B:$B,$A697,'تجربه‌گرها'!$F:$F,S$1)</f>
        <v>0</v>
      </c>
      <c r="T697" s="242">
        <f>COUNTIFS('تجربه‌گرها'!$B:$B,$A697,'تجربه‌گرها'!$F:$F,T$1)</f>
        <v>0</v>
      </c>
      <c r="U697" s="242"/>
      <c r="V697" s="242"/>
      <c r="W697" s="242"/>
      <c r="X697" s="242"/>
      <c r="Y697" s="242"/>
      <c r="Z697" s="242"/>
      <c r="AA697" s="242"/>
      <c r="AB697" s="242"/>
    </row>
    <row r="698" hidden="1">
      <c r="A698" s="244" t="s">
        <v>4258</v>
      </c>
      <c r="B698" s="245" t="str">
        <f>VLOOKUP(A698,'تجربه‌گرها'!B:C,2,FALSE())</f>
        <v>9196842725</v>
      </c>
      <c r="C698" s="242"/>
      <c r="D698" s="242">
        <f t="shared" si="1"/>
        <v>1</v>
      </c>
      <c r="E698" s="242">
        <f>COUNTIFS('تجربه‌گرها'!$B:$B,$A698,'تجربه‌گرها'!$F:$F,E$1)</f>
        <v>0</v>
      </c>
      <c r="F698" s="242">
        <f>COUNTIFS('تجربه‌گرها'!$B:$B,$A698,'تجربه‌گرها'!$F:$F,F$1)</f>
        <v>0</v>
      </c>
      <c r="G698" s="242">
        <f>COUNTIFS('تجربه‌گرها'!$B:$B,$A698,'تجربه‌گرها'!$F:$F,G$1)</f>
        <v>0</v>
      </c>
      <c r="H698" s="242">
        <f>COUNTIFS('تجربه‌گرها'!$B:$B,$A698,'تجربه‌گرها'!$F:$F,H$1)</f>
        <v>0</v>
      </c>
      <c r="I698" s="242">
        <f>COUNTIFS('تجربه‌گرها'!$B:$B,$A698,'تجربه‌گرها'!$F:$F,I$1)</f>
        <v>0</v>
      </c>
      <c r="J698" s="242">
        <f>COUNTIFS('تجربه‌گرها'!$B:$B,$A698,'تجربه‌گرها'!$F:$F,J$1)</f>
        <v>0</v>
      </c>
      <c r="K698" s="242">
        <f>COUNTIFS('تجربه‌گرها'!$B:$B,$A698,'تجربه‌گرها'!$F:$F,K$1)</f>
        <v>1</v>
      </c>
      <c r="L698" s="242">
        <f>COUNTIFS('تجربه‌گرها'!$B:$B,$A698,'تجربه‌گرها'!$F:$F,L$1)</f>
        <v>0</v>
      </c>
      <c r="M698" s="242">
        <f>COUNTIFS('تجربه‌گرها'!$B:$B,$A698,'تجربه‌گرها'!$F:$F,M$1)</f>
        <v>0</v>
      </c>
      <c r="N698" s="242">
        <f>COUNTIFS('تجربه‌گرها'!$B:$B,$A698,'تجربه‌گرها'!$F:$F,N$1)</f>
        <v>0</v>
      </c>
      <c r="O698" s="242">
        <f>COUNTIFS('تجربه‌گرها'!$B:$B,$A698,'تجربه‌گرها'!$F:$F,O$1)</f>
        <v>0</v>
      </c>
      <c r="P698" s="242">
        <f>COUNTIFS('تجربه‌گرها'!$B:$B,$A698,'تجربه‌گرها'!$F:$F,P$1)</f>
        <v>0</v>
      </c>
      <c r="Q698" s="242">
        <f>COUNTIFS('تجربه‌گرها'!$B:$B,$A698,'تجربه‌گرها'!$F:$F,Q$1)</f>
        <v>0</v>
      </c>
      <c r="R698" s="242">
        <f>COUNTIFS('تجربه‌گرها'!$B:$B,$A698,'تجربه‌گرها'!$F:$F,R$1)</f>
        <v>0</v>
      </c>
      <c r="S698" s="242">
        <f>COUNTIFS('تجربه‌گرها'!$B:$B,$A698,'تجربه‌گرها'!$F:$F,S$1)</f>
        <v>0</v>
      </c>
      <c r="T698" s="242">
        <f>COUNTIFS('تجربه‌گرها'!$B:$B,$A698,'تجربه‌گرها'!$F:$F,T$1)</f>
        <v>0</v>
      </c>
      <c r="U698" s="242"/>
      <c r="V698" s="242"/>
      <c r="W698" s="242"/>
      <c r="X698" s="242"/>
      <c r="Y698" s="242"/>
      <c r="Z698" s="242"/>
      <c r="AA698" s="242"/>
      <c r="AB698" s="242"/>
    </row>
    <row r="699" hidden="1">
      <c r="A699" s="244" t="s">
        <v>4262</v>
      </c>
      <c r="B699" s="245" t="str">
        <f>VLOOKUP(A699,'تجربه‌گرها'!B:C,2,FALSE())</f>
        <v>9903329231</v>
      </c>
      <c r="C699" s="242"/>
      <c r="D699" s="242">
        <f t="shared" si="1"/>
        <v>1</v>
      </c>
      <c r="E699" s="242">
        <f>COUNTIFS('تجربه‌گرها'!$B:$B,$A699,'تجربه‌گرها'!$F:$F,E$1)</f>
        <v>0</v>
      </c>
      <c r="F699" s="242">
        <f>COUNTIFS('تجربه‌گرها'!$B:$B,$A699,'تجربه‌گرها'!$F:$F,F$1)</f>
        <v>0</v>
      </c>
      <c r="G699" s="242">
        <f>COUNTIFS('تجربه‌گرها'!$B:$B,$A699,'تجربه‌گرها'!$F:$F,G$1)</f>
        <v>0</v>
      </c>
      <c r="H699" s="242">
        <f>COUNTIFS('تجربه‌گرها'!$B:$B,$A699,'تجربه‌گرها'!$F:$F,H$1)</f>
        <v>0</v>
      </c>
      <c r="I699" s="242">
        <f>COUNTIFS('تجربه‌گرها'!$B:$B,$A699,'تجربه‌گرها'!$F:$F,I$1)</f>
        <v>0</v>
      </c>
      <c r="J699" s="242">
        <f>COUNTIFS('تجربه‌گرها'!$B:$B,$A699,'تجربه‌گرها'!$F:$F,J$1)</f>
        <v>0</v>
      </c>
      <c r="K699" s="242">
        <f>COUNTIFS('تجربه‌گرها'!$B:$B,$A699,'تجربه‌گرها'!$F:$F,K$1)</f>
        <v>1</v>
      </c>
      <c r="L699" s="242">
        <f>COUNTIFS('تجربه‌گرها'!$B:$B,$A699,'تجربه‌گرها'!$F:$F,L$1)</f>
        <v>0</v>
      </c>
      <c r="M699" s="242">
        <f>COUNTIFS('تجربه‌گرها'!$B:$B,$A699,'تجربه‌گرها'!$F:$F,M$1)</f>
        <v>0</v>
      </c>
      <c r="N699" s="242">
        <f>COUNTIFS('تجربه‌گرها'!$B:$B,$A699,'تجربه‌گرها'!$F:$F,N$1)</f>
        <v>0</v>
      </c>
      <c r="O699" s="242">
        <f>COUNTIFS('تجربه‌گرها'!$B:$B,$A699,'تجربه‌گرها'!$F:$F,O$1)</f>
        <v>0</v>
      </c>
      <c r="P699" s="242">
        <f>COUNTIFS('تجربه‌گرها'!$B:$B,$A699,'تجربه‌گرها'!$F:$F,P$1)</f>
        <v>0</v>
      </c>
      <c r="Q699" s="242">
        <f>COUNTIFS('تجربه‌گرها'!$B:$B,$A699,'تجربه‌گرها'!$F:$F,Q$1)</f>
        <v>0</v>
      </c>
      <c r="R699" s="242">
        <f>COUNTIFS('تجربه‌گرها'!$B:$B,$A699,'تجربه‌گرها'!$F:$F,R$1)</f>
        <v>0</v>
      </c>
      <c r="S699" s="242">
        <f>COUNTIFS('تجربه‌گرها'!$B:$B,$A699,'تجربه‌گرها'!$F:$F,S$1)</f>
        <v>0</v>
      </c>
      <c r="T699" s="242">
        <f>COUNTIFS('تجربه‌گرها'!$B:$B,$A699,'تجربه‌گرها'!$F:$F,T$1)</f>
        <v>0</v>
      </c>
      <c r="U699" s="242"/>
      <c r="V699" s="242"/>
      <c r="W699" s="242"/>
      <c r="X699" s="242"/>
      <c r="Y699" s="242"/>
      <c r="Z699" s="242"/>
      <c r="AA699" s="242"/>
      <c r="AB699" s="242"/>
    </row>
    <row r="700" hidden="1">
      <c r="A700" s="244" t="s">
        <v>4267</v>
      </c>
      <c r="B700" s="245" t="str">
        <f>VLOOKUP(A700,'تجربه‌گرها'!B:C,2,FALSE())</f>
        <v>9304187810</v>
      </c>
      <c r="C700" s="242"/>
      <c r="D700" s="242">
        <f t="shared" si="1"/>
        <v>1</v>
      </c>
      <c r="E700" s="242">
        <f>COUNTIFS('تجربه‌گرها'!$B:$B,$A700,'تجربه‌گرها'!$F:$F,E$1)</f>
        <v>0</v>
      </c>
      <c r="F700" s="242">
        <f>COUNTIFS('تجربه‌گرها'!$B:$B,$A700,'تجربه‌گرها'!$F:$F,F$1)</f>
        <v>0</v>
      </c>
      <c r="G700" s="242">
        <f>COUNTIFS('تجربه‌گرها'!$B:$B,$A700,'تجربه‌گرها'!$F:$F,G$1)</f>
        <v>0</v>
      </c>
      <c r="H700" s="242">
        <f>COUNTIFS('تجربه‌گرها'!$B:$B,$A700,'تجربه‌گرها'!$F:$F,H$1)</f>
        <v>0</v>
      </c>
      <c r="I700" s="242">
        <f>COUNTIFS('تجربه‌گرها'!$B:$B,$A700,'تجربه‌گرها'!$F:$F,I$1)</f>
        <v>0</v>
      </c>
      <c r="J700" s="242">
        <f>COUNTIFS('تجربه‌گرها'!$B:$B,$A700,'تجربه‌گرها'!$F:$F,J$1)</f>
        <v>0</v>
      </c>
      <c r="K700" s="242">
        <f>COUNTIFS('تجربه‌گرها'!$B:$B,$A700,'تجربه‌گرها'!$F:$F,K$1)</f>
        <v>1</v>
      </c>
      <c r="L700" s="242">
        <f>COUNTIFS('تجربه‌گرها'!$B:$B,$A700,'تجربه‌گرها'!$F:$F,L$1)</f>
        <v>0</v>
      </c>
      <c r="M700" s="242">
        <f>COUNTIFS('تجربه‌گرها'!$B:$B,$A700,'تجربه‌گرها'!$F:$F,M$1)</f>
        <v>0</v>
      </c>
      <c r="N700" s="242">
        <f>COUNTIFS('تجربه‌گرها'!$B:$B,$A700,'تجربه‌گرها'!$F:$F,N$1)</f>
        <v>0</v>
      </c>
      <c r="O700" s="242">
        <f>COUNTIFS('تجربه‌گرها'!$B:$B,$A700,'تجربه‌گرها'!$F:$F,O$1)</f>
        <v>0</v>
      </c>
      <c r="P700" s="242">
        <f>COUNTIFS('تجربه‌گرها'!$B:$B,$A700,'تجربه‌گرها'!$F:$F,P$1)</f>
        <v>0</v>
      </c>
      <c r="Q700" s="242">
        <f>COUNTIFS('تجربه‌گرها'!$B:$B,$A700,'تجربه‌گرها'!$F:$F,Q$1)</f>
        <v>0</v>
      </c>
      <c r="R700" s="242">
        <f>COUNTIFS('تجربه‌گرها'!$B:$B,$A700,'تجربه‌گرها'!$F:$F,R$1)</f>
        <v>0</v>
      </c>
      <c r="S700" s="242">
        <f>COUNTIFS('تجربه‌گرها'!$B:$B,$A700,'تجربه‌گرها'!$F:$F,S$1)</f>
        <v>0</v>
      </c>
      <c r="T700" s="242">
        <f>COUNTIFS('تجربه‌گرها'!$B:$B,$A700,'تجربه‌گرها'!$F:$F,T$1)</f>
        <v>0</v>
      </c>
      <c r="U700" s="242"/>
      <c r="V700" s="242"/>
      <c r="W700" s="242"/>
      <c r="X700" s="242"/>
      <c r="Y700" s="242"/>
      <c r="Z700" s="242"/>
      <c r="AA700" s="242"/>
      <c r="AB700" s="242"/>
    </row>
    <row r="701" hidden="1">
      <c r="A701" s="244" t="s">
        <v>3092</v>
      </c>
      <c r="B701" s="245" t="str">
        <f>VLOOKUP(A701,'تجربه‌گرها'!B:C,2,FALSE())</f>
        <v>9102412658</v>
      </c>
      <c r="C701" s="242"/>
      <c r="D701" s="242">
        <f t="shared" si="1"/>
        <v>1</v>
      </c>
      <c r="E701" s="242">
        <f>COUNTIFS('تجربه‌گرها'!$B:$B,$A701,'تجربه‌گرها'!$F:$F,E$1)</f>
        <v>0</v>
      </c>
      <c r="F701" s="242">
        <f>COUNTIFS('تجربه‌گرها'!$B:$B,$A701,'تجربه‌گرها'!$F:$F,F$1)</f>
        <v>0</v>
      </c>
      <c r="G701" s="242">
        <f>COUNTIFS('تجربه‌گرها'!$B:$B,$A701,'تجربه‌گرها'!$F:$F,G$1)</f>
        <v>0</v>
      </c>
      <c r="H701" s="242">
        <f>COUNTIFS('تجربه‌گرها'!$B:$B,$A701,'تجربه‌گرها'!$F:$F,H$1)</f>
        <v>0</v>
      </c>
      <c r="I701" s="242">
        <f>COUNTIFS('تجربه‌گرها'!$B:$B,$A701,'تجربه‌گرها'!$F:$F,I$1)</f>
        <v>0</v>
      </c>
      <c r="J701" s="242">
        <f>COUNTIFS('تجربه‌گرها'!$B:$B,$A701,'تجربه‌گرها'!$F:$F,J$1)</f>
        <v>0</v>
      </c>
      <c r="K701" s="242">
        <f>COUNTIFS('تجربه‌گرها'!$B:$B,$A701,'تجربه‌گرها'!$F:$F,K$1)</f>
        <v>1</v>
      </c>
      <c r="L701" s="242">
        <f>COUNTIFS('تجربه‌گرها'!$B:$B,$A701,'تجربه‌گرها'!$F:$F,L$1)</f>
        <v>0</v>
      </c>
      <c r="M701" s="242">
        <f>COUNTIFS('تجربه‌گرها'!$B:$B,$A701,'تجربه‌گرها'!$F:$F,M$1)</f>
        <v>0</v>
      </c>
      <c r="N701" s="242">
        <f>COUNTIFS('تجربه‌گرها'!$B:$B,$A701,'تجربه‌گرها'!$F:$F,N$1)</f>
        <v>0</v>
      </c>
      <c r="O701" s="242">
        <f>COUNTIFS('تجربه‌گرها'!$B:$B,$A701,'تجربه‌گرها'!$F:$F,O$1)</f>
        <v>0</v>
      </c>
      <c r="P701" s="242">
        <f>COUNTIFS('تجربه‌گرها'!$B:$B,$A701,'تجربه‌گرها'!$F:$F,P$1)</f>
        <v>0</v>
      </c>
      <c r="Q701" s="242">
        <f>COUNTIFS('تجربه‌گرها'!$B:$B,$A701,'تجربه‌گرها'!$F:$F,Q$1)</f>
        <v>0</v>
      </c>
      <c r="R701" s="242">
        <f>COUNTIFS('تجربه‌گرها'!$B:$B,$A701,'تجربه‌گرها'!$F:$F,R$1)</f>
        <v>0</v>
      </c>
      <c r="S701" s="242">
        <f>COUNTIFS('تجربه‌گرها'!$B:$B,$A701,'تجربه‌گرها'!$F:$F,S$1)</f>
        <v>0</v>
      </c>
      <c r="T701" s="242">
        <f>COUNTIFS('تجربه‌گرها'!$B:$B,$A701,'تجربه‌گرها'!$F:$F,T$1)</f>
        <v>0</v>
      </c>
      <c r="U701" s="242"/>
      <c r="V701" s="242"/>
      <c r="W701" s="242"/>
      <c r="X701" s="242"/>
      <c r="Y701" s="242"/>
      <c r="Z701" s="242"/>
      <c r="AA701" s="242"/>
      <c r="AB701" s="242"/>
    </row>
    <row r="702" hidden="1">
      <c r="A702" s="244" t="s">
        <v>222</v>
      </c>
      <c r="B702" s="245" t="str">
        <f>VLOOKUP(A702,'تجربه‌گرها'!B:C,2,FALSE())</f>
        <v>9363966160</v>
      </c>
      <c r="C702" s="242"/>
      <c r="D702" s="242">
        <f t="shared" si="1"/>
        <v>1</v>
      </c>
      <c r="E702" s="242">
        <f>COUNTIFS('تجربه‌گرها'!$B:$B,$A702,'تجربه‌گرها'!$F:$F,E$1)</f>
        <v>0</v>
      </c>
      <c r="F702" s="242">
        <f>COUNTIFS('تجربه‌گرها'!$B:$B,$A702,'تجربه‌گرها'!$F:$F,F$1)</f>
        <v>0</v>
      </c>
      <c r="G702" s="242">
        <f>COUNTIFS('تجربه‌گرها'!$B:$B,$A702,'تجربه‌گرها'!$F:$F,G$1)</f>
        <v>0</v>
      </c>
      <c r="H702" s="242">
        <f>COUNTIFS('تجربه‌گرها'!$B:$B,$A702,'تجربه‌گرها'!$F:$F,H$1)</f>
        <v>0</v>
      </c>
      <c r="I702" s="242">
        <f>COUNTIFS('تجربه‌گرها'!$B:$B,$A702,'تجربه‌گرها'!$F:$F,I$1)</f>
        <v>0</v>
      </c>
      <c r="J702" s="242">
        <f>COUNTIFS('تجربه‌گرها'!$B:$B,$A702,'تجربه‌گرها'!$F:$F,J$1)</f>
        <v>0</v>
      </c>
      <c r="K702" s="242">
        <f>COUNTIFS('تجربه‌گرها'!$B:$B,$A702,'تجربه‌گرها'!$F:$F,K$1)</f>
        <v>1</v>
      </c>
      <c r="L702" s="242">
        <f>COUNTIFS('تجربه‌گرها'!$B:$B,$A702,'تجربه‌گرها'!$F:$F,L$1)</f>
        <v>0</v>
      </c>
      <c r="M702" s="242">
        <f>COUNTIFS('تجربه‌گرها'!$B:$B,$A702,'تجربه‌گرها'!$F:$F,M$1)</f>
        <v>0</v>
      </c>
      <c r="N702" s="242">
        <f>COUNTIFS('تجربه‌گرها'!$B:$B,$A702,'تجربه‌گرها'!$F:$F,N$1)</f>
        <v>0</v>
      </c>
      <c r="O702" s="242">
        <f>COUNTIFS('تجربه‌گرها'!$B:$B,$A702,'تجربه‌گرها'!$F:$F,O$1)</f>
        <v>0</v>
      </c>
      <c r="P702" s="242">
        <f>COUNTIFS('تجربه‌گرها'!$B:$B,$A702,'تجربه‌گرها'!$F:$F,P$1)</f>
        <v>0</v>
      </c>
      <c r="Q702" s="242">
        <f>COUNTIFS('تجربه‌گرها'!$B:$B,$A702,'تجربه‌گرها'!$F:$F,Q$1)</f>
        <v>0</v>
      </c>
      <c r="R702" s="242">
        <f>COUNTIFS('تجربه‌گرها'!$B:$B,$A702,'تجربه‌گرها'!$F:$F,R$1)</f>
        <v>0</v>
      </c>
      <c r="S702" s="242">
        <f>COUNTIFS('تجربه‌گرها'!$B:$B,$A702,'تجربه‌گرها'!$F:$F,S$1)</f>
        <v>0</v>
      </c>
      <c r="T702" s="242">
        <f>COUNTIFS('تجربه‌گرها'!$B:$B,$A702,'تجربه‌گرها'!$F:$F,T$1)</f>
        <v>0</v>
      </c>
      <c r="U702" s="242"/>
      <c r="V702" s="242"/>
      <c r="W702" s="242"/>
      <c r="X702" s="242"/>
      <c r="Y702" s="242"/>
      <c r="Z702" s="242"/>
      <c r="AA702" s="242"/>
      <c r="AB702" s="242"/>
    </row>
    <row r="703" hidden="1">
      <c r="A703" s="244" t="s">
        <v>4279</v>
      </c>
      <c r="B703" s="245" t="str">
        <f>VLOOKUP(A703,'تجربه‌گرها'!B:C,2,FALSE())</f>
        <v>9129218305</v>
      </c>
      <c r="C703" s="242"/>
      <c r="D703" s="242">
        <f t="shared" si="1"/>
        <v>1</v>
      </c>
      <c r="E703" s="242">
        <f>COUNTIFS('تجربه‌گرها'!$B:$B,$A703,'تجربه‌گرها'!$F:$F,E$1)</f>
        <v>0</v>
      </c>
      <c r="F703" s="242">
        <f>COUNTIFS('تجربه‌گرها'!$B:$B,$A703,'تجربه‌گرها'!$F:$F,F$1)</f>
        <v>0</v>
      </c>
      <c r="G703" s="242">
        <f>COUNTIFS('تجربه‌گرها'!$B:$B,$A703,'تجربه‌گرها'!$F:$F,G$1)</f>
        <v>0</v>
      </c>
      <c r="H703" s="242">
        <f>COUNTIFS('تجربه‌گرها'!$B:$B,$A703,'تجربه‌گرها'!$F:$F,H$1)</f>
        <v>0</v>
      </c>
      <c r="I703" s="242">
        <f>COUNTIFS('تجربه‌گرها'!$B:$B,$A703,'تجربه‌گرها'!$F:$F,I$1)</f>
        <v>0</v>
      </c>
      <c r="J703" s="242">
        <f>COUNTIFS('تجربه‌گرها'!$B:$B,$A703,'تجربه‌گرها'!$F:$F,J$1)</f>
        <v>0</v>
      </c>
      <c r="K703" s="242">
        <f>COUNTIFS('تجربه‌گرها'!$B:$B,$A703,'تجربه‌گرها'!$F:$F,K$1)</f>
        <v>1</v>
      </c>
      <c r="L703" s="242">
        <f>COUNTIFS('تجربه‌گرها'!$B:$B,$A703,'تجربه‌گرها'!$F:$F,L$1)</f>
        <v>0</v>
      </c>
      <c r="M703" s="242">
        <f>COUNTIFS('تجربه‌گرها'!$B:$B,$A703,'تجربه‌گرها'!$F:$F,M$1)</f>
        <v>0</v>
      </c>
      <c r="N703" s="242">
        <f>COUNTIFS('تجربه‌گرها'!$B:$B,$A703,'تجربه‌گرها'!$F:$F,N$1)</f>
        <v>0</v>
      </c>
      <c r="O703" s="242">
        <f>COUNTIFS('تجربه‌گرها'!$B:$B,$A703,'تجربه‌گرها'!$F:$F,O$1)</f>
        <v>0</v>
      </c>
      <c r="P703" s="242">
        <f>COUNTIFS('تجربه‌گرها'!$B:$B,$A703,'تجربه‌گرها'!$F:$F,P$1)</f>
        <v>0</v>
      </c>
      <c r="Q703" s="242">
        <f>COUNTIFS('تجربه‌گرها'!$B:$B,$A703,'تجربه‌گرها'!$F:$F,Q$1)</f>
        <v>0</v>
      </c>
      <c r="R703" s="242">
        <f>COUNTIFS('تجربه‌گرها'!$B:$B,$A703,'تجربه‌گرها'!$F:$F,R$1)</f>
        <v>0</v>
      </c>
      <c r="S703" s="242">
        <f>COUNTIFS('تجربه‌گرها'!$B:$B,$A703,'تجربه‌گرها'!$F:$F,S$1)</f>
        <v>0</v>
      </c>
      <c r="T703" s="242">
        <f>COUNTIFS('تجربه‌گرها'!$B:$B,$A703,'تجربه‌گرها'!$F:$F,T$1)</f>
        <v>0</v>
      </c>
      <c r="U703" s="242"/>
      <c r="V703" s="242"/>
      <c r="W703" s="242"/>
      <c r="X703" s="242"/>
      <c r="Y703" s="242"/>
      <c r="Z703" s="242"/>
      <c r="AA703" s="242"/>
      <c r="AB703" s="242"/>
    </row>
    <row r="704" hidden="1">
      <c r="A704" s="244" t="s">
        <v>4284</v>
      </c>
      <c r="B704" s="245" t="str">
        <f>VLOOKUP(A704,'تجربه‌گرها'!B:C,2,FALSE())</f>
        <v>9193203700</v>
      </c>
      <c r="C704" s="242"/>
      <c r="D704" s="242">
        <f t="shared" si="1"/>
        <v>1</v>
      </c>
      <c r="E704" s="242">
        <f>COUNTIFS('تجربه‌گرها'!$B:$B,$A704,'تجربه‌گرها'!$F:$F,E$1)</f>
        <v>0</v>
      </c>
      <c r="F704" s="242">
        <f>COUNTIFS('تجربه‌گرها'!$B:$B,$A704,'تجربه‌گرها'!$F:$F,F$1)</f>
        <v>0</v>
      </c>
      <c r="G704" s="242">
        <f>COUNTIFS('تجربه‌گرها'!$B:$B,$A704,'تجربه‌گرها'!$F:$F,G$1)</f>
        <v>0</v>
      </c>
      <c r="H704" s="242">
        <f>COUNTIFS('تجربه‌گرها'!$B:$B,$A704,'تجربه‌گرها'!$F:$F,H$1)</f>
        <v>0</v>
      </c>
      <c r="I704" s="242">
        <f>COUNTIFS('تجربه‌گرها'!$B:$B,$A704,'تجربه‌گرها'!$F:$F,I$1)</f>
        <v>0</v>
      </c>
      <c r="J704" s="242">
        <f>COUNTIFS('تجربه‌گرها'!$B:$B,$A704,'تجربه‌گرها'!$F:$F,J$1)</f>
        <v>0</v>
      </c>
      <c r="K704" s="242">
        <f>COUNTIFS('تجربه‌گرها'!$B:$B,$A704,'تجربه‌گرها'!$F:$F,K$1)</f>
        <v>1</v>
      </c>
      <c r="L704" s="242">
        <f>COUNTIFS('تجربه‌گرها'!$B:$B,$A704,'تجربه‌گرها'!$F:$F,L$1)</f>
        <v>0</v>
      </c>
      <c r="M704" s="242">
        <f>COUNTIFS('تجربه‌گرها'!$B:$B,$A704,'تجربه‌گرها'!$F:$F,M$1)</f>
        <v>0</v>
      </c>
      <c r="N704" s="242">
        <f>COUNTIFS('تجربه‌گرها'!$B:$B,$A704,'تجربه‌گرها'!$F:$F,N$1)</f>
        <v>0</v>
      </c>
      <c r="O704" s="242">
        <f>COUNTIFS('تجربه‌گرها'!$B:$B,$A704,'تجربه‌گرها'!$F:$F,O$1)</f>
        <v>0</v>
      </c>
      <c r="P704" s="242">
        <f>COUNTIFS('تجربه‌گرها'!$B:$B,$A704,'تجربه‌گرها'!$F:$F,P$1)</f>
        <v>0</v>
      </c>
      <c r="Q704" s="242">
        <f>COUNTIFS('تجربه‌گرها'!$B:$B,$A704,'تجربه‌گرها'!$F:$F,Q$1)</f>
        <v>0</v>
      </c>
      <c r="R704" s="242">
        <f>COUNTIFS('تجربه‌گرها'!$B:$B,$A704,'تجربه‌گرها'!$F:$F,R$1)</f>
        <v>0</v>
      </c>
      <c r="S704" s="242">
        <f>COUNTIFS('تجربه‌گرها'!$B:$B,$A704,'تجربه‌گرها'!$F:$F,S$1)</f>
        <v>0</v>
      </c>
      <c r="T704" s="242">
        <f>COUNTIFS('تجربه‌گرها'!$B:$B,$A704,'تجربه‌گرها'!$F:$F,T$1)</f>
        <v>0</v>
      </c>
      <c r="U704" s="242"/>
      <c r="V704" s="242"/>
      <c r="W704" s="242"/>
      <c r="X704" s="242"/>
      <c r="Y704" s="242"/>
      <c r="Z704" s="242"/>
      <c r="AA704" s="242"/>
      <c r="AB704" s="242"/>
    </row>
    <row r="705" hidden="1">
      <c r="A705" s="244" t="s">
        <v>4289</v>
      </c>
      <c r="B705" s="245" t="str">
        <f>VLOOKUP(A705,'تجربه‌گرها'!B:C,2,FALSE())</f>
        <v>9192848236</v>
      </c>
      <c r="C705" s="242"/>
      <c r="D705" s="242">
        <f t="shared" si="1"/>
        <v>1</v>
      </c>
      <c r="E705" s="242">
        <f>COUNTIFS('تجربه‌گرها'!$B:$B,$A705,'تجربه‌گرها'!$F:$F,E$1)</f>
        <v>0</v>
      </c>
      <c r="F705" s="242">
        <f>COUNTIFS('تجربه‌گرها'!$B:$B,$A705,'تجربه‌گرها'!$F:$F,F$1)</f>
        <v>0</v>
      </c>
      <c r="G705" s="242">
        <f>COUNTIFS('تجربه‌گرها'!$B:$B,$A705,'تجربه‌گرها'!$F:$F,G$1)</f>
        <v>0</v>
      </c>
      <c r="H705" s="242">
        <f>COUNTIFS('تجربه‌گرها'!$B:$B,$A705,'تجربه‌گرها'!$F:$F,H$1)</f>
        <v>0</v>
      </c>
      <c r="I705" s="242">
        <f>COUNTIFS('تجربه‌گرها'!$B:$B,$A705,'تجربه‌گرها'!$F:$F,I$1)</f>
        <v>0</v>
      </c>
      <c r="J705" s="242">
        <f>COUNTIFS('تجربه‌گرها'!$B:$B,$A705,'تجربه‌گرها'!$F:$F,J$1)</f>
        <v>0</v>
      </c>
      <c r="K705" s="242">
        <f>COUNTIFS('تجربه‌گرها'!$B:$B,$A705,'تجربه‌گرها'!$F:$F,K$1)</f>
        <v>1</v>
      </c>
      <c r="L705" s="242">
        <f>COUNTIFS('تجربه‌گرها'!$B:$B,$A705,'تجربه‌گرها'!$F:$F,L$1)</f>
        <v>0</v>
      </c>
      <c r="M705" s="242">
        <f>COUNTIFS('تجربه‌گرها'!$B:$B,$A705,'تجربه‌گرها'!$F:$F,M$1)</f>
        <v>0</v>
      </c>
      <c r="N705" s="242">
        <f>COUNTIFS('تجربه‌گرها'!$B:$B,$A705,'تجربه‌گرها'!$F:$F,N$1)</f>
        <v>0</v>
      </c>
      <c r="O705" s="242">
        <f>COUNTIFS('تجربه‌گرها'!$B:$B,$A705,'تجربه‌گرها'!$F:$F,O$1)</f>
        <v>0</v>
      </c>
      <c r="P705" s="242">
        <f>COUNTIFS('تجربه‌گرها'!$B:$B,$A705,'تجربه‌گرها'!$F:$F,P$1)</f>
        <v>0</v>
      </c>
      <c r="Q705" s="242">
        <f>COUNTIFS('تجربه‌گرها'!$B:$B,$A705,'تجربه‌گرها'!$F:$F,Q$1)</f>
        <v>0</v>
      </c>
      <c r="R705" s="242">
        <f>COUNTIFS('تجربه‌گرها'!$B:$B,$A705,'تجربه‌گرها'!$F:$F,R$1)</f>
        <v>0</v>
      </c>
      <c r="S705" s="242">
        <f>COUNTIFS('تجربه‌گرها'!$B:$B,$A705,'تجربه‌گرها'!$F:$F,S$1)</f>
        <v>0</v>
      </c>
      <c r="T705" s="242">
        <f>COUNTIFS('تجربه‌گرها'!$B:$B,$A705,'تجربه‌گرها'!$F:$F,T$1)</f>
        <v>0</v>
      </c>
      <c r="U705" s="242"/>
      <c r="V705" s="242"/>
      <c r="W705" s="242"/>
      <c r="X705" s="242"/>
      <c r="Y705" s="242"/>
      <c r="Z705" s="242"/>
      <c r="AA705" s="242"/>
      <c r="AB705" s="242"/>
    </row>
    <row r="706" hidden="1">
      <c r="A706" s="244" t="s">
        <v>4294</v>
      </c>
      <c r="B706" s="245" t="str">
        <f>VLOOKUP(A706,'تجربه‌گرها'!B:C,2,FALSE())</f>
        <v>9212434582</v>
      </c>
      <c r="C706" s="242"/>
      <c r="D706" s="242">
        <f t="shared" si="1"/>
        <v>1</v>
      </c>
      <c r="E706" s="242">
        <f>COUNTIFS('تجربه‌گرها'!$B:$B,$A706,'تجربه‌گرها'!$F:$F,E$1)</f>
        <v>0</v>
      </c>
      <c r="F706" s="242">
        <f>COUNTIFS('تجربه‌گرها'!$B:$B,$A706,'تجربه‌گرها'!$F:$F,F$1)</f>
        <v>0</v>
      </c>
      <c r="G706" s="242">
        <f>COUNTIFS('تجربه‌گرها'!$B:$B,$A706,'تجربه‌گرها'!$F:$F,G$1)</f>
        <v>0</v>
      </c>
      <c r="H706" s="242">
        <f>COUNTIFS('تجربه‌گرها'!$B:$B,$A706,'تجربه‌گرها'!$F:$F,H$1)</f>
        <v>0</v>
      </c>
      <c r="I706" s="242">
        <f>COUNTIFS('تجربه‌گرها'!$B:$B,$A706,'تجربه‌گرها'!$F:$F,I$1)</f>
        <v>0</v>
      </c>
      <c r="J706" s="242">
        <f>COUNTIFS('تجربه‌گرها'!$B:$B,$A706,'تجربه‌گرها'!$F:$F,J$1)</f>
        <v>0</v>
      </c>
      <c r="K706" s="242">
        <f>COUNTIFS('تجربه‌گرها'!$B:$B,$A706,'تجربه‌گرها'!$F:$F,K$1)</f>
        <v>1</v>
      </c>
      <c r="L706" s="242">
        <f>COUNTIFS('تجربه‌گرها'!$B:$B,$A706,'تجربه‌گرها'!$F:$F,L$1)</f>
        <v>0</v>
      </c>
      <c r="M706" s="242">
        <f>COUNTIFS('تجربه‌گرها'!$B:$B,$A706,'تجربه‌گرها'!$F:$F,M$1)</f>
        <v>0</v>
      </c>
      <c r="N706" s="242">
        <f>COUNTIFS('تجربه‌گرها'!$B:$B,$A706,'تجربه‌گرها'!$F:$F,N$1)</f>
        <v>0</v>
      </c>
      <c r="O706" s="242">
        <f>COUNTIFS('تجربه‌گرها'!$B:$B,$A706,'تجربه‌گرها'!$F:$F,O$1)</f>
        <v>0</v>
      </c>
      <c r="P706" s="242">
        <f>COUNTIFS('تجربه‌گرها'!$B:$B,$A706,'تجربه‌گرها'!$F:$F,P$1)</f>
        <v>0</v>
      </c>
      <c r="Q706" s="242">
        <f>COUNTIFS('تجربه‌گرها'!$B:$B,$A706,'تجربه‌گرها'!$F:$F,Q$1)</f>
        <v>0</v>
      </c>
      <c r="R706" s="242">
        <f>COUNTIFS('تجربه‌گرها'!$B:$B,$A706,'تجربه‌گرها'!$F:$F,R$1)</f>
        <v>0</v>
      </c>
      <c r="S706" s="242">
        <f>COUNTIFS('تجربه‌گرها'!$B:$B,$A706,'تجربه‌گرها'!$F:$F,S$1)</f>
        <v>0</v>
      </c>
      <c r="T706" s="242">
        <f>COUNTIFS('تجربه‌گرها'!$B:$B,$A706,'تجربه‌گرها'!$F:$F,T$1)</f>
        <v>0</v>
      </c>
      <c r="U706" s="242"/>
      <c r="V706" s="242"/>
      <c r="W706" s="242"/>
      <c r="X706" s="242"/>
      <c r="Y706" s="242"/>
      <c r="Z706" s="242"/>
      <c r="AA706" s="242"/>
      <c r="AB706" s="242"/>
    </row>
    <row r="707" hidden="1">
      <c r="A707" s="244" t="s">
        <v>4299</v>
      </c>
      <c r="B707" s="245" t="str">
        <f>VLOOKUP(A707,'تجربه‌گرها'!B:C,2,FALSE())</f>
        <v>9397848583</v>
      </c>
      <c r="C707" s="242"/>
      <c r="D707" s="242">
        <f t="shared" si="1"/>
        <v>1</v>
      </c>
      <c r="E707" s="242">
        <f>COUNTIFS('تجربه‌گرها'!$B:$B,$A707,'تجربه‌گرها'!$F:$F,E$1)</f>
        <v>0</v>
      </c>
      <c r="F707" s="242">
        <f>COUNTIFS('تجربه‌گرها'!$B:$B,$A707,'تجربه‌گرها'!$F:$F,F$1)</f>
        <v>0</v>
      </c>
      <c r="G707" s="242">
        <f>COUNTIFS('تجربه‌گرها'!$B:$B,$A707,'تجربه‌گرها'!$F:$F,G$1)</f>
        <v>0</v>
      </c>
      <c r="H707" s="242">
        <f>COUNTIFS('تجربه‌گرها'!$B:$B,$A707,'تجربه‌گرها'!$F:$F,H$1)</f>
        <v>0</v>
      </c>
      <c r="I707" s="242">
        <f>COUNTIFS('تجربه‌گرها'!$B:$B,$A707,'تجربه‌گرها'!$F:$F,I$1)</f>
        <v>0</v>
      </c>
      <c r="J707" s="242">
        <f>COUNTIFS('تجربه‌گرها'!$B:$B,$A707,'تجربه‌گرها'!$F:$F,J$1)</f>
        <v>0</v>
      </c>
      <c r="K707" s="242">
        <f>COUNTIFS('تجربه‌گرها'!$B:$B,$A707,'تجربه‌گرها'!$F:$F,K$1)</f>
        <v>1</v>
      </c>
      <c r="L707" s="242">
        <f>COUNTIFS('تجربه‌گرها'!$B:$B,$A707,'تجربه‌گرها'!$F:$F,L$1)</f>
        <v>0</v>
      </c>
      <c r="M707" s="242">
        <f>COUNTIFS('تجربه‌گرها'!$B:$B,$A707,'تجربه‌گرها'!$F:$F,M$1)</f>
        <v>0</v>
      </c>
      <c r="N707" s="242">
        <f>COUNTIFS('تجربه‌گرها'!$B:$B,$A707,'تجربه‌گرها'!$F:$F,N$1)</f>
        <v>0</v>
      </c>
      <c r="O707" s="242">
        <f>COUNTIFS('تجربه‌گرها'!$B:$B,$A707,'تجربه‌گرها'!$F:$F,O$1)</f>
        <v>0</v>
      </c>
      <c r="P707" s="242">
        <f>COUNTIFS('تجربه‌گرها'!$B:$B,$A707,'تجربه‌گرها'!$F:$F,P$1)</f>
        <v>0</v>
      </c>
      <c r="Q707" s="242">
        <f>COUNTIFS('تجربه‌گرها'!$B:$B,$A707,'تجربه‌گرها'!$F:$F,Q$1)</f>
        <v>0</v>
      </c>
      <c r="R707" s="242">
        <f>COUNTIFS('تجربه‌گرها'!$B:$B,$A707,'تجربه‌گرها'!$F:$F,R$1)</f>
        <v>0</v>
      </c>
      <c r="S707" s="242">
        <f>COUNTIFS('تجربه‌گرها'!$B:$B,$A707,'تجربه‌گرها'!$F:$F,S$1)</f>
        <v>0</v>
      </c>
      <c r="T707" s="242">
        <f>COUNTIFS('تجربه‌گرها'!$B:$B,$A707,'تجربه‌گرها'!$F:$F,T$1)</f>
        <v>0</v>
      </c>
      <c r="U707" s="242"/>
      <c r="V707" s="242"/>
      <c r="W707" s="242"/>
      <c r="X707" s="242"/>
      <c r="Y707" s="242"/>
      <c r="Z707" s="242"/>
      <c r="AA707" s="242"/>
      <c r="AB707" s="242"/>
    </row>
    <row r="708" hidden="1">
      <c r="A708" s="244" t="s">
        <v>4305</v>
      </c>
      <c r="B708" s="245" t="str">
        <f>VLOOKUP(A708,'تجربه‌گرها'!B:C,2,FALSE())</f>
        <v>9126595179</v>
      </c>
      <c r="C708" s="242"/>
      <c r="D708" s="242">
        <f t="shared" si="1"/>
        <v>1</v>
      </c>
      <c r="E708" s="242">
        <f>COUNTIFS('تجربه‌گرها'!$B:$B,$A708,'تجربه‌گرها'!$F:$F,E$1)</f>
        <v>0</v>
      </c>
      <c r="F708" s="242">
        <f>COUNTIFS('تجربه‌گرها'!$B:$B,$A708,'تجربه‌گرها'!$F:$F,F$1)</f>
        <v>0</v>
      </c>
      <c r="G708" s="242">
        <f>COUNTIFS('تجربه‌گرها'!$B:$B,$A708,'تجربه‌گرها'!$F:$F,G$1)</f>
        <v>0</v>
      </c>
      <c r="H708" s="242">
        <f>COUNTIFS('تجربه‌گرها'!$B:$B,$A708,'تجربه‌گرها'!$F:$F,H$1)</f>
        <v>0</v>
      </c>
      <c r="I708" s="242">
        <f>COUNTIFS('تجربه‌گرها'!$B:$B,$A708,'تجربه‌گرها'!$F:$F,I$1)</f>
        <v>0</v>
      </c>
      <c r="J708" s="242">
        <f>COUNTIFS('تجربه‌گرها'!$B:$B,$A708,'تجربه‌گرها'!$F:$F,J$1)</f>
        <v>0</v>
      </c>
      <c r="K708" s="242">
        <f>COUNTIFS('تجربه‌گرها'!$B:$B,$A708,'تجربه‌گرها'!$F:$F,K$1)</f>
        <v>1</v>
      </c>
      <c r="L708" s="242">
        <f>COUNTIFS('تجربه‌گرها'!$B:$B,$A708,'تجربه‌گرها'!$F:$F,L$1)</f>
        <v>0</v>
      </c>
      <c r="M708" s="242">
        <f>COUNTIFS('تجربه‌گرها'!$B:$B,$A708,'تجربه‌گرها'!$F:$F,M$1)</f>
        <v>0</v>
      </c>
      <c r="N708" s="242">
        <f>COUNTIFS('تجربه‌گرها'!$B:$B,$A708,'تجربه‌گرها'!$F:$F,N$1)</f>
        <v>0</v>
      </c>
      <c r="O708" s="242">
        <f>COUNTIFS('تجربه‌گرها'!$B:$B,$A708,'تجربه‌گرها'!$F:$F,O$1)</f>
        <v>0</v>
      </c>
      <c r="P708" s="242">
        <f>COUNTIFS('تجربه‌گرها'!$B:$B,$A708,'تجربه‌گرها'!$F:$F,P$1)</f>
        <v>0</v>
      </c>
      <c r="Q708" s="242">
        <f>COUNTIFS('تجربه‌گرها'!$B:$B,$A708,'تجربه‌گرها'!$F:$F,Q$1)</f>
        <v>0</v>
      </c>
      <c r="R708" s="242">
        <f>COUNTIFS('تجربه‌گرها'!$B:$B,$A708,'تجربه‌گرها'!$F:$F,R$1)</f>
        <v>0</v>
      </c>
      <c r="S708" s="242">
        <f>COUNTIFS('تجربه‌گرها'!$B:$B,$A708,'تجربه‌گرها'!$F:$F,S$1)</f>
        <v>0</v>
      </c>
      <c r="T708" s="242">
        <f>COUNTIFS('تجربه‌گرها'!$B:$B,$A708,'تجربه‌گرها'!$F:$F,T$1)</f>
        <v>0</v>
      </c>
      <c r="U708" s="242"/>
      <c r="V708" s="242"/>
      <c r="W708" s="242"/>
      <c r="X708" s="242"/>
      <c r="Y708" s="242"/>
      <c r="Z708" s="242"/>
      <c r="AA708" s="242"/>
      <c r="AB708" s="242"/>
    </row>
    <row r="709" hidden="1">
      <c r="A709" s="244" t="s">
        <v>4310</v>
      </c>
      <c r="B709" s="245" t="str">
        <f>VLOOKUP(A709,'تجربه‌گرها'!B:C,2,FALSE())</f>
        <v>9911711664</v>
      </c>
      <c r="C709" s="242"/>
      <c r="D709" s="242">
        <f t="shared" si="1"/>
        <v>1</v>
      </c>
      <c r="E709" s="242">
        <f>COUNTIFS('تجربه‌گرها'!$B:$B,$A709,'تجربه‌گرها'!$F:$F,E$1)</f>
        <v>0</v>
      </c>
      <c r="F709" s="242">
        <f>COUNTIFS('تجربه‌گرها'!$B:$B,$A709,'تجربه‌گرها'!$F:$F,F$1)</f>
        <v>0</v>
      </c>
      <c r="G709" s="242">
        <f>COUNTIFS('تجربه‌گرها'!$B:$B,$A709,'تجربه‌گرها'!$F:$F,G$1)</f>
        <v>0</v>
      </c>
      <c r="H709" s="242">
        <f>COUNTIFS('تجربه‌گرها'!$B:$B,$A709,'تجربه‌گرها'!$F:$F,H$1)</f>
        <v>0</v>
      </c>
      <c r="I709" s="242">
        <f>COUNTIFS('تجربه‌گرها'!$B:$B,$A709,'تجربه‌گرها'!$F:$F,I$1)</f>
        <v>0</v>
      </c>
      <c r="J709" s="242">
        <f>COUNTIFS('تجربه‌گرها'!$B:$B,$A709,'تجربه‌گرها'!$F:$F,J$1)</f>
        <v>0</v>
      </c>
      <c r="K709" s="242">
        <f>COUNTIFS('تجربه‌گرها'!$B:$B,$A709,'تجربه‌گرها'!$F:$F,K$1)</f>
        <v>1</v>
      </c>
      <c r="L709" s="242">
        <f>COUNTIFS('تجربه‌گرها'!$B:$B,$A709,'تجربه‌گرها'!$F:$F,L$1)</f>
        <v>0</v>
      </c>
      <c r="M709" s="242">
        <f>COUNTIFS('تجربه‌گرها'!$B:$B,$A709,'تجربه‌گرها'!$F:$F,M$1)</f>
        <v>0</v>
      </c>
      <c r="N709" s="242">
        <f>COUNTIFS('تجربه‌گرها'!$B:$B,$A709,'تجربه‌گرها'!$F:$F,N$1)</f>
        <v>0</v>
      </c>
      <c r="O709" s="242">
        <f>COUNTIFS('تجربه‌گرها'!$B:$B,$A709,'تجربه‌گرها'!$F:$F,O$1)</f>
        <v>0</v>
      </c>
      <c r="P709" s="242">
        <f>COUNTIFS('تجربه‌گرها'!$B:$B,$A709,'تجربه‌گرها'!$F:$F,P$1)</f>
        <v>0</v>
      </c>
      <c r="Q709" s="242">
        <f>COUNTIFS('تجربه‌گرها'!$B:$B,$A709,'تجربه‌گرها'!$F:$F,Q$1)</f>
        <v>0</v>
      </c>
      <c r="R709" s="242">
        <f>COUNTIFS('تجربه‌گرها'!$B:$B,$A709,'تجربه‌گرها'!$F:$F,R$1)</f>
        <v>0</v>
      </c>
      <c r="S709" s="242">
        <f>COUNTIFS('تجربه‌گرها'!$B:$B,$A709,'تجربه‌گرها'!$F:$F,S$1)</f>
        <v>0</v>
      </c>
      <c r="T709" s="242">
        <f>COUNTIFS('تجربه‌گرها'!$B:$B,$A709,'تجربه‌گرها'!$F:$F,T$1)</f>
        <v>0</v>
      </c>
      <c r="U709" s="242"/>
      <c r="V709" s="242"/>
      <c r="W709" s="242"/>
      <c r="X709" s="242"/>
      <c r="Y709" s="242"/>
      <c r="Z709" s="242"/>
      <c r="AA709" s="242"/>
      <c r="AB709" s="242"/>
    </row>
    <row r="710" hidden="1">
      <c r="A710" s="244" t="s">
        <v>4315</v>
      </c>
      <c r="B710" s="245" t="str">
        <f>VLOOKUP(A710,'تجربه‌گرها'!B:C,2,FALSE())</f>
        <v>9351383174</v>
      </c>
      <c r="C710" s="242"/>
      <c r="D710" s="242">
        <f t="shared" si="1"/>
        <v>1</v>
      </c>
      <c r="E710" s="242">
        <f>COUNTIFS('تجربه‌گرها'!$B:$B,$A710,'تجربه‌گرها'!$F:$F,E$1)</f>
        <v>0</v>
      </c>
      <c r="F710" s="242">
        <f>COUNTIFS('تجربه‌گرها'!$B:$B,$A710,'تجربه‌گرها'!$F:$F,F$1)</f>
        <v>0</v>
      </c>
      <c r="G710" s="242">
        <f>COUNTIFS('تجربه‌گرها'!$B:$B,$A710,'تجربه‌گرها'!$F:$F,G$1)</f>
        <v>0</v>
      </c>
      <c r="H710" s="242">
        <f>COUNTIFS('تجربه‌گرها'!$B:$B,$A710,'تجربه‌گرها'!$F:$F,H$1)</f>
        <v>0</v>
      </c>
      <c r="I710" s="242">
        <f>COUNTIFS('تجربه‌گرها'!$B:$B,$A710,'تجربه‌گرها'!$F:$F,I$1)</f>
        <v>0</v>
      </c>
      <c r="J710" s="242">
        <f>COUNTIFS('تجربه‌گرها'!$B:$B,$A710,'تجربه‌گرها'!$F:$F,J$1)</f>
        <v>0</v>
      </c>
      <c r="K710" s="242">
        <f>COUNTIFS('تجربه‌گرها'!$B:$B,$A710,'تجربه‌گرها'!$F:$F,K$1)</f>
        <v>1</v>
      </c>
      <c r="L710" s="242">
        <f>COUNTIFS('تجربه‌گرها'!$B:$B,$A710,'تجربه‌گرها'!$F:$F,L$1)</f>
        <v>0</v>
      </c>
      <c r="M710" s="242">
        <f>COUNTIFS('تجربه‌گرها'!$B:$B,$A710,'تجربه‌گرها'!$F:$F,M$1)</f>
        <v>0</v>
      </c>
      <c r="N710" s="242">
        <f>COUNTIFS('تجربه‌گرها'!$B:$B,$A710,'تجربه‌گرها'!$F:$F,N$1)</f>
        <v>0</v>
      </c>
      <c r="O710" s="242">
        <f>COUNTIFS('تجربه‌گرها'!$B:$B,$A710,'تجربه‌گرها'!$F:$F,O$1)</f>
        <v>0</v>
      </c>
      <c r="P710" s="242">
        <f>COUNTIFS('تجربه‌گرها'!$B:$B,$A710,'تجربه‌گرها'!$F:$F,P$1)</f>
        <v>0</v>
      </c>
      <c r="Q710" s="242">
        <f>COUNTIFS('تجربه‌گرها'!$B:$B,$A710,'تجربه‌گرها'!$F:$F,Q$1)</f>
        <v>0</v>
      </c>
      <c r="R710" s="242">
        <f>COUNTIFS('تجربه‌گرها'!$B:$B,$A710,'تجربه‌گرها'!$F:$F,R$1)</f>
        <v>0</v>
      </c>
      <c r="S710" s="242">
        <f>COUNTIFS('تجربه‌گرها'!$B:$B,$A710,'تجربه‌گرها'!$F:$F,S$1)</f>
        <v>0</v>
      </c>
      <c r="T710" s="242">
        <f>COUNTIFS('تجربه‌گرها'!$B:$B,$A710,'تجربه‌گرها'!$F:$F,T$1)</f>
        <v>0</v>
      </c>
      <c r="U710" s="242"/>
      <c r="V710" s="242"/>
      <c r="W710" s="242"/>
      <c r="X710" s="242"/>
      <c r="Y710" s="242"/>
      <c r="Z710" s="242"/>
      <c r="AA710" s="242"/>
      <c r="AB710" s="242"/>
    </row>
    <row r="711" hidden="1">
      <c r="A711" s="244" t="s">
        <v>4319</v>
      </c>
      <c r="B711" s="245" t="str">
        <f>VLOOKUP(A711,'تجربه‌گرها'!B:C,2,FALSE())</f>
        <v>9112692919</v>
      </c>
      <c r="C711" s="242"/>
      <c r="D711" s="242">
        <f t="shared" si="1"/>
        <v>1</v>
      </c>
      <c r="E711" s="242">
        <f>COUNTIFS('تجربه‌گرها'!$B:$B,$A711,'تجربه‌گرها'!$F:$F,E$1)</f>
        <v>0</v>
      </c>
      <c r="F711" s="242">
        <f>COUNTIFS('تجربه‌گرها'!$B:$B,$A711,'تجربه‌گرها'!$F:$F,F$1)</f>
        <v>0</v>
      </c>
      <c r="G711" s="242">
        <f>COUNTIFS('تجربه‌گرها'!$B:$B,$A711,'تجربه‌گرها'!$F:$F,G$1)</f>
        <v>0</v>
      </c>
      <c r="H711" s="242">
        <f>COUNTIFS('تجربه‌گرها'!$B:$B,$A711,'تجربه‌گرها'!$F:$F,H$1)</f>
        <v>0</v>
      </c>
      <c r="I711" s="242">
        <f>COUNTIFS('تجربه‌گرها'!$B:$B,$A711,'تجربه‌گرها'!$F:$F,I$1)</f>
        <v>0</v>
      </c>
      <c r="J711" s="242">
        <f>COUNTIFS('تجربه‌گرها'!$B:$B,$A711,'تجربه‌گرها'!$F:$F,J$1)</f>
        <v>0</v>
      </c>
      <c r="K711" s="242">
        <f>COUNTIFS('تجربه‌گرها'!$B:$B,$A711,'تجربه‌گرها'!$F:$F,K$1)</f>
        <v>1</v>
      </c>
      <c r="L711" s="242">
        <f>COUNTIFS('تجربه‌گرها'!$B:$B,$A711,'تجربه‌گرها'!$F:$F,L$1)</f>
        <v>0</v>
      </c>
      <c r="M711" s="242">
        <f>COUNTIFS('تجربه‌گرها'!$B:$B,$A711,'تجربه‌گرها'!$F:$F,M$1)</f>
        <v>0</v>
      </c>
      <c r="N711" s="242">
        <f>COUNTIFS('تجربه‌گرها'!$B:$B,$A711,'تجربه‌گرها'!$F:$F,N$1)</f>
        <v>0</v>
      </c>
      <c r="O711" s="242">
        <f>COUNTIFS('تجربه‌گرها'!$B:$B,$A711,'تجربه‌گرها'!$F:$F,O$1)</f>
        <v>0</v>
      </c>
      <c r="P711" s="242">
        <f>COUNTIFS('تجربه‌گرها'!$B:$B,$A711,'تجربه‌گرها'!$F:$F,P$1)</f>
        <v>0</v>
      </c>
      <c r="Q711" s="242">
        <f>COUNTIFS('تجربه‌گرها'!$B:$B,$A711,'تجربه‌گرها'!$F:$F,Q$1)</f>
        <v>0</v>
      </c>
      <c r="R711" s="242">
        <f>COUNTIFS('تجربه‌گرها'!$B:$B,$A711,'تجربه‌گرها'!$F:$F,R$1)</f>
        <v>0</v>
      </c>
      <c r="S711" s="242">
        <f>COUNTIFS('تجربه‌گرها'!$B:$B,$A711,'تجربه‌گرها'!$F:$F,S$1)</f>
        <v>0</v>
      </c>
      <c r="T711" s="242">
        <f>COUNTIFS('تجربه‌گرها'!$B:$B,$A711,'تجربه‌گرها'!$F:$F,T$1)</f>
        <v>0</v>
      </c>
      <c r="U711" s="242"/>
      <c r="V711" s="242"/>
      <c r="W711" s="242"/>
      <c r="X711" s="242"/>
      <c r="Y711" s="242"/>
      <c r="Z711" s="242"/>
      <c r="AA711" s="242"/>
      <c r="AB711" s="242"/>
    </row>
    <row r="712" hidden="1">
      <c r="A712" s="244" t="s">
        <v>4324</v>
      </c>
      <c r="B712" s="245" t="str">
        <f>VLOOKUP(A712,'تجربه‌گرها'!B:C,2,FALSE())</f>
        <v>9308418638</v>
      </c>
      <c r="C712" s="242"/>
      <c r="D712" s="242">
        <f t="shared" si="1"/>
        <v>1</v>
      </c>
      <c r="E712" s="242">
        <f>COUNTIFS('تجربه‌گرها'!$B:$B,$A712,'تجربه‌گرها'!$F:$F,E$1)</f>
        <v>0</v>
      </c>
      <c r="F712" s="242">
        <f>COUNTIFS('تجربه‌گرها'!$B:$B,$A712,'تجربه‌گرها'!$F:$F,F$1)</f>
        <v>0</v>
      </c>
      <c r="G712" s="242">
        <f>COUNTIFS('تجربه‌گرها'!$B:$B,$A712,'تجربه‌گرها'!$F:$F,G$1)</f>
        <v>0</v>
      </c>
      <c r="H712" s="242">
        <f>COUNTIFS('تجربه‌گرها'!$B:$B,$A712,'تجربه‌گرها'!$F:$F,H$1)</f>
        <v>0</v>
      </c>
      <c r="I712" s="242">
        <f>COUNTIFS('تجربه‌گرها'!$B:$B,$A712,'تجربه‌گرها'!$F:$F,I$1)</f>
        <v>0</v>
      </c>
      <c r="J712" s="242">
        <f>COUNTIFS('تجربه‌گرها'!$B:$B,$A712,'تجربه‌گرها'!$F:$F,J$1)</f>
        <v>0</v>
      </c>
      <c r="K712" s="242">
        <f>COUNTIFS('تجربه‌گرها'!$B:$B,$A712,'تجربه‌گرها'!$F:$F,K$1)</f>
        <v>1</v>
      </c>
      <c r="L712" s="242">
        <f>COUNTIFS('تجربه‌گرها'!$B:$B,$A712,'تجربه‌گرها'!$F:$F,L$1)</f>
        <v>0</v>
      </c>
      <c r="M712" s="242">
        <f>COUNTIFS('تجربه‌گرها'!$B:$B,$A712,'تجربه‌گرها'!$F:$F,M$1)</f>
        <v>0</v>
      </c>
      <c r="N712" s="242">
        <f>COUNTIFS('تجربه‌گرها'!$B:$B,$A712,'تجربه‌گرها'!$F:$F,N$1)</f>
        <v>0</v>
      </c>
      <c r="O712" s="242">
        <f>COUNTIFS('تجربه‌گرها'!$B:$B,$A712,'تجربه‌گرها'!$F:$F,O$1)</f>
        <v>0</v>
      </c>
      <c r="P712" s="242">
        <f>COUNTIFS('تجربه‌گرها'!$B:$B,$A712,'تجربه‌گرها'!$F:$F,P$1)</f>
        <v>0</v>
      </c>
      <c r="Q712" s="242">
        <f>COUNTIFS('تجربه‌گرها'!$B:$B,$A712,'تجربه‌گرها'!$F:$F,Q$1)</f>
        <v>0</v>
      </c>
      <c r="R712" s="242">
        <f>COUNTIFS('تجربه‌گرها'!$B:$B,$A712,'تجربه‌گرها'!$F:$F,R$1)</f>
        <v>0</v>
      </c>
      <c r="S712" s="242">
        <f>COUNTIFS('تجربه‌گرها'!$B:$B,$A712,'تجربه‌گرها'!$F:$F,S$1)</f>
        <v>0</v>
      </c>
      <c r="T712" s="242">
        <f>COUNTIFS('تجربه‌گرها'!$B:$B,$A712,'تجربه‌گرها'!$F:$F,T$1)</f>
        <v>0</v>
      </c>
      <c r="U712" s="242"/>
      <c r="V712" s="242"/>
      <c r="W712" s="242"/>
      <c r="X712" s="242"/>
      <c r="Y712" s="242"/>
      <c r="Z712" s="242"/>
      <c r="AA712" s="242"/>
      <c r="AB712" s="242"/>
    </row>
    <row r="713" hidden="1">
      <c r="A713" s="244" t="s">
        <v>4329</v>
      </c>
      <c r="B713" s="245" t="str">
        <f>VLOOKUP(A713,'تجربه‌گرها'!B:C,2,FALSE())</f>
        <v>9377310540</v>
      </c>
      <c r="C713" s="242"/>
      <c r="D713" s="242">
        <f t="shared" si="1"/>
        <v>1</v>
      </c>
      <c r="E713" s="242">
        <f>COUNTIFS('تجربه‌گرها'!$B:$B,$A713,'تجربه‌گرها'!$F:$F,E$1)</f>
        <v>0</v>
      </c>
      <c r="F713" s="242">
        <f>COUNTIFS('تجربه‌گرها'!$B:$B,$A713,'تجربه‌گرها'!$F:$F,F$1)</f>
        <v>0</v>
      </c>
      <c r="G713" s="242">
        <f>COUNTIFS('تجربه‌گرها'!$B:$B,$A713,'تجربه‌گرها'!$F:$F,G$1)</f>
        <v>0</v>
      </c>
      <c r="H713" s="242">
        <f>COUNTIFS('تجربه‌گرها'!$B:$B,$A713,'تجربه‌گرها'!$F:$F,H$1)</f>
        <v>0</v>
      </c>
      <c r="I713" s="242">
        <f>COUNTIFS('تجربه‌گرها'!$B:$B,$A713,'تجربه‌گرها'!$F:$F,I$1)</f>
        <v>0</v>
      </c>
      <c r="J713" s="242">
        <f>COUNTIFS('تجربه‌گرها'!$B:$B,$A713,'تجربه‌گرها'!$F:$F,J$1)</f>
        <v>0</v>
      </c>
      <c r="K713" s="242">
        <f>COUNTIFS('تجربه‌گرها'!$B:$B,$A713,'تجربه‌گرها'!$F:$F,K$1)</f>
        <v>1</v>
      </c>
      <c r="L713" s="242">
        <f>COUNTIFS('تجربه‌گرها'!$B:$B,$A713,'تجربه‌گرها'!$F:$F,L$1)</f>
        <v>0</v>
      </c>
      <c r="M713" s="242">
        <f>COUNTIFS('تجربه‌گرها'!$B:$B,$A713,'تجربه‌گرها'!$F:$F,M$1)</f>
        <v>0</v>
      </c>
      <c r="N713" s="242">
        <f>COUNTIFS('تجربه‌گرها'!$B:$B,$A713,'تجربه‌گرها'!$F:$F,N$1)</f>
        <v>0</v>
      </c>
      <c r="O713" s="242">
        <f>COUNTIFS('تجربه‌گرها'!$B:$B,$A713,'تجربه‌گرها'!$F:$F,O$1)</f>
        <v>0</v>
      </c>
      <c r="P713" s="242">
        <f>COUNTIFS('تجربه‌گرها'!$B:$B,$A713,'تجربه‌گرها'!$F:$F,P$1)</f>
        <v>0</v>
      </c>
      <c r="Q713" s="242">
        <f>COUNTIFS('تجربه‌گرها'!$B:$B,$A713,'تجربه‌گرها'!$F:$F,Q$1)</f>
        <v>0</v>
      </c>
      <c r="R713" s="242">
        <f>COUNTIFS('تجربه‌گرها'!$B:$B,$A713,'تجربه‌گرها'!$F:$F,R$1)</f>
        <v>0</v>
      </c>
      <c r="S713" s="242">
        <f>COUNTIFS('تجربه‌گرها'!$B:$B,$A713,'تجربه‌گرها'!$F:$F,S$1)</f>
        <v>0</v>
      </c>
      <c r="T713" s="242">
        <f>COUNTIFS('تجربه‌گرها'!$B:$B,$A713,'تجربه‌گرها'!$F:$F,T$1)</f>
        <v>0</v>
      </c>
      <c r="U713" s="242"/>
      <c r="V713" s="242"/>
      <c r="W713" s="242"/>
      <c r="X713" s="242"/>
      <c r="Y713" s="242"/>
      <c r="Z713" s="242"/>
      <c r="AA713" s="242"/>
      <c r="AB713" s="242"/>
    </row>
    <row r="714" hidden="1">
      <c r="A714" s="244" t="s">
        <v>4333</v>
      </c>
      <c r="B714" s="245" t="str">
        <f>VLOOKUP(A714,'تجربه‌گرها'!B:C,2,FALSE())</f>
        <v>9112788617</v>
      </c>
      <c r="C714" s="242"/>
      <c r="D714" s="242">
        <f t="shared" si="1"/>
        <v>1</v>
      </c>
      <c r="E714" s="242">
        <f>COUNTIFS('تجربه‌گرها'!$B:$B,$A714,'تجربه‌گرها'!$F:$F,E$1)</f>
        <v>0</v>
      </c>
      <c r="F714" s="242">
        <f>COUNTIFS('تجربه‌گرها'!$B:$B,$A714,'تجربه‌گرها'!$F:$F,F$1)</f>
        <v>0</v>
      </c>
      <c r="G714" s="242">
        <f>COUNTIFS('تجربه‌گرها'!$B:$B,$A714,'تجربه‌گرها'!$F:$F,G$1)</f>
        <v>0</v>
      </c>
      <c r="H714" s="242">
        <f>COUNTIFS('تجربه‌گرها'!$B:$B,$A714,'تجربه‌گرها'!$F:$F,H$1)</f>
        <v>0</v>
      </c>
      <c r="I714" s="242">
        <f>COUNTIFS('تجربه‌گرها'!$B:$B,$A714,'تجربه‌گرها'!$F:$F,I$1)</f>
        <v>0</v>
      </c>
      <c r="J714" s="242">
        <f>COUNTIFS('تجربه‌گرها'!$B:$B,$A714,'تجربه‌گرها'!$F:$F,J$1)</f>
        <v>0</v>
      </c>
      <c r="K714" s="242">
        <f>COUNTIFS('تجربه‌گرها'!$B:$B,$A714,'تجربه‌گرها'!$F:$F,K$1)</f>
        <v>1</v>
      </c>
      <c r="L714" s="242">
        <f>COUNTIFS('تجربه‌گرها'!$B:$B,$A714,'تجربه‌گرها'!$F:$F,L$1)</f>
        <v>0</v>
      </c>
      <c r="M714" s="242">
        <f>COUNTIFS('تجربه‌گرها'!$B:$B,$A714,'تجربه‌گرها'!$F:$F,M$1)</f>
        <v>0</v>
      </c>
      <c r="N714" s="242">
        <f>COUNTIFS('تجربه‌گرها'!$B:$B,$A714,'تجربه‌گرها'!$F:$F,N$1)</f>
        <v>0</v>
      </c>
      <c r="O714" s="242">
        <f>COUNTIFS('تجربه‌گرها'!$B:$B,$A714,'تجربه‌گرها'!$F:$F,O$1)</f>
        <v>0</v>
      </c>
      <c r="P714" s="242">
        <f>COUNTIFS('تجربه‌گرها'!$B:$B,$A714,'تجربه‌گرها'!$F:$F,P$1)</f>
        <v>0</v>
      </c>
      <c r="Q714" s="242">
        <f>COUNTIFS('تجربه‌گرها'!$B:$B,$A714,'تجربه‌گرها'!$F:$F,Q$1)</f>
        <v>0</v>
      </c>
      <c r="R714" s="242">
        <f>COUNTIFS('تجربه‌گرها'!$B:$B,$A714,'تجربه‌گرها'!$F:$F,R$1)</f>
        <v>0</v>
      </c>
      <c r="S714" s="242">
        <f>COUNTIFS('تجربه‌گرها'!$B:$B,$A714,'تجربه‌گرها'!$F:$F,S$1)</f>
        <v>0</v>
      </c>
      <c r="T714" s="242">
        <f>COUNTIFS('تجربه‌گرها'!$B:$B,$A714,'تجربه‌گرها'!$F:$F,T$1)</f>
        <v>0</v>
      </c>
      <c r="U714" s="242"/>
      <c r="V714" s="242"/>
      <c r="W714" s="242"/>
      <c r="X714" s="242"/>
      <c r="Y714" s="242"/>
      <c r="Z714" s="242"/>
      <c r="AA714" s="242"/>
      <c r="AB714" s="242"/>
    </row>
    <row r="715" hidden="1">
      <c r="A715" s="244" t="s">
        <v>4338</v>
      </c>
      <c r="B715" s="245" t="str">
        <f>VLOOKUP(A715,'تجربه‌گرها'!B:C,2,FALSE())</f>
        <v>9116468905</v>
      </c>
      <c r="C715" s="242"/>
      <c r="D715" s="242">
        <f t="shared" si="1"/>
        <v>1</v>
      </c>
      <c r="E715" s="242">
        <f>COUNTIFS('تجربه‌گرها'!$B:$B,$A715,'تجربه‌گرها'!$F:$F,E$1)</f>
        <v>0</v>
      </c>
      <c r="F715" s="242">
        <f>COUNTIFS('تجربه‌گرها'!$B:$B,$A715,'تجربه‌گرها'!$F:$F,F$1)</f>
        <v>0</v>
      </c>
      <c r="G715" s="242">
        <f>COUNTIFS('تجربه‌گرها'!$B:$B,$A715,'تجربه‌گرها'!$F:$F,G$1)</f>
        <v>0</v>
      </c>
      <c r="H715" s="242">
        <f>COUNTIFS('تجربه‌گرها'!$B:$B,$A715,'تجربه‌گرها'!$F:$F,H$1)</f>
        <v>0</v>
      </c>
      <c r="I715" s="242">
        <f>COUNTIFS('تجربه‌گرها'!$B:$B,$A715,'تجربه‌گرها'!$F:$F,I$1)</f>
        <v>0</v>
      </c>
      <c r="J715" s="242">
        <f>COUNTIFS('تجربه‌گرها'!$B:$B,$A715,'تجربه‌گرها'!$F:$F,J$1)</f>
        <v>0</v>
      </c>
      <c r="K715" s="242">
        <f>COUNTIFS('تجربه‌گرها'!$B:$B,$A715,'تجربه‌گرها'!$F:$F,K$1)</f>
        <v>1</v>
      </c>
      <c r="L715" s="242">
        <f>COUNTIFS('تجربه‌گرها'!$B:$B,$A715,'تجربه‌گرها'!$F:$F,L$1)</f>
        <v>0</v>
      </c>
      <c r="M715" s="242">
        <f>COUNTIFS('تجربه‌گرها'!$B:$B,$A715,'تجربه‌گرها'!$F:$F,M$1)</f>
        <v>0</v>
      </c>
      <c r="N715" s="242">
        <f>COUNTIFS('تجربه‌گرها'!$B:$B,$A715,'تجربه‌گرها'!$F:$F,N$1)</f>
        <v>0</v>
      </c>
      <c r="O715" s="242">
        <f>COUNTIFS('تجربه‌گرها'!$B:$B,$A715,'تجربه‌گرها'!$F:$F,O$1)</f>
        <v>0</v>
      </c>
      <c r="P715" s="242">
        <f>COUNTIFS('تجربه‌گرها'!$B:$B,$A715,'تجربه‌گرها'!$F:$F,P$1)</f>
        <v>0</v>
      </c>
      <c r="Q715" s="242">
        <f>COUNTIFS('تجربه‌گرها'!$B:$B,$A715,'تجربه‌گرها'!$F:$F,Q$1)</f>
        <v>0</v>
      </c>
      <c r="R715" s="242">
        <f>COUNTIFS('تجربه‌گرها'!$B:$B,$A715,'تجربه‌گرها'!$F:$F,R$1)</f>
        <v>0</v>
      </c>
      <c r="S715" s="242">
        <f>COUNTIFS('تجربه‌گرها'!$B:$B,$A715,'تجربه‌گرها'!$F:$F,S$1)</f>
        <v>0</v>
      </c>
      <c r="T715" s="242">
        <f>COUNTIFS('تجربه‌گرها'!$B:$B,$A715,'تجربه‌گرها'!$F:$F,T$1)</f>
        <v>0</v>
      </c>
      <c r="U715" s="242"/>
      <c r="V715" s="242"/>
      <c r="W715" s="242"/>
      <c r="X715" s="242"/>
      <c r="Y715" s="242"/>
      <c r="Z715" s="242"/>
      <c r="AA715" s="242"/>
      <c r="AB715" s="242"/>
    </row>
    <row r="716" hidden="1">
      <c r="A716" s="244" t="s">
        <v>4342</v>
      </c>
      <c r="B716" s="245" t="str">
        <f>VLOOKUP(A716,'تجربه‌گرها'!B:C,2,FALSE())</f>
        <v>9126643468</v>
      </c>
      <c r="C716" s="242"/>
      <c r="D716" s="242">
        <f t="shared" si="1"/>
        <v>1</v>
      </c>
      <c r="E716" s="242">
        <f>COUNTIFS('تجربه‌گرها'!$B:$B,$A716,'تجربه‌گرها'!$F:$F,E$1)</f>
        <v>0</v>
      </c>
      <c r="F716" s="242">
        <f>COUNTIFS('تجربه‌گرها'!$B:$B,$A716,'تجربه‌گرها'!$F:$F,F$1)</f>
        <v>0</v>
      </c>
      <c r="G716" s="242">
        <f>COUNTIFS('تجربه‌گرها'!$B:$B,$A716,'تجربه‌گرها'!$F:$F,G$1)</f>
        <v>0</v>
      </c>
      <c r="H716" s="242">
        <f>COUNTIFS('تجربه‌گرها'!$B:$B,$A716,'تجربه‌گرها'!$F:$F,H$1)</f>
        <v>0</v>
      </c>
      <c r="I716" s="242">
        <f>COUNTIFS('تجربه‌گرها'!$B:$B,$A716,'تجربه‌گرها'!$F:$F,I$1)</f>
        <v>0</v>
      </c>
      <c r="J716" s="242">
        <f>COUNTIFS('تجربه‌گرها'!$B:$B,$A716,'تجربه‌گرها'!$F:$F,J$1)</f>
        <v>0</v>
      </c>
      <c r="K716" s="242">
        <f>COUNTIFS('تجربه‌گرها'!$B:$B,$A716,'تجربه‌گرها'!$F:$F,K$1)</f>
        <v>1</v>
      </c>
      <c r="L716" s="242">
        <f>COUNTIFS('تجربه‌گرها'!$B:$B,$A716,'تجربه‌گرها'!$F:$F,L$1)</f>
        <v>0</v>
      </c>
      <c r="M716" s="242">
        <f>COUNTIFS('تجربه‌گرها'!$B:$B,$A716,'تجربه‌گرها'!$F:$F,M$1)</f>
        <v>0</v>
      </c>
      <c r="N716" s="242">
        <f>COUNTIFS('تجربه‌گرها'!$B:$B,$A716,'تجربه‌گرها'!$F:$F,N$1)</f>
        <v>0</v>
      </c>
      <c r="O716" s="242">
        <f>COUNTIFS('تجربه‌گرها'!$B:$B,$A716,'تجربه‌گرها'!$F:$F,O$1)</f>
        <v>0</v>
      </c>
      <c r="P716" s="242">
        <f>COUNTIFS('تجربه‌گرها'!$B:$B,$A716,'تجربه‌گرها'!$F:$F,P$1)</f>
        <v>0</v>
      </c>
      <c r="Q716" s="242">
        <f>COUNTIFS('تجربه‌گرها'!$B:$B,$A716,'تجربه‌گرها'!$F:$F,Q$1)</f>
        <v>0</v>
      </c>
      <c r="R716" s="242">
        <f>COUNTIFS('تجربه‌گرها'!$B:$B,$A716,'تجربه‌گرها'!$F:$F,R$1)</f>
        <v>0</v>
      </c>
      <c r="S716" s="242">
        <f>COUNTIFS('تجربه‌گرها'!$B:$B,$A716,'تجربه‌گرها'!$F:$F,S$1)</f>
        <v>0</v>
      </c>
      <c r="T716" s="242">
        <f>COUNTIFS('تجربه‌گرها'!$B:$B,$A716,'تجربه‌گرها'!$F:$F,T$1)</f>
        <v>0</v>
      </c>
      <c r="U716" s="242"/>
      <c r="V716" s="242"/>
      <c r="W716" s="242"/>
      <c r="X716" s="242"/>
      <c r="Y716" s="242"/>
      <c r="Z716" s="242"/>
      <c r="AA716" s="242"/>
      <c r="AB716" s="242"/>
    </row>
    <row r="717" hidden="1">
      <c r="A717" s="244" t="s">
        <v>4348</v>
      </c>
      <c r="B717" s="245" t="str">
        <f>VLOOKUP(A717,'تجربه‌گرها'!B:C,2,FALSE())</f>
        <v>9126081549</v>
      </c>
      <c r="C717" s="242"/>
      <c r="D717" s="242">
        <f t="shared" si="1"/>
        <v>1</v>
      </c>
      <c r="E717" s="242">
        <f>COUNTIFS('تجربه‌گرها'!$B:$B,$A717,'تجربه‌گرها'!$F:$F,E$1)</f>
        <v>0</v>
      </c>
      <c r="F717" s="242">
        <f>COUNTIFS('تجربه‌گرها'!$B:$B,$A717,'تجربه‌گرها'!$F:$F,F$1)</f>
        <v>0</v>
      </c>
      <c r="G717" s="242">
        <f>COUNTIFS('تجربه‌گرها'!$B:$B,$A717,'تجربه‌گرها'!$F:$F,G$1)</f>
        <v>0</v>
      </c>
      <c r="H717" s="242">
        <f>COUNTIFS('تجربه‌گرها'!$B:$B,$A717,'تجربه‌گرها'!$F:$F,H$1)</f>
        <v>0</v>
      </c>
      <c r="I717" s="242">
        <f>COUNTIFS('تجربه‌گرها'!$B:$B,$A717,'تجربه‌گرها'!$F:$F,I$1)</f>
        <v>0</v>
      </c>
      <c r="J717" s="242">
        <f>COUNTIFS('تجربه‌گرها'!$B:$B,$A717,'تجربه‌گرها'!$F:$F,J$1)</f>
        <v>0</v>
      </c>
      <c r="K717" s="242">
        <f>COUNTIFS('تجربه‌گرها'!$B:$B,$A717,'تجربه‌گرها'!$F:$F,K$1)</f>
        <v>1</v>
      </c>
      <c r="L717" s="242">
        <f>COUNTIFS('تجربه‌گرها'!$B:$B,$A717,'تجربه‌گرها'!$F:$F,L$1)</f>
        <v>0</v>
      </c>
      <c r="M717" s="242">
        <f>COUNTIFS('تجربه‌گرها'!$B:$B,$A717,'تجربه‌گرها'!$F:$F,M$1)</f>
        <v>0</v>
      </c>
      <c r="N717" s="242">
        <f>COUNTIFS('تجربه‌گرها'!$B:$B,$A717,'تجربه‌گرها'!$F:$F,N$1)</f>
        <v>0</v>
      </c>
      <c r="O717" s="242">
        <f>COUNTIFS('تجربه‌گرها'!$B:$B,$A717,'تجربه‌گرها'!$F:$F,O$1)</f>
        <v>0</v>
      </c>
      <c r="P717" s="242">
        <f>COUNTIFS('تجربه‌گرها'!$B:$B,$A717,'تجربه‌گرها'!$F:$F,P$1)</f>
        <v>0</v>
      </c>
      <c r="Q717" s="242">
        <f>COUNTIFS('تجربه‌گرها'!$B:$B,$A717,'تجربه‌گرها'!$F:$F,Q$1)</f>
        <v>0</v>
      </c>
      <c r="R717" s="242">
        <f>COUNTIFS('تجربه‌گرها'!$B:$B,$A717,'تجربه‌گرها'!$F:$F,R$1)</f>
        <v>0</v>
      </c>
      <c r="S717" s="242">
        <f>COUNTIFS('تجربه‌گرها'!$B:$B,$A717,'تجربه‌گرها'!$F:$F,S$1)</f>
        <v>0</v>
      </c>
      <c r="T717" s="242">
        <f>COUNTIFS('تجربه‌گرها'!$B:$B,$A717,'تجربه‌گرها'!$F:$F,T$1)</f>
        <v>0</v>
      </c>
      <c r="U717" s="242"/>
      <c r="V717" s="242"/>
      <c r="W717" s="242"/>
      <c r="X717" s="242"/>
      <c r="Y717" s="242"/>
      <c r="Z717" s="242"/>
      <c r="AA717" s="242"/>
      <c r="AB717" s="242"/>
    </row>
    <row r="718" hidden="1">
      <c r="A718" s="244" t="s">
        <v>4354</v>
      </c>
      <c r="B718" s="245" t="str">
        <f>VLOOKUP(A718,'تجربه‌گرها'!B:C,2,FALSE())</f>
        <v>9011711981</v>
      </c>
      <c r="C718" s="242"/>
      <c r="D718" s="242">
        <f t="shared" si="1"/>
        <v>1</v>
      </c>
      <c r="E718" s="242">
        <f>COUNTIFS('تجربه‌گرها'!$B:$B,$A718,'تجربه‌گرها'!$F:$F,E$1)</f>
        <v>0</v>
      </c>
      <c r="F718" s="242">
        <f>COUNTIFS('تجربه‌گرها'!$B:$B,$A718,'تجربه‌گرها'!$F:$F,F$1)</f>
        <v>0</v>
      </c>
      <c r="G718" s="242">
        <f>COUNTIFS('تجربه‌گرها'!$B:$B,$A718,'تجربه‌گرها'!$F:$F,G$1)</f>
        <v>0</v>
      </c>
      <c r="H718" s="242">
        <f>COUNTIFS('تجربه‌گرها'!$B:$B,$A718,'تجربه‌گرها'!$F:$F,H$1)</f>
        <v>0</v>
      </c>
      <c r="I718" s="242">
        <f>COUNTIFS('تجربه‌گرها'!$B:$B,$A718,'تجربه‌گرها'!$F:$F,I$1)</f>
        <v>0</v>
      </c>
      <c r="J718" s="242">
        <f>COUNTIFS('تجربه‌گرها'!$B:$B,$A718,'تجربه‌گرها'!$F:$F,J$1)</f>
        <v>0</v>
      </c>
      <c r="K718" s="242">
        <f>COUNTIFS('تجربه‌گرها'!$B:$B,$A718,'تجربه‌گرها'!$F:$F,K$1)</f>
        <v>1</v>
      </c>
      <c r="L718" s="242">
        <f>COUNTIFS('تجربه‌گرها'!$B:$B,$A718,'تجربه‌گرها'!$F:$F,L$1)</f>
        <v>0</v>
      </c>
      <c r="M718" s="242">
        <f>COUNTIFS('تجربه‌گرها'!$B:$B,$A718,'تجربه‌گرها'!$F:$F,M$1)</f>
        <v>0</v>
      </c>
      <c r="N718" s="242">
        <f>COUNTIFS('تجربه‌گرها'!$B:$B,$A718,'تجربه‌گرها'!$F:$F,N$1)</f>
        <v>0</v>
      </c>
      <c r="O718" s="242">
        <f>COUNTIFS('تجربه‌گرها'!$B:$B,$A718,'تجربه‌گرها'!$F:$F,O$1)</f>
        <v>0</v>
      </c>
      <c r="P718" s="242">
        <f>COUNTIFS('تجربه‌گرها'!$B:$B,$A718,'تجربه‌گرها'!$F:$F,P$1)</f>
        <v>0</v>
      </c>
      <c r="Q718" s="242">
        <f>COUNTIFS('تجربه‌گرها'!$B:$B,$A718,'تجربه‌گرها'!$F:$F,Q$1)</f>
        <v>0</v>
      </c>
      <c r="R718" s="242">
        <f>COUNTIFS('تجربه‌گرها'!$B:$B,$A718,'تجربه‌گرها'!$F:$F,R$1)</f>
        <v>0</v>
      </c>
      <c r="S718" s="242">
        <f>COUNTIFS('تجربه‌گرها'!$B:$B,$A718,'تجربه‌گرها'!$F:$F,S$1)</f>
        <v>0</v>
      </c>
      <c r="T718" s="242">
        <f>COUNTIFS('تجربه‌گرها'!$B:$B,$A718,'تجربه‌گرها'!$F:$F,T$1)</f>
        <v>0</v>
      </c>
      <c r="U718" s="242"/>
      <c r="V718" s="242"/>
      <c r="W718" s="242"/>
      <c r="X718" s="242"/>
      <c r="Y718" s="242"/>
      <c r="Z718" s="242"/>
      <c r="AA718" s="242"/>
      <c r="AB718" s="242"/>
    </row>
    <row r="719" hidden="1">
      <c r="A719" s="244" t="s">
        <v>4359</v>
      </c>
      <c r="B719" s="245" t="str">
        <f>VLOOKUP(A719,'تجربه‌گرها'!B:C,2,FALSE())</f>
        <v>9354822331</v>
      </c>
      <c r="C719" s="242"/>
      <c r="D719" s="242">
        <f t="shared" si="1"/>
        <v>1</v>
      </c>
      <c r="E719" s="242">
        <f>COUNTIFS('تجربه‌گرها'!$B:$B,$A719,'تجربه‌گرها'!$F:$F,E$1)</f>
        <v>0</v>
      </c>
      <c r="F719" s="242">
        <f>COUNTIFS('تجربه‌گرها'!$B:$B,$A719,'تجربه‌گرها'!$F:$F,F$1)</f>
        <v>0</v>
      </c>
      <c r="G719" s="242">
        <f>COUNTIFS('تجربه‌گرها'!$B:$B,$A719,'تجربه‌گرها'!$F:$F,G$1)</f>
        <v>0</v>
      </c>
      <c r="H719" s="242">
        <f>COUNTIFS('تجربه‌گرها'!$B:$B,$A719,'تجربه‌گرها'!$F:$F,H$1)</f>
        <v>0</v>
      </c>
      <c r="I719" s="242">
        <f>COUNTIFS('تجربه‌گرها'!$B:$B,$A719,'تجربه‌گرها'!$F:$F,I$1)</f>
        <v>0</v>
      </c>
      <c r="J719" s="242">
        <f>COUNTIFS('تجربه‌گرها'!$B:$B,$A719,'تجربه‌گرها'!$F:$F,J$1)</f>
        <v>0</v>
      </c>
      <c r="K719" s="242">
        <f>COUNTIFS('تجربه‌گرها'!$B:$B,$A719,'تجربه‌گرها'!$F:$F,K$1)</f>
        <v>1</v>
      </c>
      <c r="L719" s="242">
        <f>COUNTIFS('تجربه‌گرها'!$B:$B,$A719,'تجربه‌گرها'!$F:$F,L$1)</f>
        <v>0</v>
      </c>
      <c r="M719" s="242">
        <f>COUNTIFS('تجربه‌گرها'!$B:$B,$A719,'تجربه‌گرها'!$F:$F,M$1)</f>
        <v>0</v>
      </c>
      <c r="N719" s="242">
        <f>COUNTIFS('تجربه‌گرها'!$B:$B,$A719,'تجربه‌گرها'!$F:$F,N$1)</f>
        <v>0</v>
      </c>
      <c r="O719" s="242">
        <f>COUNTIFS('تجربه‌گرها'!$B:$B,$A719,'تجربه‌گرها'!$F:$F,O$1)</f>
        <v>0</v>
      </c>
      <c r="P719" s="242">
        <f>COUNTIFS('تجربه‌گرها'!$B:$B,$A719,'تجربه‌گرها'!$F:$F,P$1)</f>
        <v>0</v>
      </c>
      <c r="Q719" s="242">
        <f>COUNTIFS('تجربه‌گرها'!$B:$B,$A719,'تجربه‌گرها'!$F:$F,Q$1)</f>
        <v>0</v>
      </c>
      <c r="R719" s="242">
        <f>COUNTIFS('تجربه‌گرها'!$B:$B,$A719,'تجربه‌گرها'!$F:$F,R$1)</f>
        <v>0</v>
      </c>
      <c r="S719" s="242">
        <f>COUNTIFS('تجربه‌گرها'!$B:$B,$A719,'تجربه‌گرها'!$F:$F,S$1)</f>
        <v>0</v>
      </c>
      <c r="T719" s="242">
        <f>COUNTIFS('تجربه‌گرها'!$B:$B,$A719,'تجربه‌گرها'!$F:$F,T$1)</f>
        <v>0</v>
      </c>
      <c r="U719" s="242"/>
      <c r="V719" s="242"/>
      <c r="W719" s="242"/>
      <c r="X719" s="242"/>
      <c r="Y719" s="242"/>
      <c r="Z719" s="242"/>
      <c r="AA719" s="242"/>
      <c r="AB719" s="242"/>
    </row>
    <row r="720" hidden="1">
      <c r="A720" s="244" t="s">
        <v>4365</v>
      </c>
      <c r="B720" s="245" t="str">
        <f>VLOOKUP(A720,'تجربه‌گرها'!B:C,2,FALSE())</f>
        <v>9122219194</v>
      </c>
      <c r="C720" s="242"/>
      <c r="D720" s="242">
        <f t="shared" si="1"/>
        <v>1</v>
      </c>
      <c r="E720" s="242">
        <f>COUNTIFS('تجربه‌گرها'!$B:$B,$A720,'تجربه‌گرها'!$F:$F,E$1)</f>
        <v>0</v>
      </c>
      <c r="F720" s="242">
        <f>COUNTIFS('تجربه‌گرها'!$B:$B,$A720,'تجربه‌گرها'!$F:$F,F$1)</f>
        <v>0</v>
      </c>
      <c r="G720" s="242">
        <f>COUNTIFS('تجربه‌گرها'!$B:$B,$A720,'تجربه‌گرها'!$F:$F,G$1)</f>
        <v>0</v>
      </c>
      <c r="H720" s="242">
        <f>COUNTIFS('تجربه‌گرها'!$B:$B,$A720,'تجربه‌گرها'!$F:$F,H$1)</f>
        <v>0</v>
      </c>
      <c r="I720" s="242">
        <f>COUNTIFS('تجربه‌گرها'!$B:$B,$A720,'تجربه‌گرها'!$F:$F,I$1)</f>
        <v>0</v>
      </c>
      <c r="J720" s="242">
        <f>COUNTIFS('تجربه‌گرها'!$B:$B,$A720,'تجربه‌گرها'!$F:$F,J$1)</f>
        <v>0</v>
      </c>
      <c r="K720" s="242">
        <f>COUNTIFS('تجربه‌گرها'!$B:$B,$A720,'تجربه‌گرها'!$F:$F,K$1)</f>
        <v>1</v>
      </c>
      <c r="L720" s="242">
        <f>COUNTIFS('تجربه‌گرها'!$B:$B,$A720,'تجربه‌گرها'!$F:$F,L$1)</f>
        <v>0</v>
      </c>
      <c r="M720" s="242">
        <f>COUNTIFS('تجربه‌گرها'!$B:$B,$A720,'تجربه‌گرها'!$F:$F,M$1)</f>
        <v>0</v>
      </c>
      <c r="N720" s="242">
        <f>COUNTIFS('تجربه‌گرها'!$B:$B,$A720,'تجربه‌گرها'!$F:$F,N$1)</f>
        <v>0</v>
      </c>
      <c r="O720" s="242">
        <f>COUNTIFS('تجربه‌گرها'!$B:$B,$A720,'تجربه‌گرها'!$F:$F,O$1)</f>
        <v>0</v>
      </c>
      <c r="P720" s="242">
        <f>COUNTIFS('تجربه‌گرها'!$B:$B,$A720,'تجربه‌گرها'!$F:$F,P$1)</f>
        <v>0</v>
      </c>
      <c r="Q720" s="242">
        <f>COUNTIFS('تجربه‌گرها'!$B:$B,$A720,'تجربه‌گرها'!$F:$F,Q$1)</f>
        <v>0</v>
      </c>
      <c r="R720" s="242">
        <f>COUNTIFS('تجربه‌گرها'!$B:$B,$A720,'تجربه‌گرها'!$F:$F,R$1)</f>
        <v>0</v>
      </c>
      <c r="S720" s="242">
        <f>COUNTIFS('تجربه‌گرها'!$B:$B,$A720,'تجربه‌گرها'!$F:$F,S$1)</f>
        <v>0</v>
      </c>
      <c r="T720" s="242">
        <f>COUNTIFS('تجربه‌گرها'!$B:$B,$A720,'تجربه‌گرها'!$F:$F,T$1)</f>
        <v>0</v>
      </c>
      <c r="U720" s="242"/>
      <c r="V720" s="242"/>
      <c r="W720" s="242"/>
      <c r="X720" s="242"/>
      <c r="Y720" s="242"/>
      <c r="Z720" s="242"/>
      <c r="AA720" s="242"/>
      <c r="AB720" s="242"/>
    </row>
    <row r="721" hidden="1">
      <c r="A721" s="244" t="s">
        <v>4369</v>
      </c>
      <c r="B721" s="245" t="str">
        <f>VLOOKUP(A721,'تجربه‌گرها'!B:C,2,FALSE())</f>
        <v>9192964201</v>
      </c>
      <c r="C721" s="242"/>
      <c r="D721" s="242">
        <f t="shared" si="1"/>
        <v>1</v>
      </c>
      <c r="E721" s="242">
        <f>COUNTIFS('تجربه‌گرها'!$B:$B,$A721,'تجربه‌گرها'!$F:$F,E$1)</f>
        <v>0</v>
      </c>
      <c r="F721" s="242">
        <f>COUNTIFS('تجربه‌گرها'!$B:$B,$A721,'تجربه‌گرها'!$F:$F,F$1)</f>
        <v>0</v>
      </c>
      <c r="G721" s="242">
        <f>COUNTIFS('تجربه‌گرها'!$B:$B,$A721,'تجربه‌گرها'!$F:$F,G$1)</f>
        <v>0</v>
      </c>
      <c r="H721" s="242">
        <f>COUNTIFS('تجربه‌گرها'!$B:$B,$A721,'تجربه‌گرها'!$F:$F,H$1)</f>
        <v>0</v>
      </c>
      <c r="I721" s="242">
        <f>COUNTIFS('تجربه‌گرها'!$B:$B,$A721,'تجربه‌گرها'!$F:$F,I$1)</f>
        <v>0</v>
      </c>
      <c r="J721" s="242">
        <f>COUNTIFS('تجربه‌گرها'!$B:$B,$A721,'تجربه‌گرها'!$F:$F,J$1)</f>
        <v>0</v>
      </c>
      <c r="K721" s="242">
        <f>COUNTIFS('تجربه‌گرها'!$B:$B,$A721,'تجربه‌گرها'!$F:$F,K$1)</f>
        <v>1</v>
      </c>
      <c r="L721" s="242">
        <f>COUNTIFS('تجربه‌گرها'!$B:$B,$A721,'تجربه‌گرها'!$F:$F,L$1)</f>
        <v>0</v>
      </c>
      <c r="M721" s="242">
        <f>COUNTIFS('تجربه‌گرها'!$B:$B,$A721,'تجربه‌گرها'!$F:$F,M$1)</f>
        <v>0</v>
      </c>
      <c r="N721" s="242">
        <f>COUNTIFS('تجربه‌گرها'!$B:$B,$A721,'تجربه‌گرها'!$F:$F,N$1)</f>
        <v>0</v>
      </c>
      <c r="O721" s="242">
        <f>COUNTIFS('تجربه‌گرها'!$B:$B,$A721,'تجربه‌گرها'!$F:$F,O$1)</f>
        <v>0</v>
      </c>
      <c r="P721" s="242">
        <f>COUNTIFS('تجربه‌گرها'!$B:$B,$A721,'تجربه‌گرها'!$F:$F,P$1)</f>
        <v>0</v>
      </c>
      <c r="Q721" s="242">
        <f>COUNTIFS('تجربه‌گرها'!$B:$B,$A721,'تجربه‌گرها'!$F:$F,Q$1)</f>
        <v>0</v>
      </c>
      <c r="R721" s="242">
        <f>COUNTIFS('تجربه‌گرها'!$B:$B,$A721,'تجربه‌گرها'!$F:$F,R$1)</f>
        <v>0</v>
      </c>
      <c r="S721" s="242">
        <f>COUNTIFS('تجربه‌گرها'!$B:$B,$A721,'تجربه‌گرها'!$F:$F,S$1)</f>
        <v>0</v>
      </c>
      <c r="T721" s="242">
        <f>COUNTIFS('تجربه‌گرها'!$B:$B,$A721,'تجربه‌گرها'!$F:$F,T$1)</f>
        <v>0</v>
      </c>
      <c r="U721" s="242"/>
      <c r="V721" s="242"/>
      <c r="W721" s="242"/>
      <c r="X721" s="242"/>
      <c r="Y721" s="242"/>
      <c r="Z721" s="242"/>
      <c r="AA721" s="242"/>
      <c r="AB721" s="242"/>
    </row>
    <row r="722" hidden="1">
      <c r="A722" s="244" t="s">
        <v>4374</v>
      </c>
      <c r="B722" s="245" t="str">
        <f>VLOOKUP(A722,'تجربه‌گرها'!B:C,2,FALSE())</f>
        <v>9331363893</v>
      </c>
      <c r="C722" s="242"/>
      <c r="D722" s="242">
        <f t="shared" si="1"/>
        <v>1</v>
      </c>
      <c r="E722" s="242">
        <f>COUNTIFS('تجربه‌گرها'!$B:$B,$A722,'تجربه‌گرها'!$F:$F,E$1)</f>
        <v>0</v>
      </c>
      <c r="F722" s="242">
        <f>COUNTIFS('تجربه‌گرها'!$B:$B,$A722,'تجربه‌گرها'!$F:$F,F$1)</f>
        <v>0</v>
      </c>
      <c r="G722" s="242">
        <f>COUNTIFS('تجربه‌گرها'!$B:$B,$A722,'تجربه‌گرها'!$F:$F,G$1)</f>
        <v>0</v>
      </c>
      <c r="H722" s="242">
        <f>COUNTIFS('تجربه‌گرها'!$B:$B,$A722,'تجربه‌گرها'!$F:$F,H$1)</f>
        <v>0</v>
      </c>
      <c r="I722" s="242">
        <f>COUNTIFS('تجربه‌گرها'!$B:$B,$A722,'تجربه‌گرها'!$F:$F,I$1)</f>
        <v>0</v>
      </c>
      <c r="J722" s="242">
        <f>COUNTIFS('تجربه‌گرها'!$B:$B,$A722,'تجربه‌گرها'!$F:$F,J$1)</f>
        <v>0</v>
      </c>
      <c r="K722" s="242">
        <f>COUNTIFS('تجربه‌گرها'!$B:$B,$A722,'تجربه‌گرها'!$F:$F,K$1)</f>
        <v>1</v>
      </c>
      <c r="L722" s="242">
        <f>COUNTIFS('تجربه‌گرها'!$B:$B,$A722,'تجربه‌گرها'!$F:$F,L$1)</f>
        <v>0</v>
      </c>
      <c r="M722" s="242">
        <f>COUNTIFS('تجربه‌گرها'!$B:$B,$A722,'تجربه‌گرها'!$F:$F,M$1)</f>
        <v>0</v>
      </c>
      <c r="N722" s="242">
        <f>COUNTIFS('تجربه‌گرها'!$B:$B,$A722,'تجربه‌گرها'!$F:$F,N$1)</f>
        <v>0</v>
      </c>
      <c r="O722" s="242">
        <f>COUNTIFS('تجربه‌گرها'!$B:$B,$A722,'تجربه‌گرها'!$F:$F,O$1)</f>
        <v>0</v>
      </c>
      <c r="P722" s="242">
        <f>COUNTIFS('تجربه‌گرها'!$B:$B,$A722,'تجربه‌گرها'!$F:$F,P$1)</f>
        <v>0</v>
      </c>
      <c r="Q722" s="242">
        <f>COUNTIFS('تجربه‌گرها'!$B:$B,$A722,'تجربه‌گرها'!$F:$F,Q$1)</f>
        <v>0</v>
      </c>
      <c r="R722" s="242">
        <f>COUNTIFS('تجربه‌گرها'!$B:$B,$A722,'تجربه‌گرها'!$F:$F,R$1)</f>
        <v>0</v>
      </c>
      <c r="S722" s="242">
        <f>COUNTIFS('تجربه‌گرها'!$B:$B,$A722,'تجربه‌گرها'!$F:$F,S$1)</f>
        <v>0</v>
      </c>
      <c r="T722" s="242">
        <f>COUNTIFS('تجربه‌گرها'!$B:$B,$A722,'تجربه‌گرها'!$F:$F,T$1)</f>
        <v>0</v>
      </c>
      <c r="U722" s="242"/>
      <c r="V722" s="242"/>
      <c r="W722" s="242"/>
      <c r="X722" s="242"/>
      <c r="Y722" s="242"/>
      <c r="Z722" s="242"/>
      <c r="AA722" s="242"/>
      <c r="AB722" s="242"/>
    </row>
    <row r="723" hidden="1">
      <c r="A723" s="244" t="s">
        <v>4378</v>
      </c>
      <c r="B723" s="245" t="str">
        <f>VLOOKUP(A723,'تجربه‌گرها'!B:C,2,FALSE())</f>
        <v>9359634042</v>
      </c>
      <c r="C723" s="242"/>
      <c r="D723" s="242">
        <f t="shared" si="1"/>
        <v>1</v>
      </c>
      <c r="E723" s="242">
        <f>COUNTIFS('تجربه‌گرها'!$B:$B,$A723,'تجربه‌گرها'!$F:$F,E$1)</f>
        <v>0</v>
      </c>
      <c r="F723" s="242">
        <f>COUNTIFS('تجربه‌گرها'!$B:$B,$A723,'تجربه‌گرها'!$F:$F,F$1)</f>
        <v>0</v>
      </c>
      <c r="G723" s="242">
        <f>COUNTIFS('تجربه‌گرها'!$B:$B,$A723,'تجربه‌گرها'!$F:$F,G$1)</f>
        <v>0</v>
      </c>
      <c r="H723" s="242">
        <f>COUNTIFS('تجربه‌گرها'!$B:$B,$A723,'تجربه‌گرها'!$F:$F,H$1)</f>
        <v>0</v>
      </c>
      <c r="I723" s="242">
        <f>COUNTIFS('تجربه‌گرها'!$B:$B,$A723,'تجربه‌گرها'!$F:$F,I$1)</f>
        <v>0</v>
      </c>
      <c r="J723" s="242">
        <f>COUNTIFS('تجربه‌گرها'!$B:$B,$A723,'تجربه‌گرها'!$F:$F,J$1)</f>
        <v>0</v>
      </c>
      <c r="K723" s="242">
        <f>COUNTIFS('تجربه‌گرها'!$B:$B,$A723,'تجربه‌گرها'!$F:$F,K$1)</f>
        <v>1</v>
      </c>
      <c r="L723" s="242">
        <f>COUNTIFS('تجربه‌گرها'!$B:$B,$A723,'تجربه‌گرها'!$F:$F,L$1)</f>
        <v>0</v>
      </c>
      <c r="M723" s="242">
        <f>COUNTIFS('تجربه‌گرها'!$B:$B,$A723,'تجربه‌گرها'!$F:$F,M$1)</f>
        <v>0</v>
      </c>
      <c r="N723" s="242">
        <f>COUNTIFS('تجربه‌گرها'!$B:$B,$A723,'تجربه‌گرها'!$F:$F,N$1)</f>
        <v>0</v>
      </c>
      <c r="O723" s="242">
        <f>COUNTIFS('تجربه‌گرها'!$B:$B,$A723,'تجربه‌گرها'!$F:$F,O$1)</f>
        <v>0</v>
      </c>
      <c r="P723" s="242">
        <f>COUNTIFS('تجربه‌گرها'!$B:$B,$A723,'تجربه‌گرها'!$F:$F,P$1)</f>
        <v>0</v>
      </c>
      <c r="Q723" s="242">
        <f>COUNTIFS('تجربه‌گرها'!$B:$B,$A723,'تجربه‌گرها'!$F:$F,Q$1)</f>
        <v>0</v>
      </c>
      <c r="R723" s="242">
        <f>COUNTIFS('تجربه‌گرها'!$B:$B,$A723,'تجربه‌گرها'!$F:$F,R$1)</f>
        <v>0</v>
      </c>
      <c r="S723" s="242">
        <f>COUNTIFS('تجربه‌گرها'!$B:$B,$A723,'تجربه‌گرها'!$F:$F,S$1)</f>
        <v>0</v>
      </c>
      <c r="T723" s="242">
        <f>COUNTIFS('تجربه‌گرها'!$B:$B,$A723,'تجربه‌گرها'!$F:$F,T$1)</f>
        <v>0</v>
      </c>
      <c r="U723" s="242"/>
      <c r="V723" s="242"/>
      <c r="W723" s="242"/>
      <c r="X723" s="242"/>
      <c r="Y723" s="242"/>
      <c r="Z723" s="242"/>
      <c r="AA723" s="242"/>
      <c r="AB723" s="242"/>
    </row>
    <row r="724" hidden="1">
      <c r="A724" s="244" t="s">
        <v>4383</v>
      </c>
      <c r="B724" s="245" t="str">
        <f>VLOOKUP(A724,'تجربه‌گرها'!B:C,2,FALSE())</f>
        <v>9199660365</v>
      </c>
      <c r="C724" s="242"/>
      <c r="D724" s="242">
        <f t="shared" si="1"/>
        <v>1</v>
      </c>
      <c r="E724" s="242">
        <f>COUNTIFS('تجربه‌گرها'!$B:$B,$A724,'تجربه‌گرها'!$F:$F,E$1)</f>
        <v>0</v>
      </c>
      <c r="F724" s="242">
        <f>COUNTIFS('تجربه‌گرها'!$B:$B,$A724,'تجربه‌گرها'!$F:$F,F$1)</f>
        <v>0</v>
      </c>
      <c r="G724" s="242">
        <f>COUNTIFS('تجربه‌گرها'!$B:$B,$A724,'تجربه‌گرها'!$F:$F,G$1)</f>
        <v>0</v>
      </c>
      <c r="H724" s="242">
        <f>COUNTIFS('تجربه‌گرها'!$B:$B,$A724,'تجربه‌گرها'!$F:$F,H$1)</f>
        <v>0</v>
      </c>
      <c r="I724" s="242">
        <f>COUNTIFS('تجربه‌گرها'!$B:$B,$A724,'تجربه‌گرها'!$F:$F,I$1)</f>
        <v>0</v>
      </c>
      <c r="J724" s="242">
        <f>COUNTIFS('تجربه‌گرها'!$B:$B,$A724,'تجربه‌گرها'!$F:$F,J$1)</f>
        <v>0</v>
      </c>
      <c r="K724" s="242">
        <f>COUNTIFS('تجربه‌گرها'!$B:$B,$A724,'تجربه‌گرها'!$F:$F,K$1)</f>
        <v>1</v>
      </c>
      <c r="L724" s="242">
        <f>COUNTIFS('تجربه‌گرها'!$B:$B,$A724,'تجربه‌گرها'!$F:$F,L$1)</f>
        <v>0</v>
      </c>
      <c r="M724" s="242">
        <f>COUNTIFS('تجربه‌گرها'!$B:$B,$A724,'تجربه‌گرها'!$F:$F,M$1)</f>
        <v>0</v>
      </c>
      <c r="N724" s="242">
        <f>COUNTIFS('تجربه‌گرها'!$B:$B,$A724,'تجربه‌گرها'!$F:$F,N$1)</f>
        <v>0</v>
      </c>
      <c r="O724" s="242">
        <f>COUNTIFS('تجربه‌گرها'!$B:$B,$A724,'تجربه‌گرها'!$F:$F,O$1)</f>
        <v>0</v>
      </c>
      <c r="P724" s="242">
        <f>COUNTIFS('تجربه‌گرها'!$B:$B,$A724,'تجربه‌گرها'!$F:$F,P$1)</f>
        <v>0</v>
      </c>
      <c r="Q724" s="242">
        <f>COUNTIFS('تجربه‌گرها'!$B:$B,$A724,'تجربه‌گرها'!$F:$F,Q$1)</f>
        <v>0</v>
      </c>
      <c r="R724" s="242">
        <f>COUNTIFS('تجربه‌گرها'!$B:$B,$A724,'تجربه‌گرها'!$F:$F,R$1)</f>
        <v>0</v>
      </c>
      <c r="S724" s="242">
        <f>COUNTIFS('تجربه‌گرها'!$B:$B,$A724,'تجربه‌گرها'!$F:$F,S$1)</f>
        <v>0</v>
      </c>
      <c r="T724" s="242">
        <f>COUNTIFS('تجربه‌گرها'!$B:$B,$A724,'تجربه‌گرها'!$F:$F,T$1)</f>
        <v>0</v>
      </c>
      <c r="U724" s="242"/>
      <c r="V724" s="242"/>
      <c r="W724" s="242"/>
      <c r="X724" s="242"/>
      <c r="Y724" s="242"/>
      <c r="Z724" s="242"/>
      <c r="AA724" s="242"/>
      <c r="AB724" s="242"/>
    </row>
    <row r="725" hidden="1">
      <c r="A725" s="244" t="s">
        <v>4388</v>
      </c>
      <c r="B725" s="245" t="str">
        <f>VLOOKUP(A725,'تجربه‌گرها'!B:C,2,FALSE())</f>
        <v>9123851990</v>
      </c>
      <c r="C725" s="242"/>
      <c r="D725" s="242">
        <f t="shared" si="1"/>
        <v>1</v>
      </c>
      <c r="E725" s="242">
        <f>COUNTIFS('تجربه‌گرها'!$B:$B,$A725,'تجربه‌گرها'!$F:$F,E$1)</f>
        <v>0</v>
      </c>
      <c r="F725" s="242">
        <f>COUNTIFS('تجربه‌گرها'!$B:$B,$A725,'تجربه‌گرها'!$F:$F,F$1)</f>
        <v>0</v>
      </c>
      <c r="G725" s="242">
        <f>COUNTIFS('تجربه‌گرها'!$B:$B,$A725,'تجربه‌گرها'!$F:$F,G$1)</f>
        <v>0</v>
      </c>
      <c r="H725" s="242">
        <f>COUNTIFS('تجربه‌گرها'!$B:$B,$A725,'تجربه‌گرها'!$F:$F,H$1)</f>
        <v>0</v>
      </c>
      <c r="I725" s="242">
        <f>COUNTIFS('تجربه‌گرها'!$B:$B,$A725,'تجربه‌گرها'!$F:$F,I$1)</f>
        <v>0</v>
      </c>
      <c r="J725" s="242">
        <f>COUNTIFS('تجربه‌گرها'!$B:$B,$A725,'تجربه‌گرها'!$F:$F,J$1)</f>
        <v>0</v>
      </c>
      <c r="K725" s="242">
        <f>COUNTIFS('تجربه‌گرها'!$B:$B,$A725,'تجربه‌گرها'!$F:$F,K$1)</f>
        <v>1</v>
      </c>
      <c r="L725" s="242">
        <f>COUNTIFS('تجربه‌گرها'!$B:$B,$A725,'تجربه‌گرها'!$F:$F,L$1)</f>
        <v>0</v>
      </c>
      <c r="M725" s="242">
        <f>COUNTIFS('تجربه‌گرها'!$B:$B,$A725,'تجربه‌گرها'!$F:$F,M$1)</f>
        <v>0</v>
      </c>
      <c r="N725" s="242">
        <f>COUNTIFS('تجربه‌گرها'!$B:$B,$A725,'تجربه‌گرها'!$F:$F,N$1)</f>
        <v>0</v>
      </c>
      <c r="O725" s="242">
        <f>COUNTIFS('تجربه‌گرها'!$B:$B,$A725,'تجربه‌گرها'!$F:$F,O$1)</f>
        <v>0</v>
      </c>
      <c r="P725" s="242">
        <f>COUNTIFS('تجربه‌گرها'!$B:$B,$A725,'تجربه‌گرها'!$F:$F,P$1)</f>
        <v>0</v>
      </c>
      <c r="Q725" s="242">
        <f>COUNTIFS('تجربه‌گرها'!$B:$B,$A725,'تجربه‌گرها'!$F:$F,Q$1)</f>
        <v>0</v>
      </c>
      <c r="R725" s="242">
        <f>COUNTIFS('تجربه‌گرها'!$B:$B,$A725,'تجربه‌گرها'!$F:$F,R$1)</f>
        <v>0</v>
      </c>
      <c r="S725" s="242">
        <f>COUNTIFS('تجربه‌گرها'!$B:$B,$A725,'تجربه‌گرها'!$F:$F,S$1)</f>
        <v>0</v>
      </c>
      <c r="T725" s="242">
        <f>COUNTIFS('تجربه‌گرها'!$B:$B,$A725,'تجربه‌گرها'!$F:$F,T$1)</f>
        <v>0</v>
      </c>
      <c r="U725" s="242"/>
      <c r="V725" s="242"/>
      <c r="W725" s="242"/>
      <c r="X725" s="242"/>
      <c r="Y725" s="242"/>
      <c r="Z725" s="242"/>
      <c r="AA725" s="242"/>
      <c r="AB725" s="242"/>
    </row>
    <row r="726" hidden="1">
      <c r="A726" s="244" t="s">
        <v>4393</v>
      </c>
      <c r="B726" s="245" t="str">
        <f>VLOOKUP(A726,'تجربه‌گرها'!B:C,2,FALSE())</f>
        <v>9128841864</v>
      </c>
      <c r="C726" s="242"/>
      <c r="D726" s="242">
        <f t="shared" si="1"/>
        <v>1</v>
      </c>
      <c r="E726" s="242">
        <f>COUNTIFS('تجربه‌گرها'!$B:$B,$A726,'تجربه‌گرها'!$F:$F,E$1)</f>
        <v>0</v>
      </c>
      <c r="F726" s="242">
        <f>COUNTIFS('تجربه‌گرها'!$B:$B,$A726,'تجربه‌گرها'!$F:$F,F$1)</f>
        <v>0</v>
      </c>
      <c r="G726" s="242">
        <f>COUNTIFS('تجربه‌گرها'!$B:$B,$A726,'تجربه‌گرها'!$F:$F,G$1)</f>
        <v>0</v>
      </c>
      <c r="H726" s="242">
        <f>COUNTIFS('تجربه‌گرها'!$B:$B,$A726,'تجربه‌گرها'!$F:$F,H$1)</f>
        <v>0</v>
      </c>
      <c r="I726" s="242">
        <f>COUNTIFS('تجربه‌گرها'!$B:$B,$A726,'تجربه‌گرها'!$F:$F,I$1)</f>
        <v>0</v>
      </c>
      <c r="J726" s="242">
        <f>COUNTIFS('تجربه‌گرها'!$B:$B,$A726,'تجربه‌گرها'!$F:$F,J$1)</f>
        <v>0</v>
      </c>
      <c r="K726" s="242">
        <f>COUNTIFS('تجربه‌گرها'!$B:$B,$A726,'تجربه‌گرها'!$F:$F,K$1)</f>
        <v>1</v>
      </c>
      <c r="L726" s="242">
        <f>COUNTIFS('تجربه‌گرها'!$B:$B,$A726,'تجربه‌گرها'!$F:$F,L$1)</f>
        <v>0</v>
      </c>
      <c r="M726" s="242">
        <f>COUNTIFS('تجربه‌گرها'!$B:$B,$A726,'تجربه‌گرها'!$F:$F,M$1)</f>
        <v>0</v>
      </c>
      <c r="N726" s="242">
        <f>COUNTIFS('تجربه‌گرها'!$B:$B,$A726,'تجربه‌گرها'!$F:$F,N$1)</f>
        <v>0</v>
      </c>
      <c r="O726" s="242">
        <f>COUNTIFS('تجربه‌گرها'!$B:$B,$A726,'تجربه‌گرها'!$F:$F,O$1)</f>
        <v>0</v>
      </c>
      <c r="P726" s="242">
        <f>COUNTIFS('تجربه‌گرها'!$B:$B,$A726,'تجربه‌گرها'!$F:$F,P$1)</f>
        <v>0</v>
      </c>
      <c r="Q726" s="242">
        <f>COUNTIFS('تجربه‌گرها'!$B:$B,$A726,'تجربه‌گرها'!$F:$F,Q$1)</f>
        <v>0</v>
      </c>
      <c r="R726" s="242">
        <f>COUNTIFS('تجربه‌گرها'!$B:$B,$A726,'تجربه‌گرها'!$F:$F,R$1)</f>
        <v>0</v>
      </c>
      <c r="S726" s="242">
        <f>COUNTIFS('تجربه‌گرها'!$B:$B,$A726,'تجربه‌گرها'!$F:$F,S$1)</f>
        <v>0</v>
      </c>
      <c r="T726" s="242">
        <f>COUNTIFS('تجربه‌گرها'!$B:$B,$A726,'تجربه‌گرها'!$F:$F,T$1)</f>
        <v>0</v>
      </c>
      <c r="U726" s="242"/>
      <c r="V726" s="242"/>
      <c r="W726" s="242"/>
      <c r="X726" s="242"/>
      <c r="Y726" s="242"/>
      <c r="Z726" s="242"/>
      <c r="AA726" s="242"/>
      <c r="AB726" s="242"/>
    </row>
    <row r="727" hidden="1">
      <c r="A727" s="244" t="s">
        <v>4398</v>
      </c>
      <c r="B727" s="245" t="str">
        <f>VLOOKUP(A727,'تجربه‌گرها'!B:C,2,FALSE())</f>
        <v>9125990767</v>
      </c>
      <c r="C727" s="242"/>
      <c r="D727" s="242">
        <f t="shared" si="1"/>
        <v>1</v>
      </c>
      <c r="E727" s="242">
        <f>COUNTIFS('تجربه‌گرها'!$B:$B,$A727,'تجربه‌گرها'!$F:$F,E$1)</f>
        <v>0</v>
      </c>
      <c r="F727" s="242">
        <f>COUNTIFS('تجربه‌گرها'!$B:$B,$A727,'تجربه‌گرها'!$F:$F,F$1)</f>
        <v>0</v>
      </c>
      <c r="G727" s="242">
        <f>COUNTIFS('تجربه‌گرها'!$B:$B,$A727,'تجربه‌گرها'!$F:$F,G$1)</f>
        <v>0</v>
      </c>
      <c r="H727" s="242">
        <f>COUNTIFS('تجربه‌گرها'!$B:$B,$A727,'تجربه‌گرها'!$F:$F,H$1)</f>
        <v>0</v>
      </c>
      <c r="I727" s="242">
        <f>COUNTIFS('تجربه‌گرها'!$B:$B,$A727,'تجربه‌گرها'!$F:$F,I$1)</f>
        <v>0</v>
      </c>
      <c r="J727" s="242">
        <f>COUNTIFS('تجربه‌گرها'!$B:$B,$A727,'تجربه‌گرها'!$F:$F,J$1)</f>
        <v>0</v>
      </c>
      <c r="K727" s="242">
        <f>COUNTIFS('تجربه‌گرها'!$B:$B,$A727,'تجربه‌گرها'!$F:$F,K$1)</f>
        <v>1</v>
      </c>
      <c r="L727" s="242">
        <f>COUNTIFS('تجربه‌گرها'!$B:$B,$A727,'تجربه‌گرها'!$F:$F,L$1)</f>
        <v>0</v>
      </c>
      <c r="M727" s="242">
        <f>COUNTIFS('تجربه‌گرها'!$B:$B,$A727,'تجربه‌گرها'!$F:$F,M$1)</f>
        <v>0</v>
      </c>
      <c r="N727" s="242">
        <f>COUNTIFS('تجربه‌گرها'!$B:$B,$A727,'تجربه‌گرها'!$F:$F,N$1)</f>
        <v>0</v>
      </c>
      <c r="O727" s="242">
        <f>COUNTIFS('تجربه‌گرها'!$B:$B,$A727,'تجربه‌گرها'!$F:$F,O$1)</f>
        <v>0</v>
      </c>
      <c r="P727" s="242">
        <f>COUNTIFS('تجربه‌گرها'!$B:$B,$A727,'تجربه‌گرها'!$F:$F,P$1)</f>
        <v>0</v>
      </c>
      <c r="Q727" s="242">
        <f>COUNTIFS('تجربه‌گرها'!$B:$B,$A727,'تجربه‌گرها'!$F:$F,Q$1)</f>
        <v>0</v>
      </c>
      <c r="R727" s="242">
        <f>COUNTIFS('تجربه‌گرها'!$B:$B,$A727,'تجربه‌گرها'!$F:$F,R$1)</f>
        <v>0</v>
      </c>
      <c r="S727" s="242">
        <f>COUNTIFS('تجربه‌گرها'!$B:$B,$A727,'تجربه‌گرها'!$F:$F,S$1)</f>
        <v>0</v>
      </c>
      <c r="T727" s="242">
        <f>COUNTIFS('تجربه‌گرها'!$B:$B,$A727,'تجربه‌گرها'!$F:$F,T$1)</f>
        <v>0</v>
      </c>
      <c r="U727" s="242"/>
      <c r="V727" s="242"/>
      <c r="W727" s="242"/>
      <c r="X727" s="242"/>
      <c r="Y727" s="242"/>
      <c r="Z727" s="242"/>
      <c r="AA727" s="242"/>
      <c r="AB727" s="242"/>
    </row>
    <row r="728" hidden="1">
      <c r="A728" s="244" t="s">
        <v>4404</v>
      </c>
      <c r="B728" s="245" t="str">
        <f>VLOOKUP(A728,'تجربه‌گرها'!B:C,2,FALSE())</f>
        <v>9153437251</v>
      </c>
      <c r="C728" s="242"/>
      <c r="D728" s="242">
        <f t="shared" si="1"/>
        <v>2</v>
      </c>
      <c r="E728" s="242">
        <f>COUNTIFS('تجربه‌گرها'!$B:$B,$A728,'تجربه‌گرها'!$F:$F,E$1)</f>
        <v>0</v>
      </c>
      <c r="F728" s="242">
        <f>COUNTIFS('تجربه‌گرها'!$B:$B,$A728,'تجربه‌گرها'!$F:$F,F$1)</f>
        <v>0</v>
      </c>
      <c r="G728" s="242">
        <f>COUNTIFS('تجربه‌گرها'!$B:$B,$A728,'تجربه‌گرها'!$F:$F,G$1)</f>
        <v>0</v>
      </c>
      <c r="H728" s="242">
        <f>COUNTIFS('تجربه‌گرها'!$B:$B,$A728,'تجربه‌گرها'!$F:$F,H$1)</f>
        <v>0</v>
      </c>
      <c r="I728" s="242">
        <f>COUNTIFS('تجربه‌گرها'!$B:$B,$A728,'تجربه‌گرها'!$F:$F,I$1)</f>
        <v>0</v>
      </c>
      <c r="J728" s="242">
        <f>COUNTIFS('تجربه‌گرها'!$B:$B,$A728,'تجربه‌گرها'!$F:$F,J$1)</f>
        <v>0</v>
      </c>
      <c r="K728" s="242">
        <f>COUNTIFS('تجربه‌گرها'!$B:$B,$A728,'تجربه‌گرها'!$F:$F,K$1)</f>
        <v>1</v>
      </c>
      <c r="L728" s="242">
        <f>COUNTIFS('تجربه‌گرها'!$B:$B,$A728,'تجربه‌گرها'!$F:$F,L$1)</f>
        <v>1</v>
      </c>
      <c r="M728" s="242">
        <f>COUNTIFS('تجربه‌گرها'!$B:$B,$A728,'تجربه‌گرها'!$F:$F,M$1)</f>
        <v>0</v>
      </c>
      <c r="N728" s="242">
        <f>COUNTIFS('تجربه‌گرها'!$B:$B,$A728,'تجربه‌گرها'!$F:$F,N$1)</f>
        <v>0</v>
      </c>
      <c r="O728" s="242">
        <f>COUNTIFS('تجربه‌گرها'!$B:$B,$A728,'تجربه‌گرها'!$F:$F,O$1)</f>
        <v>0</v>
      </c>
      <c r="P728" s="242">
        <f>COUNTIFS('تجربه‌گرها'!$B:$B,$A728,'تجربه‌گرها'!$F:$F,P$1)</f>
        <v>0</v>
      </c>
      <c r="Q728" s="242">
        <f>COUNTIFS('تجربه‌گرها'!$B:$B,$A728,'تجربه‌گرها'!$F:$F,Q$1)</f>
        <v>0</v>
      </c>
      <c r="R728" s="242">
        <f>COUNTIFS('تجربه‌گرها'!$B:$B,$A728,'تجربه‌گرها'!$F:$F,R$1)</f>
        <v>0</v>
      </c>
      <c r="S728" s="242">
        <f>COUNTIFS('تجربه‌گرها'!$B:$B,$A728,'تجربه‌گرها'!$F:$F,S$1)</f>
        <v>0</v>
      </c>
      <c r="T728" s="242">
        <f>COUNTIFS('تجربه‌گرها'!$B:$B,$A728,'تجربه‌گرها'!$F:$F,T$1)</f>
        <v>0</v>
      </c>
      <c r="U728" s="242"/>
      <c r="V728" s="242"/>
      <c r="W728" s="242"/>
      <c r="X728" s="242"/>
      <c r="Y728" s="242"/>
      <c r="Z728" s="242"/>
      <c r="AA728" s="242"/>
      <c r="AB728" s="242"/>
    </row>
    <row r="729" hidden="1">
      <c r="A729" s="244" t="s">
        <v>4410</v>
      </c>
      <c r="B729" s="245" t="str">
        <f>VLOOKUP(A729,'تجربه‌گرها'!B:C,2,FALSE())</f>
        <v>9120519209</v>
      </c>
      <c r="C729" s="242"/>
      <c r="D729" s="242">
        <f t="shared" si="1"/>
        <v>1</v>
      </c>
      <c r="E729" s="242">
        <f>COUNTIFS('تجربه‌گرها'!$B:$B,$A729,'تجربه‌گرها'!$F:$F,E$1)</f>
        <v>0</v>
      </c>
      <c r="F729" s="242">
        <f>COUNTIFS('تجربه‌گرها'!$B:$B,$A729,'تجربه‌گرها'!$F:$F,F$1)</f>
        <v>0</v>
      </c>
      <c r="G729" s="242">
        <f>COUNTIFS('تجربه‌گرها'!$B:$B,$A729,'تجربه‌گرها'!$F:$F,G$1)</f>
        <v>0</v>
      </c>
      <c r="H729" s="242">
        <f>COUNTIFS('تجربه‌گرها'!$B:$B,$A729,'تجربه‌گرها'!$F:$F,H$1)</f>
        <v>0</v>
      </c>
      <c r="I729" s="242">
        <f>COUNTIFS('تجربه‌گرها'!$B:$B,$A729,'تجربه‌گرها'!$F:$F,I$1)</f>
        <v>0</v>
      </c>
      <c r="J729" s="242">
        <f>COUNTIFS('تجربه‌گرها'!$B:$B,$A729,'تجربه‌گرها'!$F:$F,J$1)</f>
        <v>0</v>
      </c>
      <c r="K729" s="242">
        <f>COUNTIFS('تجربه‌گرها'!$B:$B,$A729,'تجربه‌گرها'!$F:$F,K$1)</f>
        <v>1</v>
      </c>
      <c r="L729" s="242">
        <f>COUNTIFS('تجربه‌گرها'!$B:$B,$A729,'تجربه‌گرها'!$F:$F,L$1)</f>
        <v>0</v>
      </c>
      <c r="M729" s="242">
        <f>COUNTIFS('تجربه‌گرها'!$B:$B,$A729,'تجربه‌گرها'!$F:$F,M$1)</f>
        <v>0</v>
      </c>
      <c r="N729" s="242">
        <f>COUNTIFS('تجربه‌گرها'!$B:$B,$A729,'تجربه‌گرها'!$F:$F,N$1)</f>
        <v>0</v>
      </c>
      <c r="O729" s="242">
        <f>COUNTIFS('تجربه‌گرها'!$B:$B,$A729,'تجربه‌گرها'!$F:$F,O$1)</f>
        <v>0</v>
      </c>
      <c r="P729" s="242">
        <f>COUNTIFS('تجربه‌گرها'!$B:$B,$A729,'تجربه‌گرها'!$F:$F,P$1)</f>
        <v>0</v>
      </c>
      <c r="Q729" s="242">
        <f>COUNTIFS('تجربه‌گرها'!$B:$B,$A729,'تجربه‌گرها'!$F:$F,Q$1)</f>
        <v>0</v>
      </c>
      <c r="R729" s="242">
        <f>COUNTIFS('تجربه‌گرها'!$B:$B,$A729,'تجربه‌گرها'!$F:$F,R$1)</f>
        <v>0</v>
      </c>
      <c r="S729" s="242">
        <f>COUNTIFS('تجربه‌گرها'!$B:$B,$A729,'تجربه‌گرها'!$F:$F,S$1)</f>
        <v>0</v>
      </c>
      <c r="T729" s="242">
        <f>COUNTIFS('تجربه‌گرها'!$B:$B,$A729,'تجربه‌گرها'!$F:$F,T$1)</f>
        <v>0</v>
      </c>
      <c r="U729" s="242"/>
      <c r="V729" s="242"/>
      <c r="W729" s="242"/>
      <c r="X729" s="242"/>
      <c r="Y729" s="242"/>
      <c r="Z729" s="242"/>
      <c r="AA729" s="242"/>
      <c r="AB729" s="242"/>
    </row>
    <row r="730" hidden="1">
      <c r="A730" s="244" t="s">
        <v>4414</v>
      </c>
      <c r="B730" s="245" t="str">
        <f>VLOOKUP(A730,'تجربه‌گرها'!B:C,2,FALSE())</f>
        <v>9124308425</v>
      </c>
      <c r="C730" s="242"/>
      <c r="D730" s="242">
        <f t="shared" si="1"/>
        <v>1</v>
      </c>
      <c r="E730" s="242">
        <f>COUNTIFS('تجربه‌گرها'!$B:$B,$A730,'تجربه‌گرها'!$F:$F,E$1)</f>
        <v>0</v>
      </c>
      <c r="F730" s="242">
        <f>COUNTIFS('تجربه‌گرها'!$B:$B,$A730,'تجربه‌گرها'!$F:$F,F$1)</f>
        <v>0</v>
      </c>
      <c r="G730" s="242">
        <f>COUNTIFS('تجربه‌گرها'!$B:$B,$A730,'تجربه‌گرها'!$F:$F,G$1)</f>
        <v>0</v>
      </c>
      <c r="H730" s="242">
        <f>COUNTIFS('تجربه‌گرها'!$B:$B,$A730,'تجربه‌گرها'!$F:$F,H$1)</f>
        <v>0</v>
      </c>
      <c r="I730" s="242">
        <f>COUNTIFS('تجربه‌گرها'!$B:$B,$A730,'تجربه‌گرها'!$F:$F,I$1)</f>
        <v>0</v>
      </c>
      <c r="J730" s="242">
        <f>COUNTIFS('تجربه‌گرها'!$B:$B,$A730,'تجربه‌گرها'!$F:$F,J$1)</f>
        <v>0</v>
      </c>
      <c r="K730" s="242">
        <f>COUNTIFS('تجربه‌گرها'!$B:$B,$A730,'تجربه‌گرها'!$F:$F,K$1)</f>
        <v>1</v>
      </c>
      <c r="L730" s="242">
        <f>COUNTIFS('تجربه‌گرها'!$B:$B,$A730,'تجربه‌گرها'!$F:$F,L$1)</f>
        <v>0</v>
      </c>
      <c r="M730" s="242">
        <f>COUNTIFS('تجربه‌گرها'!$B:$B,$A730,'تجربه‌گرها'!$F:$F,M$1)</f>
        <v>0</v>
      </c>
      <c r="N730" s="242">
        <f>COUNTIFS('تجربه‌گرها'!$B:$B,$A730,'تجربه‌گرها'!$F:$F,N$1)</f>
        <v>0</v>
      </c>
      <c r="O730" s="242">
        <f>COUNTIFS('تجربه‌گرها'!$B:$B,$A730,'تجربه‌گرها'!$F:$F,O$1)</f>
        <v>0</v>
      </c>
      <c r="P730" s="242">
        <f>COUNTIFS('تجربه‌گرها'!$B:$B,$A730,'تجربه‌گرها'!$F:$F,P$1)</f>
        <v>0</v>
      </c>
      <c r="Q730" s="242">
        <f>COUNTIFS('تجربه‌گرها'!$B:$B,$A730,'تجربه‌گرها'!$F:$F,Q$1)</f>
        <v>0</v>
      </c>
      <c r="R730" s="242">
        <f>COUNTIFS('تجربه‌گرها'!$B:$B,$A730,'تجربه‌گرها'!$F:$F,R$1)</f>
        <v>0</v>
      </c>
      <c r="S730" s="242">
        <f>COUNTIFS('تجربه‌گرها'!$B:$B,$A730,'تجربه‌گرها'!$F:$F,S$1)</f>
        <v>0</v>
      </c>
      <c r="T730" s="242">
        <f>COUNTIFS('تجربه‌گرها'!$B:$B,$A730,'تجربه‌گرها'!$F:$F,T$1)</f>
        <v>0</v>
      </c>
      <c r="U730" s="242"/>
      <c r="V730" s="242"/>
      <c r="W730" s="242"/>
      <c r="X730" s="242"/>
      <c r="Y730" s="242"/>
      <c r="Z730" s="242"/>
      <c r="AA730" s="242"/>
      <c r="AB730" s="242"/>
    </row>
    <row r="731" hidden="1">
      <c r="A731" s="244" t="s">
        <v>4418</v>
      </c>
      <c r="B731" s="245" t="str">
        <f>VLOOKUP(A731,'تجربه‌گرها'!B:C,2,FALSE())</f>
        <v>9109090003</v>
      </c>
      <c r="C731" s="242"/>
      <c r="D731" s="242">
        <f t="shared" si="1"/>
        <v>1</v>
      </c>
      <c r="E731" s="242">
        <f>COUNTIFS('تجربه‌گرها'!$B:$B,$A731,'تجربه‌گرها'!$F:$F,E$1)</f>
        <v>0</v>
      </c>
      <c r="F731" s="242">
        <f>COUNTIFS('تجربه‌گرها'!$B:$B,$A731,'تجربه‌گرها'!$F:$F,F$1)</f>
        <v>0</v>
      </c>
      <c r="G731" s="242">
        <f>COUNTIFS('تجربه‌گرها'!$B:$B,$A731,'تجربه‌گرها'!$F:$F,G$1)</f>
        <v>0</v>
      </c>
      <c r="H731" s="242">
        <f>COUNTIFS('تجربه‌گرها'!$B:$B,$A731,'تجربه‌گرها'!$F:$F,H$1)</f>
        <v>0</v>
      </c>
      <c r="I731" s="242">
        <f>COUNTIFS('تجربه‌گرها'!$B:$B,$A731,'تجربه‌گرها'!$F:$F,I$1)</f>
        <v>0</v>
      </c>
      <c r="J731" s="242">
        <f>COUNTIFS('تجربه‌گرها'!$B:$B,$A731,'تجربه‌گرها'!$F:$F,J$1)</f>
        <v>0</v>
      </c>
      <c r="K731" s="242">
        <f>COUNTIFS('تجربه‌گرها'!$B:$B,$A731,'تجربه‌گرها'!$F:$F,K$1)</f>
        <v>1</v>
      </c>
      <c r="L731" s="242">
        <f>COUNTIFS('تجربه‌گرها'!$B:$B,$A731,'تجربه‌گرها'!$F:$F,L$1)</f>
        <v>0</v>
      </c>
      <c r="M731" s="242">
        <f>COUNTIFS('تجربه‌گرها'!$B:$B,$A731,'تجربه‌گرها'!$F:$F,M$1)</f>
        <v>0</v>
      </c>
      <c r="N731" s="242">
        <f>COUNTIFS('تجربه‌گرها'!$B:$B,$A731,'تجربه‌گرها'!$F:$F,N$1)</f>
        <v>0</v>
      </c>
      <c r="O731" s="242">
        <f>COUNTIFS('تجربه‌گرها'!$B:$B,$A731,'تجربه‌گرها'!$F:$F,O$1)</f>
        <v>0</v>
      </c>
      <c r="P731" s="242">
        <f>COUNTIFS('تجربه‌گرها'!$B:$B,$A731,'تجربه‌گرها'!$F:$F,P$1)</f>
        <v>0</v>
      </c>
      <c r="Q731" s="242">
        <f>COUNTIFS('تجربه‌گرها'!$B:$B,$A731,'تجربه‌گرها'!$F:$F,Q$1)</f>
        <v>0</v>
      </c>
      <c r="R731" s="242">
        <f>COUNTIFS('تجربه‌گرها'!$B:$B,$A731,'تجربه‌گرها'!$F:$F,R$1)</f>
        <v>0</v>
      </c>
      <c r="S731" s="242">
        <f>COUNTIFS('تجربه‌گرها'!$B:$B,$A731,'تجربه‌گرها'!$F:$F,S$1)</f>
        <v>0</v>
      </c>
      <c r="T731" s="242">
        <f>COUNTIFS('تجربه‌گرها'!$B:$B,$A731,'تجربه‌گرها'!$F:$F,T$1)</f>
        <v>0</v>
      </c>
      <c r="U731" s="242"/>
      <c r="V731" s="242"/>
      <c r="W731" s="242"/>
      <c r="X731" s="242"/>
      <c r="Y731" s="242"/>
      <c r="Z731" s="242"/>
      <c r="AA731" s="242"/>
      <c r="AB731" s="242"/>
    </row>
    <row r="732" hidden="1">
      <c r="A732" s="244" t="s">
        <v>911</v>
      </c>
      <c r="B732" s="245" t="str">
        <f>VLOOKUP(A732,'تجربه‌گرها'!B:C,2,FALSE())</f>
        <v>9159880915</v>
      </c>
      <c r="C732" s="242"/>
      <c r="D732" s="242">
        <f t="shared" si="1"/>
        <v>1</v>
      </c>
      <c r="E732" s="242">
        <f>COUNTIFS('تجربه‌گرها'!$B:$B,$A732,'تجربه‌گرها'!$F:$F,E$1)</f>
        <v>0</v>
      </c>
      <c r="F732" s="242">
        <f>COUNTIFS('تجربه‌گرها'!$B:$B,$A732,'تجربه‌گرها'!$F:$F,F$1)</f>
        <v>0</v>
      </c>
      <c r="G732" s="242">
        <f>COUNTIFS('تجربه‌گرها'!$B:$B,$A732,'تجربه‌گرها'!$F:$F,G$1)</f>
        <v>0</v>
      </c>
      <c r="H732" s="242">
        <f>COUNTIFS('تجربه‌گرها'!$B:$B,$A732,'تجربه‌گرها'!$F:$F,H$1)</f>
        <v>0</v>
      </c>
      <c r="I732" s="242">
        <f>COUNTIFS('تجربه‌گرها'!$B:$B,$A732,'تجربه‌گرها'!$F:$F,I$1)</f>
        <v>0</v>
      </c>
      <c r="J732" s="242">
        <f>COUNTIFS('تجربه‌گرها'!$B:$B,$A732,'تجربه‌گرها'!$F:$F,J$1)</f>
        <v>0</v>
      </c>
      <c r="K732" s="242">
        <f>COUNTIFS('تجربه‌گرها'!$B:$B,$A732,'تجربه‌گرها'!$F:$F,K$1)</f>
        <v>1</v>
      </c>
      <c r="L732" s="242">
        <f>COUNTIFS('تجربه‌گرها'!$B:$B,$A732,'تجربه‌گرها'!$F:$F,L$1)</f>
        <v>0</v>
      </c>
      <c r="M732" s="242">
        <f>COUNTIFS('تجربه‌گرها'!$B:$B,$A732,'تجربه‌گرها'!$F:$F,M$1)</f>
        <v>0</v>
      </c>
      <c r="N732" s="242">
        <f>COUNTIFS('تجربه‌گرها'!$B:$B,$A732,'تجربه‌گرها'!$F:$F,N$1)</f>
        <v>0</v>
      </c>
      <c r="O732" s="242">
        <f>COUNTIFS('تجربه‌گرها'!$B:$B,$A732,'تجربه‌گرها'!$F:$F,O$1)</f>
        <v>0</v>
      </c>
      <c r="P732" s="242">
        <f>COUNTIFS('تجربه‌گرها'!$B:$B,$A732,'تجربه‌گرها'!$F:$F,P$1)</f>
        <v>0</v>
      </c>
      <c r="Q732" s="242">
        <f>COUNTIFS('تجربه‌گرها'!$B:$B,$A732,'تجربه‌گرها'!$F:$F,Q$1)</f>
        <v>0</v>
      </c>
      <c r="R732" s="242">
        <f>COUNTIFS('تجربه‌گرها'!$B:$B,$A732,'تجربه‌گرها'!$F:$F,R$1)</f>
        <v>0</v>
      </c>
      <c r="S732" s="242">
        <f>COUNTIFS('تجربه‌گرها'!$B:$B,$A732,'تجربه‌گرها'!$F:$F,S$1)</f>
        <v>0</v>
      </c>
      <c r="T732" s="242">
        <f>COUNTIFS('تجربه‌گرها'!$B:$B,$A732,'تجربه‌گرها'!$F:$F,T$1)</f>
        <v>0</v>
      </c>
      <c r="U732" s="242"/>
      <c r="V732" s="242"/>
      <c r="W732" s="242"/>
      <c r="X732" s="242"/>
      <c r="Y732" s="242"/>
      <c r="Z732" s="242"/>
      <c r="AA732" s="242"/>
      <c r="AB732" s="242"/>
    </row>
    <row r="733" hidden="1">
      <c r="A733" s="244" t="s">
        <v>4427</v>
      </c>
      <c r="B733" s="245" t="str">
        <f>VLOOKUP(A733,'تجربه‌گرها'!B:C,2,FALSE())</f>
        <v>9166713611</v>
      </c>
      <c r="C733" s="242"/>
      <c r="D733" s="242">
        <f t="shared" si="1"/>
        <v>1</v>
      </c>
      <c r="E733" s="242">
        <f>COUNTIFS('تجربه‌گرها'!$B:$B,$A733,'تجربه‌گرها'!$F:$F,E$1)</f>
        <v>0</v>
      </c>
      <c r="F733" s="242">
        <f>COUNTIFS('تجربه‌گرها'!$B:$B,$A733,'تجربه‌گرها'!$F:$F,F$1)</f>
        <v>0</v>
      </c>
      <c r="G733" s="242">
        <f>COUNTIFS('تجربه‌گرها'!$B:$B,$A733,'تجربه‌گرها'!$F:$F,G$1)</f>
        <v>0</v>
      </c>
      <c r="H733" s="242">
        <f>COUNTIFS('تجربه‌گرها'!$B:$B,$A733,'تجربه‌گرها'!$F:$F,H$1)</f>
        <v>0</v>
      </c>
      <c r="I733" s="242">
        <f>COUNTIFS('تجربه‌گرها'!$B:$B,$A733,'تجربه‌گرها'!$F:$F,I$1)</f>
        <v>0</v>
      </c>
      <c r="J733" s="242">
        <f>COUNTIFS('تجربه‌گرها'!$B:$B,$A733,'تجربه‌گرها'!$F:$F,J$1)</f>
        <v>0</v>
      </c>
      <c r="K733" s="242">
        <f>COUNTIFS('تجربه‌گرها'!$B:$B,$A733,'تجربه‌گرها'!$F:$F,K$1)</f>
        <v>1</v>
      </c>
      <c r="L733" s="242">
        <f>COUNTIFS('تجربه‌گرها'!$B:$B,$A733,'تجربه‌گرها'!$F:$F,L$1)</f>
        <v>0</v>
      </c>
      <c r="M733" s="242">
        <f>COUNTIFS('تجربه‌گرها'!$B:$B,$A733,'تجربه‌گرها'!$F:$F,M$1)</f>
        <v>0</v>
      </c>
      <c r="N733" s="242">
        <f>COUNTIFS('تجربه‌گرها'!$B:$B,$A733,'تجربه‌گرها'!$F:$F,N$1)</f>
        <v>0</v>
      </c>
      <c r="O733" s="242">
        <f>COUNTIFS('تجربه‌گرها'!$B:$B,$A733,'تجربه‌گرها'!$F:$F,O$1)</f>
        <v>0</v>
      </c>
      <c r="P733" s="242">
        <f>COUNTIFS('تجربه‌گرها'!$B:$B,$A733,'تجربه‌گرها'!$F:$F,P$1)</f>
        <v>0</v>
      </c>
      <c r="Q733" s="242">
        <f>COUNTIFS('تجربه‌گرها'!$B:$B,$A733,'تجربه‌گرها'!$F:$F,Q$1)</f>
        <v>0</v>
      </c>
      <c r="R733" s="242">
        <f>COUNTIFS('تجربه‌گرها'!$B:$B,$A733,'تجربه‌گرها'!$F:$F,R$1)</f>
        <v>0</v>
      </c>
      <c r="S733" s="242">
        <f>COUNTIFS('تجربه‌گرها'!$B:$B,$A733,'تجربه‌گرها'!$F:$F,S$1)</f>
        <v>0</v>
      </c>
      <c r="T733" s="242">
        <f>COUNTIFS('تجربه‌گرها'!$B:$B,$A733,'تجربه‌گرها'!$F:$F,T$1)</f>
        <v>0</v>
      </c>
      <c r="U733" s="242"/>
      <c r="V733" s="242"/>
      <c r="W733" s="242"/>
      <c r="X733" s="242"/>
      <c r="Y733" s="242"/>
      <c r="Z733" s="242"/>
      <c r="AA733" s="242"/>
      <c r="AB733" s="242"/>
    </row>
    <row r="734">
      <c r="A734" s="244" t="s">
        <v>4433</v>
      </c>
      <c r="B734" s="245" t="str">
        <f>VLOOKUP(A734,'تجربه‌گرها'!B:C,2,FALSE())</f>
        <v>9038888605</v>
      </c>
      <c r="C734" s="242"/>
      <c r="D734" s="242">
        <f t="shared" si="1"/>
        <v>1</v>
      </c>
      <c r="E734" s="242">
        <f>COUNTIFS('تجربه‌گرها'!$B:$B,$A734,'تجربه‌گرها'!$F:$F,E$1)</f>
        <v>0</v>
      </c>
      <c r="F734" s="242">
        <f>COUNTIFS('تجربه‌گرها'!$B:$B,$A734,'تجربه‌گرها'!$F:$F,F$1)</f>
        <v>0</v>
      </c>
      <c r="G734" s="242">
        <f>COUNTIFS('تجربه‌گرها'!$B:$B,$A734,'تجربه‌گرها'!$F:$F,G$1)</f>
        <v>0</v>
      </c>
      <c r="H734" s="242">
        <f>COUNTIFS('تجربه‌گرها'!$B:$B,$A734,'تجربه‌گرها'!$F:$F,H$1)</f>
        <v>0</v>
      </c>
      <c r="I734" s="242">
        <f>COUNTIFS('تجربه‌گرها'!$B:$B,$A734,'تجربه‌گرها'!$F:$F,I$1)</f>
        <v>0</v>
      </c>
      <c r="J734" s="242">
        <f>COUNTIFS('تجربه‌گرها'!$B:$B,$A734,'تجربه‌گرها'!$F:$F,J$1)</f>
        <v>0</v>
      </c>
      <c r="K734" s="242">
        <f>COUNTIFS('تجربه‌گرها'!$B:$B,$A734,'تجربه‌گرها'!$F:$F,K$1)</f>
        <v>1</v>
      </c>
      <c r="L734" s="242">
        <f>COUNTIFS('تجربه‌گرها'!$B:$B,$A734,'تجربه‌گرها'!$F:$F,L$1)</f>
        <v>0</v>
      </c>
      <c r="M734" s="242">
        <f>COUNTIFS('تجربه‌گرها'!$B:$B,$A734,'تجربه‌گرها'!$F:$F,M$1)</f>
        <v>0</v>
      </c>
      <c r="N734" s="242">
        <f>COUNTIFS('تجربه‌گرها'!$B:$B,$A734,'تجربه‌گرها'!$F:$F,N$1)</f>
        <v>0</v>
      </c>
      <c r="O734" s="242">
        <f>COUNTIFS('تجربه‌گرها'!$B:$B,$A734,'تجربه‌گرها'!$F:$F,O$1)</f>
        <v>0</v>
      </c>
      <c r="P734" s="242">
        <f>COUNTIFS('تجربه‌گرها'!$B:$B,$A734,'تجربه‌گرها'!$F:$F,P$1)</f>
        <v>0</v>
      </c>
      <c r="Q734" s="242">
        <f>COUNTIFS('تجربه‌گرها'!$B:$B,$A734,'تجربه‌گرها'!$F:$F,Q$1)</f>
        <v>0</v>
      </c>
      <c r="R734" s="242">
        <f>COUNTIFS('تجربه‌گرها'!$B:$B,$A734,'تجربه‌گرها'!$F:$F,R$1)</f>
        <v>0</v>
      </c>
      <c r="S734" s="242">
        <f>COUNTIFS('تجربه‌گرها'!$B:$B,$A734,'تجربه‌گرها'!$F:$F,S$1)</f>
        <v>0</v>
      </c>
      <c r="T734" s="242">
        <f>COUNTIFS('تجربه‌گرها'!$B:$B,$A734,'تجربه‌گرها'!$F:$F,T$1)</f>
        <v>0</v>
      </c>
      <c r="U734" s="242"/>
      <c r="V734" s="242"/>
      <c r="W734" s="242"/>
      <c r="X734" s="242"/>
      <c r="Y734" s="242"/>
      <c r="Z734" s="242"/>
      <c r="AA734" s="242"/>
      <c r="AB734" s="242"/>
    </row>
    <row r="735" hidden="1">
      <c r="A735" s="244" t="s">
        <v>4439</v>
      </c>
      <c r="B735" s="245" t="str">
        <f>VLOOKUP(A735,'تجربه‌گرها'!B:C,2,FALSE())</f>
        <v>9121089162</v>
      </c>
      <c r="C735" s="242"/>
      <c r="D735" s="242">
        <f t="shared" si="1"/>
        <v>1</v>
      </c>
      <c r="E735" s="242">
        <f>COUNTIFS('تجربه‌گرها'!$B:$B,$A735,'تجربه‌گرها'!$F:$F,E$1)</f>
        <v>0</v>
      </c>
      <c r="F735" s="242">
        <f>COUNTIFS('تجربه‌گرها'!$B:$B,$A735,'تجربه‌گرها'!$F:$F,F$1)</f>
        <v>0</v>
      </c>
      <c r="G735" s="242">
        <f>COUNTIFS('تجربه‌گرها'!$B:$B,$A735,'تجربه‌گرها'!$F:$F,G$1)</f>
        <v>0</v>
      </c>
      <c r="H735" s="242">
        <f>COUNTIFS('تجربه‌گرها'!$B:$B,$A735,'تجربه‌گرها'!$F:$F,H$1)</f>
        <v>0</v>
      </c>
      <c r="I735" s="242">
        <f>COUNTIFS('تجربه‌گرها'!$B:$B,$A735,'تجربه‌گرها'!$F:$F,I$1)</f>
        <v>0</v>
      </c>
      <c r="J735" s="242">
        <f>COUNTIFS('تجربه‌گرها'!$B:$B,$A735,'تجربه‌گرها'!$F:$F,J$1)</f>
        <v>0</v>
      </c>
      <c r="K735" s="242">
        <f>COUNTIFS('تجربه‌گرها'!$B:$B,$A735,'تجربه‌گرها'!$F:$F,K$1)</f>
        <v>1</v>
      </c>
      <c r="L735" s="242">
        <f>COUNTIFS('تجربه‌گرها'!$B:$B,$A735,'تجربه‌گرها'!$F:$F,L$1)</f>
        <v>0</v>
      </c>
      <c r="M735" s="242">
        <f>COUNTIFS('تجربه‌گرها'!$B:$B,$A735,'تجربه‌گرها'!$F:$F,M$1)</f>
        <v>0</v>
      </c>
      <c r="N735" s="242">
        <f>COUNTIFS('تجربه‌گرها'!$B:$B,$A735,'تجربه‌گرها'!$F:$F,N$1)</f>
        <v>0</v>
      </c>
      <c r="O735" s="242">
        <f>COUNTIFS('تجربه‌گرها'!$B:$B,$A735,'تجربه‌گرها'!$F:$F,O$1)</f>
        <v>0</v>
      </c>
      <c r="P735" s="242">
        <f>COUNTIFS('تجربه‌گرها'!$B:$B,$A735,'تجربه‌گرها'!$F:$F,P$1)</f>
        <v>0</v>
      </c>
      <c r="Q735" s="242">
        <f>COUNTIFS('تجربه‌گرها'!$B:$B,$A735,'تجربه‌گرها'!$F:$F,Q$1)</f>
        <v>0</v>
      </c>
      <c r="R735" s="242">
        <f>COUNTIFS('تجربه‌گرها'!$B:$B,$A735,'تجربه‌گرها'!$F:$F,R$1)</f>
        <v>0</v>
      </c>
      <c r="S735" s="242">
        <f>COUNTIFS('تجربه‌گرها'!$B:$B,$A735,'تجربه‌گرها'!$F:$F,S$1)</f>
        <v>0</v>
      </c>
      <c r="T735" s="242">
        <f>COUNTIFS('تجربه‌گرها'!$B:$B,$A735,'تجربه‌گرها'!$F:$F,T$1)</f>
        <v>0</v>
      </c>
      <c r="U735" s="242"/>
      <c r="V735" s="242"/>
      <c r="W735" s="242"/>
      <c r="X735" s="242"/>
      <c r="Y735" s="242"/>
      <c r="Z735" s="242"/>
      <c r="AA735" s="242"/>
      <c r="AB735" s="242"/>
    </row>
    <row r="736" hidden="1">
      <c r="A736" s="244" t="s">
        <v>4444</v>
      </c>
      <c r="B736" s="245" t="str">
        <f>VLOOKUP(A736,'تجربه‌گرها'!B:C,2,FALSE())</f>
        <v>9121195947</v>
      </c>
      <c r="C736" s="242"/>
      <c r="D736" s="242">
        <f t="shared" si="1"/>
        <v>2</v>
      </c>
      <c r="E736" s="242">
        <f>COUNTIFS('تجربه‌گرها'!$B:$B,$A736,'تجربه‌گرها'!$F:$F,E$1)</f>
        <v>0</v>
      </c>
      <c r="F736" s="242">
        <f>COUNTIFS('تجربه‌گرها'!$B:$B,$A736,'تجربه‌گرها'!$F:$F,F$1)</f>
        <v>0</v>
      </c>
      <c r="G736" s="242">
        <f>COUNTIFS('تجربه‌گرها'!$B:$B,$A736,'تجربه‌گرها'!$F:$F,G$1)</f>
        <v>0</v>
      </c>
      <c r="H736" s="242">
        <f>COUNTIFS('تجربه‌گرها'!$B:$B,$A736,'تجربه‌گرها'!$F:$F,H$1)</f>
        <v>0</v>
      </c>
      <c r="I736" s="242">
        <f>COUNTIFS('تجربه‌گرها'!$B:$B,$A736,'تجربه‌گرها'!$F:$F,I$1)</f>
        <v>0</v>
      </c>
      <c r="J736" s="242">
        <f>COUNTIFS('تجربه‌گرها'!$B:$B,$A736,'تجربه‌گرها'!$F:$F,J$1)</f>
        <v>0</v>
      </c>
      <c r="K736" s="242">
        <f>COUNTIFS('تجربه‌گرها'!$B:$B,$A736,'تجربه‌گرها'!$F:$F,K$1)</f>
        <v>1</v>
      </c>
      <c r="L736" s="242">
        <f>COUNTIFS('تجربه‌گرها'!$B:$B,$A736,'تجربه‌گرها'!$F:$F,L$1)</f>
        <v>1</v>
      </c>
      <c r="M736" s="242">
        <f>COUNTIFS('تجربه‌گرها'!$B:$B,$A736,'تجربه‌گرها'!$F:$F,M$1)</f>
        <v>0</v>
      </c>
      <c r="N736" s="242">
        <f>COUNTIFS('تجربه‌گرها'!$B:$B,$A736,'تجربه‌گرها'!$F:$F,N$1)</f>
        <v>0</v>
      </c>
      <c r="O736" s="242">
        <f>COUNTIFS('تجربه‌گرها'!$B:$B,$A736,'تجربه‌گرها'!$F:$F,O$1)</f>
        <v>0</v>
      </c>
      <c r="P736" s="242">
        <f>COUNTIFS('تجربه‌گرها'!$B:$B,$A736,'تجربه‌گرها'!$F:$F,P$1)</f>
        <v>0</v>
      </c>
      <c r="Q736" s="242">
        <f>COUNTIFS('تجربه‌گرها'!$B:$B,$A736,'تجربه‌گرها'!$F:$F,Q$1)</f>
        <v>0</v>
      </c>
      <c r="R736" s="242">
        <f>COUNTIFS('تجربه‌گرها'!$B:$B,$A736,'تجربه‌گرها'!$F:$F,R$1)</f>
        <v>0</v>
      </c>
      <c r="S736" s="242">
        <f>COUNTIFS('تجربه‌گرها'!$B:$B,$A736,'تجربه‌گرها'!$F:$F,S$1)</f>
        <v>0</v>
      </c>
      <c r="T736" s="242">
        <f>COUNTIFS('تجربه‌گرها'!$B:$B,$A736,'تجربه‌گرها'!$F:$F,T$1)</f>
        <v>0</v>
      </c>
      <c r="U736" s="242"/>
      <c r="V736" s="242"/>
      <c r="W736" s="242"/>
      <c r="X736" s="242"/>
      <c r="Y736" s="242"/>
      <c r="Z736" s="242"/>
      <c r="AA736" s="242"/>
      <c r="AB736" s="242"/>
    </row>
    <row r="737" hidden="1">
      <c r="A737" s="244" t="s">
        <v>4448</v>
      </c>
      <c r="B737" s="245" t="str">
        <f>VLOOKUP(A737,'تجربه‌گرها'!B:C,2,FALSE())</f>
        <v>9123864384</v>
      </c>
      <c r="C737" s="242"/>
      <c r="D737" s="242">
        <f t="shared" si="1"/>
        <v>1</v>
      </c>
      <c r="E737" s="242">
        <f>COUNTIFS('تجربه‌گرها'!$B:$B,$A737,'تجربه‌گرها'!$F:$F,E$1)</f>
        <v>0</v>
      </c>
      <c r="F737" s="242">
        <f>COUNTIFS('تجربه‌گرها'!$B:$B,$A737,'تجربه‌گرها'!$F:$F,F$1)</f>
        <v>0</v>
      </c>
      <c r="G737" s="242">
        <f>COUNTIFS('تجربه‌گرها'!$B:$B,$A737,'تجربه‌گرها'!$F:$F,G$1)</f>
        <v>0</v>
      </c>
      <c r="H737" s="242">
        <f>COUNTIFS('تجربه‌گرها'!$B:$B,$A737,'تجربه‌گرها'!$F:$F,H$1)</f>
        <v>0</v>
      </c>
      <c r="I737" s="242">
        <f>COUNTIFS('تجربه‌گرها'!$B:$B,$A737,'تجربه‌گرها'!$F:$F,I$1)</f>
        <v>0</v>
      </c>
      <c r="J737" s="242">
        <f>COUNTIFS('تجربه‌گرها'!$B:$B,$A737,'تجربه‌گرها'!$F:$F,J$1)</f>
        <v>0</v>
      </c>
      <c r="K737" s="242">
        <f>COUNTIFS('تجربه‌گرها'!$B:$B,$A737,'تجربه‌گرها'!$F:$F,K$1)</f>
        <v>1</v>
      </c>
      <c r="L737" s="242">
        <f>COUNTIFS('تجربه‌گرها'!$B:$B,$A737,'تجربه‌گرها'!$F:$F,L$1)</f>
        <v>0</v>
      </c>
      <c r="M737" s="242">
        <f>COUNTIFS('تجربه‌گرها'!$B:$B,$A737,'تجربه‌گرها'!$F:$F,M$1)</f>
        <v>0</v>
      </c>
      <c r="N737" s="242">
        <f>COUNTIFS('تجربه‌گرها'!$B:$B,$A737,'تجربه‌گرها'!$F:$F,N$1)</f>
        <v>0</v>
      </c>
      <c r="O737" s="242">
        <f>COUNTIFS('تجربه‌گرها'!$B:$B,$A737,'تجربه‌گرها'!$F:$F,O$1)</f>
        <v>0</v>
      </c>
      <c r="P737" s="242">
        <f>COUNTIFS('تجربه‌گرها'!$B:$B,$A737,'تجربه‌گرها'!$F:$F,P$1)</f>
        <v>0</v>
      </c>
      <c r="Q737" s="242">
        <f>COUNTIFS('تجربه‌گرها'!$B:$B,$A737,'تجربه‌گرها'!$F:$F,Q$1)</f>
        <v>0</v>
      </c>
      <c r="R737" s="242">
        <f>COUNTIFS('تجربه‌گرها'!$B:$B,$A737,'تجربه‌گرها'!$F:$F,R$1)</f>
        <v>0</v>
      </c>
      <c r="S737" s="242">
        <f>COUNTIFS('تجربه‌گرها'!$B:$B,$A737,'تجربه‌گرها'!$F:$F,S$1)</f>
        <v>0</v>
      </c>
      <c r="T737" s="242">
        <f>COUNTIFS('تجربه‌گرها'!$B:$B,$A737,'تجربه‌گرها'!$F:$F,T$1)</f>
        <v>0</v>
      </c>
      <c r="U737" s="242"/>
      <c r="V737" s="242"/>
      <c r="W737" s="242"/>
      <c r="X737" s="242"/>
      <c r="Y737" s="242"/>
      <c r="Z737" s="242"/>
      <c r="AA737" s="242"/>
      <c r="AB737" s="242"/>
    </row>
    <row r="738" hidden="1">
      <c r="A738" s="244" t="s">
        <v>4453</v>
      </c>
      <c r="B738" s="245" t="str">
        <f>VLOOKUP(A738,'تجربه‌گرها'!B:C,2,FALSE())</f>
        <v>9384674732</v>
      </c>
      <c r="C738" s="242"/>
      <c r="D738" s="242">
        <f t="shared" si="1"/>
        <v>1</v>
      </c>
      <c r="E738" s="242">
        <f>COUNTIFS('تجربه‌گرها'!$B:$B,$A738,'تجربه‌گرها'!$F:$F,E$1)</f>
        <v>0</v>
      </c>
      <c r="F738" s="242">
        <f>COUNTIFS('تجربه‌گرها'!$B:$B,$A738,'تجربه‌گرها'!$F:$F,F$1)</f>
        <v>0</v>
      </c>
      <c r="G738" s="242">
        <f>COUNTIFS('تجربه‌گرها'!$B:$B,$A738,'تجربه‌گرها'!$F:$F,G$1)</f>
        <v>0</v>
      </c>
      <c r="H738" s="242">
        <f>COUNTIFS('تجربه‌گرها'!$B:$B,$A738,'تجربه‌گرها'!$F:$F,H$1)</f>
        <v>0</v>
      </c>
      <c r="I738" s="242">
        <f>COUNTIFS('تجربه‌گرها'!$B:$B,$A738,'تجربه‌گرها'!$F:$F,I$1)</f>
        <v>0</v>
      </c>
      <c r="J738" s="242">
        <f>COUNTIFS('تجربه‌گرها'!$B:$B,$A738,'تجربه‌گرها'!$F:$F,J$1)</f>
        <v>0</v>
      </c>
      <c r="K738" s="242">
        <f>COUNTIFS('تجربه‌گرها'!$B:$B,$A738,'تجربه‌گرها'!$F:$F,K$1)</f>
        <v>1</v>
      </c>
      <c r="L738" s="242">
        <f>COUNTIFS('تجربه‌گرها'!$B:$B,$A738,'تجربه‌گرها'!$F:$F,L$1)</f>
        <v>0</v>
      </c>
      <c r="M738" s="242">
        <f>COUNTIFS('تجربه‌گرها'!$B:$B,$A738,'تجربه‌گرها'!$F:$F,M$1)</f>
        <v>0</v>
      </c>
      <c r="N738" s="242">
        <f>COUNTIFS('تجربه‌گرها'!$B:$B,$A738,'تجربه‌گرها'!$F:$F,N$1)</f>
        <v>0</v>
      </c>
      <c r="O738" s="242">
        <f>COUNTIFS('تجربه‌گرها'!$B:$B,$A738,'تجربه‌گرها'!$F:$F,O$1)</f>
        <v>0</v>
      </c>
      <c r="P738" s="242">
        <f>COUNTIFS('تجربه‌گرها'!$B:$B,$A738,'تجربه‌گرها'!$F:$F,P$1)</f>
        <v>0</v>
      </c>
      <c r="Q738" s="242">
        <f>COUNTIFS('تجربه‌گرها'!$B:$B,$A738,'تجربه‌گرها'!$F:$F,Q$1)</f>
        <v>0</v>
      </c>
      <c r="R738" s="242">
        <f>COUNTIFS('تجربه‌گرها'!$B:$B,$A738,'تجربه‌گرها'!$F:$F,R$1)</f>
        <v>0</v>
      </c>
      <c r="S738" s="242">
        <f>COUNTIFS('تجربه‌گرها'!$B:$B,$A738,'تجربه‌گرها'!$F:$F,S$1)</f>
        <v>0</v>
      </c>
      <c r="T738" s="242">
        <f>COUNTIFS('تجربه‌گرها'!$B:$B,$A738,'تجربه‌گرها'!$F:$F,T$1)</f>
        <v>0</v>
      </c>
      <c r="U738" s="242"/>
      <c r="V738" s="242"/>
      <c r="W738" s="242"/>
      <c r="X738" s="242"/>
      <c r="Y738" s="242"/>
      <c r="Z738" s="242"/>
      <c r="AA738" s="242"/>
      <c r="AB738" s="242"/>
    </row>
    <row r="739" hidden="1">
      <c r="A739" s="244" t="s">
        <v>4457</v>
      </c>
      <c r="B739" s="245" t="str">
        <f>VLOOKUP(A739,'تجربه‌گرها'!B:C,2,FALSE())</f>
        <v>9376713848</v>
      </c>
      <c r="C739" s="242"/>
      <c r="D739" s="242">
        <f t="shared" si="1"/>
        <v>1</v>
      </c>
      <c r="E739" s="242">
        <f>COUNTIFS('تجربه‌گرها'!$B:$B,$A739,'تجربه‌گرها'!$F:$F,E$1)</f>
        <v>0</v>
      </c>
      <c r="F739" s="242">
        <f>COUNTIFS('تجربه‌گرها'!$B:$B,$A739,'تجربه‌گرها'!$F:$F,F$1)</f>
        <v>0</v>
      </c>
      <c r="G739" s="242">
        <f>COUNTIFS('تجربه‌گرها'!$B:$B,$A739,'تجربه‌گرها'!$F:$F,G$1)</f>
        <v>0</v>
      </c>
      <c r="H739" s="242">
        <f>COUNTIFS('تجربه‌گرها'!$B:$B,$A739,'تجربه‌گرها'!$F:$F,H$1)</f>
        <v>0</v>
      </c>
      <c r="I739" s="242">
        <f>COUNTIFS('تجربه‌گرها'!$B:$B,$A739,'تجربه‌گرها'!$F:$F,I$1)</f>
        <v>0</v>
      </c>
      <c r="J739" s="242">
        <f>COUNTIFS('تجربه‌گرها'!$B:$B,$A739,'تجربه‌گرها'!$F:$F,J$1)</f>
        <v>0</v>
      </c>
      <c r="K739" s="242">
        <f>COUNTIFS('تجربه‌گرها'!$B:$B,$A739,'تجربه‌گرها'!$F:$F,K$1)</f>
        <v>1</v>
      </c>
      <c r="L739" s="242">
        <f>COUNTIFS('تجربه‌گرها'!$B:$B,$A739,'تجربه‌گرها'!$F:$F,L$1)</f>
        <v>0</v>
      </c>
      <c r="M739" s="242">
        <f>COUNTIFS('تجربه‌گرها'!$B:$B,$A739,'تجربه‌گرها'!$F:$F,M$1)</f>
        <v>0</v>
      </c>
      <c r="N739" s="242">
        <f>COUNTIFS('تجربه‌گرها'!$B:$B,$A739,'تجربه‌گرها'!$F:$F,N$1)</f>
        <v>0</v>
      </c>
      <c r="O739" s="242">
        <f>COUNTIFS('تجربه‌گرها'!$B:$B,$A739,'تجربه‌گرها'!$F:$F,O$1)</f>
        <v>0</v>
      </c>
      <c r="P739" s="242">
        <f>COUNTIFS('تجربه‌گرها'!$B:$B,$A739,'تجربه‌گرها'!$F:$F,P$1)</f>
        <v>0</v>
      </c>
      <c r="Q739" s="242">
        <f>COUNTIFS('تجربه‌گرها'!$B:$B,$A739,'تجربه‌گرها'!$F:$F,Q$1)</f>
        <v>0</v>
      </c>
      <c r="R739" s="242">
        <f>COUNTIFS('تجربه‌گرها'!$B:$B,$A739,'تجربه‌گرها'!$F:$F,R$1)</f>
        <v>0</v>
      </c>
      <c r="S739" s="242">
        <f>COUNTIFS('تجربه‌گرها'!$B:$B,$A739,'تجربه‌گرها'!$F:$F,S$1)</f>
        <v>0</v>
      </c>
      <c r="T739" s="242">
        <f>COUNTIFS('تجربه‌گرها'!$B:$B,$A739,'تجربه‌گرها'!$F:$F,T$1)</f>
        <v>0</v>
      </c>
      <c r="U739" s="242"/>
      <c r="V739" s="242"/>
      <c r="W739" s="242"/>
      <c r="X739" s="242"/>
      <c r="Y739" s="242"/>
      <c r="Z739" s="242"/>
      <c r="AA739" s="242"/>
      <c r="AB739" s="242"/>
    </row>
    <row r="740" hidden="1">
      <c r="A740" s="244" t="s">
        <v>4461</v>
      </c>
      <c r="B740" s="245" t="str">
        <f>VLOOKUP(A740,'تجربه‌گرها'!B:C,2,FALSE())</f>
        <v>9352334607</v>
      </c>
      <c r="C740" s="242"/>
      <c r="D740" s="242">
        <f t="shared" si="1"/>
        <v>1</v>
      </c>
      <c r="E740" s="242">
        <f>COUNTIFS('تجربه‌گرها'!$B:$B,$A740,'تجربه‌گرها'!$F:$F,E$1)</f>
        <v>0</v>
      </c>
      <c r="F740" s="242">
        <f>COUNTIFS('تجربه‌گرها'!$B:$B,$A740,'تجربه‌گرها'!$F:$F,F$1)</f>
        <v>0</v>
      </c>
      <c r="G740" s="242">
        <f>COUNTIFS('تجربه‌گرها'!$B:$B,$A740,'تجربه‌گرها'!$F:$F,G$1)</f>
        <v>0</v>
      </c>
      <c r="H740" s="242">
        <f>COUNTIFS('تجربه‌گرها'!$B:$B,$A740,'تجربه‌گرها'!$F:$F,H$1)</f>
        <v>0</v>
      </c>
      <c r="I740" s="242">
        <f>COUNTIFS('تجربه‌گرها'!$B:$B,$A740,'تجربه‌گرها'!$F:$F,I$1)</f>
        <v>0</v>
      </c>
      <c r="J740" s="242">
        <f>COUNTIFS('تجربه‌گرها'!$B:$B,$A740,'تجربه‌گرها'!$F:$F,J$1)</f>
        <v>0</v>
      </c>
      <c r="K740" s="242">
        <f>COUNTIFS('تجربه‌گرها'!$B:$B,$A740,'تجربه‌گرها'!$F:$F,K$1)</f>
        <v>1</v>
      </c>
      <c r="L740" s="242">
        <f>COUNTIFS('تجربه‌گرها'!$B:$B,$A740,'تجربه‌گرها'!$F:$F,L$1)</f>
        <v>0</v>
      </c>
      <c r="M740" s="242">
        <f>COUNTIFS('تجربه‌گرها'!$B:$B,$A740,'تجربه‌گرها'!$F:$F,M$1)</f>
        <v>0</v>
      </c>
      <c r="N740" s="242">
        <f>COUNTIFS('تجربه‌گرها'!$B:$B,$A740,'تجربه‌گرها'!$F:$F,N$1)</f>
        <v>0</v>
      </c>
      <c r="O740" s="242">
        <f>COUNTIFS('تجربه‌گرها'!$B:$B,$A740,'تجربه‌گرها'!$F:$F,O$1)</f>
        <v>0</v>
      </c>
      <c r="P740" s="242">
        <f>COUNTIFS('تجربه‌گرها'!$B:$B,$A740,'تجربه‌گرها'!$F:$F,P$1)</f>
        <v>0</v>
      </c>
      <c r="Q740" s="242">
        <f>COUNTIFS('تجربه‌گرها'!$B:$B,$A740,'تجربه‌گرها'!$F:$F,Q$1)</f>
        <v>0</v>
      </c>
      <c r="R740" s="242">
        <f>COUNTIFS('تجربه‌گرها'!$B:$B,$A740,'تجربه‌گرها'!$F:$F,R$1)</f>
        <v>0</v>
      </c>
      <c r="S740" s="242">
        <f>COUNTIFS('تجربه‌گرها'!$B:$B,$A740,'تجربه‌گرها'!$F:$F,S$1)</f>
        <v>0</v>
      </c>
      <c r="T740" s="242">
        <f>COUNTIFS('تجربه‌گرها'!$B:$B,$A740,'تجربه‌گرها'!$F:$F,T$1)</f>
        <v>0</v>
      </c>
      <c r="U740" s="242"/>
      <c r="V740" s="242"/>
      <c r="W740" s="242"/>
      <c r="X740" s="242"/>
      <c r="Y740" s="242"/>
      <c r="Z740" s="242"/>
      <c r="AA740" s="242"/>
      <c r="AB740" s="242"/>
    </row>
    <row r="741" hidden="1">
      <c r="A741" s="244" t="s">
        <v>4466</v>
      </c>
      <c r="B741" s="245" t="str">
        <f>VLOOKUP(A741,'تجربه‌گرها'!B:C,2,FALSE())</f>
        <v>9151485244</v>
      </c>
      <c r="C741" s="242"/>
      <c r="D741" s="242">
        <f t="shared" si="1"/>
        <v>1</v>
      </c>
      <c r="E741" s="242">
        <f>COUNTIFS('تجربه‌گرها'!$B:$B,$A741,'تجربه‌گرها'!$F:$F,E$1)</f>
        <v>0</v>
      </c>
      <c r="F741" s="242">
        <f>COUNTIFS('تجربه‌گرها'!$B:$B,$A741,'تجربه‌گرها'!$F:$F,F$1)</f>
        <v>0</v>
      </c>
      <c r="G741" s="242">
        <f>COUNTIFS('تجربه‌گرها'!$B:$B,$A741,'تجربه‌گرها'!$F:$F,G$1)</f>
        <v>0</v>
      </c>
      <c r="H741" s="242">
        <f>COUNTIFS('تجربه‌گرها'!$B:$B,$A741,'تجربه‌گرها'!$F:$F,H$1)</f>
        <v>0</v>
      </c>
      <c r="I741" s="242">
        <f>COUNTIFS('تجربه‌گرها'!$B:$B,$A741,'تجربه‌گرها'!$F:$F,I$1)</f>
        <v>0</v>
      </c>
      <c r="J741" s="242">
        <f>COUNTIFS('تجربه‌گرها'!$B:$B,$A741,'تجربه‌گرها'!$F:$F,J$1)</f>
        <v>0</v>
      </c>
      <c r="K741" s="242">
        <f>COUNTIFS('تجربه‌گرها'!$B:$B,$A741,'تجربه‌گرها'!$F:$F,K$1)</f>
        <v>1</v>
      </c>
      <c r="L741" s="242">
        <f>COUNTIFS('تجربه‌گرها'!$B:$B,$A741,'تجربه‌گرها'!$F:$F,L$1)</f>
        <v>0</v>
      </c>
      <c r="M741" s="242">
        <f>COUNTIFS('تجربه‌گرها'!$B:$B,$A741,'تجربه‌گرها'!$F:$F,M$1)</f>
        <v>0</v>
      </c>
      <c r="N741" s="242">
        <f>COUNTIFS('تجربه‌گرها'!$B:$B,$A741,'تجربه‌گرها'!$F:$F,N$1)</f>
        <v>0</v>
      </c>
      <c r="O741" s="242">
        <f>COUNTIFS('تجربه‌گرها'!$B:$B,$A741,'تجربه‌گرها'!$F:$F,O$1)</f>
        <v>0</v>
      </c>
      <c r="P741" s="242">
        <f>COUNTIFS('تجربه‌گرها'!$B:$B,$A741,'تجربه‌گرها'!$F:$F,P$1)</f>
        <v>0</v>
      </c>
      <c r="Q741" s="242">
        <f>COUNTIFS('تجربه‌گرها'!$B:$B,$A741,'تجربه‌گرها'!$F:$F,Q$1)</f>
        <v>0</v>
      </c>
      <c r="R741" s="242">
        <f>COUNTIFS('تجربه‌گرها'!$B:$B,$A741,'تجربه‌گرها'!$F:$F,R$1)</f>
        <v>0</v>
      </c>
      <c r="S741" s="242">
        <f>COUNTIFS('تجربه‌گرها'!$B:$B,$A741,'تجربه‌گرها'!$F:$F,S$1)</f>
        <v>0</v>
      </c>
      <c r="T741" s="242">
        <f>COUNTIFS('تجربه‌گرها'!$B:$B,$A741,'تجربه‌گرها'!$F:$F,T$1)</f>
        <v>0</v>
      </c>
      <c r="U741" s="242"/>
      <c r="V741" s="242"/>
      <c r="W741" s="242"/>
      <c r="X741" s="242"/>
      <c r="Y741" s="242"/>
      <c r="Z741" s="242"/>
      <c r="AA741" s="242"/>
      <c r="AB741" s="242"/>
    </row>
    <row r="742">
      <c r="A742" s="244" t="s">
        <v>4470</v>
      </c>
      <c r="B742" s="245" t="str">
        <f>VLOOKUP(A742,'تجربه‌گرها'!B:C,2,FALSE())</f>
        <v>9024227043</v>
      </c>
      <c r="C742" s="242"/>
      <c r="D742" s="242">
        <f t="shared" si="1"/>
        <v>1</v>
      </c>
      <c r="E742" s="242">
        <f>COUNTIFS('تجربه‌گرها'!$B:$B,$A742,'تجربه‌گرها'!$F:$F,E$1)</f>
        <v>0</v>
      </c>
      <c r="F742" s="242">
        <f>COUNTIFS('تجربه‌گرها'!$B:$B,$A742,'تجربه‌گرها'!$F:$F,F$1)</f>
        <v>0</v>
      </c>
      <c r="G742" s="242">
        <f>COUNTIFS('تجربه‌گرها'!$B:$B,$A742,'تجربه‌گرها'!$F:$F,G$1)</f>
        <v>0</v>
      </c>
      <c r="H742" s="242">
        <f>COUNTIFS('تجربه‌گرها'!$B:$B,$A742,'تجربه‌گرها'!$F:$F,H$1)</f>
        <v>0</v>
      </c>
      <c r="I742" s="242">
        <f>COUNTIFS('تجربه‌گرها'!$B:$B,$A742,'تجربه‌گرها'!$F:$F,I$1)</f>
        <v>0</v>
      </c>
      <c r="J742" s="242">
        <f>COUNTIFS('تجربه‌گرها'!$B:$B,$A742,'تجربه‌گرها'!$F:$F,J$1)</f>
        <v>0</v>
      </c>
      <c r="K742" s="242">
        <f>COUNTIFS('تجربه‌گرها'!$B:$B,$A742,'تجربه‌گرها'!$F:$F,K$1)</f>
        <v>1</v>
      </c>
      <c r="L742" s="242">
        <f>COUNTIFS('تجربه‌گرها'!$B:$B,$A742,'تجربه‌گرها'!$F:$F,L$1)</f>
        <v>0</v>
      </c>
      <c r="M742" s="242">
        <f>COUNTIFS('تجربه‌گرها'!$B:$B,$A742,'تجربه‌گرها'!$F:$F,M$1)</f>
        <v>0</v>
      </c>
      <c r="N742" s="242">
        <f>COUNTIFS('تجربه‌گرها'!$B:$B,$A742,'تجربه‌گرها'!$F:$F,N$1)</f>
        <v>0</v>
      </c>
      <c r="O742" s="242">
        <f>COUNTIFS('تجربه‌گرها'!$B:$B,$A742,'تجربه‌گرها'!$F:$F,O$1)</f>
        <v>0</v>
      </c>
      <c r="P742" s="242">
        <f>COUNTIFS('تجربه‌گرها'!$B:$B,$A742,'تجربه‌گرها'!$F:$F,P$1)</f>
        <v>0</v>
      </c>
      <c r="Q742" s="242">
        <f>COUNTIFS('تجربه‌گرها'!$B:$B,$A742,'تجربه‌گرها'!$F:$F,Q$1)</f>
        <v>0</v>
      </c>
      <c r="R742" s="242">
        <f>COUNTIFS('تجربه‌گرها'!$B:$B,$A742,'تجربه‌گرها'!$F:$F,R$1)</f>
        <v>0</v>
      </c>
      <c r="S742" s="242">
        <f>COUNTIFS('تجربه‌گرها'!$B:$B,$A742,'تجربه‌گرها'!$F:$F,S$1)</f>
        <v>0</v>
      </c>
      <c r="T742" s="242">
        <f>COUNTIFS('تجربه‌گرها'!$B:$B,$A742,'تجربه‌گرها'!$F:$F,T$1)</f>
        <v>0</v>
      </c>
      <c r="U742" s="242"/>
      <c r="V742" s="242"/>
      <c r="W742" s="242"/>
      <c r="X742" s="242"/>
      <c r="Y742" s="242"/>
      <c r="Z742" s="242"/>
      <c r="AA742" s="242"/>
      <c r="AB742" s="242"/>
    </row>
    <row r="743" hidden="1">
      <c r="A743" s="244" t="s">
        <v>4476</v>
      </c>
      <c r="B743" s="245">
        <f>VLOOKUP(A743,'تجربه‌گرها'!B:C,2,FALSE())</f>
        <v>989121466235</v>
      </c>
      <c r="C743" s="242"/>
      <c r="D743" s="242">
        <f t="shared" si="1"/>
        <v>1</v>
      </c>
      <c r="E743" s="242">
        <f>COUNTIFS('تجربه‌گرها'!$B:$B,$A743,'تجربه‌گرها'!$F:$F,E$1)</f>
        <v>0</v>
      </c>
      <c r="F743" s="242">
        <f>COUNTIFS('تجربه‌گرها'!$B:$B,$A743,'تجربه‌گرها'!$F:$F,F$1)</f>
        <v>0</v>
      </c>
      <c r="G743" s="242">
        <f>COUNTIFS('تجربه‌گرها'!$B:$B,$A743,'تجربه‌گرها'!$F:$F,G$1)</f>
        <v>0</v>
      </c>
      <c r="H743" s="242">
        <f>COUNTIFS('تجربه‌گرها'!$B:$B,$A743,'تجربه‌گرها'!$F:$F,H$1)</f>
        <v>0</v>
      </c>
      <c r="I743" s="242">
        <f>COUNTIFS('تجربه‌گرها'!$B:$B,$A743,'تجربه‌گرها'!$F:$F,I$1)</f>
        <v>0</v>
      </c>
      <c r="J743" s="242">
        <f>COUNTIFS('تجربه‌گرها'!$B:$B,$A743,'تجربه‌گرها'!$F:$F,J$1)</f>
        <v>0</v>
      </c>
      <c r="K743" s="242">
        <f>COUNTIFS('تجربه‌گرها'!$B:$B,$A743,'تجربه‌گرها'!$F:$F,K$1)</f>
        <v>1</v>
      </c>
      <c r="L743" s="242">
        <f>COUNTIFS('تجربه‌گرها'!$B:$B,$A743,'تجربه‌گرها'!$F:$F,L$1)</f>
        <v>0</v>
      </c>
      <c r="M743" s="242">
        <f>COUNTIFS('تجربه‌گرها'!$B:$B,$A743,'تجربه‌گرها'!$F:$F,M$1)</f>
        <v>0</v>
      </c>
      <c r="N743" s="242">
        <f>COUNTIFS('تجربه‌گرها'!$B:$B,$A743,'تجربه‌گرها'!$F:$F,N$1)</f>
        <v>0</v>
      </c>
      <c r="O743" s="242">
        <f>COUNTIFS('تجربه‌گرها'!$B:$B,$A743,'تجربه‌گرها'!$F:$F,O$1)</f>
        <v>0</v>
      </c>
      <c r="P743" s="242">
        <f>COUNTIFS('تجربه‌گرها'!$B:$B,$A743,'تجربه‌گرها'!$F:$F,P$1)</f>
        <v>0</v>
      </c>
      <c r="Q743" s="242">
        <f>COUNTIFS('تجربه‌گرها'!$B:$B,$A743,'تجربه‌گرها'!$F:$F,Q$1)</f>
        <v>0</v>
      </c>
      <c r="R743" s="242">
        <f>COUNTIFS('تجربه‌گرها'!$B:$B,$A743,'تجربه‌گرها'!$F:$F,R$1)</f>
        <v>0</v>
      </c>
      <c r="S743" s="242">
        <f>COUNTIFS('تجربه‌گرها'!$B:$B,$A743,'تجربه‌گرها'!$F:$F,S$1)</f>
        <v>0</v>
      </c>
      <c r="T743" s="242">
        <f>COUNTIFS('تجربه‌گرها'!$B:$B,$A743,'تجربه‌گرها'!$F:$F,T$1)</f>
        <v>0</v>
      </c>
      <c r="U743" s="242"/>
      <c r="V743" s="242"/>
      <c r="W743" s="242"/>
      <c r="X743" s="242"/>
      <c r="Y743" s="242"/>
      <c r="Z743" s="242"/>
      <c r="AA743" s="242"/>
      <c r="AB743" s="242"/>
    </row>
    <row r="744" hidden="1">
      <c r="A744" s="244" t="s">
        <v>4479</v>
      </c>
      <c r="B744" s="245" t="str">
        <f>VLOOKUP(A744,'تجربه‌گرها'!B:C,2,FALSE())</f>
        <v>9190082403</v>
      </c>
      <c r="C744" s="242"/>
      <c r="D744" s="242">
        <f t="shared" si="1"/>
        <v>1</v>
      </c>
      <c r="E744" s="242">
        <f>COUNTIFS('تجربه‌گرها'!$B:$B,$A744,'تجربه‌گرها'!$F:$F,E$1)</f>
        <v>0</v>
      </c>
      <c r="F744" s="242">
        <f>COUNTIFS('تجربه‌گرها'!$B:$B,$A744,'تجربه‌گرها'!$F:$F,F$1)</f>
        <v>0</v>
      </c>
      <c r="G744" s="242">
        <f>COUNTIFS('تجربه‌گرها'!$B:$B,$A744,'تجربه‌گرها'!$F:$F,G$1)</f>
        <v>0</v>
      </c>
      <c r="H744" s="242">
        <f>COUNTIFS('تجربه‌گرها'!$B:$B,$A744,'تجربه‌گرها'!$F:$F,H$1)</f>
        <v>0</v>
      </c>
      <c r="I744" s="242">
        <f>COUNTIFS('تجربه‌گرها'!$B:$B,$A744,'تجربه‌گرها'!$F:$F,I$1)</f>
        <v>0</v>
      </c>
      <c r="J744" s="242">
        <f>COUNTIFS('تجربه‌گرها'!$B:$B,$A744,'تجربه‌گرها'!$F:$F,J$1)</f>
        <v>0</v>
      </c>
      <c r="K744" s="242">
        <f>COUNTIFS('تجربه‌گرها'!$B:$B,$A744,'تجربه‌گرها'!$F:$F,K$1)</f>
        <v>1</v>
      </c>
      <c r="L744" s="242">
        <f>COUNTIFS('تجربه‌گرها'!$B:$B,$A744,'تجربه‌گرها'!$F:$F,L$1)</f>
        <v>0</v>
      </c>
      <c r="M744" s="242">
        <f>COUNTIFS('تجربه‌گرها'!$B:$B,$A744,'تجربه‌گرها'!$F:$F,M$1)</f>
        <v>0</v>
      </c>
      <c r="N744" s="242">
        <f>COUNTIFS('تجربه‌گرها'!$B:$B,$A744,'تجربه‌گرها'!$F:$F,N$1)</f>
        <v>0</v>
      </c>
      <c r="O744" s="242">
        <f>COUNTIFS('تجربه‌گرها'!$B:$B,$A744,'تجربه‌گرها'!$F:$F,O$1)</f>
        <v>0</v>
      </c>
      <c r="P744" s="242">
        <f>COUNTIFS('تجربه‌گرها'!$B:$B,$A744,'تجربه‌گرها'!$F:$F,P$1)</f>
        <v>0</v>
      </c>
      <c r="Q744" s="242">
        <f>COUNTIFS('تجربه‌گرها'!$B:$B,$A744,'تجربه‌گرها'!$F:$F,Q$1)</f>
        <v>0</v>
      </c>
      <c r="R744" s="242">
        <f>COUNTIFS('تجربه‌گرها'!$B:$B,$A744,'تجربه‌گرها'!$F:$F,R$1)</f>
        <v>0</v>
      </c>
      <c r="S744" s="242">
        <f>COUNTIFS('تجربه‌گرها'!$B:$B,$A744,'تجربه‌گرها'!$F:$F,S$1)</f>
        <v>0</v>
      </c>
      <c r="T744" s="242">
        <f>COUNTIFS('تجربه‌گرها'!$B:$B,$A744,'تجربه‌گرها'!$F:$F,T$1)</f>
        <v>0</v>
      </c>
      <c r="U744" s="242"/>
      <c r="V744" s="242"/>
      <c r="W744" s="242"/>
      <c r="X744" s="242"/>
      <c r="Y744" s="242"/>
      <c r="Z744" s="242"/>
      <c r="AA744" s="242"/>
      <c r="AB744" s="242"/>
    </row>
    <row r="745" hidden="1">
      <c r="A745" s="244" t="s">
        <v>4484</v>
      </c>
      <c r="B745" s="245" t="str">
        <f>VLOOKUP(A745,'تجربه‌گرها'!B:C,2,FALSE())</f>
        <v>9125381892</v>
      </c>
      <c r="C745" s="242"/>
      <c r="D745" s="242">
        <f t="shared" si="1"/>
        <v>1</v>
      </c>
      <c r="E745" s="242">
        <f>COUNTIFS('تجربه‌گرها'!$B:$B,$A745,'تجربه‌گرها'!$F:$F,E$1)</f>
        <v>0</v>
      </c>
      <c r="F745" s="242">
        <f>COUNTIFS('تجربه‌گرها'!$B:$B,$A745,'تجربه‌گرها'!$F:$F,F$1)</f>
        <v>0</v>
      </c>
      <c r="G745" s="242">
        <f>COUNTIFS('تجربه‌گرها'!$B:$B,$A745,'تجربه‌گرها'!$F:$F,G$1)</f>
        <v>0</v>
      </c>
      <c r="H745" s="242">
        <f>COUNTIFS('تجربه‌گرها'!$B:$B,$A745,'تجربه‌گرها'!$F:$F,H$1)</f>
        <v>0</v>
      </c>
      <c r="I745" s="242">
        <f>COUNTIFS('تجربه‌گرها'!$B:$B,$A745,'تجربه‌گرها'!$F:$F,I$1)</f>
        <v>0</v>
      </c>
      <c r="J745" s="242">
        <f>COUNTIFS('تجربه‌گرها'!$B:$B,$A745,'تجربه‌گرها'!$F:$F,J$1)</f>
        <v>0</v>
      </c>
      <c r="K745" s="242">
        <f>COUNTIFS('تجربه‌گرها'!$B:$B,$A745,'تجربه‌گرها'!$F:$F,K$1)</f>
        <v>1</v>
      </c>
      <c r="L745" s="242">
        <f>COUNTIFS('تجربه‌گرها'!$B:$B,$A745,'تجربه‌گرها'!$F:$F,L$1)</f>
        <v>0</v>
      </c>
      <c r="M745" s="242">
        <f>COUNTIFS('تجربه‌گرها'!$B:$B,$A745,'تجربه‌گرها'!$F:$F,M$1)</f>
        <v>0</v>
      </c>
      <c r="N745" s="242">
        <f>COUNTIFS('تجربه‌گرها'!$B:$B,$A745,'تجربه‌گرها'!$F:$F,N$1)</f>
        <v>0</v>
      </c>
      <c r="O745" s="242">
        <f>COUNTIFS('تجربه‌گرها'!$B:$B,$A745,'تجربه‌گرها'!$F:$F,O$1)</f>
        <v>0</v>
      </c>
      <c r="P745" s="242">
        <f>COUNTIFS('تجربه‌گرها'!$B:$B,$A745,'تجربه‌گرها'!$F:$F,P$1)</f>
        <v>0</v>
      </c>
      <c r="Q745" s="242">
        <f>COUNTIFS('تجربه‌گرها'!$B:$B,$A745,'تجربه‌گرها'!$F:$F,Q$1)</f>
        <v>0</v>
      </c>
      <c r="R745" s="242">
        <f>COUNTIFS('تجربه‌گرها'!$B:$B,$A745,'تجربه‌گرها'!$F:$F,R$1)</f>
        <v>0</v>
      </c>
      <c r="S745" s="242">
        <f>COUNTIFS('تجربه‌گرها'!$B:$B,$A745,'تجربه‌گرها'!$F:$F,S$1)</f>
        <v>0</v>
      </c>
      <c r="T745" s="242">
        <f>COUNTIFS('تجربه‌گرها'!$B:$B,$A745,'تجربه‌گرها'!$F:$F,T$1)</f>
        <v>0</v>
      </c>
      <c r="U745" s="242"/>
      <c r="V745" s="242"/>
      <c r="W745" s="242"/>
      <c r="X745" s="242"/>
      <c r="Y745" s="242"/>
      <c r="Z745" s="242"/>
      <c r="AA745" s="242"/>
      <c r="AB745" s="242"/>
    </row>
    <row r="746" hidden="1">
      <c r="A746" s="244" t="s">
        <v>4489</v>
      </c>
      <c r="B746" s="245" t="str">
        <f>VLOOKUP(A746,'تجربه‌گرها'!B:C,2,FALSE())</f>
        <v>9905528575</v>
      </c>
      <c r="C746" s="242"/>
      <c r="D746" s="242">
        <f t="shared" si="1"/>
        <v>1</v>
      </c>
      <c r="E746" s="242">
        <f>COUNTIFS('تجربه‌گرها'!$B:$B,$A746,'تجربه‌گرها'!$F:$F,E$1)</f>
        <v>0</v>
      </c>
      <c r="F746" s="242">
        <f>COUNTIFS('تجربه‌گرها'!$B:$B,$A746,'تجربه‌گرها'!$F:$F,F$1)</f>
        <v>0</v>
      </c>
      <c r="G746" s="242">
        <f>COUNTIFS('تجربه‌گرها'!$B:$B,$A746,'تجربه‌گرها'!$F:$F,G$1)</f>
        <v>0</v>
      </c>
      <c r="H746" s="242">
        <f>COUNTIFS('تجربه‌گرها'!$B:$B,$A746,'تجربه‌گرها'!$F:$F,H$1)</f>
        <v>0</v>
      </c>
      <c r="I746" s="242">
        <f>COUNTIFS('تجربه‌گرها'!$B:$B,$A746,'تجربه‌گرها'!$F:$F,I$1)</f>
        <v>0</v>
      </c>
      <c r="J746" s="242">
        <f>COUNTIFS('تجربه‌گرها'!$B:$B,$A746,'تجربه‌گرها'!$F:$F,J$1)</f>
        <v>0</v>
      </c>
      <c r="K746" s="242">
        <f>COUNTIFS('تجربه‌گرها'!$B:$B,$A746,'تجربه‌گرها'!$F:$F,K$1)</f>
        <v>1</v>
      </c>
      <c r="L746" s="242">
        <f>COUNTIFS('تجربه‌گرها'!$B:$B,$A746,'تجربه‌گرها'!$F:$F,L$1)</f>
        <v>0</v>
      </c>
      <c r="M746" s="242">
        <f>COUNTIFS('تجربه‌گرها'!$B:$B,$A746,'تجربه‌گرها'!$F:$F,M$1)</f>
        <v>0</v>
      </c>
      <c r="N746" s="242">
        <f>COUNTIFS('تجربه‌گرها'!$B:$B,$A746,'تجربه‌گرها'!$F:$F,N$1)</f>
        <v>0</v>
      </c>
      <c r="O746" s="242">
        <f>COUNTIFS('تجربه‌گرها'!$B:$B,$A746,'تجربه‌گرها'!$F:$F,O$1)</f>
        <v>0</v>
      </c>
      <c r="P746" s="242">
        <f>COUNTIFS('تجربه‌گرها'!$B:$B,$A746,'تجربه‌گرها'!$F:$F,P$1)</f>
        <v>0</v>
      </c>
      <c r="Q746" s="242">
        <f>COUNTIFS('تجربه‌گرها'!$B:$B,$A746,'تجربه‌گرها'!$F:$F,Q$1)</f>
        <v>0</v>
      </c>
      <c r="R746" s="242">
        <f>COUNTIFS('تجربه‌گرها'!$B:$B,$A746,'تجربه‌گرها'!$F:$F,R$1)</f>
        <v>0</v>
      </c>
      <c r="S746" s="242">
        <f>COUNTIFS('تجربه‌گرها'!$B:$B,$A746,'تجربه‌گرها'!$F:$F,S$1)</f>
        <v>0</v>
      </c>
      <c r="T746" s="242">
        <f>COUNTIFS('تجربه‌گرها'!$B:$B,$A746,'تجربه‌گرها'!$F:$F,T$1)</f>
        <v>0</v>
      </c>
      <c r="U746" s="242"/>
      <c r="V746" s="242"/>
      <c r="W746" s="242"/>
      <c r="X746" s="242"/>
      <c r="Y746" s="242"/>
      <c r="Z746" s="242"/>
      <c r="AA746" s="242"/>
      <c r="AB746" s="242"/>
    </row>
    <row r="747" hidden="1">
      <c r="A747" s="244" t="s">
        <v>4494</v>
      </c>
      <c r="B747" s="245" t="str">
        <f>VLOOKUP(A747,'تجربه‌گرها'!B:C,2,FALSE())</f>
        <v>9121937097</v>
      </c>
      <c r="C747" s="242"/>
      <c r="D747" s="242">
        <f t="shared" si="1"/>
        <v>1</v>
      </c>
      <c r="E747" s="242">
        <f>COUNTIFS('تجربه‌گرها'!$B:$B,$A747,'تجربه‌گرها'!$F:$F,E$1)</f>
        <v>0</v>
      </c>
      <c r="F747" s="242">
        <f>COUNTIFS('تجربه‌گرها'!$B:$B,$A747,'تجربه‌گرها'!$F:$F,F$1)</f>
        <v>0</v>
      </c>
      <c r="G747" s="242">
        <f>COUNTIFS('تجربه‌گرها'!$B:$B,$A747,'تجربه‌گرها'!$F:$F,G$1)</f>
        <v>0</v>
      </c>
      <c r="H747" s="242">
        <f>COUNTIFS('تجربه‌گرها'!$B:$B,$A747,'تجربه‌گرها'!$F:$F,H$1)</f>
        <v>0</v>
      </c>
      <c r="I747" s="242">
        <f>COUNTIFS('تجربه‌گرها'!$B:$B,$A747,'تجربه‌گرها'!$F:$F,I$1)</f>
        <v>0</v>
      </c>
      <c r="J747" s="242">
        <f>COUNTIFS('تجربه‌گرها'!$B:$B,$A747,'تجربه‌گرها'!$F:$F,J$1)</f>
        <v>0</v>
      </c>
      <c r="K747" s="242">
        <f>COUNTIFS('تجربه‌گرها'!$B:$B,$A747,'تجربه‌گرها'!$F:$F,K$1)</f>
        <v>1</v>
      </c>
      <c r="L747" s="242">
        <f>COUNTIFS('تجربه‌گرها'!$B:$B,$A747,'تجربه‌گرها'!$F:$F,L$1)</f>
        <v>0</v>
      </c>
      <c r="M747" s="242">
        <f>COUNTIFS('تجربه‌گرها'!$B:$B,$A747,'تجربه‌گرها'!$F:$F,M$1)</f>
        <v>0</v>
      </c>
      <c r="N747" s="242">
        <f>COUNTIFS('تجربه‌گرها'!$B:$B,$A747,'تجربه‌گرها'!$F:$F,N$1)</f>
        <v>0</v>
      </c>
      <c r="O747" s="242">
        <f>COUNTIFS('تجربه‌گرها'!$B:$B,$A747,'تجربه‌گرها'!$F:$F,O$1)</f>
        <v>0</v>
      </c>
      <c r="P747" s="242">
        <f>COUNTIFS('تجربه‌گرها'!$B:$B,$A747,'تجربه‌گرها'!$F:$F,P$1)</f>
        <v>0</v>
      </c>
      <c r="Q747" s="242">
        <f>COUNTIFS('تجربه‌گرها'!$B:$B,$A747,'تجربه‌گرها'!$F:$F,Q$1)</f>
        <v>0</v>
      </c>
      <c r="R747" s="242">
        <f>COUNTIFS('تجربه‌گرها'!$B:$B,$A747,'تجربه‌گرها'!$F:$F,R$1)</f>
        <v>0</v>
      </c>
      <c r="S747" s="242">
        <f>COUNTIFS('تجربه‌گرها'!$B:$B,$A747,'تجربه‌گرها'!$F:$F,S$1)</f>
        <v>0</v>
      </c>
      <c r="T747" s="242">
        <f>COUNTIFS('تجربه‌گرها'!$B:$B,$A747,'تجربه‌گرها'!$F:$F,T$1)</f>
        <v>0</v>
      </c>
      <c r="U747" s="242"/>
      <c r="V747" s="242"/>
      <c r="W747" s="242"/>
      <c r="X747" s="242"/>
      <c r="Y747" s="242"/>
      <c r="Z747" s="242"/>
      <c r="AA747" s="242"/>
      <c r="AB747" s="242"/>
    </row>
    <row r="748" hidden="1">
      <c r="A748" s="244" t="s">
        <v>4499</v>
      </c>
      <c r="B748" s="245" t="str">
        <f>VLOOKUP(A748,'تجربه‌گرها'!B:C,2,FALSE())</f>
        <v>9123434998</v>
      </c>
      <c r="C748" s="242"/>
      <c r="D748" s="242">
        <f t="shared" si="1"/>
        <v>1</v>
      </c>
      <c r="E748" s="242">
        <f>COUNTIFS('تجربه‌گرها'!$B:$B,$A748,'تجربه‌گرها'!$F:$F,E$1)</f>
        <v>0</v>
      </c>
      <c r="F748" s="242">
        <f>COUNTIFS('تجربه‌گرها'!$B:$B,$A748,'تجربه‌گرها'!$F:$F,F$1)</f>
        <v>0</v>
      </c>
      <c r="G748" s="242">
        <f>COUNTIFS('تجربه‌گرها'!$B:$B,$A748,'تجربه‌گرها'!$F:$F,G$1)</f>
        <v>0</v>
      </c>
      <c r="H748" s="242">
        <f>COUNTIFS('تجربه‌گرها'!$B:$B,$A748,'تجربه‌گرها'!$F:$F,H$1)</f>
        <v>0</v>
      </c>
      <c r="I748" s="242">
        <f>COUNTIFS('تجربه‌گرها'!$B:$B,$A748,'تجربه‌گرها'!$F:$F,I$1)</f>
        <v>0</v>
      </c>
      <c r="J748" s="242">
        <f>COUNTIFS('تجربه‌گرها'!$B:$B,$A748,'تجربه‌گرها'!$F:$F,J$1)</f>
        <v>0</v>
      </c>
      <c r="K748" s="242">
        <f>COUNTIFS('تجربه‌گرها'!$B:$B,$A748,'تجربه‌گرها'!$F:$F,K$1)</f>
        <v>1</v>
      </c>
      <c r="L748" s="242">
        <f>COUNTIFS('تجربه‌گرها'!$B:$B,$A748,'تجربه‌گرها'!$F:$F,L$1)</f>
        <v>0</v>
      </c>
      <c r="M748" s="242">
        <f>COUNTIFS('تجربه‌گرها'!$B:$B,$A748,'تجربه‌گرها'!$F:$F,M$1)</f>
        <v>0</v>
      </c>
      <c r="N748" s="242">
        <f>COUNTIFS('تجربه‌گرها'!$B:$B,$A748,'تجربه‌گرها'!$F:$F,N$1)</f>
        <v>0</v>
      </c>
      <c r="O748" s="242">
        <f>COUNTIFS('تجربه‌گرها'!$B:$B,$A748,'تجربه‌گرها'!$F:$F,O$1)</f>
        <v>0</v>
      </c>
      <c r="P748" s="242">
        <f>COUNTIFS('تجربه‌گرها'!$B:$B,$A748,'تجربه‌گرها'!$F:$F,P$1)</f>
        <v>0</v>
      </c>
      <c r="Q748" s="242">
        <f>COUNTIFS('تجربه‌گرها'!$B:$B,$A748,'تجربه‌گرها'!$F:$F,Q$1)</f>
        <v>0</v>
      </c>
      <c r="R748" s="242">
        <f>COUNTIFS('تجربه‌گرها'!$B:$B,$A748,'تجربه‌گرها'!$F:$F,R$1)</f>
        <v>0</v>
      </c>
      <c r="S748" s="242">
        <f>COUNTIFS('تجربه‌گرها'!$B:$B,$A748,'تجربه‌گرها'!$F:$F,S$1)</f>
        <v>0</v>
      </c>
      <c r="T748" s="242">
        <f>COUNTIFS('تجربه‌گرها'!$B:$B,$A748,'تجربه‌گرها'!$F:$F,T$1)</f>
        <v>0</v>
      </c>
      <c r="U748" s="242"/>
      <c r="V748" s="242"/>
      <c r="W748" s="242"/>
      <c r="X748" s="242"/>
      <c r="Y748" s="242"/>
      <c r="Z748" s="242"/>
      <c r="AA748" s="242"/>
      <c r="AB748" s="242"/>
    </row>
    <row r="749" hidden="1">
      <c r="A749" s="244" t="s">
        <v>4504</v>
      </c>
      <c r="B749" s="245" t="str">
        <f>VLOOKUP(A749,'تجربه‌گرها'!B:C,2,FALSE())</f>
        <v>9370797990</v>
      </c>
      <c r="C749" s="242"/>
      <c r="D749" s="242">
        <f t="shared" si="1"/>
        <v>1</v>
      </c>
      <c r="E749" s="242">
        <f>COUNTIFS('تجربه‌گرها'!$B:$B,$A749,'تجربه‌گرها'!$F:$F,E$1)</f>
        <v>0</v>
      </c>
      <c r="F749" s="242">
        <f>COUNTIFS('تجربه‌گرها'!$B:$B,$A749,'تجربه‌گرها'!$F:$F,F$1)</f>
        <v>0</v>
      </c>
      <c r="G749" s="242">
        <f>COUNTIFS('تجربه‌گرها'!$B:$B,$A749,'تجربه‌گرها'!$F:$F,G$1)</f>
        <v>0</v>
      </c>
      <c r="H749" s="242">
        <f>COUNTIFS('تجربه‌گرها'!$B:$B,$A749,'تجربه‌گرها'!$F:$F,H$1)</f>
        <v>0</v>
      </c>
      <c r="I749" s="242">
        <f>COUNTIFS('تجربه‌گرها'!$B:$B,$A749,'تجربه‌گرها'!$F:$F,I$1)</f>
        <v>0</v>
      </c>
      <c r="J749" s="242">
        <f>COUNTIFS('تجربه‌گرها'!$B:$B,$A749,'تجربه‌گرها'!$F:$F,J$1)</f>
        <v>0</v>
      </c>
      <c r="K749" s="242">
        <f>COUNTIFS('تجربه‌گرها'!$B:$B,$A749,'تجربه‌گرها'!$F:$F,K$1)</f>
        <v>1</v>
      </c>
      <c r="L749" s="242">
        <f>COUNTIFS('تجربه‌گرها'!$B:$B,$A749,'تجربه‌گرها'!$F:$F,L$1)</f>
        <v>0</v>
      </c>
      <c r="M749" s="242">
        <f>COUNTIFS('تجربه‌گرها'!$B:$B,$A749,'تجربه‌گرها'!$F:$F,M$1)</f>
        <v>0</v>
      </c>
      <c r="N749" s="242">
        <f>COUNTIFS('تجربه‌گرها'!$B:$B,$A749,'تجربه‌گرها'!$F:$F,N$1)</f>
        <v>0</v>
      </c>
      <c r="O749" s="242">
        <f>COUNTIFS('تجربه‌گرها'!$B:$B,$A749,'تجربه‌گرها'!$F:$F,O$1)</f>
        <v>0</v>
      </c>
      <c r="P749" s="242">
        <f>COUNTIFS('تجربه‌گرها'!$B:$B,$A749,'تجربه‌گرها'!$F:$F,P$1)</f>
        <v>0</v>
      </c>
      <c r="Q749" s="242">
        <f>COUNTIFS('تجربه‌گرها'!$B:$B,$A749,'تجربه‌گرها'!$F:$F,Q$1)</f>
        <v>0</v>
      </c>
      <c r="R749" s="242">
        <f>COUNTIFS('تجربه‌گرها'!$B:$B,$A749,'تجربه‌گرها'!$F:$F,R$1)</f>
        <v>0</v>
      </c>
      <c r="S749" s="242">
        <f>COUNTIFS('تجربه‌گرها'!$B:$B,$A749,'تجربه‌گرها'!$F:$F,S$1)</f>
        <v>0</v>
      </c>
      <c r="T749" s="242">
        <f>COUNTIFS('تجربه‌گرها'!$B:$B,$A749,'تجربه‌گرها'!$F:$F,T$1)</f>
        <v>0</v>
      </c>
      <c r="U749" s="242"/>
      <c r="V749" s="242"/>
      <c r="W749" s="242"/>
      <c r="X749" s="242"/>
      <c r="Y749" s="242"/>
      <c r="Z749" s="242"/>
      <c r="AA749" s="242"/>
      <c r="AB749" s="242"/>
    </row>
    <row r="750" hidden="1">
      <c r="A750" s="244" t="s">
        <v>4509</v>
      </c>
      <c r="B750" s="245" t="str">
        <f>VLOOKUP(A750,'تجربه‌گرها'!B:C,2,FALSE())</f>
        <v>9123434998</v>
      </c>
      <c r="C750" s="242"/>
      <c r="D750" s="242">
        <f t="shared" si="1"/>
        <v>1</v>
      </c>
      <c r="E750" s="242">
        <f>COUNTIFS('تجربه‌گرها'!$B:$B,$A750,'تجربه‌گرها'!$F:$F,E$1)</f>
        <v>0</v>
      </c>
      <c r="F750" s="242">
        <f>COUNTIFS('تجربه‌گرها'!$B:$B,$A750,'تجربه‌گرها'!$F:$F,F$1)</f>
        <v>0</v>
      </c>
      <c r="G750" s="242">
        <f>COUNTIFS('تجربه‌گرها'!$B:$B,$A750,'تجربه‌گرها'!$F:$F,G$1)</f>
        <v>0</v>
      </c>
      <c r="H750" s="242">
        <f>COUNTIFS('تجربه‌گرها'!$B:$B,$A750,'تجربه‌گرها'!$F:$F,H$1)</f>
        <v>0</v>
      </c>
      <c r="I750" s="242">
        <f>COUNTIFS('تجربه‌گرها'!$B:$B,$A750,'تجربه‌گرها'!$F:$F,I$1)</f>
        <v>0</v>
      </c>
      <c r="J750" s="242">
        <f>COUNTIFS('تجربه‌گرها'!$B:$B,$A750,'تجربه‌گرها'!$F:$F,J$1)</f>
        <v>0</v>
      </c>
      <c r="K750" s="242">
        <f>COUNTIFS('تجربه‌گرها'!$B:$B,$A750,'تجربه‌گرها'!$F:$F,K$1)</f>
        <v>1</v>
      </c>
      <c r="L750" s="242">
        <f>COUNTIFS('تجربه‌گرها'!$B:$B,$A750,'تجربه‌گرها'!$F:$F,L$1)</f>
        <v>0</v>
      </c>
      <c r="M750" s="242">
        <f>COUNTIFS('تجربه‌گرها'!$B:$B,$A750,'تجربه‌گرها'!$F:$F,M$1)</f>
        <v>0</v>
      </c>
      <c r="N750" s="242">
        <f>COUNTIFS('تجربه‌گرها'!$B:$B,$A750,'تجربه‌گرها'!$F:$F,N$1)</f>
        <v>0</v>
      </c>
      <c r="O750" s="242">
        <f>COUNTIFS('تجربه‌گرها'!$B:$B,$A750,'تجربه‌گرها'!$F:$F,O$1)</f>
        <v>0</v>
      </c>
      <c r="P750" s="242">
        <f>COUNTIFS('تجربه‌گرها'!$B:$B,$A750,'تجربه‌گرها'!$F:$F,P$1)</f>
        <v>0</v>
      </c>
      <c r="Q750" s="242">
        <f>COUNTIFS('تجربه‌گرها'!$B:$B,$A750,'تجربه‌گرها'!$F:$F,Q$1)</f>
        <v>0</v>
      </c>
      <c r="R750" s="242">
        <f>COUNTIFS('تجربه‌گرها'!$B:$B,$A750,'تجربه‌گرها'!$F:$F,R$1)</f>
        <v>0</v>
      </c>
      <c r="S750" s="242">
        <f>COUNTIFS('تجربه‌گرها'!$B:$B,$A750,'تجربه‌گرها'!$F:$F,S$1)</f>
        <v>0</v>
      </c>
      <c r="T750" s="242">
        <f>COUNTIFS('تجربه‌گرها'!$B:$B,$A750,'تجربه‌گرها'!$F:$F,T$1)</f>
        <v>0</v>
      </c>
      <c r="U750" s="242"/>
      <c r="V750" s="242"/>
      <c r="W750" s="242"/>
      <c r="X750" s="242"/>
      <c r="Y750" s="242"/>
      <c r="Z750" s="242"/>
      <c r="AA750" s="242"/>
      <c r="AB750" s="242"/>
    </row>
    <row r="751" hidden="1">
      <c r="A751" s="244" t="s">
        <v>4514</v>
      </c>
      <c r="B751" s="245" t="str">
        <f>VLOOKUP(A751,'تجربه‌گرها'!B:C,2,FALSE())</f>
        <v>9122273880</v>
      </c>
      <c r="C751" s="242"/>
      <c r="D751" s="242">
        <f t="shared" si="1"/>
        <v>1</v>
      </c>
      <c r="E751" s="242">
        <f>COUNTIFS('تجربه‌گرها'!$B:$B,$A751,'تجربه‌گرها'!$F:$F,E$1)</f>
        <v>0</v>
      </c>
      <c r="F751" s="242">
        <f>COUNTIFS('تجربه‌گرها'!$B:$B,$A751,'تجربه‌گرها'!$F:$F,F$1)</f>
        <v>0</v>
      </c>
      <c r="G751" s="242">
        <f>COUNTIFS('تجربه‌گرها'!$B:$B,$A751,'تجربه‌گرها'!$F:$F,G$1)</f>
        <v>0</v>
      </c>
      <c r="H751" s="242">
        <f>COUNTIFS('تجربه‌گرها'!$B:$B,$A751,'تجربه‌گرها'!$F:$F,H$1)</f>
        <v>0</v>
      </c>
      <c r="I751" s="242">
        <f>COUNTIFS('تجربه‌گرها'!$B:$B,$A751,'تجربه‌گرها'!$F:$F,I$1)</f>
        <v>0</v>
      </c>
      <c r="J751" s="242">
        <f>COUNTIFS('تجربه‌گرها'!$B:$B,$A751,'تجربه‌گرها'!$F:$F,J$1)</f>
        <v>0</v>
      </c>
      <c r="K751" s="242">
        <f>COUNTIFS('تجربه‌گرها'!$B:$B,$A751,'تجربه‌گرها'!$F:$F,K$1)</f>
        <v>1</v>
      </c>
      <c r="L751" s="242">
        <f>COUNTIFS('تجربه‌گرها'!$B:$B,$A751,'تجربه‌گرها'!$F:$F,L$1)</f>
        <v>0</v>
      </c>
      <c r="M751" s="242">
        <f>COUNTIFS('تجربه‌گرها'!$B:$B,$A751,'تجربه‌گرها'!$F:$F,M$1)</f>
        <v>0</v>
      </c>
      <c r="N751" s="242">
        <f>COUNTIFS('تجربه‌گرها'!$B:$B,$A751,'تجربه‌گرها'!$F:$F,N$1)</f>
        <v>0</v>
      </c>
      <c r="O751" s="242">
        <f>COUNTIFS('تجربه‌گرها'!$B:$B,$A751,'تجربه‌گرها'!$F:$F,O$1)</f>
        <v>0</v>
      </c>
      <c r="P751" s="242">
        <f>COUNTIFS('تجربه‌گرها'!$B:$B,$A751,'تجربه‌گرها'!$F:$F,P$1)</f>
        <v>0</v>
      </c>
      <c r="Q751" s="242">
        <f>COUNTIFS('تجربه‌گرها'!$B:$B,$A751,'تجربه‌گرها'!$F:$F,Q$1)</f>
        <v>0</v>
      </c>
      <c r="R751" s="242">
        <f>COUNTIFS('تجربه‌گرها'!$B:$B,$A751,'تجربه‌گرها'!$F:$F,R$1)</f>
        <v>0</v>
      </c>
      <c r="S751" s="242">
        <f>COUNTIFS('تجربه‌گرها'!$B:$B,$A751,'تجربه‌گرها'!$F:$F,S$1)</f>
        <v>0</v>
      </c>
      <c r="T751" s="242">
        <f>COUNTIFS('تجربه‌گرها'!$B:$B,$A751,'تجربه‌گرها'!$F:$F,T$1)</f>
        <v>0</v>
      </c>
      <c r="U751" s="242"/>
      <c r="V751" s="242"/>
      <c r="W751" s="242"/>
      <c r="X751" s="242"/>
      <c r="Y751" s="242"/>
      <c r="Z751" s="242"/>
      <c r="AA751" s="242"/>
      <c r="AB751" s="242"/>
    </row>
    <row r="752" hidden="1">
      <c r="A752" s="244" t="s">
        <v>4517</v>
      </c>
      <c r="B752" s="245" t="str">
        <f>VLOOKUP(A752,'تجربه‌گرها'!B:C,2,FALSE())</f>
        <v>9146230713</v>
      </c>
      <c r="C752" s="242"/>
      <c r="D752" s="242">
        <f t="shared" si="1"/>
        <v>1</v>
      </c>
      <c r="E752" s="242">
        <f>COUNTIFS('تجربه‌گرها'!$B:$B,$A752,'تجربه‌گرها'!$F:$F,E$1)</f>
        <v>0</v>
      </c>
      <c r="F752" s="242">
        <f>COUNTIFS('تجربه‌گرها'!$B:$B,$A752,'تجربه‌گرها'!$F:$F,F$1)</f>
        <v>0</v>
      </c>
      <c r="G752" s="242">
        <f>COUNTIFS('تجربه‌گرها'!$B:$B,$A752,'تجربه‌گرها'!$F:$F,G$1)</f>
        <v>0</v>
      </c>
      <c r="H752" s="242">
        <f>COUNTIFS('تجربه‌گرها'!$B:$B,$A752,'تجربه‌گرها'!$F:$F,H$1)</f>
        <v>0</v>
      </c>
      <c r="I752" s="242">
        <f>COUNTIFS('تجربه‌گرها'!$B:$B,$A752,'تجربه‌گرها'!$F:$F,I$1)</f>
        <v>0</v>
      </c>
      <c r="J752" s="242">
        <f>COUNTIFS('تجربه‌گرها'!$B:$B,$A752,'تجربه‌گرها'!$F:$F,J$1)</f>
        <v>0</v>
      </c>
      <c r="K752" s="242">
        <f>COUNTIFS('تجربه‌گرها'!$B:$B,$A752,'تجربه‌گرها'!$F:$F,K$1)</f>
        <v>1</v>
      </c>
      <c r="L752" s="242">
        <f>COUNTIFS('تجربه‌گرها'!$B:$B,$A752,'تجربه‌گرها'!$F:$F,L$1)</f>
        <v>0</v>
      </c>
      <c r="M752" s="242">
        <f>COUNTIFS('تجربه‌گرها'!$B:$B,$A752,'تجربه‌گرها'!$F:$F,M$1)</f>
        <v>0</v>
      </c>
      <c r="N752" s="242">
        <f>COUNTIFS('تجربه‌گرها'!$B:$B,$A752,'تجربه‌گرها'!$F:$F,N$1)</f>
        <v>0</v>
      </c>
      <c r="O752" s="242">
        <f>COUNTIFS('تجربه‌گرها'!$B:$B,$A752,'تجربه‌گرها'!$F:$F,O$1)</f>
        <v>0</v>
      </c>
      <c r="P752" s="242">
        <f>COUNTIFS('تجربه‌گرها'!$B:$B,$A752,'تجربه‌گرها'!$F:$F,P$1)</f>
        <v>0</v>
      </c>
      <c r="Q752" s="242">
        <f>COUNTIFS('تجربه‌گرها'!$B:$B,$A752,'تجربه‌گرها'!$F:$F,Q$1)</f>
        <v>0</v>
      </c>
      <c r="R752" s="242">
        <f>COUNTIFS('تجربه‌گرها'!$B:$B,$A752,'تجربه‌گرها'!$F:$F,R$1)</f>
        <v>0</v>
      </c>
      <c r="S752" s="242">
        <f>COUNTIFS('تجربه‌گرها'!$B:$B,$A752,'تجربه‌گرها'!$F:$F,S$1)</f>
        <v>0</v>
      </c>
      <c r="T752" s="242">
        <f>COUNTIFS('تجربه‌گرها'!$B:$B,$A752,'تجربه‌گرها'!$F:$F,T$1)</f>
        <v>0</v>
      </c>
      <c r="U752" s="242"/>
      <c r="V752" s="242"/>
      <c r="W752" s="242"/>
      <c r="X752" s="242"/>
      <c r="Y752" s="242"/>
      <c r="Z752" s="242"/>
      <c r="AA752" s="242"/>
      <c r="AB752" s="242"/>
    </row>
    <row r="753" hidden="1">
      <c r="A753" s="244" t="s">
        <v>4522</v>
      </c>
      <c r="B753" s="245" t="str">
        <f>VLOOKUP(A753,'تجربه‌گرها'!B:C,2,FALSE())</f>
        <v>9122141260</v>
      </c>
      <c r="C753" s="242"/>
      <c r="D753" s="242">
        <f t="shared" si="1"/>
        <v>2</v>
      </c>
      <c r="E753" s="242">
        <f>COUNTIFS('تجربه‌گرها'!$B:$B,$A753,'تجربه‌گرها'!$F:$F,E$1)</f>
        <v>0</v>
      </c>
      <c r="F753" s="242">
        <f>COUNTIFS('تجربه‌گرها'!$B:$B,$A753,'تجربه‌گرها'!$F:$F,F$1)</f>
        <v>0</v>
      </c>
      <c r="G753" s="242">
        <f>COUNTIFS('تجربه‌گرها'!$B:$B,$A753,'تجربه‌گرها'!$F:$F,G$1)</f>
        <v>0</v>
      </c>
      <c r="H753" s="242">
        <f>COUNTIFS('تجربه‌گرها'!$B:$B,$A753,'تجربه‌گرها'!$F:$F,H$1)</f>
        <v>0</v>
      </c>
      <c r="I753" s="242">
        <f>COUNTIFS('تجربه‌گرها'!$B:$B,$A753,'تجربه‌گرها'!$F:$F,I$1)</f>
        <v>0</v>
      </c>
      <c r="J753" s="242">
        <f>COUNTIFS('تجربه‌گرها'!$B:$B,$A753,'تجربه‌گرها'!$F:$F,J$1)</f>
        <v>0</v>
      </c>
      <c r="K753" s="242">
        <f>COUNTIFS('تجربه‌گرها'!$B:$B,$A753,'تجربه‌گرها'!$F:$F,K$1)</f>
        <v>1</v>
      </c>
      <c r="L753" s="242">
        <f>COUNTIFS('تجربه‌گرها'!$B:$B,$A753,'تجربه‌گرها'!$F:$F,L$1)</f>
        <v>0</v>
      </c>
      <c r="M753" s="242">
        <f>COUNTIFS('تجربه‌گرها'!$B:$B,$A753,'تجربه‌گرها'!$F:$F,M$1)</f>
        <v>1</v>
      </c>
      <c r="N753" s="242">
        <f>COUNTIFS('تجربه‌گرها'!$B:$B,$A753,'تجربه‌گرها'!$F:$F,N$1)</f>
        <v>0</v>
      </c>
      <c r="O753" s="242">
        <f>COUNTIFS('تجربه‌گرها'!$B:$B,$A753,'تجربه‌گرها'!$F:$F,O$1)</f>
        <v>0</v>
      </c>
      <c r="P753" s="242">
        <f>COUNTIFS('تجربه‌گرها'!$B:$B,$A753,'تجربه‌گرها'!$F:$F,P$1)</f>
        <v>0</v>
      </c>
      <c r="Q753" s="242">
        <f>COUNTIFS('تجربه‌گرها'!$B:$B,$A753,'تجربه‌گرها'!$F:$F,Q$1)</f>
        <v>0</v>
      </c>
      <c r="R753" s="242">
        <f>COUNTIFS('تجربه‌گرها'!$B:$B,$A753,'تجربه‌گرها'!$F:$F,R$1)</f>
        <v>0</v>
      </c>
      <c r="S753" s="242">
        <f>COUNTIFS('تجربه‌گرها'!$B:$B,$A753,'تجربه‌گرها'!$F:$F,S$1)</f>
        <v>0</v>
      </c>
      <c r="T753" s="242">
        <f>COUNTIFS('تجربه‌گرها'!$B:$B,$A753,'تجربه‌گرها'!$F:$F,T$1)</f>
        <v>0</v>
      </c>
      <c r="U753" s="242"/>
      <c r="V753" s="242"/>
      <c r="W753" s="242"/>
      <c r="X753" s="242"/>
      <c r="Y753" s="242"/>
      <c r="Z753" s="242"/>
      <c r="AA753" s="242"/>
      <c r="AB753" s="242"/>
    </row>
    <row r="754" hidden="1">
      <c r="A754" s="244" t="s">
        <v>4527</v>
      </c>
      <c r="B754" s="245" t="str">
        <f>VLOOKUP(A754,'تجربه‌گرها'!B:C,2,FALSE())</f>
        <v>9155453101</v>
      </c>
      <c r="C754" s="242"/>
      <c r="D754" s="242">
        <f t="shared" si="1"/>
        <v>1</v>
      </c>
      <c r="E754" s="242">
        <f>COUNTIFS('تجربه‌گرها'!$B:$B,$A754,'تجربه‌گرها'!$F:$F,E$1)</f>
        <v>0</v>
      </c>
      <c r="F754" s="242">
        <f>COUNTIFS('تجربه‌گرها'!$B:$B,$A754,'تجربه‌گرها'!$F:$F,F$1)</f>
        <v>0</v>
      </c>
      <c r="G754" s="242">
        <f>COUNTIFS('تجربه‌گرها'!$B:$B,$A754,'تجربه‌گرها'!$F:$F,G$1)</f>
        <v>0</v>
      </c>
      <c r="H754" s="242">
        <f>COUNTIFS('تجربه‌گرها'!$B:$B,$A754,'تجربه‌گرها'!$F:$F,H$1)</f>
        <v>0</v>
      </c>
      <c r="I754" s="242">
        <f>COUNTIFS('تجربه‌گرها'!$B:$B,$A754,'تجربه‌گرها'!$F:$F,I$1)</f>
        <v>0</v>
      </c>
      <c r="J754" s="242">
        <f>COUNTIFS('تجربه‌گرها'!$B:$B,$A754,'تجربه‌گرها'!$F:$F,J$1)</f>
        <v>0</v>
      </c>
      <c r="K754" s="242">
        <f>COUNTIFS('تجربه‌گرها'!$B:$B,$A754,'تجربه‌گرها'!$F:$F,K$1)</f>
        <v>1</v>
      </c>
      <c r="L754" s="242">
        <f>COUNTIFS('تجربه‌گرها'!$B:$B,$A754,'تجربه‌گرها'!$F:$F,L$1)</f>
        <v>0</v>
      </c>
      <c r="M754" s="242">
        <f>COUNTIFS('تجربه‌گرها'!$B:$B,$A754,'تجربه‌گرها'!$F:$F,M$1)</f>
        <v>0</v>
      </c>
      <c r="N754" s="242">
        <f>COUNTIFS('تجربه‌گرها'!$B:$B,$A754,'تجربه‌گرها'!$F:$F,N$1)</f>
        <v>0</v>
      </c>
      <c r="O754" s="242">
        <f>COUNTIFS('تجربه‌گرها'!$B:$B,$A754,'تجربه‌گرها'!$F:$F,O$1)</f>
        <v>0</v>
      </c>
      <c r="P754" s="242">
        <f>COUNTIFS('تجربه‌گرها'!$B:$B,$A754,'تجربه‌گرها'!$F:$F,P$1)</f>
        <v>0</v>
      </c>
      <c r="Q754" s="242">
        <f>COUNTIFS('تجربه‌گرها'!$B:$B,$A754,'تجربه‌گرها'!$F:$F,Q$1)</f>
        <v>0</v>
      </c>
      <c r="R754" s="242">
        <f>COUNTIFS('تجربه‌گرها'!$B:$B,$A754,'تجربه‌گرها'!$F:$F,R$1)</f>
        <v>0</v>
      </c>
      <c r="S754" s="242">
        <f>COUNTIFS('تجربه‌گرها'!$B:$B,$A754,'تجربه‌گرها'!$F:$F,S$1)</f>
        <v>0</v>
      </c>
      <c r="T754" s="242">
        <f>COUNTIFS('تجربه‌گرها'!$B:$B,$A754,'تجربه‌گرها'!$F:$F,T$1)</f>
        <v>0</v>
      </c>
      <c r="U754" s="242"/>
      <c r="V754" s="242"/>
      <c r="W754" s="242"/>
      <c r="X754" s="242"/>
      <c r="Y754" s="242"/>
      <c r="Z754" s="242"/>
      <c r="AA754" s="242"/>
      <c r="AB754" s="242"/>
    </row>
    <row r="755" hidden="1">
      <c r="A755" s="244" t="s">
        <v>4532</v>
      </c>
      <c r="B755" s="245" t="str">
        <f>VLOOKUP(A755,'تجربه‌گرها'!B:C,2,FALSE())</f>
        <v>9144412022</v>
      </c>
      <c r="C755" s="242"/>
      <c r="D755" s="242">
        <f t="shared" si="1"/>
        <v>1</v>
      </c>
      <c r="E755" s="242">
        <f>COUNTIFS('تجربه‌گرها'!$B:$B,$A755,'تجربه‌گرها'!$F:$F,E$1)</f>
        <v>0</v>
      </c>
      <c r="F755" s="242">
        <f>COUNTIFS('تجربه‌گرها'!$B:$B,$A755,'تجربه‌گرها'!$F:$F,F$1)</f>
        <v>0</v>
      </c>
      <c r="G755" s="242">
        <f>COUNTIFS('تجربه‌گرها'!$B:$B,$A755,'تجربه‌گرها'!$F:$F,G$1)</f>
        <v>0</v>
      </c>
      <c r="H755" s="242">
        <f>COUNTIFS('تجربه‌گرها'!$B:$B,$A755,'تجربه‌گرها'!$F:$F,H$1)</f>
        <v>0</v>
      </c>
      <c r="I755" s="242">
        <f>COUNTIFS('تجربه‌گرها'!$B:$B,$A755,'تجربه‌گرها'!$F:$F,I$1)</f>
        <v>0</v>
      </c>
      <c r="J755" s="242">
        <f>COUNTIFS('تجربه‌گرها'!$B:$B,$A755,'تجربه‌گرها'!$F:$F,J$1)</f>
        <v>0</v>
      </c>
      <c r="K755" s="242">
        <f>COUNTIFS('تجربه‌گرها'!$B:$B,$A755,'تجربه‌گرها'!$F:$F,K$1)</f>
        <v>1</v>
      </c>
      <c r="L755" s="242">
        <f>COUNTIFS('تجربه‌گرها'!$B:$B,$A755,'تجربه‌گرها'!$F:$F,L$1)</f>
        <v>0</v>
      </c>
      <c r="M755" s="242">
        <f>COUNTIFS('تجربه‌گرها'!$B:$B,$A755,'تجربه‌گرها'!$F:$F,M$1)</f>
        <v>0</v>
      </c>
      <c r="N755" s="242">
        <f>COUNTIFS('تجربه‌گرها'!$B:$B,$A755,'تجربه‌گرها'!$F:$F,N$1)</f>
        <v>0</v>
      </c>
      <c r="O755" s="242">
        <f>COUNTIFS('تجربه‌گرها'!$B:$B,$A755,'تجربه‌گرها'!$F:$F,O$1)</f>
        <v>0</v>
      </c>
      <c r="P755" s="242">
        <f>COUNTIFS('تجربه‌گرها'!$B:$B,$A755,'تجربه‌گرها'!$F:$F,P$1)</f>
        <v>0</v>
      </c>
      <c r="Q755" s="242">
        <f>COUNTIFS('تجربه‌گرها'!$B:$B,$A755,'تجربه‌گرها'!$F:$F,Q$1)</f>
        <v>0</v>
      </c>
      <c r="R755" s="242">
        <f>COUNTIFS('تجربه‌گرها'!$B:$B,$A755,'تجربه‌گرها'!$F:$F,R$1)</f>
        <v>0</v>
      </c>
      <c r="S755" s="242">
        <f>COUNTIFS('تجربه‌گرها'!$B:$B,$A755,'تجربه‌گرها'!$F:$F,S$1)</f>
        <v>0</v>
      </c>
      <c r="T755" s="242">
        <f>COUNTIFS('تجربه‌گرها'!$B:$B,$A755,'تجربه‌گرها'!$F:$F,T$1)</f>
        <v>0</v>
      </c>
      <c r="U755" s="242"/>
      <c r="V755" s="242"/>
      <c r="W755" s="242"/>
      <c r="X755" s="242"/>
      <c r="Y755" s="242"/>
      <c r="Z755" s="242"/>
      <c r="AA755" s="242"/>
      <c r="AB755" s="242"/>
    </row>
    <row r="756" hidden="1">
      <c r="A756" s="244" t="s">
        <v>4536</v>
      </c>
      <c r="B756" s="245" t="str">
        <f>VLOOKUP(A756,'تجربه‌گرها'!B:C,2,FALSE())</f>
        <v>9120036176</v>
      </c>
      <c r="C756" s="242"/>
      <c r="D756" s="242">
        <f t="shared" si="1"/>
        <v>1</v>
      </c>
      <c r="E756" s="242">
        <f>COUNTIFS('تجربه‌گرها'!$B:$B,$A756,'تجربه‌گرها'!$F:$F,E$1)</f>
        <v>0</v>
      </c>
      <c r="F756" s="242">
        <f>COUNTIFS('تجربه‌گرها'!$B:$B,$A756,'تجربه‌گرها'!$F:$F,F$1)</f>
        <v>0</v>
      </c>
      <c r="G756" s="242">
        <f>COUNTIFS('تجربه‌گرها'!$B:$B,$A756,'تجربه‌گرها'!$F:$F,G$1)</f>
        <v>0</v>
      </c>
      <c r="H756" s="242">
        <f>COUNTIFS('تجربه‌گرها'!$B:$B,$A756,'تجربه‌گرها'!$F:$F,H$1)</f>
        <v>0</v>
      </c>
      <c r="I756" s="242">
        <f>COUNTIFS('تجربه‌گرها'!$B:$B,$A756,'تجربه‌گرها'!$F:$F,I$1)</f>
        <v>0</v>
      </c>
      <c r="J756" s="242">
        <f>COUNTIFS('تجربه‌گرها'!$B:$B,$A756,'تجربه‌گرها'!$F:$F,J$1)</f>
        <v>0</v>
      </c>
      <c r="K756" s="242">
        <f>COUNTIFS('تجربه‌گرها'!$B:$B,$A756,'تجربه‌گرها'!$F:$F,K$1)</f>
        <v>1</v>
      </c>
      <c r="L756" s="242">
        <f>COUNTIFS('تجربه‌گرها'!$B:$B,$A756,'تجربه‌گرها'!$F:$F,L$1)</f>
        <v>0</v>
      </c>
      <c r="M756" s="242">
        <f>COUNTIFS('تجربه‌گرها'!$B:$B,$A756,'تجربه‌گرها'!$F:$F,M$1)</f>
        <v>0</v>
      </c>
      <c r="N756" s="242">
        <f>COUNTIFS('تجربه‌گرها'!$B:$B,$A756,'تجربه‌گرها'!$F:$F,N$1)</f>
        <v>0</v>
      </c>
      <c r="O756" s="242">
        <f>COUNTIFS('تجربه‌گرها'!$B:$B,$A756,'تجربه‌گرها'!$F:$F,O$1)</f>
        <v>0</v>
      </c>
      <c r="P756" s="242">
        <f>COUNTIFS('تجربه‌گرها'!$B:$B,$A756,'تجربه‌گرها'!$F:$F,P$1)</f>
        <v>0</v>
      </c>
      <c r="Q756" s="242">
        <f>COUNTIFS('تجربه‌گرها'!$B:$B,$A756,'تجربه‌گرها'!$F:$F,Q$1)</f>
        <v>0</v>
      </c>
      <c r="R756" s="242">
        <f>COUNTIFS('تجربه‌گرها'!$B:$B,$A756,'تجربه‌گرها'!$F:$F,R$1)</f>
        <v>0</v>
      </c>
      <c r="S756" s="242">
        <f>COUNTIFS('تجربه‌گرها'!$B:$B,$A756,'تجربه‌گرها'!$F:$F,S$1)</f>
        <v>0</v>
      </c>
      <c r="T756" s="242">
        <f>COUNTIFS('تجربه‌گرها'!$B:$B,$A756,'تجربه‌گرها'!$F:$F,T$1)</f>
        <v>0</v>
      </c>
      <c r="U756" s="242"/>
      <c r="V756" s="242"/>
      <c r="W756" s="242"/>
      <c r="X756" s="242"/>
      <c r="Y756" s="242"/>
      <c r="Z756" s="242"/>
      <c r="AA756" s="242"/>
      <c r="AB756" s="242"/>
    </row>
    <row r="757" hidden="1">
      <c r="A757" s="244" t="s">
        <v>4541</v>
      </c>
      <c r="B757" s="245" t="str">
        <f>VLOOKUP(A757,'تجربه‌گرها'!B:C,2,FALSE())</f>
        <v>9035432595</v>
      </c>
      <c r="C757" s="242"/>
      <c r="D757" s="242">
        <f t="shared" si="1"/>
        <v>1</v>
      </c>
      <c r="E757" s="242">
        <f>COUNTIFS('تجربه‌گرها'!$B:$B,$A757,'تجربه‌گرها'!$F:$F,E$1)</f>
        <v>0</v>
      </c>
      <c r="F757" s="242">
        <f>COUNTIFS('تجربه‌گرها'!$B:$B,$A757,'تجربه‌گرها'!$F:$F,F$1)</f>
        <v>0</v>
      </c>
      <c r="G757" s="242">
        <f>COUNTIFS('تجربه‌گرها'!$B:$B,$A757,'تجربه‌گرها'!$F:$F,G$1)</f>
        <v>0</v>
      </c>
      <c r="H757" s="242">
        <f>COUNTIFS('تجربه‌گرها'!$B:$B,$A757,'تجربه‌گرها'!$F:$F,H$1)</f>
        <v>0</v>
      </c>
      <c r="I757" s="242">
        <f>COUNTIFS('تجربه‌گرها'!$B:$B,$A757,'تجربه‌گرها'!$F:$F,I$1)</f>
        <v>0</v>
      </c>
      <c r="J757" s="242">
        <f>COUNTIFS('تجربه‌گرها'!$B:$B,$A757,'تجربه‌گرها'!$F:$F,J$1)</f>
        <v>0</v>
      </c>
      <c r="K757" s="242">
        <f>COUNTIFS('تجربه‌گرها'!$B:$B,$A757,'تجربه‌گرها'!$F:$F,K$1)</f>
        <v>1</v>
      </c>
      <c r="L757" s="242">
        <f>COUNTIFS('تجربه‌گرها'!$B:$B,$A757,'تجربه‌گرها'!$F:$F,L$1)</f>
        <v>0</v>
      </c>
      <c r="M757" s="242">
        <f>COUNTIFS('تجربه‌گرها'!$B:$B,$A757,'تجربه‌گرها'!$F:$F,M$1)</f>
        <v>0</v>
      </c>
      <c r="N757" s="242">
        <f>COUNTIFS('تجربه‌گرها'!$B:$B,$A757,'تجربه‌گرها'!$F:$F,N$1)</f>
        <v>0</v>
      </c>
      <c r="O757" s="242">
        <f>COUNTIFS('تجربه‌گرها'!$B:$B,$A757,'تجربه‌گرها'!$F:$F,O$1)</f>
        <v>0</v>
      </c>
      <c r="P757" s="242">
        <f>COUNTIFS('تجربه‌گرها'!$B:$B,$A757,'تجربه‌گرها'!$F:$F,P$1)</f>
        <v>0</v>
      </c>
      <c r="Q757" s="242">
        <f>COUNTIFS('تجربه‌گرها'!$B:$B,$A757,'تجربه‌گرها'!$F:$F,Q$1)</f>
        <v>0</v>
      </c>
      <c r="R757" s="242">
        <f>COUNTIFS('تجربه‌گرها'!$B:$B,$A757,'تجربه‌گرها'!$F:$F,R$1)</f>
        <v>0</v>
      </c>
      <c r="S757" s="242">
        <f>COUNTIFS('تجربه‌گرها'!$B:$B,$A757,'تجربه‌گرها'!$F:$F,S$1)</f>
        <v>0</v>
      </c>
      <c r="T757" s="242">
        <f>COUNTIFS('تجربه‌گرها'!$B:$B,$A757,'تجربه‌گرها'!$F:$F,T$1)</f>
        <v>0</v>
      </c>
      <c r="U757" s="242"/>
      <c r="V757" s="242"/>
      <c r="W757" s="242"/>
      <c r="X757" s="242"/>
      <c r="Y757" s="242"/>
      <c r="Z757" s="242"/>
      <c r="AA757" s="242"/>
      <c r="AB757" s="242"/>
    </row>
    <row r="758" hidden="1">
      <c r="A758" s="244" t="s">
        <v>4546</v>
      </c>
      <c r="B758" s="245" t="str">
        <f>VLOOKUP(A758,'تجربه‌گرها'!B:C,2,FALSE())</f>
        <v>9122390802</v>
      </c>
      <c r="C758" s="242"/>
      <c r="D758" s="242">
        <f t="shared" si="1"/>
        <v>1</v>
      </c>
      <c r="E758" s="242">
        <f>COUNTIFS('تجربه‌گرها'!$B:$B,$A758,'تجربه‌گرها'!$F:$F,E$1)</f>
        <v>0</v>
      </c>
      <c r="F758" s="242">
        <f>COUNTIFS('تجربه‌گرها'!$B:$B,$A758,'تجربه‌گرها'!$F:$F,F$1)</f>
        <v>0</v>
      </c>
      <c r="G758" s="242">
        <f>COUNTIFS('تجربه‌گرها'!$B:$B,$A758,'تجربه‌گرها'!$F:$F,G$1)</f>
        <v>0</v>
      </c>
      <c r="H758" s="242">
        <f>COUNTIFS('تجربه‌گرها'!$B:$B,$A758,'تجربه‌گرها'!$F:$F,H$1)</f>
        <v>0</v>
      </c>
      <c r="I758" s="242">
        <f>COUNTIFS('تجربه‌گرها'!$B:$B,$A758,'تجربه‌گرها'!$F:$F,I$1)</f>
        <v>0</v>
      </c>
      <c r="J758" s="242">
        <f>COUNTIFS('تجربه‌گرها'!$B:$B,$A758,'تجربه‌گرها'!$F:$F,J$1)</f>
        <v>0</v>
      </c>
      <c r="K758" s="242">
        <f>COUNTIFS('تجربه‌گرها'!$B:$B,$A758,'تجربه‌گرها'!$F:$F,K$1)</f>
        <v>1</v>
      </c>
      <c r="L758" s="242">
        <f>COUNTIFS('تجربه‌گرها'!$B:$B,$A758,'تجربه‌گرها'!$F:$F,L$1)</f>
        <v>0</v>
      </c>
      <c r="M758" s="242">
        <f>COUNTIFS('تجربه‌گرها'!$B:$B,$A758,'تجربه‌گرها'!$F:$F,M$1)</f>
        <v>0</v>
      </c>
      <c r="N758" s="242">
        <f>COUNTIFS('تجربه‌گرها'!$B:$B,$A758,'تجربه‌گرها'!$F:$F,N$1)</f>
        <v>0</v>
      </c>
      <c r="O758" s="242">
        <f>COUNTIFS('تجربه‌گرها'!$B:$B,$A758,'تجربه‌گرها'!$F:$F,O$1)</f>
        <v>0</v>
      </c>
      <c r="P758" s="242">
        <f>COUNTIFS('تجربه‌گرها'!$B:$B,$A758,'تجربه‌گرها'!$F:$F,P$1)</f>
        <v>0</v>
      </c>
      <c r="Q758" s="242">
        <f>COUNTIFS('تجربه‌گرها'!$B:$B,$A758,'تجربه‌گرها'!$F:$F,Q$1)</f>
        <v>0</v>
      </c>
      <c r="R758" s="242">
        <f>COUNTIFS('تجربه‌گرها'!$B:$B,$A758,'تجربه‌گرها'!$F:$F,R$1)</f>
        <v>0</v>
      </c>
      <c r="S758" s="242">
        <f>COUNTIFS('تجربه‌گرها'!$B:$B,$A758,'تجربه‌گرها'!$F:$F,S$1)</f>
        <v>0</v>
      </c>
      <c r="T758" s="242">
        <f>COUNTIFS('تجربه‌گرها'!$B:$B,$A758,'تجربه‌گرها'!$F:$F,T$1)</f>
        <v>0</v>
      </c>
      <c r="U758" s="242"/>
      <c r="V758" s="242"/>
      <c r="W758" s="242"/>
      <c r="X758" s="242"/>
      <c r="Y758" s="242"/>
      <c r="Z758" s="242"/>
      <c r="AA758" s="242"/>
      <c r="AB758" s="242"/>
    </row>
    <row r="759">
      <c r="A759" s="244" t="s">
        <v>4551</v>
      </c>
      <c r="B759" s="245" t="str">
        <f>VLOOKUP(A759,'تجربه‌گرها'!B:C,2,FALSE())</f>
        <v>9123579152</v>
      </c>
      <c r="C759" s="242"/>
      <c r="D759" s="242">
        <f t="shared" si="1"/>
        <v>1</v>
      </c>
      <c r="E759" s="242">
        <f>COUNTIFS('تجربه‌گرها'!$B:$B,$A759,'تجربه‌گرها'!$F:$F,E$1)</f>
        <v>0</v>
      </c>
      <c r="F759" s="242">
        <f>COUNTIFS('تجربه‌گرها'!$B:$B,$A759,'تجربه‌گرها'!$F:$F,F$1)</f>
        <v>0</v>
      </c>
      <c r="G759" s="242">
        <f>COUNTIFS('تجربه‌گرها'!$B:$B,$A759,'تجربه‌گرها'!$F:$F,G$1)</f>
        <v>0</v>
      </c>
      <c r="H759" s="242">
        <f>COUNTIFS('تجربه‌گرها'!$B:$B,$A759,'تجربه‌گرها'!$F:$F,H$1)</f>
        <v>0</v>
      </c>
      <c r="I759" s="242">
        <f>COUNTIFS('تجربه‌گرها'!$B:$B,$A759,'تجربه‌گرها'!$F:$F,I$1)</f>
        <v>0</v>
      </c>
      <c r="J759" s="242">
        <f>COUNTIFS('تجربه‌گرها'!$B:$B,$A759,'تجربه‌گرها'!$F:$F,J$1)</f>
        <v>0</v>
      </c>
      <c r="K759" s="242">
        <f>COUNTIFS('تجربه‌گرها'!$B:$B,$A759,'تجربه‌گرها'!$F:$F,K$1)</f>
        <v>1</v>
      </c>
      <c r="L759" s="242">
        <f>COUNTIFS('تجربه‌گرها'!$B:$B,$A759,'تجربه‌گرها'!$F:$F,L$1)</f>
        <v>0</v>
      </c>
      <c r="M759" s="242">
        <f>COUNTIFS('تجربه‌گرها'!$B:$B,$A759,'تجربه‌گرها'!$F:$F,M$1)</f>
        <v>0</v>
      </c>
      <c r="N759" s="242">
        <f>COUNTIFS('تجربه‌گرها'!$B:$B,$A759,'تجربه‌گرها'!$F:$F,N$1)</f>
        <v>0</v>
      </c>
      <c r="O759" s="242">
        <f>COUNTIFS('تجربه‌گرها'!$B:$B,$A759,'تجربه‌گرها'!$F:$F,O$1)</f>
        <v>0</v>
      </c>
      <c r="P759" s="242">
        <f>COUNTIFS('تجربه‌گرها'!$B:$B,$A759,'تجربه‌گرها'!$F:$F,P$1)</f>
        <v>0</v>
      </c>
      <c r="Q759" s="242">
        <f>COUNTIFS('تجربه‌گرها'!$B:$B,$A759,'تجربه‌گرها'!$F:$F,Q$1)</f>
        <v>0</v>
      </c>
      <c r="R759" s="242">
        <f>COUNTIFS('تجربه‌گرها'!$B:$B,$A759,'تجربه‌گرها'!$F:$F,R$1)</f>
        <v>0</v>
      </c>
      <c r="S759" s="242">
        <f>COUNTIFS('تجربه‌گرها'!$B:$B,$A759,'تجربه‌گرها'!$F:$F,S$1)</f>
        <v>0</v>
      </c>
      <c r="T759" s="242">
        <f>COUNTIFS('تجربه‌گرها'!$B:$B,$A759,'تجربه‌گرها'!$F:$F,T$1)</f>
        <v>0</v>
      </c>
      <c r="U759" s="242"/>
      <c r="V759" s="242"/>
      <c r="W759" s="242"/>
      <c r="X759" s="242"/>
      <c r="Y759" s="242"/>
      <c r="Z759" s="242"/>
      <c r="AA759" s="242"/>
      <c r="AB759" s="242"/>
    </row>
    <row r="760" hidden="1">
      <c r="A760" s="244" t="s">
        <v>4555</v>
      </c>
      <c r="B760" s="245" t="str">
        <f>VLOOKUP(A760,'تجربه‌گرها'!B:C,2,FALSE())</f>
        <v>9015902707</v>
      </c>
      <c r="C760" s="242"/>
      <c r="D760" s="242">
        <f t="shared" si="1"/>
        <v>1</v>
      </c>
      <c r="E760" s="242">
        <f>COUNTIFS('تجربه‌گرها'!$B:$B,$A760,'تجربه‌گرها'!$F:$F,E$1)</f>
        <v>0</v>
      </c>
      <c r="F760" s="242">
        <f>COUNTIFS('تجربه‌گرها'!$B:$B,$A760,'تجربه‌گرها'!$F:$F,F$1)</f>
        <v>0</v>
      </c>
      <c r="G760" s="242">
        <f>COUNTIFS('تجربه‌گرها'!$B:$B,$A760,'تجربه‌گرها'!$F:$F,G$1)</f>
        <v>0</v>
      </c>
      <c r="H760" s="242">
        <f>COUNTIFS('تجربه‌گرها'!$B:$B,$A760,'تجربه‌گرها'!$F:$F,H$1)</f>
        <v>0</v>
      </c>
      <c r="I760" s="242">
        <f>COUNTIFS('تجربه‌گرها'!$B:$B,$A760,'تجربه‌گرها'!$F:$F,I$1)</f>
        <v>0</v>
      </c>
      <c r="J760" s="242">
        <f>COUNTIFS('تجربه‌گرها'!$B:$B,$A760,'تجربه‌گرها'!$F:$F,J$1)</f>
        <v>0</v>
      </c>
      <c r="K760" s="242">
        <f>COUNTIFS('تجربه‌گرها'!$B:$B,$A760,'تجربه‌گرها'!$F:$F,K$1)</f>
        <v>1</v>
      </c>
      <c r="L760" s="242">
        <f>COUNTIFS('تجربه‌گرها'!$B:$B,$A760,'تجربه‌گرها'!$F:$F,L$1)</f>
        <v>0</v>
      </c>
      <c r="M760" s="242">
        <f>COUNTIFS('تجربه‌گرها'!$B:$B,$A760,'تجربه‌گرها'!$F:$F,M$1)</f>
        <v>0</v>
      </c>
      <c r="N760" s="242">
        <f>COUNTIFS('تجربه‌گرها'!$B:$B,$A760,'تجربه‌گرها'!$F:$F,N$1)</f>
        <v>0</v>
      </c>
      <c r="O760" s="242">
        <f>COUNTIFS('تجربه‌گرها'!$B:$B,$A760,'تجربه‌گرها'!$F:$F,O$1)</f>
        <v>0</v>
      </c>
      <c r="P760" s="242">
        <f>COUNTIFS('تجربه‌گرها'!$B:$B,$A760,'تجربه‌گرها'!$F:$F,P$1)</f>
        <v>0</v>
      </c>
      <c r="Q760" s="242">
        <f>COUNTIFS('تجربه‌گرها'!$B:$B,$A760,'تجربه‌گرها'!$F:$F,Q$1)</f>
        <v>0</v>
      </c>
      <c r="R760" s="242">
        <f>COUNTIFS('تجربه‌گرها'!$B:$B,$A760,'تجربه‌گرها'!$F:$F,R$1)</f>
        <v>0</v>
      </c>
      <c r="S760" s="242">
        <f>COUNTIFS('تجربه‌گرها'!$B:$B,$A760,'تجربه‌گرها'!$F:$F,S$1)</f>
        <v>0</v>
      </c>
      <c r="T760" s="242">
        <f>COUNTIFS('تجربه‌گرها'!$B:$B,$A760,'تجربه‌گرها'!$F:$F,T$1)</f>
        <v>0</v>
      </c>
      <c r="U760" s="242"/>
      <c r="V760" s="242"/>
      <c r="W760" s="242"/>
      <c r="X760" s="242"/>
      <c r="Y760" s="242"/>
      <c r="Z760" s="242"/>
      <c r="AA760" s="242"/>
      <c r="AB760" s="242"/>
    </row>
    <row r="761" hidden="1">
      <c r="A761" s="244" t="s">
        <v>3126</v>
      </c>
      <c r="B761" s="245" t="str">
        <f>VLOOKUP(A761,'تجربه‌گرها'!B:C,2,FALSE())</f>
        <v>9381221049</v>
      </c>
      <c r="C761" s="242"/>
      <c r="D761" s="242">
        <f t="shared" si="1"/>
        <v>1</v>
      </c>
      <c r="E761" s="242">
        <f>COUNTIFS('تجربه‌گرها'!$B:$B,$A761,'تجربه‌گرها'!$F:$F,E$1)</f>
        <v>0</v>
      </c>
      <c r="F761" s="242">
        <f>COUNTIFS('تجربه‌گرها'!$B:$B,$A761,'تجربه‌گرها'!$F:$F,F$1)</f>
        <v>0</v>
      </c>
      <c r="G761" s="242">
        <f>COUNTIFS('تجربه‌گرها'!$B:$B,$A761,'تجربه‌گرها'!$F:$F,G$1)</f>
        <v>0</v>
      </c>
      <c r="H761" s="242">
        <f>COUNTIFS('تجربه‌گرها'!$B:$B,$A761,'تجربه‌گرها'!$F:$F,H$1)</f>
        <v>0</v>
      </c>
      <c r="I761" s="242">
        <f>COUNTIFS('تجربه‌گرها'!$B:$B,$A761,'تجربه‌گرها'!$F:$F,I$1)</f>
        <v>0</v>
      </c>
      <c r="J761" s="242">
        <f>COUNTIFS('تجربه‌گرها'!$B:$B,$A761,'تجربه‌گرها'!$F:$F,J$1)</f>
        <v>0</v>
      </c>
      <c r="K761" s="242">
        <f>COUNTIFS('تجربه‌گرها'!$B:$B,$A761,'تجربه‌گرها'!$F:$F,K$1)</f>
        <v>1</v>
      </c>
      <c r="L761" s="242">
        <f>COUNTIFS('تجربه‌گرها'!$B:$B,$A761,'تجربه‌گرها'!$F:$F,L$1)</f>
        <v>0</v>
      </c>
      <c r="M761" s="242">
        <f>COUNTIFS('تجربه‌گرها'!$B:$B,$A761,'تجربه‌گرها'!$F:$F,M$1)</f>
        <v>0</v>
      </c>
      <c r="N761" s="242">
        <f>COUNTIFS('تجربه‌گرها'!$B:$B,$A761,'تجربه‌گرها'!$F:$F,N$1)</f>
        <v>0</v>
      </c>
      <c r="O761" s="242">
        <f>COUNTIFS('تجربه‌گرها'!$B:$B,$A761,'تجربه‌گرها'!$F:$F,O$1)</f>
        <v>0</v>
      </c>
      <c r="P761" s="242">
        <f>COUNTIFS('تجربه‌گرها'!$B:$B,$A761,'تجربه‌گرها'!$F:$F,P$1)</f>
        <v>0</v>
      </c>
      <c r="Q761" s="242">
        <f>COUNTIFS('تجربه‌گرها'!$B:$B,$A761,'تجربه‌گرها'!$F:$F,Q$1)</f>
        <v>0</v>
      </c>
      <c r="R761" s="242">
        <f>COUNTIFS('تجربه‌گرها'!$B:$B,$A761,'تجربه‌گرها'!$F:$F,R$1)</f>
        <v>0</v>
      </c>
      <c r="S761" s="242">
        <f>COUNTIFS('تجربه‌گرها'!$B:$B,$A761,'تجربه‌گرها'!$F:$F,S$1)</f>
        <v>0</v>
      </c>
      <c r="T761" s="242">
        <f>COUNTIFS('تجربه‌گرها'!$B:$B,$A761,'تجربه‌گرها'!$F:$F,T$1)</f>
        <v>0</v>
      </c>
      <c r="U761" s="242"/>
      <c r="V761" s="242"/>
      <c r="W761" s="242"/>
      <c r="X761" s="242"/>
      <c r="Y761" s="242"/>
      <c r="Z761" s="242"/>
      <c r="AA761" s="242"/>
      <c r="AB761" s="242"/>
    </row>
    <row r="762" hidden="1">
      <c r="A762" s="244" t="s">
        <v>4562</v>
      </c>
      <c r="B762" s="245" t="str">
        <f>VLOOKUP(A762,'تجربه‌گرها'!B:C,2,FALSE())</f>
        <v>9101233833</v>
      </c>
      <c r="C762" s="242"/>
      <c r="D762" s="242">
        <f t="shared" si="1"/>
        <v>1</v>
      </c>
      <c r="E762" s="242">
        <f>COUNTIFS('تجربه‌گرها'!$B:$B,$A762,'تجربه‌گرها'!$F:$F,E$1)</f>
        <v>0</v>
      </c>
      <c r="F762" s="242">
        <f>COUNTIFS('تجربه‌گرها'!$B:$B,$A762,'تجربه‌گرها'!$F:$F,F$1)</f>
        <v>0</v>
      </c>
      <c r="G762" s="242">
        <f>COUNTIFS('تجربه‌گرها'!$B:$B,$A762,'تجربه‌گرها'!$F:$F,G$1)</f>
        <v>0</v>
      </c>
      <c r="H762" s="242">
        <f>COUNTIFS('تجربه‌گرها'!$B:$B,$A762,'تجربه‌گرها'!$F:$F,H$1)</f>
        <v>0</v>
      </c>
      <c r="I762" s="242">
        <f>COUNTIFS('تجربه‌گرها'!$B:$B,$A762,'تجربه‌گرها'!$F:$F,I$1)</f>
        <v>0</v>
      </c>
      <c r="J762" s="242">
        <f>COUNTIFS('تجربه‌گرها'!$B:$B,$A762,'تجربه‌گرها'!$F:$F,J$1)</f>
        <v>0</v>
      </c>
      <c r="K762" s="242">
        <f>COUNTIFS('تجربه‌گرها'!$B:$B,$A762,'تجربه‌گرها'!$F:$F,K$1)</f>
        <v>1</v>
      </c>
      <c r="L762" s="242">
        <f>COUNTIFS('تجربه‌گرها'!$B:$B,$A762,'تجربه‌گرها'!$F:$F,L$1)</f>
        <v>0</v>
      </c>
      <c r="M762" s="242">
        <f>COUNTIFS('تجربه‌گرها'!$B:$B,$A762,'تجربه‌گرها'!$F:$F,M$1)</f>
        <v>0</v>
      </c>
      <c r="N762" s="242">
        <f>COUNTIFS('تجربه‌گرها'!$B:$B,$A762,'تجربه‌گرها'!$F:$F,N$1)</f>
        <v>0</v>
      </c>
      <c r="O762" s="242">
        <f>COUNTIFS('تجربه‌گرها'!$B:$B,$A762,'تجربه‌گرها'!$F:$F,O$1)</f>
        <v>0</v>
      </c>
      <c r="P762" s="242">
        <f>COUNTIFS('تجربه‌گرها'!$B:$B,$A762,'تجربه‌گرها'!$F:$F,P$1)</f>
        <v>0</v>
      </c>
      <c r="Q762" s="242">
        <f>COUNTIFS('تجربه‌گرها'!$B:$B,$A762,'تجربه‌گرها'!$F:$F,Q$1)</f>
        <v>0</v>
      </c>
      <c r="R762" s="242">
        <f>COUNTIFS('تجربه‌گرها'!$B:$B,$A762,'تجربه‌گرها'!$F:$F,R$1)</f>
        <v>0</v>
      </c>
      <c r="S762" s="242">
        <f>COUNTIFS('تجربه‌گرها'!$B:$B,$A762,'تجربه‌گرها'!$F:$F,S$1)</f>
        <v>0</v>
      </c>
      <c r="T762" s="242">
        <f>COUNTIFS('تجربه‌گرها'!$B:$B,$A762,'تجربه‌گرها'!$F:$F,T$1)</f>
        <v>0</v>
      </c>
      <c r="U762" s="242"/>
      <c r="V762" s="242"/>
      <c r="W762" s="242"/>
      <c r="X762" s="242"/>
      <c r="Y762" s="242"/>
      <c r="Z762" s="242"/>
      <c r="AA762" s="242"/>
      <c r="AB762" s="242"/>
    </row>
    <row r="763" hidden="1">
      <c r="A763" s="244" t="s">
        <v>4568</v>
      </c>
      <c r="B763" s="245" t="str">
        <f>VLOOKUP(A763,'تجربه‌گرها'!B:C,2,FALSE())</f>
        <v>9120644960</v>
      </c>
      <c r="C763" s="242"/>
      <c r="D763" s="242">
        <f t="shared" si="1"/>
        <v>1</v>
      </c>
      <c r="E763" s="242">
        <f>COUNTIFS('تجربه‌گرها'!$B:$B,$A763,'تجربه‌گرها'!$F:$F,E$1)</f>
        <v>0</v>
      </c>
      <c r="F763" s="242">
        <f>COUNTIFS('تجربه‌گرها'!$B:$B,$A763,'تجربه‌گرها'!$F:$F,F$1)</f>
        <v>0</v>
      </c>
      <c r="G763" s="242">
        <f>COUNTIFS('تجربه‌گرها'!$B:$B,$A763,'تجربه‌گرها'!$F:$F,G$1)</f>
        <v>0</v>
      </c>
      <c r="H763" s="242">
        <f>COUNTIFS('تجربه‌گرها'!$B:$B,$A763,'تجربه‌گرها'!$F:$F,H$1)</f>
        <v>0</v>
      </c>
      <c r="I763" s="242">
        <f>COUNTIFS('تجربه‌گرها'!$B:$B,$A763,'تجربه‌گرها'!$F:$F,I$1)</f>
        <v>0</v>
      </c>
      <c r="J763" s="242">
        <f>COUNTIFS('تجربه‌گرها'!$B:$B,$A763,'تجربه‌گرها'!$F:$F,J$1)</f>
        <v>0</v>
      </c>
      <c r="K763" s="242">
        <f>COUNTIFS('تجربه‌گرها'!$B:$B,$A763,'تجربه‌گرها'!$F:$F,K$1)</f>
        <v>1</v>
      </c>
      <c r="L763" s="242">
        <f>COUNTIFS('تجربه‌گرها'!$B:$B,$A763,'تجربه‌گرها'!$F:$F,L$1)</f>
        <v>0</v>
      </c>
      <c r="M763" s="242">
        <f>COUNTIFS('تجربه‌گرها'!$B:$B,$A763,'تجربه‌گرها'!$F:$F,M$1)</f>
        <v>0</v>
      </c>
      <c r="N763" s="242">
        <f>COUNTIFS('تجربه‌گرها'!$B:$B,$A763,'تجربه‌گرها'!$F:$F,N$1)</f>
        <v>0</v>
      </c>
      <c r="O763" s="242">
        <f>COUNTIFS('تجربه‌گرها'!$B:$B,$A763,'تجربه‌گرها'!$F:$F,O$1)</f>
        <v>0</v>
      </c>
      <c r="P763" s="242">
        <f>COUNTIFS('تجربه‌گرها'!$B:$B,$A763,'تجربه‌گرها'!$F:$F,P$1)</f>
        <v>0</v>
      </c>
      <c r="Q763" s="242">
        <f>COUNTIFS('تجربه‌گرها'!$B:$B,$A763,'تجربه‌گرها'!$F:$F,Q$1)</f>
        <v>0</v>
      </c>
      <c r="R763" s="242">
        <f>COUNTIFS('تجربه‌گرها'!$B:$B,$A763,'تجربه‌گرها'!$F:$F,R$1)</f>
        <v>0</v>
      </c>
      <c r="S763" s="242">
        <f>COUNTIFS('تجربه‌گرها'!$B:$B,$A763,'تجربه‌گرها'!$F:$F,S$1)</f>
        <v>0</v>
      </c>
      <c r="T763" s="242">
        <f>COUNTIFS('تجربه‌گرها'!$B:$B,$A763,'تجربه‌گرها'!$F:$F,T$1)</f>
        <v>0</v>
      </c>
      <c r="U763" s="242"/>
      <c r="V763" s="242"/>
      <c r="W763" s="242"/>
      <c r="X763" s="242"/>
      <c r="Y763" s="242"/>
      <c r="Z763" s="242"/>
      <c r="AA763" s="242"/>
      <c r="AB763" s="242"/>
    </row>
    <row r="764" hidden="1">
      <c r="A764" s="244" t="s">
        <v>4574</v>
      </c>
      <c r="B764" s="245" t="str">
        <f>VLOOKUP(A764,'تجربه‌گرها'!B:C,2,FALSE())</f>
        <v>9192783834</v>
      </c>
      <c r="C764" s="242"/>
      <c r="D764" s="242">
        <f t="shared" si="1"/>
        <v>1</v>
      </c>
      <c r="E764" s="242">
        <f>COUNTIFS('تجربه‌گرها'!$B:$B,$A764,'تجربه‌گرها'!$F:$F,E$1)</f>
        <v>0</v>
      </c>
      <c r="F764" s="242">
        <f>COUNTIFS('تجربه‌گرها'!$B:$B,$A764,'تجربه‌گرها'!$F:$F,F$1)</f>
        <v>0</v>
      </c>
      <c r="G764" s="242">
        <f>COUNTIFS('تجربه‌گرها'!$B:$B,$A764,'تجربه‌گرها'!$F:$F,G$1)</f>
        <v>0</v>
      </c>
      <c r="H764" s="242">
        <f>COUNTIFS('تجربه‌گرها'!$B:$B,$A764,'تجربه‌گرها'!$F:$F,H$1)</f>
        <v>0</v>
      </c>
      <c r="I764" s="242">
        <f>COUNTIFS('تجربه‌گرها'!$B:$B,$A764,'تجربه‌گرها'!$F:$F,I$1)</f>
        <v>0</v>
      </c>
      <c r="J764" s="242">
        <f>COUNTIFS('تجربه‌گرها'!$B:$B,$A764,'تجربه‌گرها'!$F:$F,J$1)</f>
        <v>0</v>
      </c>
      <c r="K764" s="242">
        <f>COUNTIFS('تجربه‌گرها'!$B:$B,$A764,'تجربه‌گرها'!$F:$F,K$1)</f>
        <v>1</v>
      </c>
      <c r="L764" s="242">
        <f>COUNTIFS('تجربه‌گرها'!$B:$B,$A764,'تجربه‌گرها'!$F:$F,L$1)</f>
        <v>0</v>
      </c>
      <c r="M764" s="242">
        <f>COUNTIFS('تجربه‌گرها'!$B:$B,$A764,'تجربه‌گرها'!$F:$F,M$1)</f>
        <v>0</v>
      </c>
      <c r="N764" s="242">
        <f>COUNTIFS('تجربه‌گرها'!$B:$B,$A764,'تجربه‌گرها'!$F:$F,N$1)</f>
        <v>0</v>
      </c>
      <c r="O764" s="242">
        <f>COUNTIFS('تجربه‌گرها'!$B:$B,$A764,'تجربه‌گرها'!$F:$F,O$1)</f>
        <v>0</v>
      </c>
      <c r="P764" s="242">
        <f>COUNTIFS('تجربه‌گرها'!$B:$B,$A764,'تجربه‌گرها'!$F:$F,P$1)</f>
        <v>0</v>
      </c>
      <c r="Q764" s="242">
        <f>COUNTIFS('تجربه‌گرها'!$B:$B,$A764,'تجربه‌گرها'!$F:$F,Q$1)</f>
        <v>0</v>
      </c>
      <c r="R764" s="242">
        <f>COUNTIFS('تجربه‌گرها'!$B:$B,$A764,'تجربه‌گرها'!$F:$F,R$1)</f>
        <v>0</v>
      </c>
      <c r="S764" s="242">
        <f>COUNTIFS('تجربه‌گرها'!$B:$B,$A764,'تجربه‌گرها'!$F:$F,S$1)</f>
        <v>0</v>
      </c>
      <c r="T764" s="242">
        <f>COUNTIFS('تجربه‌گرها'!$B:$B,$A764,'تجربه‌گرها'!$F:$F,T$1)</f>
        <v>0</v>
      </c>
      <c r="U764" s="242"/>
      <c r="V764" s="242"/>
      <c r="W764" s="242"/>
      <c r="X764" s="242"/>
      <c r="Y764" s="242"/>
      <c r="Z764" s="242"/>
      <c r="AA764" s="242"/>
      <c r="AB764" s="242"/>
    </row>
    <row r="765" hidden="1">
      <c r="A765" s="244" t="s">
        <v>4579</v>
      </c>
      <c r="B765" s="245" t="str">
        <f>VLOOKUP(A765,'تجربه‌گرها'!B:C,2,FALSE())</f>
        <v>09124943004</v>
      </c>
      <c r="C765" s="242"/>
      <c r="D765" s="242">
        <f t="shared" si="1"/>
        <v>1</v>
      </c>
      <c r="E765" s="242">
        <f>COUNTIFS('تجربه‌گرها'!$B:$B,$A765,'تجربه‌گرها'!$F:$F,E$1)</f>
        <v>0</v>
      </c>
      <c r="F765" s="242">
        <f>COUNTIFS('تجربه‌گرها'!$B:$B,$A765,'تجربه‌گرها'!$F:$F,F$1)</f>
        <v>0</v>
      </c>
      <c r="G765" s="242">
        <f>COUNTIFS('تجربه‌گرها'!$B:$B,$A765,'تجربه‌گرها'!$F:$F,G$1)</f>
        <v>0</v>
      </c>
      <c r="H765" s="242">
        <f>COUNTIFS('تجربه‌گرها'!$B:$B,$A765,'تجربه‌گرها'!$F:$F,H$1)</f>
        <v>0</v>
      </c>
      <c r="I765" s="242">
        <f>COUNTIFS('تجربه‌گرها'!$B:$B,$A765,'تجربه‌گرها'!$F:$F,I$1)</f>
        <v>0</v>
      </c>
      <c r="J765" s="242">
        <f>COUNTIFS('تجربه‌گرها'!$B:$B,$A765,'تجربه‌گرها'!$F:$F,J$1)</f>
        <v>0</v>
      </c>
      <c r="K765" s="242">
        <f>COUNTIFS('تجربه‌گرها'!$B:$B,$A765,'تجربه‌گرها'!$F:$F,K$1)</f>
        <v>1</v>
      </c>
      <c r="L765" s="242">
        <f>COUNTIFS('تجربه‌گرها'!$B:$B,$A765,'تجربه‌گرها'!$F:$F,L$1)</f>
        <v>0</v>
      </c>
      <c r="M765" s="242">
        <f>COUNTIFS('تجربه‌گرها'!$B:$B,$A765,'تجربه‌گرها'!$F:$F,M$1)</f>
        <v>0</v>
      </c>
      <c r="N765" s="242">
        <f>COUNTIFS('تجربه‌گرها'!$B:$B,$A765,'تجربه‌گرها'!$F:$F,N$1)</f>
        <v>0</v>
      </c>
      <c r="O765" s="242">
        <f>COUNTIFS('تجربه‌گرها'!$B:$B,$A765,'تجربه‌گرها'!$F:$F,O$1)</f>
        <v>0</v>
      </c>
      <c r="P765" s="242">
        <f>COUNTIFS('تجربه‌گرها'!$B:$B,$A765,'تجربه‌گرها'!$F:$F,P$1)</f>
        <v>0</v>
      </c>
      <c r="Q765" s="242">
        <f>COUNTIFS('تجربه‌گرها'!$B:$B,$A765,'تجربه‌گرها'!$F:$F,Q$1)</f>
        <v>0</v>
      </c>
      <c r="R765" s="242">
        <f>COUNTIFS('تجربه‌گرها'!$B:$B,$A765,'تجربه‌گرها'!$F:$F,R$1)</f>
        <v>0</v>
      </c>
      <c r="S765" s="242">
        <f>COUNTIFS('تجربه‌گرها'!$B:$B,$A765,'تجربه‌گرها'!$F:$F,S$1)</f>
        <v>0</v>
      </c>
      <c r="T765" s="242">
        <f>COUNTIFS('تجربه‌گرها'!$B:$B,$A765,'تجربه‌گرها'!$F:$F,T$1)</f>
        <v>0</v>
      </c>
      <c r="U765" s="242"/>
      <c r="V765" s="242"/>
      <c r="W765" s="242"/>
      <c r="X765" s="242"/>
      <c r="Y765" s="242"/>
      <c r="Z765" s="242"/>
      <c r="AA765" s="242"/>
      <c r="AB765" s="242"/>
    </row>
    <row r="766" hidden="1">
      <c r="A766" s="244" t="s">
        <v>4585</v>
      </c>
      <c r="B766" s="245" t="str">
        <f>VLOOKUP(A766,'تجربه‌گرها'!B:C,2,FALSE())</f>
        <v>9353998016</v>
      </c>
      <c r="C766" s="242"/>
      <c r="D766" s="242">
        <f t="shared" si="1"/>
        <v>1</v>
      </c>
      <c r="E766" s="242">
        <f>COUNTIFS('تجربه‌گرها'!$B:$B,$A766,'تجربه‌گرها'!$F:$F,E$1)</f>
        <v>0</v>
      </c>
      <c r="F766" s="242">
        <f>COUNTIFS('تجربه‌گرها'!$B:$B,$A766,'تجربه‌گرها'!$F:$F,F$1)</f>
        <v>0</v>
      </c>
      <c r="G766" s="242">
        <f>COUNTIFS('تجربه‌گرها'!$B:$B,$A766,'تجربه‌گرها'!$F:$F,G$1)</f>
        <v>0</v>
      </c>
      <c r="H766" s="242">
        <f>COUNTIFS('تجربه‌گرها'!$B:$B,$A766,'تجربه‌گرها'!$F:$F,H$1)</f>
        <v>0</v>
      </c>
      <c r="I766" s="242">
        <f>COUNTIFS('تجربه‌گرها'!$B:$B,$A766,'تجربه‌گرها'!$F:$F,I$1)</f>
        <v>0</v>
      </c>
      <c r="J766" s="242">
        <f>COUNTIFS('تجربه‌گرها'!$B:$B,$A766,'تجربه‌گرها'!$F:$F,J$1)</f>
        <v>0</v>
      </c>
      <c r="K766" s="242">
        <f>COUNTIFS('تجربه‌گرها'!$B:$B,$A766,'تجربه‌گرها'!$F:$F,K$1)</f>
        <v>1</v>
      </c>
      <c r="L766" s="242">
        <f>COUNTIFS('تجربه‌گرها'!$B:$B,$A766,'تجربه‌گرها'!$F:$F,L$1)</f>
        <v>0</v>
      </c>
      <c r="M766" s="242">
        <f>COUNTIFS('تجربه‌گرها'!$B:$B,$A766,'تجربه‌گرها'!$F:$F,M$1)</f>
        <v>0</v>
      </c>
      <c r="N766" s="242">
        <f>COUNTIFS('تجربه‌گرها'!$B:$B,$A766,'تجربه‌گرها'!$F:$F,N$1)</f>
        <v>0</v>
      </c>
      <c r="O766" s="242">
        <f>COUNTIFS('تجربه‌گرها'!$B:$B,$A766,'تجربه‌گرها'!$F:$F,O$1)</f>
        <v>0</v>
      </c>
      <c r="P766" s="242">
        <f>COUNTIFS('تجربه‌گرها'!$B:$B,$A766,'تجربه‌گرها'!$F:$F,P$1)</f>
        <v>0</v>
      </c>
      <c r="Q766" s="242">
        <f>COUNTIFS('تجربه‌گرها'!$B:$B,$A766,'تجربه‌گرها'!$F:$F,Q$1)</f>
        <v>0</v>
      </c>
      <c r="R766" s="242">
        <f>COUNTIFS('تجربه‌گرها'!$B:$B,$A766,'تجربه‌گرها'!$F:$F,R$1)</f>
        <v>0</v>
      </c>
      <c r="S766" s="242">
        <f>COUNTIFS('تجربه‌گرها'!$B:$B,$A766,'تجربه‌گرها'!$F:$F,S$1)</f>
        <v>0</v>
      </c>
      <c r="T766" s="242">
        <f>COUNTIFS('تجربه‌گرها'!$B:$B,$A766,'تجربه‌گرها'!$F:$F,T$1)</f>
        <v>0</v>
      </c>
      <c r="U766" s="242"/>
      <c r="V766" s="242"/>
      <c r="W766" s="242"/>
      <c r="X766" s="242"/>
      <c r="Y766" s="242"/>
      <c r="Z766" s="242"/>
      <c r="AA766" s="242"/>
      <c r="AB766" s="242"/>
    </row>
    <row r="767" hidden="1">
      <c r="A767" s="244" t="s">
        <v>4591</v>
      </c>
      <c r="B767" s="245" t="str">
        <f>VLOOKUP(A767,'تجربه‌گرها'!B:C,2,FALSE())</f>
        <v>9128898869</v>
      </c>
      <c r="C767" s="242"/>
      <c r="D767" s="242">
        <f t="shared" si="1"/>
        <v>1</v>
      </c>
      <c r="E767" s="242">
        <f>COUNTIFS('تجربه‌گرها'!$B:$B,$A767,'تجربه‌گرها'!$F:$F,E$1)</f>
        <v>0</v>
      </c>
      <c r="F767" s="242">
        <f>COUNTIFS('تجربه‌گرها'!$B:$B,$A767,'تجربه‌گرها'!$F:$F,F$1)</f>
        <v>0</v>
      </c>
      <c r="G767" s="242">
        <f>COUNTIFS('تجربه‌گرها'!$B:$B,$A767,'تجربه‌گرها'!$F:$F,G$1)</f>
        <v>0</v>
      </c>
      <c r="H767" s="242">
        <f>COUNTIFS('تجربه‌گرها'!$B:$B,$A767,'تجربه‌گرها'!$F:$F,H$1)</f>
        <v>0</v>
      </c>
      <c r="I767" s="242">
        <f>COUNTIFS('تجربه‌گرها'!$B:$B,$A767,'تجربه‌گرها'!$F:$F,I$1)</f>
        <v>0</v>
      </c>
      <c r="J767" s="242">
        <f>COUNTIFS('تجربه‌گرها'!$B:$B,$A767,'تجربه‌گرها'!$F:$F,J$1)</f>
        <v>0</v>
      </c>
      <c r="K767" s="242">
        <f>COUNTIFS('تجربه‌گرها'!$B:$B,$A767,'تجربه‌گرها'!$F:$F,K$1)</f>
        <v>1</v>
      </c>
      <c r="L767" s="242">
        <f>COUNTIFS('تجربه‌گرها'!$B:$B,$A767,'تجربه‌گرها'!$F:$F,L$1)</f>
        <v>0</v>
      </c>
      <c r="M767" s="242">
        <f>COUNTIFS('تجربه‌گرها'!$B:$B,$A767,'تجربه‌گرها'!$F:$F,M$1)</f>
        <v>0</v>
      </c>
      <c r="N767" s="242">
        <f>COUNTIFS('تجربه‌گرها'!$B:$B,$A767,'تجربه‌گرها'!$F:$F,N$1)</f>
        <v>0</v>
      </c>
      <c r="O767" s="242">
        <f>COUNTIFS('تجربه‌گرها'!$B:$B,$A767,'تجربه‌گرها'!$F:$F,O$1)</f>
        <v>0</v>
      </c>
      <c r="P767" s="242">
        <f>COUNTIFS('تجربه‌گرها'!$B:$B,$A767,'تجربه‌گرها'!$F:$F,P$1)</f>
        <v>0</v>
      </c>
      <c r="Q767" s="242">
        <f>COUNTIFS('تجربه‌گرها'!$B:$B,$A767,'تجربه‌گرها'!$F:$F,Q$1)</f>
        <v>0</v>
      </c>
      <c r="R767" s="242">
        <f>COUNTIFS('تجربه‌گرها'!$B:$B,$A767,'تجربه‌گرها'!$F:$F,R$1)</f>
        <v>0</v>
      </c>
      <c r="S767" s="242">
        <f>COUNTIFS('تجربه‌گرها'!$B:$B,$A767,'تجربه‌گرها'!$F:$F,S$1)</f>
        <v>0</v>
      </c>
      <c r="T767" s="242">
        <f>COUNTIFS('تجربه‌گرها'!$B:$B,$A767,'تجربه‌گرها'!$F:$F,T$1)</f>
        <v>0</v>
      </c>
      <c r="U767" s="242"/>
      <c r="V767" s="242"/>
      <c r="W767" s="242"/>
      <c r="X767" s="242"/>
      <c r="Y767" s="242"/>
      <c r="Z767" s="242"/>
      <c r="AA767" s="242"/>
      <c r="AB767" s="242"/>
    </row>
    <row r="768" hidden="1">
      <c r="A768" s="244" t="s">
        <v>4596</v>
      </c>
      <c r="B768" s="245" t="str">
        <f>VLOOKUP(A768,'تجربه‌گرها'!B:C,2,FALSE())</f>
        <v>9196315339</v>
      </c>
      <c r="C768" s="242"/>
      <c r="D768" s="242">
        <f t="shared" si="1"/>
        <v>1</v>
      </c>
      <c r="E768" s="242">
        <f>COUNTIFS('تجربه‌گرها'!$B:$B,$A768,'تجربه‌گرها'!$F:$F,E$1)</f>
        <v>0</v>
      </c>
      <c r="F768" s="242">
        <f>COUNTIFS('تجربه‌گرها'!$B:$B,$A768,'تجربه‌گرها'!$F:$F,F$1)</f>
        <v>0</v>
      </c>
      <c r="G768" s="242">
        <f>COUNTIFS('تجربه‌گرها'!$B:$B,$A768,'تجربه‌گرها'!$F:$F,G$1)</f>
        <v>0</v>
      </c>
      <c r="H768" s="242">
        <f>COUNTIFS('تجربه‌گرها'!$B:$B,$A768,'تجربه‌گرها'!$F:$F,H$1)</f>
        <v>0</v>
      </c>
      <c r="I768" s="242">
        <f>COUNTIFS('تجربه‌گرها'!$B:$B,$A768,'تجربه‌گرها'!$F:$F,I$1)</f>
        <v>0</v>
      </c>
      <c r="J768" s="242">
        <f>COUNTIFS('تجربه‌گرها'!$B:$B,$A768,'تجربه‌گرها'!$F:$F,J$1)</f>
        <v>0</v>
      </c>
      <c r="K768" s="242">
        <f>COUNTIFS('تجربه‌گرها'!$B:$B,$A768,'تجربه‌گرها'!$F:$F,K$1)</f>
        <v>1</v>
      </c>
      <c r="L768" s="242">
        <f>COUNTIFS('تجربه‌گرها'!$B:$B,$A768,'تجربه‌گرها'!$F:$F,L$1)</f>
        <v>0</v>
      </c>
      <c r="M768" s="242">
        <f>COUNTIFS('تجربه‌گرها'!$B:$B,$A768,'تجربه‌گرها'!$F:$F,M$1)</f>
        <v>0</v>
      </c>
      <c r="N768" s="242">
        <f>COUNTIFS('تجربه‌گرها'!$B:$B,$A768,'تجربه‌گرها'!$F:$F,N$1)</f>
        <v>0</v>
      </c>
      <c r="O768" s="242">
        <f>COUNTIFS('تجربه‌گرها'!$B:$B,$A768,'تجربه‌گرها'!$F:$F,O$1)</f>
        <v>0</v>
      </c>
      <c r="P768" s="242">
        <f>COUNTIFS('تجربه‌گرها'!$B:$B,$A768,'تجربه‌گرها'!$F:$F,P$1)</f>
        <v>0</v>
      </c>
      <c r="Q768" s="242">
        <f>COUNTIFS('تجربه‌گرها'!$B:$B,$A768,'تجربه‌گرها'!$F:$F,Q$1)</f>
        <v>0</v>
      </c>
      <c r="R768" s="242">
        <f>COUNTIFS('تجربه‌گرها'!$B:$B,$A768,'تجربه‌گرها'!$F:$F,R$1)</f>
        <v>0</v>
      </c>
      <c r="S768" s="242">
        <f>COUNTIFS('تجربه‌گرها'!$B:$B,$A768,'تجربه‌گرها'!$F:$F,S$1)</f>
        <v>0</v>
      </c>
      <c r="T768" s="242">
        <f>COUNTIFS('تجربه‌گرها'!$B:$B,$A768,'تجربه‌گرها'!$F:$F,T$1)</f>
        <v>0</v>
      </c>
      <c r="U768" s="242"/>
      <c r="V768" s="242"/>
      <c r="W768" s="242"/>
      <c r="X768" s="242"/>
      <c r="Y768" s="242"/>
      <c r="Z768" s="242"/>
      <c r="AA768" s="242"/>
      <c r="AB768" s="242"/>
    </row>
    <row r="769" hidden="1">
      <c r="A769" s="244" t="s">
        <v>4602</v>
      </c>
      <c r="B769" s="245" t="str">
        <f>VLOOKUP(A769,'تجربه‌گرها'!B:C,2,FALSE())</f>
        <v>9127272259</v>
      </c>
      <c r="C769" s="242"/>
      <c r="D769" s="242">
        <f t="shared" si="1"/>
        <v>2</v>
      </c>
      <c r="E769" s="242">
        <f>COUNTIFS('تجربه‌گرها'!$B:$B,$A769,'تجربه‌گرها'!$F:$F,E$1)</f>
        <v>0</v>
      </c>
      <c r="F769" s="242">
        <f>COUNTIFS('تجربه‌گرها'!$B:$B,$A769,'تجربه‌گرها'!$F:$F,F$1)</f>
        <v>0</v>
      </c>
      <c r="G769" s="242">
        <f>COUNTIFS('تجربه‌گرها'!$B:$B,$A769,'تجربه‌گرها'!$F:$F,G$1)</f>
        <v>0</v>
      </c>
      <c r="H769" s="242">
        <f>COUNTIFS('تجربه‌گرها'!$B:$B,$A769,'تجربه‌گرها'!$F:$F,H$1)</f>
        <v>0</v>
      </c>
      <c r="I769" s="242">
        <f>COUNTIFS('تجربه‌گرها'!$B:$B,$A769,'تجربه‌گرها'!$F:$F,I$1)</f>
        <v>0</v>
      </c>
      <c r="J769" s="242">
        <f>COUNTIFS('تجربه‌گرها'!$B:$B,$A769,'تجربه‌گرها'!$F:$F,J$1)</f>
        <v>0</v>
      </c>
      <c r="K769" s="242">
        <f>COUNTIFS('تجربه‌گرها'!$B:$B,$A769,'تجربه‌گرها'!$F:$F,K$1)</f>
        <v>1</v>
      </c>
      <c r="L769" s="242">
        <f>COUNTIFS('تجربه‌گرها'!$B:$B,$A769,'تجربه‌گرها'!$F:$F,L$1)</f>
        <v>0</v>
      </c>
      <c r="M769" s="242">
        <f>COUNTIFS('تجربه‌گرها'!$B:$B,$A769,'تجربه‌گرها'!$F:$F,M$1)</f>
        <v>1</v>
      </c>
      <c r="N769" s="242">
        <f>COUNTIFS('تجربه‌گرها'!$B:$B,$A769,'تجربه‌گرها'!$F:$F,N$1)</f>
        <v>0</v>
      </c>
      <c r="O769" s="242">
        <f>COUNTIFS('تجربه‌گرها'!$B:$B,$A769,'تجربه‌گرها'!$F:$F,O$1)</f>
        <v>0</v>
      </c>
      <c r="P769" s="242">
        <f>COUNTIFS('تجربه‌گرها'!$B:$B,$A769,'تجربه‌گرها'!$F:$F,P$1)</f>
        <v>0</v>
      </c>
      <c r="Q769" s="242">
        <f>COUNTIFS('تجربه‌گرها'!$B:$B,$A769,'تجربه‌گرها'!$F:$F,Q$1)</f>
        <v>0</v>
      </c>
      <c r="R769" s="242">
        <f>COUNTIFS('تجربه‌گرها'!$B:$B,$A769,'تجربه‌گرها'!$F:$F,R$1)</f>
        <v>0</v>
      </c>
      <c r="S769" s="242">
        <f>COUNTIFS('تجربه‌گرها'!$B:$B,$A769,'تجربه‌گرها'!$F:$F,S$1)</f>
        <v>0</v>
      </c>
      <c r="T769" s="242">
        <f>COUNTIFS('تجربه‌گرها'!$B:$B,$A769,'تجربه‌گرها'!$F:$F,T$1)</f>
        <v>0</v>
      </c>
      <c r="U769" s="242"/>
      <c r="V769" s="242"/>
      <c r="W769" s="242"/>
      <c r="X769" s="242"/>
      <c r="Y769" s="242"/>
      <c r="Z769" s="242"/>
      <c r="AA769" s="242"/>
      <c r="AB769" s="242"/>
    </row>
    <row r="770" hidden="1">
      <c r="A770" s="244" t="s">
        <v>4606</v>
      </c>
      <c r="B770" s="245" t="str">
        <f>VLOOKUP(A770,'تجربه‌گرها'!B:C,2,FALSE())</f>
        <v>9396611376</v>
      </c>
      <c r="C770" s="242"/>
      <c r="D770" s="242">
        <f t="shared" si="1"/>
        <v>1</v>
      </c>
      <c r="E770" s="242">
        <f>COUNTIFS('تجربه‌گرها'!$B:$B,$A770,'تجربه‌گرها'!$F:$F,E$1)</f>
        <v>0</v>
      </c>
      <c r="F770" s="242">
        <f>COUNTIFS('تجربه‌گرها'!$B:$B,$A770,'تجربه‌گرها'!$F:$F,F$1)</f>
        <v>0</v>
      </c>
      <c r="G770" s="242">
        <f>COUNTIFS('تجربه‌گرها'!$B:$B,$A770,'تجربه‌گرها'!$F:$F,G$1)</f>
        <v>0</v>
      </c>
      <c r="H770" s="242">
        <f>COUNTIFS('تجربه‌گرها'!$B:$B,$A770,'تجربه‌گرها'!$F:$F,H$1)</f>
        <v>0</v>
      </c>
      <c r="I770" s="242">
        <f>COUNTIFS('تجربه‌گرها'!$B:$B,$A770,'تجربه‌گرها'!$F:$F,I$1)</f>
        <v>0</v>
      </c>
      <c r="J770" s="242">
        <f>COUNTIFS('تجربه‌گرها'!$B:$B,$A770,'تجربه‌گرها'!$F:$F,J$1)</f>
        <v>0</v>
      </c>
      <c r="K770" s="242">
        <f>COUNTIFS('تجربه‌گرها'!$B:$B,$A770,'تجربه‌گرها'!$F:$F,K$1)</f>
        <v>1</v>
      </c>
      <c r="L770" s="242">
        <f>COUNTIFS('تجربه‌گرها'!$B:$B,$A770,'تجربه‌گرها'!$F:$F,L$1)</f>
        <v>0</v>
      </c>
      <c r="M770" s="242">
        <f>COUNTIFS('تجربه‌گرها'!$B:$B,$A770,'تجربه‌گرها'!$F:$F,M$1)</f>
        <v>0</v>
      </c>
      <c r="N770" s="242">
        <f>COUNTIFS('تجربه‌گرها'!$B:$B,$A770,'تجربه‌گرها'!$F:$F,N$1)</f>
        <v>0</v>
      </c>
      <c r="O770" s="242">
        <f>COUNTIFS('تجربه‌گرها'!$B:$B,$A770,'تجربه‌گرها'!$F:$F,O$1)</f>
        <v>0</v>
      </c>
      <c r="P770" s="242">
        <f>COUNTIFS('تجربه‌گرها'!$B:$B,$A770,'تجربه‌گرها'!$F:$F,P$1)</f>
        <v>0</v>
      </c>
      <c r="Q770" s="242">
        <f>COUNTIFS('تجربه‌گرها'!$B:$B,$A770,'تجربه‌گرها'!$F:$F,Q$1)</f>
        <v>0</v>
      </c>
      <c r="R770" s="242">
        <f>COUNTIFS('تجربه‌گرها'!$B:$B,$A770,'تجربه‌گرها'!$F:$F,R$1)</f>
        <v>0</v>
      </c>
      <c r="S770" s="242">
        <f>COUNTIFS('تجربه‌گرها'!$B:$B,$A770,'تجربه‌گرها'!$F:$F,S$1)</f>
        <v>0</v>
      </c>
      <c r="T770" s="242">
        <f>COUNTIFS('تجربه‌گرها'!$B:$B,$A770,'تجربه‌گرها'!$F:$F,T$1)</f>
        <v>0</v>
      </c>
      <c r="U770" s="242"/>
      <c r="V770" s="242"/>
      <c r="W770" s="242"/>
      <c r="X770" s="242"/>
      <c r="Y770" s="242"/>
      <c r="Z770" s="242"/>
      <c r="AA770" s="242"/>
      <c r="AB770" s="242"/>
    </row>
    <row r="771" hidden="1">
      <c r="A771" s="244" t="s">
        <v>2264</v>
      </c>
      <c r="B771" s="245" t="str">
        <f>VLOOKUP(A771,'تجربه‌گرها'!B:C,2,FALSE())</f>
        <v>9125918452</v>
      </c>
      <c r="C771" s="242"/>
      <c r="D771" s="242">
        <f t="shared" si="1"/>
        <v>1</v>
      </c>
      <c r="E771" s="242">
        <f>COUNTIFS('تجربه‌گرها'!$B:$B,$A771,'تجربه‌گرها'!$F:$F,E$1)</f>
        <v>0</v>
      </c>
      <c r="F771" s="242">
        <f>COUNTIFS('تجربه‌گرها'!$B:$B,$A771,'تجربه‌گرها'!$F:$F,F$1)</f>
        <v>0</v>
      </c>
      <c r="G771" s="242">
        <f>COUNTIFS('تجربه‌گرها'!$B:$B,$A771,'تجربه‌گرها'!$F:$F,G$1)</f>
        <v>0</v>
      </c>
      <c r="H771" s="242">
        <f>COUNTIFS('تجربه‌گرها'!$B:$B,$A771,'تجربه‌گرها'!$F:$F,H$1)</f>
        <v>0</v>
      </c>
      <c r="I771" s="242">
        <f>COUNTIFS('تجربه‌گرها'!$B:$B,$A771,'تجربه‌گرها'!$F:$F,I$1)</f>
        <v>0</v>
      </c>
      <c r="J771" s="242">
        <f>COUNTIFS('تجربه‌گرها'!$B:$B,$A771,'تجربه‌گرها'!$F:$F,J$1)</f>
        <v>0</v>
      </c>
      <c r="K771" s="242">
        <f>COUNTIFS('تجربه‌گرها'!$B:$B,$A771,'تجربه‌گرها'!$F:$F,K$1)</f>
        <v>1</v>
      </c>
      <c r="L771" s="242">
        <f>COUNTIFS('تجربه‌گرها'!$B:$B,$A771,'تجربه‌گرها'!$F:$F,L$1)</f>
        <v>0</v>
      </c>
      <c r="M771" s="242">
        <f>COUNTIFS('تجربه‌گرها'!$B:$B,$A771,'تجربه‌گرها'!$F:$F,M$1)</f>
        <v>0</v>
      </c>
      <c r="N771" s="242">
        <f>COUNTIFS('تجربه‌گرها'!$B:$B,$A771,'تجربه‌گرها'!$F:$F,N$1)</f>
        <v>0</v>
      </c>
      <c r="O771" s="242">
        <f>COUNTIFS('تجربه‌گرها'!$B:$B,$A771,'تجربه‌گرها'!$F:$F,O$1)</f>
        <v>0</v>
      </c>
      <c r="P771" s="242">
        <f>COUNTIFS('تجربه‌گرها'!$B:$B,$A771,'تجربه‌گرها'!$F:$F,P$1)</f>
        <v>0</v>
      </c>
      <c r="Q771" s="242">
        <f>COUNTIFS('تجربه‌گرها'!$B:$B,$A771,'تجربه‌گرها'!$F:$F,Q$1)</f>
        <v>0</v>
      </c>
      <c r="R771" s="242">
        <f>COUNTIFS('تجربه‌گرها'!$B:$B,$A771,'تجربه‌گرها'!$F:$F,R$1)</f>
        <v>0</v>
      </c>
      <c r="S771" s="242">
        <f>COUNTIFS('تجربه‌گرها'!$B:$B,$A771,'تجربه‌گرها'!$F:$F,S$1)</f>
        <v>0</v>
      </c>
      <c r="T771" s="242">
        <f>COUNTIFS('تجربه‌گرها'!$B:$B,$A771,'تجربه‌گرها'!$F:$F,T$1)</f>
        <v>0</v>
      </c>
      <c r="U771" s="242"/>
      <c r="V771" s="242"/>
      <c r="W771" s="242"/>
      <c r="X771" s="242"/>
      <c r="Y771" s="242"/>
      <c r="Z771" s="242"/>
      <c r="AA771" s="242"/>
      <c r="AB771" s="242"/>
    </row>
    <row r="772" hidden="1">
      <c r="A772" s="244" t="s">
        <v>4613</v>
      </c>
      <c r="B772" s="245" t="str">
        <f>VLOOKUP(A772,'تجربه‌گرها'!B:C,2,FALSE())</f>
        <v>9128207202</v>
      </c>
      <c r="C772" s="242"/>
      <c r="D772" s="242">
        <f t="shared" si="1"/>
        <v>1</v>
      </c>
      <c r="E772" s="242">
        <f>COUNTIFS('تجربه‌گرها'!$B:$B,$A772,'تجربه‌گرها'!$F:$F,E$1)</f>
        <v>0</v>
      </c>
      <c r="F772" s="242">
        <f>COUNTIFS('تجربه‌گرها'!$B:$B,$A772,'تجربه‌گرها'!$F:$F,F$1)</f>
        <v>0</v>
      </c>
      <c r="G772" s="242">
        <f>COUNTIFS('تجربه‌گرها'!$B:$B,$A772,'تجربه‌گرها'!$F:$F,G$1)</f>
        <v>0</v>
      </c>
      <c r="H772" s="242">
        <f>COUNTIFS('تجربه‌گرها'!$B:$B,$A772,'تجربه‌گرها'!$F:$F,H$1)</f>
        <v>0</v>
      </c>
      <c r="I772" s="242">
        <f>COUNTIFS('تجربه‌گرها'!$B:$B,$A772,'تجربه‌گرها'!$F:$F,I$1)</f>
        <v>0</v>
      </c>
      <c r="J772" s="242">
        <f>COUNTIFS('تجربه‌گرها'!$B:$B,$A772,'تجربه‌گرها'!$F:$F,J$1)</f>
        <v>0</v>
      </c>
      <c r="K772" s="242">
        <f>COUNTIFS('تجربه‌گرها'!$B:$B,$A772,'تجربه‌گرها'!$F:$F,K$1)</f>
        <v>1</v>
      </c>
      <c r="L772" s="242">
        <f>COUNTIFS('تجربه‌گرها'!$B:$B,$A772,'تجربه‌گرها'!$F:$F,L$1)</f>
        <v>0</v>
      </c>
      <c r="M772" s="242">
        <f>COUNTIFS('تجربه‌گرها'!$B:$B,$A772,'تجربه‌گرها'!$F:$F,M$1)</f>
        <v>0</v>
      </c>
      <c r="N772" s="242">
        <f>COUNTIFS('تجربه‌گرها'!$B:$B,$A772,'تجربه‌گرها'!$F:$F,N$1)</f>
        <v>0</v>
      </c>
      <c r="O772" s="242">
        <f>COUNTIFS('تجربه‌گرها'!$B:$B,$A772,'تجربه‌گرها'!$F:$F,O$1)</f>
        <v>0</v>
      </c>
      <c r="P772" s="242">
        <f>COUNTIFS('تجربه‌گرها'!$B:$B,$A772,'تجربه‌گرها'!$F:$F,P$1)</f>
        <v>0</v>
      </c>
      <c r="Q772" s="242">
        <f>COUNTIFS('تجربه‌گرها'!$B:$B,$A772,'تجربه‌گرها'!$F:$F,Q$1)</f>
        <v>0</v>
      </c>
      <c r="R772" s="242">
        <f>COUNTIFS('تجربه‌گرها'!$B:$B,$A772,'تجربه‌گرها'!$F:$F,R$1)</f>
        <v>0</v>
      </c>
      <c r="S772" s="242">
        <f>COUNTIFS('تجربه‌گرها'!$B:$B,$A772,'تجربه‌گرها'!$F:$F,S$1)</f>
        <v>0</v>
      </c>
      <c r="T772" s="242">
        <f>COUNTIFS('تجربه‌گرها'!$B:$B,$A772,'تجربه‌گرها'!$F:$F,T$1)</f>
        <v>0</v>
      </c>
      <c r="U772" s="242"/>
      <c r="V772" s="242"/>
      <c r="W772" s="242"/>
      <c r="X772" s="242"/>
      <c r="Y772" s="242"/>
      <c r="Z772" s="242"/>
      <c r="AA772" s="242"/>
      <c r="AB772" s="242"/>
    </row>
    <row r="773" hidden="1">
      <c r="A773" s="244" t="s">
        <v>4617</v>
      </c>
      <c r="B773" s="245" t="str">
        <f>VLOOKUP(A773,'تجربه‌گرها'!B:C,2,FALSE())</f>
        <v>9114229399</v>
      </c>
      <c r="C773" s="242"/>
      <c r="D773" s="242">
        <f t="shared" si="1"/>
        <v>1</v>
      </c>
      <c r="E773" s="242">
        <f>COUNTIFS('تجربه‌گرها'!$B:$B,$A773,'تجربه‌گرها'!$F:$F,E$1)</f>
        <v>0</v>
      </c>
      <c r="F773" s="242">
        <f>COUNTIFS('تجربه‌گرها'!$B:$B,$A773,'تجربه‌گرها'!$F:$F,F$1)</f>
        <v>0</v>
      </c>
      <c r="G773" s="242">
        <f>COUNTIFS('تجربه‌گرها'!$B:$B,$A773,'تجربه‌گرها'!$F:$F,G$1)</f>
        <v>0</v>
      </c>
      <c r="H773" s="242">
        <f>COUNTIFS('تجربه‌گرها'!$B:$B,$A773,'تجربه‌گرها'!$F:$F,H$1)</f>
        <v>0</v>
      </c>
      <c r="I773" s="242">
        <f>COUNTIFS('تجربه‌گرها'!$B:$B,$A773,'تجربه‌گرها'!$F:$F,I$1)</f>
        <v>0</v>
      </c>
      <c r="J773" s="242">
        <f>COUNTIFS('تجربه‌گرها'!$B:$B,$A773,'تجربه‌گرها'!$F:$F,J$1)</f>
        <v>0</v>
      </c>
      <c r="K773" s="242">
        <f>COUNTIFS('تجربه‌گرها'!$B:$B,$A773,'تجربه‌گرها'!$F:$F,K$1)</f>
        <v>1</v>
      </c>
      <c r="L773" s="242">
        <f>COUNTIFS('تجربه‌گرها'!$B:$B,$A773,'تجربه‌گرها'!$F:$F,L$1)</f>
        <v>0</v>
      </c>
      <c r="M773" s="242">
        <f>COUNTIFS('تجربه‌گرها'!$B:$B,$A773,'تجربه‌گرها'!$F:$F,M$1)</f>
        <v>0</v>
      </c>
      <c r="N773" s="242">
        <f>COUNTIFS('تجربه‌گرها'!$B:$B,$A773,'تجربه‌گرها'!$F:$F,N$1)</f>
        <v>0</v>
      </c>
      <c r="O773" s="242">
        <f>COUNTIFS('تجربه‌گرها'!$B:$B,$A773,'تجربه‌گرها'!$F:$F,O$1)</f>
        <v>0</v>
      </c>
      <c r="P773" s="242">
        <f>COUNTIFS('تجربه‌گرها'!$B:$B,$A773,'تجربه‌گرها'!$F:$F,P$1)</f>
        <v>0</v>
      </c>
      <c r="Q773" s="242">
        <f>COUNTIFS('تجربه‌گرها'!$B:$B,$A773,'تجربه‌گرها'!$F:$F,Q$1)</f>
        <v>0</v>
      </c>
      <c r="R773" s="242">
        <f>COUNTIFS('تجربه‌گرها'!$B:$B,$A773,'تجربه‌گرها'!$F:$F,R$1)</f>
        <v>0</v>
      </c>
      <c r="S773" s="242">
        <f>COUNTIFS('تجربه‌گرها'!$B:$B,$A773,'تجربه‌گرها'!$F:$F,S$1)</f>
        <v>0</v>
      </c>
      <c r="T773" s="242">
        <f>COUNTIFS('تجربه‌گرها'!$B:$B,$A773,'تجربه‌گرها'!$F:$F,T$1)</f>
        <v>0</v>
      </c>
      <c r="U773" s="242"/>
      <c r="V773" s="242"/>
      <c r="W773" s="242"/>
      <c r="X773" s="242"/>
      <c r="Y773" s="242"/>
      <c r="Z773" s="242"/>
      <c r="AA773" s="242"/>
      <c r="AB773" s="242"/>
    </row>
    <row r="774" hidden="1">
      <c r="A774" s="244" t="s">
        <v>198</v>
      </c>
      <c r="B774" s="245" t="str">
        <f>VLOOKUP(A774,'تجربه‌گرها'!B:C,2,FALSE())</f>
        <v>9369818060</v>
      </c>
      <c r="C774" s="242"/>
      <c r="D774" s="242">
        <f t="shared" si="1"/>
        <v>2</v>
      </c>
      <c r="E774" s="242">
        <f>COUNTIFS('تجربه‌گرها'!$B:$B,$A774,'تجربه‌گرها'!$F:$F,E$1)</f>
        <v>0</v>
      </c>
      <c r="F774" s="242">
        <f>COUNTIFS('تجربه‌گرها'!$B:$B,$A774,'تجربه‌گرها'!$F:$F,F$1)</f>
        <v>0</v>
      </c>
      <c r="G774" s="242">
        <f>COUNTIFS('تجربه‌گرها'!$B:$B,$A774,'تجربه‌گرها'!$F:$F,G$1)</f>
        <v>0</v>
      </c>
      <c r="H774" s="242">
        <f>COUNTIFS('تجربه‌گرها'!$B:$B,$A774,'تجربه‌گرها'!$F:$F,H$1)</f>
        <v>0</v>
      </c>
      <c r="I774" s="242">
        <f>COUNTIFS('تجربه‌گرها'!$B:$B,$A774,'تجربه‌گرها'!$F:$F,I$1)</f>
        <v>0</v>
      </c>
      <c r="J774" s="242">
        <f>COUNTIFS('تجربه‌گرها'!$B:$B,$A774,'تجربه‌گرها'!$F:$F,J$1)</f>
        <v>0</v>
      </c>
      <c r="K774" s="242">
        <f>COUNTIFS('تجربه‌گرها'!$B:$B,$A774,'تجربه‌گرها'!$F:$F,K$1)</f>
        <v>1</v>
      </c>
      <c r="L774" s="242">
        <f>COUNTIFS('تجربه‌گرها'!$B:$B,$A774,'تجربه‌گرها'!$F:$F,L$1)</f>
        <v>0</v>
      </c>
      <c r="M774" s="242">
        <f>COUNTIFS('تجربه‌گرها'!$B:$B,$A774,'تجربه‌گرها'!$F:$F,M$1)</f>
        <v>0</v>
      </c>
      <c r="N774" s="242">
        <f>COUNTIFS('تجربه‌گرها'!$B:$B,$A774,'تجربه‌گرها'!$F:$F,N$1)</f>
        <v>1</v>
      </c>
      <c r="O774" s="242">
        <f>COUNTIFS('تجربه‌گرها'!$B:$B,$A774,'تجربه‌گرها'!$F:$F,O$1)</f>
        <v>0</v>
      </c>
      <c r="P774" s="242">
        <f>COUNTIFS('تجربه‌گرها'!$B:$B,$A774,'تجربه‌گرها'!$F:$F,P$1)</f>
        <v>0</v>
      </c>
      <c r="Q774" s="242">
        <f>COUNTIFS('تجربه‌گرها'!$B:$B,$A774,'تجربه‌گرها'!$F:$F,Q$1)</f>
        <v>0</v>
      </c>
      <c r="R774" s="242">
        <f>COUNTIFS('تجربه‌گرها'!$B:$B,$A774,'تجربه‌گرها'!$F:$F,R$1)</f>
        <v>0</v>
      </c>
      <c r="S774" s="242">
        <f>COUNTIFS('تجربه‌گرها'!$B:$B,$A774,'تجربه‌گرها'!$F:$F,S$1)</f>
        <v>0</v>
      </c>
      <c r="T774" s="242">
        <f>COUNTIFS('تجربه‌گرها'!$B:$B,$A774,'تجربه‌گرها'!$F:$F,T$1)</f>
        <v>0</v>
      </c>
      <c r="U774" s="242"/>
      <c r="V774" s="242"/>
      <c r="W774" s="242"/>
      <c r="X774" s="242"/>
      <c r="Y774" s="242"/>
      <c r="Z774" s="242"/>
      <c r="AA774" s="242"/>
      <c r="AB774" s="242"/>
    </row>
    <row r="775" hidden="1">
      <c r="A775" s="244" t="s">
        <v>4626</v>
      </c>
      <c r="B775" s="245" t="str">
        <f>VLOOKUP(A775,'تجربه‌گرها'!B:C,2,FALSE())</f>
        <v>9122342515</v>
      </c>
      <c r="C775" s="242"/>
      <c r="D775" s="242">
        <f t="shared" si="1"/>
        <v>1</v>
      </c>
      <c r="E775" s="242">
        <f>COUNTIFS('تجربه‌گرها'!$B:$B,$A775,'تجربه‌گرها'!$F:$F,E$1)</f>
        <v>0</v>
      </c>
      <c r="F775" s="242">
        <f>COUNTIFS('تجربه‌گرها'!$B:$B,$A775,'تجربه‌گرها'!$F:$F,F$1)</f>
        <v>0</v>
      </c>
      <c r="G775" s="242">
        <f>COUNTIFS('تجربه‌گرها'!$B:$B,$A775,'تجربه‌گرها'!$F:$F,G$1)</f>
        <v>0</v>
      </c>
      <c r="H775" s="242">
        <f>COUNTIFS('تجربه‌گرها'!$B:$B,$A775,'تجربه‌گرها'!$F:$F,H$1)</f>
        <v>0</v>
      </c>
      <c r="I775" s="242">
        <f>COUNTIFS('تجربه‌گرها'!$B:$B,$A775,'تجربه‌گرها'!$F:$F,I$1)</f>
        <v>0</v>
      </c>
      <c r="J775" s="242">
        <f>COUNTIFS('تجربه‌گرها'!$B:$B,$A775,'تجربه‌گرها'!$F:$F,J$1)</f>
        <v>0</v>
      </c>
      <c r="K775" s="242">
        <f>COUNTIFS('تجربه‌گرها'!$B:$B,$A775,'تجربه‌گرها'!$F:$F,K$1)</f>
        <v>1</v>
      </c>
      <c r="L775" s="242">
        <f>COUNTIFS('تجربه‌گرها'!$B:$B,$A775,'تجربه‌گرها'!$F:$F,L$1)</f>
        <v>0</v>
      </c>
      <c r="M775" s="242">
        <f>COUNTIFS('تجربه‌گرها'!$B:$B,$A775,'تجربه‌گرها'!$F:$F,M$1)</f>
        <v>0</v>
      </c>
      <c r="N775" s="242">
        <f>COUNTIFS('تجربه‌گرها'!$B:$B,$A775,'تجربه‌گرها'!$F:$F,N$1)</f>
        <v>0</v>
      </c>
      <c r="O775" s="242">
        <f>COUNTIFS('تجربه‌گرها'!$B:$B,$A775,'تجربه‌گرها'!$F:$F,O$1)</f>
        <v>0</v>
      </c>
      <c r="P775" s="242">
        <f>COUNTIFS('تجربه‌گرها'!$B:$B,$A775,'تجربه‌گرها'!$F:$F,P$1)</f>
        <v>0</v>
      </c>
      <c r="Q775" s="242">
        <f>COUNTIFS('تجربه‌گرها'!$B:$B,$A775,'تجربه‌گرها'!$F:$F,Q$1)</f>
        <v>0</v>
      </c>
      <c r="R775" s="242">
        <f>COUNTIFS('تجربه‌گرها'!$B:$B,$A775,'تجربه‌گرها'!$F:$F,R$1)</f>
        <v>0</v>
      </c>
      <c r="S775" s="242">
        <f>COUNTIFS('تجربه‌گرها'!$B:$B,$A775,'تجربه‌گرها'!$F:$F,S$1)</f>
        <v>0</v>
      </c>
      <c r="T775" s="242">
        <f>COUNTIFS('تجربه‌گرها'!$B:$B,$A775,'تجربه‌گرها'!$F:$F,T$1)</f>
        <v>0</v>
      </c>
      <c r="U775" s="242"/>
      <c r="V775" s="242"/>
      <c r="W775" s="242"/>
      <c r="X775" s="242"/>
      <c r="Y775" s="242"/>
      <c r="Z775" s="242"/>
      <c r="AA775" s="242"/>
      <c r="AB775" s="242"/>
    </row>
    <row r="776">
      <c r="A776" s="244" t="s">
        <v>4631</v>
      </c>
      <c r="B776" s="245" t="str">
        <f>VLOOKUP(A776,'تجربه‌گرها'!B:C,2,FALSE())</f>
        <v>9122342515</v>
      </c>
      <c r="C776" s="242"/>
      <c r="D776" s="242">
        <f t="shared" si="1"/>
        <v>1</v>
      </c>
      <c r="E776" s="242">
        <f>COUNTIFS('تجربه‌گرها'!$B:$B,$A776,'تجربه‌گرها'!$F:$F,E$1)</f>
        <v>0</v>
      </c>
      <c r="F776" s="242">
        <f>COUNTIFS('تجربه‌گرها'!$B:$B,$A776,'تجربه‌گرها'!$F:$F,F$1)</f>
        <v>0</v>
      </c>
      <c r="G776" s="242">
        <f>COUNTIFS('تجربه‌گرها'!$B:$B,$A776,'تجربه‌گرها'!$F:$F,G$1)</f>
        <v>0</v>
      </c>
      <c r="H776" s="242">
        <f>COUNTIFS('تجربه‌گرها'!$B:$B,$A776,'تجربه‌گرها'!$F:$F,H$1)</f>
        <v>0</v>
      </c>
      <c r="I776" s="242">
        <f>COUNTIFS('تجربه‌گرها'!$B:$B,$A776,'تجربه‌گرها'!$F:$F,I$1)</f>
        <v>0</v>
      </c>
      <c r="J776" s="242">
        <f>COUNTIFS('تجربه‌گرها'!$B:$B,$A776,'تجربه‌گرها'!$F:$F,J$1)</f>
        <v>0</v>
      </c>
      <c r="K776" s="242">
        <f>COUNTIFS('تجربه‌گرها'!$B:$B,$A776,'تجربه‌گرها'!$F:$F,K$1)</f>
        <v>1</v>
      </c>
      <c r="L776" s="242">
        <f>COUNTIFS('تجربه‌گرها'!$B:$B,$A776,'تجربه‌گرها'!$F:$F,L$1)</f>
        <v>0</v>
      </c>
      <c r="M776" s="242">
        <f>COUNTIFS('تجربه‌گرها'!$B:$B,$A776,'تجربه‌گرها'!$F:$F,M$1)</f>
        <v>0</v>
      </c>
      <c r="N776" s="242">
        <f>COUNTIFS('تجربه‌گرها'!$B:$B,$A776,'تجربه‌گرها'!$F:$F,N$1)</f>
        <v>0</v>
      </c>
      <c r="O776" s="242">
        <f>COUNTIFS('تجربه‌گرها'!$B:$B,$A776,'تجربه‌گرها'!$F:$F,O$1)</f>
        <v>0</v>
      </c>
      <c r="P776" s="242">
        <f>COUNTIFS('تجربه‌گرها'!$B:$B,$A776,'تجربه‌گرها'!$F:$F,P$1)</f>
        <v>0</v>
      </c>
      <c r="Q776" s="242">
        <f>COUNTIFS('تجربه‌گرها'!$B:$B,$A776,'تجربه‌گرها'!$F:$F,Q$1)</f>
        <v>0</v>
      </c>
      <c r="R776" s="242">
        <f>COUNTIFS('تجربه‌گرها'!$B:$B,$A776,'تجربه‌گرها'!$F:$F,R$1)</f>
        <v>0</v>
      </c>
      <c r="S776" s="242">
        <f>COUNTIFS('تجربه‌گرها'!$B:$B,$A776,'تجربه‌گرها'!$F:$F,S$1)</f>
        <v>0</v>
      </c>
      <c r="T776" s="242">
        <f>COUNTIFS('تجربه‌گرها'!$B:$B,$A776,'تجربه‌گرها'!$F:$F,T$1)</f>
        <v>0</v>
      </c>
      <c r="U776" s="242"/>
      <c r="V776" s="242"/>
      <c r="W776" s="242"/>
      <c r="X776" s="242"/>
      <c r="Y776" s="242"/>
      <c r="Z776" s="242"/>
      <c r="AA776" s="242"/>
      <c r="AB776" s="242"/>
    </row>
    <row r="777" hidden="1">
      <c r="A777" s="244" t="s">
        <v>4634</v>
      </c>
      <c r="B777" s="245" t="str">
        <f>VLOOKUP(A777,'تجربه‌گرها'!B:C,2,FALSE())</f>
        <v>9370556209</v>
      </c>
      <c r="C777" s="242"/>
      <c r="D777" s="242">
        <f t="shared" si="1"/>
        <v>1</v>
      </c>
      <c r="E777" s="242">
        <f>COUNTIFS('تجربه‌گرها'!$B:$B,$A777,'تجربه‌گرها'!$F:$F,E$1)</f>
        <v>0</v>
      </c>
      <c r="F777" s="242">
        <f>COUNTIFS('تجربه‌گرها'!$B:$B,$A777,'تجربه‌گرها'!$F:$F,F$1)</f>
        <v>0</v>
      </c>
      <c r="G777" s="242">
        <f>COUNTIFS('تجربه‌گرها'!$B:$B,$A777,'تجربه‌گرها'!$F:$F,G$1)</f>
        <v>0</v>
      </c>
      <c r="H777" s="242">
        <f>COUNTIFS('تجربه‌گرها'!$B:$B,$A777,'تجربه‌گرها'!$F:$F,H$1)</f>
        <v>0</v>
      </c>
      <c r="I777" s="242">
        <f>COUNTIFS('تجربه‌گرها'!$B:$B,$A777,'تجربه‌گرها'!$F:$F,I$1)</f>
        <v>0</v>
      </c>
      <c r="J777" s="242">
        <f>COUNTIFS('تجربه‌گرها'!$B:$B,$A777,'تجربه‌گرها'!$F:$F,J$1)</f>
        <v>0</v>
      </c>
      <c r="K777" s="242">
        <f>COUNTIFS('تجربه‌گرها'!$B:$B,$A777,'تجربه‌گرها'!$F:$F,K$1)</f>
        <v>1</v>
      </c>
      <c r="L777" s="242">
        <f>COUNTIFS('تجربه‌گرها'!$B:$B,$A777,'تجربه‌گرها'!$F:$F,L$1)</f>
        <v>0</v>
      </c>
      <c r="M777" s="242">
        <f>COUNTIFS('تجربه‌گرها'!$B:$B,$A777,'تجربه‌گرها'!$F:$F,M$1)</f>
        <v>0</v>
      </c>
      <c r="N777" s="242">
        <f>COUNTIFS('تجربه‌گرها'!$B:$B,$A777,'تجربه‌گرها'!$F:$F,N$1)</f>
        <v>0</v>
      </c>
      <c r="O777" s="242">
        <f>COUNTIFS('تجربه‌گرها'!$B:$B,$A777,'تجربه‌گرها'!$F:$F,O$1)</f>
        <v>0</v>
      </c>
      <c r="P777" s="242">
        <f>COUNTIFS('تجربه‌گرها'!$B:$B,$A777,'تجربه‌گرها'!$F:$F,P$1)</f>
        <v>0</v>
      </c>
      <c r="Q777" s="242">
        <f>COUNTIFS('تجربه‌گرها'!$B:$B,$A777,'تجربه‌گرها'!$F:$F,Q$1)</f>
        <v>0</v>
      </c>
      <c r="R777" s="242">
        <f>COUNTIFS('تجربه‌گرها'!$B:$B,$A777,'تجربه‌گرها'!$F:$F,R$1)</f>
        <v>0</v>
      </c>
      <c r="S777" s="242">
        <f>COUNTIFS('تجربه‌گرها'!$B:$B,$A777,'تجربه‌گرها'!$F:$F,S$1)</f>
        <v>0</v>
      </c>
      <c r="T777" s="242">
        <f>COUNTIFS('تجربه‌گرها'!$B:$B,$A777,'تجربه‌گرها'!$F:$F,T$1)</f>
        <v>0</v>
      </c>
      <c r="U777" s="242"/>
      <c r="V777" s="242"/>
      <c r="W777" s="242"/>
      <c r="X777" s="242"/>
      <c r="Y777" s="242"/>
      <c r="Z777" s="242"/>
      <c r="AA777" s="242"/>
      <c r="AB777" s="242"/>
    </row>
    <row r="778" hidden="1">
      <c r="A778" s="244" t="s">
        <v>4639</v>
      </c>
      <c r="B778" s="245" t="str">
        <f>VLOOKUP(A778,'تجربه‌گرها'!B:C,2,FALSE())</f>
        <v>9123271332</v>
      </c>
      <c r="C778" s="242"/>
      <c r="D778" s="242">
        <f t="shared" si="1"/>
        <v>1</v>
      </c>
      <c r="E778" s="242">
        <f>COUNTIFS('تجربه‌گرها'!$B:$B,$A778,'تجربه‌گرها'!$F:$F,E$1)</f>
        <v>0</v>
      </c>
      <c r="F778" s="242">
        <f>COUNTIFS('تجربه‌گرها'!$B:$B,$A778,'تجربه‌گرها'!$F:$F,F$1)</f>
        <v>0</v>
      </c>
      <c r="G778" s="242">
        <f>COUNTIFS('تجربه‌گرها'!$B:$B,$A778,'تجربه‌گرها'!$F:$F,G$1)</f>
        <v>0</v>
      </c>
      <c r="H778" s="242">
        <f>COUNTIFS('تجربه‌گرها'!$B:$B,$A778,'تجربه‌گرها'!$F:$F,H$1)</f>
        <v>0</v>
      </c>
      <c r="I778" s="242">
        <f>COUNTIFS('تجربه‌گرها'!$B:$B,$A778,'تجربه‌گرها'!$F:$F,I$1)</f>
        <v>0</v>
      </c>
      <c r="J778" s="242">
        <f>COUNTIFS('تجربه‌گرها'!$B:$B,$A778,'تجربه‌گرها'!$F:$F,J$1)</f>
        <v>0</v>
      </c>
      <c r="K778" s="242">
        <f>COUNTIFS('تجربه‌گرها'!$B:$B,$A778,'تجربه‌گرها'!$F:$F,K$1)</f>
        <v>1</v>
      </c>
      <c r="L778" s="242">
        <f>COUNTIFS('تجربه‌گرها'!$B:$B,$A778,'تجربه‌گرها'!$F:$F,L$1)</f>
        <v>0</v>
      </c>
      <c r="M778" s="242">
        <f>COUNTIFS('تجربه‌گرها'!$B:$B,$A778,'تجربه‌گرها'!$F:$F,M$1)</f>
        <v>0</v>
      </c>
      <c r="N778" s="242">
        <f>COUNTIFS('تجربه‌گرها'!$B:$B,$A778,'تجربه‌گرها'!$F:$F,N$1)</f>
        <v>0</v>
      </c>
      <c r="O778" s="242">
        <f>COUNTIFS('تجربه‌گرها'!$B:$B,$A778,'تجربه‌گرها'!$F:$F,O$1)</f>
        <v>0</v>
      </c>
      <c r="P778" s="242">
        <f>COUNTIFS('تجربه‌گرها'!$B:$B,$A778,'تجربه‌گرها'!$F:$F,P$1)</f>
        <v>0</v>
      </c>
      <c r="Q778" s="242">
        <f>COUNTIFS('تجربه‌گرها'!$B:$B,$A778,'تجربه‌گرها'!$F:$F,Q$1)</f>
        <v>0</v>
      </c>
      <c r="R778" s="242">
        <f>COUNTIFS('تجربه‌گرها'!$B:$B,$A778,'تجربه‌گرها'!$F:$F,R$1)</f>
        <v>0</v>
      </c>
      <c r="S778" s="242">
        <f>COUNTIFS('تجربه‌گرها'!$B:$B,$A778,'تجربه‌گرها'!$F:$F,S$1)</f>
        <v>0</v>
      </c>
      <c r="T778" s="242">
        <f>COUNTIFS('تجربه‌گرها'!$B:$B,$A778,'تجربه‌گرها'!$F:$F,T$1)</f>
        <v>0</v>
      </c>
      <c r="U778" s="242"/>
      <c r="V778" s="242"/>
      <c r="W778" s="242"/>
      <c r="X778" s="242"/>
      <c r="Y778" s="242"/>
      <c r="Z778" s="242"/>
      <c r="AA778" s="242"/>
      <c r="AB778" s="242"/>
    </row>
    <row r="779" hidden="1">
      <c r="A779" s="244" t="s">
        <v>1504</v>
      </c>
      <c r="B779" s="245" t="str">
        <f>VLOOKUP(A779,'تجربه‌گرها'!B:C,2,FALSE())</f>
        <v>9141039656</v>
      </c>
      <c r="C779" s="242"/>
      <c r="D779" s="242">
        <f t="shared" si="1"/>
        <v>1</v>
      </c>
      <c r="E779" s="242">
        <f>COUNTIFS('تجربه‌گرها'!$B:$B,$A779,'تجربه‌گرها'!$F:$F,E$1)</f>
        <v>0</v>
      </c>
      <c r="F779" s="242">
        <f>COUNTIFS('تجربه‌گرها'!$B:$B,$A779,'تجربه‌گرها'!$F:$F,F$1)</f>
        <v>0</v>
      </c>
      <c r="G779" s="242">
        <f>COUNTIFS('تجربه‌گرها'!$B:$B,$A779,'تجربه‌گرها'!$F:$F,G$1)</f>
        <v>0</v>
      </c>
      <c r="H779" s="242">
        <f>COUNTIFS('تجربه‌گرها'!$B:$B,$A779,'تجربه‌گرها'!$F:$F,H$1)</f>
        <v>0</v>
      </c>
      <c r="I779" s="242">
        <f>COUNTIFS('تجربه‌گرها'!$B:$B,$A779,'تجربه‌گرها'!$F:$F,I$1)</f>
        <v>0</v>
      </c>
      <c r="J779" s="242">
        <f>COUNTIFS('تجربه‌گرها'!$B:$B,$A779,'تجربه‌گرها'!$F:$F,J$1)</f>
        <v>0</v>
      </c>
      <c r="K779" s="242">
        <f>COUNTIFS('تجربه‌گرها'!$B:$B,$A779,'تجربه‌گرها'!$F:$F,K$1)</f>
        <v>1</v>
      </c>
      <c r="L779" s="242">
        <f>COUNTIFS('تجربه‌گرها'!$B:$B,$A779,'تجربه‌گرها'!$F:$F,L$1)</f>
        <v>0</v>
      </c>
      <c r="M779" s="242">
        <f>COUNTIFS('تجربه‌گرها'!$B:$B,$A779,'تجربه‌گرها'!$F:$F,M$1)</f>
        <v>0</v>
      </c>
      <c r="N779" s="242">
        <f>COUNTIFS('تجربه‌گرها'!$B:$B,$A779,'تجربه‌گرها'!$F:$F,N$1)</f>
        <v>0</v>
      </c>
      <c r="O779" s="242">
        <f>COUNTIFS('تجربه‌گرها'!$B:$B,$A779,'تجربه‌گرها'!$F:$F,O$1)</f>
        <v>0</v>
      </c>
      <c r="P779" s="242">
        <f>COUNTIFS('تجربه‌گرها'!$B:$B,$A779,'تجربه‌گرها'!$F:$F,P$1)</f>
        <v>0</v>
      </c>
      <c r="Q779" s="242">
        <f>COUNTIFS('تجربه‌گرها'!$B:$B,$A779,'تجربه‌گرها'!$F:$F,Q$1)</f>
        <v>0</v>
      </c>
      <c r="R779" s="242">
        <f>COUNTIFS('تجربه‌گرها'!$B:$B,$A779,'تجربه‌گرها'!$F:$F,R$1)</f>
        <v>0</v>
      </c>
      <c r="S779" s="242">
        <f>COUNTIFS('تجربه‌گرها'!$B:$B,$A779,'تجربه‌گرها'!$F:$F,S$1)</f>
        <v>0</v>
      </c>
      <c r="T779" s="242">
        <f>COUNTIFS('تجربه‌گرها'!$B:$B,$A779,'تجربه‌گرها'!$F:$F,T$1)</f>
        <v>0</v>
      </c>
      <c r="U779" s="242"/>
      <c r="V779" s="242"/>
      <c r="W779" s="242"/>
      <c r="X779" s="242"/>
      <c r="Y779" s="242"/>
      <c r="Z779" s="242"/>
      <c r="AA779" s="242"/>
      <c r="AB779" s="242"/>
    </row>
    <row r="780" hidden="1">
      <c r="A780" s="244" t="s">
        <v>4646</v>
      </c>
      <c r="B780" s="245" t="str">
        <f>VLOOKUP(A780,'تجربه‌گرها'!B:C,2,FALSE())</f>
        <v>9381239399</v>
      </c>
      <c r="C780" s="242"/>
      <c r="D780" s="242">
        <f t="shared" si="1"/>
        <v>1</v>
      </c>
      <c r="E780" s="242">
        <f>COUNTIFS('تجربه‌گرها'!$B:$B,$A780,'تجربه‌گرها'!$F:$F,E$1)</f>
        <v>0</v>
      </c>
      <c r="F780" s="242">
        <f>COUNTIFS('تجربه‌گرها'!$B:$B,$A780,'تجربه‌گرها'!$F:$F,F$1)</f>
        <v>0</v>
      </c>
      <c r="G780" s="242">
        <f>COUNTIFS('تجربه‌گرها'!$B:$B,$A780,'تجربه‌گرها'!$F:$F,G$1)</f>
        <v>0</v>
      </c>
      <c r="H780" s="242">
        <f>COUNTIFS('تجربه‌گرها'!$B:$B,$A780,'تجربه‌گرها'!$F:$F,H$1)</f>
        <v>0</v>
      </c>
      <c r="I780" s="242">
        <f>COUNTIFS('تجربه‌گرها'!$B:$B,$A780,'تجربه‌گرها'!$F:$F,I$1)</f>
        <v>0</v>
      </c>
      <c r="J780" s="242">
        <f>COUNTIFS('تجربه‌گرها'!$B:$B,$A780,'تجربه‌گرها'!$F:$F,J$1)</f>
        <v>0</v>
      </c>
      <c r="K780" s="242">
        <f>COUNTIFS('تجربه‌گرها'!$B:$B,$A780,'تجربه‌گرها'!$F:$F,K$1)</f>
        <v>1</v>
      </c>
      <c r="L780" s="242">
        <f>COUNTIFS('تجربه‌گرها'!$B:$B,$A780,'تجربه‌گرها'!$F:$F,L$1)</f>
        <v>0</v>
      </c>
      <c r="M780" s="242">
        <f>COUNTIFS('تجربه‌گرها'!$B:$B,$A780,'تجربه‌گرها'!$F:$F,M$1)</f>
        <v>0</v>
      </c>
      <c r="N780" s="242">
        <f>COUNTIFS('تجربه‌گرها'!$B:$B,$A780,'تجربه‌گرها'!$F:$F,N$1)</f>
        <v>0</v>
      </c>
      <c r="O780" s="242">
        <f>COUNTIFS('تجربه‌گرها'!$B:$B,$A780,'تجربه‌گرها'!$F:$F,O$1)</f>
        <v>0</v>
      </c>
      <c r="P780" s="242">
        <f>COUNTIFS('تجربه‌گرها'!$B:$B,$A780,'تجربه‌گرها'!$F:$F,P$1)</f>
        <v>0</v>
      </c>
      <c r="Q780" s="242">
        <f>COUNTIFS('تجربه‌گرها'!$B:$B,$A780,'تجربه‌گرها'!$F:$F,Q$1)</f>
        <v>0</v>
      </c>
      <c r="R780" s="242">
        <f>COUNTIFS('تجربه‌گرها'!$B:$B,$A780,'تجربه‌گرها'!$F:$F,R$1)</f>
        <v>0</v>
      </c>
      <c r="S780" s="242">
        <f>COUNTIFS('تجربه‌گرها'!$B:$B,$A780,'تجربه‌گرها'!$F:$F,S$1)</f>
        <v>0</v>
      </c>
      <c r="T780" s="242">
        <f>COUNTIFS('تجربه‌گرها'!$B:$B,$A780,'تجربه‌گرها'!$F:$F,T$1)</f>
        <v>0</v>
      </c>
      <c r="U780" s="242"/>
      <c r="V780" s="242"/>
      <c r="W780" s="242"/>
      <c r="X780" s="242"/>
      <c r="Y780" s="242"/>
      <c r="Z780" s="242"/>
      <c r="AA780" s="242"/>
      <c r="AB780" s="242"/>
    </row>
    <row r="781">
      <c r="A781" s="244" t="s">
        <v>4653</v>
      </c>
      <c r="B781" s="245" t="str">
        <f>VLOOKUP(A781,'تجربه‌گرها'!B:C,2,FALSE())</f>
        <v>9125052440</v>
      </c>
      <c r="C781" s="242"/>
      <c r="D781" s="242">
        <f t="shared" si="1"/>
        <v>2</v>
      </c>
      <c r="E781" s="242">
        <f>COUNTIFS('تجربه‌گرها'!$B:$B,$A781,'تجربه‌گرها'!$F:$F,E$1)</f>
        <v>0</v>
      </c>
      <c r="F781" s="242">
        <f>COUNTIFS('تجربه‌گرها'!$B:$B,$A781,'تجربه‌گرها'!$F:$F,F$1)</f>
        <v>0</v>
      </c>
      <c r="G781" s="242">
        <f>COUNTIFS('تجربه‌گرها'!$B:$B,$A781,'تجربه‌گرها'!$F:$F,G$1)</f>
        <v>0</v>
      </c>
      <c r="H781" s="242">
        <f>COUNTIFS('تجربه‌گرها'!$B:$B,$A781,'تجربه‌گرها'!$F:$F,H$1)</f>
        <v>0</v>
      </c>
      <c r="I781" s="242">
        <f>COUNTIFS('تجربه‌گرها'!$B:$B,$A781,'تجربه‌گرها'!$F:$F,I$1)</f>
        <v>0</v>
      </c>
      <c r="J781" s="242">
        <f>COUNTIFS('تجربه‌گرها'!$B:$B,$A781,'تجربه‌گرها'!$F:$F,J$1)</f>
        <v>0</v>
      </c>
      <c r="K781" s="242">
        <f>COUNTIFS('تجربه‌گرها'!$B:$B,$A781,'تجربه‌گرها'!$F:$F,K$1)</f>
        <v>1</v>
      </c>
      <c r="L781" s="242">
        <f>COUNTIFS('تجربه‌گرها'!$B:$B,$A781,'تجربه‌گرها'!$F:$F,L$1)</f>
        <v>0</v>
      </c>
      <c r="M781" s="242">
        <f>COUNTIFS('تجربه‌گرها'!$B:$B,$A781,'تجربه‌گرها'!$F:$F,M$1)</f>
        <v>0</v>
      </c>
      <c r="N781" s="242">
        <f>COUNTIFS('تجربه‌گرها'!$B:$B,$A781,'تجربه‌گرها'!$F:$F,N$1)</f>
        <v>1</v>
      </c>
      <c r="O781" s="242">
        <f>COUNTIFS('تجربه‌گرها'!$B:$B,$A781,'تجربه‌گرها'!$F:$F,O$1)</f>
        <v>0</v>
      </c>
      <c r="P781" s="242">
        <f>COUNTIFS('تجربه‌گرها'!$B:$B,$A781,'تجربه‌گرها'!$F:$F,P$1)</f>
        <v>0</v>
      </c>
      <c r="Q781" s="242">
        <f>COUNTIFS('تجربه‌گرها'!$B:$B,$A781,'تجربه‌گرها'!$F:$F,Q$1)</f>
        <v>0</v>
      </c>
      <c r="R781" s="242">
        <f>COUNTIFS('تجربه‌گرها'!$B:$B,$A781,'تجربه‌گرها'!$F:$F,R$1)</f>
        <v>0</v>
      </c>
      <c r="S781" s="242">
        <f>COUNTIFS('تجربه‌گرها'!$B:$B,$A781,'تجربه‌گرها'!$F:$F,S$1)</f>
        <v>0</v>
      </c>
      <c r="T781" s="242">
        <f>COUNTIFS('تجربه‌گرها'!$B:$B,$A781,'تجربه‌گرها'!$F:$F,T$1)</f>
        <v>0</v>
      </c>
      <c r="U781" s="242"/>
      <c r="V781" s="242"/>
      <c r="W781" s="242"/>
      <c r="X781" s="242"/>
      <c r="Y781" s="242"/>
      <c r="Z781" s="242"/>
      <c r="AA781" s="242"/>
      <c r="AB781" s="242"/>
    </row>
    <row r="782" hidden="1">
      <c r="A782" s="244" t="s">
        <v>4655</v>
      </c>
      <c r="B782" s="245" t="str">
        <f>VLOOKUP(A782,'تجربه‌گرها'!B:C,2,FALSE())</f>
        <v>9124435853</v>
      </c>
      <c r="C782" s="242"/>
      <c r="D782" s="242">
        <f t="shared" si="1"/>
        <v>1</v>
      </c>
      <c r="E782" s="242">
        <f>COUNTIFS('تجربه‌گرها'!$B:$B,$A782,'تجربه‌گرها'!$F:$F,E$1)</f>
        <v>0</v>
      </c>
      <c r="F782" s="242">
        <f>COUNTIFS('تجربه‌گرها'!$B:$B,$A782,'تجربه‌گرها'!$F:$F,F$1)</f>
        <v>0</v>
      </c>
      <c r="G782" s="242">
        <f>COUNTIFS('تجربه‌گرها'!$B:$B,$A782,'تجربه‌گرها'!$F:$F,G$1)</f>
        <v>0</v>
      </c>
      <c r="H782" s="242">
        <f>COUNTIFS('تجربه‌گرها'!$B:$B,$A782,'تجربه‌گرها'!$F:$F,H$1)</f>
        <v>0</v>
      </c>
      <c r="I782" s="242">
        <f>COUNTIFS('تجربه‌گرها'!$B:$B,$A782,'تجربه‌گرها'!$F:$F,I$1)</f>
        <v>0</v>
      </c>
      <c r="J782" s="242">
        <f>COUNTIFS('تجربه‌گرها'!$B:$B,$A782,'تجربه‌گرها'!$F:$F,J$1)</f>
        <v>0</v>
      </c>
      <c r="K782" s="242">
        <f>COUNTIFS('تجربه‌گرها'!$B:$B,$A782,'تجربه‌گرها'!$F:$F,K$1)</f>
        <v>1</v>
      </c>
      <c r="L782" s="242">
        <f>COUNTIFS('تجربه‌گرها'!$B:$B,$A782,'تجربه‌گرها'!$F:$F,L$1)</f>
        <v>0</v>
      </c>
      <c r="M782" s="242">
        <f>COUNTIFS('تجربه‌گرها'!$B:$B,$A782,'تجربه‌گرها'!$F:$F,M$1)</f>
        <v>0</v>
      </c>
      <c r="N782" s="242">
        <f>COUNTIFS('تجربه‌گرها'!$B:$B,$A782,'تجربه‌گرها'!$F:$F,N$1)</f>
        <v>0</v>
      </c>
      <c r="O782" s="242">
        <f>COUNTIFS('تجربه‌گرها'!$B:$B,$A782,'تجربه‌گرها'!$F:$F,O$1)</f>
        <v>0</v>
      </c>
      <c r="P782" s="242">
        <f>COUNTIFS('تجربه‌گرها'!$B:$B,$A782,'تجربه‌گرها'!$F:$F,P$1)</f>
        <v>0</v>
      </c>
      <c r="Q782" s="242">
        <f>COUNTIFS('تجربه‌گرها'!$B:$B,$A782,'تجربه‌گرها'!$F:$F,Q$1)</f>
        <v>0</v>
      </c>
      <c r="R782" s="242">
        <f>COUNTIFS('تجربه‌گرها'!$B:$B,$A782,'تجربه‌گرها'!$F:$F,R$1)</f>
        <v>0</v>
      </c>
      <c r="S782" s="242">
        <f>COUNTIFS('تجربه‌گرها'!$B:$B,$A782,'تجربه‌گرها'!$F:$F,S$1)</f>
        <v>0</v>
      </c>
      <c r="T782" s="242">
        <f>COUNTIFS('تجربه‌گرها'!$B:$B,$A782,'تجربه‌گرها'!$F:$F,T$1)</f>
        <v>0</v>
      </c>
      <c r="U782" s="242"/>
      <c r="V782" s="242"/>
      <c r="W782" s="242"/>
      <c r="X782" s="242"/>
      <c r="Y782" s="242"/>
      <c r="Z782" s="242"/>
      <c r="AA782" s="242"/>
      <c r="AB782" s="242"/>
    </row>
    <row r="783" hidden="1">
      <c r="A783" s="244" t="s">
        <v>4660</v>
      </c>
      <c r="B783" s="245" t="str">
        <f>VLOOKUP(A783,'تجربه‌گرها'!B:C,2,FALSE())</f>
        <v>9125052440</v>
      </c>
      <c r="C783" s="242"/>
      <c r="D783" s="242">
        <f t="shared" si="1"/>
        <v>1</v>
      </c>
      <c r="E783" s="242">
        <f>COUNTIFS('تجربه‌گرها'!$B:$B,$A783,'تجربه‌گرها'!$F:$F,E$1)</f>
        <v>0</v>
      </c>
      <c r="F783" s="242">
        <f>COUNTIFS('تجربه‌گرها'!$B:$B,$A783,'تجربه‌گرها'!$F:$F,F$1)</f>
        <v>0</v>
      </c>
      <c r="G783" s="242">
        <f>COUNTIFS('تجربه‌گرها'!$B:$B,$A783,'تجربه‌گرها'!$F:$F,G$1)</f>
        <v>0</v>
      </c>
      <c r="H783" s="242">
        <f>COUNTIFS('تجربه‌گرها'!$B:$B,$A783,'تجربه‌گرها'!$F:$F,H$1)</f>
        <v>0</v>
      </c>
      <c r="I783" s="242">
        <f>COUNTIFS('تجربه‌گرها'!$B:$B,$A783,'تجربه‌گرها'!$F:$F,I$1)</f>
        <v>0</v>
      </c>
      <c r="J783" s="242">
        <f>COUNTIFS('تجربه‌گرها'!$B:$B,$A783,'تجربه‌گرها'!$F:$F,J$1)</f>
        <v>0</v>
      </c>
      <c r="K783" s="242">
        <f>COUNTIFS('تجربه‌گرها'!$B:$B,$A783,'تجربه‌گرها'!$F:$F,K$1)</f>
        <v>1</v>
      </c>
      <c r="L783" s="242">
        <f>COUNTIFS('تجربه‌گرها'!$B:$B,$A783,'تجربه‌گرها'!$F:$F,L$1)</f>
        <v>0</v>
      </c>
      <c r="M783" s="242">
        <f>COUNTIFS('تجربه‌گرها'!$B:$B,$A783,'تجربه‌گرها'!$F:$F,M$1)</f>
        <v>0</v>
      </c>
      <c r="N783" s="242">
        <f>COUNTIFS('تجربه‌گرها'!$B:$B,$A783,'تجربه‌گرها'!$F:$F,N$1)</f>
        <v>0</v>
      </c>
      <c r="O783" s="242">
        <f>COUNTIFS('تجربه‌گرها'!$B:$B,$A783,'تجربه‌گرها'!$F:$F,O$1)</f>
        <v>0</v>
      </c>
      <c r="P783" s="242">
        <f>COUNTIFS('تجربه‌گرها'!$B:$B,$A783,'تجربه‌گرها'!$F:$F,P$1)</f>
        <v>0</v>
      </c>
      <c r="Q783" s="242">
        <f>COUNTIFS('تجربه‌گرها'!$B:$B,$A783,'تجربه‌گرها'!$F:$F,Q$1)</f>
        <v>0</v>
      </c>
      <c r="R783" s="242">
        <f>COUNTIFS('تجربه‌گرها'!$B:$B,$A783,'تجربه‌گرها'!$F:$F,R$1)</f>
        <v>0</v>
      </c>
      <c r="S783" s="242">
        <f>COUNTIFS('تجربه‌گرها'!$B:$B,$A783,'تجربه‌گرها'!$F:$F,S$1)</f>
        <v>0</v>
      </c>
      <c r="T783" s="242">
        <f>COUNTIFS('تجربه‌گرها'!$B:$B,$A783,'تجربه‌گرها'!$F:$F,T$1)</f>
        <v>0</v>
      </c>
      <c r="U783" s="242"/>
      <c r="V783" s="242"/>
      <c r="W783" s="242"/>
      <c r="X783" s="242"/>
      <c r="Y783" s="242"/>
      <c r="Z783" s="242"/>
      <c r="AA783" s="242"/>
      <c r="AB783" s="242"/>
    </row>
    <row r="784" hidden="1">
      <c r="A784" s="244" t="s">
        <v>4662</v>
      </c>
      <c r="B784" s="245" t="str">
        <f>VLOOKUP(A784,'تجربه‌گرها'!B:C,2,FALSE())</f>
        <v>9387139166</v>
      </c>
      <c r="C784" s="242"/>
      <c r="D784" s="242">
        <f t="shared" si="1"/>
        <v>1</v>
      </c>
      <c r="E784" s="242">
        <f>COUNTIFS('تجربه‌گرها'!$B:$B,$A784,'تجربه‌گرها'!$F:$F,E$1)</f>
        <v>0</v>
      </c>
      <c r="F784" s="242">
        <f>COUNTIFS('تجربه‌گرها'!$B:$B,$A784,'تجربه‌گرها'!$F:$F,F$1)</f>
        <v>0</v>
      </c>
      <c r="G784" s="242">
        <f>COUNTIFS('تجربه‌گرها'!$B:$B,$A784,'تجربه‌گرها'!$F:$F,G$1)</f>
        <v>0</v>
      </c>
      <c r="H784" s="242">
        <f>COUNTIFS('تجربه‌گرها'!$B:$B,$A784,'تجربه‌گرها'!$F:$F,H$1)</f>
        <v>0</v>
      </c>
      <c r="I784" s="242">
        <f>COUNTIFS('تجربه‌گرها'!$B:$B,$A784,'تجربه‌گرها'!$F:$F,I$1)</f>
        <v>0</v>
      </c>
      <c r="J784" s="242">
        <f>COUNTIFS('تجربه‌گرها'!$B:$B,$A784,'تجربه‌گرها'!$F:$F,J$1)</f>
        <v>0</v>
      </c>
      <c r="K784" s="242">
        <f>COUNTIFS('تجربه‌گرها'!$B:$B,$A784,'تجربه‌گرها'!$F:$F,K$1)</f>
        <v>1</v>
      </c>
      <c r="L784" s="242">
        <f>COUNTIFS('تجربه‌گرها'!$B:$B,$A784,'تجربه‌گرها'!$F:$F,L$1)</f>
        <v>0</v>
      </c>
      <c r="M784" s="242">
        <f>COUNTIFS('تجربه‌گرها'!$B:$B,$A784,'تجربه‌گرها'!$F:$F,M$1)</f>
        <v>0</v>
      </c>
      <c r="N784" s="242">
        <f>COUNTIFS('تجربه‌گرها'!$B:$B,$A784,'تجربه‌گرها'!$F:$F,N$1)</f>
        <v>0</v>
      </c>
      <c r="O784" s="242">
        <f>COUNTIFS('تجربه‌گرها'!$B:$B,$A784,'تجربه‌گرها'!$F:$F,O$1)</f>
        <v>0</v>
      </c>
      <c r="P784" s="242">
        <f>COUNTIFS('تجربه‌گرها'!$B:$B,$A784,'تجربه‌گرها'!$F:$F,P$1)</f>
        <v>0</v>
      </c>
      <c r="Q784" s="242">
        <f>COUNTIFS('تجربه‌گرها'!$B:$B,$A784,'تجربه‌گرها'!$F:$F,Q$1)</f>
        <v>0</v>
      </c>
      <c r="R784" s="242">
        <f>COUNTIFS('تجربه‌گرها'!$B:$B,$A784,'تجربه‌گرها'!$F:$F,R$1)</f>
        <v>0</v>
      </c>
      <c r="S784" s="242">
        <f>COUNTIFS('تجربه‌گرها'!$B:$B,$A784,'تجربه‌گرها'!$F:$F,S$1)</f>
        <v>0</v>
      </c>
      <c r="T784" s="242">
        <f>COUNTIFS('تجربه‌گرها'!$B:$B,$A784,'تجربه‌گرها'!$F:$F,T$1)</f>
        <v>0</v>
      </c>
      <c r="U784" s="242"/>
      <c r="V784" s="242"/>
      <c r="W784" s="242"/>
      <c r="X784" s="242"/>
      <c r="Y784" s="242"/>
      <c r="Z784" s="242"/>
      <c r="AA784" s="242"/>
      <c r="AB784" s="242"/>
    </row>
    <row r="785" hidden="1">
      <c r="A785" s="244" t="s">
        <v>4667</v>
      </c>
      <c r="B785" s="245" t="str">
        <f>VLOOKUP(A785,'تجربه‌گرها'!B:C,2,FALSE())</f>
        <v>9394377109</v>
      </c>
      <c r="C785" s="242"/>
      <c r="D785" s="242">
        <f t="shared" si="1"/>
        <v>1</v>
      </c>
      <c r="E785" s="242">
        <f>COUNTIFS('تجربه‌گرها'!$B:$B,$A785,'تجربه‌گرها'!$F:$F,E$1)</f>
        <v>0</v>
      </c>
      <c r="F785" s="242">
        <f>COUNTIFS('تجربه‌گرها'!$B:$B,$A785,'تجربه‌گرها'!$F:$F,F$1)</f>
        <v>0</v>
      </c>
      <c r="G785" s="242">
        <f>COUNTIFS('تجربه‌گرها'!$B:$B,$A785,'تجربه‌گرها'!$F:$F,G$1)</f>
        <v>0</v>
      </c>
      <c r="H785" s="242">
        <f>COUNTIFS('تجربه‌گرها'!$B:$B,$A785,'تجربه‌گرها'!$F:$F,H$1)</f>
        <v>0</v>
      </c>
      <c r="I785" s="242">
        <f>COUNTIFS('تجربه‌گرها'!$B:$B,$A785,'تجربه‌گرها'!$F:$F,I$1)</f>
        <v>0</v>
      </c>
      <c r="J785" s="242">
        <f>COUNTIFS('تجربه‌گرها'!$B:$B,$A785,'تجربه‌گرها'!$F:$F,J$1)</f>
        <v>0</v>
      </c>
      <c r="K785" s="242">
        <f>COUNTIFS('تجربه‌گرها'!$B:$B,$A785,'تجربه‌گرها'!$F:$F,K$1)</f>
        <v>1</v>
      </c>
      <c r="L785" s="242">
        <f>COUNTIFS('تجربه‌گرها'!$B:$B,$A785,'تجربه‌گرها'!$F:$F,L$1)</f>
        <v>0</v>
      </c>
      <c r="M785" s="242">
        <f>COUNTIFS('تجربه‌گرها'!$B:$B,$A785,'تجربه‌گرها'!$F:$F,M$1)</f>
        <v>0</v>
      </c>
      <c r="N785" s="242">
        <f>COUNTIFS('تجربه‌گرها'!$B:$B,$A785,'تجربه‌گرها'!$F:$F,N$1)</f>
        <v>0</v>
      </c>
      <c r="O785" s="242">
        <f>COUNTIFS('تجربه‌گرها'!$B:$B,$A785,'تجربه‌گرها'!$F:$F,O$1)</f>
        <v>0</v>
      </c>
      <c r="P785" s="242">
        <f>COUNTIFS('تجربه‌گرها'!$B:$B,$A785,'تجربه‌گرها'!$F:$F,P$1)</f>
        <v>0</v>
      </c>
      <c r="Q785" s="242">
        <f>COUNTIFS('تجربه‌گرها'!$B:$B,$A785,'تجربه‌گرها'!$F:$F,Q$1)</f>
        <v>0</v>
      </c>
      <c r="R785" s="242">
        <f>COUNTIFS('تجربه‌گرها'!$B:$B,$A785,'تجربه‌گرها'!$F:$F,R$1)</f>
        <v>0</v>
      </c>
      <c r="S785" s="242">
        <f>COUNTIFS('تجربه‌گرها'!$B:$B,$A785,'تجربه‌گرها'!$F:$F,S$1)</f>
        <v>0</v>
      </c>
      <c r="T785" s="242">
        <f>COUNTIFS('تجربه‌گرها'!$B:$B,$A785,'تجربه‌گرها'!$F:$F,T$1)</f>
        <v>0</v>
      </c>
      <c r="U785" s="242"/>
      <c r="V785" s="242"/>
      <c r="W785" s="242"/>
      <c r="X785" s="242"/>
      <c r="Y785" s="242"/>
      <c r="Z785" s="242"/>
      <c r="AA785" s="242"/>
      <c r="AB785" s="242"/>
    </row>
    <row r="786" hidden="1">
      <c r="A786" s="244" t="s">
        <v>4672</v>
      </c>
      <c r="B786" s="245" t="str">
        <f>VLOOKUP(A786,'تجربه‌گرها'!B:C,2,FALSE())</f>
        <v>9139549961</v>
      </c>
      <c r="C786" s="242"/>
      <c r="D786" s="242">
        <f t="shared" si="1"/>
        <v>1</v>
      </c>
      <c r="E786" s="242">
        <f>COUNTIFS('تجربه‌گرها'!$B:$B,$A786,'تجربه‌گرها'!$F:$F,E$1)</f>
        <v>0</v>
      </c>
      <c r="F786" s="242">
        <f>COUNTIFS('تجربه‌گرها'!$B:$B,$A786,'تجربه‌گرها'!$F:$F,F$1)</f>
        <v>0</v>
      </c>
      <c r="G786" s="242">
        <f>COUNTIFS('تجربه‌گرها'!$B:$B,$A786,'تجربه‌گرها'!$F:$F,G$1)</f>
        <v>0</v>
      </c>
      <c r="H786" s="242">
        <f>COUNTIFS('تجربه‌گرها'!$B:$B,$A786,'تجربه‌گرها'!$F:$F,H$1)</f>
        <v>0</v>
      </c>
      <c r="I786" s="242">
        <f>COUNTIFS('تجربه‌گرها'!$B:$B,$A786,'تجربه‌گرها'!$F:$F,I$1)</f>
        <v>0</v>
      </c>
      <c r="J786" s="242">
        <f>COUNTIFS('تجربه‌گرها'!$B:$B,$A786,'تجربه‌گرها'!$F:$F,J$1)</f>
        <v>0</v>
      </c>
      <c r="K786" s="242">
        <f>COUNTIFS('تجربه‌گرها'!$B:$B,$A786,'تجربه‌گرها'!$F:$F,K$1)</f>
        <v>1</v>
      </c>
      <c r="L786" s="242">
        <f>COUNTIFS('تجربه‌گرها'!$B:$B,$A786,'تجربه‌گرها'!$F:$F,L$1)</f>
        <v>0</v>
      </c>
      <c r="M786" s="242">
        <f>COUNTIFS('تجربه‌گرها'!$B:$B,$A786,'تجربه‌گرها'!$F:$F,M$1)</f>
        <v>0</v>
      </c>
      <c r="N786" s="242">
        <f>COUNTIFS('تجربه‌گرها'!$B:$B,$A786,'تجربه‌گرها'!$F:$F,N$1)</f>
        <v>0</v>
      </c>
      <c r="O786" s="242">
        <f>COUNTIFS('تجربه‌گرها'!$B:$B,$A786,'تجربه‌گرها'!$F:$F,O$1)</f>
        <v>0</v>
      </c>
      <c r="P786" s="242">
        <f>COUNTIFS('تجربه‌گرها'!$B:$B,$A786,'تجربه‌گرها'!$F:$F,P$1)</f>
        <v>0</v>
      </c>
      <c r="Q786" s="242">
        <f>COUNTIFS('تجربه‌گرها'!$B:$B,$A786,'تجربه‌گرها'!$F:$F,Q$1)</f>
        <v>0</v>
      </c>
      <c r="R786" s="242">
        <f>COUNTIFS('تجربه‌گرها'!$B:$B,$A786,'تجربه‌گرها'!$F:$F,R$1)</f>
        <v>0</v>
      </c>
      <c r="S786" s="242">
        <f>COUNTIFS('تجربه‌گرها'!$B:$B,$A786,'تجربه‌گرها'!$F:$F,S$1)</f>
        <v>0</v>
      </c>
      <c r="T786" s="242">
        <f>COUNTIFS('تجربه‌گرها'!$B:$B,$A786,'تجربه‌گرها'!$F:$F,T$1)</f>
        <v>0</v>
      </c>
      <c r="U786" s="242"/>
      <c r="V786" s="242"/>
      <c r="W786" s="242"/>
      <c r="X786" s="242"/>
      <c r="Y786" s="242"/>
      <c r="Z786" s="242"/>
      <c r="AA786" s="242"/>
      <c r="AB786" s="242"/>
    </row>
    <row r="787" hidden="1">
      <c r="A787" s="244" t="s">
        <v>4676</v>
      </c>
      <c r="B787" s="245" t="str">
        <f>VLOOKUP(A787,'تجربه‌گرها'!B:C,2,FALSE())</f>
        <v>9161131492</v>
      </c>
      <c r="C787" s="242"/>
      <c r="D787" s="242">
        <f t="shared" si="1"/>
        <v>1</v>
      </c>
      <c r="E787" s="242">
        <f>COUNTIFS('تجربه‌گرها'!$B:$B,$A787,'تجربه‌گرها'!$F:$F,E$1)</f>
        <v>0</v>
      </c>
      <c r="F787" s="242">
        <f>COUNTIFS('تجربه‌گرها'!$B:$B,$A787,'تجربه‌گرها'!$F:$F,F$1)</f>
        <v>0</v>
      </c>
      <c r="G787" s="242">
        <f>COUNTIFS('تجربه‌گرها'!$B:$B,$A787,'تجربه‌گرها'!$F:$F,G$1)</f>
        <v>0</v>
      </c>
      <c r="H787" s="242">
        <f>COUNTIFS('تجربه‌گرها'!$B:$B,$A787,'تجربه‌گرها'!$F:$F,H$1)</f>
        <v>0</v>
      </c>
      <c r="I787" s="242">
        <f>COUNTIFS('تجربه‌گرها'!$B:$B,$A787,'تجربه‌گرها'!$F:$F,I$1)</f>
        <v>0</v>
      </c>
      <c r="J787" s="242">
        <f>COUNTIFS('تجربه‌گرها'!$B:$B,$A787,'تجربه‌گرها'!$F:$F,J$1)</f>
        <v>0</v>
      </c>
      <c r="K787" s="242">
        <f>COUNTIFS('تجربه‌گرها'!$B:$B,$A787,'تجربه‌گرها'!$F:$F,K$1)</f>
        <v>1</v>
      </c>
      <c r="L787" s="242">
        <f>COUNTIFS('تجربه‌گرها'!$B:$B,$A787,'تجربه‌گرها'!$F:$F,L$1)</f>
        <v>0</v>
      </c>
      <c r="M787" s="242">
        <f>COUNTIFS('تجربه‌گرها'!$B:$B,$A787,'تجربه‌گرها'!$F:$F,M$1)</f>
        <v>0</v>
      </c>
      <c r="N787" s="242">
        <f>COUNTIFS('تجربه‌گرها'!$B:$B,$A787,'تجربه‌گرها'!$F:$F,N$1)</f>
        <v>0</v>
      </c>
      <c r="O787" s="242">
        <f>COUNTIFS('تجربه‌گرها'!$B:$B,$A787,'تجربه‌گرها'!$F:$F,O$1)</f>
        <v>0</v>
      </c>
      <c r="P787" s="242">
        <f>COUNTIFS('تجربه‌گرها'!$B:$B,$A787,'تجربه‌گرها'!$F:$F,P$1)</f>
        <v>0</v>
      </c>
      <c r="Q787" s="242">
        <f>COUNTIFS('تجربه‌گرها'!$B:$B,$A787,'تجربه‌گرها'!$F:$F,Q$1)</f>
        <v>0</v>
      </c>
      <c r="R787" s="242">
        <f>COUNTIFS('تجربه‌گرها'!$B:$B,$A787,'تجربه‌گرها'!$F:$F,R$1)</f>
        <v>0</v>
      </c>
      <c r="S787" s="242">
        <f>COUNTIFS('تجربه‌گرها'!$B:$B,$A787,'تجربه‌گرها'!$F:$F,S$1)</f>
        <v>0</v>
      </c>
      <c r="T787" s="242">
        <f>COUNTIFS('تجربه‌گرها'!$B:$B,$A787,'تجربه‌گرها'!$F:$F,T$1)</f>
        <v>0</v>
      </c>
      <c r="U787" s="242"/>
      <c r="V787" s="242"/>
      <c r="W787" s="242"/>
      <c r="X787" s="242"/>
      <c r="Y787" s="242"/>
      <c r="Z787" s="242"/>
      <c r="AA787" s="242"/>
      <c r="AB787" s="242"/>
    </row>
    <row r="788">
      <c r="A788" s="244" t="s">
        <v>4681</v>
      </c>
      <c r="B788" s="245" t="str">
        <f>VLOOKUP(A788,'تجربه‌گرها'!B:C,2,FALSE())</f>
        <v>9127143881</v>
      </c>
      <c r="C788" s="242"/>
      <c r="D788" s="242">
        <f t="shared" si="1"/>
        <v>1</v>
      </c>
      <c r="E788" s="242">
        <f>COUNTIFS('تجربه‌گرها'!$B:$B,$A788,'تجربه‌گرها'!$F:$F,E$1)</f>
        <v>0</v>
      </c>
      <c r="F788" s="242">
        <f>COUNTIFS('تجربه‌گرها'!$B:$B,$A788,'تجربه‌گرها'!$F:$F,F$1)</f>
        <v>0</v>
      </c>
      <c r="G788" s="242">
        <f>COUNTIFS('تجربه‌گرها'!$B:$B,$A788,'تجربه‌گرها'!$F:$F,G$1)</f>
        <v>0</v>
      </c>
      <c r="H788" s="242">
        <f>COUNTIFS('تجربه‌گرها'!$B:$B,$A788,'تجربه‌گرها'!$F:$F,H$1)</f>
        <v>0</v>
      </c>
      <c r="I788" s="242">
        <f>COUNTIFS('تجربه‌گرها'!$B:$B,$A788,'تجربه‌گرها'!$F:$F,I$1)</f>
        <v>0</v>
      </c>
      <c r="J788" s="242">
        <f>COUNTIFS('تجربه‌گرها'!$B:$B,$A788,'تجربه‌گرها'!$F:$F,J$1)</f>
        <v>0</v>
      </c>
      <c r="K788" s="242">
        <f>COUNTIFS('تجربه‌گرها'!$B:$B,$A788,'تجربه‌گرها'!$F:$F,K$1)</f>
        <v>1</v>
      </c>
      <c r="L788" s="242">
        <f>COUNTIFS('تجربه‌گرها'!$B:$B,$A788,'تجربه‌گرها'!$F:$F,L$1)</f>
        <v>0</v>
      </c>
      <c r="M788" s="242">
        <f>COUNTIFS('تجربه‌گرها'!$B:$B,$A788,'تجربه‌گرها'!$F:$F,M$1)</f>
        <v>0</v>
      </c>
      <c r="N788" s="242">
        <f>COUNTIFS('تجربه‌گرها'!$B:$B,$A788,'تجربه‌گرها'!$F:$F,N$1)</f>
        <v>0</v>
      </c>
      <c r="O788" s="242">
        <f>COUNTIFS('تجربه‌گرها'!$B:$B,$A788,'تجربه‌گرها'!$F:$F,O$1)</f>
        <v>0</v>
      </c>
      <c r="P788" s="242">
        <f>COUNTIFS('تجربه‌گرها'!$B:$B,$A788,'تجربه‌گرها'!$F:$F,P$1)</f>
        <v>0</v>
      </c>
      <c r="Q788" s="242">
        <f>COUNTIFS('تجربه‌گرها'!$B:$B,$A788,'تجربه‌گرها'!$F:$F,Q$1)</f>
        <v>0</v>
      </c>
      <c r="R788" s="242">
        <f>COUNTIFS('تجربه‌گرها'!$B:$B,$A788,'تجربه‌گرها'!$F:$F,R$1)</f>
        <v>0</v>
      </c>
      <c r="S788" s="242">
        <f>COUNTIFS('تجربه‌گرها'!$B:$B,$A788,'تجربه‌گرها'!$F:$F,S$1)</f>
        <v>0</v>
      </c>
      <c r="T788" s="242">
        <f>COUNTIFS('تجربه‌گرها'!$B:$B,$A788,'تجربه‌گرها'!$F:$F,T$1)</f>
        <v>0</v>
      </c>
      <c r="U788" s="242"/>
      <c r="V788" s="242"/>
      <c r="W788" s="242"/>
      <c r="X788" s="242"/>
      <c r="Y788" s="242"/>
      <c r="Z788" s="242"/>
      <c r="AA788" s="242"/>
      <c r="AB788" s="242"/>
    </row>
    <row r="789" hidden="1">
      <c r="A789" s="244" t="s">
        <v>4686</v>
      </c>
      <c r="B789" s="245" t="str">
        <f>VLOOKUP(A789,'تجربه‌گرها'!B:C,2,FALSE())</f>
        <v>9385111355</v>
      </c>
      <c r="C789" s="242"/>
      <c r="D789" s="242">
        <f t="shared" si="1"/>
        <v>1</v>
      </c>
      <c r="E789" s="242">
        <f>COUNTIFS('تجربه‌گرها'!$B:$B,$A789,'تجربه‌گرها'!$F:$F,E$1)</f>
        <v>0</v>
      </c>
      <c r="F789" s="242">
        <f>COUNTIFS('تجربه‌گرها'!$B:$B,$A789,'تجربه‌گرها'!$F:$F,F$1)</f>
        <v>0</v>
      </c>
      <c r="G789" s="242">
        <f>COUNTIFS('تجربه‌گرها'!$B:$B,$A789,'تجربه‌گرها'!$F:$F,G$1)</f>
        <v>0</v>
      </c>
      <c r="H789" s="242">
        <f>COUNTIFS('تجربه‌گرها'!$B:$B,$A789,'تجربه‌گرها'!$F:$F,H$1)</f>
        <v>0</v>
      </c>
      <c r="I789" s="242">
        <f>COUNTIFS('تجربه‌گرها'!$B:$B,$A789,'تجربه‌گرها'!$F:$F,I$1)</f>
        <v>0</v>
      </c>
      <c r="J789" s="242">
        <f>COUNTIFS('تجربه‌گرها'!$B:$B,$A789,'تجربه‌گرها'!$F:$F,J$1)</f>
        <v>0</v>
      </c>
      <c r="K789" s="242">
        <f>COUNTIFS('تجربه‌گرها'!$B:$B,$A789,'تجربه‌گرها'!$F:$F,K$1)</f>
        <v>1</v>
      </c>
      <c r="L789" s="242">
        <f>COUNTIFS('تجربه‌گرها'!$B:$B,$A789,'تجربه‌گرها'!$F:$F,L$1)</f>
        <v>0</v>
      </c>
      <c r="M789" s="242">
        <f>COUNTIFS('تجربه‌گرها'!$B:$B,$A789,'تجربه‌گرها'!$F:$F,M$1)</f>
        <v>0</v>
      </c>
      <c r="N789" s="242">
        <f>COUNTIFS('تجربه‌گرها'!$B:$B,$A789,'تجربه‌گرها'!$F:$F,N$1)</f>
        <v>0</v>
      </c>
      <c r="O789" s="242">
        <f>COUNTIFS('تجربه‌گرها'!$B:$B,$A789,'تجربه‌گرها'!$F:$F,O$1)</f>
        <v>0</v>
      </c>
      <c r="P789" s="242">
        <f>COUNTIFS('تجربه‌گرها'!$B:$B,$A789,'تجربه‌گرها'!$F:$F,P$1)</f>
        <v>0</v>
      </c>
      <c r="Q789" s="242">
        <f>COUNTIFS('تجربه‌گرها'!$B:$B,$A789,'تجربه‌گرها'!$F:$F,Q$1)</f>
        <v>0</v>
      </c>
      <c r="R789" s="242">
        <f>COUNTIFS('تجربه‌گرها'!$B:$B,$A789,'تجربه‌گرها'!$F:$F,R$1)</f>
        <v>0</v>
      </c>
      <c r="S789" s="242">
        <f>COUNTIFS('تجربه‌گرها'!$B:$B,$A789,'تجربه‌گرها'!$F:$F,S$1)</f>
        <v>0</v>
      </c>
      <c r="T789" s="242">
        <f>COUNTIFS('تجربه‌گرها'!$B:$B,$A789,'تجربه‌گرها'!$F:$F,T$1)</f>
        <v>0</v>
      </c>
      <c r="U789" s="242"/>
      <c r="V789" s="242"/>
      <c r="W789" s="242"/>
      <c r="X789" s="242"/>
      <c r="Y789" s="242"/>
      <c r="Z789" s="242"/>
      <c r="AA789" s="242"/>
      <c r="AB789" s="242"/>
    </row>
    <row r="790" hidden="1">
      <c r="A790" s="244" t="s">
        <v>4691</v>
      </c>
      <c r="B790" s="245" t="str">
        <f>VLOOKUP(A790,'تجربه‌گرها'!B:C,2,FALSE())</f>
        <v>9102261431</v>
      </c>
      <c r="C790" s="242"/>
      <c r="D790" s="242">
        <f t="shared" si="1"/>
        <v>1</v>
      </c>
      <c r="E790" s="242">
        <f>COUNTIFS('تجربه‌گرها'!$B:$B,$A790,'تجربه‌گرها'!$F:$F,E$1)</f>
        <v>0</v>
      </c>
      <c r="F790" s="242">
        <f>COUNTIFS('تجربه‌گرها'!$B:$B,$A790,'تجربه‌گرها'!$F:$F,F$1)</f>
        <v>0</v>
      </c>
      <c r="G790" s="242">
        <f>COUNTIFS('تجربه‌گرها'!$B:$B,$A790,'تجربه‌گرها'!$F:$F,G$1)</f>
        <v>0</v>
      </c>
      <c r="H790" s="242">
        <f>COUNTIFS('تجربه‌گرها'!$B:$B,$A790,'تجربه‌گرها'!$F:$F,H$1)</f>
        <v>0</v>
      </c>
      <c r="I790" s="242">
        <f>COUNTIFS('تجربه‌گرها'!$B:$B,$A790,'تجربه‌گرها'!$F:$F,I$1)</f>
        <v>0</v>
      </c>
      <c r="J790" s="242">
        <f>COUNTIFS('تجربه‌گرها'!$B:$B,$A790,'تجربه‌گرها'!$F:$F,J$1)</f>
        <v>0</v>
      </c>
      <c r="K790" s="242">
        <f>COUNTIFS('تجربه‌گرها'!$B:$B,$A790,'تجربه‌گرها'!$F:$F,K$1)</f>
        <v>1</v>
      </c>
      <c r="L790" s="242">
        <f>COUNTIFS('تجربه‌گرها'!$B:$B,$A790,'تجربه‌گرها'!$F:$F,L$1)</f>
        <v>0</v>
      </c>
      <c r="M790" s="242">
        <f>COUNTIFS('تجربه‌گرها'!$B:$B,$A790,'تجربه‌گرها'!$F:$F,M$1)</f>
        <v>0</v>
      </c>
      <c r="N790" s="242">
        <f>COUNTIFS('تجربه‌گرها'!$B:$B,$A790,'تجربه‌گرها'!$F:$F,N$1)</f>
        <v>0</v>
      </c>
      <c r="O790" s="242">
        <f>COUNTIFS('تجربه‌گرها'!$B:$B,$A790,'تجربه‌گرها'!$F:$F,O$1)</f>
        <v>0</v>
      </c>
      <c r="P790" s="242">
        <f>COUNTIFS('تجربه‌گرها'!$B:$B,$A790,'تجربه‌گرها'!$F:$F,P$1)</f>
        <v>0</v>
      </c>
      <c r="Q790" s="242">
        <f>COUNTIFS('تجربه‌گرها'!$B:$B,$A790,'تجربه‌گرها'!$F:$F,Q$1)</f>
        <v>0</v>
      </c>
      <c r="R790" s="242">
        <f>COUNTIFS('تجربه‌گرها'!$B:$B,$A790,'تجربه‌گرها'!$F:$F,R$1)</f>
        <v>0</v>
      </c>
      <c r="S790" s="242">
        <f>COUNTIFS('تجربه‌گرها'!$B:$B,$A790,'تجربه‌گرها'!$F:$F,S$1)</f>
        <v>0</v>
      </c>
      <c r="T790" s="242">
        <f>COUNTIFS('تجربه‌گرها'!$B:$B,$A790,'تجربه‌گرها'!$F:$F,T$1)</f>
        <v>0</v>
      </c>
      <c r="U790" s="242"/>
      <c r="V790" s="242"/>
      <c r="W790" s="242"/>
      <c r="X790" s="242"/>
      <c r="Y790" s="242"/>
      <c r="Z790" s="242"/>
      <c r="AA790" s="242"/>
      <c r="AB790" s="242"/>
    </row>
    <row r="791" hidden="1">
      <c r="A791" s="244" t="s">
        <v>4697</v>
      </c>
      <c r="B791" s="245" t="str">
        <f>VLOOKUP(A791,'تجربه‌گرها'!B:C,2,FALSE())</f>
        <v>9143159445</v>
      </c>
      <c r="C791" s="242"/>
      <c r="D791" s="242">
        <f t="shared" si="1"/>
        <v>3</v>
      </c>
      <c r="E791" s="242">
        <f>COUNTIFS('تجربه‌گرها'!$B:$B,$A791,'تجربه‌گرها'!$F:$F,E$1)</f>
        <v>0</v>
      </c>
      <c r="F791" s="242">
        <f>COUNTIFS('تجربه‌گرها'!$B:$B,$A791,'تجربه‌گرها'!$F:$F,F$1)</f>
        <v>0</v>
      </c>
      <c r="G791" s="242">
        <f>COUNTIFS('تجربه‌گرها'!$B:$B,$A791,'تجربه‌گرها'!$F:$F,G$1)</f>
        <v>0</v>
      </c>
      <c r="H791" s="242">
        <f>COUNTIFS('تجربه‌گرها'!$B:$B,$A791,'تجربه‌گرها'!$F:$F,H$1)</f>
        <v>0</v>
      </c>
      <c r="I791" s="242">
        <f>COUNTIFS('تجربه‌گرها'!$B:$B,$A791,'تجربه‌گرها'!$F:$F,I$1)</f>
        <v>0</v>
      </c>
      <c r="J791" s="242">
        <f>COUNTIFS('تجربه‌گرها'!$B:$B,$A791,'تجربه‌گرها'!$F:$F,J$1)</f>
        <v>0</v>
      </c>
      <c r="K791" s="242">
        <f>COUNTIFS('تجربه‌گرها'!$B:$B,$A791,'تجربه‌گرها'!$F:$F,K$1)</f>
        <v>1</v>
      </c>
      <c r="L791" s="242">
        <f>COUNTIFS('تجربه‌گرها'!$B:$B,$A791,'تجربه‌گرها'!$F:$F,L$1)</f>
        <v>1</v>
      </c>
      <c r="M791" s="242">
        <f>COUNTIFS('تجربه‌گرها'!$B:$B,$A791,'تجربه‌گرها'!$F:$F,M$1)</f>
        <v>1</v>
      </c>
      <c r="N791" s="242">
        <f>COUNTIFS('تجربه‌گرها'!$B:$B,$A791,'تجربه‌گرها'!$F:$F,N$1)</f>
        <v>0</v>
      </c>
      <c r="O791" s="242">
        <f>COUNTIFS('تجربه‌گرها'!$B:$B,$A791,'تجربه‌گرها'!$F:$F,O$1)</f>
        <v>0</v>
      </c>
      <c r="P791" s="242">
        <f>COUNTIFS('تجربه‌گرها'!$B:$B,$A791,'تجربه‌گرها'!$F:$F,P$1)</f>
        <v>0</v>
      </c>
      <c r="Q791" s="242">
        <f>COUNTIFS('تجربه‌گرها'!$B:$B,$A791,'تجربه‌گرها'!$F:$F,Q$1)</f>
        <v>0</v>
      </c>
      <c r="R791" s="242">
        <f>COUNTIFS('تجربه‌گرها'!$B:$B,$A791,'تجربه‌گرها'!$F:$F,R$1)</f>
        <v>0</v>
      </c>
      <c r="S791" s="242">
        <f>COUNTIFS('تجربه‌گرها'!$B:$B,$A791,'تجربه‌گرها'!$F:$F,S$1)</f>
        <v>0</v>
      </c>
      <c r="T791" s="242">
        <f>COUNTIFS('تجربه‌گرها'!$B:$B,$A791,'تجربه‌گرها'!$F:$F,T$1)</f>
        <v>0</v>
      </c>
      <c r="U791" s="242"/>
      <c r="V791" s="242"/>
      <c r="W791" s="242"/>
      <c r="X791" s="242"/>
      <c r="Y791" s="242"/>
      <c r="Z791" s="242"/>
      <c r="AA791" s="242"/>
      <c r="AB791" s="242"/>
    </row>
    <row r="792" hidden="1">
      <c r="A792" s="244" t="s">
        <v>4700</v>
      </c>
      <c r="B792" s="245" t="str">
        <f>VLOOKUP(A792,'تجربه‌گرها'!B:C,2,FALSE())</f>
        <v>9127502487</v>
      </c>
      <c r="C792" s="242"/>
      <c r="D792" s="242">
        <f t="shared" si="1"/>
        <v>1</v>
      </c>
      <c r="E792" s="242">
        <f>COUNTIFS('تجربه‌گرها'!$B:$B,$A792,'تجربه‌گرها'!$F:$F,E$1)</f>
        <v>0</v>
      </c>
      <c r="F792" s="242">
        <f>COUNTIFS('تجربه‌گرها'!$B:$B,$A792,'تجربه‌گرها'!$F:$F,F$1)</f>
        <v>0</v>
      </c>
      <c r="G792" s="242">
        <f>COUNTIFS('تجربه‌گرها'!$B:$B,$A792,'تجربه‌گرها'!$F:$F,G$1)</f>
        <v>0</v>
      </c>
      <c r="H792" s="242">
        <f>COUNTIFS('تجربه‌گرها'!$B:$B,$A792,'تجربه‌گرها'!$F:$F,H$1)</f>
        <v>0</v>
      </c>
      <c r="I792" s="242">
        <f>COUNTIFS('تجربه‌گرها'!$B:$B,$A792,'تجربه‌گرها'!$F:$F,I$1)</f>
        <v>0</v>
      </c>
      <c r="J792" s="242">
        <f>COUNTIFS('تجربه‌گرها'!$B:$B,$A792,'تجربه‌گرها'!$F:$F,J$1)</f>
        <v>0</v>
      </c>
      <c r="K792" s="242">
        <f>COUNTIFS('تجربه‌گرها'!$B:$B,$A792,'تجربه‌گرها'!$F:$F,K$1)</f>
        <v>1</v>
      </c>
      <c r="L792" s="242">
        <f>COUNTIFS('تجربه‌گرها'!$B:$B,$A792,'تجربه‌گرها'!$F:$F,L$1)</f>
        <v>0</v>
      </c>
      <c r="M792" s="242">
        <f>COUNTIFS('تجربه‌گرها'!$B:$B,$A792,'تجربه‌گرها'!$F:$F,M$1)</f>
        <v>0</v>
      </c>
      <c r="N792" s="242">
        <f>COUNTIFS('تجربه‌گرها'!$B:$B,$A792,'تجربه‌گرها'!$F:$F,N$1)</f>
        <v>0</v>
      </c>
      <c r="O792" s="242">
        <f>COUNTIFS('تجربه‌گرها'!$B:$B,$A792,'تجربه‌گرها'!$F:$F,O$1)</f>
        <v>0</v>
      </c>
      <c r="P792" s="242">
        <f>COUNTIFS('تجربه‌گرها'!$B:$B,$A792,'تجربه‌گرها'!$F:$F,P$1)</f>
        <v>0</v>
      </c>
      <c r="Q792" s="242">
        <f>COUNTIFS('تجربه‌گرها'!$B:$B,$A792,'تجربه‌گرها'!$F:$F,Q$1)</f>
        <v>0</v>
      </c>
      <c r="R792" s="242">
        <f>COUNTIFS('تجربه‌گرها'!$B:$B,$A792,'تجربه‌گرها'!$F:$F,R$1)</f>
        <v>0</v>
      </c>
      <c r="S792" s="242">
        <f>COUNTIFS('تجربه‌گرها'!$B:$B,$A792,'تجربه‌گرها'!$F:$F,S$1)</f>
        <v>0</v>
      </c>
      <c r="T792" s="242">
        <f>COUNTIFS('تجربه‌گرها'!$B:$B,$A792,'تجربه‌گرها'!$F:$F,T$1)</f>
        <v>0</v>
      </c>
      <c r="U792" s="242"/>
      <c r="V792" s="242"/>
      <c r="W792" s="242"/>
      <c r="X792" s="242"/>
      <c r="Y792" s="242"/>
      <c r="Z792" s="242"/>
      <c r="AA792" s="242"/>
      <c r="AB792" s="242"/>
    </row>
    <row r="793" hidden="1">
      <c r="A793" s="244" t="s">
        <v>4704</v>
      </c>
      <c r="B793" s="245" t="str">
        <f>VLOOKUP(A793,'تجربه‌گرها'!B:C,2,FALSE())</f>
        <v>9124112249</v>
      </c>
      <c r="C793" s="242"/>
      <c r="D793" s="242">
        <f t="shared" si="1"/>
        <v>1</v>
      </c>
      <c r="E793" s="242">
        <f>COUNTIFS('تجربه‌گرها'!$B:$B,$A793,'تجربه‌گرها'!$F:$F,E$1)</f>
        <v>0</v>
      </c>
      <c r="F793" s="242">
        <f>COUNTIFS('تجربه‌گرها'!$B:$B,$A793,'تجربه‌گرها'!$F:$F,F$1)</f>
        <v>0</v>
      </c>
      <c r="G793" s="242">
        <f>COUNTIFS('تجربه‌گرها'!$B:$B,$A793,'تجربه‌گرها'!$F:$F,G$1)</f>
        <v>0</v>
      </c>
      <c r="H793" s="242">
        <f>COUNTIFS('تجربه‌گرها'!$B:$B,$A793,'تجربه‌گرها'!$F:$F,H$1)</f>
        <v>0</v>
      </c>
      <c r="I793" s="242">
        <f>COUNTIFS('تجربه‌گرها'!$B:$B,$A793,'تجربه‌گرها'!$F:$F,I$1)</f>
        <v>0</v>
      </c>
      <c r="J793" s="242">
        <f>COUNTIFS('تجربه‌گرها'!$B:$B,$A793,'تجربه‌گرها'!$F:$F,J$1)</f>
        <v>0</v>
      </c>
      <c r="K793" s="242">
        <f>COUNTIFS('تجربه‌گرها'!$B:$B,$A793,'تجربه‌گرها'!$F:$F,K$1)</f>
        <v>1</v>
      </c>
      <c r="L793" s="242">
        <f>COUNTIFS('تجربه‌گرها'!$B:$B,$A793,'تجربه‌گرها'!$F:$F,L$1)</f>
        <v>0</v>
      </c>
      <c r="M793" s="242">
        <f>COUNTIFS('تجربه‌گرها'!$B:$B,$A793,'تجربه‌گرها'!$F:$F,M$1)</f>
        <v>0</v>
      </c>
      <c r="N793" s="242">
        <f>COUNTIFS('تجربه‌گرها'!$B:$B,$A793,'تجربه‌گرها'!$F:$F,N$1)</f>
        <v>0</v>
      </c>
      <c r="O793" s="242">
        <f>COUNTIFS('تجربه‌گرها'!$B:$B,$A793,'تجربه‌گرها'!$F:$F,O$1)</f>
        <v>0</v>
      </c>
      <c r="P793" s="242">
        <f>COUNTIFS('تجربه‌گرها'!$B:$B,$A793,'تجربه‌گرها'!$F:$F,P$1)</f>
        <v>0</v>
      </c>
      <c r="Q793" s="242">
        <f>COUNTIFS('تجربه‌گرها'!$B:$B,$A793,'تجربه‌گرها'!$F:$F,Q$1)</f>
        <v>0</v>
      </c>
      <c r="R793" s="242">
        <f>COUNTIFS('تجربه‌گرها'!$B:$B,$A793,'تجربه‌گرها'!$F:$F,R$1)</f>
        <v>0</v>
      </c>
      <c r="S793" s="242">
        <f>COUNTIFS('تجربه‌گرها'!$B:$B,$A793,'تجربه‌گرها'!$F:$F,S$1)</f>
        <v>0</v>
      </c>
      <c r="T793" s="242">
        <f>COUNTIFS('تجربه‌گرها'!$B:$B,$A793,'تجربه‌گرها'!$F:$F,T$1)</f>
        <v>0</v>
      </c>
      <c r="U793" s="242"/>
      <c r="V793" s="242"/>
      <c r="W793" s="242"/>
      <c r="X793" s="242"/>
      <c r="Y793" s="242"/>
      <c r="Z793" s="242"/>
      <c r="AA793" s="242"/>
      <c r="AB793" s="242"/>
    </row>
    <row r="794" hidden="1">
      <c r="A794" s="244" t="s">
        <v>4709</v>
      </c>
      <c r="B794" s="245" t="str">
        <f>VLOOKUP(A794,'تجربه‌گرها'!B:C,2,FALSE())</f>
        <v>9127425108</v>
      </c>
      <c r="C794" s="242"/>
      <c r="D794" s="242">
        <f t="shared" si="1"/>
        <v>1</v>
      </c>
      <c r="E794" s="242">
        <f>COUNTIFS('تجربه‌گرها'!$B:$B,$A794,'تجربه‌گرها'!$F:$F,E$1)</f>
        <v>0</v>
      </c>
      <c r="F794" s="242">
        <f>COUNTIFS('تجربه‌گرها'!$B:$B,$A794,'تجربه‌گرها'!$F:$F,F$1)</f>
        <v>0</v>
      </c>
      <c r="G794" s="242">
        <f>COUNTIFS('تجربه‌گرها'!$B:$B,$A794,'تجربه‌گرها'!$F:$F,G$1)</f>
        <v>0</v>
      </c>
      <c r="H794" s="242">
        <f>COUNTIFS('تجربه‌گرها'!$B:$B,$A794,'تجربه‌گرها'!$F:$F,H$1)</f>
        <v>0</v>
      </c>
      <c r="I794" s="242">
        <f>COUNTIFS('تجربه‌گرها'!$B:$B,$A794,'تجربه‌گرها'!$F:$F,I$1)</f>
        <v>0</v>
      </c>
      <c r="J794" s="242">
        <f>COUNTIFS('تجربه‌گرها'!$B:$B,$A794,'تجربه‌گرها'!$F:$F,J$1)</f>
        <v>0</v>
      </c>
      <c r="K794" s="242">
        <f>COUNTIFS('تجربه‌گرها'!$B:$B,$A794,'تجربه‌گرها'!$F:$F,K$1)</f>
        <v>1</v>
      </c>
      <c r="L794" s="242">
        <f>COUNTIFS('تجربه‌گرها'!$B:$B,$A794,'تجربه‌گرها'!$F:$F,L$1)</f>
        <v>0</v>
      </c>
      <c r="M794" s="242">
        <f>COUNTIFS('تجربه‌گرها'!$B:$B,$A794,'تجربه‌گرها'!$F:$F,M$1)</f>
        <v>0</v>
      </c>
      <c r="N794" s="242">
        <f>COUNTIFS('تجربه‌گرها'!$B:$B,$A794,'تجربه‌گرها'!$F:$F,N$1)</f>
        <v>0</v>
      </c>
      <c r="O794" s="242">
        <f>COUNTIFS('تجربه‌گرها'!$B:$B,$A794,'تجربه‌گرها'!$F:$F,O$1)</f>
        <v>0</v>
      </c>
      <c r="P794" s="242">
        <f>COUNTIFS('تجربه‌گرها'!$B:$B,$A794,'تجربه‌گرها'!$F:$F,P$1)</f>
        <v>0</v>
      </c>
      <c r="Q794" s="242">
        <f>COUNTIFS('تجربه‌گرها'!$B:$B,$A794,'تجربه‌گرها'!$F:$F,Q$1)</f>
        <v>0</v>
      </c>
      <c r="R794" s="242">
        <f>COUNTIFS('تجربه‌گرها'!$B:$B,$A794,'تجربه‌گرها'!$F:$F,R$1)</f>
        <v>0</v>
      </c>
      <c r="S794" s="242">
        <f>COUNTIFS('تجربه‌گرها'!$B:$B,$A794,'تجربه‌گرها'!$F:$F,S$1)</f>
        <v>0</v>
      </c>
      <c r="T794" s="242">
        <f>COUNTIFS('تجربه‌گرها'!$B:$B,$A794,'تجربه‌گرها'!$F:$F,T$1)</f>
        <v>0</v>
      </c>
      <c r="U794" s="242"/>
      <c r="V794" s="242"/>
      <c r="W794" s="242"/>
      <c r="X794" s="242"/>
      <c r="Y794" s="242"/>
      <c r="Z794" s="242"/>
      <c r="AA794" s="242"/>
      <c r="AB794" s="242"/>
    </row>
    <row r="795" hidden="1">
      <c r="A795" s="244" t="s">
        <v>4714</v>
      </c>
      <c r="B795" s="245" t="str">
        <f>VLOOKUP(A795,'تجربه‌گرها'!B:C,2,FALSE())</f>
        <v>9355138001</v>
      </c>
      <c r="C795" s="242"/>
      <c r="D795" s="242">
        <f t="shared" si="1"/>
        <v>1</v>
      </c>
      <c r="E795" s="242">
        <f>COUNTIFS('تجربه‌گرها'!$B:$B,$A795,'تجربه‌گرها'!$F:$F,E$1)</f>
        <v>0</v>
      </c>
      <c r="F795" s="242">
        <f>COUNTIFS('تجربه‌گرها'!$B:$B,$A795,'تجربه‌گرها'!$F:$F,F$1)</f>
        <v>0</v>
      </c>
      <c r="G795" s="242">
        <f>COUNTIFS('تجربه‌گرها'!$B:$B,$A795,'تجربه‌گرها'!$F:$F,G$1)</f>
        <v>0</v>
      </c>
      <c r="H795" s="242">
        <f>COUNTIFS('تجربه‌گرها'!$B:$B,$A795,'تجربه‌گرها'!$F:$F,H$1)</f>
        <v>0</v>
      </c>
      <c r="I795" s="242">
        <f>COUNTIFS('تجربه‌گرها'!$B:$B,$A795,'تجربه‌گرها'!$F:$F,I$1)</f>
        <v>0</v>
      </c>
      <c r="J795" s="242">
        <f>COUNTIFS('تجربه‌گرها'!$B:$B,$A795,'تجربه‌گرها'!$F:$F,J$1)</f>
        <v>0</v>
      </c>
      <c r="K795" s="242">
        <f>COUNTIFS('تجربه‌گرها'!$B:$B,$A795,'تجربه‌گرها'!$F:$F,K$1)</f>
        <v>1</v>
      </c>
      <c r="L795" s="242">
        <f>COUNTIFS('تجربه‌گرها'!$B:$B,$A795,'تجربه‌گرها'!$F:$F,L$1)</f>
        <v>0</v>
      </c>
      <c r="M795" s="242">
        <f>COUNTIFS('تجربه‌گرها'!$B:$B,$A795,'تجربه‌گرها'!$F:$F,M$1)</f>
        <v>0</v>
      </c>
      <c r="N795" s="242">
        <f>COUNTIFS('تجربه‌گرها'!$B:$B,$A795,'تجربه‌گرها'!$F:$F,N$1)</f>
        <v>0</v>
      </c>
      <c r="O795" s="242">
        <f>COUNTIFS('تجربه‌گرها'!$B:$B,$A795,'تجربه‌گرها'!$F:$F,O$1)</f>
        <v>0</v>
      </c>
      <c r="P795" s="242">
        <f>COUNTIFS('تجربه‌گرها'!$B:$B,$A795,'تجربه‌گرها'!$F:$F,P$1)</f>
        <v>0</v>
      </c>
      <c r="Q795" s="242">
        <f>COUNTIFS('تجربه‌گرها'!$B:$B,$A795,'تجربه‌گرها'!$F:$F,Q$1)</f>
        <v>0</v>
      </c>
      <c r="R795" s="242">
        <f>COUNTIFS('تجربه‌گرها'!$B:$B,$A795,'تجربه‌گرها'!$F:$F,R$1)</f>
        <v>0</v>
      </c>
      <c r="S795" s="242">
        <f>COUNTIFS('تجربه‌گرها'!$B:$B,$A795,'تجربه‌گرها'!$F:$F,S$1)</f>
        <v>0</v>
      </c>
      <c r="T795" s="242">
        <f>COUNTIFS('تجربه‌گرها'!$B:$B,$A795,'تجربه‌گرها'!$F:$F,T$1)</f>
        <v>0</v>
      </c>
      <c r="U795" s="242"/>
      <c r="V795" s="242"/>
      <c r="W795" s="242"/>
      <c r="X795" s="242"/>
      <c r="Y795" s="242"/>
      <c r="Z795" s="242"/>
      <c r="AA795" s="242"/>
      <c r="AB795" s="242"/>
    </row>
    <row r="796" hidden="1">
      <c r="A796" s="244" t="s">
        <v>4720</v>
      </c>
      <c r="B796" s="245" t="str">
        <f>VLOOKUP(A796,'تجربه‌گرها'!B:C,2,FALSE())</f>
        <v>9123840336</v>
      </c>
      <c r="C796" s="242"/>
      <c r="D796" s="242">
        <f t="shared" si="1"/>
        <v>1</v>
      </c>
      <c r="E796" s="242">
        <f>COUNTIFS('تجربه‌گرها'!$B:$B,$A796,'تجربه‌گرها'!$F:$F,E$1)</f>
        <v>0</v>
      </c>
      <c r="F796" s="242">
        <f>COUNTIFS('تجربه‌گرها'!$B:$B,$A796,'تجربه‌گرها'!$F:$F,F$1)</f>
        <v>0</v>
      </c>
      <c r="G796" s="242">
        <f>COUNTIFS('تجربه‌گرها'!$B:$B,$A796,'تجربه‌گرها'!$F:$F,G$1)</f>
        <v>0</v>
      </c>
      <c r="H796" s="242">
        <f>COUNTIFS('تجربه‌گرها'!$B:$B,$A796,'تجربه‌گرها'!$F:$F,H$1)</f>
        <v>0</v>
      </c>
      <c r="I796" s="242">
        <f>COUNTIFS('تجربه‌گرها'!$B:$B,$A796,'تجربه‌گرها'!$F:$F,I$1)</f>
        <v>0</v>
      </c>
      <c r="J796" s="242">
        <f>COUNTIFS('تجربه‌گرها'!$B:$B,$A796,'تجربه‌گرها'!$F:$F,J$1)</f>
        <v>0</v>
      </c>
      <c r="K796" s="242">
        <f>COUNTIFS('تجربه‌گرها'!$B:$B,$A796,'تجربه‌گرها'!$F:$F,K$1)</f>
        <v>1</v>
      </c>
      <c r="L796" s="242">
        <f>COUNTIFS('تجربه‌گرها'!$B:$B,$A796,'تجربه‌گرها'!$F:$F,L$1)</f>
        <v>0</v>
      </c>
      <c r="M796" s="242">
        <f>COUNTIFS('تجربه‌گرها'!$B:$B,$A796,'تجربه‌گرها'!$F:$F,M$1)</f>
        <v>0</v>
      </c>
      <c r="N796" s="242">
        <f>COUNTIFS('تجربه‌گرها'!$B:$B,$A796,'تجربه‌گرها'!$F:$F,N$1)</f>
        <v>0</v>
      </c>
      <c r="O796" s="242">
        <f>COUNTIFS('تجربه‌گرها'!$B:$B,$A796,'تجربه‌گرها'!$F:$F,O$1)</f>
        <v>0</v>
      </c>
      <c r="P796" s="242">
        <f>COUNTIFS('تجربه‌گرها'!$B:$B,$A796,'تجربه‌گرها'!$F:$F,P$1)</f>
        <v>0</v>
      </c>
      <c r="Q796" s="242">
        <f>COUNTIFS('تجربه‌گرها'!$B:$B,$A796,'تجربه‌گرها'!$F:$F,Q$1)</f>
        <v>0</v>
      </c>
      <c r="R796" s="242">
        <f>COUNTIFS('تجربه‌گرها'!$B:$B,$A796,'تجربه‌گرها'!$F:$F,R$1)</f>
        <v>0</v>
      </c>
      <c r="S796" s="242">
        <f>COUNTIFS('تجربه‌گرها'!$B:$B,$A796,'تجربه‌گرها'!$F:$F,S$1)</f>
        <v>0</v>
      </c>
      <c r="T796" s="242">
        <f>COUNTIFS('تجربه‌گرها'!$B:$B,$A796,'تجربه‌گرها'!$F:$F,T$1)</f>
        <v>0</v>
      </c>
      <c r="U796" s="242"/>
      <c r="V796" s="242"/>
      <c r="W796" s="242"/>
      <c r="X796" s="242"/>
      <c r="Y796" s="242"/>
      <c r="Z796" s="242"/>
      <c r="AA796" s="242"/>
      <c r="AB796" s="242"/>
    </row>
    <row r="797" hidden="1">
      <c r="A797" s="244" t="s">
        <v>4724</v>
      </c>
      <c r="B797" s="245" t="str">
        <f>VLOOKUP(A797,'تجربه‌گرها'!B:C,2,FALSE())</f>
        <v>9395605075</v>
      </c>
      <c r="C797" s="242"/>
      <c r="D797" s="242">
        <f t="shared" si="1"/>
        <v>1</v>
      </c>
      <c r="E797" s="242">
        <f>COUNTIFS('تجربه‌گرها'!$B:$B,$A797,'تجربه‌گرها'!$F:$F,E$1)</f>
        <v>0</v>
      </c>
      <c r="F797" s="242">
        <f>COUNTIFS('تجربه‌گرها'!$B:$B,$A797,'تجربه‌گرها'!$F:$F,F$1)</f>
        <v>0</v>
      </c>
      <c r="G797" s="242">
        <f>COUNTIFS('تجربه‌گرها'!$B:$B,$A797,'تجربه‌گرها'!$F:$F,G$1)</f>
        <v>0</v>
      </c>
      <c r="H797" s="242">
        <f>COUNTIFS('تجربه‌گرها'!$B:$B,$A797,'تجربه‌گرها'!$F:$F,H$1)</f>
        <v>0</v>
      </c>
      <c r="I797" s="242">
        <f>COUNTIFS('تجربه‌گرها'!$B:$B,$A797,'تجربه‌گرها'!$F:$F,I$1)</f>
        <v>0</v>
      </c>
      <c r="J797" s="242">
        <f>COUNTIFS('تجربه‌گرها'!$B:$B,$A797,'تجربه‌گرها'!$F:$F,J$1)</f>
        <v>0</v>
      </c>
      <c r="K797" s="242">
        <f>COUNTIFS('تجربه‌گرها'!$B:$B,$A797,'تجربه‌گرها'!$F:$F,K$1)</f>
        <v>0</v>
      </c>
      <c r="L797" s="242">
        <f>COUNTIFS('تجربه‌گرها'!$B:$B,$A797,'تجربه‌گرها'!$F:$F,L$1)</f>
        <v>1</v>
      </c>
      <c r="M797" s="242">
        <f>COUNTIFS('تجربه‌گرها'!$B:$B,$A797,'تجربه‌گرها'!$F:$F,M$1)</f>
        <v>0</v>
      </c>
      <c r="N797" s="242">
        <f>COUNTIFS('تجربه‌گرها'!$B:$B,$A797,'تجربه‌گرها'!$F:$F,N$1)</f>
        <v>0</v>
      </c>
      <c r="O797" s="242">
        <f>COUNTIFS('تجربه‌گرها'!$B:$B,$A797,'تجربه‌گرها'!$F:$F,O$1)</f>
        <v>0</v>
      </c>
      <c r="P797" s="242">
        <f>COUNTIFS('تجربه‌گرها'!$B:$B,$A797,'تجربه‌گرها'!$F:$F,P$1)</f>
        <v>0</v>
      </c>
      <c r="Q797" s="242">
        <f>COUNTIFS('تجربه‌گرها'!$B:$B,$A797,'تجربه‌گرها'!$F:$F,Q$1)</f>
        <v>0</v>
      </c>
      <c r="R797" s="242">
        <f>COUNTIFS('تجربه‌گرها'!$B:$B,$A797,'تجربه‌گرها'!$F:$F,R$1)</f>
        <v>0</v>
      </c>
      <c r="S797" s="242">
        <f>COUNTIFS('تجربه‌گرها'!$B:$B,$A797,'تجربه‌گرها'!$F:$F,S$1)</f>
        <v>0</v>
      </c>
      <c r="T797" s="242">
        <f>COUNTIFS('تجربه‌گرها'!$B:$B,$A797,'تجربه‌گرها'!$F:$F,T$1)</f>
        <v>0</v>
      </c>
      <c r="U797" s="242"/>
      <c r="V797" s="242"/>
      <c r="W797" s="242"/>
      <c r="X797" s="242"/>
      <c r="Y797" s="242"/>
      <c r="Z797" s="242"/>
      <c r="AA797" s="242"/>
      <c r="AB797" s="242"/>
    </row>
    <row r="798">
      <c r="A798" s="244" t="s">
        <v>4728</v>
      </c>
      <c r="B798" s="245" t="str">
        <f>VLOOKUP(A798,'تجربه‌گرها'!B:C,2,FALSE())</f>
        <v>9109005263</v>
      </c>
      <c r="C798" s="242"/>
      <c r="D798" s="242">
        <f t="shared" si="1"/>
        <v>1</v>
      </c>
      <c r="E798" s="242">
        <f>COUNTIFS('تجربه‌گرها'!$B:$B,$A798,'تجربه‌گرها'!$F:$F,E$1)</f>
        <v>0</v>
      </c>
      <c r="F798" s="242">
        <f>COUNTIFS('تجربه‌گرها'!$B:$B,$A798,'تجربه‌گرها'!$F:$F,F$1)</f>
        <v>0</v>
      </c>
      <c r="G798" s="242">
        <f>COUNTIFS('تجربه‌گرها'!$B:$B,$A798,'تجربه‌گرها'!$F:$F,G$1)</f>
        <v>0</v>
      </c>
      <c r="H798" s="242">
        <f>COUNTIFS('تجربه‌گرها'!$B:$B,$A798,'تجربه‌گرها'!$F:$F,H$1)</f>
        <v>0</v>
      </c>
      <c r="I798" s="242">
        <f>COUNTIFS('تجربه‌گرها'!$B:$B,$A798,'تجربه‌گرها'!$F:$F,I$1)</f>
        <v>0</v>
      </c>
      <c r="J798" s="242">
        <f>COUNTIFS('تجربه‌گرها'!$B:$B,$A798,'تجربه‌گرها'!$F:$F,J$1)</f>
        <v>0</v>
      </c>
      <c r="K798" s="242">
        <f>COUNTIFS('تجربه‌گرها'!$B:$B,$A798,'تجربه‌گرها'!$F:$F,K$1)</f>
        <v>0</v>
      </c>
      <c r="L798" s="242">
        <f>COUNTIFS('تجربه‌گرها'!$B:$B,$A798,'تجربه‌گرها'!$F:$F,L$1)</f>
        <v>1</v>
      </c>
      <c r="M798" s="242">
        <f>COUNTIFS('تجربه‌گرها'!$B:$B,$A798,'تجربه‌گرها'!$F:$F,M$1)</f>
        <v>0</v>
      </c>
      <c r="N798" s="242">
        <f>COUNTIFS('تجربه‌گرها'!$B:$B,$A798,'تجربه‌گرها'!$F:$F,N$1)</f>
        <v>0</v>
      </c>
      <c r="O798" s="242">
        <f>COUNTIFS('تجربه‌گرها'!$B:$B,$A798,'تجربه‌گرها'!$F:$F,O$1)</f>
        <v>0</v>
      </c>
      <c r="P798" s="242">
        <f>COUNTIFS('تجربه‌گرها'!$B:$B,$A798,'تجربه‌گرها'!$F:$F,P$1)</f>
        <v>0</v>
      </c>
      <c r="Q798" s="242">
        <f>COUNTIFS('تجربه‌گرها'!$B:$B,$A798,'تجربه‌گرها'!$F:$F,Q$1)</f>
        <v>0</v>
      </c>
      <c r="R798" s="242">
        <f>COUNTIFS('تجربه‌گرها'!$B:$B,$A798,'تجربه‌گرها'!$F:$F,R$1)</f>
        <v>0</v>
      </c>
      <c r="S798" s="242">
        <f>COUNTIFS('تجربه‌گرها'!$B:$B,$A798,'تجربه‌گرها'!$F:$F,S$1)</f>
        <v>0</v>
      </c>
      <c r="T798" s="242">
        <f>COUNTIFS('تجربه‌گرها'!$B:$B,$A798,'تجربه‌گرها'!$F:$F,T$1)</f>
        <v>0</v>
      </c>
      <c r="U798" s="242"/>
      <c r="V798" s="242"/>
      <c r="W798" s="242"/>
      <c r="X798" s="242"/>
      <c r="Y798" s="242"/>
      <c r="Z798" s="242"/>
      <c r="AA798" s="242"/>
      <c r="AB798" s="242"/>
    </row>
    <row r="799" hidden="1">
      <c r="A799" s="244" t="s">
        <v>4731</v>
      </c>
      <c r="B799" s="245" t="str">
        <f>VLOOKUP(A799,'تجربه‌گرها'!B:C,2,FALSE())</f>
        <v>9331904053</v>
      </c>
      <c r="C799" s="242"/>
      <c r="D799" s="242">
        <f t="shared" si="1"/>
        <v>1</v>
      </c>
      <c r="E799" s="242">
        <f>COUNTIFS('تجربه‌گرها'!$B:$B,$A799,'تجربه‌گرها'!$F:$F,E$1)</f>
        <v>0</v>
      </c>
      <c r="F799" s="242">
        <f>COUNTIFS('تجربه‌گرها'!$B:$B,$A799,'تجربه‌گرها'!$F:$F,F$1)</f>
        <v>0</v>
      </c>
      <c r="G799" s="242">
        <f>COUNTIFS('تجربه‌گرها'!$B:$B,$A799,'تجربه‌گرها'!$F:$F,G$1)</f>
        <v>0</v>
      </c>
      <c r="H799" s="242">
        <f>COUNTIFS('تجربه‌گرها'!$B:$B,$A799,'تجربه‌گرها'!$F:$F,H$1)</f>
        <v>0</v>
      </c>
      <c r="I799" s="242">
        <f>COUNTIFS('تجربه‌گرها'!$B:$B,$A799,'تجربه‌گرها'!$F:$F,I$1)</f>
        <v>0</v>
      </c>
      <c r="J799" s="242">
        <f>COUNTIFS('تجربه‌گرها'!$B:$B,$A799,'تجربه‌گرها'!$F:$F,J$1)</f>
        <v>0</v>
      </c>
      <c r="K799" s="242">
        <f>COUNTIFS('تجربه‌گرها'!$B:$B,$A799,'تجربه‌گرها'!$F:$F,K$1)</f>
        <v>0</v>
      </c>
      <c r="L799" s="242">
        <f>COUNTIFS('تجربه‌گرها'!$B:$B,$A799,'تجربه‌گرها'!$F:$F,L$1)</f>
        <v>1</v>
      </c>
      <c r="M799" s="242">
        <f>COUNTIFS('تجربه‌گرها'!$B:$B,$A799,'تجربه‌گرها'!$F:$F,M$1)</f>
        <v>0</v>
      </c>
      <c r="N799" s="242">
        <f>COUNTIFS('تجربه‌گرها'!$B:$B,$A799,'تجربه‌گرها'!$F:$F,N$1)</f>
        <v>0</v>
      </c>
      <c r="O799" s="242">
        <f>COUNTIFS('تجربه‌گرها'!$B:$B,$A799,'تجربه‌گرها'!$F:$F,O$1)</f>
        <v>0</v>
      </c>
      <c r="P799" s="242">
        <f>COUNTIFS('تجربه‌گرها'!$B:$B,$A799,'تجربه‌گرها'!$F:$F,P$1)</f>
        <v>0</v>
      </c>
      <c r="Q799" s="242">
        <f>COUNTIFS('تجربه‌گرها'!$B:$B,$A799,'تجربه‌گرها'!$F:$F,Q$1)</f>
        <v>0</v>
      </c>
      <c r="R799" s="242">
        <f>COUNTIFS('تجربه‌گرها'!$B:$B,$A799,'تجربه‌گرها'!$F:$F,R$1)</f>
        <v>0</v>
      </c>
      <c r="S799" s="242">
        <f>COUNTIFS('تجربه‌گرها'!$B:$B,$A799,'تجربه‌گرها'!$F:$F,S$1)</f>
        <v>0</v>
      </c>
      <c r="T799" s="242">
        <f>COUNTIFS('تجربه‌گرها'!$B:$B,$A799,'تجربه‌گرها'!$F:$F,T$1)</f>
        <v>0</v>
      </c>
      <c r="U799" s="242"/>
      <c r="V799" s="242"/>
      <c r="W799" s="242"/>
      <c r="X799" s="242"/>
      <c r="Y799" s="242"/>
      <c r="Z799" s="242"/>
      <c r="AA799" s="242"/>
      <c r="AB799" s="242"/>
    </row>
    <row r="800" hidden="1">
      <c r="A800" s="244" t="s">
        <v>4736</v>
      </c>
      <c r="B800" s="245" t="str">
        <f>VLOOKUP(A800,'تجربه‌گرها'!B:C,2,FALSE())</f>
        <v>9213563794</v>
      </c>
      <c r="C800" s="242"/>
      <c r="D800" s="242">
        <f t="shared" si="1"/>
        <v>1</v>
      </c>
      <c r="E800" s="242">
        <f>COUNTIFS('تجربه‌گرها'!$B:$B,$A800,'تجربه‌گرها'!$F:$F,E$1)</f>
        <v>0</v>
      </c>
      <c r="F800" s="242">
        <f>COUNTIFS('تجربه‌گرها'!$B:$B,$A800,'تجربه‌گرها'!$F:$F,F$1)</f>
        <v>0</v>
      </c>
      <c r="G800" s="242">
        <f>COUNTIFS('تجربه‌گرها'!$B:$B,$A800,'تجربه‌گرها'!$F:$F,G$1)</f>
        <v>0</v>
      </c>
      <c r="H800" s="242">
        <f>COUNTIFS('تجربه‌گرها'!$B:$B,$A800,'تجربه‌گرها'!$F:$F,H$1)</f>
        <v>0</v>
      </c>
      <c r="I800" s="242">
        <f>COUNTIFS('تجربه‌گرها'!$B:$B,$A800,'تجربه‌گرها'!$F:$F,I$1)</f>
        <v>0</v>
      </c>
      <c r="J800" s="242">
        <f>COUNTIFS('تجربه‌گرها'!$B:$B,$A800,'تجربه‌گرها'!$F:$F,J$1)</f>
        <v>0</v>
      </c>
      <c r="K800" s="242">
        <f>COUNTIFS('تجربه‌گرها'!$B:$B,$A800,'تجربه‌گرها'!$F:$F,K$1)</f>
        <v>0</v>
      </c>
      <c r="L800" s="242">
        <f>COUNTIFS('تجربه‌گرها'!$B:$B,$A800,'تجربه‌گرها'!$F:$F,L$1)</f>
        <v>1</v>
      </c>
      <c r="M800" s="242">
        <f>COUNTIFS('تجربه‌گرها'!$B:$B,$A800,'تجربه‌گرها'!$F:$F,M$1)</f>
        <v>0</v>
      </c>
      <c r="N800" s="242">
        <f>COUNTIFS('تجربه‌گرها'!$B:$B,$A800,'تجربه‌گرها'!$F:$F,N$1)</f>
        <v>0</v>
      </c>
      <c r="O800" s="242">
        <f>COUNTIFS('تجربه‌گرها'!$B:$B,$A800,'تجربه‌گرها'!$F:$F,O$1)</f>
        <v>0</v>
      </c>
      <c r="P800" s="242">
        <f>COUNTIFS('تجربه‌گرها'!$B:$B,$A800,'تجربه‌گرها'!$F:$F,P$1)</f>
        <v>0</v>
      </c>
      <c r="Q800" s="242">
        <f>COUNTIFS('تجربه‌گرها'!$B:$B,$A800,'تجربه‌گرها'!$F:$F,Q$1)</f>
        <v>0</v>
      </c>
      <c r="R800" s="242">
        <f>COUNTIFS('تجربه‌گرها'!$B:$B,$A800,'تجربه‌گرها'!$F:$F,R$1)</f>
        <v>0</v>
      </c>
      <c r="S800" s="242">
        <f>COUNTIFS('تجربه‌گرها'!$B:$B,$A800,'تجربه‌گرها'!$F:$F,S$1)</f>
        <v>0</v>
      </c>
      <c r="T800" s="242">
        <f>COUNTIFS('تجربه‌گرها'!$B:$B,$A800,'تجربه‌گرها'!$F:$F,T$1)</f>
        <v>0</v>
      </c>
      <c r="U800" s="242"/>
      <c r="V800" s="242"/>
      <c r="W800" s="242"/>
      <c r="X800" s="242"/>
      <c r="Y800" s="242"/>
      <c r="Z800" s="242"/>
      <c r="AA800" s="242"/>
      <c r="AB800" s="242"/>
    </row>
    <row r="801" hidden="1">
      <c r="A801" s="244" t="s">
        <v>713</v>
      </c>
      <c r="B801" s="245" t="str">
        <f>VLOOKUP(A801,'تجربه‌گرها'!B:C,2,FALSE())</f>
        <v>9121472143</v>
      </c>
      <c r="C801" s="242"/>
      <c r="D801" s="242">
        <f t="shared" si="1"/>
        <v>5</v>
      </c>
      <c r="E801" s="242">
        <f>COUNTIFS('تجربه‌گرها'!$B:$B,$A801,'تجربه‌گرها'!$F:$F,E$1)</f>
        <v>0</v>
      </c>
      <c r="F801" s="242">
        <f>COUNTIFS('تجربه‌گرها'!$B:$B,$A801,'تجربه‌گرها'!$F:$F,F$1)</f>
        <v>0</v>
      </c>
      <c r="G801" s="242">
        <f>COUNTIFS('تجربه‌گرها'!$B:$B,$A801,'تجربه‌گرها'!$F:$F,G$1)</f>
        <v>0</v>
      </c>
      <c r="H801" s="242">
        <f>COUNTIFS('تجربه‌گرها'!$B:$B,$A801,'تجربه‌گرها'!$F:$F,H$1)</f>
        <v>0</v>
      </c>
      <c r="I801" s="242">
        <f>COUNTIFS('تجربه‌گرها'!$B:$B,$A801,'تجربه‌گرها'!$F:$F,I$1)</f>
        <v>0</v>
      </c>
      <c r="J801" s="242">
        <f>COUNTIFS('تجربه‌گرها'!$B:$B,$A801,'تجربه‌گرها'!$F:$F,J$1)</f>
        <v>0</v>
      </c>
      <c r="K801" s="242">
        <f>COUNTIFS('تجربه‌گرها'!$B:$B,$A801,'تجربه‌گرها'!$F:$F,K$1)</f>
        <v>0</v>
      </c>
      <c r="L801" s="242">
        <f>COUNTIFS('تجربه‌گرها'!$B:$B,$A801,'تجربه‌گرها'!$F:$F,L$1)</f>
        <v>1</v>
      </c>
      <c r="M801" s="242">
        <f>COUNTIFS('تجربه‌گرها'!$B:$B,$A801,'تجربه‌گرها'!$F:$F,M$1)</f>
        <v>1</v>
      </c>
      <c r="N801" s="242">
        <f>COUNTIFS('تجربه‌گرها'!$B:$B,$A801,'تجربه‌گرها'!$F:$F,N$1)</f>
        <v>1</v>
      </c>
      <c r="O801" s="242">
        <f>COUNTIFS('تجربه‌گرها'!$B:$B,$A801,'تجربه‌گرها'!$F:$F,O$1)</f>
        <v>1</v>
      </c>
      <c r="P801" s="242">
        <f>COUNTIFS('تجربه‌گرها'!$B:$B,$A801,'تجربه‌گرها'!$F:$F,P$1)</f>
        <v>1</v>
      </c>
      <c r="Q801" s="242">
        <f>COUNTIFS('تجربه‌گرها'!$B:$B,$A801,'تجربه‌گرها'!$F:$F,Q$1)</f>
        <v>0</v>
      </c>
      <c r="R801" s="242">
        <f>COUNTIFS('تجربه‌گرها'!$B:$B,$A801,'تجربه‌گرها'!$F:$F,R$1)</f>
        <v>0</v>
      </c>
      <c r="S801" s="242">
        <f>COUNTIFS('تجربه‌گرها'!$B:$B,$A801,'تجربه‌گرها'!$F:$F,S$1)</f>
        <v>0</v>
      </c>
      <c r="T801" s="242">
        <f>COUNTIFS('تجربه‌گرها'!$B:$B,$A801,'تجربه‌گرها'!$F:$F,T$1)</f>
        <v>0</v>
      </c>
      <c r="U801" s="242"/>
      <c r="V801" s="242"/>
      <c r="W801" s="242"/>
      <c r="X801" s="242"/>
      <c r="Y801" s="242"/>
      <c r="Z801" s="242"/>
      <c r="AA801" s="242"/>
      <c r="AB801" s="242"/>
    </row>
    <row r="802" hidden="1">
      <c r="A802" s="244" t="s">
        <v>4742</v>
      </c>
      <c r="B802" s="245" t="str">
        <f>VLOOKUP(A802,'تجربه‌گرها'!B:C,2,FALSE())</f>
        <v/>
      </c>
      <c r="C802" s="242"/>
      <c r="D802" s="242">
        <f t="shared" si="1"/>
        <v>2</v>
      </c>
      <c r="E802" s="242">
        <f>COUNTIFS('تجربه‌گرها'!$B:$B,$A802,'تجربه‌گرها'!$F:$F,E$1)</f>
        <v>0</v>
      </c>
      <c r="F802" s="242">
        <f>COUNTIFS('تجربه‌گرها'!$B:$B,$A802,'تجربه‌گرها'!$F:$F,F$1)</f>
        <v>0</v>
      </c>
      <c r="G802" s="242">
        <f>COUNTIFS('تجربه‌گرها'!$B:$B,$A802,'تجربه‌گرها'!$F:$F,G$1)</f>
        <v>0</v>
      </c>
      <c r="H802" s="242">
        <f>COUNTIFS('تجربه‌گرها'!$B:$B,$A802,'تجربه‌گرها'!$F:$F,H$1)</f>
        <v>0</v>
      </c>
      <c r="I802" s="242">
        <f>COUNTIFS('تجربه‌گرها'!$B:$B,$A802,'تجربه‌گرها'!$F:$F,I$1)</f>
        <v>0</v>
      </c>
      <c r="J802" s="242">
        <f>COUNTIFS('تجربه‌گرها'!$B:$B,$A802,'تجربه‌گرها'!$F:$F,J$1)</f>
        <v>0</v>
      </c>
      <c r="K802" s="242">
        <f>COUNTIFS('تجربه‌گرها'!$B:$B,$A802,'تجربه‌گرها'!$F:$F,K$1)</f>
        <v>0</v>
      </c>
      <c r="L802" s="242">
        <f>COUNTIFS('تجربه‌گرها'!$B:$B,$A802,'تجربه‌گرها'!$F:$F,L$1)</f>
        <v>1</v>
      </c>
      <c r="M802" s="242">
        <f>COUNTIFS('تجربه‌گرها'!$B:$B,$A802,'تجربه‌گرها'!$F:$F,M$1)</f>
        <v>1</v>
      </c>
      <c r="N802" s="242">
        <f>COUNTIFS('تجربه‌گرها'!$B:$B,$A802,'تجربه‌گرها'!$F:$F,N$1)</f>
        <v>0</v>
      </c>
      <c r="O802" s="242">
        <f>COUNTIFS('تجربه‌گرها'!$B:$B,$A802,'تجربه‌گرها'!$F:$F,O$1)</f>
        <v>0</v>
      </c>
      <c r="P802" s="242">
        <f>COUNTIFS('تجربه‌گرها'!$B:$B,$A802,'تجربه‌گرها'!$F:$F,P$1)</f>
        <v>0</v>
      </c>
      <c r="Q802" s="242">
        <f>COUNTIFS('تجربه‌گرها'!$B:$B,$A802,'تجربه‌گرها'!$F:$F,Q$1)</f>
        <v>0</v>
      </c>
      <c r="R802" s="242">
        <f>COUNTIFS('تجربه‌گرها'!$B:$B,$A802,'تجربه‌گرها'!$F:$F,R$1)</f>
        <v>0</v>
      </c>
      <c r="S802" s="242">
        <f>COUNTIFS('تجربه‌گرها'!$B:$B,$A802,'تجربه‌گرها'!$F:$F,S$1)</f>
        <v>0</v>
      </c>
      <c r="T802" s="242">
        <f>COUNTIFS('تجربه‌گرها'!$B:$B,$A802,'تجربه‌گرها'!$F:$F,T$1)</f>
        <v>0</v>
      </c>
      <c r="U802" s="242"/>
      <c r="V802" s="242"/>
      <c r="W802" s="242"/>
      <c r="X802" s="242"/>
      <c r="Y802" s="242"/>
      <c r="Z802" s="242"/>
      <c r="AA802" s="242"/>
      <c r="AB802" s="242"/>
    </row>
    <row r="803" hidden="1">
      <c r="A803" s="244" t="s">
        <v>4744</v>
      </c>
      <c r="B803" s="245" t="str">
        <f>VLOOKUP(A803,'تجربه‌گرها'!B:C,2,FALSE())</f>
        <v>9144327232</v>
      </c>
      <c r="C803" s="242"/>
      <c r="D803" s="242">
        <f t="shared" si="1"/>
        <v>2</v>
      </c>
      <c r="E803" s="242">
        <f>COUNTIFS('تجربه‌گرها'!$B:$B,$A803,'تجربه‌گرها'!$F:$F,E$1)</f>
        <v>0</v>
      </c>
      <c r="F803" s="242">
        <f>COUNTIFS('تجربه‌گرها'!$B:$B,$A803,'تجربه‌گرها'!$F:$F,F$1)</f>
        <v>0</v>
      </c>
      <c r="G803" s="242">
        <f>COUNTIFS('تجربه‌گرها'!$B:$B,$A803,'تجربه‌گرها'!$F:$F,G$1)</f>
        <v>0</v>
      </c>
      <c r="H803" s="242">
        <f>COUNTIFS('تجربه‌گرها'!$B:$B,$A803,'تجربه‌گرها'!$F:$F,H$1)</f>
        <v>0</v>
      </c>
      <c r="I803" s="242">
        <f>COUNTIFS('تجربه‌گرها'!$B:$B,$A803,'تجربه‌گرها'!$F:$F,I$1)</f>
        <v>0</v>
      </c>
      <c r="J803" s="242">
        <f>COUNTIFS('تجربه‌گرها'!$B:$B,$A803,'تجربه‌گرها'!$F:$F,J$1)</f>
        <v>0</v>
      </c>
      <c r="K803" s="242">
        <f>COUNTIFS('تجربه‌گرها'!$B:$B,$A803,'تجربه‌گرها'!$F:$F,K$1)</f>
        <v>0</v>
      </c>
      <c r="L803" s="242">
        <f>COUNTIFS('تجربه‌گرها'!$B:$B,$A803,'تجربه‌گرها'!$F:$F,L$1)</f>
        <v>1</v>
      </c>
      <c r="M803" s="242">
        <f>COUNTIFS('تجربه‌گرها'!$B:$B,$A803,'تجربه‌گرها'!$F:$F,M$1)</f>
        <v>1</v>
      </c>
      <c r="N803" s="242">
        <f>COUNTIFS('تجربه‌گرها'!$B:$B,$A803,'تجربه‌گرها'!$F:$F,N$1)</f>
        <v>0</v>
      </c>
      <c r="O803" s="242">
        <f>COUNTIFS('تجربه‌گرها'!$B:$B,$A803,'تجربه‌گرها'!$F:$F,O$1)</f>
        <v>0</v>
      </c>
      <c r="P803" s="242">
        <f>COUNTIFS('تجربه‌گرها'!$B:$B,$A803,'تجربه‌گرها'!$F:$F,P$1)</f>
        <v>0</v>
      </c>
      <c r="Q803" s="242">
        <f>COUNTIFS('تجربه‌گرها'!$B:$B,$A803,'تجربه‌گرها'!$F:$F,Q$1)</f>
        <v>0</v>
      </c>
      <c r="R803" s="242">
        <f>COUNTIFS('تجربه‌گرها'!$B:$B,$A803,'تجربه‌گرها'!$F:$F,R$1)</f>
        <v>0</v>
      </c>
      <c r="S803" s="242">
        <f>COUNTIFS('تجربه‌گرها'!$B:$B,$A803,'تجربه‌گرها'!$F:$F,S$1)</f>
        <v>0</v>
      </c>
      <c r="T803" s="242">
        <f>COUNTIFS('تجربه‌گرها'!$B:$B,$A803,'تجربه‌گرها'!$F:$F,T$1)</f>
        <v>0</v>
      </c>
      <c r="U803" s="242"/>
      <c r="V803" s="242"/>
      <c r="W803" s="242"/>
      <c r="X803" s="242"/>
      <c r="Y803" s="242"/>
      <c r="Z803" s="242"/>
      <c r="AA803" s="242"/>
      <c r="AB803" s="242"/>
    </row>
    <row r="804" hidden="1">
      <c r="A804" s="244" t="s">
        <v>4748</v>
      </c>
      <c r="B804" s="245" t="str">
        <f>VLOOKUP(A804,'تجربه‌گرها'!B:C,2,FALSE())</f>
        <v>9389813202</v>
      </c>
      <c r="C804" s="242"/>
      <c r="D804" s="242">
        <f t="shared" si="1"/>
        <v>1</v>
      </c>
      <c r="E804" s="242">
        <f>COUNTIFS('تجربه‌گرها'!$B:$B,$A804,'تجربه‌گرها'!$F:$F,E$1)</f>
        <v>0</v>
      </c>
      <c r="F804" s="242">
        <f>COUNTIFS('تجربه‌گرها'!$B:$B,$A804,'تجربه‌گرها'!$F:$F,F$1)</f>
        <v>0</v>
      </c>
      <c r="G804" s="242">
        <f>COUNTIFS('تجربه‌گرها'!$B:$B,$A804,'تجربه‌گرها'!$F:$F,G$1)</f>
        <v>0</v>
      </c>
      <c r="H804" s="242">
        <f>COUNTIFS('تجربه‌گرها'!$B:$B,$A804,'تجربه‌گرها'!$F:$F,H$1)</f>
        <v>0</v>
      </c>
      <c r="I804" s="242">
        <f>COUNTIFS('تجربه‌گرها'!$B:$B,$A804,'تجربه‌گرها'!$F:$F,I$1)</f>
        <v>0</v>
      </c>
      <c r="J804" s="242">
        <f>COUNTIFS('تجربه‌گرها'!$B:$B,$A804,'تجربه‌گرها'!$F:$F,J$1)</f>
        <v>0</v>
      </c>
      <c r="K804" s="242">
        <f>COUNTIFS('تجربه‌گرها'!$B:$B,$A804,'تجربه‌گرها'!$F:$F,K$1)</f>
        <v>0</v>
      </c>
      <c r="L804" s="242">
        <f>COUNTIFS('تجربه‌گرها'!$B:$B,$A804,'تجربه‌گرها'!$F:$F,L$1)</f>
        <v>1</v>
      </c>
      <c r="M804" s="242">
        <f>COUNTIFS('تجربه‌گرها'!$B:$B,$A804,'تجربه‌گرها'!$F:$F,M$1)</f>
        <v>0</v>
      </c>
      <c r="N804" s="242">
        <f>COUNTIFS('تجربه‌گرها'!$B:$B,$A804,'تجربه‌گرها'!$F:$F,N$1)</f>
        <v>0</v>
      </c>
      <c r="O804" s="242">
        <f>COUNTIFS('تجربه‌گرها'!$B:$B,$A804,'تجربه‌گرها'!$F:$F,O$1)</f>
        <v>0</v>
      </c>
      <c r="P804" s="242">
        <f>COUNTIFS('تجربه‌گرها'!$B:$B,$A804,'تجربه‌گرها'!$F:$F,P$1)</f>
        <v>0</v>
      </c>
      <c r="Q804" s="242">
        <f>COUNTIFS('تجربه‌گرها'!$B:$B,$A804,'تجربه‌گرها'!$F:$F,Q$1)</f>
        <v>0</v>
      </c>
      <c r="R804" s="242">
        <f>COUNTIFS('تجربه‌گرها'!$B:$B,$A804,'تجربه‌گرها'!$F:$F,R$1)</f>
        <v>0</v>
      </c>
      <c r="S804" s="242">
        <f>COUNTIFS('تجربه‌گرها'!$B:$B,$A804,'تجربه‌گرها'!$F:$F,S$1)</f>
        <v>0</v>
      </c>
      <c r="T804" s="242">
        <f>COUNTIFS('تجربه‌گرها'!$B:$B,$A804,'تجربه‌گرها'!$F:$F,T$1)</f>
        <v>0</v>
      </c>
      <c r="U804" s="242"/>
      <c r="V804" s="242"/>
      <c r="W804" s="242"/>
      <c r="X804" s="242"/>
      <c r="Y804" s="242"/>
      <c r="Z804" s="242"/>
      <c r="AA804" s="242"/>
      <c r="AB804" s="242"/>
    </row>
    <row r="805" hidden="1">
      <c r="A805" s="244" t="s">
        <v>192</v>
      </c>
      <c r="B805" s="245" t="str">
        <f>VLOOKUP(A805,'تجربه‌گرها'!B:C,2,FALSE())</f>
        <v>9120315132</v>
      </c>
      <c r="C805" s="242"/>
      <c r="D805" s="242">
        <f t="shared" si="1"/>
        <v>1</v>
      </c>
      <c r="E805" s="242">
        <f>COUNTIFS('تجربه‌گرها'!$B:$B,$A805,'تجربه‌گرها'!$F:$F,E$1)</f>
        <v>0</v>
      </c>
      <c r="F805" s="242">
        <f>COUNTIFS('تجربه‌گرها'!$B:$B,$A805,'تجربه‌گرها'!$F:$F,F$1)</f>
        <v>0</v>
      </c>
      <c r="G805" s="242">
        <f>COUNTIFS('تجربه‌گرها'!$B:$B,$A805,'تجربه‌گرها'!$F:$F,G$1)</f>
        <v>0</v>
      </c>
      <c r="H805" s="242">
        <f>COUNTIFS('تجربه‌گرها'!$B:$B,$A805,'تجربه‌گرها'!$F:$F,H$1)</f>
        <v>0</v>
      </c>
      <c r="I805" s="242">
        <f>COUNTIFS('تجربه‌گرها'!$B:$B,$A805,'تجربه‌گرها'!$F:$F,I$1)</f>
        <v>0</v>
      </c>
      <c r="J805" s="242">
        <f>COUNTIFS('تجربه‌گرها'!$B:$B,$A805,'تجربه‌گرها'!$F:$F,J$1)</f>
        <v>0</v>
      </c>
      <c r="K805" s="242">
        <f>COUNTIFS('تجربه‌گرها'!$B:$B,$A805,'تجربه‌گرها'!$F:$F,K$1)</f>
        <v>0</v>
      </c>
      <c r="L805" s="242">
        <f>COUNTIFS('تجربه‌گرها'!$B:$B,$A805,'تجربه‌گرها'!$F:$F,L$1)</f>
        <v>1</v>
      </c>
      <c r="M805" s="242">
        <f>COUNTIFS('تجربه‌گرها'!$B:$B,$A805,'تجربه‌گرها'!$F:$F,M$1)</f>
        <v>0</v>
      </c>
      <c r="N805" s="242">
        <f>COUNTIFS('تجربه‌گرها'!$B:$B,$A805,'تجربه‌گرها'!$F:$F,N$1)</f>
        <v>0</v>
      </c>
      <c r="O805" s="242">
        <f>COUNTIFS('تجربه‌گرها'!$B:$B,$A805,'تجربه‌گرها'!$F:$F,O$1)</f>
        <v>0</v>
      </c>
      <c r="P805" s="242">
        <f>COUNTIFS('تجربه‌گرها'!$B:$B,$A805,'تجربه‌گرها'!$F:$F,P$1)</f>
        <v>0</v>
      </c>
      <c r="Q805" s="242">
        <f>COUNTIFS('تجربه‌گرها'!$B:$B,$A805,'تجربه‌گرها'!$F:$F,Q$1)</f>
        <v>0</v>
      </c>
      <c r="R805" s="242">
        <f>COUNTIFS('تجربه‌گرها'!$B:$B,$A805,'تجربه‌گرها'!$F:$F,R$1)</f>
        <v>0</v>
      </c>
      <c r="S805" s="242">
        <f>COUNTIFS('تجربه‌گرها'!$B:$B,$A805,'تجربه‌گرها'!$F:$F,S$1)</f>
        <v>0</v>
      </c>
      <c r="T805" s="242">
        <f>COUNTIFS('تجربه‌گرها'!$B:$B,$A805,'تجربه‌گرها'!$F:$F,T$1)</f>
        <v>0</v>
      </c>
      <c r="U805" s="242"/>
      <c r="V805" s="242"/>
      <c r="W805" s="242"/>
      <c r="X805" s="242"/>
      <c r="Y805" s="242"/>
      <c r="Z805" s="242"/>
      <c r="AA805" s="242"/>
      <c r="AB805" s="242"/>
    </row>
    <row r="806" hidden="1">
      <c r="A806" s="244" t="s">
        <v>4754</v>
      </c>
      <c r="B806" s="245" t="str">
        <f>VLOOKUP(A806,'تجربه‌گرها'!B:C,2,FALSE())</f>
        <v>9168550752</v>
      </c>
      <c r="C806" s="242"/>
      <c r="D806" s="242">
        <f t="shared" si="1"/>
        <v>1</v>
      </c>
      <c r="E806" s="242">
        <f>COUNTIFS('تجربه‌گرها'!$B:$B,$A806,'تجربه‌گرها'!$F:$F,E$1)</f>
        <v>0</v>
      </c>
      <c r="F806" s="242">
        <f>COUNTIFS('تجربه‌گرها'!$B:$B,$A806,'تجربه‌گرها'!$F:$F,F$1)</f>
        <v>0</v>
      </c>
      <c r="G806" s="242">
        <f>COUNTIFS('تجربه‌گرها'!$B:$B,$A806,'تجربه‌گرها'!$F:$F,G$1)</f>
        <v>0</v>
      </c>
      <c r="H806" s="242">
        <f>COUNTIFS('تجربه‌گرها'!$B:$B,$A806,'تجربه‌گرها'!$F:$F,H$1)</f>
        <v>0</v>
      </c>
      <c r="I806" s="242">
        <f>COUNTIFS('تجربه‌گرها'!$B:$B,$A806,'تجربه‌گرها'!$F:$F,I$1)</f>
        <v>0</v>
      </c>
      <c r="J806" s="242">
        <f>COUNTIFS('تجربه‌گرها'!$B:$B,$A806,'تجربه‌گرها'!$F:$F,J$1)</f>
        <v>0</v>
      </c>
      <c r="K806" s="242">
        <f>COUNTIFS('تجربه‌گرها'!$B:$B,$A806,'تجربه‌گرها'!$F:$F,K$1)</f>
        <v>0</v>
      </c>
      <c r="L806" s="242">
        <f>COUNTIFS('تجربه‌گرها'!$B:$B,$A806,'تجربه‌گرها'!$F:$F,L$1)</f>
        <v>1</v>
      </c>
      <c r="M806" s="242">
        <f>COUNTIFS('تجربه‌گرها'!$B:$B,$A806,'تجربه‌گرها'!$F:$F,M$1)</f>
        <v>0</v>
      </c>
      <c r="N806" s="242">
        <f>COUNTIFS('تجربه‌گرها'!$B:$B,$A806,'تجربه‌گرها'!$F:$F,N$1)</f>
        <v>0</v>
      </c>
      <c r="O806" s="242">
        <f>COUNTIFS('تجربه‌گرها'!$B:$B,$A806,'تجربه‌گرها'!$F:$F,O$1)</f>
        <v>0</v>
      </c>
      <c r="P806" s="242">
        <f>COUNTIFS('تجربه‌گرها'!$B:$B,$A806,'تجربه‌گرها'!$F:$F,P$1)</f>
        <v>0</v>
      </c>
      <c r="Q806" s="242">
        <f>COUNTIFS('تجربه‌گرها'!$B:$B,$A806,'تجربه‌گرها'!$F:$F,Q$1)</f>
        <v>0</v>
      </c>
      <c r="R806" s="242">
        <f>COUNTIFS('تجربه‌گرها'!$B:$B,$A806,'تجربه‌گرها'!$F:$F,R$1)</f>
        <v>0</v>
      </c>
      <c r="S806" s="242">
        <f>COUNTIFS('تجربه‌گرها'!$B:$B,$A806,'تجربه‌گرها'!$F:$F,S$1)</f>
        <v>0</v>
      </c>
      <c r="T806" s="242">
        <f>COUNTIFS('تجربه‌گرها'!$B:$B,$A806,'تجربه‌گرها'!$F:$F,T$1)</f>
        <v>0</v>
      </c>
      <c r="U806" s="242"/>
      <c r="V806" s="242"/>
      <c r="W806" s="242"/>
      <c r="X806" s="242"/>
      <c r="Y806" s="242"/>
      <c r="Z806" s="242"/>
      <c r="AA806" s="242"/>
      <c r="AB806" s="242"/>
    </row>
    <row r="807" hidden="1">
      <c r="A807" s="244" t="s">
        <v>4757</v>
      </c>
      <c r="B807" s="245" t="str">
        <f>VLOOKUP(A807,'تجربه‌گرها'!B:C,2,FALSE())</f>
        <v>9120882522</v>
      </c>
      <c r="C807" s="242"/>
      <c r="D807" s="242">
        <f t="shared" si="1"/>
        <v>4</v>
      </c>
      <c r="E807" s="242">
        <f>COUNTIFS('تجربه‌گرها'!$B:$B,$A807,'تجربه‌گرها'!$F:$F,E$1)</f>
        <v>0</v>
      </c>
      <c r="F807" s="242">
        <f>COUNTIFS('تجربه‌گرها'!$B:$B,$A807,'تجربه‌گرها'!$F:$F,F$1)</f>
        <v>0</v>
      </c>
      <c r="G807" s="242">
        <f>COUNTIFS('تجربه‌گرها'!$B:$B,$A807,'تجربه‌گرها'!$F:$F,G$1)</f>
        <v>0</v>
      </c>
      <c r="H807" s="242">
        <f>COUNTIFS('تجربه‌گرها'!$B:$B,$A807,'تجربه‌گرها'!$F:$F,H$1)</f>
        <v>0</v>
      </c>
      <c r="I807" s="242">
        <f>COUNTIFS('تجربه‌گرها'!$B:$B,$A807,'تجربه‌گرها'!$F:$F,I$1)</f>
        <v>0</v>
      </c>
      <c r="J807" s="242">
        <f>COUNTIFS('تجربه‌گرها'!$B:$B,$A807,'تجربه‌گرها'!$F:$F,J$1)</f>
        <v>0</v>
      </c>
      <c r="K807" s="242">
        <f>COUNTIFS('تجربه‌گرها'!$B:$B,$A807,'تجربه‌گرها'!$F:$F,K$1)</f>
        <v>0</v>
      </c>
      <c r="L807" s="242">
        <f>COUNTIFS('تجربه‌گرها'!$B:$B,$A807,'تجربه‌گرها'!$F:$F,L$1)</f>
        <v>1</v>
      </c>
      <c r="M807" s="242">
        <f>COUNTIFS('تجربه‌گرها'!$B:$B,$A807,'تجربه‌گرها'!$F:$F,M$1)</f>
        <v>1</v>
      </c>
      <c r="N807" s="242">
        <f>COUNTIFS('تجربه‌گرها'!$B:$B,$A807,'تجربه‌گرها'!$F:$F,N$1)</f>
        <v>1</v>
      </c>
      <c r="O807" s="242">
        <f>COUNTIFS('تجربه‌گرها'!$B:$B,$A807,'تجربه‌گرها'!$F:$F,O$1)</f>
        <v>0</v>
      </c>
      <c r="P807" s="242">
        <f>COUNTIFS('تجربه‌گرها'!$B:$B,$A807,'تجربه‌گرها'!$F:$F,P$1)</f>
        <v>1</v>
      </c>
      <c r="Q807" s="242">
        <f>COUNTIFS('تجربه‌گرها'!$B:$B,$A807,'تجربه‌گرها'!$F:$F,Q$1)</f>
        <v>0</v>
      </c>
      <c r="R807" s="242">
        <f>COUNTIFS('تجربه‌گرها'!$B:$B,$A807,'تجربه‌گرها'!$F:$F,R$1)</f>
        <v>0</v>
      </c>
      <c r="S807" s="242">
        <f>COUNTIFS('تجربه‌گرها'!$B:$B,$A807,'تجربه‌گرها'!$F:$F,S$1)</f>
        <v>0</v>
      </c>
      <c r="T807" s="242">
        <f>COUNTIFS('تجربه‌گرها'!$B:$B,$A807,'تجربه‌گرها'!$F:$F,T$1)</f>
        <v>0</v>
      </c>
      <c r="U807" s="242"/>
      <c r="V807" s="242"/>
      <c r="W807" s="242"/>
      <c r="X807" s="242"/>
      <c r="Y807" s="242"/>
      <c r="Z807" s="242"/>
      <c r="AA807" s="242"/>
      <c r="AB807" s="242"/>
    </row>
    <row r="808">
      <c r="A808" s="244" t="s">
        <v>4760</v>
      </c>
      <c r="B808" s="245" t="str">
        <f>VLOOKUP(A808,'تجربه‌گرها'!B:C,2,FALSE())</f>
        <v>9368880172</v>
      </c>
      <c r="C808" s="242"/>
      <c r="D808" s="242">
        <f t="shared" si="1"/>
        <v>1</v>
      </c>
      <c r="E808" s="242">
        <f>COUNTIFS('تجربه‌گرها'!$B:$B,$A808,'تجربه‌گرها'!$F:$F,E$1)</f>
        <v>0</v>
      </c>
      <c r="F808" s="242">
        <f>COUNTIFS('تجربه‌گرها'!$B:$B,$A808,'تجربه‌گرها'!$F:$F,F$1)</f>
        <v>0</v>
      </c>
      <c r="G808" s="242">
        <f>COUNTIFS('تجربه‌گرها'!$B:$B,$A808,'تجربه‌گرها'!$F:$F,G$1)</f>
        <v>0</v>
      </c>
      <c r="H808" s="242">
        <f>COUNTIFS('تجربه‌گرها'!$B:$B,$A808,'تجربه‌گرها'!$F:$F,H$1)</f>
        <v>0</v>
      </c>
      <c r="I808" s="242">
        <f>COUNTIFS('تجربه‌گرها'!$B:$B,$A808,'تجربه‌گرها'!$F:$F,I$1)</f>
        <v>0</v>
      </c>
      <c r="J808" s="242">
        <f>COUNTIFS('تجربه‌گرها'!$B:$B,$A808,'تجربه‌گرها'!$F:$F,J$1)</f>
        <v>0</v>
      </c>
      <c r="K808" s="242">
        <f>COUNTIFS('تجربه‌گرها'!$B:$B,$A808,'تجربه‌گرها'!$F:$F,K$1)</f>
        <v>0</v>
      </c>
      <c r="L808" s="242">
        <f>COUNTIFS('تجربه‌گرها'!$B:$B,$A808,'تجربه‌گرها'!$F:$F,L$1)</f>
        <v>1</v>
      </c>
      <c r="M808" s="242">
        <f>COUNTIFS('تجربه‌گرها'!$B:$B,$A808,'تجربه‌گرها'!$F:$F,M$1)</f>
        <v>0</v>
      </c>
      <c r="N808" s="242">
        <f>COUNTIFS('تجربه‌گرها'!$B:$B,$A808,'تجربه‌گرها'!$F:$F,N$1)</f>
        <v>0</v>
      </c>
      <c r="O808" s="242">
        <f>COUNTIFS('تجربه‌گرها'!$B:$B,$A808,'تجربه‌گرها'!$F:$F,O$1)</f>
        <v>0</v>
      </c>
      <c r="P808" s="242">
        <f>COUNTIFS('تجربه‌گرها'!$B:$B,$A808,'تجربه‌گرها'!$F:$F,P$1)</f>
        <v>0</v>
      </c>
      <c r="Q808" s="242">
        <f>COUNTIFS('تجربه‌گرها'!$B:$B,$A808,'تجربه‌گرها'!$F:$F,Q$1)</f>
        <v>0</v>
      </c>
      <c r="R808" s="242">
        <f>COUNTIFS('تجربه‌گرها'!$B:$B,$A808,'تجربه‌گرها'!$F:$F,R$1)</f>
        <v>0</v>
      </c>
      <c r="S808" s="242">
        <f>COUNTIFS('تجربه‌گرها'!$B:$B,$A808,'تجربه‌گرها'!$F:$F,S$1)</f>
        <v>0</v>
      </c>
      <c r="T808" s="242">
        <f>COUNTIFS('تجربه‌گرها'!$B:$B,$A808,'تجربه‌گرها'!$F:$F,T$1)</f>
        <v>0</v>
      </c>
      <c r="U808" s="242"/>
      <c r="V808" s="242"/>
      <c r="W808" s="242"/>
      <c r="X808" s="242"/>
      <c r="Y808" s="242"/>
      <c r="Z808" s="242"/>
      <c r="AA808" s="242"/>
      <c r="AB808" s="242"/>
    </row>
    <row r="809">
      <c r="A809" s="244" t="s">
        <v>4763</v>
      </c>
      <c r="B809" s="245" t="str">
        <f>VLOOKUP(A809,'تجربه‌گرها'!B:C,2,FALSE())</f>
        <v>9120846086</v>
      </c>
      <c r="C809" s="242"/>
      <c r="D809" s="242">
        <f t="shared" si="1"/>
        <v>1</v>
      </c>
      <c r="E809" s="242">
        <f>COUNTIFS('تجربه‌گرها'!$B:$B,$A809,'تجربه‌گرها'!$F:$F,E$1)</f>
        <v>0</v>
      </c>
      <c r="F809" s="242">
        <f>COUNTIFS('تجربه‌گرها'!$B:$B,$A809,'تجربه‌گرها'!$F:$F,F$1)</f>
        <v>0</v>
      </c>
      <c r="G809" s="242">
        <f>COUNTIFS('تجربه‌گرها'!$B:$B,$A809,'تجربه‌گرها'!$F:$F,G$1)</f>
        <v>0</v>
      </c>
      <c r="H809" s="242">
        <f>COUNTIFS('تجربه‌گرها'!$B:$B,$A809,'تجربه‌گرها'!$F:$F,H$1)</f>
        <v>0</v>
      </c>
      <c r="I809" s="242">
        <f>COUNTIFS('تجربه‌گرها'!$B:$B,$A809,'تجربه‌گرها'!$F:$F,I$1)</f>
        <v>0</v>
      </c>
      <c r="J809" s="242">
        <f>COUNTIFS('تجربه‌گرها'!$B:$B,$A809,'تجربه‌گرها'!$F:$F,J$1)</f>
        <v>0</v>
      </c>
      <c r="K809" s="242">
        <f>COUNTIFS('تجربه‌گرها'!$B:$B,$A809,'تجربه‌گرها'!$F:$F,K$1)</f>
        <v>0</v>
      </c>
      <c r="L809" s="242">
        <f>COUNTIFS('تجربه‌گرها'!$B:$B,$A809,'تجربه‌گرها'!$F:$F,L$1)</f>
        <v>1</v>
      </c>
      <c r="M809" s="242">
        <f>COUNTIFS('تجربه‌گرها'!$B:$B,$A809,'تجربه‌گرها'!$F:$F,M$1)</f>
        <v>0</v>
      </c>
      <c r="N809" s="242">
        <f>COUNTIFS('تجربه‌گرها'!$B:$B,$A809,'تجربه‌گرها'!$F:$F,N$1)</f>
        <v>0</v>
      </c>
      <c r="O809" s="242">
        <f>COUNTIFS('تجربه‌گرها'!$B:$B,$A809,'تجربه‌گرها'!$F:$F,O$1)</f>
        <v>0</v>
      </c>
      <c r="P809" s="242">
        <f>COUNTIFS('تجربه‌گرها'!$B:$B,$A809,'تجربه‌گرها'!$F:$F,P$1)</f>
        <v>0</v>
      </c>
      <c r="Q809" s="242">
        <f>COUNTIFS('تجربه‌گرها'!$B:$B,$A809,'تجربه‌گرها'!$F:$F,Q$1)</f>
        <v>0</v>
      </c>
      <c r="R809" s="242">
        <f>COUNTIFS('تجربه‌گرها'!$B:$B,$A809,'تجربه‌گرها'!$F:$F,R$1)</f>
        <v>0</v>
      </c>
      <c r="S809" s="242">
        <f>COUNTIFS('تجربه‌گرها'!$B:$B,$A809,'تجربه‌گرها'!$F:$F,S$1)</f>
        <v>0</v>
      </c>
      <c r="T809" s="242">
        <f>COUNTIFS('تجربه‌گرها'!$B:$B,$A809,'تجربه‌گرها'!$F:$F,T$1)</f>
        <v>0</v>
      </c>
      <c r="U809" s="242"/>
      <c r="V809" s="242"/>
      <c r="W809" s="242"/>
      <c r="X809" s="242"/>
      <c r="Y809" s="242"/>
      <c r="Z809" s="242"/>
      <c r="AA809" s="242"/>
      <c r="AB809" s="242"/>
    </row>
    <row r="810">
      <c r="A810" s="244" t="s">
        <v>4768</v>
      </c>
      <c r="B810" s="245" t="str">
        <f>VLOOKUP(A810,'تجربه‌گرها'!B:C,2,FALSE())</f>
        <v>9124446164</v>
      </c>
      <c r="C810" s="242"/>
      <c r="D810" s="242">
        <f t="shared" si="1"/>
        <v>2</v>
      </c>
      <c r="E810" s="242">
        <f>COUNTIFS('تجربه‌گرها'!$B:$B,$A810,'تجربه‌گرها'!$F:$F,E$1)</f>
        <v>0</v>
      </c>
      <c r="F810" s="242">
        <f>COUNTIFS('تجربه‌گرها'!$B:$B,$A810,'تجربه‌گرها'!$F:$F,F$1)</f>
        <v>0</v>
      </c>
      <c r="G810" s="242">
        <f>COUNTIFS('تجربه‌گرها'!$B:$B,$A810,'تجربه‌گرها'!$F:$F,G$1)</f>
        <v>0</v>
      </c>
      <c r="H810" s="242">
        <f>COUNTIFS('تجربه‌گرها'!$B:$B,$A810,'تجربه‌گرها'!$F:$F,H$1)</f>
        <v>0</v>
      </c>
      <c r="I810" s="242">
        <f>COUNTIFS('تجربه‌گرها'!$B:$B,$A810,'تجربه‌گرها'!$F:$F,I$1)</f>
        <v>0</v>
      </c>
      <c r="J810" s="242">
        <f>COUNTIFS('تجربه‌گرها'!$B:$B,$A810,'تجربه‌گرها'!$F:$F,J$1)</f>
        <v>0</v>
      </c>
      <c r="K810" s="242">
        <f>COUNTIFS('تجربه‌گرها'!$B:$B,$A810,'تجربه‌گرها'!$F:$F,K$1)</f>
        <v>0</v>
      </c>
      <c r="L810" s="242">
        <f>COUNTIFS('تجربه‌گرها'!$B:$B,$A810,'تجربه‌گرها'!$F:$F,L$1)</f>
        <v>1</v>
      </c>
      <c r="M810" s="242">
        <f>COUNTIFS('تجربه‌گرها'!$B:$B,$A810,'تجربه‌گرها'!$F:$F,M$1)</f>
        <v>1</v>
      </c>
      <c r="N810" s="242">
        <f>COUNTIFS('تجربه‌گرها'!$B:$B,$A810,'تجربه‌گرها'!$F:$F,N$1)</f>
        <v>0</v>
      </c>
      <c r="O810" s="242">
        <f>COUNTIFS('تجربه‌گرها'!$B:$B,$A810,'تجربه‌گرها'!$F:$F,O$1)</f>
        <v>0</v>
      </c>
      <c r="P810" s="242">
        <f>COUNTIFS('تجربه‌گرها'!$B:$B,$A810,'تجربه‌گرها'!$F:$F,P$1)</f>
        <v>0</v>
      </c>
      <c r="Q810" s="242">
        <f>COUNTIFS('تجربه‌گرها'!$B:$B,$A810,'تجربه‌گرها'!$F:$F,Q$1)</f>
        <v>0</v>
      </c>
      <c r="R810" s="242">
        <f>COUNTIFS('تجربه‌گرها'!$B:$B,$A810,'تجربه‌گرها'!$F:$F,R$1)</f>
        <v>0</v>
      </c>
      <c r="S810" s="242">
        <f>COUNTIFS('تجربه‌گرها'!$B:$B,$A810,'تجربه‌گرها'!$F:$F,S$1)</f>
        <v>0</v>
      </c>
      <c r="T810" s="242">
        <f>COUNTIFS('تجربه‌گرها'!$B:$B,$A810,'تجربه‌گرها'!$F:$F,T$1)</f>
        <v>0</v>
      </c>
      <c r="U810" s="242"/>
      <c r="V810" s="242"/>
      <c r="W810" s="242"/>
      <c r="X810" s="242"/>
      <c r="Y810" s="242"/>
      <c r="Z810" s="242"/>
      <c r="AA810" s="242"/>
      <c r="AB810" s="242"/>
    </row>
    <row r="811" hidden="1">
      <c r="A811" s="244" t="s">
        <v>4772</v>
      </c>
      <c r="B811" s="245" t="str">
        <f>VLOOKUP(A811,'تجربه‌گرها'!B:C,2,FALSE())</f>
        <v>9131170532</v>
      </c>
      <c r="C811" s="242"/>
      <c r="D811" s="242">
        <f t="shared" si="1"/>
        <v>3</v>
      </c>
      <c r="E811" s="242">
        <f>COUNTIFS('تجربه‌گرها'!$B:$B,$A811,'تجربه‌گرها'!$F:$F,E$1)</f>
        <v>0</v>
      </c>
      <c r="F811" s="242">
        <f>COUNTIFS('تجربه‌گرها'!$B:$B,$A811,'تجربه‌گرها'!$F:$F,F$1)</f>
        <v>0</v>
      </c>
      <c r="G811" s="242">
        <f>COUNTIFS('تجربه‌گرها'!$B:$B,$A811,'تجربه‌گرها'!$F:$F,G$1)</f>
        <v>0</v>
      </c>
      <c r="H811" s="242">
        <f>COUNTIFS('تجربه‌گرها'!$B:$B,$A811,'تجربه‌گرها'!$F:$F,H$1)</f>
        <v>0</v>
      </c>
      <c r="I811" s="242">
        <f>COUNTIFS('تجربه‌گرها'!$B:$B,$A811,'تجربه‌گرها'!$F:$F,I$1)</f>
        <v>0</v>
      </c>
      <c r="J811" s="242">
        <f>COUNTIFS('تجربه‌گرها'!$B:$B,$A811,'تجربه‌گرها'!$F:$F,J$1)</f>
        <v>0</v>
      </c>
      <c r="K811" s="242">
        <f>COUNTIFS('تجربه‌گرها'!$B:$B,$A811,'تجربه‌گرها'!$F:$F,K$1)</f>
        <v>0</v>
      </c>
      <c r="L811" s="242">
        <f>COUNTIFS('تجربه‌گرها'!$B:$B,$A811,'تجربه‌گرها'!$F:$F,L$1)</f>
        <v>1</v>
      </c>
      <c r="M811" s="242">
        <f>COUNTIFS('تجربه‌گرها'!$B:$B,$A811,'تجربه‌گرها'!$F:$F,M$1)</f>
        <v>1</v>
      </c>
      <c r="N811" s="242">
        <f>COUNTIFS('تجربه‌گرها'!$B:$B,$A811,'تجربه‌گرها'!$F:$F,N$1)</f>
        <v>0</v>
      </c>
      <c r="O811" s="242">
        <f>COUNTIFS('تجربه‌گرها'!$B:$B,$A811,'تجربه‌گرها'!$F:$F,O$1)</f>
        <v>0</v>
      </c>
      <c r="P811" s="242">
        <f>COUNTIFS('تجربه‌گرها'!$B:$B,$A811,'تجربه‌گرها'!$F:$F,P$1)</f>
        <v>1</v>
      </c>
      <c r="Q811" s="242">
        <f>COUNTIFS('تجربه‌گرها'!$B:$B,$A811,'تجربه‌گرها'!$F:$F,Q$1)</f>
        <v>0</v>
      </c>
      <c r="R811" s="242">
        <f>COUNTIFS('تجربه‌گرها'!$B:$B,$A811,'تجربه‌گرها'!$F:$F,R$1)</f>
        <v>0</v>
      </c>
      <c r="S811" s="242">
        <f>COUNTIFS('تجربه‌گرها'!$B:$B,$A811,'تجربه‌گرها'!$F:$F,S$1)</f>
        <v>0</v>
      </c>
      <c r="T811" s="242">
        <f>COUNTIFS('تجربه‌گرها'!$B:$B,$A811,'تجربه‌گرها'!$F:$F,T$1)</f>
        <v>0</v>
      </c>
      <c r="U811" s="242"/>
      <c r="V811" s="242"/>
      <c r="W811" s="242"/>
      <c r="X811" s="242"/>
      <c r="Y811" s="242"/>
      <c r="Z811" s="242"/>
      <c r="AA811" s="242"/>
      <c r="AB811" s="242"/>
    </row>
    <row r="812" hidden="1">
      <c r="A812" s="244" t="s">
        <v>4776</v>
      </c>
      <c r="B812" s="245" t="str">
        <f>VLOOKUP(A812,'تجربه‌گرها'!B:C,2,FALSE())</f>
        <v>9131029547</v>
      </c>
      <c r="C812" s="242"/>
      <c r="D812" s="242">
        <f t="shared" si="1"/>
        <v>1</v>
      </c>
      <c r="E812" s="242">
        <f>COUNTIFS('تجربه‌گرها'!$B:$B,$A812,'تجربه‌گرها'!$F:$F,E$1)</f>
        <v>0</v>
      </c>
      <c r="F812" s="242">
        <f>COUNTIFS('تجربه‌گرها'!$B:$B,$A812,'تجربه‌گرها'!$F:$F,F$1)</f>
        <v>0</v>
      </c>
      <c r="G812" s="242">
        <f>COUNTIFS('تجربه‌گرها'!$B:$B,$A812,'تجربه‌گرها'!$F:$F,G$1)</f>
        <v>0</v>
      </c>
      <c r="H812" s="242">
        <f>COUNTIFS('تجربه‌گرها'!$B:$B,$A812,'تجربه‌گرها'!$F:$F,H$1)</f>
        <v>0</v>
      </c>
      <c r="I812" s="242">
        <f>COUNTIFS('تجربه‌گرها'!$B:$B,$A812,'تجربه‌گرها'!$F:$F,I$1)</f>
        <v>0</v>
      </c>
      <c r="J812" s="242">
        <f>COUNTIFS('تجربه‌گرها'!$B:$B,$A812,'تجربه‌گرها'!$F:$F,J$1)</f>
        <v>0</v>
      </c>
      <c r="K812" s="242">
        <f>COUNTIFS('تجربه‌گرها'!$B:$B,$A812,'تجربه‌گرها'!$F:$F,K$1)</f>
        <v>0</v>
      </c>
      <c r="L812" s="242">
        <f>COUNTIFS('تجربه‌گرها'!$B:$B,$A812,'تجربه‌گرها'!$F:$F,L$1)</f>
        <v>1</v>
      </c>
      <c r="M812" s="242">
        <f>COUNTIFS('تجربه‌گرها'!$B:$B,$A812,'تجربه‌گرها'!$F:$F,M$1)</f>
        <v>0</v>
      </c>
      <c r="N812" s="242">
        <f>COUNTIFS('تجربه‌گرها'!$B:$B,$A812,'تجربه‌گرها'!$F:$F,N$1)</f>
        <v>0</v>
      </c>
      <c r="O812" s="242">
        <f>COUNTIFS('تجربه‌گرها'!$B:$B,$A812,'تجربه‌گرها'!$F:$F,O$1)</f>
        <v>0</v>
      </c>
      <c r="P812" s="242">
        <f>COUNTIFS('تجربه‌گرها'!$B:$B,$A812,'تجربه‌گرها'!$F:$F,P$1)</f>
        <v>0</v>
      </c>
      <c r="Q812" s="242">
        <f>COUNTIFS('تجربه‌گرها'!$B:$B,$A812,'تجربه‌گرها'!$F:$F,Q$1)</f>
        <v>0</v>
      </c>
      <c r="R812" s="242">
        <f>COUNTIFS('تجربه‌گرها'!$B:$B,$A812,'تجربه‌گرها'!$F:$F,R$1)</f>
        <v>0</v>
      </c>
      <c r="S812" s="242">
        <f>COUNTIFS('تجربه‌گرها'!$B:$B,$A812,'تجربه‌گرها'!$F:$F,S$1)</f>
        <v>0</v>
      </c>
      <c r="T812" s="242">
        <f>COUNTIFS('تجربه‌گرها'!$B:$B,$A812,'تجربه‌گرها'!$F:$F,T$1)</f>
        <v>0</v>
      </c>
      <c r="U812" s="242"/>
      <c r="V812" s="242"/>
      <c r="W812" s="242"/>
      <c r="X812" s="242"/>
      <c r="Y812" s="242"/>
      <c r="Z812" s="242"/>
      <c r="AA812" s="242"/>
      <c r="AB812" s="242"/>
    </row>
    <row r="813" hidden="1">
      <c r="A813" s="244" t="s">
        <v>4780</v>
      </c>
      <c r="B813" s="245" t="str">
        <f>VLOOKUP(A813,'تجربه‌گرها'!B:C,2,FALSE())</f>
        <v>9331636679</v>
      </c>
      <c r="C813" s="242"/>
      <c r="D813" s="242">
        <f t="shared" si="1"/>
        <v>1</v>
      </c>
      <c r="E813" s="242">
        <f>COUNTIFS('تجربه‌گرها'!$B:$B,$A813,'تجربه‌گرها'!$F:$F,E$1)</f>
        <v>0</v>
      </c>
      <c r="F813" s="242">
        <f>COUNTIFS('تجربه‌گرها'!$B:$B,$A813,'تجربه‌گرها'!$F:$F,F$1)</f>
        <v>0</v>
      </c>
      <c r="G813" s="242">
        <f>COUNTIFS('تجربه‌گرها'!$B:$B,$A813,'تجربه‌گرها'!$F:$F,G$1)</f>
        <v>0</v>
      </c>
      <c r="H813" s="242">
        <f>COUNTIFS('تجربه‌گرها'!$B:$B,$A813,'تجربه‌گرها'!$F:$F,H$1)</f>
        <v>0</v>
      </c>
      <c r="I813" s="242">
        <f>COUNTIFS('تجربه‌گرها'!$B:$B,$A813,'تجربه‌گرها'!$F:$F,I$1)</f>
        <v>0</v>
      </c>
      <c r="J813" s="242">
        <f>COUNTIFS('تجربه‌گرها'!$B:$B,$A813,'تجربه‌گرها'!$F:$F,J$1)</f>
        <v>0</v>
      </c>
      <c r="K813" s="242">
        <f>COUNTIFS('تجربه‌گرها'!$B:$B,$A813,'تجربه‌گرها'!$F:$F,K$1)</f>
        <v>0</v>
      </c>
      <c r="L813" s="242">
        <f>COUNTIFS('تجربه‌گرها'!$B:$B,$A813,'تجربه‌گرها'!$F:$F,L$1)</f>
        <v>1</v>
      </c>
      <c r="M813" s="242">
        <f>COUNTIFS('تجربه‌گرها'!$B:$B,$A813,'تجربه‌گرها'!$F:$F,M$1)</f>
        <v>0</v>
      </c>
      <c r="N813" s="242">
        <f>COUNTIFS('تجربه‌گرها'!$B:$B,$A813,'تجربه‌گرها'!$F:$F,N$1)</f>
        <v>0</v>
      </c>
      <c r="O813" s="242">
        <f>COUNTIFS('تجربه‌گرها'!$B:$B,$A813,'تجربه‌گرها'!$F:$F,O$1)</f>
        <v>0</v>
      </c>
      <c r="P813" s="242">
        <f>COUNTIFS('تجربه‌گرها'!$B:$B,$A813,'تجربه‌گرها'!$F:$F,P$1)</f>
        <v>0</v>
      </c>
      <c r="Q813" s="242">
        <f>COUNTIFS('تجربه‌گرها'!$B:$B,$A813,'تجربه‌گرها'!$F:$F,Q$1)</f>
        <v>0</v>
      </c>
      <c r="R813" s="242">
        <f>COUNTIFS('تجربه‌گرها'!$B:$B,$A813,'تجربه‌گرها'!$F:$F,R$1)</f>
        <v>0</v>
      </c>
      <c r="S813" s="242">
        <f>COUNTIFS('تجربه‌گرها'!$B:$B,$A813,'تجربه‌گرها'!$F:$F,S$1)</f>
        <v>0</v>
      </c>
      <c r="T813" s="242">
        <f>COUNTIFS('تجربه‌گرها'!$B:$B,$A813,'تجربه‌گرها'!$F:$F,T$1)</f>
        <v>0</v>
      </c>
      <c r="U813" s="242"/>
      <c r="V813" s="242"/>
      <c r="W813" s="242"/>
      <c r="X813" s="242"/>
      <c r="Y813" s="242"/>
      <c r="Z813" s="242"/>
      <c r="AA813" s="242"/>
      <c r="AB813" s="242"/>
    </row>
    <row r="814">
      <c r="A814" s="244" t="s">
        <v>4785</v>
      </c>
      <c r="B814" s="245" t="str">
        <f>VLOOKUP(A814,'تجربه‌گرها'!B:C,2,FALSE())</f>
        <v>9128400970</v>
      </c>
      <c r="C814" s="242"/>
      <c r="D814" s="242">
        <f t="shared" si="1"/>
        <v>1</v>
      </c>
      <c r="E814" s="242">
        <f>COUNTIFS('تجربه‌گرها'!$B:$B,$A814,'تجربه‌گرها'!$F:$F,E$1)</f>
        <v>0</v>
      </c>
      <c r="F814" s="242">
        <f>COUNTIFS('تجربه‌گرها'!$B:$B,$A814,'تجربه‌گرها'!$F:$F,F$1)</f>
        <v>0</v>
      </c>
      <c r="G814" s="242">
        <f>COUNTIFS('تجربه‌گرها'!$B:$B,$A814,'تجربه‌گرها'!$F:$F,G$1)</f>
        <v>0</v>
      </c>
      <c r="H814" s="242">
        <f>COUNTIFS('تجربه‌گرها'!$B:$B,$A814,'تجربه‌گرها'!$F:$F,H$1)</f>
        <v>0</v>
      </c>
      <c r="I814" s="242">
        <f>COUNTIFS('تجربه‌گرها'!$B:$B,$A814,'تجربه‌گرها'!$F:$F,I$1)</f>
        <v>0</v>
      </c>
      <c r="J814" s="242">
        <f>COUNTIFS('تجربه‌گرها'!$B:$B,$A814,'تجربه‌گرها'!$F:$F,J$1)</f>
        <v>0</v>
      </c>
      <c r="K814" s="242">
        <f>COUNTIFS('تجربه‌گرها'!$B:$B,$A814,'تجربه‌گرها'!$F:$F,K$1)</f>
        <v>0</v>
      </c>
      <c r="L814" s="242">
        <f>COUNTIFS('تجربه‌گرها'!$B:$B,$A814,'تجربه‌گرها'!$F:$F,L$1)</f>
        <v>1</v>
      </c>
      <c r="M814" s="242">
        <f>COUNTIFS('تجربه‌گرها'!$B:$B,$A814,'تجربه‌گرها'!$F:$F,M$1)</f>
        <v>0</v>
      </c>
      <c r="N814" s="242">
        <f>COUNTIFS('تجربه‌گرها'!$B:$B,$A814,'تجربه‌گرها'!$F:$F,N$1)</f>
        <v>0</v>
      </c>
      <c r="O814" s="242">
        <f>COUNTIFS('تجربه‌گرها'!$B:$B,$A814,'تجربه‌گرها'!$F:$F,O$1)</f>
        <v>0</v>
      </c>
      <c r="P814" s="242">
        <f>COUNTIFS('تجربه‌گرها'!$B:$B,$A814,'تجربه‌گرها'!$F:$F,P$1)</f>
        <v>0</v>
      </c>
      <c r="Q814" s="242">
        <f>COUNTIFS('تجربه‌گرها'!$B:$B,$A814,'تجربه‌گرها'!$F:$F,Q$1)</f>
        <v>0</v>
      </c>
      <c r="R814" s="242">
        <f>COUNTIFS('تجربه‌گرها'!$B:$B,$A814,'تجربه‌گرها'!$F:$F,R$1)</f>
        <v>0</v>
      </c>
      <c r="S814" s="242">
        <f>COUNTIFS('تجربه‌گرها'!$B:$B,$A814,'تجربه‌گرها'!$F:$F,S$1)</f>
        <v>0</v>
      </c>
      <c r="T814" s="242">
        <f>COUNTIFS('تجربه‌گرها'!$B:$B,$A814,'تجربه‌گرها'!$F:$F,T$1)</f>
        <v>0</v>
      </c>
      <c r="U814" s="242"/>
      <c r="V814" s="242"/>
      <c r="W814" s="242"/>
      <c r="X814" s="242"/>
      <c r="Y814" s="242"/>
      <c r="Z814" s="242"/>
      <c r="AA814" s="242"/>
      <c r="AB814" s="242"/>
    </row>
    <row r="815" hidden="1">
      <c r="A815" s="244" t="s">
        <v>4790</v>
      </c>
      <c r="B815" s="245" t="str">
        <f>VLOOKUP(A815,'تجربه‌گرها'!B:C,2,FALSE())</f>
        <v>9123878903</v>
      </c>
      <c r="C815" s="242"/>
      <c r="D815" s="242">
        <f t="shared" si="1"/>
        <v>1</v>
      </c>
      <c r="E815" s="242">
        <f>COUNTIFS('تجربه‌گرها'!$B:$B,$A815,'تجربه‌گرها'!$F:$F,E$1)</f>
        <v>0</v>
      </c>
      <c r="F815" s="242">
        <f>COUNTIFS('تجربه‌گرها'!$B:$B,$A815,'تجربه‌گرها'!$F:$F,F$1)</f>
        <v>0</v>
      </c>
      <c r="G815" s="242">
        <f>COUNTIFS('تجربه‌گرها'!$B:$B,$A815,'تجربه‌گرها'!$F:$F,G$1)</f>
        <v>0</v>
      </c>
      <c r="H815" s="242">
        <f>COUNTIFS('تجربه‌گرها'!$B:$B,$A815,'تجربه‌گرها'!$F:$F,H$1)</f>
        <v>0</v>
      </c>
      <c r="I815" s="242">
        <f>COUNTIFS('تجربه‌گرها'!$B:$B,$A815,'تجربه‌گرها'!$F:$F,I$1)</f>
        <v>0</v>
      </c>
      <c r="J815" s="242">
        <f>COUNTIFS('تجربه‌گرها'!$B:$B,$A815,'تجربه‌گرها'!$F:$F,J$1)</f>
        <v>0</v>
      </c>
      <c r="K815" s="242">
        <f>COUNTIFS('تجربه‌گرها'!$B:$B,$A815,'تجربه‌گرها'!$F:$F,K$1)</f>
        <v>0</v>
      </c>
      <c r="L815" s="242">
        <f>COUNTIFS('تجربه‌گرها'!$B:$B,$A815,'تجربه‌گرها'!$F:$F,L$1)</f>
        <v>1</v>
      </c>
      <c r="M815" s="242">
        <f>COUNTIFS('تجربه‌گرها'!$B:$B,$A815,'تجربه‌گرها'!$F:$F,M$1)</f>
        <v>0</v>
      </c>
      <c r="N815" s="242">
        <f>COUNTIFS('تجربه‌گرها'!$B:$B,$A815,'تجربه‌گرها'!$F:$F,N$1)</f>
        <v>0</v>
      </c>
      <c r="O815" s="242">
        <f>COUNTIFS('تجربه‌گرها'!$B:$B,$A815,'تجربه‌گرها'!$F:$F,O$1)</f>
        <v>0</v>
      </c>
      <c r="P815" s="242">
        <f>COUNTIFS('تجربه‌گرها'!$B:$B,$A815,'تجربه‌گرها'!$F:$F,P$1)</f>
        <v>0</v>
      </c>
      <c r="Q815" s="242">
        <f>COUNTIFS('تجربه‌گرها'!$B:$B,$A815,'تجربه‌گرها'!$F:$F,Q$1)</f>
        <v>0</v>
      </c>
      <c r="R815" s="242">
        <f>COUNTIFS('تجربه‌گرها'!$B:$B,$A815,'تجربه‌گرها'!$F:$F,R$1)</f>
        <v>0</v>
      </c>
      <c r="S815" s="242">
        <f>COUNTIFS('تجربه‌گرها'!$B:$B,$A815,'تجربه‌گرها'!$F:$F,S$1)</f>
        <v>0</v>
      </c>
      <c r="T815" s="242">
        <f>COUNTIFS('تجربه‌گرها'!$B:$B,$A815,'تجربه‌گرها'!$F:$F,T$1)</f>
        <v>0</v>
      </c>
      <c r="U815" s="242"/>
      <c r="V815" s="242"/>
      <c r="W815" s="242"/>
      <c r="X815" s="242"/>
      <c r="Y815" s="242"/>
      <c r="Z815" s="242"/>
      <c r="AA815" s="242"/>
      <c r="AB815" s="242"/>
    </row>
    <row r="816" hidden="1">
      <c r="A816" s="244" t="s">
        <v>4795</v>
      </c>
      <c r="B816" s="245" t="str">
        <f>VLOOKUP(A816,'تجربه‌گرها'!B:C,2,FALSE())</f>
        <v>9192115870</v>
      </c>
      <c r="C816" s="242"/>
      <c r="D816" s="242">
        <f t="shared" si="1"/>
        <v>1</v>
      </c>
      <c r="E816" s="242">
        <f>COUNTIFS('تجربه‌گرها'!$B:$B,$A816,'تجربه‌گرها'!$F:$F,E$1)</f>
        <v>0</v>
      </c>
      <c r="F816" s="242">
        <f>COUNTIFS('تجربه‌گرها'!$B:$B,$A816,'تجربه‌گرها'!$F:$F,F$1)</f>
        <v>0</v>
      </c>
      <c r="G816" s="242">
        <f>COUNTIFS('تجربه‌گرها'!$B:$B,$A816,'تجربه‌گرها'!$F:$F,G$1)</f>
        <v>0</v>
      </c>
      <c r="H816" s="242">
        <f>COUNTIFS('تجربه‌گرها'!$B:$B,$A816,'تجربه‌گرها'!$F:$F,H$1)</f>
        <v>0</v>
      </c>
      <c r="I816" s="242">
        <f>COUNTIFS('تجربه‌گرها'!$B:$B,$A816,'تجربه‌گرها'!$F:$F,I$1)</f>
        <v>0</v>
      </c>
      <c r="J816" s="242">
        <f>COUNTIFS('تجربه‌گرها'!$B:$B,$A816,'تجربه‌گرها'!$F:$F,J$1)</f>
        <v>0</v>
      </c>
      <c r="K816" s="242">
        <f>COUNTIFS('تجربه‌گرها'!$B:$B,$A816,'تجربه‌گرها'!$F:$F,K$1)</f>
        <v>0</v>
      </c>
      <c r="L816" s="242">
        <f>COUNTIFS('تجربه‌گرها'!$B:$B,$A816,'تجربه‌گرها'!$F:$F,L$1)</f>
        <v>1</v>
      </c>
      <c r="M816" s="242">
        <f>COUNTIFS('تجربه‌گرها'!$B:$B,$A816,'تجربه‌گرها'!$F:$F,M$1)</f>
        <v>0</v>
      </c>
      <c r="N816" s="242">
        <f>COUNTIFS('تجربه‌گرها'!$B:$B,$A816,'تجربه‌گرها'!$F:$F,N$1)</f>
        <v>0</v>
      </c>
      <c r="O816" s="242">
        <f>COUNTIFS('تجربه‌گرها'!$B:$B,$A816,'تجربه‌گرها'!$F:$F,O$1)</f>
        <v>0</v>
      </c>
      <c r="P816" s="242">
        <f>COUNTIFS('تجربه‌گرها'!$B:$B,$A816,'تجربه‌گرها'!$F:$F,P$1)</f>
        <v>0</v>
      </c>
      <c r="Q816" s="242">
        <f>COUNTIFS('تجربه‌گرها'!$B:$B,$A816,'تجربه‌گرها'!$F:$F,Q$1)</f>
        <v>0</v>
      </c>
      <c r="R816" s="242">
        <f>COUNTIFS('تجربه‌گرها'!$B:$B,$A816,'تجربه‌گرها'!$F:$F,R$1)</f>
        <v>0</v>
      </c>
      <c r="S816" s="242">
        <f>COUNTIFS('تجربه‌گرها'!$B:$B,$A816,'تجربه‌گرها'!$F:$F,S$1)</f>
        <v>0</v>
      </c>
      <c r="T816" s="242">
        <f>COUNTIFS('تجربه‌گرها'!$B:$B,$A816,'تجربه‌گرها'!$F:$F,T$1)</f>
        <v>0</v>
      </c>
      <c r="U816" s="242"/>
      <c r="V816" s="242"/>
      <c r="W816" s="242"/>
      <c r="X816" s="242"/>
      <c r="Y816" s="242"/>
      <c r="Z816" s="242"/>
      <c r="AA816" s="242"/>
      <c r="AB816" s="242"/>
    </row>
    <row r="817">
      <c r="A817" s="244" t="s">
        <v>4800</v>
      </c>
      <c r="B817" s="245" t="str">
        <f>VLOOKUP(A817,'تجربه‌گرها'!B:C,2,FALSE())</f>
        <v>9122780984</v>
      </c>
      <c r="C817" s="242"/>
      <c r="D817" s="242">
        <f t="shared" si="1"/>
        <v>1</v>
      </c>
      <c r="E817" s="242">
        <f>COUNTIFS('تجربه‌گرها'!$B:$B,$A817,'تجربه‌گرها'!$F:$F,E$1)</f>
        <v>0</v>
      </c>
      <c r="F817" s="242">
        <f>COUNTIFS('تجربه‌گرها'!$B:$B,$A817,'تجربه‌گرها'!$F:$F,F$1)</f>
        <v>0</v>
      </c>
      <c r="G817" s="242">
        <f>COUNTIFS('تجربه‌گرها'!$B:$B,$A817,'تجربه‌گرها'!$F:$F,G$1)</f>
        <v>0</v>
      </c>
      <c r="H817" s="242">
        <f>COUNTIFS('تجربه‌گرها'!$B:$B,$A817,'تجربه‌گرها'!$F:$F,H$1)</f>
        <v>0</v>
      </c>
      <c r="I817" s="242">
        <f>COUNTIFS('تجربه‌گرها'!$B:$B,$A817,'تجربه‌گرها'!$F:$F,I$1)</f>
        <v>0</v>
      </c>
      <c r="J817" s="242">
        <f>COUNTIFS('تجربه‌گرها'!$B:$B,$A817,'تجربه‌گرها'!$F:$F,J$1)</f>
        <v>0</v>
      </c>
      <c r="K817" s="242">
        <f>COUNTIFS('تجربه‌گرها'!$B:$B,$A817,'تجربه‌گرها'!$F:$F,K$1)</f>
        <v>0</v>
      </c>
      <c r="L817" s="242">
        <f>COUNTIFS('تجربه‌گرها'!$B:$B,$A817,'تجربه‌گرها'!$F:$F,L$1)</f>
        <v>1</v>
      </c>
      <c r="M817" s="242">
        <f>COUNTIFS('تجربه‌گرها'!$B:$B,$A817,'تجربه‌گرها'!$F:$F,M$1)</f>
        <v>0</v>
      </c>
      <c r="N817" s="242">
        <f>COUNTIFS('تجربه‌گرها'!$B:$B,$A817,'تجربه‌گرها'!$F:$F,N$1)</f>
        <v>0</v>
      </c>
      <c r="O817" s="242">
        <f>COUNTIFS('تجربه‌گرها'!$B:$B,$A817,'تجربه‌گرها'!$F:$F,O$1)</f>
        <v>0</v>
      </c>
      <c r="P817" s="242">
        <f>COUNTIFS('تجربه‌گرها'!$B:$B,$A817,'تجربه‌گرها'!$F:$F,P$1)</f>
        <v>0</v>
      </c>
      <c r="Q817" s="242">
        <f>COUNTIFS('تجربه‌گرها'!$B:$B,$A817,'تجربه‌گرها'!$F:$F,Q$1)</f>
        <v>0</v>
      </c>
      <c r="R817" s="242">
        <f>COUNTIFS('تجربه‌گرها'!$B:$B,$A817,'تجربه‌گرها'!$F:$F,R$1)</f>
        <v>0</v>
      </c>
      <c r="S817" s="242">
        <f>COUNTIFS('تجربه‌گرها'!$B:$B,$A817,'تجربه‌گرها'!$F:$F,S$1)</f>
        <v>0</v>
      </c>
      <c r="T817" s="242">
        <f>COUNTIFS('تجربه‌گرها'!$B:$B,$A817,'تجربه‌گرها'!$F:$F,T$1)</f>
        <v>0</v>
      </c>
      <c r="U817" s="242"/>
      <c r="V817" s="242"/>
      <c r="W817" s="242"/>
      <c r="X817" s="242"/>
      <c r="Y817" s="242"/>
      <c r="Z817" s="242"/>
      <c r="AA817" s="242"/>
      <c r="AB817" s="242"/>
    </row>
    <row r="818">
      <c r="A818" s="244" t="s">
        <v>4805</v>
      </c>
      <c r="B818" s="245" t="str">
        <f>VLOOKUP(A818,'تجربه‌گرها'!B:C,2,FALSE())</f>
        <v>9127074782</v>
      </c>
      <c r="C818" s="242"/>
      <c r="D818" s="242">
        <f t="shared" si="1"/>
        <v>1</v>
      </c>
      <c r="E818" s="242">
        <f>COUNTIFS('تجربه‌گرها'!$B:$B,$A818,'تجربه‌گرها'!$F:$F,E$1)</f>
        <v>0</v>
      </c>
      <c r="F818" s="242">
        <f>COUNTIFS('تجربه‌گرها'!$B:$B,$A818,'تجربه‌گرها'!$F:$F,F$1)</f>
        <v>0</v>
      </c>
      <c r="G818" s="242">
        <f>COUNTIFS('تجربه‌گرها'!$B:$B,$A818,'تجربه‌گرها'!$F:$F,G$1)</f>
        <v>0</v>
      </c>
      <c r="H818" s="242">
        <f>COUNTIFS('تجربه‌گرها'!$B:$B,$A818,'تجربه‌گرها'!$F:$F,H$1)</f>
        <v>0</v>
      </c>
      <c r="I818" s="242">
        <f>COUNTIFS('تجربه‌گرها'!$B:$B,$A818,'تجربه‌گرها'!$F:$F,I$1)</f>
        <v>0</v>
      </c>
      <c r="J818" s="242">
        <f>COUNTIFS('تجربه‌گرها'!$B:$B,$A818,'تجربه‌گرها'!$F:$F,J$1)</f>
        <v>0</v>
      </c>
      <c r="K818" s="242">
        <f>COUNTIFS('تجربه‌گرها'!$B:$B,$A818,'تجربه‌گرها'!$F:$F,K$1)</f>
        <v>0</v>
      </c>
      <c r="L818" s="242">
        <f>COUNTIFS('تجربه‌گرها'!$B:$B,$A818,'تجربه‌گرها'!$F:$F,L$1)</f>
        <v>1</v>
      </c>
      <c r="M818" s="242">
        <f>COUNTIFS('تجربه‌گرها'!$B:$B,$A818,'تجربه‌گرها'!$F:$F,M$1)</f>
        <v>0</v>
      </c>
      <c r="N818" s="242">
        <f>COUNTIFS('تجربه‌گرها'!$B:$B,$A818,'تجربه‌گرها'!$F:$F,N$1)</f>
        <v>0</v>
      </c>
      <c r="O818" s="242">
        <f>COUNTIFS('تجربه‌گرها'!$B:$B,$A818,'تجربه‌گرها'!$F:$F,O$1)</f>
        <v>0</v>
      </c>
      <c r="P818" s="242">
        <f>COUNTIFS('تجربه‌گرها'!$B:$B,$A818,'تجربه‌گرها'!$F:$F,P$1)</f>
        <v>0</v>
      </c>
      <c r="Q818" s="242">
        <f>COUNTIFS('تجربه‌گرها'!$B:$B,$A818,'تجربه‌گرها'!$F:$F,Q$1)</f>
        <v>0</v>
      </c>
      <c r="R818" s="242">
        <f>COUNTIFS('تجربه‌گرها'!$B:$B,$A818,'تجربه‌گرها'!$F:$F,R$1)</f>
        <v>0</v>
      </c>
      <c r="S818" s="242">
        <f>COUNTIFS('تجربه‌گرها'!$B:$B,$A818,'تجربه‌گرها'!$F:$F,S$1)</f>
        <v>0</v>
      </c>
      <c r="T818" s="242">
        <f>COUNTIFS('تجربه‌گرها'!$B:$B,$A818,'تجربه‌گرها'!$F:$F,T$1)</f>
        <v>0</v>
      </c>
      <c r="U818" s="242"/>
      <c r="V818" s="242"/>
      <c r="W818" s="242"/>
      <c r="X818" s="242"/>
      <c r="Y818" s="242"/>
      <c r="Z818" s="242"/>
      <c r="AA818" s="242"/>
      <c r="AB818" s="242"/>
    </row>
    <row r="819" hidden="1">
      <c r="A819" s="244" t="s">
        <v>4810</v>
      </c>
      <c r="B819" s="245" t="str">
        <f>VLOOKUP(A819,'تجربه‌گرها'!B:C,2,FALSE())</f>
        <v>9151485244</v>
      </c>
      <c r="C819" s="242"/>
      <c r="D819" s="242">
        <f t="shared" si="1"/>
        <v>1</v>
      </c>
      <c r="E819" s="242">
        <f>COUNTIFS('تجربه‌گرها'!$B:$B,$A819,'تجربه‌گرها'!$F:$F,E$1)</f>
        <v>0</v>
      </c>
      <c r="F819" s="242">
        <f>COUNTIFS('تجربه‌گرها'!$B:$B,$A819,'تجربه‌گرها'!$F:$F,F$1)</f>
        <v>0</v>
      </c>
      <c r="G819" s="242">
        <f>COUNTIFS('تجربه‌گرها'!$B:$B,$A819,'تجربه‌گرها'!$F:$F,G$1)</f>
        <v>0</v>
      </c>
      <c r="H819" s="242">
        <f>COUNTIFS('تجربه‌گرها'!$B:$B,$A819,'تجربه‌گرها'!$F:$F,H$1)</f>
        <v>0</v>
      </c>
      <c r="I819" s="242">
        <f>COUNTIFS('تجربه‌گرها'!$B:$B,$A819,'تجربه‌گرها'!$F:$F,I$1)</f>
        <v>0</v>
      </c>
      <c r="J819" s="242">
        <f>COUNTIFS('تجربه‌گرها'!$B:$B,$A819,'تجربه‌گرها'!$F:$F,J$1)</f>
        <v>0</v>
      </c>
      <c r="K819" s="242">
        <f>COUNTIFS('تجربه‌گرها'!$B:$B,$A819,'تجربه‌گرها'!$F:$F,K$1)</f>
        <v>0</v>
      </c>
      <c r="L819" s="242">
        <f>COUNTIFS('تجربه‌گرها'!$B:$B,$A819,'تجربه‌گرها'!$F:$F,L$1)</f>
        <v>1</v>
      </c>
      <c r="M819" s="242">
        <f>COUNTIFS('تجربه‌گرها'!$B:$B,$A819,'تجربه‌گرها'!$F:$F,M$1)</f>
        <v>0</v>
      </c>
      <c r="N819" s="242">
        <f>COUNTIFS('تجربه‌گرها'!$B:$B,$A819,'تجربه‌گرها'!$F:$F,N$1)</f>
        <v>0</v>
      </c>
      <c r="O819" s="242">
        <f>COUNTIFS('تجربه‌گرها'!$B:$B,$A819,'تجربه‌گرها'!$F:$F,O$1)</f>
        <v>0</v>
      </c>
      <c r="P819" s="242">
        <f>COUNTIFS('تجربه‌گرها'!$B:$B,$A819,'تجربه‌گرها'!$F:$F,P$1)</f>
        <v>0</v>
      </c>
      <c r="Q819" s="242">
        <f>COUNTIFS('تجربه‌گرها'!$B:$B,$A819,'تجربه‌گرها'!$F:$F,Q$1)</f>
        <v>0</v>
      </c>
      <c r="R819" s="242">
        <f>COUNTIFS('تجربه‌گرها'!$B:$B,$A819,'تجربه‌گرها'!$F:$F,R$1)</f>
        <v>0</v>
      </c>
      <c r="S819" s="242">
        <f>COUNTIFS('تجربه‌گرها'!$B:$B,$A819,'تجربه‌گرها'!$F:$F,S$1)</f>
        <v>0</v>
      </c>
      <c r="T819" s="242">
        <f>COUNTIFS('تجربه‌گرها'!$B:$B,$A819,'تجربه‌گرها'!$F:$F,T$1)</f>
        <v>0</v>
      </c>
      <c r="U819" s="242"/>
      <c r="V819" s="242"/>
      <c r="W819" s="242"/>
      <c r="X819" s="242"/>
      <c r="Y819" s="242"/>
      <c r="Z819" s="242"/>
      <c r="AA819" s="242"/>
      <c r="AB819" s="242"/>
    </row>
    <row r="820" hidden="1">
      <c r="A820" s="244" t="s">
        <v>4812</v>
      </c>
      <c r="B820" s="245" t="str">
        <f>VLOOKUP(A820,'تجربه‌گرها'!B:C,2,FALSE())</f>
        <v>9359953747</v>
      </c>
      <c r="C820" s="242"/>
      <c r="D820" s="242">
        <f t="shared" si="1"/>
        <v>1</v>
      </c>
      <c r="E820" s="242">
        <f>COUNTIFS('تجربه‌گرها'!$B:$B,$A820,'تجربه‌گرها'!$F:$F,E$1)</f>
        <v>0</v>
      </c>
      <c r="F820" s="242">
        <f>COUNTIFS('تجربه‌گرها'!$B:$B,$A820,'تجربه‌گرها'!$F:$F,F$1)</f>
        <v>0</v>
      </c>
      <c r="G820" s="242">
        <f>COUNTIFS('تجربه‌گرها'!$B:$B,$A820,'تجربه‌گرها'!$F:$F,G$1)</f>
        <v>0</v>
      </c>
      <c r="H820" s="242">
        <f>COUNTIFS('تجربه‌گرها'!$B:$B,$A820,'تجربه‌گرها'!$F:$F,H$1)</f>
        <v>0</v>
      </c>
      <c r="I820" s="242">
        <f>COUNTIFS('تجربه‌گرها'!$B:$B,$A820,'تجربه‌گرها'!$F:$F,I$1)</f>
        <v>0</v>
      </c>
      <c r="J820" s="242">
        <f>COUNTIFS('تجربه‌گرها'!$B:$B,$A820,'تجربه‌گرها'!$F:$F,J$1)</f>
        <v>0</v>
      </c>
      <c r="K820" s="242">
        <f>COUNTIFS('تجربه‌گرها'!$B:$B,$A820,'تجربه‌گرها'!$F:$F,K$1)</f>
        <v>0</v>
      </c>
      <c r="L820" s="242">
        <f>COUNTIFS('تجربه‌گرها'!$B:$B,$A820,'تجربه‌گرها'!$F:$F,L$1)</f>
        <v>1</v>
      </c>
      <c r="M820" s="242">
        <f>COUNTIFS('تجربه‌گرها'!$B:$B,$A820,'تجربه‌گرها'!$F:$F,M$1)</f>
        <v>0</v>
      </c>
      <c r="N820" s="242">
        <f>COUNTIFS('تجربه‌گرها'!$B:$B,$A820,'تجربه‌گرها'!$F:$F,N$1)</f>
        <v>0</v>
      </c>
      <c r="O820" s="242">
        <f>COUNTIFS('تجربه‌گرها'!$B:$B,$A820,'تجربه‌گرها'!$F:$F,O$1)</f>
        <v>0</v>
      </c>
      <c r="P820" s="242">
        <f>COUNTIFS('تجربه‌گرها'!$B:$B,$A820,'تجربه‌گرها'!$F:$F,P$1)</f>
        <v>0</v>
      </c>
      <c r="Q820" s="242">
        <f>COUNTIFS('تجربه‌گرها'!$B:$B,$A820,'تجربه‌گرها'!$F:$F,Q$1)</f>
        <v>0</v>
      </c>
      <c r="R820" s="242">
        <f>COUNTIFS('تجربه‌گرها'!$B:$B,$A820,'تجربه‌گرها'!$F:$F,R$1)</f>
        <v>0</v>
      </c>
      <c r="S820" s="242">
        <f>COUNTIFS('تجربه‌گرها'!$B:$B,$A820,'تجربه‌گرها'!$F:$F,S$1)</f>
        <v>0</v>
      </c>
      <c r="T820" s="242">
        <f>COUNTIFS('تجربه‌گرها'!$B:$B,$A820,'تجربه‌گرها'!$F:$F,T$1)</f>
        <v>0</v>
      </c>
      <c r="U820" s="242"/>
      <c r="V820" s="242"/>
      <c r="W820" s="242"/>
      <c r="X820" s="242"/>
      <c r="Y820" s="242"/>
      <c r="Z820" s="242"/>
      <c r="AA820" s="242"/>
      <c r="AB820" s="242"/>
    </row>
    <row r="821" hidden="1">
      <c r="A821" s="244" t="s">
        <v>4816</v>
      </c>
      <c r="B821" s="245" t="str">
        <f>VLOOKUP(A821,'تجربه‌گرها'!B:C,2,FALSE())</f>
        <v>9176990925</v>
      </c>
      <c r="C821" s="242"/>
      <c r="D821" s="242">
        <f t="shared" si="1"/>
        <v>1</v>
      </c>
      <c r="E821" s="242">
        <f>COUNTIFS('تجربه‌گرها'!$B:$B,$A821,'تجربه‌گرها'!$F:$F,E$1)</f>
        <v>0</v>
      </c>
      <c r="F821" s="242">
        <f>COUNTIFS('تجربه‌گرها'!$B:$B,$A821,'تجربه‌گرها'!$F:$F,F$1)</f>
        <v>0</v>
      </c>
      <c r="G821" s="242">
        <f>COUNTIFS('تجربه‌گرها'!$B:$B,$A821,'تجربه‌گرها'!$F:$F,G$1)</f>
        <v>0</v>
      </c>
      <c r="H821" s="242">
        <f>COUNTIFS('تجربه‌گرها'!$B:$B,$A821,'تجربه‌گرها'!$F:$F,H$1)</f>
        <v>0</v>
      </c>
      <c r="I821" s="242">
        <f>COUNTIFS('تجربه‌گرها'!$B:$B,$A821,'تجربه‌گرها'!$F:$F,I$1)</f>
        <v>0</v>
      </c>
      <c r="J821" s="242">
        <f>COUNTIFS('تجربه‌گرها'!$B:$B,$A821,'تجربه‌گرها'!$F:$F,J$1)</f>
        <v>0</v>
      </c>
      <c r="K821" s="242">
        <f>COUNTIFS('تجربه‌گرها'!$B:$B,$A821,'تجربه‌گرها'!$F:$F,K$1)</f>
        <v>0</v>
      </c>
      <c r="L821" s="242">
        <f>COUNTIFS('تجربه‌گرها'!$B:$B,$A821,'تجربه‌گرها'!$F:$F,L$1)</f>
        <v>1</v>
      </c>
      <c r="M821" s="242">
        <f>COUNTIFS('تجربه‌گرها'!$B:$B,$A821,'تجربه‌گرها'!$F:$F,M$1)</f>
        <v>0</v>
      </c>
      <c r="N821" s="242">
        <f>COUNTIFS('تجربه‌گرها'!$B:$B,$A821,'تجربه‌گرها'!$F:$F,N$1)</f>
        <v>0</v>
      </c>
      <c r="O821" s="242">
        <f>COUNTIFS('تجربه‌گرها'!$B:$B,$A821,'تجربه‌گرها'!$F:$F,O$1)</f>
        <v>0</v>
      </c>
      <c r="P821" s="242">
        <f>COUNTIFS('تجربه‌گرها'!$B:$B,$A821,'تجربه‌گرها'!$F:$F,P$1)</f>
        <v>0</v>
      </c>
      <c r="Q821" s="242">
        <f>COUNTIFS('تجربه‌گرها'!$B:$B,$A821,'تجربه‌گرها'!$F:$F,Q$1)</f>
        <v>0</v>
      </c>
      <c r="R821" s="242">
        <f>COUNTIFS('تجربه‌گرها'!$B:$B,$A821,'تجربه‌گرها'!$F:$F,R$1)</f>
        <v>0</v>
      </c>
      <c r="S821" s="242">
        <f>COUNTIFS('تجربه‌گرها'!$B:$B,$A821,'تجربه‌گرها'!$F:$F,S$1)</f>
        <v>0</v>
      </c>
      <c r="T821" s="242">
        <f>COUNTIFS('تجربه‌گرها'!$B:$B,$A821,'تجربه‌گرها'!$F:$F,T$1)</f>
        <v>0</v>
      </c>
      <c r="U821" s="242"/>
      <c r="V821" s="242"/>
      <c r="W821" s="242"/>
      <c r="X821" s="242"/>
      <c r="Y821" s="242"/>
      <c r="Z821" s="242"/>
      <c r="AA821" s="242"/>
      <c r="AB821" s="242"/>
    </row>
    <row r="822" hidden="1">
      <c r="A822" s="244" t="s">
        <v>4820</v>
      </c>
      <c r="B822" s="245" t="str">
        <f>VLOOKUP(A822,'تجربه‌گرها'!B:C,2,FALSE())</f>
        <v>9023345075</v>
      </c>
      <c r="C822" s="242"/>
      <c r="D822" s="242">
        <f t="shared" si="1"/>
        <v>1</v>
      </c>
      <c r="E822" s="242">
        <f>COUNTIFS('تجربه‌گرها'!$B:$B,$A822,'تجربه‌گرها'!$F:$F,E$1)</f>
        <v>0</v>
      </c>
      <c r="F822" s="242">
        <f>COUNTIFS('تجربه‌گرها'!$B:$B,$A822,'تجربه‌گرها'!$F:$F,F$1)</f>
        <v>0</v>
      </c>
      <c r="G822" s="242">
        <f>COUNTIFS('تجربه‌گرها'!$B:$B,$A822,'تجربه‌گرها'!$F:$F,G$1)</f>
        <v>0</v>
      </c>
      <c r="H822" s="242">
        <f>COUNTIFS('تجربه‌گرها'!$B:$B,$A822,'تجربه‌گرها'!$F:$F,H$1)</f>
        <v>0</v>
      </c>
      <c r="I822" s="242">
        <f>COUNTIFS('تجربه‌گرها'!$B:$B,$A822,'تجربه‌گرها'!$F:$F,I$1)</f>
        <v>0</v>
      </c>
      <c r="J822" s="242">
        <f>COUNTIFS('تجربه‌گرها'!$B:$B,$A822,'تجربه‌گرها'!$F:$F,J$1)</f>
        <v>0</v>
      </c>
      <c r="K822" s="242">
        <f>COUNTIFS('تجربه‌گرها'!$B:$B,$A822,'تجربه‌گرها'!$F:$F,K$1)</f>
        <v>0</v>
      </c>
      <c r="L822" s="242">
        <f>COUNTIFS('تجربه‌گرها'!$B:$B,$A822,'تجربه‌گرها'!$F:$F,L$1)</f>
        <v>1</v>
      </c>
      <c r="M822" s="242">
        <f>COUNTIFS('تجربه‌گرها'!$B:$B,$A822,'تجربه‌گرها'!$F:$F,M$1)</f>
        <v>0</v>
      </c>
      <c r="N822" s="242">
        <f>COUNTIFS('تجربه‌گرها'!$B:$B,$A822,'تجربه‌گرها'!$F:$F,N$1)</f>
        <v>0</v>
      </c>
      <c r="O822" s="242">
        <f>COUNTIFS('تجربه‌گرها'!$B:$B,$A822,'تجربه‌گرها'!$F:$F,O$1)</f>
        <v>0</v>
      </c>
      <c r="P822" s="242">
        <f>COUNTIFS('تجربه‌گرها'!$B:$B,$A822,'تجربه‌گرها'!$F:$F,P$1)</f>
        <v>0</v>
      </c>
      <c r="Q822" s="242">
        <f>COUNTIFS('تجربه‌گرها'!$B:$B,$A822,'تجربه‌گرها'!$F:$F,Q$1)</f>
        <v>0</v>
      </c>
      <c r="R822" s="242">
        <f>COUNTIFS('تجربه‌گرها'!$B:$B,$A822,'تجربه‌گرها'!$F:$F,R$1)</f>
        <v>0</v>
      </c>
      <c r="S822" s="242">
        <f>COUNTIFS('تجربه‌گرها'!$B:$B,$A822,'تجربه‌گرها'!$F:$F,S$1)</f>
        <v>0</v>
      </c>
      <c r="T822" s="242">
        <f>COUNTIFS('تجربه‌گرها'!$B:$B,$A822,'تجربه‌گرها'!$F:$F,T$1)</f>
        <v>0</v>
      </c>
      <c r="U822" s="242"/>
      <c r="V822" s="242"/>
      <c r="W822" s="242"/>
      <c r="X822" s="242"/>
      <c r="Y822" s="242"/>
      <c r="Z822" s="242"/>
      <c r="AA822" s="242"/>
      <c r="AB822" s="242"/>
    </row>
    <row r="823" hidden="1">
      <c r="A823" s="244" t="s">
        <v>4823</v>
      </c>
      <c r="B823" s="245" t="str">
        <f>VLOOKUP(A823,'تجربه‌گرها'!B:C,2,FALSE())</f>
        <v>9157278010</v>
      </c>
      <c r="C823" s="242"/>
      <c r="D823" s="242">
        <f t="shared" si="1"/>
        <v>1</v>
      </c>
      <c r="E823" s="242">
        <f>COUNTIFS('تجربه‌گرها'!$B:$B,$A823,'تجربه‌گرها'!$F:$F,E$1)</f>
        <v>0</v>
      </c>
      <c r="F823" s="242">
        <f>COUNTIFS('تجربه‌گرها'!$B:$B,$A823,'تجربه‌گرها'!$F:$F,F$1)</f>
        <v>0</v>
      </c>
      <c r="G823" s="242">
        <f>COUNTIFS('تجربه‌گرها'!$B:$B,$A823,'تجربه‌گرها'!$F:$F,G$1)</f>
        <v>0</v>
      </c>
      <c r="H823" s="242">
        <f>COUNTIFS('تجربه‌گرها'!$B:$B,$A823,'تجربه‌گرها'!$F:$F,H$1)</f>
        <v>0</v>
      </c>
      <c r="I823" s="242">
        <f>COUNTIFS('تجربه‌گرها'!$B:$B,$A823,'تجربه‌گرها'!$F:$F,I$1)</f>
        <v>0</v>
      </c>
      <c r="J823" s="242">
        <f>COUNTIFS('تجربه‌گرها'!$B:$B,$A823,'تجربه‌گرها'!$F:$F,J$1)</f>
        <v>0</v>
      </c>
      <c r="K823" s="242">
        <f>COUNTIFS('تجربه‌گرها'!$B:$B,$A823,'تجربه‌گرها'!$F:$F,K$1)</f>
        <v>0</v>
      </c>
      <c r="L823" s="242">
        <f>COUNTIFS('تجربه‌گرها'!$B:$B,$A823,'تجربه‌گرها'!$F:$F,L$1)</f>
        <v>1</v>
      </c>
      <c r="M823" s="242">
        <f>COUNTIFS('تجربه‌گرها'!$B:$B,$A823,'تجربه‌گرها'!$F:$F,M$1)</f>
        <v>0</v>
      </c>
      <c r="N823" s="242">
        <f>COUNTIFS('تجربه‌گرها'!$B:$B,$A823,'تجربه‌گرها'!$F:$F,N$1)</f>
        <v>0</v>
      </c>
      <c r="O823" s="242">
        <f>COUNTIFS('تجربه‌گرها'!$B:$B,$A823,'تجربه‌گرها'!$F:$F,O$1)</f>
        <v>0</v>
      </c>
      <c r="P823" s="242">
        <f>COUNTIFS('تجربه‌گرها'!$B:$B,$A823,'تجربه‌گرها'!$F:$F,P$1)</f>
        <v>0</v>
      </c>
      <c r="Q823" s="242">
        <f>COUNTIFS('تجربه‌گرها'!$B:$B,$A823,'تجربه‌گرها'!$F:$F,Q$1)</f>
        <v>0</v>
      </c>
      <c r="R823" s="242">
        <f>COUNTIFS('تجربه‌گرها'!$B:$B,$A823,'تجربه‌گرها'!$F:$F,R$1)</f>
        <v>0</v>
      </c>
      <c r="S823" s="242">
        <f>COUNTIFS('تجربه‌گرها'!$B:$B,$A823,'تجربه‌گرها'!$F:$F,S$1)</f>
        <v>0</v>
      </c>
      <c r="T823" s="242">
        <f>COUNTIFS('تجربه‌گرها'!$B:$B,$A823,'تجربه‌گرها'!$F:$F,T$1)</f>
        <v>0</v>
      </c>
      <c r="U823" s="242"/>
      <c r="V823" s="242"/>
      <c r="W823" s="242"/>
      <c r="X823" s="242"/>
      <c r="Y823" s="242"/>
      <c r="Z823" s="242"/>
      <c r="AA823" s="242"/>
      <c r="AB823" s="242"/>
    </row>
    <row r="824" hidden="1">
      <c r="A824" s="244" t="s">
        <v>4828</v>
      </c>
      <c r="B824" s="245" t="str">
        <f>VLOOKUP(A824,'تجربه‌گرها'!B:C,2,FALSE())</f>
        <v>9124260862</v>
      </c>
      <c r="C824" s="242"/>
      <c r="D824" s="242">
        <f t="shared" si="1"/>
        <v>1</v>
      </c>
      <c r="E824" s="242">
        <f>COUNTIFS('تجربه‌گرها'!$B:$B,$A824,'تجربه‌گرها'!$F:$F,E$1)</f>
        <v>0</v>
      </c>
      <c r="F824" s="242">
        <f>COUNTIFS('تجربه‌گرها'!$B:$B,$A824,'تجربه‌گرها'!$F:$F,F$1)</f>
        <v>0</v>
      </c>
      <c r="G824" s="242">
        <f>COUNTIFS('تجربه‌گرها'!$B:$B,$A824,'تجربه‌گرها'!$F:$F,G$1)</f>
        <v>0</v>
      </c>
      <c r="H824" s="242">
        <f>COUNTIFS('تجربه‌گرها'!$B:$B,$A824,'تجربه‌گرها'!$F:$F,H$1)</f>
        <v>0</v>
      </c>
      <c r="I824" s="242">
        <f>COUNTIFS('تجربه‌گرها'!$B:$B,$A824,'تجربه‌گرها'!$F:$F,I$1)</f>
        <v>0</v>
      </c>
      <c r="J824" s="242">
        <f>COUNTIFS('تجربه‌گرها'!$B:$B,$A824,'تجربه‌گرها'!$F:$F,J$1)</f>
        <v>0</v>
      </c>
      <c r="K824" s="242">
        <f>COUNTIFS('تجربه‌گرها'!$B:$B,$A824,'تجربه‌گرها'!$F:$F,K$1)</f>
        <v>0</v>
      </c>
      <c r="L824" s="242">
        <f>COUNTIFS('تجربه‌گرها'!$B:$B,$A824,'تجربه‌گرها'!$F:$F,L$1)</f>
        <v>1</v>
      </c>
      <c r="M824" s="242">
        <f>COUNTIFS('تجربه‌گرها'!$B:$B,$A824,'تجربه‌گرها'!$F:$F,M$1)</f>
        <v>0</v>
      </c>
      <c r="N824" s="242">
        <f>COUNTIFS('تجربه‌گرها'!$B:$B,$A824,'تجربه‌گرها'!$F:$F,N$1)</f>
        <v>0</v>
      </c>
      <c r="O824" s="242">
        <f>COUNTIFS('تجربه‌گرها'!$B:$B,$A824,'تجربه‌گرها'!$F:$F,O$1)</f>
        <v>0</v>
      </c>
      <c r="P824" s="242">
        <f>COUNTIFS('تجربه‌گرها'!$B:$B,$A824,'تجربه‌گرها'!$F:$F,P$1)</f>
        <v>0</v>
      </c>
      <c r="Q824" s="242">
        <f>COUNTIFS('تجربه‌گرها'!$B:$B,$A824,'تجربه‌گرها'!$F:$F,Q$1)</f>
        <v>0</v>
      </c>
      <c r="R824" s="242">
        <f>COUNTIFS('تجربه‌گرها'!$B:$B,$A824,'تجربه‌گرها'!$F:$F,R$1)</f>
        <v>0</v>
      </c>
      <c r="S824" s="242">
        <f>COUNTIFS('تجربه‌گرها'!$B:$B,$A824,'تجربه‌گرها'!$F:$F,S$1)</f>
        <v>0</v>
      </c>
      <c r="T824" s="242">
        <f>COUNTIFS('تجربه‌گرها'!$B:$B,$A824,'تجربه‌گرها'!$F:$F,T$1)</f>
        <v>0</v>
      </c>
      <c r="U824" s="242"/>
      <c r="V824" s="242"/>
      <c r="W824" s="242"/>
      <c r="X824" s="242"/>
      <c r="Y824" s="242"/>
      <c r="Z824" s="242"/>
      <c r="AA824" s="242"/>
      <c r="AB824" s="242"/>
    </row>
    <row r="825" hidden="1">
      <c r="A825" s="244" t="s">
        <v>4835</v>
      </c>
      <c r="B825" s="245" t="str">
        <f>VLOOKUP(A825,'تجربه‌گرها'!B:C,2,FALSE())</f>
        <v>9037933974</v>
      </c>
      <c r="C825" s="242"/>
      <c r="D825" s="242">
        <f t="shared" si="1"/>
        <v>1</v>
      </c>
      <c r="E825" s="242">
        <f>COUNTIFS('تجربه‌گرها'!$B:$B,$A825,'تجربه‌گرها'!$F:$F,E$1)</f>
        <v>0</v>
      </c>
      <c r="F825" s="242">
        <f>COUNTIFS('تجربه‌گرها'!$B:$B,$A825,'تجربه‌گرها'!$F:$F,F$1)</f>
        <v>0</v>
      </c>
      <c r="G825" s="242">
        <f>COUNTIFS('تجربه‌گرها'!$B:$B,$A825,'تجربه‌گرها'!$F:$F,G$1)</f>
        <v>0</v>
      </c>
      <c r="H825" s="242">
        <f>COUNTIFS('تجربه‌گرها'!$B:$B,$A825,'تجربه‌گرها'!$F:$F,H$1)</f>
        <v>0</v>
      </c>
      <c r="I825" s="242">
        <f>COUNTIFS('تجربه‌گرها'!$B:$B,$A825,'تجربه‌گرها'!$F:$F,I$1)</f>
        <v>0</v>
      </c>
      <c r="J825" s="242">
        <f>COUNTIFS('تجربه‌گرها'!$B:$B,$A825,'تجربه‌گرها'!$F:$F,J$1)</f>
        <v>0</v>
      </c>
      <c r="K825" s="242">
        <f>COUNTIFS('تجربه‌گرها'!$B:$B,$A825,'تجربه‌گرها'!$F:$F,K$1)</f>
        <v>0</v>
      </c>
      <c r="L825" s="242">
        <f>COUNTIFS('تجربه‌گرها'!$B:$B,$A825,'تجربه‌گرها'!$F:$F,L$1)</f>
        <v>1</v>
      </c>
      <c r="M825" s="242">
        <f>COUNTIFS('تجربه‌گرها'!$B:$B,$A825,'تجربه‌گرها'!$F:$F,M$1)</f>
        <v>0</v>
      </c>
      <c r="N825" s="242">
        <f>COUNTIFS('تجربه‌گرها'!$B:$B,$A825,'تجربه‌گرها'!$F:$F,N$1)</f>
        <v>0</v>
      </c>
      <c r="O825" s="242">
        <f>COUNTIFS('تجربه‌گرها'!$B:$B,$A825,'تجربه‌گرها'!$F:$F,O$1)</f>
        <v>0</v>
      </c>
      <c r="P825" s="242">
        <f>COUNTIFS('تجربه‌گرها'!$B:$B,$A825,'تجربه‌گرها'!$F:$F,P$1)</f>
        <v>0</v>
      </c>
      <c r="Q825" s="242">
        <f>COUNTIFS('تجربه‌گرها'!$B:$B,$A825,'تجربه‌گرها'!$F:$F,Q$1)</f>
        <v>0</v>
      </c>
      <c r="R825" s="242">
        <f>COUNTIFS('تجربه‌گرها'!$B:$B,$A825,'تجربه‌گرها'!$F:$F,R$1)</f>
        <v>0</v>
      </c>
      <c r="S825" s="242">
        <f>COUNTIFS('تجربه‌گرها'!$B:$B,$A825,'تجربه‌گرها'!$F:$F,S$1)</f>
        <v>0</v>
      </c>
      <c r="T825" s="242">
        <f>COUNTIFS('تجربه‌گرها'!$B:$B,$A825,'تجربه‌گرها'!$F:$F,T$1)</f>
        <v>0</v>
      </c>
      <c r="U825" s="242"/>
      <c r="V825" s="242"/>
      <c r="W825" s="242"/>
      <c r="X825" s="242"/>
      <c r="Y825" s="242"/>
      <c r="Z825" s="242"/>
      <c r="AA825" s="242"/>
      <c r="AB825" s="242"/>
    </row>
    <row r="826" hidden="1">
      <c r="A826" s="244" t="s">
        <v>4838</v>
      </c>
      <c r="B826" s="245" t="str">
        <f>VLOOKUP(A826,'تجربه‌گرها'!B:C,2,FALSE())</f>
        <v>9361261200</v>
      </c>
      <c r="C826" s="242"/>
      <c r="D826" s="242">
        <f t="shared" si="1"/>
        <v>1</v>
      </c>
      <c r="E826" s="242">
        <f>COUNTIFS('تجربه‌گرها'!$B:$B,$A826,'تجربه‌گرها'!$F:$F,E$1)</f>
        <v>0</v>
      </c>
      <c r="F826" s="242">
        <f>COUNTIFS('تجربه‌گرها'!$B:$B,$A826,'تجربه‌گرها'!$F:$F,F$1)</f>
        <v>0</v>
      </c>
      <c r="G826" s="242">
        <f>COUNTIFS('تجربه‌گرها'!$B:$B,$A826,'تجربه‌گرها'!$F:$F,G$1)</f>
        <v>0</v>
      </c>
      <c r="H826" s="242">
        <f>COUNTIFS('تجربه‌گرها'!$B:$B,$A826,'تجربه‌گرها'!$F:$F,H$1)</f>
        <v>0</v>
      </c>
      <c r="I826" s="242">
        <f>COUNTIFS('تجربه‌گرها'!$B:$B,$A826,'تجربه‌گرها'!$F:$F,I$1)</f>
        <v>0</v>
      </c>
      <c r="J826" s="242">
        <f>COUNTIFS('تجربه‌گرها'!$B:$B,$A826,'تجربه‌گرها'!$F:$F,J$1)</f>
        <v>0</v>
      </c>
      <c r="K826" s="242">
        <f>COUNTIFS('تجربه‌گرها'!$B:$B,$A826,'تجربه‌گرها'!$F:$F,K$1)</f>
        <v>0</v>
      </c>
      <c r="L826" s="242">
        <f>COUNTIFS('تجربه‌گرها'!$B:$B,$A826,'تجربه‌گرها'!$F:$F,L$1)</f>
        <v>1</v>
      </c>
      <c r="M826" s="242">
        <f>COUNTIFS('تجربه‌گرها'!$B:$B,$A826,'تجربه‌گرها'!$F:$F,M$1)</f>
        <v>0</v>
      </c>
      <c r="N826" s="242">
        <f>COUNTIFS('تجربه‌گرها'!$B:$B,$A826,'تجربه‌گرها'!$F:$F,N$1)</f>
        <v>0</v>
      </c>
      <c r="O826" s="242">
        <f>COUNTIFS('تجربه‌گرها'!$B:$B,$A826,'تجربه‌گرها'!$F:$F,O$1)</f>
        <v>0</v>
      </c>
      <c r="P826" s="242">
        <f>COUNTIFS('تجربه‌گرها'!$B:$B,$A826,'تجربه‌گرها'!$F:$F,P$1)</f>
        <v>0</v>
      </c>
      <c r="Q826" s="242">
        <f>COUNTIFS('تجربه‌گرها'!$B:$B,$A826,'تجربه‌گرها'!$F:$F,Q$1)</f>
        <v>0</v>
      </c>
      <c r="R826" s="242">
        <f>COUNTIFS('تجربه‌گرها'!$B:$B,$A826,'تجربه‌گرها'!$F:$F,R$1)</f>
        <v>0</v>
      </c>
      <c r="S826" s="242">
        <f>COUNTIFS('تجربه‌گرها'!$B:$B,$A826,'تجربه‌گرها'!$F:$F,S$1)</f>
        <v>0</v>
      </c>
      <c r="T826" s="242">
        <f>COUNTIFS('تجربه‌گرها'!$B:$B,$A826,'تجربه‌گرها'!$F:$F,T$1)</f>
        <v>0</v>
      </c>
      <c r="U826" s="242"/>
      <c r="V826" s="242"/>
      <c r="W826" s="242"/>
      <c r="X826" s="242"/>
      <c r="Y826" s="242"/>
      <c r="Z826" s="242"/>
      <c r="AA826" s="242"/>
      <c r="AB826" s="242"/>
    </row>
    <row r="827" hidden="1">
      <c r="A827" s="244" t="s">
        <v>4842</v>
      </c>
      <c r="B827" s="245" t="str">
        <f>VLOOKUP(A827,'تجربه‌گرها'!B:C,2,FALSE())</f>
        <v>9351216101</v>
      </c>
      <c r="C827" s="242"/>
      <c r="D827" s="242">
        <f t="shared" si="1"/>
        <v>1</v>
      </c>
      <c r="E827" s="242">
        <f>COUNTIFS('تجربه‌گرها'!$B:$B,$A827,'تجربه‌گرها'!$F:$F,E$1)</f>
        <v>0</v>
      </c>
      <c r="F827" s="242">
        <f>COUNTIFS('تجربه‌گرها'!$B:$B,$A827,'تجربه‌گرها'!$F:$F,F$1)</f>
        <v>0</v>
      </c>
      <c r="G827" s="242">
        <f>COUNTIFS('تجربه‌گرها'!$B:$B,$A827,'تجربه‌گرها'!$F:$F,G$1)</f>
        <v>0</v>
      </c>
      <c r="H827" s="242">
        <f>COUNTIFS('تجربه‌گرها'!$B:$B,$A827,'تجربه‌گرها'!$F:$F,H$1)</f>
        <v>0</v>
      </c>
      <c r="I827" s="242">
        <f>COUNTIFS('تجربه‌گرها'!$B:$B,$A827,'تجربه‌گرها'!$F:$F,I$1)</f>
        <v>0</v>
      </c>
      <c r="J827" s="242">
        <f>COUNTIFS('تجربه‌گرها'!$B:$B,$A827,'تجربه‌گرها'!$F:$F,J$1)</f>
        <v>0</v>
      </c>
      <c r="K827" s="242">
        <f>COUNTIFS('تجربه‌گرها'!$B:$B,$A827,'تجربه‌گرها'!$F:$F,K$1)</f>
        <v>0</v>
      </c>
      <c r="L827" s="242">
        <f>COUNTIFS('تجربه‌گرها'!$B:$B,$A827,'تجربه‌گرها'!$F:$F,L$1)</f>
        <v>1</v>
      </c>
      <c r="M827" s="242">
        <f>COUNTIFS('تجربه‌گرها'!$B:$B,$A827,'تجربه‌گرها'!$F:$F,M$1)</f>
        <v>0</v>
      </c>
      <c r="N827" s="242">
        <f>COUNTIFS('تجربه‌گرها'!$B:$B,$A827,'تجربه‌گرها'!$F:$F,N$1)</f>
        <v>0</v>
      </c>
      <c r="O827" s="242">
        <f>COUNTIFS('تجربه‌گرها'!$B:$B,$A827,'تجربه‌گرها'!$F:$F,O$1)</f>
        <v>0</v>
      </c>
      <c r="P827" s="242">
        <f>COUNTIFS('تجربه‌گرها'!$B:$B,$A827,'تجربه‌گرها'!$F:$F,P$1)</f>
        <v>0</v>
      </c>
      <c r="Q827" s="242">
        <f>COUNTIFS('تجربه‌گرها'!$B:$B,$A827,'تجربه‌گرها'!$F:$F,Q$1)</f>
        <v>0</v>
      </c>
      <c r="R827" s="242">
        <f>COUNTIFS('تجربه‌گرها'!$B:$B,$A827,'تجربه‌گرها'!$F:$F,R$1)</f>
        <v>0</v>
      </c>
      <c r="S827" s="242">
        <f>COUNTIFS('تجربه‌گرها'!$B:$B,$A827,'تجربه‌گرها'!$F:$F,S$1)</f>
        <v>0</v>
      </c>
      <c r="T827" s="242">
        <f>COUNTIFS('تجربه‌گرها'!$B:$B,$A827,'تجربه‌گرها'!$F:$F,T$1)</f>
        <v>0</v>
      </c>
      <c r="U827" s="242"/>
      <c r="V827" s="242"/>
      <c r="W827" s="242"/>
      <c r="X827" s="242"/>
      <c r="Y827" s="242"/>
      <c r="Z827" s="242"/>
      <c r="AA827" s="242"/>
      <c r="AB827" s="242"/>
    </row>
    <row r="828" hidden="1">
      <c r="A828" s="244" t="s">
        <v>4845</v>
      </c>
      <c r="B828" s="245" t="str">
        <f>VLOOKUP(A828,'تجربه‌گرها'!B:C,2,FALSE())</f>
        <v>9355344963</v>
      </c>
      <c r="C828" s="242"/>
      <c r="D828" s="242">
        <f t="shared" si="1"/>
        <v>4</v>
      </c>
      <c r="E828" s="242">
        <f>COUNTIFS('تجربه‌گرها'!$B:$B,$A828,'تجربه‌گرها'!$F:$F,E$1)</f>
        <v>0</v>
      </c>
      <c r="F828" s="242">
        <f>COUNTIFS('تجربه‌گرها'!$B:$B,$A828,'تجربه‌گرها'!$F:$F,F$1)</f>
        <v>0</v>
      </c>
      <c r="G828" s="242">
        <f>COUNTIFS('تجربه‌گرها'!$B:$B,$A828,'تجربه‌گرها'!$F:$F,G$1)</f>
        <v>0</v>
      </c>
      <c r="H828" s="242">
        <f>COUNTIFS('تجربه‌گرها'!$B:$B,$A828,'تجربه‌گرها'!$F:$F,H$1)</f>
        <v>0</v>
      </c>
      <c r="I828" s="242">
        <f>COUNTIFS('تجربه‌گرها'!$B:$B,$A828,'تجربه‌گرها'!$F:$F,I$1)</f>
        <v>0</v>
      </c>
      <c r="J828" s="242">
        <f>COUNTIFS('تجربه‌گرها'!$B:$B,$A828,'تجربه‌گرها'!$F:$F,J$1)</f>
        <v>0</v>
      </c>
      <c r="K828" s="242">
        <f>COUNTIFS('تجربه‌گرها'!$B:$B,$A828,'تجربه‌گرها'!$F:$F,K$1)</f>
        <v>0</v>
      </c>
      <c r="L828" s="242">
        <f>COUNTIFS('تجربه‌گرها'!$B:$B,$A828,'تجربه‌گرها'!$F:$F,L$1)</f>
        <v>1</v>
      </c>
      <c r="M828" s="242">
        <f>COUNTIFS('تجربه‌گرها'!$B:$B,$A828,'تجربه‌گرها'!$F:$F,M$1)</f>
        <v>1</v>
      </c>
      <c r="N828" s="242">
        <f>COUNTIFS('تجربه‌گرها'!$B:$B,$A828,'تجربه‌گرها'!$F:$F,N$1)</f>
        <v>1</v>
      </c>
      <c r="O828" s="242">
        <f>COUNTIFS('تجربه‌گرها'!$B:$B,$A828,'تجربه‌گرها'!$F:$F,O$1)</f>
        <v>0</v>
      </c>
      <c r="P828" s="242">
        <f>COUNTIFS('تجربه‌گرها'!$B:$B,$A828,'تجربه‌گرها'!$F:$F,P$1)</f>
        <v>1</v>
      </c>
      <c r="Q828" s="242">
        <f>COUNTIFS('تجربه‌گرها'!$B:$B,$A828,'تجربه‌گرها'!$F:$F,Q$1)</f>
        <v>0</v>
      </c>
      <c r="R828" s="242">
        <f>COUNTIFS('تجربه‌گرها'!$B:$B,$A828,'تجربه‌گرها'!$F:$F,R$1)</f>
        <v>0</v>
      </c>
      <c r="S828" s="242">
        <f>COUNTIFS('تجربه‌گرها'!$B:$B,$A828,'تجربه‌گرها'!$F:$F,S$1)</f>
        <v>0</v>
      </c>
      <c r="T828" s="242">
        <f>COUNTIFS('تجربه‌گرها'!$B:$B,$A828,'تجربه‌گرها'!$F:$F,T$1)</f>
        <v>0</v>
      </c>
      <c r="U828" s="242"/>
      <c r="V828" s="242"/>
      <c r="W828" s="242"/>
      <c r="X828" s="242"/>
      <c r="Y828" s="242"/>
      <c r="Z828" s="242"/>
      <c r="AA828" s="242"/>
      <c r="AB828" s="242"/>
    </row>
    <row r="829" hidden="1">
      <c r="A829" s="244" t="s">
        <v>4847</v>
      </c>
      <c r="B829" s="245" t="str">
        <f>VLOOKUP(A829,'تجربه‌گرها'!B:C,2,FALSE())</f>
        <v>9122083834</v>
      </c>
      <c r="C829" s="242"/>
      <c r="D829" s="242">
        <f t="shared" si="1"/>
        <v>1</v>
      </c>
      <c r="E829" s="242">
        <f>COUNTIFS('تجربه‌گرها'!$B:$B,$A829,'تجربه‌گرها'!$F:$F,E$1)</f>
        <v>0</v>
      </c>
      <c r="F829" s="242">
        <f>COUNTIFS('تجربه‌گرها'!$B:$B,$A829,'تجربه‌گرها'!$F:$F,F$1)</f>
        <v>0</v>
      </c>
      <c r="G829" s="242">
        <f>COUNTIFS('تجربه‌گرها'!$B:$B,$A829,'تجربه‌گرها'!$F:$F,G$1)</f>
        <v>0</v>
      </c>
      <c r="H829" s="242">
        <f>COUNTIFS('تجربه‌گرها'!$B:$B,$A829,'تجربه‌گرها'!$F:$F,H$1)</f>
        <v>0</v>
      </c>
      <c r="I829" s="242">
        <f>COUNTIFS('تجربه‌گرها'!$B:$B,$A829,'تجربه‌گرها'!$F:$F,I$1)</f>
        <v>0</v>
      </c>
      <c r="J829" s="242">
        <f>COUNTIFS('تجربه‌گرها'!$B:$B,$A829,'تجربه‌گرها'!$F:$F,J$1)</f>
        <v>0</v>
      </c>
      <c r="K829" s="242">
        <f>COUNTIFS('تجربه‌گرها'!$B:$B,$A829,'تجربه‌گرها'!$F:$F,K$1)</f>
        <v>0</v>
      </c>
      <c r="L829" s="242">
        <f>COUNTIFS('تجربه‌گرها'!$B:$B,$A829,'تجربه‌گرها'!$F:$F,L$1)</f>
        <v>1</v>
      </c>
      <c r="M829" s="242">
        <f>COUNTIFS('تجربه‌گرها'!$B:$B,$A829,'تجربه‌گرها'!$F:$F,M$1)</f>
        <v>0</v>
      </c>
      <c r="N829" s="242">
        <f>COUNTIFS('تجربه‌گرها'!$B:$B,$A829,'تجربه‌گرها'!$F:$F,N$1)</f>
        <v>0</v>
      </c>
      <c r="O829" s="242">
        <f>COUNTIFS('تجربه‌گرها'!$B:$B,$A829,'تجربه‌گرها'!$F:$F,O$1)</f>
        <v>0</v>
      </c>
      <c r="P829" s="242">
        <f>COUNTIFS('تجربه‌گرها'!$B:$B,$A829,'تجربه‌گرها'!$F:$F,P$1)</f>
        <v>0</v>
      </c>
      <c r="Q829" s="242">
        <f>COUNTIFS('تجربه‌گرها'!$B:$B,$A829,'تجربه‌گرها'!$F:$F,Q$1)</f>
        <v>0</v>
      </c>
      <c r="R829" s="242">
        <f>COUNTIFS('تجربه‌گرها'!$B:$B,$A829,'تجربه‌گرها'!$F:$F,R$1)</f>
        <v>0</v>
      </c>
      <c r="S829" s="242">
        <f>COUNTIFS('تجربه‌گرها'!$B:$B,$A829,'تجربه‌گرها'!$F:$F,S$1)</f>
        <v>0</v>
      </c>
      <c r="T829" s="242">
        <f>COUNTIFS('تجربه‌گرها'!$B:$B,$A829,'تجربه‌گرها'!$F:$F,T$1)</f>
        <v>0</v>
      </c>
      <c r="U829" s="242"/>
      <c r="V829" s="242"/>
      <c r="W829" s="242"/>
      <c r="X829" s="242"/>
      <c r="Y829" s="242"/>
      <c r="Z829" s="242"/>
      <c r="AA829" s="242"/>
      <c r="AB829" s="242"/>
    </row>
    <row r="830" hidden="1">
      <c r="A830" s="244" t="s">
        <v>4852</v>
      </c>
      <c r="B830" s="245" t="str">
        <f>VLOOKUP(A830,'تجربه‌گرها'!B:C,2,FALSE())</f>
        <v>9368570499</v>
      </c>
      <c r="C830" s="242"/>
      <c r="D830" s="242">
        <f t="shared" si="1"/>
        <v>1</v>
      </c>
      <c r="E830" s="242">
        <f>COUNTIFS('تجربه‌گرها'!$B:$B,$A830,'تجربه‌گرها'!$F:$F,E$1)</f>
        <v>0</v>
      </c>
      <c r="F830" s="242">
        <f>COUNTIFS('تجربه‌گرها'!$B:$B,$A830,'تجربه‌گرها'!$F:$F,F$1)</f>
        <v>0</v>
      </c>
      <c r="G830" s="242">
        <f>COUNTIFS('تجربه‌گرها'!$B:$B,$A830,'تجربه‌گرها'!$F:$F,G$1)</f>
        <v>0</v>
      </c>
      <c r="H830" s="242">
        <f>COUNTIFS('تجربه‌گرها'!$B:$B,$A830,'تجربه‌گرها'!$F:$F,H$1)</f>
        <v>0</v>
      </c>
      <c r="I830" s="242">
        <f>COUNTIFS('تجربه‌گرها'!$B:$B,$A830,'تجربه‌گرها'!$F:$F,I$1)</f>
        <v>0</v>
      </c>
      <c r="J830" s="242">
        <f>COUNTIFS('تجربه‌گرها'!$B:$B,$A830,'تجربه‌گرها'!$F:$F,J$1)</f>
        <v>0</v>
      </c>
      <c r="K830" s="242">
        <f>COUNTIFS('تجربه‌گرها'!$B:$B,$A830,'تجربه‌گرها'!$F:$F,K$1)</f>
        <v>0</v>
      </c>
      <c r="L830" s="242">
        <f>COUNTIFS('تجربه‌گرها'!$B:$B,$A830,'تجربه‌گرها'!$F:$F,L$1)</f>
        <v>1</v>
      </c>
      <c r="M830" s="242">
        <f>COUNTIFS('تجربه‌گرها'!$B:$B,$A830,'تجربه‌گرها'!$F:$F,M$1)</f>
        <v>0</v>
      </c>
      <c r="N830" s="242">
        <f>COUNTIFS('تجربه‌گرها'!$B:$B,$A830,'تجربه‌گرها'!$F:$F,N$1)</f>
        <v>0</v>
      </c>
      <c r="O830" s="242">
        <f>COUNTIFS('تجربه‌گرها'!$B:$B,$A830,'تجربه‌گرها'!$F:$F,O$1)</f>
        <v>0</v>
      </c>
      <c r="P830" s="242">
        <f>COUNTIFS('تجربه‌گرها'!$B:$B,$A830,'تجربه‌گرها'!$F:$F,P$1)</f>
        <v>0</v>
      </c>
      <c r="Q830" s="242">
        <f>COUNTIFS('تجربه‌گرها'!$B:$B,$A830,'تجربه‌گرها'!$F:$F,Q$1)</f>
        <v>0</v>
      </c>
      <c r="R830" s="242">
        <f>COUNTIFS('تجربه‌گرها'!$B:$B,$A830,'تجربه‌گرها'!$F:$F,R$1)</f>
        <v>0</v>
      </c>
      <c r="S830" s="242">
        <f>COUNTIFS('تجربه‌گرها'!$B:$B,$A830,'تجربه‌گرها'!$F:$F,S$1)</f>
        <v>0</v>
      </c>
      <c r="T830" s="242">
        <f>COUNTIFS('تجربه‌گرها'!$B:$B,$A830,'تجربه‌گرها'!$F:$F,T$1)</f>
        <v>0</v>
      </c>
      <c r="U830" s="242"/>
      <c r="V830" s="242"/>
      <c r="W830" s="242"/>
      <c r="X830" s="242"/>
      <c r="Y830" s="242"/>
      <c r="Z830" s="242"/>
      <c r="AA830" s="242"/>
      <c r="AB830" s="242"/>
    </row>
    <row r="831" hidden="1">
      <c r="A831" s="244" t="s">
        <v>4856</v>
      </c>
      <c r="B831" s="245" t="str">
        <f>VLOOKUP(A831,'تجربه‌گرها'!B:C,2,FALSE())</f>
        <v>9374712864</v>
      </c>
      <c r="C831" s="242"/>
      <c r="D831" s="242">
        <f t="shared" si="1"/>
        <v>1</v>
      </c>
      <c r="E831" s="242">
        <f>COUNTIFS('تجربه‌گرها'!$B:$B,$A831,'تجربه‌گرها'!$F:$F,E$1)</f>
        <v>0</v>
      </c>
      <c r="F831" s="242">
        <f>COUNTIFS('تجربه‌گرها'!$B:$B,$A831,'تجربه‌گرها'!$F:$F,F$1)</f>
        <v>0</v>
      </c>
      <c r="G831" s="242">
        <f>COUNTIFS('تجربه‌گرها'!$B:$B,$A831,'تجربه‌گرها'!$F:$F,G$1)</f>
        <v>0</v>
      </c>
      <c r="H831" s="242">
        <f>COUNTIFS('تجربه‌گرها'!$B:$B,$A831,'تجربه‌گرها'!$F:$F,H$1)</f>
        <v>0</v>
      </c>
      <c r="I831" s="242">
        <f>COUNTIFS('تجربه‌گرها'!$B:$B,$A831,'تجربه‌گرها'!$F:$F,I$1)</f>
        <v>0</v>
      </c>
      <c r="J831" s="242">
        <f>COUNTIFS('تجربه‌گرها'!$B:$B,$A831,'تجربه‌گرها'!$F:$F,J$1)</f>
        <v>0</v>
      </c>
      <c r="K831" s="242">
        <f>COUNTIFS('تجربه‌گرها'!$B:$B,$A831,'تجربه‌گرها'!$F:$F,K$1)</f>
        <v>0</v>
      </c>
      <c r="L831" s="242">
        <f>COUNTIFS('تجربه‌گرها'!$B:$B,$A831,'تجربه‌گرها'!$F:$F,L$1)</f>
        <v>1</v>
      </c>
      <c r="M831" s="242">
        <f>COUNTIFS('تجربه‌گرها'!$B:$B,$A831,'تجربه‌گرها'!$F:$F,M$1)</f>
        <v>0</v>
      </c>
      <c r="N831" s="242">
        <f>COUNTIFS('تجربه‌گرها'!$B:$B,$A831,'تجربه‌گرها'!$F:$F,N$1)</f>
        <v>0</v>
      </c>
      <c r="O831" s="242">
        <f>COUNTIFS('تجربه‌گرها'!$B:$B,$A831,'تجربه‌گرها'!$F:$F,O$1)</f>
        <v>0</v>
      </c>
      <c r="P831" s="242">
        <f>COUNTIFS('تجربه‌گرها'!$B:$B,$A831,'تجربه‌گرها'!$F:$F,P$1)</f>
        <v>0</v>
      </c>
      <c r="Q831" s="242">
        <f>COUNTIFS('تجربه‌گرها'!$B:$B,$A831,'تجربه‌گرها'!$F:$F,Q$1)</f>
        <v>0</v>
      </c>
      <c r="R831" s="242">
        <f>COUNTIFS('تجربه‌گرها'!$B:$B,$A831,'تجربه‌گرها'!$F:$F,R$1)</f>
        <v>0</v>
      </c>
      <c r="S831" s="242">
        <f>COUNTIFS('تجربه‌گرها'!$B:$B,$A831,'تجربه‌گرها'!$F:$F,S$1)</f>
        <v>0</v>
      </c>
      <c r="T831" s="242">
        <f>COUNTIFS('تجربه‌گرها'!$B:$B,$A831,'تجربه‌گرها'!$F:$F,T$1)</f>
        <v>0</v>
      </c>
      <c r="U831" s="242"/>
      <c r="V831" s="242"/>
      <c r="W831" s="242"/>
      <c r="X831" s="242"/>
      <c r="Y831" s="242"/>
      <c r="Z831" s="242"/>
      <c r="AA831" s="242"/>
      <c r="AB831" s="242"/>
    </row>
    <row r="832" hidden="1">
      <c r="A832" s="244" t="s">
        <v>4860</v>
      </c>
      <c r="B832" s="245" t="str">
        <f>VLOOKUP(A832,'تجربه‌گرها'!B:C,2,FALSE())</f>
        <v>9123062119</v>
      </c>
      <c r="C832" s="242"/>
      <c r="D832" s="242">
        <f t="shared" si="1"/>
        <v>1</v>
      </c>
      <c r="E832" s="242">
        <f>COUNTIFS('تجربه‌گرها'!$B:$B,$A832,'تجربه‌گرها'!$F:$F,E$1)</f>
        <v>0</v>
      </c>
      <c r="F832" s="242">
        <f>COUNTIFS('تجربه‌گرها'!$B:$B,$A832,'تجربه‌گرها'!$F:$F,F$1)</f>
        <v>0</v>
      </c>
      <c r="G832" s="242">
        <f>COUNTIFS('تجربه‌گرها'!$B:$B,$A832,'تجربه‌گرها'!$F:$F,G$1)</f>
        <v>0</v>
      </c>
      <c r="H832" s="242">
        <f>COUNTIFS('تجربه‌گرها'!$B:$B,$A832,'تجربه‌گرها'!$F:$F,H$1)</f>
        <v>0</v>
      </c>
      <c r="I832" s="242">
        <f>COUNTIFS('تجربه‌گرها'!$B:$B,$A832,'تجربه‌گرها'!$F:$F,I$1)</f>
        <v>0</v>
      </c>
      <c r="J832" s="242">
        <f>COUNTIFS('تجربه‌گرها'!$B:$B,$A832,'تجربه‌گرها'!$F:$F,J$1)</f>
        <v>0</v>
      </c>
      <c r="K832" s="242">
        <f>COUNTIFS('تجربه‌گرها'!$B:$B,$A832,'تجربه‌گرها'!$F:$F,K$1)</f>
        <v>0</v>
      </c>
      <c r="L832" s="242">
        <f>COUNTIFS('تجربه‌گرها'!$B:$B,$A832,'تجربه‌گرها'!$F:$F,L$1)</f>
        <v>1</v>
      </c>
      <c r="M832" s="242">
        <f>COUNTIFS('تجربه‌گرها'!$B:$B,$A832,'تجربه‌گرها'!$F:$F,M$1)</f>
        <v>0</v>
      </c>
      <c r="N832" s="242">
        <f>COUNTIFS('تجربه‌گرها'!$B:$B,$A832,'تجربه‌گرها'!$F:$F,N$1)</f>
        <v>0</v>
      </c>
      <c r="O832" s="242">
        <f>COUNTIFS('تجربه‌گرها'!$B:$B,$A832,'تجربه‌گرها'!$F:$F,O$1)</f>
        <v>0</v>
      </c>
      <c r="P832" s="242">
        <f>COUNTIFS('تجربه‌گرها'!$B:$B,$A832,'تجربه‌گرها'!$F:$F,P$1)</f>
        <v>0</v>
      </c>
      <c r="Q832" s="242">
        <f>COUNTIFS('تجربه‌گرها'!$B:$B,$A832,'تجربه‌گرها'!$F:$F,Q$1)</f>
        <v>0</v>
      </c>
      <c r="R832" s="242">
        <f>COUNTIFS('تجربه‌گرها'!$B:$B,$A832,'تجربه‌گرها'!$F:$F,R$1)</f>
        <v>0</v>
      </c>
      <c r="S832" s="242">
        <f>COUNTIFS('تجربه‌گرها'!$B:$B,$A832,'تجربه‌گرها'!$F:$F,S$1)</f>
        <v>0</v>
      </c>
      <c r="T832" s="242">
        <f>COUNTIFS('تجربه‌گرها'!$B:$B,$A832,'تجربه‌گرها'!$F:$F,T$1)</f>
        <v>0</v>
      </c>
      <c r="U832" s="242"/>
      <c r="V832" s="242"/>
      <c r="W832" s="242"/>
      <c r="X832" s="242"/>
      <c r="Y832" s="242"/>
      <c r="Z832" s="242"/>
      <c r="AA832" s="242"/>
      <c r="AB832" s="242"/>
    </row>
    <row r="833" hidden="1">
      <c r="A833" s="244" t="s">
        <v>4864</v>
      </c>
      <c r="B833" s="245" t="str">
        <f>VLOOKUP(A833,'تجربه‌گرها'!B:C,2,FALSE())</f>
        <v>9109193213</v>
      </c>
      <c r="C833" s="242"/>
      <c r="D833" s="242">
        <f t="shared" si="1"/>
        <v>1</v>
      </c>
      <c r="E833" s="242">
        <f>COUNTIFS('تجربه‌گرها'!$B:$B,$A833,'تجربه‌گرها'!$F:$F,E$1)</f>
        <v>0</v>
      </c>
      <c r="F833" s="242">
        <f>COUNTIFS('تجربه‌گرها'!$B:$B,$A833,'تجربه‌گرها'!$F:$F,F$1)</f>
        <v>0</v>
      </c>
      <c r="G833" s="242">
        <f>COUNTIFS('تجربه‌گرها'!$B:$B,$A833,'تجربه‌گرها'!$F:$F,G$1)</f>
        <v>0</v>
      </c>
      <c r="H833" s="242">
        <f>COUNTIFS('تجربه‌گرها'!$B:$B,$A833,'تجربه‌گرها'!$F:$F,H$1)</f>
        <v>0</v>
      </c>
      <c r="I833" s="242">
        <f>COUNTIFS('تجربه‌گرها'!$B:$B,$A833,'تجربه‌گرها'!$F:$F,I$1)</f>
        <v>0</v>
      </c>
      <c r="J833" s="242">
        <f>COUNTIFS('تجربه‌گرها'!$B:$B,$A833,'تجربه‌گرها'!$F:$F,J$1)</f>
        <v>0</v>
      </c>
      <c r="K833" s="242">
        <f>COUNTIFS('تجربه‌گرها'!$B:$B,$A833,'تجربه‌گرها'!$F:$F,K$1)</f>
        <v>0</v>
      </c>
      <c r="L833" s="242">
        <f>COUNTIFS('تجربه‌گرها'!$B:$B,$A833,'تجربه‌گرها'!$F:$F,L$1)</f>
        <v>1</v>
      </c>
      <c r="M833" s="242">
        <f>COUNTIFS('تجربه‌گرها'!$B:$B,$A833,'تجربه‌گرها'!$F:$F,M$1)</f>
        <v>0</v>
      </c>
      <c r="N833" s="242">
        <f>COUNTIFS('تجربه‌گرها'!$B:$B,$A833,'تجربه‌گرها'!$F:$F,N$1)</f>
        <v>0</v>
      </c>
      <c r="O833" s="242">
        <f>COUNTIFS('تجربه‌گرها'!$B:$B,$A833,'تجربه‌گرها'!$F:$F,O$1)</f>
        <v>0</v>
      </c>
      <c r="P833" s="242">
        <f>COUNTIFS('تجربه‌گرها'!$B:$B,$A833,'تجربه‌گرها'!$F:$F,P$1)</f>
        <v>0</v>
      </c>
      <c r="Q833" s="242">
        <f>COUNTIFS('تجربه‌گرها'!$B:$B,$A833,'تجربه‌گرها'!$F:$F,Q$1)</f>
        <v>0</v>
      </c>
      <c r="R833" s="242">
        <f>COUNTIFS('تجربه‌گرها'!$B:$B,$A833,'تجربه‌گرها'!$F:$F,R$1)</f>
        <v>0</v>
      </c>
      <c r="S833" s="242">
        <f>COUNTIFS('تجربه‌گرها'!$B:$B,$A833,'تجربه‌گرها'!$F:$F,S$1)</f>
        <v>0</v>
      </c>
      <c r="T833" s="242">
        <f>COUNTIFS('تجربه‌گرها'!$B:$B,$A833,'تجربه‌گرها'!$F:$F,T$1)</f>
        <v>0</v>
      </c>
      <c r="U833" s="242"/>
      <c r="V833" s="242"/>
      <c r="W833" s="242"/>
      <c r="X833" s="242"/>
      <c r="Y833" s="242"/>
      <c r="Z833" s="242"/>
      <c r="AA833" s="242"/>
      <c r="AB833" s="242"/>
    </row>
    <row r="834" hidden="1">
      <c r="A834" s="244" t="s">
        <v>4869</v>
      </c>
      <c r="B834" s="245" t="str">
        <f>VLOOKUP(A834,'تجربه‌گرها'!B:C,2,FALSE())</f>
        <v>9120353615</v>
      </c>
      <c r="C834" s="242"/>
      <c r="D834" s="242">
        <f t="shared" si="1"/>
        <v>2</v>
      </c>
      <c r="E834" s="242">
        <f>COUNTIFS('تجربه‌گرها'!$B:$B,$A834,'تجربه‌گرها'!$F:$F,E$1)</f>
        <v>0</v>
      </c>
      <c r="F834" s="242">
        <f>COUNTIFS('تجربه‌گرها'!$B:$B,$A834,'تجربه‌گرها'!$F:$F,F$1)</f>
        <v>0</v>
      </c>
      <c r="G834" s="242">
        <f>COUNTIFS('تجربه‌گرها'!$B:$B,$A834,'تجربه‌گرها'!$F:$F,G$1)</f>
        <v>0</v>
      </c>
      <c r="H834" s="242">
        <f>COUNTIFS('تجربه‌گرها'!$B:$B,$A834,'تجربه‌گرها'!$F:$F,H$1)</f>
        <v>0</v>
      </c>
      <c r="I834" s="242">
        <f>COUNTIFS('تجربه‌گرها'!$B:$B,$A834,'تجربه‌گرها'!$F:$F,I$1)</f>
        <v>0</v>
      </c>
      <c r="J834" s="242">
        <f>COUNTIFS('تجربه‌گرها'!$B:$B,$A834,'تجربه‌گرها'!$F:$F,J$1)</f>
        <v>0</v>
      </c>
      <c r="K834" s="242">
        <f>COUNTIFS('تجربه‌گرها'!$B:$B,$A834,'تجربه‌گرها'!$F:$F,K$1)</f>
        <v>0</v>
      </c>
      <c r="L834" s="242">
        <f>COUNTIFS('تجربه‌گرها'!$B:$B,$A834,'تجربه‌گرها'!$F:$F,L$1)</f>
        <v>1</v>
      </c>
      <c r="M834" s="242">
        <f>COUNTIFS('تجربه‌گرها'!$B:$B,$A834,'تجربه‌گرها'!$F:$F,M$1)</f>
        <v>1</v>
      </c>
      <c r="N834" s="242">
        <f>COUNTIFS('تجربه‌گرها'!$B:$B,$A834,'تجربه‌گرها'!$F:$F,N$1)</f>
        <v>0</v>
      </c>
      <c r="O834" s="242">
        <f>COUNTIFS('تجربه‌گرها'!$B:$B,$A834,'تجربه‌گرها'!$F:$F,O$1)</f>
        <v>0</v>
      </c>
      <c r="P834" s="242">
        <f>COUNTIFS('تجربه‌گرها'!$B:$B,$A834,'تجربه‌گرها'!$F:$F,P$1)</f>
        <v>0</v>
      </c>
      <c r="Q834" s="242">
        <f>COUNTIFS('تجربه‌گرها'!$B:$B,$A834,'تجربه‌گرها'!$F:$F,Q$1)</f>
        <v>0</v>
      </c>
      <c r="R834" s="242">
        <f>COUNTIFS('تجربه‌گرها'!$B:$B,$A834,'تجربه‌گرها'!$F:$F,R$1)</f>
        <v>0</v>
      </c>
      <c r="S834" s="242">
        <f>COUNTIFS('تجربه‌گرها'!$B:$B,$A834,'تجربه‌گرها'!$F:$F,S$1)</f>
        <v>0</v>
      </c>
      <c r="T834" s="242">
        <f>COUNTIFS('تجربه‌گرها'!$B:$B,$A834,'تجربه‌گرها'!$F:$F,T$1)</f>
        <v>0</v>
      </c>
      <c r="U834" s="242"/>
      <c r="V834" s="242"/>
      <c r="W834" s="242"/>
      <c r="X834" s="242"/>
      <c r="Y834" s="242"/>
      <c r="Z834" s="242"/>
      <c r="AA834" s="242"/>
      <c r="AB834" s="242"/>
    </row>
    <row r="835">
      <c r="A835" s="244" t="s">
        <v>4873</v>
      </c>
      <c r="B835" s="245" t="str">
        <f>VLOOKUP(A835,'تجربه‌گرها'!B:C,2,FALSE())</f>
        <v>9904040122</v>
      </c>
      <c r="C835" s="242"/>
      <c r="D835" s="242">
        <f t="shared" si="1"/>
        <v>1</v>
      </c>
      <c r="E835" s="242">
        <f>COUNTIFS('تجربه‌گرها'!$B:$B,$A835,'تجربه‌گرها'!$F:$F,E$1)</f>
        <v>0</v>
      </c>
      <c r="F835" s="242">
        <f>COUNTIFS('تجربه‌گرها'!$B:$B,$A835,'تجربه‌گرها'!$F:$F,F$1)</f>
        <v>0</v>
      </c>
      <c r="G835" s="242">
        <f>COUNTIFS('تجربه‌گرها'!$B:$B,$A835,'تجربه‌گرها'!$F:$F,G$1)</f>
        <v>0</v>
      </c>
      <c r="H835" s="242">
        <f>COUNTIFS('تجربه‌گرها'!$B:$B,$A835,'تجربه‌گرها'!$F:$F,H$1)</f>
        <v>0</v>
      </c>
      <c r="I835" s="242">
        <f>COUNTIFS('تجربه‌گرها'!$B:$B,$A835,'تجربه‌گرها'!$F:$F,I$1)</f>
        <v>0</v>
      </c>
      <c r="J835" s="242">
        <f>COUNTIFS('تجربه‌گرها'!$B:$B,$A835,'تجربه‌گرها'!$F:$F,J$1)</f>
        <v>0</v>
      </c>
      <c r="K835" s="242">
        <f>COUNTIFS('تجربه‌گرها'!$B:$B,$A835,'تجربه‌گرها'!$F:$F,K$1)</f>
        <v>0</v>
      </c>
      <c r="L835" s="242">
        <f>COUNTIFS('تجربه‌گرها'!$B:$B,$A835,'تجربه‌گرها'!$F:$F,L$1)</f>
        <v>1</v>
      </c>
      <c r="M835" s="242">
        <f>COUNTIFS('تجربه‌گرها'!$B:$B,$A835,'تجربه‌گرها'!$F:$F,M$1)</f>
        <v>0</v>
      </c>
      <c r="N835" s="242">
        <f>COUNTIFS('تجربه‌گرها'!$B:$B,$A835,'تجربه‌گرها'!$F:$F,N$1)</f>
        <v>0</v>
      </c>
      <c r="O835" s="242">
        <f>COUNTIFS('تجربه‌گرها'!$B:$B,$A835,'تجربه‌گرها'!$F:$F,O$1)</f>
        <v>0</v>
      </c>
      <c r="P835" s="242">
        <f>COUNTIFS('تجربه‌گرها'!$B:$B,$A835,'تجربه‌گرها'!$F:$F,P$1)</f>
        <v>0</v>
      </c>
      <c r="Q835" s="242">
        <f>COUNTIFS('تجربه‌گرها'!$B:$B,$A835,'تجربه‌گرها'!$F:$F,Q$1)</f>
        <v>0</v>
      </c>
      <c r="R835" s="242">
        <f>COUNTIFS('تجربه‌گرها'!$B:$B,$A835,'تجربه‌گرها'!$F:$F,R$1)</f>
        <v>0</v>
      </c>
      <c r="S835" s="242">
        <f>COUNTIFS('تجربه‌گرها'!$B:$B,$A835,'تجربه‌گرها'!$F:$F,S$1)</f>
        <v>0</v>
      </c>
      <c r="T835" s="242">
        <f>COUNTIFS('تجربه‌گرها'!$B:$B,$A835,'تجربه‌گرها'!$F:$F,T$1)</f>
        <v>0</v>
      </c>
      <c r="U835" s="242"/>
      <c r="V835" s="242"/>
      <c r="W835" s="242"/>
      <c r="X835" s="242"/>
      <c r="Y835" s="242"/>
      <c r="Z835" s="242"/>
      <c r="AA835" s="242"/>
      <c r="AB835" s="242"/>
    </row>
    <row r="836" hidden="1">
      <c r="A836" s="244" t="s">
        <v>4877</v>
      </c>
      <c r="B836" s="245" t="str">
        <f>VLOOKUP(A836,'تجربه‌گرها'!B:C,2,FALSE())</f>
        <v>9100271499</v>
      </c>
      <c r="C836" s="242"/>
      <c r="D836" s="242">
        <f t="shared" si="1"/>
        <v>1</v>
      </c>
      <c r="E836" s="242">
        <f>COUNTIFS('تجربه‌گرها'!$B:$B,$A836,'تجربه‌گرها'!$F:$F,E$1)</f>
        <v>0</v>
      </c>
      <c r="F836" s="242">
        <f>COUNTIFS('تجربه‌گرها'!$B:$B,$A836,'تجربه‌گرها'!$F:$F,F$1)</f>
        <v>0</v>
      </c>
      <c r="G836" s="242">
        <f>COUNTIFS('تجربه‌گرها'!$B:$B,$A836,'تجربه‌گرها'!$F:$F,G$1)</f>
        <v>0</v>
      </c>
      <c r="H836" s="242">
        <f>COUNTIFS('تجربه‌گرها'!$B:$B,$A836,'تجربه‌گرها'!$F:$F,H$1)</f>
        <v>0</v>
      </c>
      <c r="I836" s="242">
        <f>COUNTIFS('تجربه‌گرها'!$B:$B,$A836,'تجربه‌گرها'!$F:$F,I$1)</f>
        <v>0</v>
      </c>
      <c r="J836" s="242">
        <f>COUNTIFS('تجربه‌گرها'!$B:$B,$A836,'تجربه‌گرها'!$F:$F,J$1)</f>
        <v>0</v>
      </c>
      <c r="K836" s="242">
        <f>COUNTIFS('تجربه‌گرها'!$B:$B,$A836,'تجربه‌گرها'!$F:$F,K$1)</f>
        <v>0</v>
      </c>
      <c r="L836" s="242">
        <f>COUNTIFS('تجربه‌گرها'!$B:$B,$A836,'تجربه‌گرها'!$F:$F,L$1)</f>
        <v>1</v>
      </c>
      <c r="M836" s="242">
        <f>COUNTIFS('تجربه‌گرها'!$B:$B,$A836,'تجربه‌گرها'!$F:$F,M$1)</f>
        <v>0</v>
      </c>
      <c r="N836" s="242">
        <f>COUNTIFS('تجربه‌گرها'!$B:$B,$A836,'تجربه‌گرها'!$F:$F,N$1)</f>
        <v>0</v>
      </c>
      <c r="O836" s="242">
        <f>COUNTIFS('تجربه‌گرها'!$B:$B,$A836,'تجربه‌گرها'!$F:$F,O$1)</f>
        <v>0</v>
      </c>
      <c r="P836" s="242">
        <f>COUNTIFS('تجربه‌گرها'!$B:$B,$A836,'تجربه‌گرها'!$F:$F,P$1)</f>
        <v>0</v>
      </c>
      <c r="Q836" s="242">
        <f>COUNTIFS('تجربه‌گرها'!$B:$B,$A836,'تجربه‌گرها'!$F:$F,Q$1)</f>
        <v>0</v>
      </c>
      <c r="R836" s="242">
        <f>COUNTIFS('تجربه‌گرها'!$B:$B,$A836,'تجربه‌گرها'!$F:$F,R$1)</f>
        <v>0</v>
      </c>
      <c r="S836" s="242">
        <f>COUNTIFS('تجربه‌گرها'!$B:$B,$A836,'تجربه‌گرها'!$F:$F,S$1)</f>
        <v>0</v>
      </c>
      <c r="T836" s="242">
        <f>COUNTIFS('تجربه‌گرها'!$B:$B,$A836,'تجربه‌گرها'!$F:$F,T$1)</f>
        <v>0</v>
      </c>
      <c r="U836" s="242"/>
      <c r="V836" s="242"/>
      <c r="W836" s="242"/>
      <c r="X836" s="242"/>
      <c r="Y836" s="242"/>
      <c r="Z836" s="242"/>
      <c r="AA836" s="242"/>
      <c r="AB836" s="242"/>
    </row>
    <row r="837" hidden="1">
      <c r="A837" s="244" t="s">
        <v>4881</v>
      </c>
      <c r="B837" s="245" t="str">
        <f>VLOOKUP(A837,'تجربه‌گرها'!B:C,2,FALSE())</f>
        <v>9178708280</v>
      </c>
      <c r="C837" s="242"/>
      <c r="D837" s="242">
        <f t="shared" si="1"/>
        <v>2</v>
      </c>
      <c r="E837" s="242">
        <f>COUNTIFS('تجربه‌گرها'!$B:$B,$A837,'تجربه‌گرها'!$F:$F,E$1)</f>
        <v>0</v>
      </c>
      <c r="F837" s="242">
        <f>COUNTIFS('تجربه‌گرها'!$B:$B,$A837,'تجربه‌گرها'!$F:$F,F$1)</f>
        <v>0</v>
      </c>
      <c r="G837" s="242">
        <f>COUNTIFS('تجربه‌گرها'!$B:$B,$A837,'تجربه‌گرها'!$F:$F,G$1)</f>
        <v>0</v>
      </c>
      <c r="H837" s="242">
        <f>COUNTIFS('تجربه‌گرها'!$B:$B,$A837,'تجربه‌گرها'!$F:$F,H$1)</f>
        <v>0</v>
      </c>
      <c r="I837" s="242">
        <f>COUNTIFS('تجربه‌گرها'!$B:$B,$A837,'تجربه‌گرها'!$F:$F,I$1)</f>
        <v>0</v>
      </c>
      <c r="J837" s="242">
        <f>COUNTIFS('تجربه‌گرها'!$B:$B,$A837,'تجربه‌گرها'!$F:$F,J$1)</f>
        <v>0</v>
      </c>
      <c r="K837" s="242">
        <f>COUNTIFS('تجربه‌گرها'!$B:$B,$A837,'تجربه‌گرها'!$F:$F,K$1)</f>
        <v>0</v>
      </c>
      <c r="L837" s="242">
        <f>COUNTIFS('تجربه‌گرها'!$B:$B,$A837,'تجربه‌گرها'!$F:$F,L$1)</f>
        <v>1</v>
      </c>
      <c r="M837" s="242">
        <f>COUNTIFS('تجربه‌گرها'!$B:$B,$A837,'تجربه‌گرها'!$F:$F,M$1)</f>
        <v>0</v>
      </c>
      <c r="N837" s="242">
        <f>COUNTIFS('تجربه‌گرها'!$B:$B,$A837,'تجربه‌گرها'!$F:$F,N$1)</f>
        <v>0</v>
      </c>
      <c r="O837" s="242">
        <f>COUNTIFS('تجربه‌گرها'!$B:$B,$A837,'تجربه‌گرها'!$F:$F,O$1)</f>
        <v>0</v>
      </c>
      <c r="P837" s="242">
        <f>COUNTIFS('تجربه‌گرها'!$B:$B,$A837,'تجربه‌گرها'!$F:$F,P$1)</f>
        <v>0</v>
      </c>
      <c r="Q837" s="242">
        <f>COUNTIFS('تجربه‌گرها'!$B:$B,$A837,'تجربه‌گرها'!$F:$F,Q$1)</f>
        <v>0</v>
      </c>
      <c r="R837" s="242">
        <f>COUNTIFS('تجربه‌گرها'!$B:$B,$A837,'تجربه‌گرها'!$F:$F,R$1)</f>
        <v>1</v>
      </c>
      <c r="S837" s="242">
        <f>COUNTIFS('تجربه‌گرها'!$B:$B,$A837,'تجربه‌گرها'!$F:$F,S$1)</f>
        <v>0</v>
      </c>
      <c r="T837" s="242">
        <f>COUNTIFS('تجربه‌گرها'!$B:$B,$A837,'تجربه‌گرها'!$F:$F,T$1)</f>
        <v>0</v>
      </c>
      <c r="U837" s="242"/>
      <c r="V837" s="242"/>
      <c r="W837" s="242"/>
      <c r="X837" s="242"/>
      <c r="Y837" s="242"/>
      <c r="Z837" s="242"/>
      <c r="AA837" s="242"/>
      <c r="AB837" s="242"/>
    </row>
    <row r="838" hidden="1">
      <c r="A838" s="244" t="s">
        <v>457</v>
      </c>
      <c r="B838" s="245" t="str">
        <f>VLOOKUP(A838,'تجربه‌گرها'!B:C,2,FALSE())</f>
        <v>9129455538</v>
      </c>
      <c r="C838" s="242"/>
      <c r="D838" s="242">
        <f t="shared" si="1"/>
        <v>1</v>
      </c>
      <c r="E838" s="242">
        <f>COUNTIFS('تجربه‌گرها'!$B:$B,$A838,'تجربه‌گرها'!$F:$F,E$1)</f>
        <v>0</v>
      </c>
      <c r="F838" s="242">
        <f>COUNTIFS('تجربه‌گرها'!$B:$B,$A838,'تجربه‌گرها'!$F:$F,F$1)</f>
        <v>0</v>
      </c>
      <c r="G838" s="242">
        <f>COUNTIFS('تجربه‌گرها'!$B:$B,$A838,'تجربه‌گرها'!$F:$F,G$1)</f>
        <v>0</v>
      </c>
      <c r="H838" s="242">
        <f>COUNTIFS('تجربه‌گرها'!$B:$B,$A838,'تجربه‌گرها'!$F:$F,H$1)</f>
        <v>0</v>
      </c>
      <c r="I838" s="242">
        <f>COUNTIFS('تجربه‌گرها'!$B:$B,$A838,'تجربه‌گرها'!$F:$F,I$1)</f>
        <v>0</v>
      </c>
      <c r="J838" s="242">
        <f>COUNTIFS('تجربه‌گرها'!$B:$B,$A838,'تجربه‌گرها'!$F:$F,J$1)</f>
        <v>0</v>
      </c>
      <c r="K838" s="242">
        <f>COUNTIFS('تجربه‌گرها'!$B:$B,$A838,'تجربه‌گرها'!$F:$F,K$1)</f>
        <v>0</v>
      </c>
      <c r="L838" s="242">
        <f>COUNTIFS('تجربه‌گرها'!$B:$B,$A838,'تجربه‌گرها'!$F:$F,L$1)</f>
        <v>1</v>
      </c>
      <c r="M838" s="242">
        <f>COUNTIFS('تجربه‌گرها'!$B:$B,$A838,'تجربه‌گرها'!$F:$F,M$1)</f>
        <v>0</v>
      </c>
      <c r="N838" s="242">
        <f>COUNTIFS('تجربه‌گرها'!$B:$B,$A838,'تجربه‌گرها'!$F:$F,N$1)</f>
        <v>0</v>
      </c>
      <c r="O838" s="242">
        <f>COUNTIFS('تجربه‌گرها'!$B:$B,$A838,'تجربه‌گرها'!$F:$F,O$1)</f>
        <v>0</v>
      </c>
      <c r="P838" s="242">
        <f>COUNTIFS('تجربه‌گرها'!$B:$B,$A838,'تجربه‌گرها'!$F:$F,P$1)</f>
        <v>0</v>
      </c>
      <c r="Q838" s="242">
        <f>COUNTIFS('تجربه‌گرها'!$B:$B,$A838,'تجربه‌گرها'!$F:$F,Q$1)</f>
        <v>0</v>
      </c>
      <c r="R838" s="242">
        <f>COUNTIFS('تجربه‌گرها'!$B:$B,$A838,'تجربه‌گرها'!$F:$F,R$1)</f>
        <v>0</v>
      </c>
      <c r="S838" s="242">
        <f>COUNTIFS('تجربه‌گرها'!$B:$B,$A838,'تجربه‌گرها'!$F:$F,S$1)</f>
        <v>0</v>
      </c>
      <c r="T838" s="242">
        <f>COUNTIFS('تجربه‌گرها'!$B:$B,$A838,'تجربه‌گرها'!$F:$F,T$1)</f>
        <v>0</v>
      </c>
      <c r="U838" s="242"/>
      <c r="V838" s="242"/>
      <c r="W838" s="242"/>
      <c r="X838" s="242"/>
      <c r="Y838" s="242"/>
      <c r="Z838" s="242"/>
      <c r="AA838" s="242"/>
      <c r="AB838" s="242"/>
    </row>
    <row r="839" hidden="1">
      <c r="A839" s="244" t="s">
        <v>4886</v>
      </c>
      <c r="B839" s="245" t="str">
        <f>VLOOKUP(A839,'تجربه‌گرها'!B:C,2,FALSE())</f>
        <v>9127649357</v>
      </c>
      <c r="C839" s="242"/>
      <c r="D839" s="242">
        <f t="shared" si="1"/>
        <v>1</v>
      </c>
      <c r="E839" s="242">
        <f>COUNTIFS('تجربه‌گرها'!$B:$B,$A839,'تجربه‌گرها'!$F:$F,E$1)</f>
        <v>0</v>
      </c>
      <c r="F839" s="242">
        <f>COUNTIFS('تجربه‌گرها'!$B:$B,$A839,'تجربه‌گرها'!$F:$F,F$1)</f>
        <v>0</v>
      </c>
      <c r="G839" s="242">
        <f>COUNTIFS('تجربه‌گرها'!$B:$B,$A839,'تجربه‌گرها'!$F:$F,G$1)</f>
        <v>0</v>
      </c>
      <c r="H839" s="242">
        <f>COUNTIFS('تجربه‌گرها'!$B:$B,$A839,'تجربه‌گرها'!$F:$F,H$1)</f>
        <v>0</v>
      </c>
      <c r="I839" s="242">
        <f>COUNTIFS('تجربه‌گرها'!$B:$B,$A839,'تجربه‌گرها'!$F:$F,I$1)</f>
        <v>0</v>
      </c>
      <c r="J839" s="242">
        <f>COUNTIFS('تجربه‌گرها'!$B:$B,$A839,'تجربه‌گرها'!$F:$F,J$1)</f>
        <v>0</v>
      </c>
      <c r="K839" s="242">
        <f>COUNTIFS('تجربه‌گرها'!$B:$B,$A839,'تجربه‌گرها'!$F:$F,K$1)</f>
        <v>0</v>
      </c>
      <c r="L839" s="242">
        <f>COUNTIFS('تجربه‌گرها'!$B:$B,$A839,'تجربه‌گرها'!$F:$F,L$1)</f>
        <v>1</v>
      </c>
      <c r="M839" s="242">
        <f>COUNTIFS('تجربه‌گرها'!$B:$B,$A839,'تجربه‌گرها'!$F:$F,M$1)</f>
        <v>0</v>
      </c>
      <c r="N839" s="242">
        <f>COUNTIFS('تجربه‌گرها'!$B:$B,$A839,'تجربه‌گرها'!$F:$F,N$1)</f>
        <v>0</v>
      </c>
      <c r="O839" s="242">
        <f>COUNTIFS('تجربه‌گرها'!$B:$B,$A839,'تجربه‌گرها'!$F:$F,O$1)</f>
        <v>0</v>
      </c>
      <c r="P839" s="242">
        <f>COUNTIFS('تجربه‌گرها'!$B:$B,$A839,'تجربه‌گرها'!$F:$F,P$1)</f>
        <v>0</v>
      </c>
      <c r="Q839" s="242">
        <f>COUNTIFS('تجربه‌گرها'!$B:$B,$A839,'تجربه‌گرها'!$F:$F,Q$1)</f>
        <v>0</v>
      </c>
      <c r="R839" s="242">
        <f>COUNTIFS('تجربه‌گرها'!$B:$B,$A839,'تجربه‌گرها'!$F:$F,R$1)</f>
        <v>0</v>
      </c>
      <c r="S839" s="242">
        <f>COUNTIFS('تجربه‌گرها'!$B:$B,$A839,'تجربه‌گرها'!$F:$F,S$1)</f>
        <v>0</v>
      </c>
      <c r="T839" s="242">
        <f>COUNTIFS('تجربه‌گرها'!$B:$B,$A839,'تجربه‌گرها'!$F:$F,T$1)</f>
        <v>0</v>
      </c>
      <c r="U839" s="242"/>
      <c r="V839" s="242"/>
      <c r="W839" s="242"/>
      <c r="X839" s="242"/>
      <c r="Y839" s="242"/>
      <c r="Z839" s="242"/>
      <c r="AA839" s="242"/>
      <c r="AB839" s="242"/>
    </row>
    <row r="840" hidden="1">
      <c r="A840" s="244" t="s">
        <v>4890</v>
      </c>
      <c r="B840" s="245" t="str">
        <f>VLOOKUP(A840,'تجربه‌گرها'!B:C,2,FALSE())</f>
        <v>9122229770</v>
      </c>
      <c r="C840" s="242"/>
      <c r="D840" s="242">
        <f t="shared" si="1"/>
        <v>1</v>
      </c>
      <c r="E840" s="242">
        <f>COUNTIFS('تجربه‌گرها'!$B:$B,$A840,'تجربه‌گرها'!$F:$F,E$1)</f>
        <v>0</v>
      </c>
      <c r="F840" s="242">
        <f>COUNTIFS('تجربه‌گرها'!$B:$B,$A840,'تجربه‌گرها'!$F:$F,F$1)</f>
        <v>0</v>
      </c>
      <c r="G840" s="242">
        <f>COUNTIFS('تجربه‌گرها'!$B:$B,$A840,'تجربه‌گرها'!$F:$F,G$1)</f>
        <v>0</v>
      </c>
      <c r="H840" s="242">
        <f>COUNTIFS('تجربه‌گرها'!$B:$B,$A840,'تجربه‌گرها'!$F:$F,H$1)</f>
        <v>0</v>
      </c>
      <c r="I840" s="242">
        <f>COUNTIFS('تجربه‌گرها'!$B:$B,$A840,'تجربه‌گرها'!$F:$F,I$1)</f>
        <v>0</v>
      </c>
      <c r="J840" s="242">
        <f>COUNTIFS('تجربه‌گرها'!$B:$B,$A840,'تجربه‌گرها'!$F:$F,J$1)</f>
        <v>0</v>
      </c>
      <c r="K840" s="242">
        <f>COUNTIFS('تجربه‌گرها'!$B:$B,$A840,'تجربه‌گرها'!$F:$F,K$1)</f>
        <v>0</v>
      </c>
      <c r="L840" s="242">
        <f>COUNTIFS('تجربه‌گرها'!$B:$B,$A840,'تجربه‌گرها'!$F:$F,L$1)</f>
        <v>1</v>
      </c>
      <c r="M840" s="242">
        <f>COUNTIFS('تجربه‌گرها'!$B:$B,$A840,'تجربه‌گرها'!$F:$F,M$1)</f>
        <v>0</v>
      </c>
      <c r="N840" s="242">
        <f>COUNTIFS('تجربه‌گرها'!$B:$B,$A840,'تجربه‌گرها'!$F:$F,N$1)</f>
        <v>0</v>
      </c>
      <c r="O840" s="242">
        <f>COUNTIFS('تجربه‌گرها'!$B:$B,$A840,'تجربه‌گرها'!$F:$F,O$1)</f>
        <v>0</v>
      </c>
      <c r="P840" s="242">
        <f>COUNTIFS('تجربه‌گرها'!$B:$B,$A840,'تجربه‌گرها'!$F:$F,P$1)</f>
        <v>0</v>
      </c>
      <c r="Q840" s="242">
        <f>COUNTIFS('تجربه‌گرها'!$B:$B,$A840,'تجربه‌گرها'!$F:$F,Q$1)</f>
        <v>0</v>
      </c>
      <c r="R840" s="242">
        <f>COUNTIFS('تجربه‌گرها'!$B:$B,$A840,'تجربه‌گرها'!$F:$F,R$1)</f>
        <v>0</v>
      </c>
      <c r="S840" s="242">
        <f>COUNTIFS('تجربه‌گرها'!$B:$B,$A840,'تجربه‌گرها'!$F:$F,S$1)</f>
        <v>0</v>
      </c>
      <c r="T840" s="242">
        <f>COUNTIFS('تجربه‌گرها'!$B:$B,$A840,'تجربه‌گرها'!$F:$F,T$1)</f>
        <v>0</v>
      </c>
      <c r="U840" s="242"/>
      <c r="V840" s="242"/>
      <c r="W840" s="242"/>
      <c r="X840" s="242"/>
      <c r="Y840" s="242"/>
      <c r="Z840" s="242"/>
      <c r="AA840" s="242"/>
      <c r="AB840" s="242"/>
    </row>
    <row r="841">
      <c r="A841" s="244" t="s">
        <v>4894</v>
      </c>
      <c r="B841" s="245" t="str">
        <f>VLOOKUP(A841,'تجربه‌گرها'!B:C,2,FALSE())</f>
        <v>9195373573</v>
      </c>
      <c r="C841" s="242"/>
      <c r="D841" s="242">
        <f t="shared" si="1"/>
        <v>2</v>
      </c>
      <c r="E841" s="242">
        <f>COUNTIFS('تجربه‌گرها'!$B:$B,$A841,'تجربه‌گرها'!$F:$F,E$1)</f>
        <v>0</v>
      </c>
      <c r="F841" s="242">
        <f>COUNTIFS('تجربه‌گرها'!$B:$B,$A841,'تجربه‌گرها'!$F:$F,F$1)</f>
        <v>0</v>
      </c>
      <c r="G841" s="242">
        <f>COUNTIFS('تجربه‌گرها'!$B:$B,$A841,'تجربه‌گرها'!$F:$F,G$1)</f>
        <v>0</v>
      </c>
      <c r="H841" s="242">
        <f>COUNTIFS('تجربه‌گرها'!$B:$B,$A841,'تجربه‌گرها'!$F:$F,H$1)</f>
        <v>0</v>
      </c>
      <c r="I841" s="242">
        <f>COUNTIFS('تجربه‌گرها'!$B:$B,$A841,'تجربه‌گرها'!$F:$F,I$1)</f>
        <v>0</v>
      </c>
      <c r="J841" s="242">
        <f>COUNTIFS('تجربه‌گرها'!$B:$B,$A841,'تجربه‌گرها'!$F:$F,J$1)</f>
        <v>0</v>
      </c>
      <c r="K841" s="242">
        <f>COUNTIFS('تجربه‌گرها'!$B:$B,$A841,'تجربه‌گرها'!$F:$F,K$1)</f>
        <v>0</v>
      </c>
      <c r="L841" s="242">
        <f>COUNTIFS('تجربه‌گرها'!$B:$B,$A841,'تجربه‌گرها'!$F:$F,L$1)</f>
        <v>1</v>
      </c>
      <c r="M841" s="242">
        <f>COUNTIFS('تجربه‌گرها'!$B:$B,$A841,'تجربه‌گرها'!$F:$F,M$1)</f>
        <v>0</v>
      </c>
      <c r="N841" s="242">
        <f>COUNTIFS('تجربه‌گرها'!$B:$B,$A841,'تجربه‌گرها'!$F:$F,N$1)</f>
        <v>0</v>
      </c>
      <c r="O841" s="242">
        <f>COUNTIFS('تجربه‌گرها'!$B:$B,$A841,'تجربه‌گرها'!$F:$F,O$1)</f>
        <v>0</v>
      </c>
      <c r="P841" s="242">
        <f>COUNTIFS('تجربه‌گرها'!$B:$B,$A841,'تجربه‌گرها'!$F:$F,P$1)</f>
        <v>1</v>
      </c>
      <c r="Q841" s="242">
        <f>COUNTIFS('تجربه‌گرها'!$B:$B,$A841,'تجربه‌گرها'!$F:$F,Q$1)</f>
        <v>0</v>
      </c>
      <c r="R841" s="242">
        <f>COUNTIFS('تجربه‌گرها'!$B:$B,$A841,'تجربه‌گرها'!$F:$F,R$1)</f>
        <v>0</v>
      </c>
      <c r="S841" s="242">
        <f>COUNTIFS('تجربه‌گرها'!$B:$B,$A841,'تجربه‌گرها'!$F:$F,S$1)</f>
        <v>0</v>
      </c>
      <c r="T841" s="242">
        <f>COUNTIFS('تجربه‌گرها'!$B:$B,$A841,'تجربه‌گرها'!$F:$F,T$1)</f>
        <v>0</v>
      </c>
      <c r="U841" s="242"/>
      <c r="V841" s="242"/>
      <c r="W841" s="242"/>
      <c r="X841" s="242"/>
      <c r="Y841" s="242"/>
      <c r="Z841" s="242"/>
      <c r="AA841" s="242"/>
      <c r="AB841" s="242"/>
    </row>
    <row r="842" hidden="1">
      <c r="A842" s="244" t="s">
        <v>397</v>
      </c>
      <c r="B842" s="245" t="str">
        <f>VLOOKUP(A842,'تجربه‌گرها'!B:C,2,FALSE())</f>
        <v>9124573512</v>
      </c>
      <c r="C842" s="242"/>
      <c r="D842" s="242">
        <f t="shared" si="1"/>
        <v>1</v>
      </c>
      <c r="E842" s="242">
        <f>COUNTIFS('تجربه‌گرها'!$B:$B,$A842,'تجربه‌گرها'!$F:$F,E$1)</f>
        <v>0</v>
      </c>
      <c r="F842" s="242">
        <f>COUNTIFS('تجربه‌گرها'!$B:$B,$A842,'تجربه‌گرها'!$F:$F,F$1)</f>
        <v>0</v>
      </c>
      <c r="G842" s="242">
        <f>COUNTIFS('تجربه‌گرها'!$B:$B,$A842,'تجربه‌گرها'!$F:$F,G$1)</f>
        <v>0</v>
      </c>
      <c r="H842" s="242">
        <f>COUNTIFS('تجربه‌گرها'!$B:$B,$A842,'تجربه‌گرها'!$F:$F,H$1)</f>
        <v>0</v>
      </c>
      <c r="I842" s="242">
        <f>COUNTIFS('تجربه‌گرها'!$B:$B,$A842,'تجربه‌گرها'!$F:$F,I$1)</f>
        <v>0</v>
      </c>
      <c r="J842" s="242">
        <f>COUNTIFS('تجربه‌گرها'!$B:$B,$A842,'تجربه‌گرها'!$F:$F,J$1)</f>
        <v>0</v>
      </c>
      <c r="K842" s="242">
        <f>COUNTIFS('تجربه‌گرها'!$B:$B,$A842,'تجربه‌گرها'!$F:$F,K$1)</f>
        <v>0</v>
      </c>
      <c r="L842" s="242">
        <f>COUNTIFS('تجربه‌گرها'!$B:$B,$A842,'تجربه‌گرها'!$F:$F,L$1)</f>
        <v>1</v>
      </c>
      <c r="M842" s="242">
        <f>COUNTIFS('تجربه‌گرها'!$B:$B,$A842,'تجربه‌گرها'!$F:$F,M$1)</f>
        <v>0</v>
      </c>
      <c r="N842" s="242">
        <f>COUNTIFS('تجربه‌گرها'!$B:$B,$A842,'تجربه‌گرها'!$F:$F,N$1)</f>
        <v>0</v>
      </c>
      <c r="O842" s="242">
        <f>COUNTIFS('تجربه‌گرها'!$B:$B,$A842,'تجربه‌گرها'!$F:$F,O$1)</f>
        <v>0</v>
      </c>
      <c r="P842" s="242">
        <f>COUNTIFS('تجربه‌گرها'!$B:$B,$A842,'تجربه‌گرها'!$F:$F,P$1)</f>
        <v>0</v>
      </c>
      <c r="Q842" s="242">
        <f>COUNTIFS('تجربه‌گرها'!$B:$B,$A842,'تجربه‌گرها'!$F:$F,Q$1)</f>
        <v>0</v>
      </c>
      <c r="R842" s="242">
        <f>COUNTIFS('تجربه‌گرها'!$B:$B,$A842,'تجربه‌گرها'!$F:$F,R$1)</f>
        <v>0</v>
      </c>
      <c r="S842" s="242">
        <f>COUNTIFS('تجربه‌گرها'!$B:$B,$A842,'تجربه‌گرها'!$F:$F,S$1)</f>
        <v>0</v>
      </c>
      <c r="T842" s="242">
        <f>COUNTIFS('تجربه‌گرها'!$B:$B,$A842,'تجربه‌گرها'!$F:$F,T$1)</f>
        <v>0</v>
      </c>
      <c r="U842" s="242"/>
      <c r="V842" s="242"/>
      <c r="W842" s="242"/>
      <c r="X842" s="242"/>
      <c r="Y842" s="242"/>
      <c r="Z842" s="242"/>
      <c r="AA842" s="242"/>
      <c r="AB842" s="242"/>
    </row>
    <row r="843" hidden="1">
      <c r="A843" s="244" t="s">
        <v>4901</v>
      </c>
      <c r="B843" s="245" t="str">
        <f>VLOOKUP(A843,'تجربه‌گرها'!B:C,2,FALSE())</f>
        <v>9161612094</v>
      </c>
      <c r="C843" s="242"/>
      <c r="D843" s="242">
        <f t="shared" si="1"/>
        <v>1</v>
      </c>
      <c r="E843" s="242">
        <f>COUNTIFS('تجربه‌گرها'!$B:$B,$A843,'تجربه‌گرها'!$F:$F,E$1)</f>
        <v>0</v>
      </c>
      <c r="F843" s="242">
        <f>COUNTIFS('تجربه‌گرها'!$B:$B,$A843,'تجربه‌گرها'!$F:$F,F$1)</f>
        <v>0</v>
      </c>
      <c r="G843" s="242">
        <f>COUNTIFS('تجربه‌گرها'!$B:$B,$A843,'تجربه‌گرها'!$F:$F,G$1)</f>
        <v>0</v>
      </c>
      <c r="H843" s="242">
        <f>COUNTIFS('تجربه‌گرها'!$B:$B,$A843,'تجربه‌گرها'!$F:$F,H$1)</f>
        <v>0</v>
      </c>
      <c r="I843" s="242">
        <f>COUNTIFS('تجربه‌گرها'!$B:$B,$A843,'تجربه‌گرها'!$F:$F,I$1)</f>
        <v>0</v>
      </c>
      <c r="J843" s="242">
        <f>COUNTIFS('تجربه‌گرها'!$B:$B,$A843,'تجربه‌گرها'!$F:$F,J$1)</f>
        <v>0</v>
      </c>
      <c r="K843" s="242">
        <f>COUNTIFS('تجربه‌گرها'!$B:$B,$A843,'تجربه‌گرها'!$F:$F,K$1)</f>
        <v>0</v>
      </c>
      <c r="L843" s="242">
        <f>COUNTIFS('تجربه‌گرها'!$B:$B,$A843,'تجربه‌گرها'!$F:$F,L$1)</f>
        <v>1</v>
      </c>
      <c r="M843" s="242">
        <f>COUNTIFS('تجربه‌گرها'!$B:$B,$A843,'تجربه‌گرها'!$F:$F,M$1)</f>
        <v>0</v>
      </c>
      <c r="N843" s="242">
        <f>COUNTIFS('تجربه‌گرها'!$B:$B,$A843,'تجربه‌گرها'!$F:$F,N$1)</f>
        <v>0</v>
      </c>
      <c r="O843" s="242">
        <f>COUNTIFS('تجربه‌گرها'!$B:$B,$A843,'تجربه‌گرها'!$F:$F,O$1)</f>
        <v>0</v>
      </c>
      <c r="P843" s="242">
        <f>COUNTIFS('تجربه‌گرها'!$B:$B,$A843,'تجربه‌گرها'!$F:$F,P$1)</f>
        <v>0</v>
      </c>
      <c r="Q843" s="242">
        <f>COUNTIFS('تجربه‌گرها'!$B:$B,$A843,'تجربه‌گرها'!$F:$F,Q$1)</f>
        <v>0</v>
      </c>
      <c r="R843" s="242">
        <f>COUNTIFS('تجربه‌گرها'!$B:$B,$A843,'تجربه‌گرها'!$F:$F,R$1)</f>
        <v>0</v>
      </c>
      <c r="S843" s="242">
        <f>COUNTIFS('تجربه‌گرها'!$B:$B,$A843,'تجربه‌گرها'!$F:$F,S$1)</f>
        <v>0</v>
      </c>
      <c r="T843" s="242">
        <f>COUNTIFS('تجربه‌گرها'!$B:$B,$A843,'تجربه‌گرها'!$F:$F,T$1)</f>
        <v>0</v>
      </c>
      <c r="U843" s="242"/>
      <c r="V843" s="242"/>
      <c r="W843" s="242"/>
      <c r="X843" s="242"/>
      <c r="Y843" s="242"/>
      <c r="Z843" s="242"/>
      <c r="AA843" s="242"/>
      <c r="AB843" s="242"/>
    </row>
    <row r="844">
      <c r="A844" s="244" t="s">
        <v>4905</v>
      </c>
      <c r="B844" s="245" t="str">
        <f>VLOOKUP(A844,'تجربه‌گرها'!B:C,2,FALSE())</f>
        <v>9128889040</v>
      </c>
      <c r="C844" s="242"/>
      <c r="D844" s="242">
        <f t="shared" si="1"/>
        <v>1</v>
      </c>
      <c r="E844" s="242">
        <f>COUNTIFS('تجربه‌گرها'!$B:$B,$A844,'تجربه‌گرها'!$F:$F,E$1)</f>
        <v>0</v>
      </c>
      <c r="F844" s="242">
        <f>COUNTIFS('تجربه‌گرها'!$B:$B,$A844,'تجربه‌گرها'!$F:$F,F$1)</f>
        <v>0</v>
      </c>
      <c r="G844" s="242">
        <f>COUNTIFS('تجربه‌گرها'!$B:$B,$A844,'تجربه‌گرها'!$F:$F,G$1)</f>
        <v>0</v>
      </c>
      <c r="H844" s="242">
        <f>COUNTIFS('تجربه‌گرها'!$B:$B,$A844,'تجربه‌گرها'!$F:$F,H$1)</f>
        <v>0</v>
      </c>
      <c r="I844" s="242">
        <f>COUNTIFS('تجربه‌گرها'!$B:$B,$A844,'تجربه‌گرها'!$F:$F,I$1)</f>
        <v>0</v>
      </c>
      <c r="J844" s="242">
        <f>COUNTIFS('تجربه‌گرها'!$B:$B,$A844,'تجربه‌گرها'!$F:$F,J$1)</f>
        <v>0</v>
      </c>
      <c r="K844" s="242">
        <f>COUNTIFS('تجربه‌گرها'!$B:$B,$A844,'تجربه‌گرها'!$F:$F,K$1)</f>
        <v>0</v>
      </c>
      <c r="L844" s="242">
        <f>COUNTIFS('تجربه‌گرها'!$B:$B,$A844,'تجربه‌گرها'!$F:$F,L$1)</f>
        <v>1</v>
      </c>
      <c r="M844" s="242">
        <f>COUNTIFS('تجربه‌گرها'!$B:$B,$A844,'تجربه‌گرها'!$F:$F,M$1)</f>
        <v>0</v>
      </c>
      <c r="N844" s="242">
        <f>COUNTIFS('تجربه‌گرها'!$B:$B,$A844,'تجربه‌گرها'!$F:$F,N$1)</f>
        <v>0</v>
      </c>
      <c r="O844" s="242">
        <f>COUNTIFS('تجربه‌گرها'!$B:$B,$A844,'تجربه‌گرها'!$F:$F,O$1)</f>
        <v>0</v>
      </c>
      <c r="P844" s="242">
        <f>COUNTIFS('تجربه‌گرها'!$B:$B,$A844,'تجربه‌گرها'!$F:$F,P$1)</f>
        <v>0</v>
      </c>
      <c r="Q844" s="242">
        <f>COUNTIFS('تجربه‌گرها'!$B:$B,$A844,'تجربه‌گرها'!$F:$F,Q$1)</f>
        <v>0</v>
      </c>
      <c r="R844" s="242">
        <f>COUNTIFS('تجربه‌گرها'!$B:$B,$A844,'تجربه‌گرها'!$F:$F,R$1)</f>
        <v>0</v>
      </c>
      <c r="S844" s="242">
        <f>COUNTIFS('تجربه‌گرها'!$B:$B,$A844,'تجربه‌گرها'!$F:$F,S$1)</f>
        <v>0</v>
      </c>
      <c r="T844" s="242">
        <f>COUNTIFS('تجربه‌گرها'!$B:$B,$A844,'تجربه‌گرها'!$F:$F,T$1)</f>
        <v>0</v>
      </c>
      <c r="U844" s="242"/>
      <c r="V844" s="242"/>
      <c r="W844" s="242"/>
      <c r="X844" s="242"/>
      <c r="Y844" s="242"/>
      <c r="Z844" s="242"/>
      <c r="AA844" s="242"/>
      <c r="AB844" s="242"/>
    </row>
    <row r="845" hidden="1">
      <c r="A845" s="244" t="s">
        <v>4909</v>
      </c>
      <c r="B845" s="245" t="str">
        <f>VLOOKUP(A845,'تجربه‌گرها'!B:C,2,FALSE())</f>
        <v>9173729259</v>
      </c>
      <c r="C845" s="242"/>
      <c r="D845" s="242">
        <f t="shared" si="1"/>
        <v>2</v>
      </c>
      <c r="E845" s="242">
        <f>COUNTIFS('تجربه‌گرها'!$B:$B,$A845,'تجربه‌گرها'!$F:$F,E$1)</f>
        <v>0</v>
      </c>
      <c r="F845" s="242">
        <f>COUNTIFS('تجربه‌گرها'!$B:$B,$A845,'تجربه‌گرها'!$F:$F,F$1)</f>
        <v>0</v>
      </c>
      <c r="G845" s="242">
        <f>COUNTIFS('تجربه‌گرها'!$B:$B,$A845,'تجربه‌گرها'!$F:$F,G$1)</f>
        <v>0</v>
      </c>
      <c r="H845" s="242">
        <f>COUNTIFS('تجربه‌گرها'!$B:$B,$A845,'تجربه‌گرها'!$F:$F,H$1)</f>
        <v>0</v>
      </c>
      <c r="I845" s="242">
        <f>COUNTIFS('تجربه‌گرها'!$B:$B,$A845,'تجربه‌گرها'!$F:$F,I$1)</f>
        <v>0</v>
      </c>
      <c r="J845" s="242">
        <f>COUNTIFS('تجربه‌گرها'!$B:$B,$A845,'تجربه‌گرها'!$F:$F,J$1)</f>
        <v>0</v>
      </c>
      <c r="K845" s="242">
        <f>COUNTIFS('تجربه‌گرها'!$B:$B,$A845,'تجربه‌گرها'!$F:$F,K$1)</f>
        <v>0</v>
      </c>
      <c r="L845" s="242">
        <f>COUNTIFS('تجربه‌گرها'!$B:$B,$A845,'تجربه‌گرها'!$F:$F,L$1)</f>
        <v>1</v>
      </c>
      <c r="M845" s="242">
        <f>COUNTIFS('تجربه‌گرها'!$B:$B,$A845,'تجربه‌گرها'!$F:$F,M$1)</f>
        <v>1</v>
      </c>
      <c r="N845" s="242">
        <f>COUNTIFS('تجربه‌گرها'!$B:$B,$A845,'تجربه‌گرها'!$F:$F,N$1)</f>
        <v>0</v>
      </c>
      <c r="O845" s="242">
        <f>COUNTIFS('تجربه‌گرها'!$B:$B,$A845,'تجربه‌گرها'!$F:$F,O$1)</f>
        <v>0</v>
      </c>
      <c r="P845" s="242">
        <f>COUNTIFS('تجربه‌گرها'!$B:$B,$A845,'تجربه‌گرها'!$F:$F,P$1)</f>
        <v>0</v>
      </c>
      <c r="Q845" s="242">
        <f>COUNTIFS('تجربه‌گرها'!$B:$B,$A845,'تجربه‌گرها'!$F:$F,Q$1)</f>
        <v>0</v>
      </c>
      <c r="R845" s="242">
        <f>COUNTIFS('تجربه‌گرها'!$B:$B,$A845,'تجربه‌گرها'!$F:$F,R$1)</f>
        <v>0</v>
      </c>
      <c r="S845" s="242">
        <f>COUNTIFS('تجربه‌گرها'!$B:$B,$A845,'تجربه‌گرها'!$F:$F,S$1)</f>
        <v>0</v>
      </c>
      <c r="T845" s="242">
        <f>COUNTIFS('تجربه‌گرها'!$B:$B,$A845,'تجربه‌گرها'!$F:$F,T$1)</f>
        <v>0</v>
      </c>
      <c r="U845" s="242"/>
      <c r="V845" s="242"/>
      <c r="W845" s="242"/>
      <c r="X845" s="242"/>
      <c r="Y845" s="242"/>
      <c r="Z845" s="242"/>
      <c r="AA845" s="242"/>
      <c r="AB845" s="242"/>
    </row>
    <row r="846" hidden="1">
      <c r="A846" s="244" t="s">
        <v>4913</v>
      </c>
      <c r="B846" s="245" t="str">
        <f>VLOOKUP(A846,'تجربه‌گرها'!B:C,2,FALSE())</f>
        <v>9386861447</v>
      </c>
      <c r="C846" s="242"/>
      <c r="D846" s="242">
        <f t="shared" si="1"/>
        <v>1</v>
      </c>
      <c r="E846" s="242">
        <f>COUNTIFS('تجربه‌گرها'!$B:$B,$A846,'تجربه‌گرها'!$F:$F,E$1)</f>
        <v>0</v>
      </c>
      <c r="F846" s="242">
        <f>COUNTIFS('تجربه‌گرها'!$B:$B,$A846,'تجربه‌گرها'!$F:$F,F$1)</f>
        <v>0</v>
      </c>
      <c r="G846" s="242">
        <f>COUNTIFS('تجربه‌گرها'!$B:$B,$A846,'تجربه‌گرها'!$F:$F,G$1)</f>
        <v>0</v>
      </c>
      <c r="H846" s="242">
        <f>COUNTIFS('تجربه‌گرها'!$B:$B,$A846,'تجربه‌گرها'!$F:$F,H$1)</f>
        <v>0</v>
      </c>
      <c r="I846" s="242">
        <f>COUNTIFS('تجربه‌گرها'!$B:$B,$A846,'تجربه‌گرها'!$F:$F,I$1)</f>
        <v>0</v>
      </c>
      <c r="J846" s="242">
        <f>COUNTIFS('تجربه‌گرها'!$B:$B,$A846,'تجربه‌گرها'!$F:$F,J$1)</f>
        <v>0</v>
      </c>
      <c r="K846" s="242">
        <f>COUNTIFS('تجربه‌گرها'!$B:$B,$A846,'تجربه‌گرها'!$F:$F,K$1)</f>
        <v>0</v>
      </c>
      <c r="L846" s="242">
        <f>COUNTIFS('تجربه‌گرها'!$B:$B,$A846,'تجربه‌گرها'!$F:$F,L$1)</f>
        <v>1</v>
      </c>
      <c r="M846" s="242">
        <f>COUNTIFS('تجربه‌گرها'!$B:$B,$A846,'تجربه‌گرها'!$F:$F,M$1)</f>
        <v>0</v>
      </c>
      <c r="N846" s="242">
        <f>COUNTIFS('تجربه‌گرها'!$B:$B,$A846,'تجربه‌گرها'!$F:$F,N$1)</f>
        <v>0</v>
      </c>
      <c r="O846" s="242">
        <f>COUNTIFS('تجربه‌گرها'!$B:$B,$A846,'تجربه‌گرها'!$F:$F,O$1)</f>
        <v>0</v>
      </c>
      <c r="P846" s="242">
        <f>COUNTIFS('تجربه‌گرها'!$B:$B,$A846,'تجربه‌گرها'!$F:$F,P$1)</f>
        <v>0</v>
      </c>
      <c r="Q846" s="242">
        <f>COUNTIFS('تجربه‌گرها'!$B:$B,$A846,'تجربه‌گرها'!$F:$F,Q$1)</f>
        <v>0</v>
      </c>
      <c r="R846" s="242">
        <f>COUNTIFS('تجربه‌گرها'!$B:$B,$A846,'تجربه‌گرها'!$F:$F,R$1)</f>
        <v>0</v>
      </c>
      <c r="S846" s="242">
        <f>COUNTIFS('تجربه‌گرها'!$B:$B,$A846,'تجربه‌گرها'!$F:$F,S$1)</f>
        <v>0</v>
      </c>
      <c r="T846" s="242">
        <f>COUNTIFS('تجربه‌گرها'!$B:$B,$A846,'تجربه‌گرها'!$F:$F,T$1)</f>
        <v>0</v>
      </c>
      <c r="U846" s="242"/>
      <c r="V846" s="242"/>
      <c r="W846" s="242"/>
      <c r="X846" s="242"/>
      <c r="Y846" s="242"/>
      <c r="Z846" s="242"/>
      <c r="AA846" s="242"/>
      <c r="AB846" s="242"/>
    </row>
    <row r="847" hidden="1">
      <c r="A847" s="244" t="s">
        <v>4917</v>
      </c>
      <c r="B847" s="245" t="str">
        <f>VLOOKUP(A847,'تجربه‌گرها'!B:C,2,FALSE())</f>
        <v>9107588569</v>
      </c>
      <c r="C847" s="242"/>
      <c r="D847" s="242">
        <f t="shared" si="1"/>
        <v>2</v>
      </c>
      <c r="E847" s="242">
        <f>COUNTIFS('تجربه‌گرها'!$B:$B,$A847,'تجربه‌گرها'!$F:$F,E$1)</f>
        <v>0</v>
      </c>
      <c r="F847" s="242">
        <f>COUNTIFS('تجربه‌گرها'!$B:$B,$A847,'تجربه‌گرها'!$F:$F,F$1)</f>
        <v>0</v>
      </c>
      <c r="G847" s="242">
        <f>COUNTIFS('تجربه‌گرها'!$B:$B,$A847,'تجربه‌گرها'!$F:$F,G$1)</f>
        <v>0</v>
      </c>
      <c r="H847" s="242">
        <f>COUNTIFS('تجربه‌گرها'!$B:$B,$A847,'تجربه‌گرها'!$F:$F,H$1)</f>
        <v>0</v>
      </c>
      <c r="I847" s="242">
        <f>COUNTIFS('تجربه‌گرها'!$B:$B,$A847,'تجربه‌گرها'!$F:$F,I$1)</f>
        <v>0</v>
      </c>
      <c r="J847" s="242">
        <f>COUNTIFS('تجربه‌گرها'!$B:$B,$A847,'تجربه‌گرها'!$F:$F,J$1)</f>
        <v>0</v>
      </c>
      <c r="K847" s="242">
        <f>COUNTIFS('تجربه‌گرها'!$B:$B,$A847,'تجربه‌گرها'!$F:$F,K$1)</f>
        <v>0</v>
      </c>
      <c r="L847" s="242">
        <f>COUNTIFS('تجربه‌گرها'!$B:$B,$A847,'تجربه‌گرها'!$F:$F,L$1)</f>
        <v>1</v>
      </c>
      <c r="M847" s="242">
        <f>COUNTIFS('تجربه‌گرها'!$B:$B,$A847,'تجربه‌گرها'!$F:$F,M$1)</f>
        <v>0</v>
      </c>
      <c r="N847" s="242">
        <f>COUNTIFS('تجربه‌گرها'!$B:$B,$A847,'تجربه‌گرها'!$F:$F,N$1)</f>
        <v>0</v>
      </c>
      <c r="O847" s="242">
        <f>COUNTIFS('تجربه‌گرها'!$B:$B,$A847,'تجربه‌گرها'!$F:$F,O$1)</f>
        <v>0</v>
      </c>
      <c r="P847" s="242">
        <f>COUNTIFS('تجربه‌گرها'!$B:$B,$A847,'تجربه‌گرها'!$F:$F,P$1)</f>
        <v>1</v>
      </c>
      <c r="Q847" s="242">
        <f>COUNTIFS('تجربه‌گرها'!$B:$B,$A847,'تجربه‌گرها'!$F:$F,Q$1)</f>
        <v>0</v>
      </c>
      <c r="R847" s="242">
        <f>COUNTIFS('تجربه‌گرها'!$B:$B,$A847,'تجربه‌گرها'!$F:$F,R$1)</f>
        <v>0</v>
      </c>
      <c r="S847" s="242">
        <f>COUNTIFS('تجربه‌گرها'!$B:$B,$A847,'تجربه‌گرها'!$F:$F,S$1)</f>
        <v>0</v>
      </c>
      <c r="T847" s="242">
        <f>COUNTIFS('تجربه‌گرها'!$B:$B,$A847,'تجربه‌گرها'!$F:$F,T$1)</f>
        <v>0</v>
      </c>
      <c r="U847" s="242"/>
      <c r="V847" s="242"/>
      <c r="W847" s="242"/>
      <c r="X847" s="242"/>
      <c r="Y847" s="242"/>
      <c r="Z847" s="242"/>
      <c r="AA847" s="242"/>
      <c r="AB847" s="242"/>
    </row>
    <row r="848">
      <c r="A848" s="244" t="s">
        <v>4921</v>
      </c>
      <c r="B848" s="245" t="str">
        <f>VLOOKUP(A848,'تجربه‌گرها'!B:C,2,FALSE())</f>
        <v>9370553164</v>
      </c>
      <c r="C848" s="242"/>
      <c r="D848" s="242">
        <f t="shared" si="1"/>
        <v>1</v>
      </c>
      <c r="E848" s="242">
        <f>COUNTIFS('تجربه‌گرها'!$B:$B,$A848,'تجربه‌گرها'!$F:$F,E$1)</f>
        <v>0</v>
      </c>
      <c r="F848" s="242">
        <f>COUNTIFS('تجربه‌گرها'!$B:$B,$A848,'تجربه‌گرها'!$F:$F,F$1)</f>
        <v>0</v>
      </c>
      <c r="G848" s="242">
        <f>COUNTIFS('تجربه‌گرها'!$B:$B,$A848,'تجربه‌گرها'!$F:$F,G$1)</f>
        <v>0</v>
      </c>
      <c r="H848" s="242">
        <f>COUNTIFS('تجربه‌گرها'!$B:$B,$A848,'تجربه‌گرها'!$F:$F,H$1)</f>
        <v>0</v>
      </c>
      <c r="I848" s="242">
        <f>COUNTIFS('تجربه‌گرها'!$B:$B,$A848,'تجربه‌گرها'!$F:$F,I$1)</f>
        <v>0</v>
      </c>
      <c r="J848" s="242">
        <f>COUNTIFS('تجربه‌گرها'!$B:$B,$A848,'تجربه‌گرها'!$F:$F,J$1)</f>
        <v>0</v>
      </c>
      <c r="K848" s="242">
        <f>COUNTIFS('تجربه‌گرها'!$B:$B,$A848,'تجربه‌گرها'!$F:$F,K$1)</f>
        <v>0</v>
      </c>
      <c r="L848" s="242">
        <f>COUNTIFS('تجربه‌گرها'!$B:$B,$A848,'تجربه‌گرها'!$F:$F,L$1)</f>
        <v>1</v>
      </c>
      <c r="M848" s="242">
        <f>COUNTIFS('تجربه‌گرها'!$B:$B,$A848,'تجربه‌گرها'!$F:$F,M$1)</f>
        <v>0</v>
      </c>
      <c r="N848" s="242">
        <f>COUNTIFS('تجربه‌گرها'!$B:$B,$A848,'تجربه‌گرها'!$F:$F,N$1)</f>
        <v>0</v>
      </c>
      <c r="O848" s="242">
        <f>COUNTIFS('تجربه‌گرها'!$B:$B,$A848,'تجربه‌گرها'!$F:$F,O$1)</f>
        <v>0</v>
      </c>
      <c r="P848" s="242">
        <f>COUNTIFS('تجربه‌گرها'!$B:$B,$A848,'تجربه‌گرها'!$F:$F,P$1)</f>
        <v>0</v>
      </c>
      <c r="Q848" s="242">
        <f>COUNTIFS('تجربه‌گرها'!$B:$B,$A848,'تجربه‌گرها'!$F:$F,Q$1)</f>
        <v>0</v>
      </c>
      <c r="R848" s="242">
        <f>COUNTIFS('تجربه‌گرها'!$B:$B,$A848,'تجربه‌گرها'!$F:$F,R$1)</f>
        <v>0</v>
      </c>
      <c r="S848" s="242">
        <f>COUNTIFS('تجربه‌گرها'!$B:$B,$A848,'تجربه‌گرها'!$F:$F,S$1)</f>
        <v>0</v>
      </c>
      <c r="T848" s="242">
        <f>COUNTIFS('تجربه‌گرها'!$B:$B,$A848,'تجربه‌گرها'!$F:$F,T$1)</f>
        <v>0</v>
      </c>
      <c r="U848" s="242"/>
      <c r="V848" s="242"/>
      <c r="W848" s="242"/>
      <c r="X848" s="242"/>
      <c r="Y848" s="242"/>
      <c r="Z848" s="242"/>
      <c r="AA848" s="242"/>
      <c r="AB848" s="242"/>
    </row>
    <row r="849" hidden="1">
      <c r="A849" s="244" t="s">
        <v>4925</v>
      </c>
      <c r="B849" s="245" t="str">
        <f>VLOOKUP(A849,'تجربه‌گرها'!B:C,2,FALSE())</f>
        <v>9125954068</v>
      </c>
      <c r="C849" s="242"/>
      <c r="D849" s="242">
        <f t="shared" si="1"/>
        <v>1</v>
      </c>
      <c r="E849" s="242">
        <f>COUNTIFS('تجربه‌گرها'!$B:$B,$A849,'تجربه‌گرها'!$F:$F,E$1)</f>
        <v>0</v>
      </c>
      <c r="F849" s="242">
        <f>COUNTIFS('تجربه‌گرها'!$B:$B,$A849,'تجربه‌گرها'!$F:$F,F$1)</f>
        <v>0</v>
      </c>
      <c r="G849" s="242">
        <f>COUNTIFS('تجربه‌گرها'!$B:$B,$A849,'تجربه‌گرها'!$F:$F,G$1)</f>
        <v>0</v>
      </c>
      <c r="H849" s="242">
        <f>COUNTIFS('تجربه‌گرها'!$B:$B,$A849,'تجربه‌گرها'!$F:$F,H$1)</f>
        <v>0</v>
      </c>
      <c r="I849" s="242">
        <f>COUNTIFS('تجربه‌گرها'!$B:$B,$A849,'تجربه‌گرها'!$F:$F,I$1)</f>
        <v>0</v>
      </c>
      <c r="J849" s="242">
        <f>COUNTIFS('تجربه‌گرها'!$B:$B,$A849,'تجربه‌گرها'!$F:$F,J$1)</f>
        <v>0</v>
      </c>
      <c r="K849" s="242">
        <f>COUNTIFS('تجربه‌گرها'!$B:$B,$A849,'تجربه‌گرها'!$F:$F,K$1)</f>
        <v>0</v>
      </c>
      <c r="L849" s="242">
        <f>COUNTIFS('تجربه‌گرها'!$B:$B,$A849,'تجربه‌گرها'!$F:$F,L$1)</f>
        <v>1</v>
      </c>
      <c r="M849" s="242">
        <f>COUNTIFS('تجربه‌گرها'!$B:$B,$A849,'تجربه‌گرها'!$F:$F,M$1)</f>
        <v>0</v>
      </c>
      <c r="N849" s="242">
        <f>COUNTIFS('تجربه‌گرها'!$B:$B,$A849,'تجربه‌گرها'!$F:$F,N$1)</f>
        <v>0</v>
      </c>
      <c r="O849" s="242">
        <f>COUNTIFS('تجربه‌گرها'!$B:$B,$A849,'تجربه‌گرها'!$F:$F,O$1)</f>
        <v>0</v>
      </c>
      <c r="P849" s="242">
        <f>COUNTIFS('تجربه‌گرها'!$B:$B,$A849,'تجربه‌گرها'!$F:$F,P$1)</f>
        <v>0</v>
      </c>
      <c r="Q849" s="242">
        <f>COUNTIFS('تجربه‌گرها'!$B:$B,$A849,'تجربه‌گرها'!$F:$F,Q$1)</f>
        <v>0</v>
      </c>
      <c r="R849" s="242">
        <f>COUNTIFS('تجربه‌گرها'!$B:$B,$A849,'تجربه‌گرها'!$F:$F,R$1)</f>
        <v>0</v>
      </c>
      <c r="S849" s="242">
        <f>COUNTIFS('تجربه‌گرها'!$B:$B,$A849,'تجربه‌گرها'!$F:$F,S$1)</f>
        <v>0</v>
      </c>
      <c r="T849" s="242">
        <f>COUNTIFS('تجربه‌گرها'!$B:$B,$A849,'تجربه‌گرها'!$F:$F,T$1)</f>
        <v>0</v>
      </c>
      <c r="U849" s="242"/>
      <c r="V849" s="242"/>
      <c r="W849" s="242"/>
      <c r="X849" s="242"/>
      <c r="Y849" s="242"/>
      <c r="Z849" s="242"/>
      <c r="AA849" s="242"/>
      <c r="AB849" s="242"/>
    </row>
    <row r="850" hidden="1">
      <c r="A850" s="244" t="s">
        <v>4929</v>
      </c>
      <c r="B850" s="245" t="str">
        <f>VLOOKUP(A850,'تجربه‌گرها'!B:C,2,FALSE())</f>
        <v>9120662446</v>
      </c>
      <c r="C850" s="242"/>
      <c r="D850" s="242">
        <f t="shared" si="1"/>
        <v>1</v>
      </c>
      <c r="E850" s="242">
        <f>COUNTIFS('تجربه‌گرها'!$B:$B,$A850,'تجربه‌گرها'!$F:$F,E$1)</f>
        <v>0</v>
      </c>
      <c r="F850" s="242">
        <f>COUNTIFS('تجربه‌گرها'!$B:$B,$A850,'تجربه‌گرها'!$F:$F,F$1)</f>
        <v>0</v>
      </c>
      <c r="G850" s="242">
        <f>COUNTIFS('تجربه‌گرها'!$B:$B,$A850,'تجربه‌گرها'!$F:$F,G$1)</f>
        <v>0</v>
      </c>
      <c r="H850" s="242">
        <f>COUNTIFS('تجربه‌گرها'!$B:$B,$A850,'تجربه‌گرها'!$F:$F,H$1)</f>
        <v>0</v>
      </c>
      <c r="I850" s="242">
        <f>COUNTIFS('تجربه‌گرها'!$B:$B,$A850,'تجربه‌گرها'!$F:$F,I$1)</f>
        <v>0</v>
      </c>
      <c r="J850" s="242">
        <f>COUNTIFS('تجربه‌گرها'!$B:$B,$A850,'تجربه‌گرها'!$F:$F,J$1)</f>
        <v>0</v>
      </c>
      <c r="K850" s="242">
        <f>COUNTIFS('تجربه‌گرها'!$B:$B,$A850,'تجربه‌گرها'!$F:$F,K$1)</f>
        <v>0</v>
      </c>
      <c r="L850" s="242">
        <f>COUNTIFS('تجربه‌گرها'!$B:$B,$A850,'تجربه‌گرها'!$F:$F,L$1)</f>
        <v>1</v>
      </c>
      <c r="M850" s="242">
        <f>COUNTIFS('تجربه‌گرها'!$B:$B,$A850,'تجربه‌گرها'!$F:$F,M$1)</f>
        <v>0</v>
      </c>
      <c r="N850" s="242">
        <f>COUNTIFS('تجربه‌گرها'!$B:$B,$A850,'تجربه‌گرها'!$F:$F,N$1)</f>
        <v>0</v>
      </c>
      <c r="O850" s="242">
        <f>COUNTIFS('تجربه‌گرها'!$B:$B,$A850,'تجربه‌گرها'!$F:$F,O$1)</f>
        <v>0</v>
      </c>
      <c r="P850" s="242">
        <f>COUNTIFS('تجربه‌گرها'!$B:$B,$A850,'تجربه‌گرها'!$F:$F,P$1)</f>
        <v>0</v>
      </c>
      <c r="Q850" s="242">
        <f>COUNTIFS('تجربه‌گرها'!$B:$B,$A850,'تجربه‌گرها'!$F:$F,Q$1)</f>
        <v>0</v>
      </c>
      <c r="R850" s="242">
        <f>COUNTIFS('تجربه‌گرها'!$B:$B,$A850,'تجربه‌گرها'!$F:$F,R$1)</f>
        <v>0</v>
      </c>
      <c r="S850" s="242">
        <f>COUNTIFS('تجربه‌گرها'!$B:$B,$A850,'تجربه‌گرها'!$F:$F,S$1)</f>
        <v>0</v>
      </c>
      <c r="T850" s="242">
        <f>COUNTIFS('تجربه‌گرها'!$B:$B,$A850,'تجربه‌گرها'!$F:$F,T$1)</f>
        <v>0</v>
      </c>
      <c r="U850" s="242"/>
      <c r="V850" s="242"/>
      <c r="W850" s="242"/>
      <c r="X850" s="242"/>
      <c r="Y850" s="242"/>
      <c r="Z850" s="242"/>
      <c r="AA850" s="242"/>
      <c r="AB850" s="242"/>
    </row>
    <row r="851" hidden="1">
      <c r="A851" s="244" t="s">
        <v>4933</v>
      </c>
      <c r="B851" s="245" t="str">
        <f>VLOOKUP(A851,'تجربه‌گرها'!B:C,2,FALSE())</f>
        <v>9109024826</v>
      </c>
      <c r="C851" s="242"/>
      <c r="D851" s="242">
        <f t="shared" si="1"/>
        <v>1</v>
      </c>
      <c r="E851" s="242">
        <f>COUNTIFS('تجربه‌گرها'!$B:$B,$A851,'تجربه‌گرها'!$F:$F,E$1)</f>
        <v>0</v>
      </c>
      <c r="F851" s="242">
        <f>COUNTIFS('تجربه‌گرها'!$B:$B,$A851,'تجربه‌گرها'!$F:$F,F$1)</f>
        <v>0</v>
      </c>
      <c r="G851" s="242">
        <f>COUNTIFS('تجربه‌گرها'!$B:$B,$A851,'تجربه‌گرها'!$F:$F,G$1)</f>
        <v>0</v>
      </c>
      <c r="H851" s="242">
        <f>COUNTIFS('تجربه‌گرها'!$B:$B,$A851,'تجربه‌گرها'!$F:$F,H$1)</f>
        <v>0</v>
      </c>
      <c r="I851" s="242">
        <f>COUNTIFS('تجربه‌گرها'!$B:$B,$A851,'تجربه‌گرها'!$F:$F,I$1)</f>
        <v>0</v>
      </c>
      <c r="J851" s="242">
        <f>COUNTIFS('تجربه‌گرها'!$B:$B,$A851,'تجربه‌گرها'!$F:$F,J$1)</f>
        <v>0</v>
      </c>
      <c r="K851" s="242">
        <f>COUNTIFS('تجربه‌گرها'!$B:$B,$A851,'تجربه‌گرها'!$F:$F,K$1)</f>
        <v>0</v>
      </c>
      <c r="L851" s="242">
        <f>COUNTIFS('تجربه‌گرها'!$B:$B,$A851,'تجربه‌گرها'!$F:$F,L$1)</f>
        <v>1</v>
      </c>
      <c r="M851" s="242">
        <f>COUNTIFS('تجربه‌گرها'!$B:$B,$A851,'تجربه‌گرها'!$F:$F,M$1)</f>
        <v>0</v>
      </c>
      <c r="N851" s="242">
        <f>COUNTIFS('تجربه‌گرها'!$B:$B,$A851,'تجربه‌گرها'!$F:$F,N$1)</f>
        <v>0</v>
      </c>
      <c r="O851" s="242">
        <f>COUNTIFS('تجربه‌گرها'!$B:$B,$A851,'تجربه‌گرها'!$F:$F,O$1)</f>
        <v>0</v>
      </c>
      <c r="P851" s="242">
        <f>COUNTIFS('تجربه‌گرها'!$B:$B,$A851,'تجربه‌گرها'!$F:$F,P$1)</f>
        <v>0</v>
      </c>
      <c r="Q851" s="242">
        <f>COUNTIFS('تجربه‌گرها'!$B:$B,$A851,'تجربه‌گرها'!$F:$F,Q$1)</f>
        <v>0</v>
      </c>
      <c r="R851" s="242">
        <f>COUNTIFS('تجربه‌گرها'!$B:$B,$A851,'تجربه‌گرها'!$F:$F,R$1)</f>
        <v>0</v>
      </c>
      <c r="S851" s="242">
        <f>COUNTIFS('تجربه‌گرها'!$B:$B,$A851,'تجربه‌گرها'!$F:$F,S$1)</f>
        <v>0</v>
      </c>
      <c r="T851" s="242">
        <f>COUNTIFS('تجربه‌گرها'!$B:$B,$A851,'تجربه‌گرها'!$F:$F,T$1)</f>
        <v>0</v>
      </c>
      <c r="U851" s="242"/>
      <c r="V851" s="242"/>
      <c r="W851" s="242"/>
      <c r="X851" s="242"/>
      <c r="Y851" s="242"/>
      <c r="Z851" s="242"/>
      <c r="AA851" s="242"/>
      <c r="AB851" s="242"/>
    </row>
    <row r="852">
      <c r="A852" s="244" t="s">
        <v>4936</v>
      </c>
      <c r="B852" s="245" t="str">
        <f>VLOOKUP(A852,'تجربه‌گرها'!B:C,2,FALSE())</f>
        <v>9133508076</v>
      </c>
      <c r="C852" s="242"/>
      <c r="D852" s="242">
        <f t="shared" si="1"/>
        <v>1</v>
      </c>
      <c r="E852" s="242">
        <f>COUNTIFS('تجربه‌گرها'!$B:$B,$A852,'تجربه‌گرها'!$F:$F,E$1)</f>
        <v>0</v>
      </c>
      <c r="F852" s="242">
        <f>COUNTIFS('تجربه‌گرها'!$B:$B,$A852,'تجربه‌گرها'!$F:$F,F$1)</f>
        <v>0</v>
      </c>
      <c r="G852" s="242">
        <f>COUNTIFS('تجربه‌گرها'!$B:$B,$A852,'تجربه‌گرها'!$F:$F,G$1)</f>
        <v>0</v>
      </c>
      <c r="H852" s="242">
        <f>COUNTIFS('تجربه‌گرها'!$B:$B,$A852,'تجربه‌گرها'!$F:$F,H$1)</f>
        <v>0</v>
      </c>
      <c r="I852" s="242">
        <f>COUNTIFS('تجربه‌گرها'!$B:$B,$A852,'تجربه‌گرها'!$F:$F,I$1)</f>
        <v>0</v>
      </c>
      <c r="J852" s="242">
        <f>COUNTIFS('تجربه‌گرها'!$B:$B,$A852,'تجربه‌گرها'!$F:$F,J$1)</f>
        <v>0</v>
      </c>
      <c r="K852" s="242">
        <f>COUNTIFS('تجربه‌گرها'!$B:$B,$A852,'تجربه‌گرها'!$F:$F,K$1)</f>
        <v>0</v>
      </c>
      <c r="L852" s="242">
        <f>COUNTIFS('تجربه‌گرها'!$B:$B,$A852,'تجربه‌گرها'!$F:$F,L$1)</f>
        <v>1</v>
      </c>
      <c r="M852" s="242">
        <f>COUNTIFS('تجربه‌گرها'!$B:$B,$A852,'تجربه‌گرها'!$F:$F,M$1)</f>
        <v>0</v>
      </c>
      <c r="N852" s="242">
        <f>COUNTIFS('تجربه‌گرها'!$B:$B,$A852,'تجربه‌گرها'!$F:$F,N$1)</f>
        <v>0</v>
      </c>
      <c r="O852" s="242">
        <f>COUNTIFS('تجربه‌گرها'!$B:$B,$A852,'تجربه‌گرها'!$F:$F,O$1)</f>
        <v>0</v>
      </c>
      <c r="P852" s="242">
        <f>COUNTIFS('تجربه‌گرها'!$B:$B,$A852,'تجربه‌گرها'!$F:$F,P$1)</f>
        <v>0</v>
      </c>
      <c r="Q852" s="242">
        <f>COUNTIFS('تجربه‌گرها'!$B:$B,$A852,'تجربه‌گرها'!$F:$F,Q$1)</f>
        <v>0</v>
      </c>
      <c r="R852" s="242">
        <f>COUNTIFS('تجربه‌گرها'!$B:$B,$A852,'تجربه‌گرها'!$F:$F,R$1)</f>
        <v>0</v>
      </c>
      <c r="S852" s="242">
        <f>COUNTIFS('تجربه‌گرها'!$B:$B,$A852,'تجربه‌گرها'!$F:$F,S$1)</f>
        <v>0</v>
      </c>
      <c r="T852" s="242">
        <f>COUNTIFS('تجربه‌گرها'!$B:$B,$A852,'تجربه‌گرها'!$F:$F,T$1)</f>
        <v>0</v>
      </c>
      <c r="U852" s="242"/>
      <c r="V852" s="242"/>
      <c r="W852" s="242"/>
      <c r="X852" s="242"/>
      <c r="Y852" s="242"/>
      <c r="Z852" s="242"/>
      <c r="AA852" s="242"/>
      <c r="AB852" s="242"/>
    </row>
    <row r="853" hidden="1">
      <c r="A853" s="244" t="s">
        <v>4939</v>
      </c>
      <c r="B853" s="245" t="str">
        <f>VLOOKUP(A853,'تجربه‌گرها'!B:C,2,FALSE())</f>
        <v>9120223289</v>
      </c>
      <c r="C853" s="242"/>
      <c r="D853" s="242">
        <f t="shared" si="1"/>
        <v>1</v>
      </c>
      <c r="E853" s="242">
        <f>COUNTIFS('تجربه‌گرها'!$B:$B,$A853,'تجربه‌گرها'!$F:$F,E$1)</f>
        <v>0</v>
      </c>
      <c r="F853" s="242">
        <f>COUNTIFS('تجربه‌گرها'!$B:$B,$A853,'تجربه‌گرها'!$F:$F,F$1)</f>
        <v>0</v>
      </c>
      <c r="G853" s="242">
        <f>COUNTIFS('تجربه‌گرها'!$B:$B,$A853,'تجربه‌گرها'!$F:$F,G$1)</f>
        <v>0</v>
      </c>
      <c r="H853" s="242">
        <f>COUNTIFS('تجربه‌گرها'!$B:$B,$A853,'تجربه‌گرها'!$F:$F,H$1)</f>
        <v>0</v>
      </c>
      <c r="I853" s="242">
        <f>COUNTIFS('تجربه‌گرها'!$B:$B,$A853,'تجربه‌گرها'!$F:$F,I$1)</f>
        <v>0</v>
      </c>
      <c r="J853" s="242">
        <f>COUNTIFS('تجربه‌گرها'!$B:$B,$A853,'تجربه‌گرها'!$F:$F,J$1)</f>
        <v>0</v>
      </c>
      <c r="K853" s="242">
        <f>COUNTIFS('تجربه‌گرها'!$B:$B,$A853,'تجربه‌گرها'!$F:$F,K$1)</f>
        <v>0</v>
      </c>
      <c r="L853" s="242">
        <f>COUNTIFS('تجربه‌گرها'!$B:$B,$A853,'تجربه‌گرها'!$F:$F,L$1)</f>
        <v>1</v>
      </c>
      <c r="M853" s="242">
        <f>COUNTIFS('تجربه‌گرها'!$B:$B,$A853,'تجربه‌گرها'!$F:$F,M$1)</f>
        <v>0</v>
      </c>
      <c r="N853" s="242">
        <f>COUNTIFS('تجربه‌گرها'!$B:$B,$A853,'تجربه‌گرها'!$F:$F,N$1)</f>
        <v>0</v>
      </c>
      <c r="O853" s="242">
        <f>COUNTIFS('تجربه‌گرها'!$B:$B,$A853,'تجربه‌گرها'!$F:$F,O$1)</f>
        <v>0</v>
      </c>
      <c r="P853" s="242">
        <f>COUNTIFS('تجربه‌گرها'!$B:$B,$A853,'تجربه‌گرها'!$F:$F,P$1)</f>
        <v>0</v>
      </c>
      <c r="Q853" s="242">
        <f>COUNTIFS('تجربه‌گرها'!$B:$B,$A853,'تجربه‌گرها'!$F:$F,Q$1)</f>
        <v>0</v>
      </c>
      <c r="R853" s="242">
        <f>COUNTIFS('تجربه‌گرها'!$B:$B,$A853,'تجربه‌گرها'!$F:$F,R$1)</f>
        <v>0</v>
      </c>
      <c r="S853" s="242">
        <f>COUNTIFS('تجربه‌گرها'!$B:$B,$A853,'تجربه‌گرها'!$F:$F,S$1)</f>
        <v>0</v>
      </c>
      <c r="T853" s="242">
        <f>COUNTIFS('تجربه‌گرها'!$B:$B,$A853,'تجربه‌گرها'!$F:$F,T$1)</f>
        <v>0</v>
      </c>
      <c r="U853" s="242"/>
      <c r="V853" s="242"/>
      <c r="W853" s="242"/>
      <c r="X853" s="242"/>
      <c r="Y853" s="242"/>
      <c r="Z853" s="242"/>
      <c r="AA853" s="242"/>
      <c r="AB853" s="242"/>
    </row>
    <row r="854">
      <c r="A854" s="244" t="s">
        <v>4944</v>
      </c>
      <c r="B854" s="245" t="str">
        <f>VLOOKUP(A854,'تجربه‌گرها'!B:C,2,FALSE())</f>
        <v>9124369973</v>
      </c>
      <c r="C854" s="242"/>
      <c r="D854" s="242">
        <f t="shared" si="1"/>
        <v>1</v>
      </c>
      <c r="E854" s="242">
        <f>COUNTIFS('تجربه‌گرها'!$B:$B,$A854,'تجربه‌گرها'!$F:$F,E$1)</f>
        <v>0</v>
      </c>
      <c r="F854" s="242">
        <f>COUNTIFS('تجربه‌گرها'!$B:$B,$A854,'تجربه‌گرها'!$F:$F,F$1)</f>
        <v>0</v>
      </c>
      <c r="G854" s="242">
        <f>COUNTIFS('تجربه‌گرها'!$B:$B,$A854,'تجربه‌گرها'!$F:$F,G$1)</f>
        <v>0</v>
      </c>
      <c r="H854" s="242">
        <f>COUNTIFS('تجربه‌گرها'!$B:$B,$A854,'تجربه‌گرها'!$F:$F,H$1)</f>
        <v>0</v>
      </c>
      <c r="I854" s="242">
        <f>COUNTIFS('تجربه‌گرها'!$B:$B,$A854,'تجربه‌گرها'!$F:$F,I$1)</f>
        <v>0</v>
      </c>
      <c r="J854" s="242">
        <f>COUNTIFS('تجربه‌گرها'!$B:$B,$A854,'تجربه‌گرها'!$F:$F,J$1)</f>
        <v>0</v>
      </c>
      <c r="K854" s="242">
        <f>COUNTIFS('تجربه‌گرها'!$B:$B,$A854,'تجربه‌گرها'!$F:$F,K$1)</f>
        <v>0</v>
      </c>
      <c r="L854" s="242">
        <f>COUNTIFS('تجربه‌گرها'!$B:$B,$A854,'تجربه‌گرها'!$F:$F,L$1)</f>
        <v>1</v>
      </c>
      <c r="M854" s="242">
        <f>COUNTIFS('تجربه‌گرها'!$B:$B,$A854,'تجربه‌گرها'!$F:$F,M$1)</f>
        <v>0</v>
      </c>
      <c r="N854" s="242">
        <f>COUNTIFS('تجربه‌گرها'!$B:$B,$A854,'تجربه‌گرها'!$F:$F,N$1)</f>
        <v>0</v>
      </c>
      <c r="O854" s="242">
        <f>COUNTIFS('تجربه‌گرها'!$B:$B,$A854,'تجربه‌گرها'!$F:$F,O$1)</f>
        <v>0</v>
      </c>
      <c r="P854" s="242">
        <f>COUNTIFS('تجربه‌گرها'!$B:$B,$A854,'تجربه‌گرها'!$F:$F,P$1)</f>
        <v>0</v>
      </c>
      <c r="Q854" s="242">
        <f>COUNTIFS('تجربه‌گرها'!$B:$B,$A854,'تجربه‌گرها'!$F:$F,Q$1)</f>
        <v>0</v>
      </c>
      <c r="R854" s="242">
        <f>COUNTIFS('تجربه‌گرها'!$B:$B,$A854,'تجربه‌گرها'!$F:$F,R$1)</f>
        <v>0</v>
      </c>
      <c r="S854" s="242">
        <f>COUNTIFS('تجربه‌گرها'!$B:$B,$A854,'تجربه‌گرها'!$F:$F,S$1)</f>
        <v>0</v>
      </c>
      <c r="T854" s="242">
        <f>COUNTIFS('تجربه‌گرها'!$B:$B,$A854,'تجربه‌گرها'!$F:$F,T$1)</f>
        <v>0</v>
      </c>
      <c r="U854" s="242"/>
      <c r="V854" s="242"/>
      <c r="W854" s="242"/>
      <c r="X854" s="242"/>
      <c r="Y854" s="242"/>
      <c r="Z854" s="242"/>
      <c r="AA854" s="242"/>
      <c r="AB854" s="242"/>
    </row>
    <row r="855" hidden="1">
      <c r="A855" s="244" t="s">
        <v>4946</v>
      </c>
      <c r="B855" s="245" t="str">
        <f>VLOOKUP(A855,'تجربه‌گرها'!B:C,2,FALSE())</f>
        <v>9127711483</v>
      </c>
      <c r="C855" s="242"/>
      <c r="D855" s="242">
        <f t="shared" si="1"/>
        <v>1</v>
      </c>
      <c r="E855" s="242">
        <f>COUNTIFS('تجربه‌گرها'!$B:$B,$A855,'تجربه‌گرها'!$F:$F,E$1)</f>
        <v>0</v>
      </c>
      <c r="F855" s="242">
        <f>COUNTIFS('تجربه‌گرها'!$B:$B,$A855,'تجربه‌گرها'!$F:$F,F$1)</f>
        <v>0</v>
      </c>
      <c r="G855" s="242">
        <f>COUNTIFS('تجربه‌گرها'!$B:$B,$A855,'تجربه‌گرها'!$F:$F,G$1)</f>
        <v>0</v>
      </c>
      <c r="H855" s="242">
        <f>COUNTIFS('تجربه‌گرها'!$B:$B,$A855,'تجربه‌گرها'!$F:$F,H$1)</f>
        <v>0</v>
      </c>
      <c r="I855" s="242">
        <f>COUNTIFS('تجربه‌گرها'!$B:$B,$A855,'تجربه‌گرها'!$F:$F,I$1)</f>
        <v>0</v>
      </c>
      <c r="J855" s="242">
        <f>COUNTIFS('تجربه‌گرها'!$B:$B,$A855,'تجربه‌گرها'!$F:$F,J$1)</f>
        <v>0</v>
      </c>
      <c r="K855" s="242">
        <f>COUNTIFS('تجربه‌گرها'!$B:$B,$A855,'تجربه‌گرها'!$F:$F,K$1)</f>
        <v>0</v>
      </c>
      <c r="L855" s="242">
        <f>COUNTIFS('تجربه‌گرها'!$B:$B,$A855,'تجربه‌گرها'!$F:$F,L$1)</f>
        <v>1</v>
      </c>
      <c r="M855" s="242">
        <f>COUNTIFS('تجربه‌گرها'!$B:$B,$A855,'تجربه‌گرها'!$F:$F,M$1)</f>
        <v>0</v>
      </c>
      <c r="N855" s="242">
        <f>COUNTIFS('تجربه‌گرها'!$B:$B,$A855,'تجربه‌گرها'!$F:$F,N$1)</f>
        <v>0</v>
      </c>
      <c r="O855" s="242">
        <f>COUNTIFS('تجربه‌گرها'!$B:$B,$A855,'تجربه‌گرها'!$F:$F,O$1)</f>
        <v>0</v>
      </c>
      <c r="P855" s="242">
        <f>COUNTIFS('تجربه‌گرها'!$B:$B,$A855,'تجربه‌گرها'!$F:$F,P$1)</f>
        <v>0</v>
      </c>
      <c r="Q855" s="242">
        <f>COUNTIFS('تجربه‌گرها'!$B:$B,$A855,'تجربه‌گرها'!$F:$F,Q$1)</f>
        <v>0</v>
      </c>
      <c r="R855" s="242">
        <f>COUNTIFS('تجربه‌گرها'!$B:$B,$A855,'تجربه‌گرها'!$F:$F,R$1)</f>
        <v>0</v>
      </c>
      <c r="S855" s="242">
        <f>COUNTIFS('تجربه‌گرها'!$B:$B,$A855,'تجربه‌گرها'!$F:$F,S$1)</f>
        <v>0</v>
      </c>
      <c r="T855" s="242">
        <f>COUNTIFS('تجربه‌گرها'!$B:$B,$A855,'تجربه‌گرها'!$F:$F,T$1)</f>
        <v>0</v>
      </c>
      <c r="U855" s="242"/>
      <c r="V855" s="242"/>
      <c r="W855" s="242"/>
      <c r="X855" s="242"/>
      <c r="Y855" s="242"/>
      <c r="Z855" s="242"/>
      <c r="AA855" s="242"/>
      <c r="AB855" s="242"/>
    </row>
    <row r="856" hidden="1">
      <c r="A856" s="244" t="s">
        <v>4949</v>
      </c>
      <c r="B856" s="245" t="str">
        <f>VLOOKUP(A856,'تجربه‌گرها'!B:C,2,FALSE())</f>
        <v>9133140949</v>
      </c>
      <c r="C856" s="242"/>
      <c r="D856" s="242">
        <f t="shared" si="1"/>
        <v>2</v>
      </c>
      <c r="E856" s="242">
        <f>COUNTIFS('تجربه‌گرها'!$B:$B,$A856,'تجربه‌گرها'!$F:$F,E$1)</f>
        <v>0</v>
      </c>
      <c r="F856" s="242">
        <f>COUNTIFS('تجربه‌گرها'!$B:$B,$A856,'تجربه‌گرها'!$F:$F,F$1)</f>
        <v>0</v>
      </c>
      <c r="G856" s="242">
        <f>COUNTIFS('تجربه‌گرها'!$B:$B,$A856,'تجربه‌گرها'!$F:$F,G$1)</f>
        <v>0</v>
      </c>
      <c r="H856" s="242">
        <f>COUNTIFS('تجربه‌گرها'!$B:$B,$A856,'تجربه‌گرها'!$F:$F,H$1)</f>
        <v>0</v>
      </c>
      <c r="I856" s="242">
        <f>COUNTIFS('تجربه‌گرها'!$B:$B,$A856,'تجربه‌گرها'!$F:$F,I$1)</f>
        <v>0</v>
      </c>
      <c r="J856" s="242">
        <f>COUNTIFS('تجربه‌گرها'!$B:$B,$A856,'تجربه‌گرها'!$F:$F,J$1)</f>
        <v>0</v>
      </c>
      <c r="K856" s="242">
        <f>COUNTIFS('تجربه‌گرها'!$B:$B,$A856,'تجربه‌گرها'!$F:$F,K$1)</f>
        <v>0</v>
      </c>
      <c r="L856" s="242">
        <f>COUNTIFS('تجربه‌گرها'!$B:$B,$A856,'تجربه‌گرها'!$F:$F,L$1)</f>
        <v>1</v>
      </c>
      <c r="M856" s="242">
        <f>COUNTIFS('تجربه‌گرها'!$B:$B,$A856,'تجربه‌گرها'!$F:$F,M$1)</f>
        <v>1</v>
      </c>
      <c r="N856" s="242">
        <f>COUNTIFS('تجربه‌گرها'!$B:$B,$A856,'تجربه‌گرها'!$F:$F,N$1)</f>
        <v>0</v>
      </c>
      <c r="O856" s="242">
        <f>COUNTIFS('تجربه‌گرها'!$B:$B,$A856,'تجربه‌گرها'!$F:$F,O$1)</f>
        <v>0</v>
      </c>
      <c r="P856" s="242">
        <f>COUNTIFS('تجربه‌گرها'!$B:$B,$A856,'تجربه‌گرها'!$F:$F,P$1)</f>
        <v>0</v>
      </c>
      <c r="Q856" s="242">
        <f>COUNTIFS('تجربه‌گرها'!$B:$B,$A856,'تجربه‌گرها'!$F:$F,Q$1)</f>
        <v>0</v>
      </c>
      <c r="R856" s="242">
        <f>COUNTIFS('تجربه‌گرها'!$B:$B,$A856,'تجربه‌گرها'!$F:$F,R$1)</f>
        <v>0</v>
      </c>
      <c r="S856" s="242">
        <f>COUNTIFS('تجربه‌گرها'!$B:$B,$A856,'تجربه‌گرها'!$F:$F,S$1)</f>
        <v>0</v>
      </c>
      <c r="T856" s="242">
        <f>COUNTIFS('تجربه‌گرها'!$B:$B,$A856,'تجربه‌گرها'!$F:$F,T$1)</f>
        <v>0</v>
      </c>
      <c r="U856" s="242"/>
      <c r="V856" s="242"/>
      <c r="W856" s="242"/>
      <c r="X856" s="242"/>
      <c r="Y856" s="242"/>
      <c r="Z856" s="242"/>
      <c r="AA856" s="242"/>
      <c r="AB856" s="242"/>
    </row>
    <row r="857" hidden="1">
      <c r="A857" s="244" t="s">
        <v>4952</v>
      </c>
      <c r="B857" s="245" t="str">
        <f>VLOOKUP(A857,'تجربه‌گرها'!B:C,2,FALSE())</f>
        <v>9398068483</v>
      </c>
      <c r="C857" s="242"/>
      <c r="D857" s="242">
        <f t="shared" si="1"/>
        <v>2</v>
      </c>
      <c r="E857" s="242">
        <f>COUNTIFS('تجربه‌گرها'!$B:$B,$A857,'تجربه‌گرها'!$F:$F,E$1)</f>
        <v>0</v>
      </c>
      <c r="F857" s="242">
        <f>COUNTIFS('تجربه‌گرها'!$B:$B,$A857,'تجربه‌گرها'!$F:$F,F$1)</f>
        <v>0</v>
      </c>
      <c r="G857" s="242">
        <f>COUNTIFS('تجربه‌گرها'!$B:$B,$A857,'تجربه‌گرها'!$F:$F,G$1)</f>
        <v>0</v>
      </c>
      <c r="H857" s="242">
        <f>COUNTIFS('تجربه‌گرها'!$B:$B,$A857,'تجربه‌گرها'!$F:$F,H$1)</f>
        <v>0</v>
      </c>
      <c r="I857" s="242">
        <f>COUNTIFS('تجربه‌گرها'!$B:$B,$A857,'تجربه‌گرها'!$F:$F,I$1)</f>
        <v>0</v>
      </c>
      <c r="J857" s="242">
        <f>COUNTIFS('تجربه‌گرها'!$B:$B,$A857,'تجربه‌گرها'!$F:$F,J$1)</f>
        <v>0</v>
      </c>
      <c r="K857" s="242">
        <f>COUNTIFS('تجربه‌گرها'!$B:$B,$A857,'تجربه‌گرها'!$F:$F,K$1)</f>
        <v>0</v>
      </c>
      <c r="L857" s="242">
        <f>COUNTIFS('تجربه‌گرها'!$B:$B,$A857,'تجربه‌گرها'!$F:$F,L$1)</f>
        <v>1</v>
      </c>
      <c r="M857" s="242">
        <f>COUNTIFS('تجربه‌گرها'!$B:$B,$A857,'تجربه‌گرها'!$F:$F,M$1)</f>
        <v>0</v>
      </c>
      <c r="N857" s="242">
        <f>COUNTIFS('تجربه‌گرها'!$B:$B,$A857,'تجربه‌گرها'!$F:$F,N$1)</f>
        <v>0</v>
      </c>
      <c r="O857" s="242">
        <f>COUNTIFS('تجربه‌گرها'!$B:$B,$A857,'تجربه‌گرها'!$F:$F,O$1)</f>
        <v>0</v>
      </c>
      <c r="P857" s="242">
        <f>COUNTIFS('تجربه‌گرها'!$B:$B,$A857,'تجربه‌گرها'!$F:$F,P$1)</f>
        <v>0</v>
      </c>
      <c r="Q857" s="242">
        <f>COUNTIFS('تجربه‌گرها'!$B:$B,$A857,'تجربه‌گرها'!$F:$F,Q$1)</f>
        <v>1</v>
      </c>
      <c r="R857" s="242">
        <f>COUNTIFS('تجربه‌گرها'!$B:$B,$A857,'تجربه‌گرها'!$F:$F,R$1)</f>
        <v>0</v>
      </c>
      <c r="S857" s="242">
        <f>COUNTIFS('تجربه‌گرها'!$B:$B,$A857,'تجربه‌گرها'!$F:$F,S$1)</f>
        <v>0</v>
      </c>
      <c r="T857" s="242">
        <f>COUNTIFS('تجربه‌گرها'!$B:$B,$A857,'تجربه‌گرها'!$F:$F,T$1)</f>
        <v>0</v>
      </c>
      <c r="U857" s="242"/>
      <c r="V857" s="242"/>
      <c r="W857" s="242"/>
      <c r="X857" s="242"/>
      <c r="Y857" s="242"/>
      <c r="Z857" s="242"/>
      <c r="AA857" s="242"/>
      <c r="AB857" s="242"/>
    </row>
    <row r="858" hidden="1">
      <c r="A858" s="244" t="s">
        <v>4956</v>
      </c>
      <c r="B858" s="245" t="str">
        <f>VLOOKUP(A858,'تجربه‌گرها'!B:C,2,FALSE())</f>
        <v>9111382921</v>
      </c>
      <c r="C858" s="242"/>
      <c r="D858" s="242">
        <f t="shared" si="1"/>
        <v>1</v>
      </c>
      <c r="E858" s="242">
        <f>COUNTIFS('تجربه‌گرها'!$B:$B,$A858,'تجربه‌گرها'!$F:$F,E$1)</f>
        <v>0</v>
      </c>
      <c r="F858" s="242">
        <f>COUNTIFS('تجربه‌گرها'!$B:$B,$A858,'تجربه‌گرها'!$F:$F,F$1)</f>
        <v>0</v>
      </c>
      <c r="G858" s="242">
        <f>COUNTIFS('تجربه‌گرها'!$B:$B,$A858,'تجربه‌گرها'!$F:$F,G$1)</f>
        <v>0</v>
      </c>
      <c r="H858" s="242">
        <f>COUNTIFS('تجربه‌گرها'!$B:$B,$A858,'تجربه‌گرها'!$F:$F,H$1)</f>
        <v>0</v>
      </c>
      <c r="I858" s="242">
        <f>COUNTIFS('تجربه‌گرها'!$B:$B,$A858,'تجربه‌گرها'!$F:$F,I$1)</f>
        <v>0</v>
      </c>
      <c r="J858" s="242">
        <f>COUNTIFS('تجربه‌گرها'!$B:$B,$A858,'تجربه‌گرها'!$F:$F,J$1)</f>
        <v>0</v>
      </c>
      <c r="K858" s="242">
        <f>COUNTIFS('تجربه‌گرها'!$B:$B,$A858,'تجربه‌گرها'!$F:$F,K$1)</f>
        <v>0</v>
      </c>
      <c r="L858" s="242">
        <f>COUNTIFS('تجربه‌گرها'!$B:$B,$A858,'تجربه‌گرها'!$F:$F,L$1)</f>
        <v>1</v>
      </c>
      <c r="M858" s="242">
        <f>COUNTIFS('تجربه‌گرها'!$B:$B,$A858,'تجربه‌گرها'!$F:$F,M$1)</f>
        <v>0</v>
      </c>
      <c r="N858" s="242">
        <f>COUNTIFS('تجربه‌گرها'!$B:$B,$A858,'تجربه‌گرها'!$F:$F,N$1)</f>
        <v>0</v>
      </c>
      <c r="O858" s="242">
        <f>COUNTIFS('تجربه‌گرها'!$B:$B,$A858,'تجربه‌گرها'!$F:$F,O$1)</f>
        <v>0</v>
      </c>
      <c r="P858" s="242">
        <f>COUNTIFS('تجربه‌گرها'!$B:$B,$A858,'تجربه‌گرها'!$F:$F,P$1)</f>
        <v>0</v>
      </c>
      <c r="Q858" s="242">
        <f>COUNTIFS('تجربه‌گرها'!$B:$B,$A858,'تجربه‌گرها'!$F:$F,Q$1)</f>
        <v>0</v>
      </c>
      <c r="R858" s="242">
        <f>COUNTIFS('تجربه‌گرها'!$B:$B,$A858,'تجربه‌گرها'!$F:$F,R$1)</f>
        <v>0</v>
      </c>
      <c r="S858" s="242">
        <f>COUNTIFS('تجربه‌گرها'!$B:$B,$A858,'تجربه‌گرها'!$F:$F,S$1)</f>
        <v>0</v>
      </c>
      <c r="T858" s="242">
        <f>COUNTIFS('تجربه‌گرها'!$B:$B,$A858,'تجربه‌گرها'!$F:$F,T$1)</f>
        <v>0</v>
      </c>
      <c r="U858" s="242"/>
      <c r="V858" s="242"/>
      <c r="W858" s="242"/>
      <c r="X858" s="242"/>
      <c r="Y858" s="242"/>
      <c r="Z858" s="242"/>
      <c r="AA858" s="242"/>
      <c r="AB858" s="242"/>
    </row>
    <row r="859" hidden="1">
      <c r="A859" s="244" t="s">
        <v>4960</v>
      </c>
      <c r="B859" s="245" t="str">
        <f>VLOOKUP(A859,'تجربه‌گرها'!B:C,2,FALSE())</f>
        <v>9122062426</v>
      </c>
      <c r="C859" s="242"/>
      <c r="D859" s="242">
        <f t="shared" si="1"/>
        <v>2</v>
      </c>
      <c r="E859" s="242">
        <f>COUNTIFS('تجربه‌گرها'!$B:$B,$A859,'تجربه‌گرها'!$F:$F,E$1)</f>
        <v>0</v>
      </c>
      <c r="F859" s="242">
        <f>COUNTIFS('تجربه‌گرها'!$B:$B,$A859,'تجربه‌گرها'!$F:$F,F$1)</f>
        <v>0</v>
      </c>
      <c r="G859" s="242">
        <f>COUNTIFS('تجربه‌گرها'!$B:$B,$A859,'تجربه‌گرها'!$F:$F,G$1)</f>
        <v>0</v>
      </c>
      <c r="H859" s="242">
        <f>COUNTIFS('تجربه‌گرها'!$B:$B,$A859,'تجربه‌گرها'!$F:$F,H$1)</f>
        <v>0</v>
      </c>
      <c r="I859" s="242">
        <f>COUNTIFS('تجربه‌گرها'!$B:$B,$A859,'تجربه‌گرها'!$F:$F,I$1)</f>
        <v>0</v>
      </c>
      <c r="J859" s="242">
        <f>COUNTIFS('تجربه‌گرها'!$B:$B,$A859,'تجربه‌گرها'!$F:$F,J$1)</f>
        <v>0</v>
      </c>
      <c r="K859" s="242">
        <f>COUNTIFS('تجربه‌گرها'!$B:$B,$A859,'تجربه‌گرها'!$F:$F,K$1)</f>
        <v>0</v>
      </c>
      <c r="L859" s="242">
        <f>COUNTIFS('تجربه‌گرها'!$B:$B,$A859,'تجربه‌گرها'!$F:$F,L$1)</f>
        <v>1</v>
      </c>
      <c r="M859" s="242">
        <f>COUNTIFS('تجربه‌گرها'!$B:$B,$A859,'تجربه‌گرها'!$F:$F,M$1)</f>
        <v>1</v>
      </c>
      <c r="N859" s="242">
        <f>COUNTIFS('تجربه‌گرها'!$B:$B,$A859,'تجربه‌گرها'!$F:$F,N$1)</f>
        <v>0</v>
      </c>
      <c r="O859" s="242">
        <f>COUNTIFS('تجربه‌گرها'!$B:$B,$A859,'تجربه‌گرها'!$F:$F,O$1)</f>
        <v>0</v>
      </c>
      <c r="P859" s="242">
        <f>COUNTIFS('تجربه‌گرها'!$B:$B,$A859,'تجربه‌گرها'!$F:$F,P$1)</f>
        <v>0</v>
      </c>
      <c r="Q859" s="242">
        <f>COUNTIFS('تجربه‌گرها'!$B:$B,$A859,'تجربه‌گرها'!$F:$F,Q$1)</f>
        <v>0</v>
      </c>
      <c r="R859" s="242">
        <f>COUNTIFS('تجربه‌گرها'!$B:$B,$A859,'تجربه‌گرها'!$F:$F,R$1)</f>
        <v>0</v>
      </c>
      <c r="S859" s="242">
        <f>COUNTIFS('تجربه‌گرها'!$B:$B,$A859,'تجربه‌گرها'!$F:$F,S$1)</f>
        <v>0</v>
      </c>
      <c r="T859" s="242">
        <f>COUNTIFS('تجربه‌گرها'!$B:$B,$A859,'تجربه‌گرها'!$F:$F,T$1)</f>
        <v>0</v>
      </c>
      <c r="U859" s="242"/>
      <c r="V859" s="242"/>
      <c r="W859" s="242"/>
      <c r="X859" s="242"/>
      <c r="Y859" s="242"/>
      <c r="Z859" s="242"/>
      <c r="AA859" s="242"/>
      <c r="AB859" s="242"/>
    </row>
    <row r="860" hidden="1">
      <c r="A860" s="244" t="s">
        <v>4964</v>
      </c>
      <c r="B860" s="245" t="str">
        <f>VLOOKUP(A860,'تجربه‌گرها'!B:C,2,FALSE())</f>
        <v>9381322003</v>
      </c>
      <c r="C860" s="242"/>
      <c r="D860" s="242">
        <f t="shared" si="1"/>
        <v>1</v>
      </c>
      <c r="E860" s="242">
        <f>COUNTIFS('تجربه‌گرها'!$B:$B,$A860,'تجربه‌گرها'!$F:$F,E$1)</f>
        <v>0</v>
      </c>
      <c r="F860" s="242">
        <f>COUNTIFS('تجربه‌گرها'!$B:$B,$A860,'تجربه‌گرها'!$F:$F,F$1)</f>
        <v>0</v>
      </c>
      <c r="G860" s="242">
        <f>COUNTIFS('تجربه‌گرها'!$B:$B,$A860,'تجربه‌گرها'!$F:$F,G$1)</f>
        <v>0</v>
      </c>
      <c r="H860" s="242">
        <f>COUNTIFS('تجربه‌گرها'!$B:$B,$A860,'تجربه‌گرها'!$F:$F,H$1)</f>
        <v>0</v>
      </c>
      <c r="I860" s="242">
        <f>COUNTIFS('تجربه‌گرها'!$B:$B,$A860,'تجربه‌گرها'!$F:$F,I$1)</f>
        <v>0</v>
      </c>
      <c r="J860" s="242">
        <f>COUNTIFS('تجربه‌گرها'!$B:$B,$A860,'تجربه‌گرها'!$F:$F,J$1)</f>
        <v>0</v>
      </c>
      <c r="K860" s="242">
        <f>COUNTIFS('تجربه‌گرها'!$B:$B,$A860,'تجربه‌گرها'!$F:$F,K$1)</f>
        <v>0</v>
      </c>
      <c r="L860" s="242">
        <f>COUNTIFS('تجربه‌گرها'!$B:$B,$A860,'تجربه‌گرها'!$F:$F,L$1)</f>
        <v>1</v>
      </c>
      <c r="M860" s="242">
        <f>COUNTIFS('تجربه‌گرها'!$B:$B,$A860,'تجربه‌گرها'!$F:$F,M$1)</f>
        <v>0</v>
      </c>
      <c r="N860" s="242">
        <f>COUNTIFS('تجربه‌گرها'!$B:$B,$A860,'تجربه‌گرها'!$F:$F,N$1)</f>
        <v>0</v>
      </c>
      <c r="O860" s="242">
        <f>COUNTIFS('تجربه‌گرها'!$B:$B,$A860,'تجربه‌گرها'!$F:$F,O$1)</f>
        <v>0</v>
      </c>
      <c r="P860" s="242">
        <f>COUNTIFS('تجربه‌گرها'!$B:$B,$A860,'تجربه‌گرها'!$F:$F,P$1)</f>
        <v>0</v>
      </c>
      <c r="Q860" s="242">
        <f>COUNTIFS('تجربه‌گرها'!$B:$B,$A860,'تجربه‌گرها'!$F:$F,Q$1)</f>
        <v>0</v>
      </c>
      <c r="R860" s="242">
        <f>COUNTIFS('تجربه‌گرها'!$B:$B,$A860,'تجربه‌گرها'!$F:$F,R$1)</f>
        <v>0</v>
      </c>
      <c r="S860" s="242">
        <f>COUNTIFS('تجربه‌گرها'!$B:$B,$A860,'تجربه‌گرها'!$F:$F,S$1)</f>
        <v>0</v>
      </c>
      <c r="T860" s="242">
        <f>COUNTIFS('تجربه‌گرها'!$B:$B,$A860,'تجربه‌گرها'!$F:$F,T$1)</f>
        <v>0</v>
      </c>
      <c r="U860" s="242"/>
      <c r="V860" s="242"/>
      <c r="W860" s="242"/>
      <c r="X860" s="242"/>
      <c r="Y860" s="242"/>
      <c r="Z860" s="242"/>
      <c r="AA860" s="242"/>
      <c r="AB860" s="242"/>
    </row>
    <row r="861" hidden="1">
      <c r="A861" s="244" t="s">
        <v>4968</v>
      </c>
      <c r="B861" s="245" t="str">
        <f>VLOOKUP(A861,'تجربه‌گرها'!B:C,2,FALSE())</f>
        <v>9121233837</v>
      </c>
      <c r="C861" s="242"/>
      <c r="D861" s="242">
        <f t="shared" si="1"/>
        <v>1</v>
      </c>
      <c r="E861" s="242">
        <f>COUNTIFS('تجربه‌گرها'!$B:$B,$A861,'تجربه‌گرها'!$F:$F,E$1)</f>
        <v>0</v>
      </c>
      <c r="F861" s="242">
        <f>COUNTIFS('تجربه‌گرها'!$B:$B,$A861,'تجربه‌گرها'!$F:$F,F$1)</f>
        <v>0</v>
      </c>
      <c r="G861" s="242">
        <f>COUNTIFS('تجربه‌گرها'!$B:$B,$A861,'تجربه‌گرها'!$F:$F,G$1)</f>
        <v>0</v>
      </c>
      <c r="H861" s="242">
        <f>COUNTIFS('تجربه‌گرها'!$B:$B,$A861,'تجربه‌گرها'!$F:$F,H$1)</f>
        <v>0</v>
      </c>
      <c r="I861" s="242">
        <f>COUNTIFS('تجربه‌گرها'!$B:$B,$A861,'تجربه‌گرها'!$F:$F,I$1)</f>
        <v>0</v>
      </c>
      <c r="J861" s="242">
        <f>COUNTIFS('تجربه‌گرها'!$B:$B,$A861,'تجربه‌گرها'!$F:$F,J$1)</f>
        <v>0</v>
      </c>
      <c r="K861" s="242">
        <f>COUNTIFS('تجربه‌گرها'!$B:$B,$A861,'تجربه‌گرها'!$F:$F,K$1)</f>
        <v>0</v>
      </c>
      <c r="L861" s="242">
        <f>COUNTIFS('تجربه‌گرها'!$B:$B,$A861,'تجربه‌گرها'!$F:$F,L$1)</f>
        <v>1</v>
      </c>
      <c r="M861" s="242">
        <f>COUNTIFS('تجربه‌گرها'!$B:$B,$A861,'تجربه‌گرها'!$F:$F,M$1)</f>
        <v>0</v>
      </c>
      <c r="N861" s="242">
        <f>COUNTIFS('تجربه‌گرها'!$B:$B,$A861,'تجربه‌گرها'!$F:$F,N$1)</f>
        <v>0</v>
      </c>
      <c r="O861" s="242">
        <f>COUNTIFS('تجربه‌گرها'!$B:$B,$A861,'تجربه‌گرها'!$F:$F,O$1)</f>
        <v>0</v>
      </c>
      <c r="P861" s="242">
        <f>COUNTIFS('تجربه‌گرها'!$B:$B,$A861,'تجربه‌گرها'!$F:$F,P$1)</f>
        <v>0</v>
      </c>
      <c r="Q861" s="242">
        <f>COUNTIFS('تجربه‌گرها'!$B:$B,$A861,'تجربه‌گرها'!$F:$F,Q$1)</f>
        <v>0</v>
      </c>
      <c r="R861" s="242">
        <f>COUNTIFS('تجربه‌گرها'!$B:$B,$A861,'تجربه‌گرها'!$F:$F,R$1)</f>
        <v>0</v>
      </c>
      <c r="S861" s="242">
        <f>COUNTIFS('تجربه‌گرها'!$B:$B,$A861,'تجربه‌گرها'!$F:$F,S$1)</f>
        <v>0</v>
      </c>
      <c r="T861" s="242">
        <f>COUNTIFS('تجربه‌گرها'!$B:$B,$A861,'تجربه‌گرها'!$F:$F,T$1)</f>
        <v>0</v>
      </c>
      <c r="U861" s="242"/>
      <c r="V861" s="242"/>
      <c r="W861" s="242"/>
      <c r="X861" s="242"/>
      <c r="Y861" s="242"/>
      <c r="Z861" s="242"/>
      <c r="AA861" s="242"/>
      <c r="AB861" s="242"/>
    </row>
    <row r="862" hidden="1">
      <c r="A862" s="244" t="s">
        <v>4972</v>
      </c>
      <c r="B862" s="245" t="str">
        <f>VLOOKUP(A862,'تجربه‌گرها'!B:C,2,FALSE())</f>
        <v>9120342467</v>
      </c>
      <c r="C862" s="242"/>
      <c r="D862" s="242">
        <f t="shared" si="1"/>
        <v>1</v>
      </c>
      <c r="E862" s="242">
        <f>COUNTIFS('تجربه‌گرها'!$B:$B,$A862,'تجربه‌گرها'!$F:$F,E$1)</f>
        <v>0</v>
      </c>
      <c r="F862" s="242">
        <f>COUNTIFS('تجربه‌گرها'!$B:$B,$A862,'تجربه‌گرها'!$F:$F,F$1)</f>
        <v>0</v>
      </c>
      <c r="G862" s="242">
        <f>COUNTIFS('تجربه‌گرها'!$B:$B,$A862,'تجربه‌گرها'!$F:$F,G$1)</f>
        <v>0</v>
      </c>
      <c r="H862" s="242">
        <f>COUNTIFS('تجربه‌گرها'!$B:$B,$A862,'تجربه‌گرها'!$F:$F,H$1)</f>
        <v>0</v>
      </c>
      <c r="I862" s="242">
        <f>COUNTIFS('تجربه‌گرها'!$B:$B,$A862,'تجربه‌گرها'!$F:$F,I$1)</f>
        <v>0</v>
      </c>
      <c r="J862" s="242">
        <f>COUNTIFS('تجربه‌گرها'!$B:$B,$A862,'تجربه‌گرها'!$F:$F,J$1)</f>
        <v>0</v>
      </c>
      <c r="K862" s="242">
        <f>COUNTIFS('تجربه‌گرها'!$B:$B,$A862,'تجربه‌گرها'!$F:$F,K$1)</f>
        <v>0</v>
      </c>
      <c r="L862" s="242">
        <f>COUNTIFS('تجربه‌گرها'!$B:$B,$A862,'تجربه‌گرها'!$F:$F,L$1)</f>
        <v>1</v>
      </c>
      <c r="M862" s="242">
        <f>COUNTIFS('تجربه‌گرها'!$B:$B,$A862,'تجربه‌گرها'!$F:$F,M$1)</f>
        <v>0</v>
      </c>
      <c r="N862" s="242">
        <f>COUNTIFS('تجربه‌گرها'!$B:$B,$A862,'تجربه‌گرها'!$F:$F,N$1)</f>
        <v>0</v>
      </c>
      <c r="O862" s="242">
        <f>COUNTIFS('تجربه‌گرها'!$B:$B,$A862,'تجربه‌گرها'!$F:$F,O$1)</f>
        <v>0</v>
      </c>
      <c r="P862" s="242">
        <f>COUNTIFS('تجربه‌گرها'!$B:$B,$A862,'تجربه‌گرها'!$F:$F,P$1)</f>
        <v>0</v>
      </c>
      <c r="Q862" s="242">
        <f>COUNTIFS('تجربه‌گرها'!$B:$B,$A862,'تجربه‌گرها'!$F:$F,Q$1)</f>
        <v>0</v>
      </c>
      <c r="R862" s="242">
        <f>COUNTIFS('تجربه‌گرها'!$B:$B,$A862,'تجربه‌گرها'!$F:$F,R$1)</f>
        <v>0</v>
      </c>
      <c r="S862" s="242">
        <f>COUNTIFS('تجربه‌گرها'!$B:$B,$A862,'تجربه‌گرها'!$F:$F,S$1)</f>
        <v>0</v>
      </c>
      <c r="T862" s="242">
        <f>COUNTIFS('تجربه‌گرها'!$B:$B,$A862,'تجربه‌گرها'!$F:$F,T$1)</f>
        <v>0</v>
      </c>
      <c r="U862" s="242"/>
      <c r="V862" s="242"/>
      <c r="W862" s="242"/>
      <c r="X862" s="242"/>
      <c r="Y862" s="242"/>
      <c r="Z862" s="242"/>
      <c r="AA862" s="242"/>
      <c r="AB862" s="242"/>
    </row>
    <row r="863">
      <c r="A863" s="244" t="s">
        <v>4976</v>
      </c>
      <c r="B863" s="245" t="str">
        <f>VLOOKUP(A863,'تجربه‌گرها'!B:C,2,FALSE())</f>
        <v>9917897915</v>
      </c>
      <c r="C863" s="242"/>
      <c r="D863" s="242">
        <f t="shared" si="1"/>
        <v>1</v>
      </c>
      <c r="E863" s="242">
        <f>COUNTIFS('تجربه‌گرها'!$B:$B,$A863,'تجربه‌گرها'!$F:$F,E$1)</f>
        <v>0</v>
      </c>
      <c r="F863" s="242">
        <f>COUNTIFS('تجربه‌گرها'!$B:$B,$A863,'تجربه‌گرها'!$F:$F,F$1)</f>
        <v>0</v>
      </c>
      <c r="G863" s="242">
        <f>COUNTIFS('تجربه‌گرها'!$B:$B,$A863,'تجربه‌گرها'!$F:$F,G$1)</f>
        <v>0</v>
      </c>
      <c r="H863" s="242">
        <f>COUNTIFS('تجربه‌گرها'!$B:$B,$A863,'تجربه‌گرها'!$F:$F,H$1)</f>
        <v>0</v>
      </c>
      <c r="I863" s="242">
        <f>COUNTIFS('تجربه‌گرها'!$B:$B,$A863,'تجربه‌گرها'!$F:$F,I$1)</f>
        <v>0</v>
      </c>
      <c r="J863" s="242">
        <f>COUNTIFS('تجربه‌گرها'!$B:$B,$A863,'تجربه‌گرها'!$F:$F,J$1)</f>
        <v>0</v>
      </c>
      <c r="K863" s="242">
        <f>COUNTIFS('تجربه‌گرها'!$B:$B,$A863,'تجربه‌گرها'!$F:$F,K$1)</f>
        <v>0</v>
      </c>
      <c r="L863" s="242">
        <f>COUNTIFS('تجربه‌گرها'!$B:$B,$A863,'تجربه‌گرها'!$F:$F,L$1)</f>
        <v>1</v>
      </c>
      <c r="M863" s="242">
        <f>COUNTIFS('تجربه‌گرها'!$B:$B,$A863,'تجربه‌گرها'!$F:$F,M$1)</f>
        <v>0</v>
      </c>
      <c r="N863" s="242">
        <f>COUNTIFS('تجربه‌گرها'!$B:$B,$A863,'تجربه‌گرها'!$F:$F,N$1)</f>
        <v>0</v>
      </c>
      <c r="O863" s="242">
        <f>COUNTIFS('تجربه‌گرها'!$B:$B,$A863,'تجربه‌گرها'!$F:$F,O$1)</f>
        <v>0</v>
      </c>
      <c r="P863" s="242">
        <f>COUNTIFS('تجربه‌گرها'!$B:$B,$A863,'تجربه‌گرها'!$F:$F,P$1)</f>
        <v>0</v>
      </c>
      <c r="Q863" s="242">
        <f>COUNTIFS('تجربه‌گرها'!$B:$B,$A863,'تجربه‌گرها'!$F:$F,Q$1)</f>
        <v>0</v>
      </c>
      <c r="R863" s="242">
        <f>COUNTIFS('تجربه‌گرها'!$B:$B,$A863,'تجربه‌گرها'!$F:$F,R$1)</f>
        <v>0</v>
      </c>
      <c r="S863" s="242">
        <f>COUNTIFS('تجربه‌گرها'!$B:$B,$A863,'تجربه‌گرها'!$F:$F,S$1)</f>
        <v>0</v>
      </c>
      <c r="T863" s="242">
        <f>COUNTIFS('تجربه‌گرها'!$B:$B,$A863,'تجربه‌گرها'!$F:$F,T$1)</f>
        <v>0</v>
      </c>
      <c r="U863" s="242"/>
      <c r="V863" s="242"/>
      <c r="W863" s="242"/>
      <c r="X863" s="242"/>
      <c r="Y863" s="242"/>
      <c r="Z863" s="242"/>
      <c r="AA863" s="242"/>
      <c r="AB863" s="242"/>
    </row>
    <row r="864">
      <c r="A864" s="244" t="s">
        <v>4981</v>
      </c>
      <c r="B864" s="245" t="str">
        <f>VLOOKUP(A864,'تجربه‌گرها'!B:C,2,FALSE())</f>
        <v>9213239516</v>
      </c>
      <c r="C864" s="242"/>
      <c r="D864" s="242">
        <f t="shared" si="1"/>
        <v>1</v>
      </c>
      <c r="E864" s="242">
        <f>COUNTIFS('تجربه‌گرها'!$B:$B,$A864,'تجربه‌گرها'!$F:$F,E$1)</f>
        <v>0</v>
      </c>
      <c r="F864" s="242">
        <f>COUNTIFS('تجربه‌گرها'!$B:$B,$A864,'تجربه‌گرها'!$F:$F,F$1)</f>
        <v>0</v>
      </c>
      <c r="G864" s="242">
        <f>COUNTIFS('تجربه‌گرها'!$B:$B,$A864,'تجربه‌گرها'!$F:$F,G$1)</f>
        <v>0</v>
      </c>
      <c r="H864" s="242">
        <f>COUNTIFS('تجربه‌گرها'!$B:$B,$A864,'تجربه‌گرها'!$F:$F,H$1)</f>
        <v>0</v>
      </c>
      <c r="I864" s="242">
        <f>COUNTIFS('تجربه‌گرها'!$B:$B,$A864,'تجربه‌گرها'!$F:$F,I$1)</f>
        <v>0</v>
      </c>
      <c r="J864" s="242">
        <f>COUNTIFS('تجربه‌گرها'!$B:$B,$A864,'تجربه‌گرها'!$F:$F,J$1)</f>
        <v>0</v>
      </c>
      <c r="K864" s="242">
        <f>COUNTIFS('تجربه‌گرها'!$B:$B,$A864,'تجربه‌گرها'!$F:$F,K$1)</f>
        <v>0</v>
      </c>
      <c r="L864" s="242">
        <f>COUNTIFS('تجربه‌گرها'!$B:$B,$A864,'تجربه‌گرها'!$F:$F,L$1)</f>
        <v>1</v>
      </c>
      <c r="M864" s="242">
        <f>COUNTIFS('تجربه‌گرها'!$B:$B,$A864,'تجربه‌گرها'!$F:$F,M$1)</f>
        <v>0</v>
      </c>
      <c r="N864" s="242">
        <f>COUNTIFS('تجربه‌گرها'!$B:$B,$A864,'تجربه‌گرها'!$F:$F,N$1)</f>
        <v>0</v>
      </c>
      <c r="O864" s="242">
        <f>COUNTIFS('تجربه‌گرها'!$B:$B,$A864,'تجربه‌گرها'!$F:$F,O$1)</f>
        <v>0</v>
      </c>
      <c r="P864" s="242">
        <f>COUNTIFS('تجربه‌گرها'!$B:$B,$A864,'تجربه‌گرها'!$F:$F,P$1)</f>
        <v>0</v>
      </c>
      <c r="Q864" s="242">
        <f>COUNTIFS('تجربه‌گرها'!$B:$B,$A864,'تجربه‌گرها'!$F:$F,Q$1)</f>
        <v>0</v>
      </c>
      <c r="R864" s="242">
        <f>COUNTIFS('تجربه‌گرها'!$B:$B,$A864,'تجربه‌گرها'!$F:$F,R$1)</f>
        <v>0</v>
      </c>
      <c r="S864" s="242">
        <f>COUNTIFS('تجربه‌گرها'!$B:$B,$A864,'تجربه‌گرها'!$F:$F,S$1)</f>
        <v>0</v>
      </c>
      <c r="T864" s="242">
        <f>COUNTIFS('تجربه‌گرها'!$B:$B,$A864,'تجربه‌گرها'!$F:$F,T$1)</f>
        <v>0</v>
      </c>
      <c r="U864" s="242"/>
      <c r="V864" s="242"/>
      <c r="W864" s="242"/>
      <c r="X864" s="242"/>
      <c r="Y864" s="242"/>
      <c r="Z864" s="242"/>
      <c r="AA864" s="242"/>
      <c r="AB864" s="242"/>
    </row>
    <row r="865" hidden="1">
      <c r="A865" s="244" t="s">
        <v>4984</v>
      </c>
      <c r="B865" s="245" t="str">
        <f>VLOOKUP(A865,'تجربه‌گرها'!B:C,2,FALSE())</f>
        <v>9124499636</v>
      </c>
      <c r="C865" s="242"/>
      <c r="D865" s="242">
        <f t="shared" si="1"/>
        <v>1</v>
      </c>
      <c r="E865" s="242">
        <f>COUNTIFS('تجربه‌گرها'!$B:$B,$A865,'تجربه‌گرها'!$F:$F,E$1)</f>
        <v>0</v>
      </c>
      <c r="F865" s="242">
        <f>COUNTIFS('تجربه‌گرها'!$B:$B,$A865,'تجربه‌گرها'!$F:$F,F$1)</f>
        <v>0</v>
      </c>
      <c r="G865" s="242">
        <f>COUNTIFS('تجربه‌گرها'!$B:$B,$A865,'تجربه‌گرها'!$F:$F,G$1)</f>
        <v>0</v>
      </c>
      <c r="H865" s="242">
        <f>COUNTIFS('تجربه‌گرها'!$B:$B,$A865,'تجربه‌گرها'!$F:$F,H$1)</f>
        <v>0</v>
      </c>
      <c r="I865" s="242">
        <f>COUNTIFS('تجربه‌گرها'!$B:$B,$A865,'تجربه‌گرها'!$F:$F,I$1)</f>
        <v>0</v>
      </c>
      <c r="J865" s="242">
        <f>COUNTIFS('تجربه‌گرها'!$B:$B,$A865,'تجربه‌گرها'!$F:$F,J$1)</f>
        <v>0</v>
      </c>
      <c r="K865" s="242">
        <f>COUNTIFS('تجربه‌گرها'!$B:$B,$A865,'تجربه‌گرها'!$F:$F,K$1)</f>
        <v>0</v>
      </c>
      <c r="L865" s="242">
        <f>COUNTIFS('تجربه‌گرها'!$B:$B,$A865,'تجربه‌گرها'!$F:$F,L$1)</f>
        <v>1</v>
      </c>
      <c r="M865" s="242">
        <f>COUNTIFS('تجربه‌گرها'!$B:$B,$A865,'تجربه‌گرها'!$F:$F,M$1)</f>
        <v>0</v>
      </c>
      <c r="N865" s="242">
        <f>COUNTIFS('تجربه‌گرها'!$B:$B,$A865,'تجربه‌گرها'!$F:$F,N$1)</f>
        <v>0</v>
      </c>
      <c r="O865" s="242">
        <f>COUNTIFS('تجربه‌گرها'!$B:$B,$A865,'تجربه‌گرها'!$F:$F,O$1)</f>
        <v>0</v>
      </c>
      <c r="P865" s="242">
        <f>COUNTIFS('تجربه‌گرها'!$B:$B,$A865,'تجربه‌گرها'!$F:$F,P$1)</f>
        <v>0</v>
      </c>
      <c r="Q865" s="242">
        <f>COUNTIFS('تجربه‌گرها'!$B:$B,$A865,'تجربه‌گرها'!$F:$F,Q$1)</f>
        <v>0</v>
      </c>
      <c r="R865" s="242">
        <f>COUNTIFS('تجربه‌گرها'!$B:$B,$A865,'تجربه‌گرها'!$F:$F,R$1)</f>
        <v>0</v>
      </c>
      <c r="S865" s="242">
        <f>COUNTIFS('تجربه‌گرها'!$B:$B,$A865,'تجربه‌گرها'!$F:$F,S$1)</f>
        <v>0</v>
      </c>
      <c r="T865" s="242">
        <f>COUNTIFS('تجربه‌گرها'!$B:$B,$A865,'تجربه‌گرها'!$F:$F,T$1)</f>
        <v>0</v>
      </c>
      <c r="U865" s="242"/>
      <c r="V865" s="242"/>
      <c r="W865" s="242"/>
      <c r="X865" s="242"/>
      <c r="Y865" s="242"/>
      <c r="Z865" s="242"/>
      <c r="AA865" s="242"/>
      <c r="AB865" s="242"/>
    </row>
    <row r="866">
      <c r="A866" s="244" t="s">
        <v>4988</v>
      </c>
      <c r="B866" s="245" t="str">
        <f>VLOOKUP(A866,'تجربه‌گرها'!B:C,2,FALSE())</f>
        <v>9332762487</v>
      </c>
      <c r="C866" s="242"/>
      <c r="D866" s="242">
        <f t="shared" si="1"/>
        <v>1</v>
      </c>
      <c r="E866" s="242">
        <f>COUNTIFS('تجربه‌گرها'!$B:$B,$A866,'تجربه‌گرها'!$F:$F,E$1)</f>
        <v>0</v>
      </c>
      <c r="F866" s="242">
        <f>COUNTIFS('تجربه‌گرها'!$B:$B,$A866,'تجربه‌گرها'!$F:$F,F$1)</f>
        <v>0</v>
      </c>
      <c r="G866" s="242">
        <f>COUNTIFS('تجربه‌گرها'!$B:$B,$A866,'تجربه‌گرها'!$F:$F,G$1)</f>
        <v>0</v>
      </c>
      <c r="H866" s="242">
        <f>COUNTIFS('تجربه‌گرها'!$B:$B,$A866,'تجربه‌گرها'!$F:$F,H$1)</f>
        <v>0</v>
      </c>
      <c r="I866" s="242">
        <f>COUNTIFS('تجربه‌گرها'!$B:$B,$A866,'تجربه‌گرها'!$F:$F,I$1)</f>
        <v>0</v>
      </c>
      <c r="J866" s="242">
        <f>COUNTIFS('تجربه‌گرها'!$B:$B,$A866,'تجربه‌گرها'!$F:$F,J$1)</f>
        <v>0</v>
      </c>
      <c r="K866" s="242">
        <f>COUNTIFS('تجربه‌گرها'!$B:$B,$A866,'تجربه‌گرها'!$F:$F,K$1)</f>
        <v>0</v>
      </c>
      <c r="L866" s="242">
        <f>COUNTIFS('تجربه‌گرها'!$B:$B,$A866,'تجربه‌گرها'!$F:$F,L$1)</f>
        <v>1</v>
      </c>
      <c r="M866" s="242">
        <f>COUNTIFS('تجربه‌گرها'!$B:$B,$A866,'تجربه‌گرها'!$F:$F,M$1)</f>
        <v>0</v>
      </c>
      <c r="N866" s="242">
        <f>COUNTIFS('تجربه‌گرها'!$B:$B,$A866,'تجربه‌گرها'!$F:$F,N$1)</f>
        <v>0</v>
      </c>
      <c r="O866" s="242">
        <f>COUNTIFS('تجربه‌گرها'!$B:$B,$A866,'تجربه‌گرها'!$F:$F,O$1)</f>
        <v>0</v>
      </c>
      <c r="P866" s="242">
        <f>COUNTIFS('تجربه‌گرها'!$B:$B,$A866,'تجربه‌گرها'!$F:$F,P$1)</f>
        <v>0</v>
      </c>
      <c r="Q866" s="242">
        <f>COUNTIFS('تجربه‌گرها'!$B:$B,$A866,'تجربه‌گرها'!$F:$F,Q$1)</f>
        <v>0</v>
      </c>
      <c r="R866" s="242">
        <f>COUNTIFS('تجربه‌گرها'!$B:$B,$A866,'تجربه‌گرها'!$F:$F,R$1)</f>
        <v>0</v>
      </c>
      <c r="S866" s="242">
        <f>COUNTIFS('تجربه‌گرها'!$B:$B,$A866,'تجربه‌گرها'!$F:$F,S$1)</f>
        <v>0</v>
      </c>
      <c r="T866" s="242">
        <f>COUNTIFS('تجربه‌گرها'!$B:$B,$A866,'تجربه‌گرها'!$F:$F,T$1)</f>
        <v>0</v>
      </c>
      <c r="U866" s="242"/>
      <c r="V866" s="242"/>
      <c r="W866" s="242"/>
      <c r="X866" s="242"/>
      <c r="Y866" s="242"/>
      <c r="Z866" s="242"/>
      <c r="AA866" s="242"/>
      <c r="AB866" s="242"/>
    </row>
    <row r="867" hidden="1">
      <c r="A867" s="244" t="s">
        <v>4992</v>
      </c>
      <c r="B867" s="245" t="str">
        <f>VLOOKUP(A867,'تجربه‌گرها'!B:C,2,FALSE())</f>
        <v>9111370920</v>
      </c>
      <c r="C867" s="242"/>
      <c r="D867" s="242">
        <f t="shared" si="1"/>
        <v>1</v>
      </c>
      <c r="E867" s="242">
        <f>COUNTIFS('تجربه‌گرها'!$B:$B,$A867,'تجربه‌گرها'!$F:$F,E$1)</f>
        <v>0</v>
      </c>
      <c r="F867" s="242">
        <f>COUNTIFS('تجربه‌گرها'!$B:$B,$A867,'تجربه‌گرها'!$F:$F,F$1)</f>
        <v>0</v>
      </c>
      <c r="G867" s="242">
        <f>COUNTIFS('تجربه‌گرها'!$B:$B,$A867,'تجربه‌گرها'!$F:$F,G$1)</f>
        <v>0</v>
      </c>
      <c r="H867" s="242">
        <f>COUNTIFS('تجربه‌گرها'!$B:$B,$A867,'تجربه‌گرها'!$F:$F,H$1)</f>
        <v>0</v>
      </c>
      <c r="I867" s="242">
        <f>COUNTIFS('تجربه‌گرها'!$B:$B,$A867,'تجربه‌گرها'!$F:$F,I$1)</f>
        <v>0</v>
      </c>
      <c r="J867" s="242">
        <f>COUNTIFS('تجربه‌گرها'!$B:$B,$A867,'تجربه‌گرها'!$F:$F,J$1)</f>
        <v>0</v>
      </c>
      <c r="K867" s="242">
        <f>COUNTIFS('تجربه‌گرها'!$B:$B,$A867,'تجربه‌گرها'!$F:$F,K$1)</f>
        <v>0</v>
      </c>
      <c r="L867" s="242">
        <f>COUNTIFS('تجربه‌گرها'!$B:$B,$A867,'تجربه‌گرها'!$F:$F,L$1)</f>
        <v>1</v>
      </c>
      <c r="M867" s="242">
        <f>COUNTIFS('تجربه‌گرها'!$B:$B,$A867,'تجربه‌گرها'!$F:$F,M$1)</f>
        <v>0</v>
      </c>
      <c r="N867" s="242">
        <f>COUNTIFS('تجربه‌گرها'!$B:$B,$A867,'تجربه‌گرها'!$F:$F,N$1)</f>
        <v>0</v>
      </c>
      <c r="O867" s="242">
        <f>COUNTIFS('تجربه‌گرها'!$B:$B,$A867,'تجربه‌گرها'!$F:$F,O$1)</f>
        <v>0</v>
      </c>
      <c r="P867" s="242">
        <f>COUNTIFS('تجربه‌گرها'!$B:$B,$A867,'تجربه‌گرها'!$F:$F,P$1)</f>
        <v>0</v>
      </c>
      <c r="Q867" s="242">
        <f>COUNTIFS('تجربه‌گرها'!$B:$B,$A867,'تجربه‌گرها'!$F:$F,Q$1)</f>
        <v>0</v>
      </c>
      <c r="R867" s="242">
        <f>COUNTIFS('تجربه‌گرها'!$B:$B,$A867,'تجربه‌گرها'!$F:$F,R$1)</f>
        <v>0</v>
      </c>
      <c r="S867" s="242">
        <f>COUNTIFS('تجربه‌گرها'!$B:$B,$A867,'تجربه‌گرها'!$F:$F,S$1)</f>
        <v>0</v>
      </c>
      <c r="T867" s="242">
        <f>COUNTIFS('تجربه‌گرها'!$B:$B,$A867,'تجربه‌گرها'!$F:$F,T$1)</f>
        <v>0</v>
      </c>
      <c r="U867" s="242"/>
      <c r="V867" s="242"/>
      <c r="W867" s="242"/>
      <c r="X867" s="242"/>
      <c r="Y867" s="242"/>
      <c r="Z867" s="242"/>
      <c r="AA867" s="242"/>
      <c r="AB867" s="242"/>
    </row>
    <row r="868" hidden="1">
      <c r="A868" s="244" t="s">
        <v>4996</v>
      </c>
      <c r="B868" s="245" t="str">
        <f>VLOOKUP(A868,'تجربه‌گرها'!B:C,2,FALSE())</f>
        <v>9127622270</v>
      </c>
      <c r="C868" s="242"/>
      <c r="D868" s="242">
        <f t="shared" si="1"/>
        <v>3</v>
      </c>
      <c r="E868" s="242">
        <f>COUNTIFS('تجربه‌گرها'!$B:$B,$A868,'تجربه‌گرها'!$F:$F,E$1)</f>
        <v>0</v>
      </c>
      <c r="F868" s="242">
        <f>COUNTIFS('تجربه‌گرها'!$B:$B,$A868,'تجربه‌گرها'!$F:$F,F$1)</f>
        <v>0</v>
      </c>
      <c r="G868" s="242">
        <f>COUNTIFS('تجربه‌گرها'!$B:$B,$A868,'تجربه‌گرها'!$F:$F,G$1)</f>
        <v>0</v>
      </c>
      <c r="H868" s="242">
        <f>COUNTIFS('تجربه‌گرها'!$B:$B,$A868,'تجربه‌گرها'!$F:$F,H$1)</f>
        <v>0</v>
      </c>
      <c r="I868" s="242">
        <f>COUNTIFS('تجربه‌گرها'!$B:$B,$A868,'تجربه‌گرها'!$F:$F,I$1)</f>
        <v>0</v>
      </c>
      <c r="J868" s="242">
        <f>COUNTIFS('تجربه‌گرها'!$B:$B,$A868,'تجربه‌گرها'!$F:$F,J$1)</f>
        <v>0</v>
      </c>
      <c r="K868" s="242">
        <f>COUNTIFS('تجربه‌گرها'!$B:$B,$A868,'تجربه‌گرها'!$F:$F,K$1)</f>
        <v>0</v>
      </c>
      <c r="L868" s="242">
        <f>COUNTIFS('تجربه‌گرها'!$B:$B,$A868,'تجربه‌گرها'!$F:$F,L$1)</f>
        <v>1</v>
      </c>
      <c r="M868" s="242">
        <f>COUNTIFS('تجربه‌گرها'!$B:$B,$A868,'تجربه‌گرها'!$F:$F,M$1)</f>
        <v>1</v>
      </c>
      <c r="N868" s="242">
        <f>COUNTIFS('تجربه‌گرها'!$B:$B,$A868,'تجربه‌گرها'!$F:$F,N$1)</f>
        <v>0</v>
      </c>
      <c r="O868" s="242">
        <f>COUNTIFS('تجربه‌گرها'!$B:$B,$A868,'تجربه‌گرها'!$F:$F,O$1)</f>
        <v>0</v>
      </c>
      <c r="P868" s="242">
        <f>COUNTIFS('تجربه‌گرها'!$B:$B,$A868,'تجربه‌گرها'!$F:$F,P$1)</f>
        <v>0</v>
      </c>
      <c r="Q868" s="242">
        <f>COUNTIFS('تجربه‌گرها'!$B:$B,$A868,'تجربه‌گرها'!$F:$F,Q$1)</f>
        <v>0</v>
      </c>
      <c r="R868" s="242">
        <f>COUNTIFS('تجربه‌گرها'!$B:$B,$A868,'تجربه‌گرها'!$F:$F,R$1)</f>
        <v>1</v>
      </c>
      <c r="S868" s="242">
        <f>COUNTIFS('تجربه‌گرها'!$B:$B,$A868,'تجربه‌گرها'!$F:$F,S$1)</f>
        <v>0</v>
      </c>
      <c r="T868" s="242">
        <f>COUNTIFS('تجربه‌گرها'!$B:$B,$A868,'تجربه‌گرها'!$F:$F,T$1)</f>
        <v>0</v>
      </c>
      <c r="U868" s="242"/>
      <c r="V868" s="242"/>
      <c r="W868" s="242"/>
      <c r="X868" s="242"/>
      <c r="Y868" s="242"/>
      <c r="Z868" s="242"/>
      <c r="AA868" s="242"/>
      <c r="AB868" s="242"/>
    </row>
    <row r="869" hidden="1">
      <c r="A869" s="244" t="s">
        <v>5000</v>
      </c>
      <c r="B869" s="245" t="str">
        <f>VLOOKUP(A869,'تجربه‌گرها'!B:C,2,FALSE())</f>
        <v>9384154314</v>
      </c>
      <c r="C869" s="242"/>
      <c r="D869" s="242">
        <f t="shared" si="1"/>
        <v>3</v>
      </c>
      <c r="E869" s="242">
        <f>COUNTIFS('تجربه‌گرها'!$B:$B,$A869,'تجربه‌گرها'!$F:$F,E$1)</f>
        <v>0</v>
      </c>
      <c r="F869" s="242">
        <f>COUNTIFS('تجربه‌گرها'!$B:$B,$A869,'تجربه‌گرها'!$F:$F,F$1)</f>
        <v>0</v>
      </c>
      <c r="G869" s="242">
        <f>COUNTIFS('تجربه‌گرها'!$B:$B,$A869,'تجربه‌گرها'!$F:$F,G$1)</f>
        <v>0</v>
      </c>
      <c r="H869" s="242">
        <f>COUNTIFS('تجربه‌گرها'!$B:$B,$A869,'تجربه‌گرها'!$F:$F,H$1)</f>
        <v>0</v>
      </c>
      <c r="I869" s="242">
        <f>COUNTIFS('تجربه‌گرها'!$B:$B,$A869,'تجربه‌گرها'!$F:$F,I$1)</f>
        <v>0</v>
      </c>
      <c r="J869" s="242">
        <f>COUNTIFS('تجربه‌گرها'!$B:$B,$A869,'تجربه‌گرها'!$F:$F,J$1)</f>
        <v>0</v>
      </c>
      <c r="K869" s="242">
        <f>COUNTIFS('تجربه‌گرها'!$B:$B,$A869,'تجربه‌گرها'!$F:$F,K$1)</f>
        <v>0</v>
      </c>
      <c r="L869" s="242">
        <f>COUNTIFS('تجربه‌گرها'!$B:$B,$A869,'تجربه‌گرها'!$F:$F,L$1)</f>
        <v>1</v>
      </c>
      <c r="M869" s="242">
        <f>COUNTIFS('تجربه‌گرها'!$B:$B,$A869,'تجربه‌گرها'!$F:$F,M$1)</f>
        <v>1</v>
      </c>
      <c r="N869" s="242">
        <f>COUNTIFS('تجربه‌گرها'!$B:$B,$A869,'تجربه‌گرها'!$F:$F,N$1)</f>
        <v>1</v>
      </c>
      <c r="O869" s="242">
        <f>COUNTIFS('تجربه‌گرها'!$B:$B,$A869,'تجربه‌گرها'!$F:$F,O$1)</f>
        <v>0</v>
      </c>
      <c r="P869" s="242">
        <f>COUNTIFS('تجربه‌گرها'!$B:$B,$A869,'تجربه‌گرها'!$F:$F,P$1)</f>
        <v>0</v>
      </c>
      <c r="Q869" s="242">
        <f>COUNTIFS('تجربه‌گرها'!$B:$B,$A869,'تجربه‌گرها'!$F:$F,Q$1)</f>
        <v>0</v>
      </c>
      <c r="R869" s="242">
        <f>COUNTIFS('تجربه‌گرها'!$B:$B,$A869,'تجربه‌گرها'!$F:$F,R$1)</f>
        <v>0</v>
      </c>
      <c r="S869" s="242">
        <f>COUNTIFS('تجربه‌گرها'!$B:$B,$A869,'تجربه‌گرها'!$F:$F,S$1)</f>
        <v>0</v>
      </c>
      <c r="T869" s="242">
        <f>COUNTIFS('تجربه‌گرها'!$B:$B,$A869,'تجربه‌گرها'!$F:$F,T$1)</f>
        <v>0</v>
      </c>
      <c r="U869" s="242"/>
      <c r="V869" s="242"/>
      <c r="W869" s="242"/>
      <c r="X869" s="242"/>
      <c r="Y869" s="242"/>
      <c r="Z869" s="242"/>
      <c r="AA869" s="242"/>
      <c r="AB869" s="242"/>
    </row>
    <row r="870" hidden="1">
      <c r="A870" s="244" t="s">
        <v>5002</v>
      </c>
      <c r="B870" s="245" t="str">
        <f>VLOOKUP(A870,'تجربه‌گرها'!B:C,2,FALSE())</f>
        <v>9385975936</v>
      </c>
      <c r="C870" s="242"/>
      <c r="D870" s="242">
        <f t="shared" si="1"/>
        <v>1</v>
      </c>
      <c r="E870" s="242">
        <f>COUNTIFS('تجربه‌گرها'!$B:$B,$A870,'تجربه‌گرها'!$F:$F,E$1)</f>
        <v>0</v>
      </c>
      <c r="F870" s="242">
        <f>COUNTIFS('تجربه‌گرها'!$B:$B,$A870,'تجربه‌گرها'!$F:$F,F$1)</f>
        <v>0</v>
      </c>
      <c r="G870" s="242">
        <f>COUNTIFS('تجربه‌گرها'!$B:$B,$A870,'تجربه‌گرها'!$F:$F,G$1)</f>
        <v>0</v>
      </c>
      <c r="H870" s="242">
        <f>COUNTIFS('تجربه‌گرها'!$B:$B,$A870,'تجربه‌گرها'!$F:$F,H$1)</f>
        <v>0</v>
      </c>
      <c r="I870" s="242">
        <f>COUNTIFS('تجربه‌گرها'!$B:$B,$A870,'تجربه‌گرها'!$F:$F,I$1)</f>
        <v>0</v>
      </c>
      <c r="J870" s="242">
        <f>COUNTIFS('تجربه‌گرها'!$B:$B,$A870,'تجربه‌گرها'!$F:$F,J$1)</f>
        <v>0</v>
      </c>
      <c r="K870" s="242">
        <f>COUNTIFS('تجربه‌گرها'!$B:$B,$A870,'تجربه‌گرها'!$F:$F,K$1)</f>
        <v>0</v>
      </c>
      <c r="L870" s="242">
        <f>COUNTIFS('تجربه‌گرها'!$B:$B,$A870,'تجربه‌گرها'!$F:$F,L$1)</f>
        <v>1</v>
      </c>
      <c r="M870" s="242">
        <f>COUNTIFS('تجربه‌گرها'!$B:$B,$A870,'تجربه‌گرها'!$F:$F,M$1)</f>
        <v>0</v>
      </c>
      <c r="N870" s="242">
        <f>COUNTIFS('تجربه‌گرها'!$B:$B,$A870,'تجربه‌گرها'!$F:$F,N$1)</f>
        <v>0</v>
      </c>
      <c r="O870" s="242">
        <f>COUNTIFS('تجربه‌گرها'!$B:$B,$A870,'تجربه‌گرها'!$F:$F,O$1)</f>
        <v>0</v>
      </c>
      <c r="P870" s="242">
        <f>COUNTIFS('تجربه‌گرها'!$B:$B,$A870,'تجربه‌گرها'!$F:$F,P$1)</f>
        <v>0</v>
      </c>
      <c r="Q870" s="242">
        <f>COUNTIFS('تجربه‌گرها'!$B:$B,$A870,'تجربه‌گرها'!$F:$F,Q$1)</f>
        <v>0</v>
      </c>
      <c r="R870" s="242">
        <f>COUNTIFS('تجربه‌گرها'!$B:$B,$A870,'تجربه‌گرها'!$F:$F,R$1)</f>
        <v>0</v>
      </c>
      <c r="S870" s="242">
        <f>COUNTIFS('تجربه‌گرها'!$B:$B,$A870,'تجربه‌گرها'!$F:$F,S$1)</f>
        <v>0</v>
      </c>
      <c r="T870" s="242">
        <f>COUNTIFS('تجربه‌گرها'!$B:$B,$A870,'تجربه‌گرها'!$F:$F,T$1)</f>
        <v>0</v>
      </c>
      <c r="U870" s="242"/>
      <c r="V870" s="242"/>
      <c r="W870" s="242"/>
      <c r="X870" s="242"/>
      <c r="Y870" s="242"/>
      <c r="Z870" s="242"/>
      <c r="AA870" s="242"/>
      <c r="AB870" s="242"/>
    </row>
    <row r="871" hidden="1">
      <c r="A871" s="244" t="s">
        <v>5006</v>
      </c>
      <c r="B871" s="245" t="str">
        <f>VLOOKUP(A871,'تجربه‌گرها'!B:C,2,FALSE())</f>
        <v>9122434557</v>
      </c>
      <c r="C871" s="242"/>
      <c r="D871" s="242">
        <f t="shared" si="1"/>
        <v>1</v>
      </c>
      <c r="E871" s="242">
        <f>COUNTIFS('تجربه‌گرها'!$B:$B,$A871,'تجربه‌گرها'!$F:$F,E$1)</f>
        <v>0</v>
      </c>
      <c r="F871" s="242">
        <f>COUNTIFS('تجربه‌گرها'!$B:$B,$A871,'تجربه‌گرها'!$F:$F,F$1)</f>
        <v>0</v>
      </c>
      <c r="G871" s="242">
        <f>COUNTIFS('تجربه‌گرها'!$B:$B,$A871,'تجربه‌گرها'!$F:$F,G$1)</f>
        <v>0</v>
      </c>
      <c r="H871" s="242">
        <f>COUNTIFS('تجربه‌گرها'!$B:$B,$A871,'تجربه‌گرها'!$F:$F,H$1)</f>
        <v>0</v>
      </c>
      <c r="I871" s="242">
        <f>COUNTIFS('تجربه‌گرها'!$B:$B,$A871,'تجربه‌گرها'!$F:$F,I$1)</f>
        <v>0</v>
      </c>
      <c r="J871" s="242">
        <f>COUNTIFS('تجربه‌گرها'!$B:$B,$A871,'تجربه‌گرها'!$F:$F,J$1)</f>
        <v>0</v>
      </c>
      <c r="K871" s="242">
        <f>COUNTIFS('تجربه‌گرها'!$B:$B,$A871,'تجربه‌گرها'!$F:$F,K$1)</f>
        <v>0</v>
      </c>
      <c r="L871" s="242">
        <f>COUNTIFS('تجربه‌گرها'!$B:$B,$A871,'تجربه‌گرها'!$F:$F,L$1)</f>
        <v>1</v>
      </c>
      <c r="M871" s="242">
        <f>COUNTIFS('تجربه‌گرها'!$B:$B,$A871,'تجربه‌گرها'!$F:$F,M$1)</f>
        <v>0</v>
      </c>
      <c r="N871" s="242">
        <f>COUNTIFS('تجربه‌گرها'!$B:$B,$A871,'تجربه‌گرها'!$F:$F,N$1)</f>
        <v>0</v>
      </c>
      <c r="O871" s="242">
        <f>COUNTIFS('تجربه‌گرها'!$B:$B,$A871,'تجربه‌گرها'!$F:$F,O$1)</f>
        <v>0</v>
      </c>
      <c r="P871" s="242">
        <f>COUNTIFS('تجربه‌گرها'!$B:$B,$A871,'تجربه‌گرها'!$F:$F,P$1)</f>
        <v>0</v>
      </c>
      <c r="Q871" s="242">
        <f>COUNTIFS('تجربه‌گرها'!$B:$B,$A871,'تجربه‌گرها'!$F:$F,Q$1)</f>
        <v>0</v>
      </c>
      <c r="R871" s="242">
        <f>COUNTIFS('تجربه‌گرها'!$B:$B,$A871,'تجربه‌گرها'!$F:$F,R$1)</f>
        <v>0</v>
      </c>
      <c r="S871" s="242">
        <f>COUNTIFS('تجربه‌گرها'!$B:$B,$A871,'تجربه‌گرها'!$F:$F,S$1)</f>
        <v>0</v>
      </c>
      <c r="T871" s="242">
        <f>COUNTIFS('تجربه‌گرها'!$B:$B,$A871,'تجربه‌گرها'!$F:$F,T$1)</f>
        <v>0</v>
      </c>
      <c r="U871" s="242"/>
      <c r="V871" s="242"/>
      <c r="W871" s="242"/>
      <c r="X871" s="242"/>
      <c r="Y871" s="242"/>
      <c r="Z871" s="242"/>
      <c r="AA871" s="242"/>
      <c r="AB871" s="242"/>
    </row>
    <row r="872" hidden="1">
      <c r="A872" s="244" t="s">
        <v>5010</v>
      </c>
      <c r="B872" s="245" t="str">
        <f>VLOOKUP(A872,'تجربه‌گرها'!B:C,2,FALSE())</f>
        <v>9910454820</v>
      </c>
      <c r="C872" s="242"/>
      <c r="D872" s="242">
        <f t="shared" si="1"/>
        <v>1</v>
      </c>
      <c r="E872" s="242">
        <f>COUNTIFS('تجربه‌گرها'!$B:$B,$A872,'تجربه‌گرها'!$F:$F,E$1)</f>
        <v>0</v>
      </c>
      <c r="F872" s="242">
        <f>COUNTIFS('تجربه‌گرها'!$B:$B,$A872,'تجربه‌گرها'!$F:$F,F$1)</f>
        <v>0</v>
      </c>
      <c r="G872" s="242">
        <f>COUNTIFS('تجربه‌گرها'!$B:$B,$A872,'تجربه‌گرها'!$F:$F,G$1)</f>
        <v>0</v>
      </c>
      <c r="H872" s="242">
        <f>COUNTIFS('تجربه‌گرها'!$B:$B,$A872,'تجربه‌گرها'!$F:$F,H$1)</f>
        <v>0</v>
      </c>
      <c r="I872" s="242">
        <f>COUNTIFS('تجربه‌گرها'!$B:$B,$A872,'تجربه‌گرها'!$F:$F,I$1)</f>
        <v>0</v>
      </c>
      <c r="J872" s="242">
        <f>COUNTIFS('تجربه‌گرها'!$B:$B,$A872,'تجربه‌گرها'!$F:$F,J$1)</f>
        <v>0</v>
      </c>
      <c r="K872" s="242">
        <f>COUNTIFS('تجربه‌گرها'!$B:$B,$A872,'تجربه‌گرها'!$F:$F,K$1)</f>
        <v>0</v>
      </c>
      <c r="L872" s="242">
        <f>COUNTIFS('تجربه‌گرها'!$B:$B,$A872,'تجربه‌گرها'!$F:$F,L$1)</f>
        <v>1</v>
      </c>
      <c r="M872" s="242">
        <f>COUNTIFS('تجربه‌گرها'!$B:$B,$A872,'تجربه‌گرها'!$F:$F,M$1)</f>
        <v>0</v>
      </c>
      <c r="N872" s="242">
        <f>COUNTIFS('تجربه‌گرها'!$B:$B,$A872,'تجربه‌گرها'!$F:$F,N$1)</f>
        <v>0</v>
      </c>
      <c r="O872" s="242">
        <f>COUNTIFS('تجربه‌گرها'!$B:$B,$A872,'تجربه‌گرها'!$F:$F,O$1)</f>
        <v>0</v>
      </c>
      <c r="P872" s="242">
        <f>COUNTIFS('تجربه‌گرها'!$B:$B,$A872,'تجربه‌گرها'!$F:$F,P$1)</f>
        <v>0</v>
      </c>
      <c r="Q872" s="242">
        <f>COUNTIFS('تجربه‌گرها'!$B:$B,$A872,'تجربه‌گرها'!$F:$F,Q$1)</f>
        <v>0</v>
      </c>
      <c r="R872" s="242">
        <f>COUNTIFS('تجربه‌گرها'!$B:$B,$A872,'تجربه‌گرها'!$F:$F,R$1)</f>
        <v>0</v>
      </c>
      <c r="S872" s="242">
        <f>COUNTIFS('تجربه‌گرها'!$B:$B,$A872,'تجربه‌گرها'!$F:$F,S$1)</f>
        <v>0</v>
      </c>
      <c r="T872" s="242">
        <f>COUNTIFS('تجربه‌گرها'!$B:$B,$A872,'تجربه‌گرها'!$F:$F,T$1)</f>
        <v>0</v>
      </c>
      <c r="U872" s="242"/>
      <c r="V872" s="242"/>
      <c r="W872" s="242"/>
      <c r="X872" s="242"/>
      <c r="Y872" s="242"/>
      <c r="Z872" s="242"/>
      <c r="AA872" s="242"/>
      <c r="AB872" s="242"/>
    </row>
    <row r="873" hidden="1">
      <c r="A873" s="244" t="s">
        <v>5014</v>
      </c>
      <c r="B873" s="245" t="str">
        <f>VLOOKUP(A873,'تجربه‌گرها'!B:C,2,FALSE())</f>
        <v>9106959620</v>
      </c>
      <c r="C873" s="242"/>
      <c r="D873" s="242">
        <f t="shared" si="1"/>
        <v>1</v>
      </c>
      <c r="E873" s="242">
        <f>COUNTIFS('تجربه‌گرها'!$B:$B,$A873,'تجربه‌گرها'!$F:$F,E$1)</f>
        <v>0</v>
      </c>
      <c r="F873" s="242">
        <f>COUNTIFS('تجربه‌گرها'!$B:$B,$A873,'تجربه‌گرها'!$F:$F,F$1)</f>
        <v>0</v>
      </c>
      <c r="G873" s="242">
        <f>COUNTIFS('تجربه‌گرها'!$B:$B,$A873,'تجربه‌گرها'!$F:$F,G$1)</f>
        <v>0</v>
      </c>
      <c r="H873" s="242">
        <f>COUNTIFS('تجربه‌گرها'!$B:$B,$A873,'تجربه‌گرها'!$F:$F,H$1)</f>
        <v>0</v>
      </c>
      <c r="I873" s="242">
        <f>COUNTIFS('تجربه‌گرها'!$B:$B,$A873,'تجربه‌گرها'!$F:$F,I$1)</f>
        <v>0</v>
      </c>
      <c r="J873" s="242">
        <f>COUNTIFS('تجربه‌گرها'!$B:$B,$A873,'تجربه‌گرها'!$F:$F,J$1)</f>
        <v>0</v>
      </c>
      <c r="K873" s="242">
        <f>COUNTIFS('تجربه‌گرها'!$B:$B,$A873,'تجربه‌گرها'!$F:$F,K$1)</f>
        <v>0</v>
      </c>
      <c r="L873" s="242">
        <f>COUNTIFS('تجربه‌گرها'!$B:$B,$A873,'تجربه‌گرها'!$F:$F,L$1)</f>
        <v>1</v>
      </c>
      <c r="M873" s="242">
        <f>COUNTIFS('تجربه‌گرها'!$B:$B,$A873,'تجربه‌گرها'!$F:$F,M$1)</f>
        <v>0</v>
      </c>
      <c r="N873" s="242">
        <f>COUNTIFS('تجربه‌گرها'!$B:$B,$A873,'تجربه‌گرها'!$F:$F,N$1)</f>
        <v>0</v>
      </c>
      <c r="O873" s="242">
        <f>COUNTIFS('تجربه‌گرها'!$B:$B,$A873,'تجربه‌گرها'!$F:$F,O$1)</f>
        <v>0</v>
      </c>
      <c r="P873" s="242">
        <f>COUNTIFS('تجربه‌گرها'!$B:$B,$A873,'تجربه‌گرها'!$F:$F,P$1)</f>
        <v>0</v>
      </c>
      <c r="Q873" s="242">
        <f>COUNTIFS('تجربه‌گرها'!$B:$B,$A873,'تجربه‌گرها'!$F:$F,Q$1)</f>
        <v>0</v>
      </c>
      <c r="R873" s="242">
        <f>COUNTIFS('تجربه‌گرها'!$B:$B,$A873,'تجربه‌گرها'!$F:$F,R$1)</f>
        <v>0</v>
      </c>
      <c r="S873" s="242">
        <f>COUNTIFS('تجربه‌گرها'!$B:$B,$A873,'تجربه‌گرها'!$F:$F,S$1)</f>
        <v>0</v>
      </c>
      <c r="T873" s="242">
        <f>COUNTIFS('تجربه‌گرها'!$B:$B,$A873,'تجربه‌گرها'!$F:$F,T$1)</f>
        <v>0</v>
      </c>
      <c r="U873" s="242"/>
      <c r="V873" s="242"/>
      <c r="W873" s="242"/>
      <c r="X873" s="242"/>
      <c r="Y873" s="242"/>
      <c r="Z873" s="242"/>
      <c r="AA873" s="242"/>
      <c r="AB873" s="242"/>
    </row>
    <row r="874" hidden="1">
      <c r="A874" s="244" t="s">
        <v>5019</v>
      </c>
      <c r="B874" s="245" t="str">
        <f>VLOOKUP(A874,'تجربه‌گرها'!B:C,2,FALSE())</f>
        <v>9117541190</v>
      </c>
      <c r="C874" s="242"/>
      <c r="D874" s="242">
        <f t="shared" si="1"/>
        <v>2</v>
      </c>
      <c r="E874" s="242">
        <f>COUNTIFS('تجربه‌گرها'!$B:$B,$A874,'تجربه‌گرها'!$F:$F,E$1)</f>
        <v>0</v>
      </c>
      <c r="F874" s="242">
        <f>COUNTIFS('تجربه‌گرها'!$B:$B,$A874,'تجربه‌گرها'!$F:$F,F$1)</f>
        <v>0</v>
      </c>
      <c r="G874" s="242">
        <f>COUNTIFS('تجربه‌گرها'!$B:$B,$A874,'تجربه‌گرها'!$F:$F,G$1)</f>
        <v>0</v>
      </c>
      <c r="H874" s="242">
        <f>COUNTIFS('تجربه‌گرها'!$B:$B,$A874,'تجربه‌گرها'!$F:$F,H$1)</f>
        <v>0</v>
      </c>
      <c r="I874" s="242">
        <f>COUNTIFS('تجربه‌گرها'!$B:$B,$A874,'تجربه‌گرها'!$F:$F,I$1)</f>
        <v>0</v>
      </c>
      <c r="J874" s="242">
        <f>COUNTIFS('تجربه‌گرها'!$B:$B,$A874,'تجربه‌گرها'!$F:$F,J$1)</f>
        <v>0</v>
      </c>
      <c r="K874" s="242">
        <f>COUNTIFS('تجربه‌گرها'!$B:$B,$A874,'تجربه‌گرها'!$F:$F,K$1)</f>
        <v>0</v>
      </c>
      <c r="L874" s="242">
        <f>COUNTIFS('تجربه‌گرها'!$B:$B,$A874,'تجربه‌گرها'!$F:$F,L$1)</f>
        <v>1</v>
      </c>
      <c r="M874" s="242">
        <f>COUNTIFS('تجربه‌گرها'!$B:$B,$A874,'تجربه‌گرها'!$F:$F,M$1)</f>
        <v>1</v>
      </c>
      <c r="N874" s="242">
        <f>COUNTIFS('تجربه‌گرها'!$B:$B,$A874,'تجربه‌گرها'!$F:$F,N$1)</f>
        <v>0</v>
      </c>
      <c r="O874" s="242">
        <f>COUNTIFS('تجربه‌گرها'!$B:$B,$A874,'تجربه‌گرها'!$F:$F,O$1)</f>
        <v>0</v>
      </c>
      <c r="P874" s="242">
        <f>COUNTIFS('تجربه‌گرها'!$B:$B,$A874,'تجربه‌گرها'!$F:$F,P$1)</f>
        <v>0</v>
      </c>
      <c r="Q874" s="242">
        <f>COUNTIFS('تجربه‌گرها'!$B:$B,$A874,'تجربه‌گرها'!$F:$F,Q$1)</f>
        <v>0</v>
      </c>
      <c r="R874" s="242">
        <f>COUNTIFS('تجربه‌گرها'!$B:$B,$A874,'تجربه‌گرها'!$F:$F,R$1)</f>
        <v>0</v>
      </c>
      <c r="S874" s="242">
        <f>COUNTIFS('تجربه‌گرها'!$B:$B,$A874,'تجربه‌گرها'!$F:$F,S$1)</f>
        <v>0</v>
      </c>
      <c r="T874" s="242">
        <f>COUNTIFS('تجربه‌گرها'!$B:$B,$A874,'تجربه‌گرها'!$F:$F,T$1)</f>
        <v>0</v>
      </c>
      <c r="U874" s="242"/>
      <c r="V874" s="242"/>
      <c r="W874" s="242"/>
      <c r="X874" s="242"/>
      <c r="Y874" s="242"/>
      <c r="Z874" s="242"/>
      <c r="AA874" s="242"/>
      <c r="AB874" s="242"/>
    </row>
    <row r="875">
      <c r="A875" s="244" t="s">
        <v>5024</v>
      </c>
      <c r="B875" s="245" t="str">
        <f>VLOOKUP(A875,'تجربه‌گرها'!B:C,2,FALSE())</f>
        <v>9352717944</v>
      </c>
      <c r="C875" s="242"/>
      <c r="D875" s="242">
        <f t="shared" si="1"/>
        <v>1</v>
      </c>
      <c r="E875" s="242">
        <f>COUNTIFS('تجربه‌گرها'!$B:$B,$A875,'تجربه‌گرها'!$F:$F,E$1)</f>
        <v>0</v>
      </c>
      <c r="F875" s="242">
        <f>COUNTIFS('تجربه‌گرها'!$B:$B,$A875,'تجربه‌گرها'!$F:$F,F$1)</f>
        <v>0</v>
      </c>
      <c r="G875" s="242">
        <f>COUNTIFS('تجربه‌گرها'!$B:$B,$A875,'تجربه‌گرها'!$F:$F,G$1)</f>
        <v>0</v>
      </c>
      <c r="H875" s="242">
        <f>COUNTIFS('تجربه‌گرها'!$B:$B,$A875,'تجربه‌گرها'!$F:$F,H$1)</f>
        <v>0</v>
      </c>
      <c r="I875" s="242">
        <f>COUNTIFS('تجربه‌گرها'!$B:$B,$A875,'تجربه‌گرها'!$F:$F,I$1)</f>
        <v>0</v>
      </c>
      <c r="J875" s="242">
        <f>COUNTIFS('تجربه‌گرها'!$B:$B,$A875,'تجربه‌گرها'!$F:$F,J$1)</f>
        <v>0</v>
      </c>
      <c r="K875" s="242">
        <f>COUNTIFS('تجربه‌گرها'!$B:$B,$A875,'تجربه‌گرها'!$F:$F,K$1)</f>
        <v>0</v>
      </c>
      <c r="L875" s="242">
        <f>COUNTIFS('تجربه‌گرها'!$B:$B,$A875,'تجربه‌گرها'!$F:$F,L$1)</f>
        <v>1</v>
      </c>
      <c r="M875" s="242">
        <f>COUNTIFS('تجربه‌گرها'!$B:$B,$A875,'تجربه‌گرها'!$F:$F,M$1)</f>
        <v>0</v>
      </c>
      <c r="N875" s="242">
        <f>COUNTIFS('تجربه‌گرها'!$B:$B,$A875,'تجربه‌گرها'!$F:$F,N$1)</f>
        <v>0</v>
      </c>
      <c r="O875" s="242">
        <f>COUNTIFS('تجربه‌گرها'!$B:$B,$A875,'تجربه‌گرها'!$F:$F,O$1)</f>
        <v>0</v>
      </c>
      <c r="P875" s="242">
        <f>COUNTIFS('تجربه‌گرها'!$B:$B,$A875,'تجربه‌گرها'!$F:$F,P$1)</f>
        <v>0</v>
      </c>
      <c r="Q875" s="242">
        <f>COUNTIFS('تجربه‌گرها'!$B:$B,$A875,'تجربه‌گرها'!$F:$F,Q$1)</f>
        <v>0</v>
      </c>
      <c r="R875" s="242">
        <f>COUNTIFS('تجربه‌گرها'!$B:$B,$A875,'تجربه‌گرها'!$F:$F,R$1)</f>
        <v>0</v>
      </c>
      <c r="S875" s="242">
        <f>COUNTIFS('تجربه‌گرها'!$B:$B,$A875,'تجربه‌گرها'!$F:$F,S$1)</f>
        <v>0</v>
      </c>
      <c r="T875" s="242">
        <f>COUNTIFS('تجربه‌گرها'!$B:$B,$A875,'تجربه‌گرها'!$F:$F,T$1)</f>
        <v>0</v>
      </c>
      <c r="U875" s="242"/>
      <c r="V875" s="242"/>
      <c r="W875" s="242"/>
      <c r="X875" s="242"/>
      <c r="Y875" s="242"/>
      <c r="Z875" s="242"/>
      <c r="AA875" s="242"/>
      <c r="AB875" s="242"/>
    </row>
    <row r="876">
      <c r="A876" s="244" t="s">
        <v>5029</v>
      </c>
      <c r="B876" s="245" t="str">
        <f>VLOOKUP(A876,'تجربه‌گرها'!B:C,2,FALSE())</f>
        <v>9132078396</v>
      </c>
      <c r="C876" s="242"/>
      <c r="D876" s="242">
        <f t="shared" si="1"/>
        <v>1</v>
      </c>
      <c r="E876" s="242">
        <f>COUNTIFS('تجربه‌گرها'!$B:$B,$A876,'تجربه‌گرها'!$F:$F,E$1)</f>
        <v>0</v>
      </c>
      <c r="F876" s="242">
        <f>COUNTIFS('تجربه‌گرها'!$B:$B,$A876,'تجربه‌گرها'!$F:$F,F$1)</f>
        <v>0</v>
      </c>
      <c r="G876" s="242">
        <f>COUNTIFS('تجربه‌گرها'!$B:$B,$A876,'تجربه‌گرها'!$F:$F,G$1)</f>
        <v>0</v>
      </c>
      <c r="H876" s="242">
        <f>COUNTIFS('تجربه‌گرها'!$B:$B,$A876,'تجربه‌گرها'!$F:$F,H$1)</f>
        <v>0</v>
      </c>
      <c r="I876" s="242">
        <f>COUNTIFS('تجربه‌گرها'!$B:$B,$A876,'تجربه‌گرها'!$F:$F,I$1)</f>
        <v>0</v>
      </c>
      <c r="J876" s="242">
        <f>COUNTIFS('تجربه‌گرها'!$B:$B,$A876,'تجربه‌گرها'!$F:$F,J$1)</f>
        <v>0</v>
      </c>
      <c r="K876" s="242">
        <f>COUNTIFS('تجربه‌گرها'!$B:$B,$A876,'تجربه‌گرها'!$F:$F,K$1)</f>
        <v>0</v>
      </c>
      <c r="L876" s="242">
        <f>COUNTIFS('تجربه‌گرها'!$B:$B,$A876,'تجربه‌گرها'!$F:$F,L$1)</f>
        <v>1</v>
      </c>
      <c r="M876" s="242">
        <f>COUNTIFS('تجربه‌گرها'!$B:$B,$A876,'تجربه‌گرها'!$F:$F,M$1)</f>
        <v>0</v>
      </c>
      <c r="N876" s="242">
        <f>COUNTIFS('تجربه‌گرها'!$B:$B,$A876,'تجربه‌گرها'!$F:$F,N$1)</f>
        <v>0</v>
      </c>
      <c r="O876" s="242">
        <f>COUNTIFS('تجربه‌گرها'!$B:$B,$A876,'تجربه‌گرها'!$F:$F,O$1)</f>
        <v>0</v>
      </c>
      <c r="P876" s="242">
        <f>COUNTIFS('تجربه‌گرها'!$B:$B,$A876,'تجربه‌گرها'!$F:$F,P$1)</f>
        <v>0</v>
      </c>
      <c r="Q876" s="242">
        <f>COUNTIFS('تجربه‌گرها'!$B:$B,$A876,'تجربه‌گرها'!$F:$F,Q$1)</f>
        <v>0</v>
      </c>
      <c r="R876" s="242">
        <f>COUNTIFS('تجربه‌گرها'!$B:$B,$A876,'تجربه‌گرها'!$F:$F,R$1)</f>
        <v>0</v>
      </c>
      <c r="S876" s="242">
        <f>COUNTIFS('تجربه‌گرها'!$B:$B,$A876,'تجربه‌گرها'!$F:$F,S$1)</f>
        <v>0</v>
      </c>
      <c r="T876" s="242">
        <f>COUNTIFS('تجربه‌گرها'!$B:$B,$A876,'تجربه‌گرها'!$F:$F,T$1)</f>
        <v>0</v>
      </c>
      <c r="U876" s="242"/>
      <c r="V876" s="242"/>
      <c r="W876" s="242"/>
      <c r="X876" s="242"/>
      <c r="Y876" s="242"/>
      <c r="Z876" s="242"/>
      <c r="AA876" s="242"/>
      <c r="AB876" s="242"/>
    </row>
    <row r="877" hidden="1">
      <c r="A877" s="244" t="s">
        <v>5034</v>
      </c>
      <c r="B877" s="245">
        <f>VLOOKUP(A877,'تجربه‌گرها'!B:C,2,FALSE())</f>
        <v>905525016966</v>
      </c>
      <c r="C877" s="242"/>
      <c r="D877" s="242">
        <f t="shared" si="1"/>
        <v>1</v>
      </c>
      <c r="E877" s="242">
        <f>COUNTIFS('تجربه‌گرها'!$B:$B,$A877,'تجربه‌گرها'!$F:$F,E$1)</f>
        <v>0</v>
      </c>
      <c r="F877" s="242">
        <f>COUNTIFS('تجربه‌گرها'!$B:$B,$A877,'تجربه‌گرها'!$F:$F,F$1)</f>
        <v>0</v>
      </c>
      <c r="G877" s="242">
        <f>COUNTIFS('تجربه‌گرها'!$B:$B,$A877,'تجربه‌گرها'!$F:$F,G$1)</f>
        <v>0</v>
      </c>
      <c r="H877" s="242">
        <f>COUNTIFS('تجربه‌گرها'!$B:$B,$A877,'تجربه‌گرها'!$F:$F,H$1)</f>
        <v>0</v>
      </c>
      <c r="I877" s="242">
        <f>COUNTIFS('تجربه‌گرها'!$B:$B,$A877,'تجربه‌گرها'!$F:$F,I$1)</f>
        <v>0</v>
      </c>
      <c r="J877" s="242">
        <f>COUNTIFS('تجربه‌گرها'!$B:$B,$A877,'تجربه‌گرها'!$F:$F,J$1)</f>
        <v>0</v>
      </c>
      <c r="K877" s="242">
        <f>COUNTIFS('تجربه‌گرها'!$B:$B,$A877,'تجربه‌گرها'!$F:$F,K$1)</f>
        <v>0</v>
      </c>
      <c r="L877" s="242">
        <f>COUNTIFS('تجربه‌گرها'!$B:$B,$A877,'تجربه‌گرها'!$F:$F,L$1)</f>
        <v>1</v>
      </c>
      <c r="M877" s="242">
        <f>COUNTIFS('تجربه‌گرها'!$B:$B,$A877,'تجربه‌گرها'!$F:$F,M$1)</f>
        <v>0</v>
      </c>
      <c r="N877" s="242">
        <f>COUNTIFS('تجربه‌گرها'!$B:$B,$A877,'تجربه‌گرها'!$F:$F,N$1)</f>
        <v>0</v>
      </c>
      <c r="O877" s="242">
        <f>COUNTIFS('تجربه‌گرها'!$B:$B,$A877,'تجربه‌گرها'!$F:$F,O$1)</f>
        <v>0</v>
      </c>
      <c r="P877" s="242">
        <f>COUNTIFS('تجربه‌گرها'!$B:$B,$A877,'تجربه‌گرها'!$F:$F,P$1)</f>
        <v>0</v>
      </c>
      <c r="Q877" s="242">
        <f>COUNTIFS('تجربه‌گرها'!$B:$B,$A877,'تجربه‌گرها'!$F:$F,Q$1)</f>
        <v>0</v>
      </c>
      <c r="R877" s="242">
        <f>COUNTIFS('تجربه‌گرها'!$B:$B,$A877,'تجربه‌گرها'!$F:$F,R$1)</f>
        <v>0</v>
      </c>
      <c r="S877" s="242">
        <f>COUNTIFS('تجربه‌گرها'!$B:$B,$A877,'تجربه‌گرها'!$F:$F,S$1)</f>
        <v>0</v>
      </c>
      <c r="T877" s="242">
        <f>COUNTIFS('تجربه‌گرها'!$B:$B,$A877,'تجربه‌گرها'!$F:$F,T$1)</f>
        <v>0</v>
      </c>
      <c r="U877" s="242"/>
      <c r="V877" s="242"/>
      <c r="W877" s="242"/>
      <c r="X877" s="242"/>
      <c r="Y877" s="242"/>
      <c r="Z877" s="242"/>
      <c r="AA877" s="242"/>
      <c r="AB877" s="242"/>
    </row>
    <row r="878" hidden="1">
      <c r="A878" s="244" t="s">
        <v>5036</v>
      </c>
      <c r="B878" s="245" t="str">
        <f>VLOOKUP(A878,'تجربه‌گرها'!B:C,2,FALSE())</f>
        <v>9371762407</v>
      </c>
      <c r="C878" s="242"/>
      <c r="D878" s="242">
        <f t="shared" si="1"/>
        <v>2</v>
      </c>
      <c r="E878" s="242">
        <f>COUNTIFS('تجربه‌گرها'!$B:$B,$A878,'تجربه‌گرها'!$F:$F,E$1)</f>
        <v>0</v>
      </c>
      <c r="F878" s="242">
        <f>COUNTIFS('تجربه‌گرها'!$B:$B,$A878,'تجربه‌گرها'!$F:$F,F$1)</f>
        <v>0</v>
      </c>
      <c r="G878" s="242">
        <f>COUNTIFS('تجربه‌گرها'!$B:$B,$A878,'تجربه‌گرها'!$F:$F,G$1)</f>
        <v>0</v>
      </c>
      <c r="H878" s="242">
        <f>COUNTIFS('تجربه‌گرها'!$B:$B,$A878,'تجربه‌گرها'!$F:$F,H$1)</f>
        <v>0</v>
      </c>
      <c r="I878" s="242">
        <f>COUNTIFS('تجربه‌گرها'!$B:$B,$A878,'تجربه‌گرها'!$F:$F,I$1)</f>
        <v>0</v>
      </c>
      <c r="J878" s="242">
        <f>COUNTIFS('تجربه‌گرها'!$B:$B,$A878,'تجربه‌گرها'!$F:$F,J$1)</f>
        <v>0</v>
      </c>
      <c r="K878" s="242">
        <f>COUNTIFS('تجربه‌گرها'!$B:$B,$A878,'تجربه‌گرها'!$F:$F,K$1)</f>
        <v>0</v>
      </c>
      <c r="L878" s="242">
        <f>COUNTIFS('تجربه‌گرها'!$B:$B,$A878,'تجربه‌گرها'!$F:$F,L$1)</f>
        <v>1</v>
      </c>
      <c r="M878" s="242">
        <f>COUNTIFS('تجربه‌گرها'!$B:$B,$A878,'تجربه‌گرها'!$F:$F,M$1)</f>
        <v>0</v>
      </c>
      <c r="N878" s="242">
        <f>COUNTIFS('تجربه‌گرها'!$B:$B,$A878,'تجربه‌گرها'!$F:$F,N$1)</f>
        <v>1</v>
      </c>
      <c r="O878" s="242">
        <f>COUNTIFS('تجربه‌گرها'!$B:$B,$A878,'تجربه‌گرها'!$F:$F,O$1)</f>
        <v>0</v>
      </c>
      <c r="P878" s="242">
        <f>COUNTIFS('تجربه‌گرها'!$B:$B,$A878,'تجربه‌گرها'!$F:$F,P$1)</f>
        <v>0</v>
      </c>
      <c r="Q878" s="242">
        <f>COUNTIFS('تجربه‌گرها'!$B:$B,$A878,'تجربه‌گرها'!$F:$F,Q$1)</f>
        <v>0</v>
      </c>
      <c r="R878" s="242">
        <f>COUNTIFS('تجربه‌گرها'!$B:$B,$A878,'تجربه‌گرها'!$F:$F,R$1)</f>
        <v>0</v>
      </c>
      <c r="S878" s="242">
        <f>COUNTIFS('تجربه‌گرها'!$B:$B,$A878,'تجربه‌گرها'!$F:$F,S$1)</f>
        <v>0</v>
      </c>
      <c r="T878" s="242">
        <f>COUNTIFS('تجربه‌گرها'!$B:$B,$A878,'تجربه‌گرها'!$F:$F,T$1)</f>
        <v>0</v>
      </c>
      <c r="U878" s="242"/>
      <c r="V878" s="242"/>
      <c r="W878" s="242"/>
      <c r="X878" s="242"/>
      <c r="Y878" s="242"/>
      <c r="Z878" s="242"/>
      <c r="AA878" s="242"/>
      <c r="AB878" s="242"/>
    </row>
    <row r="879" hidden="1">
      <c r="A879" s="244" t="s">
        <v>5039</v>
      </c>
      <c r="B879" s="245" t="str">
        <f>VLOOKUP(A879,'تجربه‌گرها'!B:C,2,FALSE())</f>
        <v>9365472750</v>
      </c>
      <c r="C879" s="242"/>
      <c r="D879" s="242">
        <f t="shared" si="1"/>
        <v>2</v>
      </c>
      <c r="E879" s="242">
        <f>COUNTIFS('تجربه‌گرها'!$B:$B,$A879,'تجربه‌گرها'!$F:$F,E$1)</f>
        <v>0</v>
      </c>
      <c r="F879" s="242">
        <f>COUNTIFS('تجربه‌گرها'!$B:$B,$A879,'تجربه‌گرها'!$F:$F,F$1)</f>
        <v>0</v>
      </c>
      <c r="G879" s="242">
        <f>COUNTIFS('تجربه‌گرها'!$B:$B,$A879,'تجربه‌گرها'!$F:$F,G$1)</f>
        <v>0</v>
      </c>
      <c r="H879" s="242">
        <f>COUNTIFS('تجربه‌گرها'!$B:$B,$A879,'تجربه‌گرها'!$F:$F,H$1)</f>
        <v>0</v>
      </c>
      <c r="I879" s="242">
        <f>COUNTIFS('تجربه‌گرها'!$B:$B,$A879,'تجربه‌گرها'!$F:$F,I$1)</f>
        <v>0</v>
      </c>
      <c r="J879" s="242">
        <f>COUNTIFS('تجربه‌گرها'!$B:$B,$A879,'تجربه‌گرها'!$F:$F,J$1)</f>
        <v>0</v>
      </c>
      <c r="K879" s="242">
        <f>COUNTIFS('تجربه‌گرها'!$B:$B,$A879,'تجربه‌گرها'!$F:$F,K$1)</f>
        <v>0</v>
      </c>
      <c r="L879" s="242">
        <f>COUNTIFS('تجربه‌گرها'!$B:$B,$A879,'تجربه‌گرها'!$F:$F,L$1)</f>
        <v>1</v>
      </c>
      <c r="M879" s="242">
        <f>COUNTIFS('تجربه‌گرها'!$B:$B,$A879,'تجربه‌گرها'!$F:$F,M$1)</f>
        <v>0</v>
      </c>
      <c r="N879" s="242">
        <f>COUNTIFS('تجربه‌گرها'!$B:$B,$A879,'تجربه‌گرها'!$F:$F,N$1)</f>
        <v>1</v>
      </c>
      <c r="O879" s="242">
        <f>COUNTIFS('تجربه‌گرها'!$B:$B,$A879,'تجربه‌گرها'!$F:$F,O$1)</f>
        <v>0</v>
      </c>
      <c r="P879" s="242">
        <f>COUNTIFS('تجربه‌گرها'!$B:$B,$A879,'تجربه‌گرها'!$F:$F,P$1)</f>
        <v>0</v>
      </c>
      <c r="Q879" s="242">
        <f>COUNTIFS('تجربه‌گرها'!$B:$B,$A879,'تجربه‌گرها'!$F:$F,Q$1)</f>
        <v>0</v>
      </c>
      <c r="R879" s="242">
        <f>COUNTIFS('تجربه‌گرها'!$B:$B,$A879,'تجربه‌گرها'!$F:$F,R$1)</f>
        <v>0</v>
      </c>
      <c r="S879" s="242">
        <f>COUNTIFS('تجربه‌گرها'!$B:$B,$A879,'تجربه‌گرها'!$F:$F,S$1)</f>
        <v>0</v>
      </c>
      <c r="T879" s="242">
        <f>COUNTIFS('تجربه‌گرها'!$B:$B,$A879,'تجربه‌گرها'!$F:$F,T$1)</f>
        <v>0</v>
      </c>
      <c r="U879" s="242"/>
      <c r="V879" s="242"/>
      <c r="W879" s="242"/>
      <c r="X879" s="242"/>
      <c r="Y879" s="242"/>
      <c r="Z879" s="242"/>
      <c r="AA879" s="242"/>
      <c r="AB879" s="242"/>
    </row>
    <row r="880" hidden="1">
      <c r="A880" s="244" t="s">
        <v>5043</v>
      </c>
      <c r="B880" s="245" t="str">
        <f>VLOOKUP(A880,'تجربه‌گرها'!B:C,2,FALSE())</f>
        <v>9127224421</v>
      </c>
      <c r="C880" s="242"/>
      <c r="D880" s="242">
        <f t="shared" si="1"/>
        <v>1</v>
      </c>
      <c r="E880" s="242">
        <f>COUNTIFS('تجربه‌گرها'!$B:$B,$A880,'تجربه‌گرها'!$F:$F,E$1)</f>
        <v>0</v>
      </c>
      <c r="F880" s="242">
        <f>COUNTIFS('تجربه‌گرها'!$B:$B,$A880,'تجربه‌گرها'!$F:$F,F$1)</f>
        <v>0</v>
      </c>
      <c r="G880" s="242">
        <f>COUNTIFS('تجربه‌گرها'!$B:$B,$A880,'تجربه‌گرها'!$F:$F,G$1)</f>
        <v>0</v>
      </c>
      <c r="H880" s="242">
        <f>COUNTIFS('تجربه‌گرها'!$B:$B,$A880,'تجربه‌گرها'!$F:$F,H$1)</f>
        <v>0</v>
      </c>
      <c r="I880" s="242">
        <f>COUNTIFS('تجربه‌گرها'!$B:$B,$A880,'تجربه‌گرها'!$F:$F,I$1)</f>
        <v>0</v>
      </c>
      <c r="J880" s="242">
        <f>COUNTIFS('تجربه‌گرها'!$B:$B,$A880,'تجربه‌گرها'!$F:$F,J$1)</f>
        <v>0</v>
      </c>
      <c r="K880" s="242">
        <f>COUNTIFS('تجربه‌گرها'!$B:$B,$A880,'تجربه‌گرها'!$F:$F,K$1)</f>
        <v>0</v>
      </c>
      <c r="L880" s="242">
        <f>COUNTIFS('تجربه‌گرها'!$B:$B,$A880,'تجربه‌گرها'!$F:$F,L$1)</f>
        <v>1</v>
      </c>
      <c r="M880" s="242">
        <f>COUNTIFS('تجربه‌گرها'!$B:$B,$A880,'تجربه‌گرها'!$F:$F,M$1)</f>
        <v>0</v>
      </c>
      <c r="N880" s="242">
        <f>COUNTIFS('تجربه‌گرها'!$B:$B,$A880,'تجربه‌گرها'!$F:$F,N$1)</f>
        <v>0</v>
      </c>
      <c r="O880" s="242">
        <f>COUNTIFS('تجربه‌گرها'!$B:$B,$A880,'تجربه‌گرها'!$F:$F,O$1)</f>
        <v>0</v>
      </c>
      <c r="P880" s="242">
        <f>COUNTIFS('تجربه‌گرها'!$B:$B,$A880,'تجربه‌گرها'!$F:$F,P$1)</f>
        <v>0</v>
      </c>
      <c r="Q880" s="242">
        <f>COUNTIFS('تجربه‌گرها'!$B:$B,$A880,'تجربه‌گرها'!$F:$F,Q$1)</f>
        <v>0</v>
      </c>
      <c r="R880" s="242">
        <f>COUNTIFS('تجربه‌گرها'!$B:$B,$A880,'تجربه‌گرها'!$F:$F,R$1)</f>
        <v>0</v>
      </c>
      <c r="S880" s="242">
        <f>COUNTIFS('تجربه‌گرها'!$B:$B,$A880,'تجربه‌گرها'!$F:$F,S$1)</f>
        <v>0</v>
      </c>
      <c r="T880" s="242">
        <f>COUNTIFS('تجربه‌گرها'!$B:$B,$A880,'تجربه‌گرها'!$F:$F,T$1)</f>
        <v>0</v>
      </c>
      <c r="U880" s="242"/>
      <c r="V880" s="242"/>
      <c r="W880" s="242"/>
      <c r="X880" s="242"/>
      <c r="Y880" s="242"/>
      <c r="Z880" s="242"/>
      <c r="AA880" s="242"/>
      <c r="AB880" s="242"/>
    </row>
    <row r="881">
      <c r="A881" s="244" t="s">
        <v>5045</v>
      </c>
      <c r="B881" s="245" t="str">
        <f>VLOOKUP(A881,'تجربه‌گرها'!B:C,2,FALSE())</f>
        <v>9901963408</v>
      </c>
      <c r="C881" s="242"/>
      <c r="D881" s="242">
        <f t="shared" si="1"/>
        <v>2</v>
      </c>
      <c r="E881" s="242">
        <f>COUNTIFS('تجربه‌گرها'!$B:$B,$A881,'تجربه‌گرها'!$F:$F,E$1)</f>
        <v>0</v>
      </c>
      <c r="F881" s="242">
        <f>COUNTIFS('تجربه‌گرها'!$B:$B,$A881,'تجربه‌گرها'!$F:$F,F$1)</f>
        <v>0</v>
      </c>
      <c r="G881" s="242">
        <f>COUNTIFS('تجربه‌گرها'!$B:$B,$A881,'تجربه‌گرها'!$F:$F,G$1)</f>
        <v>0</v>
      </c>
      <c r="H881" s="242">
        <f>COUNTIFS('تجربه‌گرها'!$B:$B,$A881,'تجربه‌گرها'!$F:$F,H$1)</f>
        <v>0</v>
      </c>
      <c r="I881" s="242">
        <f>COUNTIFS('تجربه‌گرها'!$B:$B,$A881,'تجربه‌گرها'!$F:$F,I$1)</f>
        <v>0</v>
      </c>
      <c r="J881" s="242">
        <f>COUNTIFS('تجربه‌گرها'!$B:$B,$A881,'تجربه‌گرها'!$F:$F,J$1)</f>
        <v>0</v>
      </c>
      <c r="K881" s="242">
        <f>COUNTIFS('تجربه‌گرها'!$B:$B,$A881,'تجربه‌گرها'!$F:$F,K$1)</f>
        <v>0</v>
      </c>
      <c r="L881" s="242">
        <f>COUNTIFS('تجربه‌گرها'!$B:$B,$A881,'تجربه‌گرها'!$F:$F,L$1)</f>
        <v>1</v>
      </c>
      <c r="M881" s="242">
        <f>COUNTIFS('تجربه‌گرها'!$B:$B,$A881,'تجربه‌گرها'!$F:$F,M$1)</f>
        <v>0</v>
      </c>
      <c r="N881" s="242">
        <f>COUNTIFS('تجربه‌گرها'!$B:$B,$A881,'تجربه‌گرها'!$F:$F,N$1)</f>
        <v>1</v>
      </c>
      <c r="O881" s="242">
        <f>COUNTIFS('تجربه‌گرها'!$B:$B,$A881,'تجربه‌گرها'!$F:$F,O$1)</f>
        <v>0</v>
      </c>
      <c r="P881" s="242">
        <f>COUNTIFS('تجربه‌گرها'!$B:$B,$A881,'تجربه‌گرها'!$F:$F,P$1)</f>
        <v>0</v>
      </c>
      <c r="Q881" s="242">
        <f>COUNTIFS('تجربه‌گرها'!$B:$B,$A881,'تجربه‌گرها'!$F:$F,Q$1)</f>
        <v>0</v>
      </c>
      <c r="R881" s="242">
        <f>COUNTIFS('تجربه‌گرها'!$B:$B,$A881,'تجربه‌گرها'!$F:$F,R$1)</f>
        <v>0</v>
      </c>
      <c r="S881" s="242">
        <f>COUNTIFS('تجربه‌گرها'!$B:$B,$A881,'تجربه‌گرها'!$F:$F,S$1)</f>
        <v>0</v>
      </c>
      <c r="T881" s="242">
        <f>COUNTIFS('تجربه‌گرها'!$B:$B,$A881,'تجربه‌گرها'!$F:$F,T$1)</f>
        <v>0</v>
      </c>
      <c r="U881" s="242"/>
      <c r="V881" s="242"/>
      <c r="W881" s="242"/>
      <c r="X881" s="242"/>
      <c r="Y881" s="242"/>
      <c r="Z881" s="242"/>
      <c r="AA881" s="242"/>
      <c r="AB881" s="242"/>
    </row>
    <row r="882" hidden="1">
      <c r="A882" s="244" t="s">
        <v>5048</v>
      </c>
      <c r="B882" s="245" t="str">
        <f>VLOOKUP(A882,'تجربه‌گرها'!B:C,2,FALSE())</f>
        <v>9132148482</v>
      </c>
      <c r="C882" s="242"/>
      <c r="D882" s="242">
        <f t="shared" si="1"/>
        <v>3</v>
      </c>
      <c r="E882" s="242">
        <f>COUNTIFS('تجربه‌گرها'!$B:$B,$A882,'تجربه‌گرها'!$F:$F,E$1)</f>
        <v>0</v>
      </c>
      <c r="F882" s="242">
        <f>COUNTIFS('تجربه‌گرها'!$B:$B,$A882,'تجربه‌گرها'!$F:$F,F$1)</f>
        <v>0</v>
      </c>
      <c r="G882" s="242">
        <f>COUNTIFS('تجربه‌گرها'!$B:$B,$A882,'تجربه‌گرها'!$F:$F,G$1)</f>
        <v>0</v>
      </c>
      <c r="H882" s="242">
        <f>COUNTIFS('تجربه‌گرها'!$B:$B,$A882,'تجربه‌گرها'!$F:$F,H$1)</f>
        <v>0</v>
      </c>
      <c r="I882" s="242">
        <f>COUNTIFS('تجربه‌گرها'!$B:$B,$A882,'تجربه‌گرها'!$F:$F,I$1)</f>
        <v>0</v>
      </c>
      <c r="J882" s="242">
        <f>COUNTIFS('تجربه‌گرها'!$B:$B,$A882,'تجربه‌گرها'!$F:$F,J$1)</f>
        <v>0</v>
      </c>
      <c r="K882" s="242">
        <f>COUNTIFS('تجربه‌گرها'!$B:$B,$A882,'تجربه‌گرها'!$F:$F,K$1)</f>
        <v>0</v>
      </c>
      <c r="L882" s="242">
        <f>COUNTIFS('تجربه‌گرها'!$B:$B,$A882,'تجربه‌گرها'!$F:$F,L$1)</f>
        <v>1</v>
      </c>
      <c r="M882" s="242">
        <f>COUNTIFS('تجربه‌گرها'!$B:$B,$A882,'تجربه‌گرها'!$F:$F,M$1)</f>
        <v>1</v>
      </c>
      <c r="N882" s="242">
        <f>COUNTIFS('تجربه‌گرها'!$B:$B,$A882,'تجربه‌گرها'!$F:$F,N$1)</f>
        <v>1</v>
      </c>
      <c r="O882" s="242">
        <f>COUNTIFS('تجربه‌گرها'!$B:$B,$A882,'تجربه‌گرها'!$F:$F,O$1)</f>
        <v>0</v>
      </c>
      <c r="P882" s="242">
        <f>COUNTIFS('تجربه‌گرها'!$B:$B,$A882,'تجربه‌گرها'!$F:$F,P$1)</f>
        <v>0</v>
      </c>
      <c r="Q882" s="242">
        <f>COUNTIFS('تجربه‌گرها'!$B:$B,$A882,'تجربه‌گرها'!$F:$F,Q$1)</f>
        <v>0</v>
      </c>
      <c r="R882" s="242">
        <f>COUNTIFS('تجربه‌گرها'!$B:$B,$A882,'تجربه‌گرها'!$F:$F,R$1)</f>
        <v>0</v>
      </c>
      <c r="S882" s="242">
        <f>COUNTIFS('تجربه‌گرها'!$B:$B,$A882,'تجربه‌گرها'!$F:$F,S$1)</f>
        <v>0</v>
      </c>
      <c r="T882" s="242">
        <f>COUNTIFS('تجربه‌گرها'!$B:$B,$A882,'تجربه‌گرها'!$F:$F,T$1)</f>
        <v>0</v>
      </c>
      <c r="U882" s="242"/>
      <c r="V882" s="242"/>
      <c r="W882" s="242"/>
      <c r="X882" s="242"/>
      <c r="Y882" s="242"/>
      <c r="Z882" s="242"/>
      <c r="AA882" s="242"/>
      <c r="AB882" s="242"/>
    </row>
    <row r="883" hidden="1">
      <c r="A883" s="244" t="s">
        <v>5050</v>
      </c>
      <c r="B883" s="245" t="str">
        <f>VLOOKUP(A883,'تجربه‌گرها'!B:C,2,FALSE())</f>
        <v>9121549767</v>
      </c>
      <c r="C883" s="242"/>
      <c r="D883" s="242">
        <f t="shared" si="1"/>
        <v>2</v>
      </c>
      <c r="E883" s="242">
        <f>COUNTIFS('تجربه‌گرها'!$B:$B,$A883,'تجربه‌گرها'!$F:$F,E$1)</f>
        <v>0</v>
      </c>
      <c r="F883" s="242">
        <f>COUNTIFS('تجربه‌گرها'!$B:$B,$A883,'تجربه‌گرها'!$F:$F,F$1)</f>
        <v>0</v>
      </c>
      <c r="G883" s="242">
        <f>COUNTIFS('تجربه‌گرها'!$B:$B,$A883,'تجربه‌گرها'!$F:$F,G$1)</f>
        <v>0</v>
      </c>
      <c r="H883" s="242">
        <f>COUNTIFS('تجربه‌گرها'!$B:$B,$A883,'تجربه‌گرها'!$F:$F,H$1)</f>
        <v>0</v>
      </c>
      <c r="I883" s="242">
        <f>COUNTIFS('تجربه‌گرها'!$B:$B,$A883,'تجربه‌گرها'!$F:$F,I$1)</f>
        <v>0</v>
      </c>
      <c r="J883" s="242">
        <f>COUNTIFS('تجربه‌گرها'!$B:$B,$A883,'تجربه‌گرها'!$F:$F,J$1)</f>
        <v>0</v>
      </c>
      <c r="K883" s="242">
        <f>COUNTIFS('تجربه‌گرها'!$B:$B,$A883,'تجربه‌گرها'!$F:$F,K$1)</f>
        <v>0</v>
      </c>
      <c r="L883" s="242">
        <f>COUNTIFS('تجربه‌گرها'!$B:$B,$A883,'تجربه‌گرها'!$F:$F,L$1)</f>
        <v>1</v>
      </c>
      <c r="M883" s="242">
        <f>COUNTIFS('تجربه‌گرها'!$B:$B,$A883,'تجربه‌گرها'!$F:$F,M$1)</f>
        <v>0</v>
      </c>
      <c r="N883" s="242">
        <f>COUNTIFS('تجربه‌گرها'!$B:$B,$A883,'تجربه‌گرها'!$F:$F,N$1)</f>
        <v>1</v>
      </c>
      <c r="O883" s="242">
        <f>COUNTIFS('تجربه‌گرها'!$B:$B,$A883,'تجربه‌گرها'!$F:$F,O$1)</f>
        <v>0</v>
      </c>
      <c r="P883" s="242">
        <f>COUNTIFS('تجربه‌گرها'!$B:$B,$A883,'تجربه‌گرها'!$F:$F,P$1)</f>
        <v>0</v>
      </c>
      <c r="Q883" s="242">
        <f>COUNTIFS('تجربه‌گرها'!$B:$B,$A883,'تجربه‌گرها'!$F:$F,Q$1)</f>
        <v>0</v>
      </c>
      <c r="R883" s="242">
        <f>COUNTIFS('تجربه‌گرها'!$B:$B,$A883,'تجربه‌گرها'!$F:$F,R$1)</f>
        <v>0</v>
      </c>
      <c r="S883" s="242">
        <f>COUNTIFS('تجربه‌گرها'!$B:$B,$A883,'تجربه‌گرها'!$F:$F,S$1)</f>
        <v>0</v>
      </c>
      <c r="T883" s="242">
        <f>COUNTIFS('تجربه‌گرها'!$B:$B,$A883,'تجربه‌گرها'!$F:$F,T$1)</f>
        <v>0</v>
      </c>
      <c r="U883" s="242"/>
      <c r="V883" s="242"/>
      <c r="W883" s="242"/>
      <c r="X883" s="242"/>
      <c r="Y883" s="242"/>
      <c r="Z883" s="242"/>
      <c r="AA883" s="242"/>
      <c r="AB883" s="242"/>
    </row>
    <row r="884" hidden="1">
      <c r="A884" s="244" t="s">
        <v>5054</v>
      </c>
      <c r="B884" s="245" t="str">
        <f>VLOOKUP(A884,'تجربه‌گرها'!B:C,2,FALSE())</f>
        <v>9905528561</v>
      </c>
      <c r="C884" s="242"/>
      <c r="D884" s="242">
        <f t="shared" si="1"/>
        <v>1</v>
      </c>
      <c r="E884" s="242">
        <f>COUNTIFS('تجربه‌گرها'!$B:$B,$A884,'تجربه‌گرها'!$F:$F,E$1)</f>
        <v>0</v>
      </c>
      <c r="F884" s="242">
        <f>COUNTIFS('تجربه‌گرها'!$B:$B,$A884,'تجربه‌گرها'!$F:$F,F$1)</f>
        <v>0</v>
      </c>
      <c r="G884" s="242">
        <f>COUNTIFS('تجربه‌گرها'!$B:$B,$A884,'تجربه‌گرها'!$F:$F,G$1)</f>
        <v>0</v>
      </c>
      <c r="H884" s="242">
        <f>COUNTIFS('تجربه‌گرها'!$B:$B,$A884,'تجربه‌گرها'!$F:$F,H$1)</f>
        <v>0</v>
      </c>
      <c r="I884" s="242">
        <f>COUNTIFS('تجربه‌گرها'!$B:$B,$A884,'تجربه‌گرها'!$F:$F,I$1)</f>
        <v>0</v>
      </c>
      <c r="J884" s="242">
        <f>COUNTIFS('تجربه‌گرها'!$B:$B,$A884,'تجربه‌گرها'!$F:$F,J$1)</f>
        <v>0</v>
      </c>
      <c r="K884" s="242">
        <f>COUNTIFS('تجربه‌گرها'!$B:$B,$A884,'تجربه‌گرها'!$F:$F,K$1)</f>
        <v>0</v>
      </c>
      <c r="L884" s="242">
        <f>COUNTIFS('تجربه‌گرها'!$B:$B,$A884,'تجربه‌گرها'!$F:$F,L$1)</f>
        <v>1</v>
      </c>
      <c r="M884" s="242">
        <f>COUNTIFS('تجربه‌گرها'!$B:$B,$A884,'تجربه‌گرها'!$F:$F,M$1)</f>
        <v>0</v>
      </c>
      <c r="N884" s="242">
        <f>COUNTIFS('تجربه‌گرها'!$B:$B,$A884,'تجربه‌گرها'!$F:$F,N$1)</f>
        <v>0</v>
      </c>
      <c r="O884" s="242">
        <f>COUNTIFS('تجربه‌گرها'!$B:$B,$A884,'تجربه‌گرها'!$F:$F,O$1)</f>
        <v>0</v>
      </c>
      <c r="P884" s="242">
        <f>COUNTIFS('تجربه‌گرها'!$B:$B,$A884,'تجربه‌گرها'!$F:$F,P$1)</f>
        <v>0</v>
      </c>
      <c r="Q884" s="242">
        <f>COUNTIFS('تجربه‌گرها'!$B:$B,$A884,'تجربه‌گرها'!$F:$F,Q$1)</f>
        <v>0</v>
      </c>
      <c r="R884" s="242">
        <f>COUNTIFS('تجربه‌گرها'!$B:$B,$A884,'تجربه‌گرها'!$F:$F,R$1)</f>
        <v>0</v>
      </c>
      <c r="S884" s="242">
        <f>COUNTIFS('تجربه‌گرها'!$B:$B,$A884,'تجربه‌گرها'!$F:$F,S$1)</f>
        <v>0</v>
      </c>
      <c r="T884" s="242">
        <f>COUNTIFS('تجربه‌گرها'!$B:$B,$A884,'تجربه‌گرها'!$F:$F,T$1)</f>
        <v>0</v>
      </c>
      <c r="U884" s="242"/>
      <c r="V884" s="242"/>
      <c r="W884" s="242"/>
      <c r="X884" s="242"/>
      <c r="Y884" s="242"/>
      <c r="Z884" s="242"/>
      <c r="AA884" s="242"/>
      <c r="AB884" s="242"/>
    </row>
    <row r="885">
      <c r="A885" s="244" t="s">
        <v>5058</v>
      </c>
      <c r="B885" s="245" t="str">
        <f>VLOOKUP(A885,'تجربه‌گرها'!B:C,2,FALSE())</f>
        <v>9125434530</v>
      </c>
      <c r="C885" s="242"/>
      <c r="D885" s="242">
        <f t="shared" si="1"/>
        <v>1</v>
      </c>
      <c r="E885" s="242">
        <f>COUNTIFS('تجربه‌گرها'!$B:$B,$A885,'تجربه‌گرها'!$F:$F,E$1)</f>
        <v>0</v>
      </c>
      <c r="F885" s="242">
        <f>COUNTIFS('تجربه‌گرها'!$B:$B,$A885,'تجربه‌گرها'!$F:$F,F$1)</f>
        <v>0</v>
      </c>
      <c r="G885" s="242">
        <f>COUNTIFS('تجربه‌گرها'!$B:$B,$A885,'تجربه‌گرها'!$F:$F,G$1)</f>
        <v>0</v>
      </c>
      <c r="H885" s="242">
        <f>COUNTIFS('تجربه‌گرها'!$B:$B,$A885,'تجربه‌گرها'!$F:$F,H$1)</f>
        <v>0</v>
      </c>
      <c r="I885" s="242">
        <f>COUNTIFS('تجربه‌گرها'!$B:$B,$A885,'تجربه‌گرها'!$F:$F,I$1)</f>
        <v>0</v>
      </c>
      <c r="J885" s="242">
        <f>COUNTIFS('تجربه‌گرها'!$B:$B,$A885,'تجربه‌گرها'!$F:$F,J$1)</f>
        <v>0</v>
      </c>
      <c r="K885" s="242">
        <f>COUNTIFS('تجربه‌گرها'!$B:$B,$A885,'تجربه‌گرها'!$F:$F,K$1)</f>
        <v>0</v>
      </c>
      <c r="L885" s="242">
        <f>COUNTIFS('تجربه‌گرها'!$B:$B,$A885,'تجربه‌گرها'!$F:$F,L$1)</f>
        <v>1</v>
      </c>
      <c r="M885" s="242">
        <f>COUNTIFS('تجربه‌گرها'!$B:$B,$A885,'تجربه‌گرها'!$F:$F,M$1)</f>
        <v>0</v>
      </c>
      <c r="N885" s="242">
        <f>COUNTIFS('تجربه‌گرها'!$B:$B,$A885,'تجربه‌گرها'!$F:$F,N$1)</f>
        <v>0</v>
      </c>
      <c r="O885" s="242">
        <f>COUNTIFS('تجربه‌گرها'!$B:$B,$A885,'تجربه‌گرها'!$F:$F,O$1)</f>
        <v>0</v>
      </c>
      <c r="P885" s="242">
        <f>COUNTIFS('تجربه‌گرها'!$B:$B,$A885,'تجربه‌گرها'!$F:$F,P$1)</f>
        <v>0</v>
      </c>
      <c r="Q885" s="242">
        <f>COUNTIFS('تجربه‌گرها'!$B:$B,$A885,'تجربه‌گرها'!$F:$F,Q$1)</f>
        <v>0</v>
      </c>
      <c r="R885" s="242">
        <f>COUNTIFS('تجربه‌گرها'!$B:$B,$A885,'تجربه‌گرها'!$F:$F,R$1)</f>
        <v>0</v>
      </c>
      <c r="S885" s="242">
        <f>COUNTIFS('تجربه‌گرها'!$B:$B,$A885,'تجربه‌گرها'!$F:$F,S$1)</f>
        <v>0</v>
      </c>
      <c r="T885" s="242">
        <f>COUNTIFS('تجربه‌گرها'!$B:$B,$A885,'تجربه‌گرها'!$F:$F,T$1)</f>
        <v>0</v>
      </c>
      <c r="U885" s="242"/>
      <c r="V885" s="242"/>
      <c r="W885" s="242"/>
      <c r="X885" s="242"/>
      <c r="Y885" s="242"/>
      <c r="Z885" s="242"/>
      <c r="AA885" s="242"/>
      <c r="AB885" s="242"/>
    </row>
    <row r="886">
      <c r="A886" s="244" t="s">
        <v>5060</v>
      </c>
      <c r="B886" s="245" t="str">
        <f>VLOOKUP(A886,'تجربه‌گرها'!B:C,2,FALSE())</f>
        <v>9127744856</v>
      </c>
      <c r="C886" s="242"/>
      <c r="D886" s="242">
        <f t="shared" si="1"/>
        <v>1</v>
      </c>
      <c r="E886" s="242">
        <f>COUNTIFS('تجربه‌گرها'!$B:$B,$A886,'تجربه‌گرها'!$F:$F,E$1)</f>
        <v>0</v>
      </c>
      <c r="F886" s="242">
        <f>COUNTIFS('تجربه‌گرها'!$B:$B,$A886,'تجربه‌گرها'!$F:$F,F$1)</f>
        <v>0</v>
      </c>
      <c r="G886" s="242">
        <f>COUNTIFS('تجربه‌گرها'!$B:$B,$A886,'تجربه‌گرها'!$F:$F,G$1)</f>
        <v>0</v>
      </c>
      <c r="H886" s="242">
        <f>COUNTIFS('تجربه‌گرها'!$B:$B,$A886,'تجربه‌گرها'!$F:$F,H$1)</f>
        <v>0</v>
      </c>
      <c r="I886" s="242">
        <f>COUNTIFS('تجربه‌گرها'!$B:$B,$A886,'تجربه‌گرها'!$F:$F,I$1)</f>
        <v>0</v>
      </c>
      <c r="J886" s="242">
        <f>COUNTIFS('تجربه‌گرها'!$B:$B,$A886,'تجربه‌گرها'!$F:$F,J$1)</f>
        <v>0</v>
      </c>
      <c r="K886" s="242">
        <f>COUNTIFS('تجربه‌گرها'!$B:$B,$A886,'تجربه‌گرها'!$F:$F,K$1)</f>
        <v>0</v>
      </c>
      <c r="L886" s="242">
        <f>COUNTIFS('تجربه‌گرها'!$B:$B,$A886,'تجربه‌گرها'!$F:$F,L$1)</f>
        <v>1</v>
      </c>
      <c r="M886" s="242">
        <f>COUNTIFS('تجربه‌گرها'!$B:$B,$A886,'تجربه‌گرها'!$F:$F,M$1)</f>
        <v>0</v>
      </c>
      <c r="N886" s="242">
        <f>COUNTIFS('تجربه‌گرها'!$B:$B,$A886,'تجربه‌گرها'!$F:$F,N$1)</f>
        <v>0</v>
      </c>
      <c r="O886" s="242">
        <f>COUNTIFS('تجربه‌گرها'!$B:$B,$A886,'تجربه‌گرها'!$F:$F,O$1)</f>
        <v>0</v>
      </c>
      <c r="P886" s="242">
        <f>COUNTIFS('تجربه‌گرها'!$B:$B,$A886,'تجربه‌گرها'!$F:$F,P$1)</f>
        <v>0</v>
      </c>
      <c r="Q886" s="242">
        <f>COUNTIFS('تجربه‌گرها'!$B:$B,$A886,'تجربه‌گرها'!$F:$F,Q$1)</f>
        <v>0</v>
      </c>
      <c r="R886" s="242">
        <f>COUNTIFS('تجربه‌گرها'!$B:$B,$A886,'تجربه‌گرها'!$F:$F,R$1)</f>
        <v>0</v>
      </c>
      <c r="S886" s="242">
        <f>COUNTIFS('تجربه‌گرها'!$B:$B,$A886,'تجربه‌گرها'!$F:$F,S$1)</f>
        <v>0</v>
      </c>
      <c r="T886" s="242">
        <f>COUNTIFS('تجربه‌گرها'!$B:$B,$A886,'تجربه‌گرها'!$F:$F,T$1)</f>
        <v>0</v>
      </c>
      <c r="U886" s="242"/>
      <c r="V886" s="242"/>
      <c r="W886" s="242"/>
      <c r="X886" s="242"/>
      <c r="Y886" s="242"/>
      <c r="Z886" s="242"/>
      <c r="AA886" s="242"/>
      <c r="AB886" s="242"/>
    </row>
    <row r="887" hidden="1">
      <c r="A887" s="244" t="s">
        <v>5063</v>
      </c>
      <c r="B887" s="245" t="str">
        <f>VLOOKUP(A887,'تجربه‌گرها'!B:C,2,FALSE())</f>
        <v>9166612375</v>
      </c>
      <c r="C887" s="242"/>
      <c r="D887" s="242">
        <f t="shared" si="1"/>
        <v>1</v>
      </c>
      <c r="E887" s="242">
        <f>COUNTIFS('تجربه‌گرها'!$B:$B,$A887,'تجربه‌گرها'!$F:$F,E$1)</f>
        <v>0</v>
      </c>
      <c r="F887" s="242">
        <f>COUNTIFS('تجربه‌گرها'!$B:$B,$A887,'تجربه‌گرها'!$F:$F,F$1)</f>
        <v>0</v>
      </c>
      <c r="G887" s="242">
        <f>COUNTIFS('تجربه‌گرها'!$B:$B,$A887,'تجربه‌گرها'!$F:$F,G$1)</f>
        <v>0</v>
      </c>
      <c r="H887" s="242">
        <f>COUNTIFS('تجربه‌گرها'!$B:$B,$A887,'تجربه‌گرها'!$F:$F,H$1)</f>
        <v>0</v>
      </c>
      <c r="I887" s="242">
        <f>COUNTIFS('تجربه‌گرها'!$B:$B,$A887,'تجربه‌گرها'!$F:$F,I$1)</f>
        <v>0</v>
      </c>
      <c r="J887" s="242">
        <f>COUNTIFS('تجربه‌گرها'!$B:$B,$A887,'تجربه‌گرها'!$F:$F,J$1)</f>
        <v>0</v>
      </c>
      <c r="K887" s="242">
        <f>COUNTIFS('تجربه‌گرها'!$B:$B,$A887,'تجربه‌گرها'!$F:$F,K$1)</f>
        <v>0</v>
      </c>
      <c r="L887" s="242">
        <f>COUNTIFS('تجربه‌گرها'!$B:$B,$A887,'تجربه‌گرها'!$F:$F,L$1)</f>
        <v>1</v>
      </c>
      <c r="M887" s="242">
        <f>COUNTIFS('تجربه‌گرها'!$B:$B,$A887,'تجربه‌گرها'!$F:$F,M$1)</f>
        <v>0</v>
      </c>
      <c r="N887" s="242">
        <f>COUNTIFS('تجربه‌گرها'!$B:$B,$A887,'تجربه‌گرها'!$F:$F,N$1)</f>
        <v>0</v>
      </c>
      <c r="O887" s="242">
        <f>COUNTIFS('تجربه‌گرها'!$B:$B,$A887,'تجربه‌گرها'!$F:$F,O$1)</f>
        <v>0</v>
      </c>
      <c r="P887" s="242">
        <f>COUNTIFS('تجربه‌گرها'!$B:$B,$A887,'تجربه‌گرها'!$F:$F,P$1)</f>
        <v>0</v>
      </c>
      <c r="Q887" s="242">
        <f>COUNTIFS('تجربه‌گرها'!$B:$B,$A887,'تجربه‌گرها'!$F:$F,Q$1)</f>
        <v>0</v>
      </c>
      <c r="R887" s="242">
        <f>COUNTIFS('تجربه‌گرها'!$B:$B,$A887,'تجربه‌گرها'!$F:$F,R$1)</f>
        <v>0</v>
      </c>
      <c r="S887" s="242">
        <f>COUNTIFS('تجربه‌گرها'!$B:$B,$A887,'تجربه‌گرها'!$F:$F,S$1)</f>
        <v>0</v>
      </c>
      <c r="T887" s="242">
        <f>COUNTIFS('تجربه‌گرها'!$B:$B,$A887,'تجربه‌گرها'!$F:$F,T$1)</f>
        <v>0</v>
      </c>
      <c r="U887" s="242"/>
      <c r="V887" s="242"/>
      <c r="W887" s="242"/>
      <c r="X887" s="242"/>
      <c r="Y887" s="242"/>
      <c r="Z887" s="242"/>
      <c r="AA887" s="242"/>
      <c r="AB887" s="242"/>
    </row>
    <row r="888">
      <c r="A888" s="244" t="s">
        <v>5067</v>
      </c>
      <c r="B888" s="245" t="str">
        <f>VLOOKUP(A888,'تجربه‌گرها'!B:C,2,FALSE())</f>
        <v>9124221696</v>
      </c>
      <c r="C888" s="242"/>
      <c r="D888" s="242">
        <f t="shared" si="1"/>
        <v>1</v>
      </c>
      <c r="E888" s="242">
        <f>COUNTIFS('تجربه‌گرها'!$B:$B,$A888,'تجربه‌گرها'!$F:$F,E$1)</f>
        <v>0</v>
      </c>
      <c r="F888" s="242">
        <f>COUNTIFS('تجربه‌گرها'!$B:$B,$A888,'تجربه‌گرها'!$F:$F,F$1)</f>
        <v>0</v>
      </c>
      <c r="G888" s="242">
        <f>COUNTIFS('تجربه‌گرها'!$B:$B,$A888,'تجربه‌گرها'!$F:$F,G$1)</f>
        <v>0</v>
      </c>
      <c r="H888" s="242">
        <f>COUNTIFS('تجربه‌گرها'!$B:$B,$A888,'تجربه‌گرها'!$F:$F,H$1)</f>
        <v>0</v>
      </c>
      <c r="I888" s="242">
        <f>COUNTIFS('تجربه‌گرها'!$B:$B,$A888,'تجربه‌گرها'!$F:$F,I$1)</f>
        <v>0</v>
      </c>
      <c r="J888" s="242">
        <f>COUNTIFS('تجربه‌گرها'!$B:$B,$A888,'تجربه‌گرها'!$F:$F,J$1)</f>
        <v>0</v>
      </c>
      <c r="K888" s="242">
        <f>COUNTIFS('تجربه‌گرها'!$B:$B,$A888,'تجربه‌گرها'!$F:$F,K$1)</f>
        <v>0</v>
      </c>
      <c r="L888" s="242">
        <f>COUNTIFS('تجربه‌گرها'!$B:$B,$A888,'تجربه‌گرها'!$F:$F,L$1)</f>
        <v>1</v>
      </c>
      <c r="M888" s="242">
        <f>COUNTIFS('تجربه‌گرها'!$B:$B,$A888,'تجربه‌گرها'!$F:$F,M$1)</f>
        <v>0</v>
      </c>
      <c r="N888" s="242">
        <f>COUNTIFS('تجربه‌گرها'!$B:$B,$A888,'تجربه‌گرها'!$F:$F,N$1)</f>
        <v>0</v>
      </c>
      <c r="O888" s="242">
        <f>COUNTIFS('تجربه‌گرها'!$B:$B,$A888,'تجربه‌گرها'!$F:$F,O$1)</f>
        <v>0</v>
      </c>
      <c r="P888" s="242">
        <f>COUNTIFS('تجربه‌گرها'!$B:$B,$A888,'تجربه‌گرها'!$F:$F,P$1)</f>
        <v>0</v>
      </c>
      <c r="Q888" s="242">
        <f>COUNTIFS('تجربه‌گرها'!$B:$B,$A888,'تجربه‌گرها'!$F:$F,Q$1)</f>
        <v>0</v>
      </c>
      <c r="R888" s="242">
        <f>COUNTIFS('تجربه‌گرها'!$B:$B,$A888,'تجربه‌گرها'!$F:$F,R$1)</f>
        <v>0</v>
      </c>
      <c r="S888" s="242">
        <f>COUNTIFS('تجربه‌گرها'!$B:$B,$A888,'تجربه‌گرها'!$F:$F,S$1)</f>
        <v>0</v>
      </c>
      <c r="T888" s="242">
        <f>COUNTIFS('تجربه‌گرها'!$B:$B,$A888,'تجربه‌گرها'!$F:$F,T$1)</f>
        <v>0</v>
      </c>
      <c r="U888" s="242"/>
      <c r="V888" s="242"/>
      <c r="W888" s="242"/>
      <c r="X888" s="242"/>
      <c r="Y888" s="242"/>
      <c r="Z888" s="242"/>
      <c r="AA888" s="242"/>
      <c r="AB888" s="242"/>
    </row>
    <row r="889">
      <c r="A889" s="244" t="s">
        <v>5071</v>
      </c>
      <c r="B889" s="245" t="str">
        <f>VLOOKUP(A889,'تجربه‌گرها'!B:C,2,FALSE())</f>
        <v>9121086164</v>
      </c>
      <c r="C889" s="242"/>
      <c r="D889" s="242">
        <f t="shared" si="1"/>
        <v>1</v>
      </c>
      <c r="E889" s="242">
        <f>COUNTIFS('تجربه‌گرها'!$B:$B,$A889,'تجربه‌گرها'!$F:$F,E$1)</f>
        <v>0</v>
      </c>
      <c r="F889" s="242">
        <f>COUNTIFS('تجربه‌گرها'!$B:$B,$A889,'تجربه‌گرها'!$F:$F,F$1)</f>
        <v>0</v>
      </c>
      <c r="G889" s="242">
        <f>COUNTIFS('تجربه‌گرها'!$B:$B,$A889,'تجربه‌گرها'!$F:$F,G$1)</f>
        <v>0</v>
      </c>
      <c r="H889" s="242">
        <f>COUNTIFS('تجربه‌گرها'!$B:$B,$A889,'تجربه‌گرها'!$F:$F,H$1)</f>
        <v>0</v>
      </c>
      <c r="I889" s="242">
        <f>COUNTIFS('تجربه‌گرها'!$B:$B,$A889,'تجربه‌گرها'!$F:$F,I$1)</f>
        <v>0</v>
      </c>
      <c r="J889" s="242">
        <f>COUNTIFS('تجربه‌گرها'!$B:$B,$A889,'تجربه‌گرها'!$F:$F,J$1)</f>
        <v>0</v>
      </c>
      <c r="K889" s="242">
        <f>COUNTIFS('تجربه‌گرها'!$B:$B,$A889,'تجربه‌گرها'!$F:$F,K$1)</f>
        <v>0</v>
      </c>
      <c r="L889" s="242">
        <f>COUNTIFS('تجربه‌گرها'!$B:$B,$A889,'تجربه‌گرها'!$F:$F,L$1)</f>
        <v>1</v>
      </c>
      <c r="M889" s="242">
        <f>COUNTIFS('تجربه‌گرها'!$B:$B,$A889,'تجربه‌گرها'!$F:$F,M$1)</f>
        <v>0</v>
      </c>
      <c r="N889" s="242">
        <f>COUNTIFS('تجربه‌گرها'!$B:$B,$A889,'تجربه‌گرها'!$F:$F,N$1)</f>
        <v>0</v>
      </c>
      <c r="O889" s="242">
        <f>COUNTIFS('تجربه‌گرها'!$B:$B,$A889,'تجربه‌گرها'!$F:$F,O$1)</f>
        <v>0</v>
      </c>
      <c r="P889" s="242">
        <f>COUNTIFS('تجربه‌گرها'!$B:$B,$A889,'تجربه‌گرها'!$F:$F,P$1)</f>
        <v>0</v>
      </c>
      <c r="Q889" s="242">
        <f>COUNTIFS('تجربه‌گرها'!$B:$B,$A889,'تجربه‌گرها'!$F:$F,Q$1)</f>
        <v>0</v>
      </c>
      <c r="R889" s="242">
        <f>COUNTIFS('تجربه‌گرها'!$B:$B,$A889,'تجربه‌گرها'!$F:$F,R$1)</f>
        <v>0</v>
      </c>
      <c r="S889" s="242">
        <f>COUNTIFS('تجربه‌گرها'!$B:$B,$A889,'تجربه‌گرها'!$F:$F,S$1)</f>
        <v>0</v>
      </c>
      <c r="T889" s="242">
        <f>COUNTIFS('تجربه‌گرها'!$B:$B,$A889,'تجربه‌گرها'!$F:$F,T$1)</f>
        <v>0</v>
      </c>
      <c r="U889" s="242"/>
      <c r="V889" s="242"/>
      <c r="W889" s="242"/>
      <c r="X889" s="242"/>
      <c r="Y889" s="242"/>
      <c r="Z889" s="242"/>
      <c r="AA889" s="242"/>
      <c r="AB889" s="242"/>
    </row>
    <row r="890">
      <c r="A890" s="244" t="s">
        <v>5075</v>
      </c>
      <c r="B890" s="245" t="str">
        <f>VLOOKUP(A890,'تجربه‌گرها'!B:C,2,FALSE())</f>
        <v>9131085135</v>
      </c>
      <c r="C890" s="242"/>
      <c r="D890" s="242">
        <f t="shared" si="1"/>
        <v>1</v>
      </c>
      <c r="E890" s="242">
        <f>COUNTIFS('تجربه‌گرها'!$B:$B,$A890,'تجربه‌گرها'!$F:$F,E$1)</f>
        <v>0</v>
      </c>
      <c r="F890" s="242">
        <f>COUNTIFS('تجربه‌گرها'!$B:$B,$A890,'تجربه‌گرها'!$F:$F,F$1)</f>
        <v>0</v>
      </c>
      <c r="G890" s="242">
        <f>COUNTIFS('تجربه‌گرها'!$B:$B,$A890,'تجربه‌گرها'!$F:$F,G$1)</f>
        <v>0</v>
      </c>
      <c r="H890" s="242">
        <f>COUNTIFS('تجربه‌گرها'!$B:$B,$A890,'تجربه‌گرها'!$F:$F,H$1)</f>
        <v>0</v>
      </c>
      <c r="I890" s="242">
        <f>COUNTIFS('تجربه‌گرها'!$B:$B,$A890,'تجربه‌گرها'!$F:$F,I$1)</f>
        <v>0</v>
      </c>
      <c r="J890" s="242">
        <f>COUNTIFS('تجربه‌گرها'!$B:$B,$A890,'تجربه‌گرها'!$F:$F,J$1)</f>
        <v>0</v>
      </c>
      <c r="K890" s="242">
        <f>COUNTIFS('تجربه‌گرها'!$B:$B,$A890,'تجربه‌گرها'!$F:$F,K$1)</f>
        <v>0</v>
      </c>
      <c r="L890" s="242">
        <f>COUNTIFS('تجربه‌گرها'!$B:$B,$A890,'تجربه‌گرها'!$F:$F,L$1)</f>
        <v>1</v>
      </c>
      <c r="M890" s="242">
        <f>COUNTIFS('تجربه‌گرها'!$B:$B,$A890,'تجربه‌گرها'!$F:$F,M$1)</f>
        <v>0</v>
      </c>
      <c r="N890" s="242">
        <f>COUNTIFS('تجربه‌گرها'!$B:$B,$A890,'تجربه‌گرها'!$F:$F,N$1)</f>
        <v>0</v>
      </c>
      <c r="O890" s="242">
        <f>COUNTIFS('تجربه‌گرها'!$B:$B,$A890,'تجربه‌گرها'!$F:$F,O$1)</f>
        <v>0</v>
      </c>
      <c r="P890" s="242">
        <f>COUNTIFS('تجربه‌گرها'!$B:$B,$A890,'تجربه‌گرها'!$F:$F,P$1)</f>
        <v>0</v>
      </c>
      <c r="Q890" s="242">
        <f>COUNTIFS('تجربه‌گرها'!$B:$B,$A890,'تجربه‌گرها'!$F:$F,Q$1)</f>
        <v>0</v>
      </c>
      <c r="R890" s="242">
        <f>COUNTIFS('تجربه‌گرها'!$B:$B,$A890,'تجربه‌گرها'!$F:$F,R$1)</f>
        <v>0</v>
      </c>
      <c r="S890" s="242">
        <f>COUNTIFS('تجربه‌گرها'!$B:$B,$A890,'تجربه‌گرها'!$F:$F,S$1)</f>
        <v>0</v>
      </c>
      <c r="T890" s="242">
        <f>COUNTIFS('تجربه‌گرها'!$B:$B,$A890,'تجربه‌گرها'!$F:$F,T$1)</f>
        <v>0</v>
      </c>
      <c r="U890" s="242"/>
      <c r="V890" s="242"/>
      <c r="W890" s="242"/>
      <c r="X890" s="242"/>
      <c r="Y890" s="242"/>
      <c r="Z890" s="242"/>
      <c r="AA890" s="242"/>
      <c r="AB890" s="242"/>
    </row>
    <row r="891" hidden="1">
      <c r="A891" s="244" t="s">
        <v>5079</v>
      </c>
      <c r="B891" s="245" t="str">
        <f>VLOOKUP(A891,'تجربه‌گرها'!B:C,2,FALSE())</f>
        <v>9199133363</v>
      </c>
      <c r="C891" s="242"/>
      <c r="D891" s="242">
        <f t="shared" si="1"/>
        <v>1</v>
      </c>
      <c r="E891" s="242">
        <f>COUNTIFS('تجربه‌گرها'!$B:$B,$A891,'تجربه‌گرها'!$F:$F,E$1)</f>
        <v>0</v>
      </c>
      <c r="F891" s="242">
        <f>COUNTIFS('تجربه‌گرها'!$B:$B,$A891,'تجربه‌گرها'!$F:$F,F$1)</f>
        <v>0</v>
      </c>
      <c r="G891" s="242">
        <f>COUNTIFS('تجربه‌گرها'!$B:$B,$A891,'تجربه‌گرها'!$F:$F,G$1)</f>
        <v>0</v>
      </c>
      <c r="H891" s="242">
        <f>COUNTIFS('تجربه‌گرها'!$B:$B,$A891,'تجربه‌گرها'!$F:$F,H$1)</f>
        <v>0</v>
      </c>
      <c r="I891" s="242">
        <f>COUNTIFS('تجربه‌گرها'!$B:$B,$A891,'تجربه‌گرها'!$F:$F,I$1)</f>
        <v>0</v>
      </c>
      <c r="J891" s="242">
        <f>COUNTIFS('تجربه‌گرها'!$B:$B,$A891,'تجربه‌گرها'!$F:$F,J$1)</f>
        <v>0</v>
      </c>
      <c r="K891" s="242">
        <f>COUNTIFS('تجربه‌گرها'!$B:$B,$A891,'تجربه‌گرها'!$F:$F,K$1)</f>
        <v>0</v>
      </c>
      <c r="L891" s="242">
        <f>COUNTIFS('تجربه‌گرها'!$B:$B,$A891,'تجربه‌گرها'!$F:$F,L$1)</f>
        <v>1</v>
      </c>
      <c r="M891" s="242">
        <f>COUNTIFS('تجربه‌گرها'!$B:$B,$A891,'تجربه‌گرها'!$F:$F,M$1)</f>
        <v>0</v>
      </c>
      <c r="N891" s="242">
        <f>COUNTIFS('تجربه‌گرها'!$B:$B,$A891,'تجربه‌گرها'!$F:$F,N$1)</f>
        <v>0</v>
      </c>
      <c r="O891" s="242">
        <f>COUNTIFS('تجربه‌گرها'!$B:$B,$A891,'تجربه‌گرها'!$F:$F,O$1)</f>
        <v>0</v>
      </c>
      <c r="P891" s="242">
        <f>COUNTIFS('تجربه‌گرها'!$B:$B,$A891,'تجربه‌گرها'!$F:$F,P$1)</f>
        <v>0</v>
      </c>
      <c r="Q891" s="242">
        <f>COUNTIFS('تجربه‌گرها'!$B:$B,$A891,'تجربه‌گرها'!$F:$F,Q$1)</f>
        <v>0</v>
      </c>
      <c r="R891" s="242">
        <f>COUNTIFS('تجربه‌گرها'!$B:$B,$A891,'تجربه‌گرها'!$F:$F,R$1)</f>
        <v>0</v>
      </c>
      <c r="S891" s="242">
        <f>COUNTIFS('تجربه‌گرها'!$B:$B,$A891,'تجربه‌گرها'!$F:$F,S$1)</f>
        <v>0</v>
      </c>
      <c r="T891" s="242">
        <f>COUNTIFS('تجربه‌گرها'!$B:$B,$A891,'تجربه‌گرها'!$F:$F,T$1)</f>
        <v>0</v>
      </c>
      <c r="U891" s="242"/>
      <c r="V891" s="242"/>
      <c r="W891" s="242"/>
      <c r="X891" s="242"/>
      <c r="Y891" s="242"/>
      <c r="Z891" s="242"/>
      <c r="AA891" s="242"/>
      <c r="AB891" s="242"/>
    </row>
    <row r="892" hidden="1">
      <c r="A892" s="244" t="s">
        <v>5082</v>
      </c>
      <c r="B892" s="245" t="str">
        <f>VLOOKUP(A892,'تجربه‌گرها'!B:C,2,FALSE())</f>
        <v>9137727022</v>
      </c>
      <c r="C892" s="242"/>
      <c r="D892" s="242">
        <f t="shared" si="1"/>
        <v>1</v>
      </c>
      <c r="E892" s="242">
        <f>COUNTIFS('تجربه‌گرها'!$B:$B,$A892,'تجربه‌گرها'!$F:$F,E$1)</f>
        <v>0</v>
      </c>
      <c r="F892" s="242">
        <f>COUNTIFS('تجربه‌گرها'!$B:$B,$A892,'تجربه‌گرها'!$F:$F,F$1)</f>
        <v>0</v>
      </c>
      <c r="G892" s="242">
        <f>COUNTIFS('تجربه‌گرها'!$B:$B,$A892,'تجربه‌گرها'!$F:$F,G$1)</f>
        <v>0</v>
      </c>
      <c r="H892" s="242">
        <f>COUNTIFS('تجربه‌گرها'!$B:$B,$A892,'تجربه‌گرها'!$F:$F,H$1)</f>
        <v>0</v>
      </c>
      <c r="I892" s="242">
        <f>COUNTIFS('تجربه‌گرها'!$B:$B,$A892,'تجربه‌گرها'!$F:$F,I$1)</f>
        <v>0</v>
      </c>
      <c r="J892" s="242">
        <f>COUNTIFS('تجربه‌گرها'!$B:$B,$A892,'تجربه‌گرها'!$F:$F,J$1)</f>
        <v>0</v>
      </c>
      <c r="K892" s="242">
        <f>COUNTIFS('تجربه‌گرها'!$B:$B,$A892,'تجربه‌گرها'!$F:$F,K$1)</f>
        <v>0</v>
      </c>
      <c r="L892" s="242">
        <f>COUNTIFS('تجربه‌گرها'!$B:$B,$A892,'تجربه‌گرها'!$F:$F,L$1)</f>
        <v>1</v>
      </c>
      <c r="M892" s="242">
        <f>COUNTIFS('تجربه‌گرها'!$B:$B,$A892,'تجربه‌گرها'!$F:$F,M$1)</f>
        <v>0</v>
      </c>
      <c r="N892" s="242">
        <f>COUNTIFS('تجربه‌گرها'!$B:$B,$A892,'تجربه‌گرها'!$F:$F,N$1)</f>
        <v>0</v>
      </c>
      <c r="O892" s="242">
        <f>COUNTIFS('تجربه‌گرها'!$B:$B,$A892,'تجربه‌گرها'!$F:$F,O$1)</f>
        <v>0</v>
      </c>
      <c r="P892" s="242">
        <f>COUNTIFS('تجربه‌گرها'!$B:$B,$A892,'تجربه‌گرها'!$F:$F,P$1)</f>
        <v>0</v>
      </c>
      <c r="Q892" s="242">
        <f>COUNTIFS('تجربه‌گرها'!$B:$B,$A892,'تجربه‌گرها'!$F:$F,Q$1)</f>
        <v>0</v>
      </c>
      <c r="R892" s="242">
        <f>COUNTIFS('تجربه‌گرها'!$B:$B,$A892,'تجربه‌گرها'!$F:$F,R$1)</f>
        <v>0</v>
      </c>
      <c r="S892" s="242">
        <f>COUNTIFS('تجربه‌گرها'!$B:$B,$A892,'تجربه‌گرها'!$F:$F,S$1)</f>
        <v>0</v>
      </c>
      <c r="T892" s="242">
        <f>COUNTIFS('تجربه‌گرها'!$B:$B,$A892,'تجربه‌گرها'!$F:$F,T$1)</f>
        <v>0</v>
      </c>
      <c r="U892" s="242"/>
      <c r="V892" s="242"/>
      <c r="W892" s="242"/>
      <c r="X892" s="242"/>
      <c r="Y892" s="242"/>
      <c r="Z892" s="242"/>
      <c r="AA892" s="242"/>
      <c r="AB892" s="242"/>
    </row>
    <row r="893" hidden="1">
      <c r="A893" s="244" t="s">
        <v>5085</v>
      </c>
      <c r="B893" s="245" t="str">
        <f>VLOOKUP(A893,'تجربه‌گرها'!B:C,2,FALSE())</f>
        <v>9122001676</v>
      </c>
      <c r="C893" s="242"/>
      <c r="D893" s="242">
        <f t="shared" si="1"/>
        <v>2</v>
      </c>
      <c r="E893" s="242">
        <f>COUNTIFS('تجربه‌گرها'!$B:$B,$A893,'تجربه‌گرها'!$F:$F,E$1)</f>
        <v>0</v>
      </c>
      <c r="F893" s="242">
        <f>COUNTIFS('تجربه‌گرها'!$B:$B,$A893,'تجربه‌گرها'!$F:$F,F$1)</f>
        <v>0</v>
      </c>
      <c r="G893" s="242">
        <f>COUNTIFS('تجربه‌گرها'!$B:$B,$A893,'تجربه‌گرها'!$F:$F,G$1)</f>
        <v>0</v>
      </c>
      <c r="H893" s="242">
        <f>COUNTIFS('تجربه‌گرها'!$B:$B,$A893,'تجربه‌گرها'!$F:$F,H$1)</f>
        <v>0</v>
      </c>
      <c r="I893" s="242">
        <f>COUNTIFS('تجربه‌گرها'!$B:$B,$A893,'تجربه‌گرها'!$F:$F,I$1)</f>
        <v>0</v>
      </c>
      <c r="J893" s="242">
        <f>COUNTIFS('تجربه‌گرها'!$B:$B,$A893,'تجربه‌گرها'!$F:$F,J$1)</f>
        <v>0</v>
      </c>
      <c r="K893" s="242">
        <f>COUNTIFS('تجربه‌گرها'!$B:$B,$A893,'تجربه‌گرها'!$F:$F,K$1)</f>
        <v>0</v>
      </c>
      <c r="L893" s="242">
        <f>COUNTIFS('تجربه‌گرها'!$B:$B,$A893,'تجربه‌گرها'!$F:$F,L$1)</f>
        <v>1</v>
      </c>
      <c r="M893" s="242">
        <f>COUNTIFS('تجربه‌گرها'!$B:$B,$A893,'تجربه‌گرها'!$F:$F,M$1)</f>
        <v>1</v>
      </c>
      <c r="N893" s="242">
        <f>COUNTIFS('تجربه‌گرها'!$B:$B,$A893,'تجربه‌گرها'!$F:$F,N$1)</f>
        <v>0</v>
      </c>
      <c r="O893" s="242">
        <f>COUNTIFS('تجربه‌گرها'!$B:$B,$A893,'تجربه‌گرها'!$F:$F,O$1)</f>
        <v>0</v>
      </c>
      <c r="P893" s="242">
        <f>COUNTIFS('تجربه‌گرها'!$B:$B,$A893,'تجربه‌گرها'!$F:$F,P$1)</f>
        <v>0</v>
      </c>
      <c r="Q893" s="242">
        <f>COUNTIFS('تجربه‌گرها'!$B:$B,$A893,'تجربه‌گرها'!$F:$F,Q$1)</f>
        <v>0</v>
      </c>
      <c r="R893" s="242">
        <f>COUNTIFS('تجربه‌گرها'!$B:$B,$A893,'تجربه‌گرها'!$F:$F,R$1)</f>
        <v>0</v>
      </c>
      <c r="S893" s="242">
        <f>COUNTIFS('تجربه‌گرها'!$B:$B,$A893,'تجربه‌گرها'!$F:$F,S$1)</f>
        <v>0</v>
      </c>
      <c r="T893" s="242">
        <f>COUNTIFS('تجربه‌گرها'!$B:$B,$A893,'تجربه‌گرها'!$F:$F,T$1)</f>
        <v>0</v>
      </c>
      <c r="U893" s="242"/>
      <c r="V893" s="242"/>
      <c r="W893" s="242"/>
      <c r="X893" s="242"/>
      <c r="Y893" s="242"/>
      <c r="Z893" s="242"/>
      <c r="AA893" s="242"/>
      <c r="AB893" s="242"/>
    </row>
    <row r="894" hidden="1">
      <c r="A894" s="244" t="s">
        <v>5088</v>
      </c>
      <c r="B894" s="245" t="str">
        <f>VLOOKUP(A894,'تجربه‌گرها'!B:C,2,FALSE())</f>
        <v>9125513424</v>
      </c>
      <c r="C894" s="242"/>
      <c r="D894" s="242">
        <f t="shared" si="1"/>
        <v>1</v>
      </c>
      <c r="E894" s="242">
        <f>COUNTIFS('تجربه‌گرها'!$B:$B,$A894,'تجربه‌گرها'!$F:$F,E$1)</f>
        <v>0</v>
      </c>
      <c r="F894" s="242">
        <f>COUNTIFS('تجربه‌گرها'!$B:$B,$A894,'تجربه‌گرها'!$F:$F,F$1)</f>
        <v>0</v>
      </c>
      <c r="G894" s="242">
        <f>COUNTIFS('تجربه‌گرها'!$B:$B,$A894,'تجربه‌گرها'!$F:$F,G$1)</f>
        <v>0</v>
      </c>
      <c r="H894" s="242">
        <f>COUNTIFS('تجربه‌گرها'!$B:$B,$A894,'تجربه‌گرها'!$F:$F,H$1)</f>
        <v>0</v>
      </c>
      <c r="I894" s="242">
        <f>COUNTIFS('تجربه‌گرها'!$B:$B,$A894,'تجربه‌گرها'!$F:$F,I$1)</f>
        <v>0</v>
      </c>
      <c r="J894" s="242">
        <f>COUNTIFS('تجربه‌گرها'!$B:$B,$A894,'تجربه‌گرها'!$F:$F,J$1)</f>
        <v>0</v>
      </c>
      <c r="K894" s="242">
        <f>COUNTIFS('تجربه‌گرها'!$B:$B,$A894,'تجربه‌گرها'!$F:$F,K$1)</f>
        <v>0</v>
      </c>
      <c r="L894" s="242">
        <f>COUNTIFS('تجربه‌گرها'!$B:$B,$A894,'تجربه‌گرها'!$F:$F,L$1)</f>
        <v>1</v>
      </c>
      <c r="M894" s="242">
        <f>COUNTIFS('تجربه‌گرها'!$B:$B,$A894,'تجربه‌گرها'!$F:$F,M$1)</f>
        <v>0</v>
      </c>
      <c r="N894" s="242">
        <f>COUNTIFS('تجربه‌گرها'!$B:$B,$A894,'تجربه‌گرها'!$F:$F,N$1)</f>
        <v>0</v>
      </c>
      <c r="O894" s="242">
        <f>COUNTIFS('تجربه‌گرها'!$B:$B,$A894,'تجربه‌گرها'!$F:$F,O$1)</f>
        <v>0</v>
      </c>
      <c r="P894" s="242">
        <f>COUNTIFS('تجربه‌گرها'!$B:$B,$A894,'تجربه‌گرها'!$F:$F,P$1)</f>
        <v>0</v>
      </c>
      <c r="Q894" s="242">
        <f>COUNTIFS('تجربه‌گرها'!$B:$B,$A894,'تجربه‌گرها'!$F:$F,Q$1)</f>
        <v>0</v>
      </c>
      <c r="R894" s="242">
        <f>COUNTIFS('تجربه‌گرها'!$B:$B,$A894,'تجربه‌گرها'!$F:$F,R$1)</f>
        <v>0</v>
      </c>
      <c r="S894" s="242">
        <f>COUNTIFS('تجربه‌گرها'!$B:$B,$A894,'تجربه‌گرها'!$F:$F,S$1)</f>
        <v>0</v>
      </c>
      <c r="T894" s="242">
        <f>COUNTIFS('تجربه‌گرها'!$B:$B,$A894,'تجربه‌گرها'!$F:$F,T$1)</f>
        <v>0</v>
      </c>
      <c r="U894" s="242"/>
      <c r="V894" s="242"/>
      <c r="W894" s="242"/>
      <c r="X894" s="242"/>
      <c r="Y894" s="242"/>
      <c r="Z894" s="242"/>
      <c r="AA894" s="242"/>
      <c r="AB894" s="242"/>
    </row>
    <row r="895" hidden="1">
      <c r="A895" s="244" t="s">
        <v>5092</v>
      </c>
      <c r="B895" s="245" t="str">
        <f>VLOOKUP(A895,'تجربه‌گرها'!B:C,2,FALSE())</f>
        <v>9130256846</v>
      </c>
      <c r="C895" s="242"/>
      <c r="D895" s="242">
        <f t="shared" si="1"/>
        <v>1</v>
      </c>
      <c r="E895" s="242">
        <f>COUNTIFS('تجربه‌گرها'!$B:$B,$A895,'تجربه‌گرها'!$F:$F,E$1)</f>
        <v>0</v>
      </c>
      <c r="F895" s="242">
        <f>COUNTIFS('تجربه‌گرها'!$B:$B,$A895,'تجربه‌گرها'!$F:$F,F$1)</f>
        <v>0</v>
      </c>
      <c r="G895" s="242">
        <f>COUNTIFS('تجربه‌گرها'!$B:$B,$A895,'تجربه‌گرها'!$F:$F,G$1)</f>
        <v>0</v>
      </c>
      <c r="H895" s="242">
        <f>COUNTIFS('تجربه‌گرها'!$B:$B,$A895,'تجربه‌گرها'!$F:$F,H$1)</f>
        <v>0</v>
      </c>
      <c r="I895" s="242">
        <f>COUNTIFS('تجربه‌گرها'!$B:$B,$A895,'تجربه‌گرها'!$F:$F,I$1)</f>
        <v>0</v>
      </c>
      <c r="J895" s="242">
        <f>COUNTIFS('تجربه‌گرها'!$B:$B,$A895,'تجربه‌گرها'!$F:$F,J$1)</f>
        <v>0</v>
      </c>
      <c r="K895" s="242">
        <f>COUNTIFS('تجربه‌گرها'!$B:$B,$A895,'تجربه‌گرها'!$F:$F,K$1)</f>
        <v>0</v>
      </c>
      <c r="L895" s="242">
        <f>COUNTIFS('تجربه‌گرها'!$B:$B,$A895,'تجربه‌گرها'!$F:$F,L$1)</f>
        <v>1</v>
      </c>
      <c r="M895" s="242">
        <f>COUNTIFS('تجربه‌گرها'!$B:$B,$A895,'تجربه‌گرها'!$F:$F,M$1)</f>
        <v>0</v>
      </c>
      <c r="N895" s="242">
        <f>COUNTIFS('تجربه‌گرها'!$B:$B,$A895,'تجربه‌گرها'!$F:$F,N$1)</f>
        <v>0</v>
      </c>
      <c r="O895" s="242">
        <f>COUNTIFS('تجربه‌گرها'!$B:$B,$A895,'تجربه‌گرها'!$F:$F,O$1)</f>
        <v>0</v>
      </c>
      <c r="P895" s="242">
        <f>COUNTIFS('تجربه‌گرها'!$B:$B,$A895,'تجربه‌گرها'!$F:$F,P$1)</f>
        <v>0</v>
      </c>
      <c r="Q895" s="242">
        <f>COUNTIFS('تجربه‌گرها'!$B:$B,$A895,'تجربه‌گرها'!$F:$F,Q$1)</f>
        <v>0</v>
      </c>
      <c r="R895" s="242">
        <f>COUNTIFS('تجربه‌گرها'!$B:$B,$A895,'تجربه‌گرها'!$F:$F,R$1)</f>
        <v>0</v>
      </c>
      <c r="S895" s="242">
        <f>COUNTIFS('تجربه‌گرها'!$B:$B,$A895,'تجربه‌گرها'!$F:$F,S$1)</f>
        <v>0</v>
      </c>
      <c r="T895" s="242">
        <f>COUNTIFS('تجربه‌گرها'!$B:$B,$A895,'تجربه‌گرها'!$F:$F,T$1)</f>
        <v>0</v>
      </c>
      <c r="U895" s="242"/>
      <c r="V895" s="242"/>
      <c r="W895" s="242"/>
      <c r="X895" s="242"/>
      <c r="Y895" s="242"/>
      <c r="Z895" s="242"/>
      <c r="AA895" s="242"/>
      <c r="AB895" s="242"/>
    </row>
    <row r="896" hidden="1">
      <c r="A896" s="244" t="s">
        <v>5097</v>
      </c>
      <c r="B896" s="245" t="str">
        <f>VLOOKUP(A896,'تجربه‌گرها'!B:C,2,FALSE())</f>
        <v>9123502160</v>
      </c>
      <c r="C896" s="242"/>
      <c r="D896" s="242">
        <f t="shared" si="1"/>
        <v>1</v>
      </c>
      <c r="E896" s="242">
        <f>COUNTIFS('تجربه‌گرها'!$B:$B,$A896,'تجربه‌گرها'!$F:$F,E$1)</f>
        <v>0</v>
      </c>
      <c r="F896" s="242">
        <f>COUNTIFS('تجربه‌گرها'!$B:$B,$A896,'تجربه‌گرها'!$F:$F,F$1)</f>
        <v>0</v>
      </c>
      <c r="G896" s="242">
        <f>COUNTIFS('تجربه‌گرها'!$B:$B,$A896,'تجربه‌گرها'!$F:$F,G$1)</f>
        <v>0</v>
      </c>
      <c r="H896" s="242">
        <f>COUNTIFS('تجربه‌گرها'!$B:$B,$A896,'تجربه‌گرها'!$F:$F,H$1)</f>
        <v>0</v>
      </c>
      <c r="I896" s="242">
        <f>COUNTIFS('تجربه‌گرها'!$B:$B,$A896,'تجربه‌گرها'!$F:$F,I$1)</f>
        <v>0</v>
      </c>
      <c r="J896" s="242">
        <f>COUNTIFS('تجربه‌گرها'!$B:$B,$A896,'تجربه‌گرها'!$F:$F,J$1)</f>
        <v>0</v>
      </c>
      <c r="K896" s="242">
        <f>COUNTIFS('تجربه‌گرها'!$B:$B,$A896,'تجربه‌گرها'!$F:$F,K$1)</f>
        <v>0</v>
      </c>
      <c r="L896" s="242">
        <f>COUNTIFS('تجربه‌گرها'!$B:$B,$A896,'تجربه‌گرها'!$F:$F,L$1)</f>
        <v>1</v>
      </c>
      <c r="M896" s="242">
        <f>COUNTIFS('تجربه‌گرها'!$B:$B,$A896,'تجربه‌گرها'!$F:$F,M$1)</f>
        <v>0</v>
      </c>
      <c r="N896" s="242">
        <f>COUNTIFS('تجربه‌گرها'!$B:$B,$A896,'تجربه‌گرها'!$F:$F,N$1)</f>
        <v>0</v>
      </c>
      <c r="O896" s="242">
        <f>COUNTIFS('تجربه‌گرها'!$B:$B,$A896,'تجربه‌گرها'!$F:$F,O$1)</f>
        <v>0</v>
      </c>
      <c r="P896" s="242">
        <f>COUNTIFS('تجربه‌گرها'!$B:$B,$A896,'تجربه‌گرها'!$F:$F,P$1)</f>
        <v>0</v>
      </c>
      <c r="Q896" s="242">
        <f>COUNTIFS('تجربه‌گرها'!$B:$B,$A896,'تجربه‌گرها'!$F:$F,Q$1)</f>
        <v>0</v>
      </c>
      <c r="R896" s="242">
        <f>COUNTIFS('تجربه‌گرها'!$B:$B,$A896,'تجربه‌گرها'!$F:$F,R$1)</f>
        <v>0</v>
      </c>
      <c r="S896" s="242">
        <f>COUNTIFS('تجربه‌گرها'!$B:$B,$A896,'تجربه‌گرها'!$F:$F,S$1)</f>
        <v>0</v>
      </c>
      <c r="T896" s="242">
        <f>COUNTIFS('تجربه‌گرها'!$B:$B,$A896,'تجربه‌گرها'!$F:$F,T$1)</f>
        <v>0</v>
      </c>
      <c r="U896" s="242"/>
      <c r="V896" s="242"/>
      <c r="W896" s="242"/>
      <c r="X896" s="242"/>
      <c r="Y896" s="242"/>
      <c r="Z896" s="242"/>
      <c r="AA896" s="242"/>
      <c r="AB896" s="242"/>
    </row>
    <row r="897" hidden="1">
      <c r="A897" s="244" t="s">
        <v>5102</v>
      </c>
      <c r="B897" s="245" t="str">
        <f>VLOOKUP(A897,'تجربه‌گرها'!B:C,2,FALSE())</f>
        <v>9386490272</v>
      </c>
      <c r="C897" s="242"/>
      <c r="D897" s="242">
        <f t="shared" si="1"/>
        <v>1</v>
      </c>
      <c r="E897" s="242">
        <f>COUNTIFS('تجربه‌گرها'!$B:$B,$A897,'تجربه‌گرها'!$F:$F,E$1)</f>
        <v>0</v>
      </c>
      <c r="F897" s="242">
        <f>COUNTIFS('تجربه‌گرها'!$B:$B,$A897,'تجربه‌گرها'!$F:$F,F$1)</f>
        <v>0</v>
      </c>
      <c r="G897" s="242">
        <f>COUNTIFS('تجربه‌گرها'!$B:$B,$A897,'تجربه‌گرها'!$F:$F,G$1)</f>
        <v>0</v>
      </c>
      <c r="H897" s="242">
        <f>COUNTIFS('تجربه‌گرها'!$B:$B,$A897,'تجربه‌گرها'!$F:$F,H$1)</f>
        <v>0</v>
      </c>
      <c r="I897" s="242">
        <f>COUNTIFS('تجربه‌گرها'!$B:$B,$A897,'تجربه‌گرها'!$F:$F,I$1)</f>
        <v>0</v>
      </c>
      <c r="J897" s="242">
        <f>COUNTIFS('تجربه‌گرها'!$B:$B,$A897,'تجربه‌گرها'!$F:$F,J$1)</f>
        <v>0</v>
      </c>
      <c r="K897" s="242">
        <f>COUNTIFS('تجربه‌گرها'!$B:$B,$A897,'تجربه‌گرها'!$F:$F,K$1)</f>
        <v>0</v>
      </c>
      <c r="L897" s="242">
        <f>COUNTIFS('تجربه‌گرها'!$B:$B,$A897,'تجربه‌گرها'!$F:$F,L$1)</f>
        <v>1</v>
      </c>
      <c r="M897" s="242">
        <f>COUNTIFS('تجربه‌گرها'!$B:$B,$A897,'تجربه‌گرها'!$F:$F,M$1)</f>
        <v>0</v>
      </c>
      <c r="N897" s="242">
        <f>COUNTIFS('تجربه‌گرها'!$B:$B,$A897,'تجربه‌گرها'!$F:$F,N$1)</f>
        <v>0</v>
      </c>
      <c r="O897" s="242">
        <f>COUNTIFS('تجربه‌گرها'!$B:$B,$A897,'تجربه‌گرها'!$F:$F,O$1)</f>
        <v>0</v>
      </c>
      <c r="P897" s="242">
        <f>COUNTIFS('تجربه‌گرها'!$B:$B,$A897,'تجربه‌گرها'!$F:$F,P$1)</f>
        <v>0</v>
      </c>
      <c r="Q897" s="242">
        <f>COUNTIFS('تجربه‌گرها'!$B:$B,$A897,'تجربه‌گرها'!$F:$F,Q$1)</f>
        <v>0</v>
      </c>
      <c r="R897" s="242">
        <f>COUNTIFS('تجربه‌گرها'!$B:$B,$A897,'تجربه‌گرها'!$F:$F,R$1)</f>
        <v>0</v>
      </c>
      <c r="S897" s="242">
        <f>COUNTIFS('تجربه‌گرها'!$B:$B,$A897,'تجربه‌گرها'!$F:$F,S$1)</f>
        <v>0</v>
      </c>
      <c r="T897" s="242">
        <f>COUNTIFS('تجربه‌گرها'!$B:$B,$A897,'تجربه‌گرها'!$F:$F,T$1)</f>
        <v>0</v>
      </c>
      <c r="U897" s="242"/>
      <c r="V897" s="242"/>
      <c r="W897" s="242"/>
      <c r="X897" s="242"/>
      <c r="Y897" s="242"/>
      <c r="Z897" s="242"/>
      <c r="AA897" s="242"/>
      <c r="AB897" s="242"/>
    </row>
    <row r="898" hidden="1">
      <c r="A898" s="244" t="s">
        <v>5105</v>
      </c>
      <c r="B898" s="245" t="str">
        <f>VLOOKUP(A898,'تجربه‌گرها'!B:C,2,FALSE())</f>
        <v>9102107081</v>
      </c>
      <c r="C898" s="242"/>
      <c r="D898" s="242">
        <f t="shared" si="1"/>
        <v>4</v>
      </c>
      <c r="E898" s="242">
        <f>COUNTIFS('تجربه‌گرها'!$B:$B,$A898,'تجربه‌گرها'!$F:$F,E$1)</f>
        <v>0</v>
      </c>
      <c r="F898" s="242">
        <f>COUNTIFS('تجربه‌گرها'!$B:$B,$A898,'تجربه‌گرها'!$F:$F,F$1)</f>
        <v>0</v>
      </c>
      <c r="G898" s="242">
        <f>COUNTIFS('تجربه‌گرها'!$B:$B,$A898,'تجربه‌گرها'!$F:$F,G$1)</f>
        <v>0</v>
      </c>
      <c r="H898" s="242">
        <f>COUNTIFS('تجربه‌گرها'!$B:$B,$A898,'تجربه‌گرها'!$F:$F,H$1)</f>
        <v>0</v>
      </c>
      <c r="I898" s="242">
        <f>COUNTIFS('تجربه‌گرها'!$B:$B,$A898,'تجربه‌گرها'!$F:$F,I$1)</f>
        <v>0</v>
      </c>
      <c r="J898" s="242">
        <f>COUNTIFS('تجربه‌گرها'!$B:$B,$A898,'تجربه‌گرها'!$F:$F,J$1)</f>
        <v>0</v>
      </c>
      <c r="K898" s="242">
        <f>COUNTIFS('تجربه‌گرها'!$B:$B,$A898,'تجربه‌گرها'!$F:$F,K$1)</f>
        <v>0</v>
      </c>
      <c r="L898" s="242">
        <f>COUNTIFS('تجربه‌گرها'!$B:$B,$A898,'تجربه‌گرها'!$F:$F,L$1)</f>
        <v>1</v>
      </c>
      <c r="M898" s="242">
        <f>COUNTIFS('تجربه‌گرها'!$B:$B,$A898,'تجربه‌گرها'!$F:$F,M$1)</f>
        <v>1</v>
      </c>
      <c r="N898" s="242">
        <f>COUNTIFS('تجربه‌گرها'!$B:$B,$A898,'تجربه‌گرها'!$F:$F,N$1)</f>
        <v>1</v>
      </c>
      <c r="O898" s="242">
        <f>COUNTIFS('تجربه‌گرها'!$B:$B,$A898,'تجربه‌گرها'!$F:$F,O$1)</f>
        <v>0</v>
      </c>
      <c r="P898" s="242">
        <f>COUNTIFS('تجربه‌گرها'!$B:$B,$A898,'تجربه‌گرها'!$F:$F,P$1)</f>
        <v>1</v>
      </c>
      <c r="Q898" s="242">
        <f>COUNTIFS('تجربه‌گرها'!$B:$B,$A898,'تجربه‌گرها'!$F:$F,Q$1)</f>
        <v>0</v>
      </c>
      <c r="R898" s="242">
        <f>COUNTIFS('تجربه‌گرها'!$B:$B,$A898,'تجربه‌گرها'!$F:$F,R$1)</f>
        <v>0</v>
      </c>
      <c r="S898" s="242">
        <f>COUNTIFS('تجربه‌گرها'!$B:$B,$A898,'تجربه‌گرها'!$F:$F,S$1)</f>
        <v>0</v>
      </c>
      <c r="T898" s="242">
        <f>COUNTIFS('تجربه‌گرها'!$B:$B,$A898,'تجربه‌گرها'!$F:$F,T$1)</f>
        <v>0</v>
      </c>
      <c r="U898" s="242"/>
      <c r="V898" s="242"/>
      <c r="W898" s="242"/>
      <c r="X898" s="242"/>
      <c r="Y898" s="242"/>
      <c r="Z898" s="242"/>
      <c r="AA898" s="242"/>
      <c r="AB898" s="242"/>
    </row>
    <row r="899" hidden="1">
      <c r="A899" s="244" t="s">
        <v>5107</v>
      </c>
      <c r="B899" s="245" t="str">
        <f>VLOOKUP(A899,'تجربه‌گرها'!B:C,2,FALSE())</f>
        <v>9121540922</v>
      </c>
      <c r="C899" s="242"/>
      <c r="D899" s="242">
        <f t="shared" si="1"/>
        <v>1</v>
      </c>
      <c r="E899" s="242">
        <f>COUNTIFS('تجربه‌گرها'!$B:$B,$A899,'تجربه‌گرها'!$F:$F,E$1)</f>
        <v>0</v>
      </c>
      <c r="F899" s="242">
        <f>COUNTIFS('تجربه‌گرها'!$B:$B,$A899,'تجربه‌گرها'!$F:$F,F$1)</f>
        <v>0</v>
      </c>
      <c r="G899" s="242">
        <f>COUNTIFS('تجربه‌گرها'!$B:$B,$A899,'تجربه‌گرها'!$F:$F,G$1)</f>
        <v>0</v>
      </c>
      <c r="H899" s="242">
        <f>COUNTIFS('تجربه‌گرها'!$B:$B,$A899,'تجربه‌گرها'!$F:$F,H$1)</f>
        <v>0</v>
      </c>
      <c r="I899" s="242">
        <f>COUNTIFS('تجربه‌گرها'!$B:$B,$A899,'تجربه‌گرها'!$F:$F,I$1)</f>
        <v>0</v>
      </c>
      <c r="J899" s="242">
        <f>COUNTIFS('تجربه‌گرها'!$B:$B,$A899,'تجربه‌گرها'!$F:$F,J$1)</f>
        <v>0</v>
      </c>
      <c r="K899" s="242">
        <f>COUNTIFS('تجربه‌گرها'!$B:$B,$A899,'تجربه‌گرها'!$F:$F,K$1)</f>
        <v>0</v>
      </c>
      <c r="L899" s="242">
        <f>COUNTIFS('تجربه‌گرها'!$B:$B,$A899,'تجربه‌گرها'!$F:$F,L$1)</f>
        <v>1</v>
      </c>
      <c r="M899" s="242">
        <f>COUNTIFS('تجربه‌گرها'!$B:$B,$A899,'تجربه‌گرها'!$F:$F,M$1)</f>
        <v>0</v>
      </c>
      <c r="N899" s="242">
        <f>COUNTIFS('تجربه‌گرها'!$B:$B,$A899,'تجربه‌گرها'!$F:$F,N$1)</f>
        <v>0</v>
      </c>
      <c r="O899" s="242">
        <f>COUNTIFS('تجربه‌گرها'!$B:$B,$A899,'تجربه‌گرها'!$F:$F,O$1)</f>
        <v>0</v>
      </c>
      <c r="P899" s="242">
        <f>COUNTIFS('تجربه‌گرها'!$B:$B,$A899,'تجربه‌گرها'!$F:$F,P$1)</f>
        <v>0</v>
      </c>
      <c r="Q899" s="242">
        <f>COUNTIFS('تجربه‌گرها'!$B:$B,$A899,'تجربه‌گرها'!$F:$F,Q$1)</f>
        <v>0</v>
      </c>
      <c r="R899" s="242">
        <f>COUNTIFS('تجربه‌گرها'!$B:$B,$A899,'تجربه‌گرها'!$F:$F,R$1)</f>
        <v>0</v>
      </c>
      <c r="S899" s="242">
        <f>COUNTIFS('تجربه‌گرها'!$B:$B,$A899,'تجربه‌گرها'!$F:$F,S$1)</f>
        <v>0</v>
      </c>
      <c r="T899" s="242">
        <f>COUNTIFS('تجربه‌گرها'!$B:$B,$A899,'تجربه‌گرها'!$F:$F,T$1)</f>
        <v>0</v>
      </c>
      <c r="U899" s="242"/>
      <c r="V899" s="242"/>
      <c r="W899" s="242"/>
      <c r="X899" s="242"/>
      <c r="Y899" s="242"/>
      <c r="Z899" s="242"/>
      <c r="AA899" s="242"/>
      <c r="AB899" s="242"/>
    </row>
    <row r="900">
      <c r="A900" s="244" t="s">
        <v>5111</v>
      </c>
      <c r="B900" s="245" t="str">
        <f>VLOOKUP(A900,'تجربه‌گرها'!B:C,2,FALSE())</f>
        <v>9195373573</v>
      </c>
      <c r="C900" s="242"/>
      <c r="D900" s="242">
        <f t="shared" si="1"/>
        <v>1</v>
      </c>
      <c r="E900" s="242">
        <f>COUNTIFS('تجربه‌گرها'!$B:$B,$A900,'تجربه‌گرها'!$F:$F,E$1)</f>
        <v>0</v>
      </c>
      <c r="F900" s="242">
        <f>COUNTIFS('تجربه‌گرها'!$B:$B,$A900,'تجربه‌گرها'!$F:$F,F$1)</f>
        <v>0</v>
      </c>
      <c r="G900" s="242">
        <f>COUNTIFS('تجربه‌گرها'!$B:$B,$A900,'تجربه‌گرها'!$F:$F,G$1)</f>
        <v>0</v>
      </c>
      <c r="H900" s="242">
        <f>COUNTIFS('تجربه‌گرها'!$B:$B,$A900,'تجربه‌گرها'!$F:$F,H$1)</f>
        <v>0</v>
      </c>
      <c r="I900" s="242">
        <f>COUNTIFS('تجربه‌گرها'!$B:$B,$A900,'تجربه‌گرها'!$F:$F,I$1)</f>
        <v>0</v>
      </c>
      <c r="J900" s="242">
        <f>COUNTIFS('تجربه‌گرها'!$B:$B,$A900,'تجربه‌گرها'!$F:$F,J$1)</f>
        <v>0</v>
      </c>
      <c r="K900" s="242">
        <f>COUNTIFS('تجربه‌گرها'!$B:$B,$A900,'تجربه‌گرها'!$F:$F,K$1)</f>
        <v>0</v>
      </c>
      <c r="L900" s="242">
        <f>COUNTIFS('تجربه‌گرها'!$B:$B,$A900,'تجربه‌گرها'!$F:$F,L$1)</f>
        <v>1</v>
      </c>
      <c r="M900" s="242">
        <f>COUNTIFS('تجربه‌گرها'!$B:$B,$A900,'تجربه‌گرها'!$F:$F,M$1)</f>
        <v>0</v>
      </c>
      <c r="N900" s="242">
        <f>COUNTIFS('تجربه‌گرها'!$B:$B,$A900,'تجربه‌گرها'!$F:$F,N$1)</f>
        <v>0</v>
      </c>
      <c r="O900" s="242">
        <f>COUNTIFS('تجربه‌گرها'!$B:$B,$A900,'تجربه‌گرها'!$F:$F,O$1)</f>
        <v>0</v>
      </c>
      <c r="P900" s="242">
        <f>COUNTIFS('تجربه‌گرها'!$B:$B,$A900,'تجربه‌گرها'!$F:$F,P$1)</f>
        <v>0</v>
      </c>
      <c r="Q900" s="242">
        <f>COUNTIFS('تجربه‌گرها'!$B:$B,$A900,'تجربه‌گرها'!$F:$F,Q$1)</f>
        <v>0</v>
      </c>
      <c r="R900" s="242">
        <f>COUNTIFS('تجربه‌گرها'!$B:$B,$A900,'تجربه‌گرها'!$F:$F,R$1)</f>
        <v>0</v>
      </c>
      <c r="S900" s="242">
        <f>COUNTIFS('تجربه‌گرها'!$B:$B,$A900,'تجربه‌گرها'!$F:$F,S$1)</f>
        <v>0</v>
      </c>
      <c r="T900" s="242">
        <f>COUNTIFS('تجربه‌گرها'!$B:$B,$A900,'تجربه‌گرها'!$F:$F,T$1)</f>
        <v>0</v>
      </c>
      <c r="U900" s="242"/>
      <c r="V900" s="242"/>
      <c r="W900" s="242"/>
      <c r="X900" s="242"/>
      <c r="Y900" s="242"/>
      <c r="Z900" s="242"/>
      <c r="AA900" s="242"/>
      <c r="AB900" s="242"/>
    </row>
    <row r="901" hidden="1">
      <c r="A901" s="244" t="s">
        <v>5112</v>
      </c>
      <c r="B901" s="245" t="str">
        <f>VLOOKUP(A901,'تجربه‌گرها'!B:C,2,FALSE())</f>
        <v>9129314031</v>
      </c>
      <c r="C901" s="242"/>
      <c r="D901" s="242">
        <f t="shared" si="1"/>
        <v>2</v>
      </c>
      <c r="E901" s="242">
        <f>COUNTIFS('تجربه‌گرها'!$B:$B,$A901,'تجربه‌گرها'!$F:$F,E$1)</f>
        <v>0</v>
      </c>
      <c r="F901" s="242">
        <f>COUNTIFS('تجربه‌گرها'!$B:$B,$A901,'تجربه‌گرها'!$F:$F,F$1)</f>
        <v>0</v>
      </c>
      <c r="G901" s="242">
        <f>COUNTIFS('تجربه‌گرها'!$B:$B,$A901,'تجربه‌گرها'!$F:$F,G$1)</f>
        <v>0</v>
      </c>
      <c r="H901" s="242">
        <f>COUNTIFS('تجربه‌گرها'!$B:$B,$A901,'تجربه‌گرها'!$F:$F,H$1)</f>
        <v>0</v>
      </c>
      <c r="I901" s="242">
        <f>COUNTIFS('تجربه‌گرها'!$B:$B,$A901,'تجربه‌گرها'!$F:$F,I$1)</f>
        <v>0</v>
      </c>
      <c r="J901" s="242">
        <f>COUNTIFS('تجربه‌گرها'!$B:$B,$A901,'تجربه‌گرها'!$F:$F,J$1)</f>
        <v>0</v>
      </c>
      <c r="K901" s="242">
        <f>COUNTIFS('تجربه‌گرها'!$B:$B,$A901,'تجربه‌گرها'!$F:$F,K$1)</f>
        <v>0</v>
      </c>
      <c r="L901" s="242">
        <f>COUNTIFS('تجربه‌گرها'!$B:$B,$A901,'تجربه‌گرها'!$F:$F,L$1)</f>
        <v>1</v>
      </c>
      <c r="M901" s="242">
        <f>COUNTIFS('تجربه‌گرها'!$B:$B,$A901,'تجربه‌گرها'!$F:$F,M$1)</f>
        <v>0</v>
      </c>
      <c r="N901" s="242">
        <f>COUNTIFS('تجربه‌گرها'!$B:$B,$A901,'تجربه‌گرها'!$F:$F,N$1)</f>
        <v>1</v>
      </c>
      <c r="O901" s="242">
        <f>COUNTIFS('تجربه‌گرها'!$B:$B,$A901,'تجربه‌گرها'!$F:$F,O$1)</f>
        <v>0</v>
      </c>
      <c r="P901" s="242">
        <f>COUNTIFS('تجربه‌گرها'!$B:$B,$A901,'تجربه‌گرها'!$F:$F,P$1)</f>
        <v>0</v>
      </c>
      <c r="Q901" s="242">
        <f>COUNTIFS('تجربه‌گرها'!$B:$B,$A901,'تجربه‌گرها'!$F:$F,Q$1)</f>
        <v>0</v>
      </c>
      <c r="R901" s="242">
        <f>COUNTIFS('تجربه‌گرها'!$B:$B,$A901,'تجربه‌گرها'!$F:$F,R$1)</f>
        <v>0</v>
      </c>
      <c r="S901" s="242">
        <f>COUNTIFS('تجربه‌گرها'!$B:$B,$A901,'تجربه‌گرها'!$F:$F,S$1)</f>
        <v>0</v>
      </c>
      <c r="T901" s="242">
        <f>COUNTIFS('تجربه‌گرها'!$B:$B,$A901,'تجربه‌گرها'!$F:$F,T$1)</f>
        <v>0</v>
      </c>
      <c r="U901" s="242"/>
      <c r="V901" s="242"/>
      <c r="W901" s="242"/>
      <c r="X901" s="242"/>
      <c r="Y901" s="242"/>
      <c r="Z901" s="242"/>
      <c r="AA901" s="242"/>
      <c r="AB901" s="242"/>
    </row>
    <row r="902" hidden="1">
      <c r="A902" s="244" t="s">
        <v>5116</v>
      </c>
      <c r="B902" s="245" t="str">
        <f>VLOOKUP(A902,'تجربه‌گرها'!B:C,2,FALSE())</f>
        <v>9133673551</v>
      </c>
      <c r="C902" s="242"/>
      <c r="D902" s="242">
        <f t="shared" si="1"/>
        <v>1</v>
      </c>
      <c r="E902" s="242">
        <f>COUNTIFS('تجربه‌گرها'!$B:$B,$A902,'تجربه‌گرها'!$F:$F,E$1)</f>
        <v>0</v>
      </c>
      <c r="F902" s="242">
        <f>COUNTIFS('تجربه‌گرها'!$B:$B,$A902,'تجربه‌گرها'!$F:$F,F$1)</f>
        <v>0</v>
      </c>
      <c r="G902" s="242">
        <f>COUNTIFS('تجربه‌گرها'!$B:$B,$A902,'تجربه‌گرها'!$F:$F,G$1)</f>
        <v>0</v>
      </c>
      <c r="H902" s="242">
        <f>COUNTIFS('تجربه‌گرها'!$B:$B,$A902,'تجربه‌گرها'!$F:$F,H$1)</f>
        <v>0</v>
      </c>
      <c r="I902" s="242">
        <f>COUNTIFS('تجربه‌گرها'!$B:$B,$A902,'تجربه‌گرها'!$F:$F,I$1)</f>
        <v>0</v>
      </c>
      <c r="J902" s="242">
        <f>COUNTIFS('تجربه‌گرها'!$B:$B,$A902,'تجربه‌گرها'!$F:$F,J$1)</f>
        <v>0</v>
      </c>
      <c r="K902" s="242">
        <f>COUNTIFS('تجربه‌گرها'!$B:$B,$A902,'تجربه‌گرها'!$F:$F,K$1)</f>
        <v>0</v>
      </c>
      <c r="L902" s="242">
        <f>COUNTIFS('تجربه‌گرها'!$B:$B,$A902,'تجربه‌گرها'!$F:$F,L$1)</f>
        <v>1</v>
      </c>
      <c r="M902" s="242">
        <f>COUNTIFS('تجربه‌گرها'!$B:$B,$A902,'تجربه‌گرها'!$F:$F,M$1)</f>
        <v>0</v>
      </c>
      <c r="N902" s="242">
        <f>COUNTIFS('تجربه‌گرها'!$B:$B,$A902,'تجربه‌گرها'!$F:$F,N$1)</f>
        <v>0</v>
      </c>
      <c r="O902" s="242">
        <f>COUNTIFS('تجربه‌گرها'!$B:$B,$A902,'تجربه‌گرها'!$F:$F,O$1)</f>
        <v>0</v>
      </c>
      <c r="P902" s="242">
        <f>COUNTIFS('تجربه‌گرها'!$B:$B,$A902,'تجربه‌گرها'!$F:$F,P$1)</f>
        <v>0</v>
      </c>
      <c r="Q902" s="242">
        <f>COUNTIFS('تجربه‌گرها'!$B:$B,$A902,'تجربه‌گرها'!$F:$F,Q$1)</f>
        <v>0</v>
      </c>
      <c r="R902" s="242">
        <f>COUNTIFS('تجربه‌گرها'!$B:$B,$A902,'تجربه‌گرها'!$F:$F,R$1)</f>
        <v>0</v>
      </c>
      <c r="S902" s="242">
        <f>COUNTIFS('تجربه‌گرها'!$B:$B,$A902,'تجربه‌گرها'!$F:$F,S$1)</f>
        <v>0</v>
      </c>
      <c r="T902" s="242">
        <f>COUNTIFS('تجربه‌گرها'!$B:$B,$A902,'تجربه‌گرها'!$F:$F,T$1)</f>
        <v>0</v>
      </c>
      <c r="U902" s="242"/>
      <c r="V902" s="242"/>
      <c r="W902" s="242"/>
      <c r="X902" s="242"/>
      <c r="Y902" s="242"/>
      <c r="Z902" s="242"/>
      <c r="AA902" s="242"/>
      <c r="AB902" s="242"/>
    </row>
    <row r="903" hidden="1">
      <c r="A903" s="244" t="s">
        <v>5121</v>
      </c>
      <c r="B903" s="245" t="str">
        <f>VLOOKUP(A903,'تجربه‌گرها'!B:C,2,FALSE())</f>
        <v>9214186527</v>
      </c>
      <c r="C903" s="242"/>
      <c r="D903" s="242">
        <f t="shared" si="1"/>
        <v>1</v>
      </c>
      <c r="E903" s="242">
        <f>COUNTIFS('تجربه‌گرها'!$B:$B,$A903,'تجربه‌گرها'!$F:$F,E$1)</f>
        <v>0</v>
      </c>
      <c r="F903" s="242">
        <f>COUNTIFS('تجربه‌گرها'!$B:$B,$A903,'تجربه‌گرها'!$F:$F,F$1)</f>
        <v>0</v>
      </c>
      <c r="G903" s="242">
        <f>COUNTIFS('تجربه‌گرها'!$B:$B,$A903,'تجربه‌گرها'!$F:$F,G$1)</f>
        <v>0</v>
      </c>
      <c r="H903" s="242">
        <f>COUNTIFS('تجربه‌گرها'!$B:$B,$A903,'تجربه‌گرها'!$F:$F,H$1)</f>
        <v>0</v>
      </c>
      <c r="I903" s="242">
        <f>COUNTIFS('تجربه‌گرها'!$B:$B,$A903,'تجربه‌گرها'!$F:$F,I$1)</f>
        <v>0</v>
      </c>
      <c r="J903" s="242">
        <f>COUNTIFS('تجربه‌گرها'!$B:$B,$A903,'تجربه‌گرها'!$F:$F,J$1)</f>
        <v>0</v>
      </c>
      <c r="K903" s="242">
        <f>COUNTIFS('تجربه‌گرها'!$B:$B,$A903,'تجربه‌گرها'!$F:$F,K$1)</f>
        <v>0</v>
      </c>
      <c r="L903" s="242">
        <f>COUNTIFS('تجربه‌گرها'!$B:$B,$A903,'تجربه‌گرها'!$F:$F,L$1)</f>
        <v>1</v>
      </c>
      <c r="M903" s="242">
        <f>COUNTIFS('تجربه‌گرها'!$B:$B,$A903,'تجربه‌گرها'!$F:$F,M$1)</f>
        <v>0</v>
      </c>
      <c r="N903" s="242">
        <f>COUNTIFS('تجربه‌گرها'!$B:$B,$A903,'تجربه‌گرها'!$F:$F,N$1)</f>
        <v>0</v>
      </c>
      <c r="O903" s="242">
        <f>COUNTIFS('تجربه‌گرها'!$B:$B,$A903,'تجربه‌گرها'!$F:$F,O$1)</f>
        <v>0</v>
      </c>
      <c r="P903" s="242">
        <f>COUNTIFS('تجربه‌گرها'!$B:$B,$A903,'تجربه‌گرها'!$F:$F,P$1)</f>
        <v>0</v>
      </c>
      <c r="Q903" s="242">
        <f>COUNTIFS('تجربه‌گرها'!$B:$B,$A903,'تجربه‌گرها'!$F:$F,Q$1)</f>
        <v>0</v>
      </c>
      <c r="R903" s="242">
        <f>COUNTIFS('تجربه‌گرها'!$B:$B,$A903,'تجربه‌گرها'!$F:$F,R$1)</f>
        <v>0</v>
      </c>
      <c r="S903" s="242">
        <f>COUNTIFS('تجربه‌گرها'!$B:$B,$A903,'تجربه‌گرها'!$F:$F,S$1)</f>
        <v>0</v>
      </c>
      <c r="T903" s="242">
        <f>COUNTIFS('تجربه‌گرها'!$B:$B,$A903,'تجربه‌گرها'!$F:$F,T$1)</f>
        <v>0</v>
      </c>
      <c r="U903" s="242"/>
      <c r="V903" s="242"/>
      <c r="W903" s="242"/>
      <c r="X903" s="242"/>
      <c r="Y903" s="242"/>
      <c r="Z903" s="242"/>
      <c r="AA903" s="242"/>
      <c r="AB903" s="242"/>
    </row>
    <row r="904" hidden="1">
      <c r="A904" s="244" t="s">
        <v>5124</v>
      </c>
      <c r="B904" s="245" t="str">
        <f>VLOOKUP(A904,'تجربه‌گرها'!B:C,2,FALSE())</f>
        <v>9128164272</v>
      </c>
      <c r="C904" s="242"/>
      <c r="D904" s="242">
        <f t="shared" si="1"/>
        <v>1</v>
      </c>
      <c r="E904" s="242">
        <f>COUNTIFS('تجربه‌گرها'!$B:$B,$A904,'تجربه‌گرها'!$F:$F,E$1)</f>
        <v>0</v>
      </c>
      <c r="F904" s="242">
        <f>COUNTIFS('تجربه‌گرها'!$B:$B,$A904,'تجربه‌گرها'!$F:$F,F$1)</f>
        <v>0</v>
      </c>
      <c r="G904" s="242">
        <f>COUNTIFS('تجربه‌گرها'!$B:$B,$A904,'تجربه‌گرها'!$F:$F,G$1)</f>
        <v>0</v>
      </c>
      <c r="H904" s="242">
        <f>COUNTIFS('تجربه‌گرها'!$B:$B,$A904,'تجربه‌گرها'!$F:$F,H$1)</f>
        <v>0</v>
      </c>
      <c r="I904" s="242">
        <f>COUNTIFS('تجربه‌گرها'!$B:$B,$A904,'تجربه‌گرها'!$F:$F,I$1)</f>
        <v>0</v>
      </c>
      <c r="J904" s="242">
        <f>COUNTIFS('تجربه‌گرها'!$B:$B,$A904,'تجربه‌گرها'!$F:$F,J$1)</f>
        <v>0</v>
      </c>
      <c r="K904" s="242">
        <f>COUNTIFS('تجربه‌گرها'!$B:$B,$A904,'تجربه‌گرها'!$F:$F,K$1)</f>
        <v>0</v>
      </c>
      <c r="L904" s="242">
        <f>COUNTIFS('تجربه‌گرها'!$B:$B,$A904,'تجربه‌گرها'!$F:$F,L$1)</f>
        <v>1</v>
      </c>
      <c r="M904" s="242">
        <f>COUNTIFS('تجربه‌گرها'!$B:$B,$A904,'تجربه‌گرها'!$F:$F,M$1)</f>
        <v>0</v>
      </c>
      <c r="N904" s="242">
        <f>COUNTIFS('تجربه‌گرها'!$B:$B,$A904,'تجربه‌گرها'!$F:$F,N$1)</f>
        <v>0</v>
      </c>
      <c r="O904" s="242">
        <f>COUNTIFS('تجربه‌گرها'!$B:$B,$A904,'تجربه‌گرها'!$F:$F,O$1)</f>
        <v>0</v>
      </c>
      <c r="P904" s="242">
        <f>COUNTIFS('تجربه‌گرها'!$B:$B,$A904,'تجربه‌گرها'!$F:$F,P$1)</f>
        <v>0</v>
      </c>
      <c r="Q904" s="242">
        <f>COUNTIFS('تجربه‌گرها'!$B:$B,$A904,'تجربه‌گرها'!$F:$F,Q$1)</f>
        <v>0</v>
      </c>
      <c r="R904" s="242">
        <f>COUNTIFS('تجربه‌گرها'!$B:$B,$A904,'تجربه‌گرها'!$F:$F,R$1)</f>
        <v>0</v>
      </c>
      <c r="S904" s="242">
        <f>COUNTIFS('تجربه‌گرها'!$B:$B,$A904,'تجربه‌گرها'!$F:$F,S$1)</f>
        <v>0</v>
      </c>
      <c r="T904" s="242">
        <f>COUNTIFS('تجربه‌گرها'!$B:$B,$A904,'تجربه‌گرها'!$F:$F,T$1)</f>
        <v>0</v>
      </c>
      <c r="U904" s="242"/>
      <c r="V904" s="242"/>
      <c r="W904" s="242"/>
      <c r="X904" s="242"/>
      <c r="Y904" s="242"/>
      <c r="Z904" s="242"/>
      <c r="AA904" s="242"/>
      <c r="AB904" s="242"/>
    </row>
    <row r="905">
      <c r="A905" s="244" t="s">
        <v>5128</v>
      </c>
      <c r="B905" s="245" t="str">
        <f>VLOOKUP(A905,'تجربه‌گرها'!B:C,2,FALSE())</f>
        <v>9129510392</v>
      </c>
      <c r="C905" s="242"/>
      <c r="D905" s="242">
        <f t="shared" si="1"/>
        <v>1</v>
      </c>
      <c r="E905" s="242">
        <f>COUNTIFS('تجربه‌گرها'!$B:$B,$A905,'تجربه‌گرها'!$F:$F,E$1)</f>
        <v>0</v>
      </c>
      <c r="F905" s="242">
        <f>COUNTIFS('تجربه‌گرها'!$B:$B,$A905,'تجربه‌گرها'!$F:$F,F$1)</f>
        <v>0</v>
      </c>
      <c r="G905" s="242">
        <f>COUNTIFS('تجربه‌گرها'!$B:$B,$A905,'تجربه‌گرها'!$F:$F,G$1)</f>
        <v>0</v>
      </c>
      <c r="H905" s="242">
        <f>COUNTIFS('تجربه‌گرها'!$B:$B,$A905,'تجربه‌گرها'!$F:$F,H$1)</f>
        <v>0</v>
      </c>
      <c r="I905" s="242">
        <f>COUNTIFS('تجربه‌گرها'!$B:$B,$A905,'تجربه‌گرها'!$F:$F,I$1)</f>
        <v>0</v>
      </c>
      <c r="J905" s="242">
        <f>COUNTIFS('تجربه‌گرها'!$B:$B,$A905,'تجربه‌گرها'!$F:$F,J$1)</f>
        <v>0</v>
      </c>
      <c r="K905" s="242">
        <f>COUNTIFS('تجربه‌گرها'!$B:$B,$A905,'تجربه‌گرها'!$F:$F,K$1)</f>
        <v>0</v>
      </c>
      <c r="L905" s="242">
        <f>COUNTIFS('تجربه‌گرها'!$B:$B,$A905,'تجربه‌گرها'!$F:$F,L$1)</f>
        <v>1</v>
      </c>
      <c r="M905" s="242">
        <f>COUNTIFS('تجربه‌گرها'!$B:$B,$A905,'تجربه‌گرها'!$F:$F,M$1)</f>
        <v>0</v>
      </c>
      <c r="N905" s="242">
        <f>COUNTIFS('تجربه‌گرها'!$B:$B,$A905,'تجربه‌گرها'!$F:$F,N$1)</f>
        <v>0</v>
      </c>
      <c r="O905" s="242">
        <f>COUNTIFS('تجربه‌گرها'!$B:$B,$A905,'تجربه‌گرها'!$F:$F,O$1)</f>
        <v>0</v>
      </c>
      <c r="P905" s="242">
        <f>COUNTIFS('تجربه‌گرها'!$B:$B,$A905,'تجربه‌گرها'!$F:$F,P$1)</f>
        <v>0</v>
      </c>
      <c r="Q905" s="242">
        <f>COUNTIFS('تجربه‌گرها'!$B:$B,$A905,'تجربه‌گرها'!$F:$F,Q$1)</f>
        <v>0</v>
      </c>
      <c r="R905" s="242">
        <f>COUNTIFS('تجربه‌گرها'!$B:$B,$A905,'تجربه‌گرها'!$F:$F,R$1)</f>
        <v>0</v>
      </c>
      <c r="S905" s="242">
        <f>COUNTIFS('تجربه‌گرها'!$B:$B,$A905,'تجربه‌گرها'!$F:$F,S$1)</f>
        <v>0</v>
      </c>
      <c r="T905" s="242">
        <f>COUNTIFS('تجربه‌گرها'!$B:$B,$A905,'تجربه‌گرها'!$F:$F,T$1)</f>
        <v>0</v>
      </c>
      <c r="U905" s="242"/>
      <c r="V905" s="242"/>
      <c r="W905" s="242"/>
      <c r="X905" s="242"/>
      <c r="Y905" s="242"/>
      <c r="Z905" s="242"/>
      <c r="AA905" s="242"/>
      <c r="AB905" s="242"/>
    </row>
    <row r="906" hidden="1">
      <c r="A906" s="244" t="s">
        <v>5131</v>
      </c>
      <c r="B906" s="245" t="str">
        <f>VLOOKUP(A906,'تجربه‌گرها'!B:C,2,FALSE())</f>
        <v>9902161336</v>
      </c>
      <c r="C906" s="242"/>
      <c r="D906" s="242">
        <f t="shared" si="1"/>
        <v>1</v>
      </c>
      <c r="E906" s="242">
        <f>COUNTIFS('تجربه‌گرها'!$B:$B,$A906,'تجربه‌گرها'!$F:$F,E$1)</f>
        <v>0</v>
      </c>
      <c r="F906" s="242">
        <f>COUNTIFS('تجربه‌گرها'!$B:$B,$A906,'تجربه‌گرها'!$F:$F,F$1)</f>
        <v>0</v>
      </c>
      <c r="G906" s="242">
        <f>COUNTIFS('تجربه‌گرها'!$B:$B,$A906,'تجربه‌گرها'!$F:$F,G$1)</f>
        <v>0</v>
      </c>
      <c r="H906" s="242">
        <f>COUNTIFS('تجربه‌گرها'!$B:$B,$A906,'تجربه‌گرها'!$F:$F,H$1)</f>
        <v>0</v>
      </c>
      <c r="I906" s="242">
        <f>COUNTIFS('تجربه‌گرها'!$B:$B,$A906,'تجربه‌گرها'!$F:$F,I$1)</f>
        <v>0</v>
      </c>
      <c r="J906" s="242">
        <f>COUNTIFS('تجربه‌گرها'!$B:$B,$A906,'تجربه‌گرها'!$F:$F,J$1)</f>
        <v>0</v>
      </c>
      <c r="K906" s="242">
        <f>COUNTIFS('تجربه‌گرها'!$B:$B,$A906,'تجربه‌گرها'!$F:$F,K$1)</f>
        <v>0</v>
      </c>
      <c r="L906" s="242">
        <f>COUNTIFS('تجربه‌گرها'!$B:$B,$A906,'تجربه‌گرها'!$F:$F,L$1)</f>
        <v>1</v>
      </c>
      <c r="M906" s="242">
        <f>COUNTIFS('تجربه‌گرها'!$B:$B,$A906,'تجربه‌گرها'!$F:$F,M$1)</f>
        <v>0</v>
      </c>
      <c r="N906" s="242">
        <f>COUNTIFS('تجربه‌گرها'!$B:$B,$A906,'تجربه‌گرها'!$F:$F,N$1)</f>
        <v>0</v>
      </c>
      <c r="O906" s="242">
        <f>COUNTIFS('تجربه‌گرها'!$B:$B,$A906,'تجربه‌گرها'!$F:$F,O$1)</f>
        <v>0</v>
      </c>
      <c r="P906" s="242">
        <f>COUNTIFS('تجربه‌گرها'!$B:$B,$A906,'تجربه‌گرها'!$F:$F,P$1)</f>
        <v>0</v>
      </c>
      <c r="Q906" s="242">
        <f>COUNTIFS('تجربه‌گرها'!$B:$B,$A906,'تجربه‌گرها'!$F:$F,Q$1)</f>
        <v>0</v>
      </c>
      <c r="R906" s="242">
        <f>COUNTIFS('تجربه‌گرها'!$B:$B,$A906,'تجربه‌گرها'!$F:$F,R$1)</f>
        <v>0</v>
      </c>
      <c r="S906" s="242">
        <f>COUNTIFS('تجربه‌گرها'!$B:$B,$A906,'تجربه‌گرها'!$F:$F,S$1)</f>
        <v>0</v>
      </c>
      <c r="T906" s="242">
        <f>COUNTIFS('تجربه‌گرها'!$B:$B,$A906,'تجربه‌گرها'!$F:$F,T$1)</f>
        <v>0</v>
      </c>
      <c r="U906" s="242"/>
      <c r="V906" s="242"/>
      <c r="W906" s="242"/>
      <c r="X906" s="242"/>
      <c r="Y906" s="242"/>
      <c r="Z906" s="242"/>
      <c r="AA906" s="242"/>
      <c r="AB906" s="242"/>
    </row>
    <row r="907" hidden="1">
      <c r="A907" s="244" t="s">
        <v>5134</v>
      </c>
      <c r="B907" s="245" t="str">
        <f>VLOOKUP(A907,'تجربه‌گرها'!B:C,2,FALSE())</f>
        <v>9122652561</v>
      </c>
      <c r="C907" s="242"/>
      <c r="D907" s="242">
        <f t="shared" si="1"/>
        <v>1</v>
      </c>
      <c r="E907" s="242">
        <f>COUNTIFS('تجربه‌گرها'!$B:$B,$A907,'تجربه‌گرها'!$F:$F,E$1)</f>
        <v>0</v>
      </c>
      <c r="F907" s="242">
        <f>COUNTIFS('تجربه‌گرها'!$B:$B,$A907,'تجربه‌گرها'!$F:$F,F$1)</f>
        <v>0</v>
      </c>
      <c r="G907" s="242">
        <f>COUNTIFS('تجربه‌گرها'!$B:$B,$A907,'تجربه‌گرها'!$F:$F,G$1)</f>
        <v>0</v>
      </c>
      <c r="H907" s="242">
        <f>COUNTIFS('تجربه‌گرها'!$B:$B,$A907,'تجربه‌گرها'!$F:$F,H$1)</f>
        <v>0</v>
      </c>
      <c r="I907" s="242">
        <f>COUNTIFS('تجربه‌گرها'!$B:$B,$A907,'تجربه‌گرها'!$F:$F,I$1)</f>
        <v>0</v>
      </c>
      <c r="J907" s="242">
        <f>COUNTIFS('تجربه‌گرها'!$B:$B,$A907,'تجربه‌گرها'!$F:$F,J$1)</f>
        <v>0</v>
      </c>
      <c r="K907" s="242">
        <f>COUNTIFS('تجربه‌گرها'!$B:$B,$A907,'تجربه‌گرها'!$F:$F,K$1)</f>
        <v>0</v>
      </c>
      <c r="L907" s="242">
        <f>COUNTIFS('تجربه‌گرها'!$B:$B,$A907,'تجربه‌گرها'!$F:$F,L$1)</f>
        <v>1</v>
      </c>
      <c r="M907" s="242">
        <f>COUNTIFS('تجربه‌گرها'!$B:$B,$A907,'تجربه‌گرها'!$F:$F,M$1)</f>
        <v>0</v>
      </c>
      <c r="N907" s="242">
        <f>COUNTIFS('تجربه‌گرها'!$B:$B,$A907,'تجربه‌گرها'!$F:$F,N$1)</f>
        <v>0</v>
      </c>
      <c r="O907" s="242">
        <f>COUNTIFS('تجربه‌گرها'!$B:$B,$A907,'تجربه‌گرها'!$F:$F,O$1)</f>
        <v>0</v>
      </c>
      <c r="P907" s="242">
        <f>COUNTIFS('تجربه‌گرها'!$B:$B,$A907,'تجربه‌گرها'!$F:$F,P$1)</f>
        <v>0</v>
      </c>
      <c r="Q907" s="242">
        <f>COUNTIFS('تجربه‌گرها'!$B:$B,$A907,'تجربه‌گرها'!$F:$F,Q$1)</f>
        <v>0</v>
      </c>
      <c r="R907" s="242">
        <f>COUNTIFS('تجربه‌گرها'!$B:$B,$A907,'تجربه‌گرها'!$F:$F,R$1)</f>
        <v>0</v>
      </c>
      <c r="S907" s="242">
        <f>COUNTIFS('تجربه‌گرها'!$B:$B,$A907,'تجربه‌گرها'!$F:$F,S$1)</f>
        <v>0</v>
      </c>
      <c r="T907" s="242">
        <f>COUNTIFS('تجربه‌گرها'!$B:$B,$A907,'تجربه‌گرها'!$F:$F,T$1)</f>
        <v>0</v>
      </c>
      <c r="U907" s="242"/>
      <c r="V907" s="242"/>
      <c r="W907" s="242"/>
      <c r="X907" s="242"/>
      <c r="Y907" s="242"/>
      <c r="Z907" s="242"/>
      <c r="AA907" s="242"/>
      <c r="AB907" s="242"/>
    </row>
    <row r="908">
      <c r="A908" s="244" t="s">
        <v>5139</v>
      </c>
      <c r="B908" s="245" t="str">
        <f>VLOOKUP(A908,'تجربه‌گرها'!B:C,2,FALSE())</f>
        <v>9158708848</v>
      </c>
      <c r="C908" s="242"/>
      <c r="D908" s="242">
        <f t="shared" si="1"/>
        <v>1</v>
      </c>
      <c r="E908" s="242">
        <f>COUNTIFS('تجربه‌گرها'!$B:$B,$A908,'تجربه‌گرها'!$F:$F,E$1)</f>
        <v>0</v>
      </c>
      <c r="F908" s="242">
        <f>COUNTIFS('تجربه‌گرها'!$B:$B,$A908,'تجربه‌گرها'!$F:$F,F$1)</f>
        <v>0</v>
      </c>
      <c r="G908" s="242">
        <f>COUNTIFS('تجربه‌گرها'!$B:$B,$A908,'تجربه‌گرها'!$F:$F,G$1)</f>
        <v>0</v>
      </c>
      <c r="H908" s="242">
        <f>COUNTIFS('تجربه‌گرها'!$B:$B,$A908,'تجربه‌گرها'!$F:$F,H$1)</f>
        <v>0</v>
      </c>
      <c r="I908" s="242">
        <f>COUNTIFS('تجربه‌گرها'!$B:$B,$A908,'تجربه‌گرها'!$F:$F,I$1)</f>
        <v>0</v>
      </c>
      <c r="J908" s="242">
        <f>COUNTIFS('تجربه‌گرها'!$B:$B,$A908,'تجربه‌گرها'!$F:$F,J$1)</f>
        <v>0</v>
      </c>
      <c r="K908" s="242">
        <f>COUNTIFS('تجربه‌گرها'!$B:$B,$A908,'تجربه‌گرها'!$F:$F,K$1)</f>
        <v>0</v>
      </c>
      <c r="L908" s="242">
        <f>COUNTIFS('تجربه‌گرها'!$B:$B,$A908,'تجربه‌گرها'!$F:$F,L$1)</f>
        <v>1</v>
      </c>
      <c r="M908" s="242">
        <f>COUNTIFS('تجربه‌گرها'!$B:$B,$A908,'تجربه‌گرها'!$F:$F,M$1)</f>
        <v>0</v>
      </c>
      <c r="N908" s="242">
        <f>COUNTIFS('تجربه‌گرها'!$B:$B,$A908,'تجربه‌گرها'!$F:$F,N$1)</f>
        <v>0</v>
      </c>
      <c r="O908" s="242">
        <f>COUNTIFS('تجربه‌گرها'!$B:$B,$A908,'تجربه‌گرها'!$F:$F,O$1)</f>
        <v>0</v>
      </c>
      <c r="P908" s="242">
        <f>COUNTIFS('تجربه‌گرها'!$B:$B,$A908,'تجربه‌گرها'!$F:$F,P$1)</f>
        <v>0</v>
      </c>
      <c r="Q908" s="242">
        <f>COUNTIFS('تجربه‌گرها'!$B:$B,$A908,'تجربه‌گرها'!$F:$F,Q$1)</f>
        <v>0</v>
      </c>
      <c r="R908" s="242">
        <f>COUNTIFS('تجربه‌گرها'!$B:$B,$A908,'تجربه‌گرها'!$F:$F,R$1)</f>
        <v>0</v>
      </c>
      <c r="S908" s="242">
        <f>COUNTIFS('تجربه‌گرها'!$B:$B,$A908,'تجربه‌گرها'!$F:$F,S$1)</f>
        <v>0</v>
      </c>
      <c r="T908" s="242">
        <f>COUNTIFS('تجربه‌گرها'!$B:$B,$A908,'تجربه‌گرها'!$F:$F,T$1)</f>
        <v>0</v>
      </c>
      <c r="U908" s="242"/>
      <c r="V908" s="242"/>
      <c r="W908" s="242"/>
      <c r="X908" s="242"/>
      <c r="Y908" s="242"/>
      <c r="Z908" s="242"/>
      <c r="AA908" s="242"/>
      <c r="AB908" s="242"/>
    </row>
    <row r="909" hidden="1">
      <c r="A909" s="244" t="s">
        <v>5140</v>
      </c>
      <c r="B909" s="245" t="str">
        <f>VLOOKUP(A909,'تجربه‌گرها'!B:C,2,FALSE())</f>
        <v>9124504511</v>
      </c>
      <c r="C909" s="242"/>
      <c r="D909" s="242">
        <f t="shared" si="1"/>
        <v>1</v>
      </c>
      <c r="E909" s="242">
        <f>COUNTIFS('تجربه‌گرها'!$B:$B,$A909,'تجربه‌گرها'!$F:$F,E$1)</f>
        <v>0</v>
      </c>
      <c r="F909" s="242">
        <f>COUNTIFS('تجربه‌گرها'!$B:$B,$A909,'تجربه‌گرها'!$F:$F,F$1)</f>
        <v>0</v>
      </c>
      <c r="G909" s="242">
        <f>COUNTIFS('تجربه‌گرها'!$B:$B,$A909,'تجربه‌گرها'!$F:$F,G$1)</f>
        <v>0</v>
      </c>
      <c r="H909" s="242">
        <f>COUNTIFS('تجربه‌گرها'!$B:$B,$A909,'تجربه‌گرها'!$F:$F,H$1)</f>
        <v>0</v>
      </c>
      <c r="I909" s="242">
        <f>COUNTIFS('تجربه‌گرها'!$B:$B,$A909,'تجربه‌گرها'!$F:$F,I$1)</f>
        <v>0</v>
      </c>
      <c r="J909" s="242">
        <f>COUNTIFS('تجربه‌گرها'!$B:$B,$A909,'تجربه‌گرها'!$F:$F,J$1)</f>
        <v>0</v>
      </c>
      <c r="K909" s="242">
        <f>COUNTIFS('تجربه‌گرها'!$B:$B,$A909,'تجربه‌گرها'!$F:$F,K$1)</f>
        <v>0</v>
      </c>
      <c r="L909" s="242">
        <f>COUNTIFS('تجربه‌گرها'!$B:$B,$A909,'تجربه‌گرها'!$F:$F,L$1)</f>
        <v>1</v>
      </c>
      <c r="M909" s="242">
        <f>COUNTIFS('تجربه‌گرها'!$B:$B,$A909,'تجربه‌گرها'!$F:$F,M$1)</f>
        <v>0</v>
      </c>
      <c r="N909" s="242">
        <f>COUNTIFS('تجربه‌گرها'!$B:$B,$A909,'تجربه‌گرها'!$F:$F,N$1)</f>
        <v>0</v>
      </c>
      <c r="O909" s="242">
        <f>COUNTIFS('تجربه‌گرها'!$B:$B,$A909,'تجربه‌گرها'!$F:$F,O$1)</f>
        <v>0</v>
      </c>
      <c r="P909" s="242">
        <f>COUNTIFS('تجربه‌گرها'!$B:$B,$A909,'تجربه‌گرها'!$F:$F,P$1)</f>
        <v>0</v>
      </c>
      <c r="Q909" s="242">
        <f>COUNTIFS('تجربه‌گرها'!$B:$B,$A909,'تجربه‌گرها'!$F:$F,Q$1)</f>
        <v>0</v>
      </c>
      <c r="R909" s="242">
        <f>COUNTIFS('تجربه‌گرها'!$B:$B,$A909,'تجربه‌گرها'!$F:$F,R$1)</f>
        <v>0</v>
      </c>
      <c r="S909" s="242">
        <f>COUNTIFS('تجربه‌گرها'!$B:$B,$A909,'تجربه‌گرها'!$F:$F,S$1)</f>
        <v>0</v>
      </c>
      <c r="T909" s="242">
        <f>COUNTIFS('تجربه‌گرها'!$B:$B,$A909,'تجربه‌گرها'!$F:$F,T$1)</f>
        <v>0</v>
      </c>
      <c r="U909" s="242"/>
      <c r="V909" s="242"/>
      <c r="W909" s="242"/>
      <c r="X909" s="242"/>
      <c r="Y909" s="242"/>
      <c r="Z909" s="242"/>
      <c r="AA909" s="242"/>
      <c r="AB909" s="242"/>
    </row>
    <row r="910" hidden="1">
      <c r="A910" s="244" t="s">
        <v>5144</v>
      </c>
      <c r="B910" s="245" t="str">
        <f>VLOOKUP(A910,'تجربه‌گرها'!B:C,2,FALSE())</f>
        <v>9128123650</v>
      </c>
      <c r="C910" s="242"/>
      <c r="D910" s="242">
        <f t="shared" si="1"/>
        <v>1</v>
      </c>
      <c r="E910" s="242">
        <f>COUNTIFS('تجربه‌گرها'!$B:$B,$A910,'تجربه‌گرها'!$F:$F,E$1)</f>
        <v>0</v>
      </c>
      <c r="F910" s="242">
        <f>COUNTIFS('تجربه‌گرها'!$B:$B,$A910,'تجربه‌گرها'!$F:$F,F$1)</f>
        <v>0</v>
      </c>
      <c r="G910" s="242">
        <f>COUNTIFS('تجربه‌گرها'!$B:$B,$A910,'تجربه‌گرها'!$F:$F,G$1)</f>
        <v>0</v>
      </c>
      <c r="H910" s="242">
        <f>COUNTIFS('تجربه‌گرها'!$B:$B,$A910,'تجربه‌گرها'!$F:$F,H$1)</f>
        <v>0</v>
      </c>
      <c r="I910" s="242">
        <f>COUNTIFS('تجربه‌گرها'!$B:$B,$A910,'تجربه‌گرها'!$F:$F,I$1)</f>
        <v>0</v>
      </c>
      <c r="J910" s="242">
        <f>COUNTIFS('تجربه‌گرها'!$B:$B,$A910,'تجربه‌گرها'!$F:$F,J$1)</f>
        <v>0</v>
      </c>
      <c r="K910" s="242">
        <f>COUNTIFS('تجربه‌گرها'!$B:$B,$A910,'تجربه‌گرها'!$F:$F,K$1)</f>
        <v>0</v>
      </c>
      <c r="L910" s="242">
        <f>COUNTIFS('تجربه‌گرها'!$B:$B,$A910,'تجربه‌گرها'!$F:$F,L$1)</f>
        <v>1</v>
      </c>
      <c r="M910" s="242">
        <f>COUNTIFS('تجربه‌گرها'!$B:$B,$A910,'تجربه‌گرها'!$F:$F,M$1)</f>
        <v>0</v>
      </c>
      <c r="N910" s="242">
        <f>COUNTIFS('تجربه‌گرها'!$B:$B,$A910,'تجربه‌گرها'!$F:$F,N$1)</f>
        <v>0</v>
      </c>
      <c r="O910" s="242">
        <f>COUNTIFS('تجربه‌گرها'!$B:$B,$A910,'تجربه‌گرها'!$F:$F,O$1)</f>
        <v>0</v>
      </c>
      <c r="P910" s="242">
        <f>COUNTIFS('تجربه‌گرها'!$B:$B,$A910,'تجربه‌گرها'!$F:$F,P$1)</f>
        <v>0</v>
      </c>
      <c r="Q910" s="242">
        <f>COUNTIFS('تجربه‌گرها'!$B:$B,$A910,'تجربه‌گرها'!$F:$F,Q$1)</f>
        <v>0</v>
      </c>
      <c r="R910" s="242">
        <f>COUNTIFS('تجربه‌گرها'!$B:$B,$A910,'تجربه‌گرها'!$F:$F,R$1)</f>
        <v>0</v>
      </c>
      <c r="S910" s="242">
        <f>COUNTIFS('تجربه‌گرها'!$B:$B,$A910,'تجربه‌گرها'!$F:$F,S$1)</f>
        <v>0</v>
      </c>
      <c r="T910" s="242">
        <f>COUNTIFS('تجربه‌گرها'!$B:$B,$A910,'تجربه‌گرها'!$F:$F,T$1)</f>
        <v>0</v>
      </c>
      <c r="U910" s="242"/>
      <c r="V910" s="242"/>
      <c r="W910" s="242"/>
      <c r="X910" s="242"/>
      <c r="Y910" s="242"/>
      <c r="Z910" s="242"/>
      <c r="AA910" s="242"/>
      <c r="AB910" s="242"/>
    </row>
    <row r="911" hidden="1">
      <c r="A911" s="244" t="s">
        <v>5149</v>
      </c>
      <c r="B911" s="245" t="str">
        <f>VLOOKUP(A911,'تجربه‌گرها'!B:C,2,FALSE())</f>
        <v>9129302177</v>
      </c>
      <c r="C911" s="242"/>
      <c r="D911" s="242">
        <f t="shared" si="1"/>
        <v>1</v>
      </c>
      <c r="E911" s="242">
        <f>COUNTIFS('تجربه‌گرها'!$B:$B,$A911,'تجربه‌گرها'!$F:$F,E$1)</f>
        <v>0</v>
      </c>
      <c r="F911" s="242">
        <f>COUNTIFS('تجربه‌گرها'!$B:$B,$A911,'تجربه‌گرها'!$F:$F,F$1)</f>
        <v>0</v>
      </c>
      <c r="G911" s="242">
        <f>COUNTIFS('تجربه‌گرها'!$B:$B,$A911,'تجربه‌گرها'!$F:$F,G$1)</f>
        <v>0</v>
      </c>
      <c r="H911" s="242">
        <f>COUNTIFS('تجربه‌گرها'!$B:$B,$A911,'تجربه‌گرها'!$F:$F,H$1)</f>
        <v>0</v>
      </c>
      <c r="I911" s="242">
        <f>COUNTIFS('تجربه‌گرها'!$B:$B,$A911,'تجربه‌گرها'!$F:$F,I$1)</f>
        <v>0</v>
      </c>
      <c r="J911" s="242">
        <f>COUNTIFS('تجربه‌گرها'!$B:$B,$A911,'تجربه‌گرها'!$F:$F,J$1)</f>
        <v>0</v>
      </c>
      <c r="K911" s="242">
        <f>COUNTIFS('تجربه‌گرها'!$B:$B,$A911,'تجربه‌گرها'!$F:$F,K$1)</f>
        <v>0</v>
      </c>
      <c r="L911" s="242">
        <f>COUNTIFS('تجربه‌گرها'!$B:$B,$A911,'تجربه‌گرها'!$F:$F,L$1)</f>
        <v>1</v>
      </c>
      <c r="M911" s="242">
        <f>COUNTIFS('تجربه‌گرها'!$B:$B,$A911,'تجربه‌گرها'!$F:$F,M$1)</f>
        <v>0</v>
      </c>
      <c r="N911" s="242">
        <f>COUNTIFS('تجربه‌گرها'!$B:$B,$A911,'تجربه‌گرها'!$F:$F,N$1)</f>
        <v>0</v>
      </c>
      <c r="O911" s="242">
        <f>COUNTIFS('تجربه‌گرها'!$B:$B,$A911,'تجربه‌گرها'!$F:$F,O$1)</f>
        <v>0</v>
      </c>
      <c r="P911" s="242">
        <f>COUNTIFS('تجربه‌گرها'!$B:$B,$A911,'تجربه‌گرها'!$F:$F,P$1)</f>
        <v>0</v>
      </c>
      <c r="Q911" s="242">
        <f>COUNTIFS('تجربه‌گرها'!$B:$B,$A911,'تجربه‌گرها'!$F:$F,Q$1)</f>
        <v>0</v>
      </c>
      <c r="R911" s="242">
        <f>COUNTIFS('تجربه‌گرها'!$B:$B,$A911,'تجربه‌گرها'!$F:$F,R$1)</f>
        <v>0</v>
      </c>
      <c r="S911" s="242">
        <f>COUNTIFS('تجربه‌گرها'!$B:$B,$A911,'تجربه‌گرها'!$F:$F,S$1)</f>
        <v>0</v>
      </c>
      <c r="T911" s="242">
        <f>COUNTIFS('تجربه‌گرها'!$B:$B,$A911,'تجربه‌گرها'!$F:$F,T$1)</f>
        <v>0</v>
      </c>
      <c r="U911" s="242"/>
      <c r="V911" s="242"/>
      <c r="W911" s="242"/>
      <c r="X911" s="242"/>
      <c r="Y911" s="242"/>
      <c r="Z911" s="242"/>
      <c r="AA911" s="242"/>
      <c r="AB911" s="242"/>
    </row>
    <row r="912" hidden="1">
      <c r="A912" s="244" t="s">
        <v>5154</v>
      </c>
      <c r="B912" s="245" t="str">
        <f>VLOOKUP(A912,'تجربه‌گرها'!B:C,2,FALSE())</f>
        <v>9186783426</v>
      </c>
      <c r="C912" s="242"/>
      <c r="D912" s="242">
        <f t="shared" si="1"/>
        <v>1</v>
      </c>
      <c r="E912" s="242">
        <f>COUNTIFS('تجربه‌گرها'!$B:$B,$A912,'تجربه‌گرها'!$F:$F,E$1)</f>
        <v>0</v>
      </c>
      <c r="F912" s="242">
        <f>COUNTIFS('تجربه‌گرها'!$B:$B,$A912,'تجربه‌گرها'!$F:$F,F$1)</f>
        <v>0</v>
      </c>
      <c r="G912" s="242">
        <f>COUNTIFS('تجربه‌گرها'!$B:$B,$A912,'تجربه‌گرها'!$F:$F,G$1)</f>
        <v>0</v>
      </c>
      <c r="H912" s="242">
        <f>COUNTIFS('تجربه‌گرها'!$B:$B,$A912,'تجربه‌گرها'!$F:$F,H$1)</f>
        <v>0</v>
      </c>
      <c r="I912" s="242">
        <f>COUNTIFS('تجربه‌گرها'!$B:$B,$A912,'تجربه‌گرها'!$F:$F,I$1)</f>
        <v>0</v>
      </c>
      <c r="J912" s="242">
        <f>COUNTIFS('تجربه‌گرها'!$B:$B,$A912,'تجربه‌گرها'!$F:$F,J$1)</f>
        <v>0</v>
      </c>
      <c r="K912" s="242">
        <f>COUNTIFS('تجربه‌گرها'!$B:$B,$A912,'تجربه‌گرها'!$F:$F,K$1)</f>
        <v>0</v>
      </c>
      <c r="L912" s="242">
        <f>COUNTIFS('تجربه‌گرها'!$B:$B,$A912,'تجربه‌گرها'!$F:$F,L$1)</f>
        <v>1</v>
      </c>
      <c r="M912" s="242">
        <f>COUNTIFS('تجربه‌گرها'!$B:$B,$A912,'تجربه‌گرها'!$F:$F,M$1)</f>
        <v>0</v>
      </c>
      <c r="N912" s="242">
        <f>COUNTIFS('تجربه‌گرها'!$B:$B,$A912,'تجربه‌گرها'!$F:$F,N$1)</f>
        <v>0</v>
      </c>
      <c r="O912" s="242">
        <f>COUNTIFS('تجربه‌گرها'!$B:$B,$A912,'تجربه‌گرها'!$F:$F,O$1)</f>
        <v>0</v>
      </c>
      <c r="P912" s="242">
        <f>COUNTIFS('تجربه‌گرها'!$B:$B,$A912,'تجربه‌گرها'!$F:$F,P$1)</f>
        <v>0</v>
      </c>
      <c r="Q912" s="242">
        <f>COUNTIFS('تجربه‌گرها'!$B:$B,$A912,'تجربه‌گرها'!$F:$F,Q$1)</f>
        <v>0</v>
      </c>
      <c r="R912" s="242">
        <f>COUNTIFS('تجربه‌گرها'!$B:$B,$A912,'تجربه‌گرها'!$F:$F,R$1)</f>
        <v>0</v>
      </c>
      <c r="S912" s="242">
        <f>COUNTIFS('تجربه‌گرها'!$B:$B,$A912,'تجربه‌گرها'!$F:$F,S$1)</f>
        <v>0</v>
      </c>
      <c r="T912" s="242">
        <f>COUNTIFS('تجربه‌گرها'!$B:$B,$A912,'تجربه‌گرها'!$F:$F,T$1)</f>
        <v>0</v>
      </c>
      <c r="U912" s="242"/>
      <c r="V912" s="242"/>
      <c r="W912" s="242"/>
      <c r="X912" s="242"/>
      <c r="Y912" s="242"/>
      <c r="Z912" s="242"/>
      <c r="AA912" s="242"/>
      <c r="AB912" s="242"/>
    </row>
    <row r="913" hidden="1">
      <c r="A913" s="244" t="s">
        <v>5158</v>
      </c>
      <c r="B913" s="245" t="str">
        <f>VLOOKUP(A913,'تجربه‌گرها'!B:C,2,FALSE())</f>
        <v>9126819077</v>
      </c>
      <c r="C913" s="242"/>
      <c r="D913" s="242">
        <f t="shared" si="1"/>
        <v>1</v>
      </c>
      <c r="E913" s="242">
        <f>COUNTIFS('تجربه‌گرها'!$B:$B,$A913,'تجربه‌گرها'!$F:$F,E$1)</f>
        <v>0</v>
      </c>
      <c r="F913" s="242">
        <f>COUNTIFS('تجربه‌گرها'!$B:$B,$A913,'تجربه‌گرها'!$F:$F,F$1)</f>
        <v>0</v>
      </c>
      <c r="G913" s="242">
        <f>COUNTIFS('تجربه‌گرها'!$B:$B,$A913,'تجربه‌گرها'!$F:$F,G$1)</f>
        <v>0</v>
      </c>
      <c r="H913" s="242">
        <f>COUNTIFS('تجربه‌گرها'!$B:$B,$A913,'تجربه‌گرها'!$F:$F,H$1)</f>
        <v>0</v>
      </c>
      <c r="I913" s="242">
        <f>COUNTIFS('تجربه‌گرها'!$B:$B,$A913,'تجربه‌گرها'!$F:$F,I$1)</f>
        <v>0</v>
      </c>
      <c r="J913" s="242">
        <f>COUNTIFS('تجربه‌گرها'!$B:$B,$A913,'تجربه‌گرها'!$F:$F,J$1)</f>
        <v>0</v>
      </c>
      <c r="K913" s="242">
        <f>COUNTIFS('تجربه‌گرها'!$B:$B,$A913,'تجربه‌گرها'!$F:$F,K$1)</f>
        <v>0</v>
      </c>
      <c r="L913" s="242">
        <f>COUNTIFS('تجربه‌گرها'!$B:$B,$A913,'تجربه‌گرها'!$F:$F,L$1)</f>
        <v>1</v>
      </c>
      <c r="M913" s="242">
        <f>COUNTIFS('تجربه‌گرها'!$B:$B,$A913,'تجربه‌گرها'!$F:$F,M$1)</f>
        <v>0</v>
      </c>
      <c r="N913" s="242">
        <f>COUNTIFS('تجربه‌گرها'!$B:$B,$A913,'تجربه‌گرها'!$F:$F,N$1)</f>
        <v>0</v>
      </c>
      <c r="O913" s="242">
        <f>COUNTIFS('تجربه‌گرها'!$B:$B,$A913,'تجربه‌گرها'!$F:$F,O$1)</f>
        <v>0</v>
      </c>
      <c r="P913" s="242">
        <f>COUNTIFS('تجربه‌گرها'!$B:$B,$A913,'تجربه‌گرها'!$F:$F,P$1)</f>
        <v>0</v>
      </c>
      <c r="Q913" s="242">
        <f>COUNTIFS('تجربه‌گرها'!$B:$B,$A913,'تجربه‌گرها'!$F:$F,Q$1)</f>
        <v>0</v>
      </c>
      <c r="R913" s="242">
        <f>COUNTIFS('تجربه‌گرها'!$B:$B,$A913,'تجربه‌گرها'!$F:$F,R$1)</f>
        <v>0</v>
      </c>
      <c r="S913" s="242">
        <f>COUNTIFS('تجربه‌گرها'!$B:$B,$A913,'تجربه‌گرها'!$F:$F,S$1)</f>
        <v>0</v>
      </c>
      <c r="T913" s="242">
        <f>COUNTIFS('تجربه‌گرها'!$B:$B,$A913,'تجربه‌گرها'!$F:$F,T$1)</f>
        <v>0</v>
      </c>
      <c r="U913" s="242"/>
      <c r="V913" s="242"/>
      <c r="W913" s="242"/>
      <c r="X913" s="242"/>
      <c r="Y913" s="242"/>
      <c r="Z913" s="242"/>
      <c r="AA913" s="242"/>
      <c r="AB913" s="242"/>
    </row>
    <row r="914" hidden="1">
      <c r="A914" s="244" t="s">
        <v>5159</v>
      </c>
      <c r="B914" s="245" t="str">
        <f>VLOOKUP(A914,'تجربه‌گرها'!B:C,2,FALSE())</f>
        <v>9900669007</v>
      </c>
      <c r="C914" s="242"/>
      <c r="D914" s="242">
        <f t="shared" si="1"/>
        <v>1</v>
      </c>
      <c r="E914" s="242">
        <f>COUNTIFS('تجربه‌گرها'!$B:$B,$A914,'تجربه‌گرها'!$F:$F,E$1)</f>
        <v>0</v>
      </c>
      <c r="F914" s="242">
        <f>COUNTIFS('تجربه‌گرها'!$B:$B,$A914,'تجربه‌گرها'!$F:$F,F$1)</f>
        <v>0</v>
      </c>
      <c r="G914" s="242">
        <f>COUNTIFS('تجربه‌گرها'!$B:$B,$A914,'تجربه‌گرها'!$F:$F,G$1)</f>
        <v>0</v>
      </c>
      <c r="H914" s="242">
        <f>COUNTIFS('تجربه‌گرها'!$B:$B,$A914,'تجربه‌گرها'!$F:$F,H$1)</f>
        <v>0</v>
      </c>
      <c r="I914" s="242">
        <f>COUNTIFS('تجربه‌گرها'!$B:$B,$A914,'تجربه‌گرها'!$F:$F,I$1)</f>
        <v>0</v>
      </c>
      <c r="J914" s="242">
        <f>COUNTIFS('تجربه‌گرها'!$B:$B,$A914,'تجربه‌گرها'!$F:$F,J$1)</f>
        <v>0</v>
      </c>
      <c r="K914" s="242">
        <f>COUNTIFS('تجربه‌گرها'!$B:$B,$A914,'تجربه‌گرها'!$F:$F,K$1)</f>
        <v>0</v>
      </c>
      <c r="L914" s="242">
        <f>COUNTIFS('تجربه‌گرها'!$B:$B,$A914,'تجربه‌گرها'!$F:$F,L$1)</f>
        <v>1</v>
      </c>
      <c r="M914" s="242">
        <f>COUNTIFS('تجربه‌گرها'!$B:$B,$A914,'تجربه‌گرها'!$F:$F,M$1)</f>
        <v>0</v>
      </c>
      <c r="N914" s="242">
        <f>COUNTIFS('تجربه‌گرها'!$B:$B,$A914,'تجربه‌گرها'!$F:$F,N$1)</f>
        <v>0</v>
      </c>
      <c r="O914" s="242">
        <f>COUNTIFS('تجربه‌گرها'!$B:$B,$A914,'تجربه‌گرها'!$F:$F,O$1)</f>
        <v>0</v>
      </c>
      <c r="P914" s="242">
        <f>COUNTIFS('تجربه‌گرها'!$B:$B,$A914,'تجربه‌گرها'!$F:$F,P$1)</f>
        <v>0</v>
      </c>
      <c r="Q914" s="242">
        <f>COUNTIFS('تجربه‌گرها'!$B:$B,$A914,'تجربه‌گرها'!$F:$F,Q$1)</f>
        <v>0</v>
      </c>
      <c r="R914" s="242">
        <f>COUNTIFS('تجربه‌گرها'!$B:$B,$A914,'تجربه‌گرها'!$F:$F,R$1)</f>
        <v>0</v>
      </c>
      <c r="S914" s="242">
        <f>COUNTIFS('تجربه‌گرها'!$B:$B,$A914,'تجربه‌گرها'!$F:$F,S$1)</f>
        <v>0</v>
      </c>
      <c r="T914" s="242">
        <f>COUNTIFS('تجربه‌گرها'!$B:$B,$A914,'تجربه‌گرها'!$F:$F,T$1)</f>
        <v>0</v>
      </c>
      <c r="U914" s="242"/>
      <c r="V914" s="242"/>
      <c r="W914" s="242"/>
      <c r="X914" s="242"/>
      <c r="Y914" s="242"/>
      <c r="Z914" s="242"/>
      <c r="AA914" s="242"/>
      <c r="AB914" s="242"/>
    </row>
    <row r="915" hidden="1">
      <c r="A915" s="244" t="s">
        <v>5162</v>
      </c>
      <c r="B915" s="245" t="str">
        <f>VLOOKUP(A915,'تجربه‌گرها'!B:C,2,FALSE())</f>
        <v>9370553427</v>
      </c>
      <c r="C915" s="242"/>
      <c r="D915" s="242">
        <f t="shared" si="1"/>
        <v>1</v>
      </c>
      <c r="E915" s="242">
        <f>COUNTIFS('تجربه‌گرها'!$B:$B,$A915,'تجربه‌گرها'!$F:$F,E$1)</f>
        <v>0</v>
      </c>
      <c r="F915" s="242">
        <f>COUNTIFS('تجربه‌گرها'!$B:$B,$A915,'تجربه‌گرها'!$F:$F,F$1)</f>
        <v>0</v>
      </c>
      <c r="G915" s="242">
        <f>COUNTIFS('تجربه‌گرها'!$B:$B,$A915,'تجربه‌گرها'!$F:$F,G$1)</f>
        <v>0</v>
      </c>
      <c r="H915" s="242">
        <f>COUNTIFS('تجربه‌گرها'!$B:$B,$A915,'تجربه‌گرها'!$F:$F,H$1)</f>
        <v>0</v>
      </c>
      <c r="I915" s="242">
        <f>COUNTIFS('تجربه‌گرها'!$B:$B,$A915,'تجربه‌گرها'!$F:$F,I$1)</f>
        <v>0</v>
      </c>
      <c r="J915" s="242">
        <f>COUNTIFS('تجربه‌گرها'!$B:$B,$A915,'تجربه‌گرها'!$F:$F,J$1)</f>
        <v>0</v>
      </c>
      <c r="K915" s="242">
        <f>COUNTIFS('تجربه‌گرها'!$B:$B,$A915,'تجربه‌گرها'!$F:$F,K$1)</f>
        <v>0</v>
      </c>
      <c r="L915" s="242">
        <f>COUNTIFS('تجربه‌گرها'!$B:$B,$A915,'تجربه‌گرها'!$F:$F,L$1)</f>
        <v>1</v>
      </c>
      <c r="M915" s="242">
        <f>COUNTIFS('تجربه‌گرها'!$B:$B,$A915,'تجربه‌گرها'!$F:$F,M$1)</f>
        <v>0</v>
      </c>
      <c r="N915" s="242">
        <f>COUNTIFS('تجربه‌گرها'!$B:$B,$A915,'تجربه‌گرها'!$F:$F,N$1)</f>
        <v>0</v>
      </c>
      <c r="O915" s="242">
        <f>COUNTIFS('تجربه‌گرها'!$B:$B,$A915,'تجربه‌گرها'!$F:$F,O$1)</f>
        <v>0</v>
      </c>
      <c r="P915" s="242">
        <f>COUNTIFS('تجربه‌گرها'!$B:$B,$A915,'تجربه‌گرها'!$F:$F,P$1)</f>
        <v>0</v>
      </c>
      <c r="Q915" s="242">
        <f>COUNTIFS('تجربه‌گرها'!$B:$B,$A915,'تجربه‌گرها'!$F:$F,Q$1)</f>
        <v>0</v>
      </c>
      <c r="R915" s="242">
        <f>COUNTIFS('تجربه‌گرها'!$B:$B,$A915,'تجربه‌گرها'!$F:$F,R$1)</f>
        <v>0</v>
      </c>
      <c r="S915" s="242">
        <f>COUNTIFS('تجربه‌گرها'!$B:$B,$A915,'تجربه‌گرها'!$F:$F,S$1)</f>
        <v>0</v>
      </c>
      <c r="T915" s="242">
        <f>COUNTIFS('تجربه‌گرها'!$B:$B,$A915,'تجربه‌گرها'!$F:$F,T$1)</f>
        <v>0</v>
      </c>
      <c r="U915" s="242"/>
      <c r="V915" s="242"/>
      <c r="W915" s="242"/>
      <c r="X915" s="242"/>
      <c r="Y915" s="242"/>
      <c r="Z915" s="242"/>
      <c r="AA915" s="242"/>
      <c r="AB915" s="242"/>
    </row>
    <row r="916" hidden="1">
      <c r="A916" s="244" t="s">
        <v>5166</v>
      </c>
      <c r="B916" s="245" t="str">
        <f>VLOOKUP(A916,'تجربه‌گرها'!B:C,2,FALSE())</f>
        <v>9121932731</v>
      </c>
      <c r="C916" s="242"/>
      <c r="D916" s="242">
        <f t="shared" si="1"/>
        <v>1</v>
      </c>
      <c r="E916" s="242">
        <f>COUNTIFS('تجربه‌گرها'!$B:$B,$A916,'تجربه‌گرها'!$F:$F,E$1)</f>
        <v>0</v>
      </c>
      <c r="F916" s="242">
        <f>COUNTIFS('تجربه‌گرها'!$B:$B,$A916,'تجربه‌گرها'!$F:$F,F$1)</f>
        <v>0</v>
      </c>
      <c r="G916" s="242">
        <f>COUNTIFS('تجربه‌گرها'!$B:$B,$A916,'تجربه‌گرها'!$F:$F,G$1)</f>
        <v>0</v>
      </c>
      <c r="H916" s="242">
        <f>COUNTIFS('تجربه‌گرها'!$B:$B,$A916,'تجربه‌گرها'!$F:$F,H$1)</f>
        <v>0</v>
      </c>
      <c r="I916" s="242">
        <f>COUNTIFS('تجربه‌گرها'!$B:$B,$A916,'تجربه‌گرها'!$F:$F,I$1)</f>
        <v>0</v>
      </c>
      <c r="J916" s="242">
        <f>COUNTIFS('تجربه‌گرها'!$B:$B,$A916,'تجربه‌گرها'!$F:$F,J$1)</f>
        <v>0</v>
      </c>
      <c r="K916" s="242">
        <f>COUNTIFS('تجربه‌گرها'!$B:$B,$A916,'تجربه‌گرها'!$F:$F,K$1)</f>
        <v>0</v>
      </c>
      <c r="L916" s="242">
        <f>COUNTIFS('تجربه‌گرها'!$B:$B,$A916,'تجربه‌گرها'!$F:$F,L$1)</f>
        <v>1</v>
      </c>
      <c r="M916" s="242">
        <f>COUNTIFS('تجربه‌گرها'!$B:$B,$A916,'تجربه‌گرها'!$F:$F,M$1)</f>
        <v>0</v>
      </c>
      <c r="N916" s="242">
        <f>COUNTIFS('تجربه‌گرها'!$B:$B,$A916,'تجربه‌گرها'!$F:$F,N$1)</f>
        <v>0</v>
      </c>
      <c r="O916" s="242">
        <f>COUNTIFS('تجربه‌گرها'!$B:$B,$A916,'تجربه‌گرها'!$F:$F,O$1)</f>
        <v>0</v>
      </c>
      <c r="P916" s="242">
        <f>COUNTIFS('تجربه‌گرها'!$B:$B,$A916,'تجربه‌گرها'!$F:$F,P$1)</f>
        <v>0</v>
      </c>
      <c r="Q916" s="242">
        <f>COUNTIFS('تجربه‌گرها'!$B:$B,$A916,'تجربه‌گرها'!$F:$F,Q$1)</f>
        <v>0</v>
      </c>
      <c r="R916" s="242">
        <f>COUNTIFS('تجربه‌گرها'!$B:$B,$A916,'تجربه‌گرها'!$F:$F,R$1)</f>
        <v>0</v>
      </c>
      <c r="S916" s="242">
        <f>COUNTIFS('تجربه‌گرها'!$B:$B,$A916,'تجربه‌گرها'!$F:$F,S$1)</f>
        <v>0</v>
      </c>
      <c r="T916" s="242">
        <f>COUNTIFS('تجربه‌گرها'!$B:$B,$A916,'تجربه‌گرها'!$F:$F,T$1)</f>
        <v>0</v>
      </c>
      <c r="U916" s="242"/>
      <c r="V916" s="242"/>
      <c r="W916" s="242"/>
      <c r="X916" s="242"/>
      <c r="Y916" s="242"/>
      <c r="Z916" s="242"/>
      <c r="AA916" s="242"/>
      <c r="AB916" s="242"/>
    </row>
    <row r="917" hidden="1">
      <c r="A917" s="244" t="s">
        <v>5169</v>
      </c>
      <c r="B917" s="245" t="str">
        <f>VLOOKUP(A917,'تجربه‌گرها'!B:C,2,FALSE())</f>
        <v>9122597327</v>
      </c>
      <c r="C917" s="242"/>
      <c r="D917" s="242">
        <f t="shared" si="1"/>
        <v>1</v>
      </c>
      <c r="E917" s="242">
        <f>COUNTIFS('تجربه‌گرها'!$B:$B,$A917,'تجربه‌گرها'!$F:$F,E$1)</f>
        <v>0</v>
      </c>
      <c r="F917" s="242">
        <f>COUNTIFS('تجربه‌گرها'!$B:$B,$A917,'تجربه‌گرها'!$F:$F,F$1)</f>
        <v>0</v>
      </c>
      <c r="G917" s="242">
        <f>COUNTIFS('تجربه‌گرها'!$B:$B,$A917,'تجربه‌گرها'!$F:$F,G$1)</f>
        <v>0</v>
      </c>
      <c r="H917" s="242">
        <f>COUNTIFS('تجربه‌گرها'!$B:$B,$A917,'تجربه‌گرها'!$F:$F,H$1)</f>
        <v>0</v>
      </c>
      <c r="I917" s="242">
        <f>COUNTIFS('تجربه‌گرها'!$B:$B,$A917,'تجربه‌گرها'!$F:$F,I$1)</f>
        <v>0</v>
      </c>
      <c r="J917" s="242">
        <f>COUNTIFS('تجربه‌گرها'!$B:$B,$A917,'تجربه‌گرها'!$F:$F,J$1)</f>
        <v>0</v>
      </c>
      <c r="K917" s="242">
        <f>COUNTIFS('تجربه‌گرها'!$B:$B,$A917,'تجربه‌گرها'!$F:$F,K$1)</f>
        <v>0</v>
      </c>
      <c r="L917" s="242">
        <f>COUNTIFS('تجربه‌گرها'!$B:$B,$A917,'تجربه‌گرها'!$F:$F,L$1)</f>
        <v>1</v>
      </c>
      <c r="M917" s="242">
        <f>COUNTIFS('تجربه‌گرها'!$B:$B,$A917,'تجربه‌گرها'!$F:$F,M$1)</f>
        <v>0</v>
      </c>
      <c r="N917" s="242">
        <f>COUNTIFS('تجربه‌گرها'!$B:$B,$A917,'تجربه‌گرها'!$F:$F,N$1)</f>
        <v>0</v>
      </c>
      <c r="O917" s="242">
        <f>COUNTIFS('تجربه‌گرها'!$B:$B,$A917,'تجربه‌گرها'!$F:$F,O$1)</f>
        <v>0</v>
      </c>
      <c r="P917" s="242">
        <f>COUNTIFS('تجربه‌گرها'!$B:$B,$A917,'تجربه‌گرها'!$F:$F,P$1)</f>
        <v>0</v>
      </c>
      <c r="Q917" s="242">
        <f>COUNTIFS('تجربه‌گرها'!$B:$B,$A917,'تجربه‌گرها'!$F:$F,Q$1)</f>
        <v>0</v>
      </c>
      <c r="R917" s="242">
        <f>COUNTIFS('تجربه‌گرها'!$B:$B,$A917,'تجربه‌گرها'!$F:$F,R$1)</f>
        <v>0</v>
      </c>
      <c r="S917" s="242">
        <f>COUNTIFS('تجربه‌گرها'!$B:$B,$A917,'تجربه‌گرها'!$F:$F,S$1)</f>
        <v>0</v>
      </c>
      <c r="T917" s="242">
        <f>COUNTIFS('تجربه‌گرها'!$B:$B,$A917,'تجربه‌گرها'!$F:$F,T$1)</f>
        <v>0</v>
      </c>
      <c r="U917" s="242"/>
      <c r="V917" s="242"/>
      <c r="W917" s="242"/>
      <c r="X917" s="242"/>
      <c r="Y917" s="242"/>
      <c r="Z917" s="242"/>
      <c r="AA917" s="242"/>
      <c r="AB917" s="242"/>
    </row>
    <row r="918" hidden="1">
      <c r="A918" s="244" t="s">
        <v>5170</v>
      </c>
      <c r="B918" s="245" t="str">
        <f>VLOOKUP(A918,'تجربه‌گرها'!B:C,2,FALSE())</f>
        <v>9912099474</v>
      </c>
      <c r="C918" s="242"/>
      <c r="D918" s="242">
        <f t="shared" si="1"/>
        <v>1</v>
      </c>
      <c r="E918" s="242">
        <f>COUNTIFS('تجربه‌گرها'!$B:$B,$A918,'تجربه‌گرها'!$F:$F,E$1)</f>
        <v>0</v>
      </c>
      <c r="F918" s="242">
        <f>COUNTIFS('تجربه‌گرها'!$B:$B,$A918,'تجربه‌گرها'!$F:$F,F$1)</f>
        <v>0</v>
      </c>
      <c r="G918" s="242">
        <f>COUNTIFS('تجربه‌گرها'!$B:$B,$A918,'تجربه‌گرها'!$F:$F,G$1)</f>
        <v>0</v>
      </c>
      <c r="H918" s="242">
        <f>COUNTIFS('تجربه‌گرها'!$B:$B,$A918,'تجربه‌گرها'!$F:$F,H$1)</f>
        <v>0</v>
      </c>
      <c r="I918" s="242">
        <f>COUNTIFS('تجربه‌گرها'!$B:$B,$A918,'تجربه‌گرها'!$F:$F,I$1)</f>
        <v>0</v>
      </c>
      <c r="J918" s="242">
        <f>COUNTIFS('تجربه‌گرها'!$B:$B,$A918,'تجربه‌گرها'!$F:$F,J$1)</f>
        <v>0</v>
      </c>
      <c r="K918" s="242">
        <f>COUNTIFS('تجربه‌گرها'!$B:$B,$A918,'تجربه‌گرها'!$F:$F,K$1)</f>
        <v>0</v>
      </c>
      <c r="L918" s="242">
        <f>COUNTIFS('تجربه‌گرها'!$B:$B,$A918,'تجربه‌گرها'!$F:$F,L$1)</f>
        <v>1</v>
      </c>
      <c r="M918" s="242">
        <f>COUNTIFS('تجربه‌گرها'!$B:$B,$A918,'تجربه‌گرها'!$F:$F,M$1)</f>
        <v>0</v>
      </c>
      <c r="N918" s="242">
        <f>COUNTIFS('تجربه‌گرها'!$B:$B,$A918,'تجربه‌گرها'!$F:$F,N$1)</f>
        <v>0</v>
      </c>
      <c r="O918" s="242">
        <f>COUNTIFS('تجربه‌گرها'!$B:$B,$A918,'تجربه‌گرها'!$F:$F,O$1)</f>
        <v>0</v>
      </c>
      <c r="P918" s="242">
        <f>COUNTIFS('تجربه‌گرها'!$B:$B,$A918,'تجربه‌گرها'!$F:$F,P$1)</f>
        <v>0</v>
      </c>
      <c r="Q918" s="242">
        <f>COUNTIFS('تجربه‌گرها'!$B:$B,$A918,'تجربه‌گرها'!$F:$F,Q$1)</f>
        <v>0</v>
      </c>
      <c r="R918" s="242">
        <f>COUNTIFS('تجربه‌گرها'!$B:$B,$A918,'تجربه‌گرها'!$F:$F,R$1)</f>
        <v>0</v>
      </c>
      <c r="S918" s="242">
        <f>COUNTIFS('تجربه‌گرها'!$B:$B,$A918,'تجربه‌گرها'!$F:$F,S$1)</f>
        <v>0</v>
      </c>
      <c r="T918" s="242">
        <f>COUNTIFS('تجربه‌گرها'!$B:$B,$A918,'تجربه‌گرها'!$F:$F,T$1)</f>
        <v>0</v>
      </c>
      <c r="U918" s="242"/>
      <c r="V918" s="242"/>
      <c r="W918" s="242"/>
      <c r="X918" s="242"/>
      <c r="Y918" s="242"/>
      <c r="Z918" s="242"/>
      <c r="AA918" s="242"/>
      <c r="AB918" s="242"/>
    </row>
    <row r="919" hidden="1">
      <c r="A919" s="244" t="s">
        <v>5174</v>
      </c>
      <c r="B919" s="245" t="str">
        <f>VLOOKUP(A919,'تجربه‌گرها'!B:C,2,FALSE())</f>
        <v>9133861563</v>
      </c>
      <c r="C919" s="242"/>
      <c r="D919" s="242">
        <f t="shared" si="1"/>
        <v>1</v>
      </c>
      <c r="E919" s="242">
        <f>COUNTIFS('تجربه‌گرها'!$B:$B,$A919,'تجربه‌گرها'!$F:$F,E$1)</f>
        <v>0</v>
      </c>
      <c r="F919" s="242">
        <f>COUNTIFS('تجربه‌گرها'!$B:$B,$A919,'تجربه‌گرها'!$F:$F,F$1)</f>
        <v>0</v>
      </c>
      <c r="G919" s="242">
        <f>COUNTIFS('تجربه‌گرها'!$B:$B,$A919,'تجربه‌گرها'!$F:$F,G$1)</f>
        <v>0</v>
      </c>
      <c r="H919" s="242">
        <f>COUNTIFS('تجربه‌گرها'!$B:$B,$A919,'تجربه‌گرها'!$F:$F,H$1)</f>
        <v>0</v>
      </c>
      <c r="I919" s="242">
        <f>COUNTIFS('تجربه‌گرها'!$B:$B,$A919,'تجربه‌گرها'!$F:$F,I$1)</f>
        <v>0</v>
      </c>
      <c r="J919" s="242">
        <f>COUNTIFS('تجربه‌گرها'!$B:$B,$A919,'تجربه‌گرها'!$F:$F,J$1)</f>
        <v>0</v>
      </c>
      <c r="K919" s="242">
        <f>COUNTIFS('تجربه‌گرها'!$B:$B,$A919,'تجربه‌گرها'!$F:$F,K$1)</f>
        <v>0</v>
      </c>
      <c r="L919" s="242">
        <f>COUNTIFS('تجربه‌گرها'!$B:$B,$A919,'تجربه‌گرها'!$F:$F,L$1)</f>
        <v>1</v>
      </c>
      <c r="M919" s="242">
        <f>COUNTIFS('تجربه‌گرها'!$B:$B,$A919,'تجربه‌گرها'!$F:$F,M$1)</f>
        <v>0</v>
      </c>
      <c r="N919" s="242">
        <f>COUNTIFS('تجربه‌گرها'!$B:$B,$A919,'تجربه‌گرها'!$F:$F,N$1)</f>
        <v>0</v>
      </c>
      <c r="O919" s="242">
        <f>COUNTIFS('تجربه‌گرها'!$B:$B,$A919,'تجربه‌گرها'!$F:$F,O$1)</f>
        <v>0</v>
      </c>
      <c r="P919" s="242">
        <f>COUNTIFS('تجربه‌گرها'!$B:$B,$A919,'تجربه‌گرها'!$F:$F,P$1)</f>
        <v>0</v>
      </c>
      <c r="Q919" s="242">
        <f>COUNTIFS('تجربه‌گرها'!$B:$B,$A919,'تجربه‌گرها'!$F:$F,Q$1)</f>
        <v>0</v>
      </c>
      <c r="R919" s="242">
        <f>COUNTIFS('تجربه‌گرها'!$B:$B,$A919,'تجربه‌گرها'!$F:$F,R$1)</f>
        <v>0</v>
      </c>
      <c r="S919" s="242">
        <f>COUNTIFS('تجربه‌گرها'!$B:$B,$A919,'تجربه‌گرها'!$F:$F,S$1)</f>
        <v>0</v>
      </c>
      <c r="T919" s="242">
        <f>COUNTIFS('تجربه‌گرها'!$B:$B,$A919,'تجربه‌گرها'!$F:$F,T$1)</f>
        <v>0</v>
      </c>
      <c r="U919" s="242"/>
      <c r="V919" s="242"/>
      <c r="W919" s="242"/>
      <c r="X919" s="242"/>
      <c r="Y919" s="242"/>
      <c r="Z919" s="242"/>
      <c r="AA919" s="242"/>
      <c r="AB919" s="242"/>
    </row>
    <row r="920" hidden="1">
      <c r="A920" s="244" t="s">
        <v>5178</v>
      </c>
      <c r="B920" s="245" t="str">
        <f>VLOOKUP(A920,'تجربه‌گرها'!B:C,2,FALSE())</f>
        <v>9123361337</v>
      </c>
      <c r="C920" s="242"/>
      <c r="D920" s="242">
        <f t="shared" si="1"/>
        <v>1</v>
      </c>
      <c r="E920" s="242">
        <f>COUNTIFS('تجربه‌گرها'!$B:$B,$A920,'تجربه‌گرها'!$F:$F,E$1)</f>
        <v>0</v>
      </c>
      <c r="F920" s="242">
        <f>COUNTIFS('تجربه‌گرها'!$B:$B,$A920,'تجربه‌گرها'!$F:$F,F$1)</f>
        <v>0</v>
      </c>
      <c r="G920" s="242">
        <f>COUNTIFS('تجربه‌گرها'!$B:$B,$A920,'تجربه‌گرها'!$F:$F,G$1)</f>
        <v>0</v>
      </c>
      <c r="H920" s="242">
        <f>COUNTIFS('تجربه‌گرها'!$B:$B,$A920,'تجربه‌گرها'!$F:$F,H$1)</f>
        <v>0</v>
      </c>
      <c r="I920" s="242">
        <f>COUNTIFS('تجربه‌گرها'!$B:$B,$A920,'تجربه‌گرها'!$F:$F,I$1)</f>
        <v>0</v>
      </c>
      <c r="J920" s="242">
        <f>COUNTIFS('تجربه‌گرها'!$B:$B,$A920,'تجربه‌گرها'!$F:$F,J$1)</f>
        <v>0</v>
      </c>
      <c r="K920" s="242">
        <f>COUNTIFS('تجربه‌گرها'!$B:$B,$A920,'تجربه‌گرها'!$F:$F,K$1)</f>
        <v>0</v>
      </c>
      <c r="L920" s="242">
        <f>COUNTIFS('تجربه‌گرها'!$B:$B,$A920,'تجربه‌گرها'!$F:$F,L$1)</f>
        <v>1</v>
      </c>
      <c r="M920" s="242">
        <f>COUNTIFS('تجربه‌گرها'!$B:$B,$A920,'تجربه‌گرها'!$F:$F,M$1)</f>
        <v>0</v>
      </c>
      <c r="N920" s="242">
        <f>COUNTIFS('تجربه‌گرها'!$B:$B,$A920,'تجربه‌گرها'!$F:$F,N$1)</f>
        <v>0</v>
      </c>
      <c r="O920" s="242">
        <f>COUNTIFS('تجربه‌گرها'!$B:$B,$A920,'تجربه‌گرها'!$F:$F,O$1)</f>
        <v>0</v>
      </c>
      <c r="P920" s="242">
        <f>COUNTIFS('تجربه‌گرها'!$B:$B,$A920,'تجربه‌گرها'!$F:$F,P$1)</f>
        <v>0</v>
      </c>
      <c r="Q920" s="242">
        <f>COUNTIFS('تجربه‌گرها'!$B:$B,$A920,'تجربه‌گرها'!$F:$F,Q$1)</f>
        <v>0</v>
      </c>
      <c r="R920" s="242">
        <f>COUNTIFS('تجربه‌گرها'!$B:$B,$A920,'تجربه‌گرها'!$F:$F,R$1)</f>
        <v>0</v>
      </c>
      <c r="S920" s="242">
        <f>COUNTIFS('تجربه‌گرها'!$B:$B,$A920,'تجربه‌گرها'!$F:$F,S$1)</f>
        <v>0</v>
      </c>
      <c r="T920" s="242">
        <f>COUNTIFS('تجربه‌گرها'!$B:$B,$A920,'تجربه‌گرها'!$F:$F,T$1)</f>
        <v>0</v>
      </c>
      <c r="U920" s="242"/>
      <c r="V920" s="242"/>
      <c r="W920" s="242"/>
      <c r="X920" s="242"/>
      <c r="Y920" s="242"/>
      <c r="Z920" s="242"/>
      <c r="AA920" s="242"/>
      <c r="AB920" s="242"/>
    </row>
    <row r="921" hidden="1">
      <c r="A921" s="244" t="s">
        <v>5181</v>
      </c>
      <c r="B921" s="245" t="str">
        <f>VLOOKUP(A921,'تجربه‌گرها'!B:C,2,FALSE())</f>
        <v>9383896866</v>
      </c>
      <c r="C921" s="242"/>
      <c r="D921" s="242">
        <f t="shared" si="1"/>
        <v>1</v>
      </c>
      <c r="E921" s="242">
        <f>COUNTIFS('تجربه‌گرها'!$B:$B,$A921,'تجربه‌گرها'!$F:$F,E$1)</f>
        <v>0</v>
      </c>
      <c r="F921" s="242">
        <f>COUNTIFS('تجربه‌گرها'!$B:$B,$A921,'تجربه‌گرها'!$F:$F,F$1)</f>
        <v>0</v>
      </c>
      <c r="G921" s="242">
        <f>COUNTIFS('تجربه‌گرها'!$B:$B,$A921,'تجربه‌گرها'!$F:$F,G$1)</f>
        <v>0</v>
      </c>
      <c r="H921" s="242">
        <f>COUNTIFS('تجربه‌گرها'!$B:$B,$A921,'تجربه‌گرها'!$F:$F,H$1)</f>
        <v>0</v>
      </c>
      <c r="I921" s="242">
        <f>COUNTIFS('تجربه‌گرها'!$B:$B,$A921,'تجربه‌گرها'!$F:$F,I$1)</f>
        <v>0</v>
      </c>
      <c r="J921" s="242">
        <f>COUNTIFS('تجربه‌گرها'!$B:$B,$A921,'تجربه‌گرها'!$F:$F,J$1)</f>
        <v>0</v>
      </c>
      <c r="K921" s="242">
        <f>COUNTIFS('تجربه‌گرها'!$B:$B,$A921,'تجربه‌گرها'!$F:$F,K$1)</f>
        <v>0</v>
      </c>
      <c r="L921" s="242">
        <f>COUNTIFS('تجربه‌گرها'!$B:$B,$A921,'تجربه‌گرها'!$F:$F,L$1)</f>
        <v>1</v>
      </c>
      <c r="M921" s="242">
        <f>COUNTIFS('تجربه‌گرها'!$B:$B,$A921,'تجربه‌گرها'!$F:$F,M$1)</f>
        <v>0</v>
      </c>
      <c r="N921" s="242">
        <f>COUNTIFS('تجربه‌گرها'!$B:$B,$A921,'تجربه‌گرها'!$F:$F,N$1)</f>
        <v>0</v>
      </c>
      <c r="O921" s="242">
        <f>COUNTIFS('تجربه‌گرها'!$B:$B,$A921,'تجربه‌گرها'!$F:$F,O$1)</f>
        <v>0</v>
      </c>
      <c r="P921" s="242">
        <f>COUNTIFS('تجربه‌گرها'!$B:$B,$A921,'تجربه‌گرها'!$F:$F,P$1)</f>
        <v>0</v>
      </c>
      <c r="Q921" s="242">
        <f>COUNTIFS('تجربه‌گرها'!$B:$B,$A921,'تجربه‌گرها'!$F:$F,Q$1)</f>
        <v>0</v>
      </c>
      <c r="R921" s="242">
        <f>COUNTIFS('تجربه‌گرها'!$B:$B,$A921,'تجربه‌گرها'!$F:$F,R$1)</f>
        <v>0</v>
      </c>
      <c r="S921" s="242">
        <f>COUNTIFS('تجربه‌گرها'!$B:$B,$A921,'تجربه‌گرها'!$F:$F,S$1)</f>
        <v>0</v>
      </c>
      <c r="T921" s="242">
        <f>COUNTIFS('تجربه‌گرها'!$B:$B,$A921,'تجربه‌گرها'!$F:$F,T$1)</f>
        <v>0</v>
      </c>
      <c r="U921" s="242"/>
      <c r="V921" s="242"/>
      <c r="W921" s="242"/>
      <c r="X921" s="242"/>
      <c r="Y921" s="242"/>
      <c r="Z921" s="242"/>
      <c r="AA921" s="242"/>
      <c r="AB921" s="242"/>
    </row>
    <row r="922" hidden="1">
      <c r="A922" s="244" t="s">
        <v>5184</v>
      </c>
      <c r="B922" s="245" t="str">
        <f>VLOOKUP(A922,'تجربه‌گرها'!B:C,2,FALSE())</f>
        <v>9121784378</v>
      </c>
      <c r="C922" s="242"/>
      <c r="D922" s="242">
        <f t="shared" si="1"/>
        <v>1</v>
      </c>
      <c r="E922" s="242">
        <f>COUNTIFS('تجربه‌گرها'!$B:$B,$A922,'تجربه‌گرها'!$F:$F,E$1)</f>
        <v>0</v>
      </c>
      <c r="F922" s="242">
        <f>COUNTIFS('تجربه‌گرها'!$B:$B,$A922,'تجربه‌گرها'!$F:$F,F$1)</f>
        <v>0</v>
      </c>
      <c r="G922" s="242">
        <f>COUNTIFS('تجربه‌گرها'!$B:$B,$A922,'تجربه‌گرها'!$F:$F,G$1)</f>
        <v>0</v>
      </c>
      <c r="H922" s="242">
        <f>COUNTIFS('تجربه‌گرها'!$B:$B,$A922,'تجربه‌گرها'!$F:$F,H$1)</f>
        <v>0</v>
      </c>
      <c r="I922" s="242">
        <f>COUNTIFS('تجربه‌گرها'!$B:$B,$A922,'تجربه‌گرها'!$F:$F,I$1)</f>
        <v>0</v>
      </c>
      <c r="J922" s="242">
        <f>COUNTIFS('تجربه‌گرها'!$B:$B,$A922,'تجربه‌گرها'!$F:$F,J$1)</f>
        <v>0</v>
      </c>
      <c r="K922" s="242">
        <f>COUNTIFS('تجربه‌گرها'!$B:$B,$A922,'تجربه‌گرها'!$F:$F,K$1)</f>
        <v>0</v>
      </c>
      <c r="L922" s="242">
        <f>COUNTIFS('تجربه‌گرها'!$B:$B,$A922,'تجربه‌گرها'!$F:$F,L$1)</f>
        <v>1</v>
      </c>
      <c r="M922" s="242">
        <f>COUNTIFS('تجربه‌گرها'!$B:$B,$A922,'تجربه‌گرها'!$F:$F,M$1)</f>
        <v>0</v>
      </c>
      <c r="N922" s="242">
        <f>COUNTIFS('تجربه‌گرها'!$B:$B,$A922,'تجربه‌گرها'!$F:$F,N$1)</f>
        <v>0</v>
      </c>
      <c r="O922" s="242">
        <f>COUNTIFS('تجربه‌گرها'!$B:$B,$A922,'تجربه‌گرها'!$F:$F,O$1)</f>
        <v>0</v>
      </c>
      <c r="P922" s="242">
        <f>COUNTIFS('تجربه‌گرها'!$B:$B,$A922,'تجربه‌گرها'!$F:$F,P$1)</f>
        <v>0</v>
      </c>
      <c r="Q922" s="242">
        <f>COUNTIFS('تجربه‌گرها'!$B:$B,$A922,'تجربه‌گرها'!$F:$F,Q$1)</f>
        <v>0</v>
      </c>
      <c r="R922" s="242">
        <f>COUNTIFS('تجربه‌گرها'!$B:$B,$A922,'تجربه‌گرها'!$F:$F,R$1)</f>
        <v>0</v>
      </c>
      <c r="S922" s="242">
        <f>COUNTIFS('تجربه‌گرها'!$B:$B,$A922,'تجربه‌گرها'!$F:$F,S$1)</f>
        <v>0</v>
      </c>
      <c r="T922" s="242">
        <f>COUNTIFS('تجربه‌گرها'!$B:$B,$A922,'تجربه‌گرها'!$F:$F,T$1)</f>
        <v>0</v>
      </c>
      <c r="U922" s="242"/>
      <c r="V922" s="242"/>
      <c r="W922" s="242"/>
      <c r="X922" s="242"/>
      <c r="Y922" s="242"/>
      <c r="Z922" s="242"/>
      <c r="AA922" s="242"/>
      <c r="AB922" s="242"/>
    </row>
    <row r="923" hidden="1">
      <c r="A923" s="244" t="s">
        <v>5188</v>
      </c>
      <c r="B923" s="245" t="str">
        <f>VLOOKUP(A923,'تجربه‌گرها'!B:C,2,FALSE())</f>
        <v>9129450379</v>
      </c>
      <c r="C923" s="242"/>
      <c r="D923" s="242">
        <f t="shared" si="1"/>
        <v>1</v>
      </c>
      <c r="E923" s="242">
        <f>COUNTIFS('تجربه‌گرها'!$B:$B,$A923,'تجربه‌گرها'!$F:$F,E$1)</f>
        <v>0</v>
      </c>
      <c r="F923" s="242">
        <f>COUNTIFS('تجربه‌گرها'!$B:$B,$A923,'تجربه‌گرها'!$F:$F,F$1)</f>
        <v>0</v>
      </c>
      <c r="G923" s="242">
        <f>COUNTIFS('تجربه‌گرها'!$B:$B,$A923,'تجربه‌گرها'!$F:$F,G$1)</f>
        <v>0</v>
      </c>
      <c r="H923" s="242">
        <f>COUNTIFS('تجربه‌گرها'!$B:$B,$A923,'تجربه‌گرها'!$F:$F,H$1)</f>
        <v>0</v>
      </c>
      <c r="I923" s="242">
        <f>COUNTIFS('تجربه‌گرها'!$B:$B,$A923,'تجربه‌گرها'!$F:$F,I$1)</f>
        <v>0</v>
      </c>
      <c r="J923" s="242">
        <f>COUNTIFS('تجربه‌گرها'!$B:$B,$A923,'تجربه‌گرها'!$F:$F,J$1)</f>
        <v>0</v>
      </c>
      <c r="K923" s="242">
        <f>COUNTIFS('تجربه‌گرها'!$B:$B,$A923,'تجربه‌گرها'!$F:$F,K$1)</f>
        <v>0</v>
      </c>
      <c r="L923" s="242">
        <f>COUNTIFS('تجربه‌گرها'!$B:$B,$A923,'تجربه‌گرها'!$F:$F,L$1)</f>
        <v>1</v>
      </c>
      <c r="M923" s="242">
        <f>COUNTIFS('تجربه‌گرها'!$B:$B,$A923,'تجربه‌گرها'!$F:$F,M$1)</f>
        <v>0</v>
      </c>
      <c r="N923" s="242">
        <f>COUNTIFS('تجربه‌گرها'!$B:$B,$A923,'تجربه‌گرها'!$F:$F,N$1)</f>
        <v>0</v>
      </c>
      <c r="O923" s="242">
        <f>COUNTIFS('تجربه‌گرها'!$B:$B,$A923,'تجربه‌گرها'!$F:$F,O$1)</f>
        <v>0</v>
      </c>
      <c r="P923" s="242">
        <f>COUNTIFS('تجربه‌گرها'!$B:$B,$A923,'تجربه‌گرها'!$F:$F,P$1)</f>
        <v>0</v>
      </c>
      <c r="Q923" s="242">
        <f>COUNTIFS('تجربه‌گرها'!$B:$B,$A923,'تجربه‌گرها'!$F:$F,Q$1)</f>
        <v>0</v>
      </c>
      <c r="R923" s="242">
        <f>COUNTIFS('تجربه‌گرها'!$B:$B,$A923,'تجربه‌گرها'!$F:$F,R$1)</f>
        <v>0</v>
      </c>
      <c r="S923" s="242">
        <f>COUNTIFS('تجربه‌گرها'!$B:$B,$A923,'تجربه‌گرها'!$F:$F,S$1)</f>
        <v>0</v>
      </c>
      <c r="T923" s="242">
        <f>COUNTIFS('تجربه‌گرها'!$B:$B,$A923,'تجربه‌گرها'!$F:$F,T$1)</f>
        <v>0</v>
      </c>
      <c r="U923" s="242"/>
      <c r="V923" s="242"/>
      <c r="W923" s="242"/>
      <c r="X923" s="242"/>
      <c r="Y923" s="242"/>
      <c r="Z923" s="242"/>
      <c r="AA923" s="242"/>
      <c r="AB923" s="242"/>
    </row>
    <row r="924" hidden="1">
      <c r="A924" s="244" t="s">
        <v>73</v>
      </c>
      <c r="B924" s="245" t="str">
        <f>VLOOKUP(A924,'تجربه‌گرها'!B:C,2,FALSE())</f>
        <v/>
      </c>
      <c r="C924" s="242"/>
      <c r="D924" s="242">
        <f t="shared" si="1"/>
        <v>3</v>
      </c>
      <c r="E924" s="242">
        <f>COUNTIFS('تجربه‌گرها'!$B:$B,$A924,'تجربه‌گرها'!$F:$F,E$1)</f>
        <v>0</v>
      </c>
      <c r="F924" s="242">
        <f>COUNTIFS('تجربه‌گرها'!$B:$B,$A924,'تجربه‌گرها'!$F:$F,F$1)</f>
        <v>0</v>
      </c>
      <c r="G924" s="242">
        <f>COUNTIFS('تجربه‌گرها'!$B:$B,$A924,'تجربه‌گرها'!$F:$F,G$1)</f>
        <v>0</v>
      </c>
      <c r="H924" s="242">
        <f>COUNTIFS('تجربه‌گرها'!$B:$B,$A924,'تجربه‌گرها'!$F:$F,H$1)</f>
        <v>0</v>
      </c>
      <c r="I924" s="242">
        <f>COUNTIFS('تجربه‌گرها'!$B:$B,$A924,'تجربه‌گرها'!$F:$F,I$1)</f>
        <v>0</v>
      </c>
      <c r="J924" s="242">
        <f>COUNTIFS('تجربه‌گرها'!$B:$B,$A924,'تجربه‌گرها'!$F:$F,J$1)</f>
        <v>0</v>
      </c>
      <c r="K924" s="242">
        <f>COUNTIFS('تجربه‌گرها'!$B:$B,$A924,'تجربه‌گرها'!$F:$F,K$1)</f>
        <v>0</v>
      </c>
      <c r="L924" s="242">
        <f>COUNTIFS('تجربه‌گرها'!$B:$B,$A924,'تجربه‌گرها'!$F:$F,L$1)</f>
        <v>1</v>
      </c>
      <c r="M924" s="242">
        <f>COUNTIFS('تجربه‌گرها'!$B:$B,$A924,'تجربه‌گرها'!$F:$F,M$1)</f>
        <v>1</v>
      </c>
      <c r="N924" s="242">
        <f>COUNTIFS('تجربه‌گرها'!$B:$B,$A924,'تجربه‌گرها'!$F:$F,N$1)</f>
        <v>1</v>
      </c>
      <c r="O924" s="242">
        <f>COUNTIFS('تجربه‌گرها'!$B:$B,$A924,'تجربه‌گرها'!$F:$F,O$1)</f>
        <v>0</v>
      </c>
      <c r="P924" s="242">
        <f>COUNTIFS('تجربه‌گرها'!$B:$B,$A924,'تجربه‌گرها'!$F:$F,P$1)</f>
        <v>0</v>
      </c>
      <c r="Q924" s="242">
        <f>COUNTIFS('تجربه‌گرها'!$B:$B,$A924,'تجربه‌گرها'!$F:$F,Q$1)</f>
        <v>0</v>
      </c>
      <c r="R924" s="242">
        <f>COUNTIFS('تجربه‌گرها'!$B:$B,$A924,'تجربه‌گرها'!$F:$F,R$1)</f>
        <v>0</v>
      </c>
      <c r="S924" s="242">
        <f>COUNTIFS('تجربه‌گرها'!$B:$B,$A924,'تجربه‌گرها'!$F:$F,S$1)</f>
        <v>0</v>
      </c>
      <c r="T924" s="242">
        <f>COUNTIFS('تجربه‌گرها'!$B:$B,$A924,'تجربه‌گرها'!$F:$F,T$1)</f>
        <v>0</v>
      </c>
      <c r="U924" s="242"/>
      <c r="V924" s="242"/>
      <c r="W924" s="242"/>
      <c r="X924" s="242"/>
      <c r="Y924" s="242"/>
      <c r="Z924" s="242"/>
      <c r="AA924" s="242"/>
      <c r="AB924" s="242"/>
    </row>
    <row r="925" hidden="1">
      <c r="A925" s="244" t="s">
        <v>5192</v>
      </c>
      <c r="B925" s="245" t="str">
        <f>VLOOKUP(A925,'تجربه‌گرها'!B:C,2,FALSE())</f>
        <v>9126935259</v>
      </c>
      <c r="C925" s="242"/>
      <c r="D925" s="242">
        <f t="shared" si="1"/>
        <v>1</v>
      </c>
      <c r="E925" s="242">
        <f>COUNTIFS('تجربه‌گرها'!$B:$B,$A925,'تجربه‌گرها'!$F:$F,E$1)</f>
        <v>0</v>
      </c>
      <c r="F925" s="242">
        <f>COUNTIFS('تجربه‌گرها'!$B:$B,$A925,'تجربه‌گرها'!$F:$F,F$1)</f>
        <v>0</v>
      </c>
      <c r="G925" s="242">
        <f>COUNTIFS('تجربه‌گرها'!$B:$B,$A925,'تجربه‌گرها'!$F:$F,G$1)</f>
        <v>0</v>
      </c>
      <c r="H925" s="242">
        <f>COUNTIFS('تجربه‌گرها'!$B:$B,$A925,'تجربه‌گرها'!$F:$F,H$1)</f>
        <v>0</v>
      </c>
      <c r="I925" s="242">
        <f>COUNTIFS('تجربه‌گرها'!$B:$B,$A925,'تجربه‌گرها'!$F:$F,I$1)</f>
        <v>0</v>
      </c>
      <c r="J925" s="242">
        <f>COUNTIFS('تجربه‌گرها'!$B:$B,$A925,'تجربه‌گرها'!$F:$F,J$1)</f>
        <v>0</v>
      </c>
      <c r="K925" s="242">
        <f>COUNTIFS('تجربه‌گرها'!$B:$B,$A925,'تجربه‌گرها'!$F:$F,K$1)</f>
        <v>0</v>
      </c>
      <c r="L925" s="242">
        <f>COUNTIFS('تجربه‌گرها'!$B:$B,$A925,'تجربه‌گرها'!$F:$F,L$1)</f>
        <v>1</v>
      </c>
      <c r="M925" s="242">
        <f>COUNTIFS('تجربه‌گرها'!$B:$B,$A925,'تجربه‌گرها'!$F:$F,M$1)</f>
        <v>0</v>
      </c>
      <c r="N925" s="242">
        <f>COUNTIFS('تجربه‌گرها'!$B:$B,$A925,'تجربه‌گرها'!$F:$F,N$1)</f>
        <v>0</v>
      </c>
      <c r="O925" s="242">
        <f>COUNTIFS('تجربه‌گرها'!$B:$B,$A925,'تجربه‌گرها'!$F:$F,O$1)</f>
        <v>0</v>
      </c>
      <c r="P925" s="242">
        <f>COUNTIFS('تجربه‌گرها'!$B:$B,$A925,'تجربه‌گرها'!$F:$F,P$1)</f>
        <v>0</v>
      </c>
      <c r="Q925" s="242">
        <f>COUNTIFS('تجربه‌گرها'!$B:$B,$A925,'تجربه‌گرها'!$F:$F,Q$1)</f>
        <v>0</v>
      </c>
      <c r="R925" s="242">
        <f>COUNTIFS('تجربه‌گرها'!$B:$B,$A925,'تجربه‌گرها'!$F:$F,R$1)</f>
        <v>0</v>
      </c>
      <c r="S925" s="242">
        <f>COUNTIFS('تجربه‌گرها'!$B:$B,$A925,'تجربه‌گرها'!$F:$F,S$1)</f>
        <v>0</v>
      </c>
      <c r="T925" s="242">
        <f>COUNTIFS('تجربه‌گرها'!$B:$B,$A925,'تجربه‌گرها'!$F:$F,T$1)</f>
        <v>0</v>
      </c>
      <c r="U925" s="242"/>
      <c r="V925" s="242"/>
      <c r="W925" s="242"/>
      <c r="X925" s="242"/>
      <c r="Y925" s="242"/>
      <c r="Z925" s="242"/>
      <c r="AA925" s="242"/>
      <c r="AB925" s="242"/>
    </row>
    <row r="926" hidden="1">
      <c r="A926" s="244" t="s">
        <v>5196</v>
      </c>
      <c r="B926" s="245" t="str">
        <f>VLOOKUP(A926,'تجربه‌گرها'!B:C,2,FALSE())</f>
        <v>9127791557</v>
      </c>
      <c r="C926" s="242"/>
      <c r="D926" s="242">
        <f t="shared" si="1"/>
        <v>1</v>
      </c>
      <c r="E926" s="242">
        <f>COUNTIFS('تجربه‌گرها'!$B:$B,$A926,'تجربه‌گرها'!$F:$F,E$1)</f>
        <v>0</v>
      </c>
      <c r="F926" s="242">
        <f>COUNTIFS('تجربه‌گرها'!$B:$B,$A926,'تجربه‌گرها'!$F:$F,F$1)</f>
        <v>0</v>
      </c>
      <c r="G926" s="242">
        <f>COUNTIFS('تجربه‌گرها'!$B:$B,$A926,'تجربه‌گرها'!$F:$F,G$1)</f>
        <v>0</v>
      </c>
      <c r="H926" s="242">
        <f>COUNTIFS('تجربه‌گرها'!$B:$B,$A926,'تجربه‌گرها'!$F:$F,H$1)</f>
        <v>0</v>
      </c>
      <c r="I926" s="242">
        <f>COUNTIFS('تجربه‌گرها'!$B:$B,$A926,'تجربه‌گرها'!$F:$F,I$1)</f>
        <v>0</v>
      </c>
      <c r="J926" s="242">
        <f>COUNTIFS('تجربه‌گرها'!$B:$B,$A926,'تجربه‌گرها'!$F:$F,J$1)</f>
        <v>0</v>
      </c>
      <c r="K926" s="242">
        <f>COUNTIFS('تجربه‌گرها'!$B:$B,$A926,'تجربه‌گرها'!$F:$F,K$1)</f>
        <v>0</v>
      </c>
      <c r="L926" s="242">
        <f>COUNTIFS('تجربه‌گرها'!$B:$B,$A926,'تجربه‌گرها'!$F:$F,L$1)</f>
        <v>1</v>
      </c>
      <c r="M926" s="242">
        <f>COUNTIFS('تجربه‌گرها'!$B:$B,$A926,'تجربه‌گرها'!$F:$F,M$1)</f>
        <v>0</v>
      </c>
      <c r="N926" s="242">
        <f>COUNTIFS('تجربه‌گرها'!$B:$B,$A926,'تجربه‌گرها'!$F:$F,N$1)</f>
        <v>0</v>
      </c>
      <c r="O926" s="242">
        <f>COUNTIFS('تجربه‌گرها'!$B:$B,$A926,'تجربه‌گرها'!$F:$F,O$1)</f>
        <v>0</v>
      </c>
      <c r="P926" s="242">
        <f>COUNTIFS('تجربه‌گرها'!$B:$B,$A926,'تجربه‌گرها'!$F:$F,P$1)</f>
        <v>0</v>
      </c>
      <c r="Q926" s="242">
        <f>COUNTIFS('تجربه‌گرها'!$B:$B,$A926,'تجربه‌گرها'!$F:$F,Q$1)</f>
        <v>0</v>
      </c>
      <c r="R926" s="242">
        <f>COUNTIFS('تجربه‌گرها'!$B:$B,$A926,'تجربه‌گرها'!$F:$F,R$1)</f>
        <v>0</v>
      </c>
      <c r="S926" s="242">
        <f>COUNTIFS('تجربه‌گرها'!$B:$B,$A926,'تجربه‌گرها'!$F:$F,S$1)</f>
        <v>0</v>
      </c>
      <c r="T926" s="242">
        <f>COUNTIFS('تجربه‌گرها'!$B:$B,$A926,'تجربه‌گرها'!$F:$F,T$1)</f>
        <v>0</v>
      </c>
      <c r="U926" s="242"/>
      <c r="V926" s="242"/>
      <c r="W926" s="242"/>
      <c r="X926" s="242"/>
      <c r="Y926" s="242"/>
      <c r="Z926" s="242"/>
      <c r="AA926" s="242"/>
      <c r="AB926" s="242"/>
    </row>
    <row r="927" hidden="1">
      <c r="A927" s="244" t="s">
        <v>5200</v>
      </c>
      <c r="B927" s="245" t="str">
        <f>VLOOKUP(A927,'تجربه‌گرها'!B:C,2,FALSE())</f>
        <v>9300642799</v>
      </c>
      <c r="C927" s="242"/>
      <c r="D927" s="242">
        <f t="shared" si="1"/>
        <v>1</v>
      </c>
      <c r="E927" s="242">
        <f>COUNTIFS('تجربه‌گرها'!$B:$B,$A927,'تجربه‌گرها'!$F:$F,E$1)</f>
        <v>0</v>
      </c>
      <c r="F927" s="242">
        <f>COUNTIFS('تجربه‌گرها'!$B:$B,$A927,'تجربه‌گرها'!$F:$F,F$1)</f>
        <v>0</v>
      </c>
      <c r="G927" s="242">
        <f>COUNTIFS('تجربه‌گرها'!$B:$B,$A927,'تجربه‌گرها'!$F:$F,G$1)</f>
        <v>0</v>
      </c>
      <c r="H927" s="242">
        <f>COUNTIFS('تجربه‌گرها'!$B:$B,$A927,'تجربه‌گرها'!$F:$F,H$1)</f>
        <v>0</v>
      </c>
      <c r="I927" s="242">
        <f>COUNTIFS('تجربه‌گرها'!$B:$B,$A927,'تجربه‌گرها'!$F:$F,I$1)</f>
        <v>0</v>
      </c>
      <c r="J927" s="242">
        <f>COUNTIFS('تجربه‌گرها'!$B:$B,$A927,'تجربه‌گرها'!$F:$F,J$1)</f>
        <v>0</v>
      </c>
      <c r="K927" s="242">
        <f>COUNTIFS('تجربه‌گرها'!$B:$B,$A927,'تجربه‌گرها'!$F:$F,K$1)</f>
        <v>0</v>
      </c>
      <c r="L927" s="242">
        <f>COUNTIFS('تجربه‌گرها'!$B:$B,$A927,'تجربه‌گرها'!$F:$F,L$1)</f>
        <v>1</v>
      </c>
      <c r="M927" s="242">
        <f>COUNTIFS('تجربه‌گرها'!$B:$B,$A927,'تجربه‌گرها'!$F:$F,M$1)</f>
        <v>0</v>
      </c>
      <c r="N927" s="242">
        <f>COUNTIFS('تجربه‌گرها'!$B:$B,$A927,'تجربه‌گرها'!$F:$F,N$1)</f>
        <v>0</v>
      </c>
      <c r="O927" s="242">
        <f>COUNTIFS('تجربه‌گرها'!$B:$B,$A927,'تجربه‌گرها'!$F:$F,O$1)</f>
        <v>0</v>
      </c>
      <c r="P927" s="242">
        <f>COUNTIFS('تجربه‌گرها'!$B:$B,$A927,'تجربه‌گرها'!$F:$F,P$1)</f>
        <v>0</v>
      </c>
      <c r="Q927" s="242">
        <f>COUNTIFS('تجربه‌گرها'!$B:$B,$A927,'تجربه‌گرها'!$F:$F,Q$1)</f>
        <v>0</v>
      </c>
      <c r="R927" s="242">
        <f>COUNTIFS('تجربه‌گرها'!$B:$B,$A927,'تجربه‌گرها'!$F:$F,R$1)</f>
        <v>0</v>
      </c>
      <c r="S927" s="242">
        <f>COUNTIFS('تجربه‌گرها'!$B:$B,$A927,'تجربه‌گرها'!$F:$F,S$1)</f>
        <v>0</v>
      </c>
      <c r="T927" s="242">
        <f>COUNTIFS('تجربه‌گرها'!$B:$B,$A927,'تجربه‌گرها'!$F:$F,T$1)</f>
        <v>0</v>
      </c>
      <c r="U927" s="242"/>
      <c r="V927" s="242"/>
      <c r="W927" s="242"/>
      <c r="X927" s="242"/>
      <c r="Y927" s="242"/>
      <c r="Z927" s="242"/>
      <c r="AA927" s="242"/>
      <c r="AB927" s="242"/>
    </row>
    <row r="928" hidden="1">
      <c r="A928" s="244" t="s">
        <v>5203</v>
      </c>
      <c r="B928" s="245" t="str">
        <f>VLOOKUP(A928,'تجربه‌گرها'!B:C,2,FALSE())</f>
        <v>9125753858</v>
      </c>
      <c r="C928" s="242"/>
      <c r="D928" s="242">
        <f t="shared" si="1"/>
        <v>1</v>
      </c>
      <c r="E928" s="242">
        <f>COUNTIFS('تجربه‌گرها'!$B:$B,$A928,'تجربه‌گرها'!$F:$F,E$1)</f>
        <v>0</v>
      </c>
      <c r="F928" s="242">
        <f>COUNTIFS('تجربه‌گرها'!$B:$B,$A928,'تجربه‌گرها'!$F:$F,F$1)</f>
        <v>0</v>
      </c>
      <c r="G928" s="242">
        <f>COUNTIFS('تجربه‌گرها'!$B:$B,$A928,'تجربه‌گرها'!$F:$F,G$1)</f>
        <v>0</v>
      </c>
      <c r="H928" s="242">
        <f>COUNTIFS('تجربه‌گرها'!$B:$B,$A928,'تجربه‌گرها'!$F:$F,H$1)</f>
        <v>0</v>
      </c>
      <c r="I928" s="242">
        <f>COUNTIFS('تجربه‌گرها'!$B:$B,$A928,'تجربه‌گرها'!$F:$F,I$1)</f>
        <v>0</v>
      </c>
      <c r="J928" s="242">
        <f>COUNTIFS('تجربه‌گرها'!$B:$B,$A928,'تجربه‌گرها'!$F:$F,J$1)</f>
        <v>0</v>
      </c>
      <c r="K928" s="242">
        <f>COUNTIFS('تجربه‌گرها'!$B:$B,$A928,'تجربه‌گرها'!$F:$F,K$1)</f>
        <v>0</v>
      </c>
      <c r="L928" s="242">
        <f>COUNTIFS('تجربه‌گرها'!$B:$B,$A928,'تجربه‌گرها'!$F:$F,L$1)</f>
        <v>1</v>
      </c>
      <c r="M928" s="242">
        <f>COUNTIFS('تجربه‌گرها'!$B:$B,$A928,'تجربه‌گرها'!$F:$F,M$1)</f>
        <v>0</v>
      </c>
      <c r="N928" s="242">
        <f>COUNTIFS('تجربه‌گرها'!$B:$B,$A928,'تجربه‌گرها'!$F:$F,N$1)</f>
        <v>0</v>
      </c>
      <c r="O928" s="242">
        <f>COUNTIFS('تجربه‌گرها'!$B:$B,$A928,'تجربه‌گرها'!$F:$F,O$1)</f>
        <v>0</v>
      </c>
      <c r="P928" s="242">
        <f>COUNTIFS('تجربه‌گرها'!$B:$B,$A928,'تجربه‌گرها'!$F:$F,P$1)</f>
        <v>0</v>
      </c>
      <c r="Q928" s="242">
        <f>COUNTIFS('تجربه‌گرها'!$B:$B,$A928,'تجربه‌گرها'!$F:$F,Q$1)</f>
        <v>0</v>
      </c>
      <c r="R928" s="242">
        <f>COUNTIFS('تجربه‌گرها'!$B:$B,$A928,'تجربه‌گرها'!$F:$F,R$1)</f>
        <v>0</v>
      </c>
      <c r="S928" s="242">
        <f>COUNTIFS('تجربه‌گرها'!$B:$B,$A928,'تجربه‌گرها'!$F:$F,S$1)</f>
        <v>0</v>
      </c>
      <c r="T928" s="242">
        <f>COUNTIFS('تجربه‌گرها'!$B:$B,$A928,'تجربه‌گرها'!$F:$F,T$1)</f>
        <v>0</v>
      </c>
      <c r="U928" s="242"/>
      <c r="V928" s="242"/>
      <c r="W928" s="242"/>
      <c r="X928" s="242"/>
      <c r="Y928" s="242"/>
      <c r="Z928" s="242"/>
      <c r="AA928" s="242"/>
      <c r="AB928" s="242"/>
    </row>
    <row r="929" hidden="1">
      <c r="A929" s="244" t="s">
        <v>5207</v>
      </c>
      <c r="B929" s="245" t="str">
        <f>VLOOKUP(A929,'تجربه‌گرها'!B:C,2,FALSE())</f>
        <v>9122046977</v>
      </c>
      <c r="C929" s="242"/>
      <c r="D929" s="242">
        <f t="shared" si="1"/>
        <v>1</v>
      </c>
      <c r="E929" s="242">
        <f>COUNTIFS('تجربه‌گرها'!$B:$B,$A929,'تجربه‌گرها'!$F:$F,E$1)</f>
        <v>0</v>
      </c>
      <c r="F929" s="242">
        <f>COUNTIFS('تجربه‌گرها'!$B:$B,$A929,'تجربه‌گرها'!$F:$F,F$1)</f>
        <v>0</v>
      </c>
      <c r="G929" s="242">
        <f>COUNTIFS('تجربه‌گرها'!$B:$B,$A929,'تجربه‌گرها'!$F:$F,G$1)</f>
        <v>0</v>
      </c>
      <c r="H929" s="242">
        <f>COUNTIFS('تجربه‌گرها'!$B:$B,$A929,'تجربه‌گرها'!$F:$F,H$1)</f>
        <v>0</v>
      </c>
      <c r="I929" s="242">
        <f>COUNTIFS('تجربه‌گرها'!$B:$B,$A929,'تجربه‌گرها'!$F:$F,I$1)</f>
        <v>0</v>
      </c>
      <c r="J929" s="242">
        <f>COUNTIFS('تجربه‌گرها'!$B:$B,$A929,'تجربه‌گرها'!$F:$F,J$1)</f>
        <v>0</v>
      </c>
      <c r="K929" s="242">
        <f>COUNTIFS('تجربه‌گرها'!$B:$B,$A929,'تجربه‌گرها'!$F:$F,K$1)</f>
        <v>0</v>
      </c>
      <c r="L929" s="242">
        <f>COUNTIFS('تجربه‌گرها'!$B:$B,$A929,'تجربه‌گرها'!$F:$F,L$1)</f>
        <v>1</v>
      </c>
      <c r="M929" s="242">
        <f>COUNTIFS('تجربه‌گرها'!$B:$B,$A929,'تجربه‌گرها'!$F:$F,M$1)</f>
        <v>0</v>
      </c>
      <c r="N929" s="242">
        <f>COUNTIFS('تجربه‌گرها'!$B:$B,$A929,'تجربه‌گرها'!$F:$F,N$1)</f>
        <v>0</v>
      </c>
      <c r="O929" s="242">
        <f>COUNTIFS('تجربه‌گرها'!$B:$B,$A929,'تجربه‌گرها'!$F:$F,O$1)</f>
        <v>0</v>
      </c>
      <c r="P929" s="242">
        <f>COUNTIFS('تجربه‌گرها'!$B:$B,$A929,'تجربه‌گرها'!$F:$F,P$1)</f>
        <v>0</v>
      </c>
      <c r="Q929" s="242">
        <f>COUNTIFS('تجربه‌گرها'!$B:$B,$A929,'تجربه‌گرها'!$F:$F,Q$1)</f>
        <v>0</v>
      </c>
      <c r="R929" s="242">
        <f>COUNTIFS('تجربه‌گرها'!$B:$B,$A929,'تجربه‌گرها'!$F:$F,R$1)</f>
        <v>0</v>
      </c>
      <c r="S929" s="242">
        <f>COUNTIFS('تجربه‌گرها'!$B:$B,$A929,'تجربه‌گرها'!$F:$F,S$1)</f>
        <v>0</v>
      </c>
      <c r="T929" s="242">
        <f>COUNTIFS('تجربه‌گرها'!$B:$B,$A929,'تجربه‌گرها'!$F:$F,T$1)</f>
        <v>0</v>
      </c>
      <c r="U929" s="242"/>
      <c r="V929" s="242"/>
      <c r="W929" s="242"/>
      <c r="X929" s="242"/>
      <c r="Y929" s="242"/>
      <c r="Z929" s="242"/>
      <c r="AA929" s="242"/>
      <c r="AB929" s="242"/>
    </row>
    <row r="930" hidden="1">
      <c r="A930" s="244" t="s">
        <v>5212</v>
      </c>
      <c r="B930" s="245" t="str">
        <f>VLOOKUP(A930,'تجربه‌گرها'!B:C,2,FALSE())</f>
        <v>9903487973</v>
      </c>
      <c r="C930" s="242"/>
      <c r="D930" s="242">
        <f t="shared" si="1"/>
        <v>1</v>
      </c>
      <c r="E930" s="242">
        <f>COUNTIFS('تجربه‌گرها'!$B:$B,$A930,'تجربه‌گرها'!$F:$F,E$1)</f>
        <v>0</v>
      </c>
      <c r="F930" s="242">
        <f>COUNTIFS('تجربه‌گرها'!$B:$B,$A930,'تجربه‌گرها'!$F:$F,F$1)</f>
        <v>0</v>
      </c>
      <c r="G930" s="242">
        <f>COUNTIFS('تجربه‌گرها'!$B:$B,$A930,'تجربه‌گرها'!$F:$F,G$1)</f>
        <v>0</v>
      </c>
      <c r="H930" s="242">
        <f>COUNTIFS('تجربه‌گرها'!$B:$B,$A930,'تجربه‌گرها'!$F:$F,H$1)</f>
        <v>0</v>
      </c>
      <c r="I930" s="242">
        <f>COUNTIFS('تجربه‌گرها'!$B:$B,$A930,'تجربه‌گرها'!$F:$F,I$1)</f>
        <v>0</v>
      </c>
      <c r="J930" s="242">
        <f>COUNTIFS('تجربه‌گرها'!$B:$B,$A930,'تجربه‌گرها'!$F:$F,J$1)</f>
        <v>0</v>
      </c>
      <c r="K930" s="242">
        <f>COUNTIFS('تجربه‌گرها'!$B:$B,$A930,'تجربه‌گرها'!$F:$F,K$1)</f>
        <v>0</v>
      </c>
      <c r="L930" s="242">
        <f>COUNTIFS('تجربه‌گرها'!$B:$B,$A930,'تجربه‌گرها'!$F:$F,L$1)</f>
        <v>1</v>
      </c>
      <c r="M930" s="242">
        <f>COUNTIFS('تجربه‌گرها'!$B:$B,$A930,'تجربه‌گرها'!$F:$F,M$1)</f>
        <v>0</v>
      </c>
      <c r="N930" s="242">
        <f>COUNTIFS('تجربه‌گرها'!$B:$B,$A930,'تجربه‌گرها'!$F:$F,N$1)</f>
        <v>0</v>
      </c>
      <c r="O930" s="242">
        <f>COUNTIFS('تجربه‌گرها'!$B:$B,$A930,'تجربه‌گرها'!$F:$F,O$1)</f>
        <v>0</v>
      </c>
      <c r="P930" s="242">
        <f>COUNTIFS('تجربه‌گرها'!$B:$B,$A930,'تجربه‌گرها'!$F:$F,P$1)</f>
        <v>0</v>
      </c>
      <c r="Q930" s="242">
        <f>COUNTIFS('تجربه‌گرها'!$B:$B,$A930,'تجربه‌گرها'!$F:$F,Q$1)</f>
        <v>0</v>
      </c>
      <c r="R930" s="242">
        <f>COUNTIFS('تجربه‌گرها'!$B:$B,$A930,'تجربه‌گرها'!$F:$F,R$1)</f>
        <v>0</v>
      </c>
      <c r="S930" s="242">
        <f>COUNTIFS('تجربه‌گرها'!$B:$B,$A930,'تجربه‌گرها'!$F:$F,S$1)</f>
        <v>0</v>
      </c>
      <c r="T930" s="242">
        <f>COUNTIFS('تجربه‌گرها'!$B:$B,$A930,'تجربه‌گرها'!$F:$F,T$1)</f>
        <v>0</v>
      </c>
      <c r="U930" s="242"/>
      <c r="V930" s="242"/>
      <c r="W930" s="242"/>
      <c r="X930" s="242"/>
      <c r="Y930" s="242"/>
      <c r="Z930" s="242"/>
      <c r="AA930" s="242"/>
      <c r="AB930" s="242"/>
    </row>
    <row r="931">
      <c r="A931" s="244" t="s">
        <v>5215</v>
      </c>
      <c r="B931" s="245" t="str">
        <f>VLOOKUP(A931,'تجربه‌گرها'!B:C,2,FALSE())</f>
        <v>9383013455</v>
      </c>
      <c r="C931" s="242"/>
      <c r="D931" s="242">
        <f t="shared" si="1"/>
        <v>1</v>
      </c>
      <c r="E931" s="242">
        <f>COUNTIFS('تجربه‌گرها'!$B:$B,$A931,'تجربه‌گرها'!$F:$F,E$1)</f>
        <v>0</v>
      </c>
      <c r="F931" s="242">
        <f>COUNTIFS('تجربه‌گرها'!$B:$B,$A931,'تجربه‌گرها'!$F:$F,F$1)</f>
        <v>0</v>
      </c>
      <c r="G931" s="242">
        <f>COUNTIFS('تجربه‌گرها'!$B:$B,$A931,'تجربه‌گرها'!$F:$F,G$1)</f>
        <v>0</v>
      </c>
      <c r="H931" s="242">
        <f>COUNTIFS('تجربه‌گرها'!$B:$B,$A931,'تجربه‌گرها'!$F:$F,H$1)</f>
        <v>0</v>
      </c>
      <c r="I931" s="242">
        <f>COUNTIFS('تجربه‌گرها'!$B:$B,$A931,'تجربه‌گرها'!$F:$F,I$1)</f>
        <v>0</v>
      </c>
      <c r="J931" s="242">
        <f>COUNTIFS('تجربه‌گرها'!$B:$B,$A931,'تجربه‌گرها'!$F:$F,J$1)</f>
        <v>0</v>
      </c>
      <c r="K931" s="242">
        <f>COUNTIFS('تجربه‌گرها'!$B:$B,$A931,'تجربه‌گرها'!$F:$F,K$1)</f>
        <v>0</v>
      </c>
      <c r="L931" s="242">
        <f>COUNTIFS('تجربه‌گرها'!$B:$B,$A931,'تجربه‌گرها'!$F:$F,L$1)</f>
        <v>1</v>
      </c>
      <c r="M931" s="242">
        <f>COUNTIFS('تجربه‌گرها'!$B:$B,$A931,'تجربه‌گرها'!$F:$F,M$1)</f>
        <v>0</v>
      </c>
      <c r="N931" s="242">
        <f>COUNTIFS('تجربه‌گرها'!$B:$B,$A931,'تجربه‌گرها'!$F:$F,N$1)</f>
        <v>0</v>
      </c>
      <c r="O931" s="242">
        <f>COUNTIFS('تجربه‌گرها'!$B:$B,$A931,'تجربه‌گرها'!$F:$F,O$1)</f>
        <v>0</v>
      </c>
      <c r="P931" s="242">
        <f>COUNTIFS('تجربه‌گرها'!$B:$B,$A931,'تجربه‌گرها'!$F:$F,P$1)</f>
        <v>0</v>
      </c>
      <c r="Q931" s="242">
        <f>COUNTIFS('تجربه‌گرها'!$B:$B,$A931,'تجربه‌گرها'!$F:$F,Q$1)</f>
        <v>0</v>
      </c>
      <c r="R931" s="242">
        <f>COUNTIFS('تجربه‌گرها'!$B:$B,$A931,'تجربه‌گرها'!$F:$F,R$1)</f>
        <v>0</v>
      </c>
      <c r="S931" s="242">
        <f>COUNTIFS('تجربه‌گرها'!$B:$B,$A931,'تجربه‌گرها'!$F:$F,S$1)</f>
        <v>0</v>
      </c>
      <c r="T931" s="242">
        <f>COUNTIFS('تجربه‌گرها'!$B:$B,$A931,'تجربه‌گرها'!$F:$F,T$1)</f>
        <v>0</v>
      </c>
      <c r="U931" s="242"/>
      <c r="V931" s="242"/>
      <c r="W931" s="242"/>
      <c r="X931" s="242"/>
      <c r="Y931" s="242"/>
      <c r="Z931" s="242"/>
      <c r="AA931" s="242"/>
      <c r="AB931" s="242"/>
    </row>
    <row r="932" hidden="1">
      <c r="A932" s="244" t="s">
        <v>5218</v>
      </c>
      <c r="B932" s="245" t="str">
        <f>VLOOKUP(A932,'تجربه‌گرها'!B:C,2,FALSE())</f>
        <v>9125664358</v>
      </c>
      <c r="C932" s="242"/>
      <c r="D932" s="242">
        <f t="shared" si="1"/>
        <v>1</v>
      </c>
      <c r="E932" s="242">
        <f>COUNTIFS('تجربه‌گرها'!$B:$B,$A932,'تجربه‌گرها'!$F:$F,E$1)</f>
        <v>0</v>
      </c>
      <c r="F932" s="242">
        <f>COUNTIFS('تجربه‌گرها'!$B:$B,$A932,'تجربه‌گرها'!$F:$F,F$1)</f>
        <v>0</v>
      </c>
      <c r="G932" s="242">
        <f>COUNTIFS('تجربه‌گرها'!$B:$B,$A932,'تجربه‌گرها'!$F:$F,G$1)</f>
        <v>0</v>
      </c>
      <c r="H932" s="242">
        <f>COUNTIFS('تجربه‌گرها'!$B:$B,$A932,'تجربه‌گرها'!$F:$F,H$1)</f>
        <v>0</v>
      </c>
      <c r="I932" s="242">
        <f>COUNTIFS('تجربه‌گرها'!$B:$B,$A932,'تجربه‌گرها'!$F:$F,I$1)</f>
        <v>0</v>
      </c>
      <c r="J932" s="242">
        <f>COUNTIFS('تجربه‌گرها'!$B:$B,$A932,'تجربه‌گرها'!$F:$F,J$1)</f>
        <v>0</v>
      </c>
      <c r="K932" s="242">
        <f>COUNTIFS('تجربه‌گرها'!$B:$B,$A932,'تجربه‌گرها'!$F:$F,K$1)</f>
        <v>0</v>
      </c>
      <c r="L932" s="242">
        <f>COUNTIFS('تجربه‌گرها'!$B:$B,$A932,'تجربه‌گرها'!$F:$F,L$1)</f>
        <v>1</v>
      </c>
      <c r="M932" s="242">
        <f>COUNTIFS('تجربه‌گرها'!$B:$B,$A932,'تجربه‌گرها'!$F:$F,M$1)</f>
        <v>0</v>
      </c>
      <c r="N932" s="242">
        <f>COUNTIFS('تجربه‌گرها'!$B:$B,$A932,'تجربه‌گرها'!$F:$F,N$1)</f>
        <v>0</v>
      </c>
      <c r="O932" s="242">
        <f>COUNTIFS('تجربه‌گرها'!$B:$B,$A932,'تجربه‌گرها'!$F:$F,O$1)</f>
        <v>0</v>
      </c>
      <c r="P932" s="242">
        <f>COUNTIFS('تجربه‌گرها'!$B:$B,$A932,'تجربه‌گرها'!$F:$F,P$1)</f>
        <v>0</v>
      </c>
      <c r="Q932" s="242">
        <f>COUNTIFS('تجربه‌گرها'!$B:$B,$A932,'تجربه‌گرها'!$F:$F,Q$1)</f>
        <v>0</v>
      </c>
      <c r="R932" s="242">
        <f>COUNTIFS('تجربه‌گرها'!$B:$B,$A932,'تجربه‌گرها'!$F:$F,R$1)</f>
        <v>0</v>
      </c>
      <c r="S932" s="242">
        <f>COUNTIFS('تجربه‌گرها'!$B:$B,$A932,'تجربه‌گرها'!$F:$F,S$1)</f>
        <v>0</v>
      </c>
      <c r="T932" s="242">
        <f>COUNTIFS('تجربه‌گرها'!$B:$B,$A932,'تجربه‌گرها'!$F:$F,T$1)</f>
        <v>0</v>
      </c>
      <c r="U932" s="242"/>
      <c r="V932" s="242"/>
      <c r="W932" s="242"/>
      <c r="X932" s="242"/>
      <c r="Y932" s="242"/>
      <c r="Z932" s="242"/>
      <c r="AA932" s="242"/>
      <c r="AB932" s="242"/>
    </row>
    <row r="933" hidden="1">
      <c r="A933" s="244" t="s">
        <v>5222</v>
      </c>
      <c r="B933" s="245" t="str">
        <f>VLOOKUP(A933,'تجربه‌گرها'!B:C,2,FALSE())</f>
        <v>9128707565</v>
      </c>
      <c r="C933" s="242"/>
      <c r="D933" s="242">
        <f t="shared" si="1"/>
        <v>1</v>
      </c>
      <c r="E933" s="242">
        <f>COUNTIFS('تجربه‌گرها'!$B:$B,$A933,'تجربه‌گرها'!$F:$F,E$1)</f>
        <v>0</v>
      </c>
      <c r="F933" s="242">
        <f>COUNTIFS('تجربه‌گرها'!$B:$B,$A933,'تجربه‌گرها'!$F:$F,F$1)</f>
        <v>0</v>
      </c>
      <c r="G933" s="242">
        <f>COUNTIFS('تجربه‌گرها'!$B:$B,$A933,'تجربه‌گرها'!$F:$F,G$1)</f>
        <v>0</v>
      </c>
      <c r="H933" s="242">
        <f>COUNTIFS('تجربه‌گرها'!$B:$B,$A933,'تجربه‌گرها'!$F:$F,H$1)</f>
        <v>0</v>
      </c>
      <c r="I933" s="242">
        <f>COUNTIFS('تجربه‌گرها'!$B:$B,$A933,'تجربه‌گرها'!$F:$F,I$1)</f>
        <v>0</v>
      </c>
      <c r="J933" s="242">
        <f>COUNTIFS('تجربه‌گرها'!$B:$B,$A933,'تجربه‌گرها'!$F:$F,J$1)</f>
        <v>0</v>
      </c>
      <c r="K933" s="242">
        <f>COUNTIFS('تجربه‌گرها'!$B:$B,$A933,'تجربه‌گرها'!$F:$F,K$1)</f>
        <v>0</v>
      </c>
      <c r="L933" s="242">
        <f>COUNTIFS('تجربه‌گرها'!$B:$B,$A933,'تجربه‌گرها'!$F:$F,L$1)</f>
        <v>1</v>
      </c>
      <c r="M933" s="242">
        <f>COUNTIFS('تجربه‌گرها'!$B:$B,$A933,'تجربه‌گرها'!$F:$F,M$1)</f>
        <v>0</v>
      </c>
      <c r="N933" s="242">
        <f>COUNTIFS('تجربه‌گرها'!$B:$B,$A933,'تجربه‌گرها'!$F:$F,N$1)</f>
        <v>0</v>
      </c>
      <c r="O933" s="242">
        <f>COUNTIFS('تجربه‌گرها'!$B:$B,$A933,'تجربه‌گرها'!$F:$F,O$1)</f>
        <v>0</v>
      </c>
      <c r="P933" s="242">
        <f>COUNTIFS('تجربه‌گرها'!$B:$B,$A933,'تجربه‌گرها'!$F:$F,P$1)</f>
        <v>0</v>
      </c>
      <c r="Q933" s="242">
        <f>COUNTIFS('تجربه‌گرها'!$B:$B,$A933,'تجربه‌گرها'!$F:$F,Q$1)</f>
        <v>0</v>
      </c>
      <c r="R933" s="242">
        <f>COUNTIFS('تجربه‌گرها'!$B:$B,$A933,'تجربه‌گرها'!$F:$F,R$1)</f>
        <v>0</v>
      </c>
      <c r="S933" s="242">
        <f>COUNTIFS('تجربه‌گرها'!$B:$B,$A933,'تجربه‌گرها'!$F:$F,S$1)</f>
        <v>0</v>
      </c>
      <c r="T933" s="242">
        <f>COUNTIFS('تجربه‌گرها'!$B:$B,$A933,'تجربه‌گرها'!$F:$F,T$1)</f>
        <v>0</v>
      </c>
      <c r="U933" s="242"/>
      <c r="V933" s="242"/>
      <c r="W933" s="242"/>
      <c r="X933" s="242"/>
      <c r="Y933" s="242"/>
      <c r="Z933" s="242"/>
      <c r="AA933" s="242"/>
      <c r="AB933" s="242"/>
    </row>
    <row r="934" hidden="1">
      <c r="A934" s="244" t="s">
        <v>5226</v>
      </c>
      <c r="B934" s="245" t="str">
        <f>VLOOKUP(A934,'تجربه‌گرها'!B:C,2,FALSE())</f>
        <v>9123548444</v>
      </c>
      <c r="C934" s="242"/>
      <c r="D934" s="242">
        <f t="shared" si="1"/>
        <v>1</v>
      </c>
      <c r="E934" s="242">
        <f>COUNTIFS('تجربه‌گرها'!$B:$B,$A934,'تجربه‌گرها'!$F:$F,E$1)</f>
        <v>0</v>
      </c>
      <c r="F934" s="242">
        <f>COUNTIFS('تجربه‌گرها'!$B:$B,$A934,'تجربه‌گرها'!$F:$F,F$1)</f>
        <v>0</v>
      </c>
      <c r="G934" s="242">
        <f>COUNTIFS('تجربه‌گرها'!$B:$B,$A934,'تجربه‌گرها'!$F:$F,G$1)</f>
        <v>0</v>
      </c>
      <c r="H934" s="242">
        <f>COUNTIFS('تجربه‌گرها'!$B:$B,$A934,'تجربه‌گرها'!$F:$F,H$1)</f>
        <v>0</v>
      </c>
      <c r="I934" s="242">
        <f>COUNTIFS('تجربه‌گرها'!$B:$B,$A934,'تجربه‌گرها'!$F:$F,I$1)</f>
        <v>0</v>
      </c>
      <c r="J934" s="242">
        <f>COUNTIFS('تجربه‌گرها'!$B:$B,$A934,'تجربه‌گرها'!$F:$F,J$1)</f>
        <v>0</v>
      </c>
      <c r="K934" s="242">
        <f>COUNTIFS('تجربه‌گرها'!$B:$B,$A934,'تجربه‌گرها'!$F:$F,K$1)</f>
        <v>0</v>
      </c>
      <c r="L934" s="242">
        <f>COUNTIFS('تجربه‌گرها'!$B:$B,$A934,'تجربه‌گرها'!$F:$F,L$1)</f>
        <v>1</v>
      </c>
      <c r="M934" s="242">
        <f>COUNTIFS('تجربه‌گرها'!$B:$B,$A934,'تجربه‌گرها'!$F:$F,M$1)</f>
        <v>0</v>
      </c>
      <c r="N934" s="242">
        <f>COUNTIFS('تجربه‌گرها'!$B:$B,$A934,'تجربه‌گرها'!$F:$F,N$1)</f>
        <v>0</v>
      </c>
      <c r="O934" s="242">
        <f>COUNTIFS('تجربه‌گرها'!$B:$B,$A934,'تجربه‌گرها'!$F:$F,O$1)</f>
        <v>0</v>
      </c>
      <c r="P934" s="242">
        <f>COUNTIFS('تجربه‌گرها'!$B:$B,$A934,'تجربه‌گرها'!$F:$F,P$1)</f>
        <v>0</v>
      </c>
      <c r="Q934" s="242">
        <f>COUNTIFS('تجربه‌گرها'!$B:$B,$A934,'تجربه‌گرها'!$F:$F,Q$1)</f>
        <v>0</v>
      </c>
      <c r="R934" s="242">
        <f>COUNTIFS('تجربه‌گرها'!$B:$B,$A934,'تجربه‌گرها'!$F:$F,R$1)</f>
        <v>0</v>
      </c>
      <c r="S934" s="242">
        <f>COUNTIFS('تجربه‌گرها'!$B:$B,$A934,'تجربه‌گرها'!$F:$F,S$1)</f>
        <v>0</v>
      </c>
      <c r="T934" s="242">
        <f>COUNTIFS('تجربه‌گرها'!$B:$B,$A934,'تجربه‌گرها'!$F:$F,T$1)</f>
        <v>0</v>
      </c>
      <c r="U934" s="242"/>
      <c r="V934" s="242"/>
      <c r="W934" s="242"/>
      <c r="X934" s="242"/>
      <c r="Y934" s="242"/>
      <c r="Z934" s="242"/>
      <c r="AA934" s="242"/>
      <c r="AB934" s="242"/>
    </row>
    <row r="935" hidden="1">
      <c r="A935" s="244" t="s">
        <v>5228</v>
      </c>
      <c r="B935" s="245" t="str">
        <f>VLOOKUP(A935,'تجربه‌گرها'!B:C,2,FALSE())</f>
        <v>9121877708</v>
      </c>
      <c r="C935" s="242"/>
      <c r="D935" s="242">
        <f t="shared" si="1"/>
        <v>1</v>
      </c>
      <c r="E935" s="242">
        <f>COUNTIFS('تجربه‌گرها'!$B:$B,$A935,'تجربه‌گرها'!$F:$F,E$1)</f>
        <v>0</v>
      </c>
      <c r="F935" s="242">
        <f>COUNTIFS('تجربه‌گرها'!$B:$B,$A935,'تجربه‌گرها'!$F:$F,F$1)</f>
        <v>0</v>
      </c>
      <c r="G935" s="242">
        <f>COUNTIFS('تجربه‌گرها'!$B:$B,$A935,'تجربه‌گرها'!$F:$F,G$1)</f>
        <v>0</v>
      </c>
      <c r="H935" s="242">
        <f>COUNTIFS('تجربه‌گرها'!$B:$B,$A935,'تجربه‌گرها'!$F:$F,H$1)</f>
        <v>0</v>
      </c>
      <c r="I935" s="242">
        <f>COUNTIFS('تجربه‌گرها'!$B:$B,$A935,'تجربه‌گرها'!$F:$F,I$1)</f>
        <v>0</v>
      </c>
      <c r="J935" s="242">
        <f>COUNTIFS('تجربه‌گرها'!$B:$B,$A935,'تجربه‌گرها'!$F:$F,J$1)</f>
        <v>0</v>
      </c>
      <c r="K935" s="242">
        <f>COUNTIFS('تجربه‌گرها'!$B:$B,$A935,'تجربه‌گرها'!$F:$F,K$1)</f>
        <v>0</v>
      </c>
      <c r="L935" s="242">
        <f>COUNTIFS('تجربه‌گرها'!$B:$B,$A935,'تجربه‌گرها'!$F:$F,L$1)</f>
        <v>1</v>
      </c>
      <c r="M935" s="242">
        <f>COUNTIFS('تجربه‌گرها'!$B:$B,$A935,'تجربه‌گرها'!$F:$F,M$1)</f>
        <v>0</v>
      </c>
      <c r="N935" s="242">
        <f>COUNTIFS('تجربه‌گرها'!$B:$B,$A935,'تجربه‌گرها'!$F:$F,N$1)</f>
        <v>0</v>
      </c>
      <c r="O935" s="242">
        <f>COUNTIFS('تجربه‌گرها'!$B:$B,$A935,'تجربه‌گرها'!$F:$F,O$1)</f>
        <v>0</v>
      </c>
      <c r="P935" s="242">
        <f>COUNTIFS('تجربه‌گرها'!$B:$B,$A935,'تجربه‌گرها'!$F:$F,P$1)</f>
        <v>0</v>
      </c>
      <c r="Q935" s="242">
        <f>COUNTIFS('تجربه‌گرها'!$B:$B,$A935,'تجربه‌گرها'!$F:$F,Q$1)</f>
        <v>0</v>
      </c>
      <c r="R935" s="242">
        <f>COUNTIFS('تجربه‌گرها'!$B:$B,$A935,'تجربه‌گرها'!$F:$F,R$1)</f>
        <v>0</v>
      </c>
      <c r="S935" s="242">
        <f>COUNTIFS('تجربه‌گرها'!$B:$B,$A935,'تجربه‌گرها'!$F:$F,S$1)</f>
        <v>0</v>
      </c>
      <c r="T935" s="242">
        <f>COUNTIFS('تجربه‌گرها'!$B:$B,$A935,'تجربه‌گرها'!$F:$F,T$1)</f>
        <v>0</v>
      </c>
      <c r="U935" s="242"/>
      <c r="V935" s="242"/>
      <c r="W935" s="242"/>
      <c r="X935" s="242"/>
      <c r="Y935" s="242"/>
      <c r="Z935" s="242"/>
      <c r="AA935" s="242"/>
      <c r="AB935" s="242"/>
    </row>
    <row r="936" hidden="1">
      <c r="A936" s="244" t="s">
        <v>5231</v>
      </c>
      <c r="B936" s="245" t="str">
        <f>VLOOKUP(A936,'تجربه‌گرها'!B:C,2,FALSE())</f>
        <v>9124905486</v>
      </c>
      <c r="C936" s="242"/>
      <c r="D936" s="242">
        <f t="shared" si="1"/>
        <v>1</v>
      </c>
      <c r="E936" s="242">
        <f>COUNTIFS('تجربه‌گرها'!$B:$B,$A936,'تجربه‌گرها'!$F:$F,E$1)</f>
        <v>0</v>
      </c>
      <c r="F936" s="242">
        <f>COUNTIFS('تجربه‌گرها'!$B:$B,$A936,'تجربه‌گرها'!$F:$F,F$1)</f>
        <v>0</v>
      </c>
      <c r="G936" s="242">
        <f>COUNTIFS('تجربه‌گرها'!$B:$B,$A936,'تجربه‌گرها'!$F:$F,G$1)</f>
        <v>0</v>
      </c>
      <c r="H936" s="242">
        <f>COUNTIFS('تجربه‌گرها'!$B:$B,$A936,'تجربه‌گرها'!$F:$F,H$1)</f>
        <v>0</v>
      </c>
      <c r="I936" s="242">
        <f>COUNTIFS('تجربه‌گرها'!$B:$B,$A936,'تجربه‌گرها'!$F:$F,I$1)</f>
        <v>0</v>
      </c>
      <c r="J936" s="242">
        <f>COUNTIFS('تجربه‌گرها'!$B:$B,$A936,'تجربه‌گرها'!$F:$F,J$1)</f>
        <v>0</v>
      </c>
      <c r="K936" s="242">
        <f>COUNTIFS('تجربه‌گرها'!$B:$B,$A936,'تجربه‌گرها'!$F:$F,K$1)</f>
        <v>0</v>
      </c>
      <c r="L936" s="242">
        <f>COUNTIFS('تجربه‌گرها'!$B:$B,$A936,'تجربه‌گرها'!$F:$F,L$1)</f>
        <v>1</v>
      </c>
      <c r="M936" s="242">
        <f>COUNTIFS('تجربه‌گرها'!$B:$B,$A936,'تجربه‌گرها'!$F:$F,M$1)</f>
        <v>0</v>
      </c>
      <c r="N936" s="242">
        <f>COUNTIFS('تجربه‌گرها'!$B:$B,$A936,'تجربه‌گرها'!$F:$F,N$1)</f>
        <v>0</v>
      </c>
      <c r="O936" s="242">
        <f>COUNTIFS('تجربه‌گرها'!$B:$B,$A936,'تجربه‌گرها'!$F:$F,O$1)</f>
        <v>0</v>
      </c>
      <c r="P936" s="242">
        <f>COUNTIFS('تجربه‌گرها'!$B:$B,$A936,'تجربه‌گرها'!$F:$F,P$1)</f>
        <v>0</v>
      </c>
      <c r="Q936" s="242">
        <f>COUNTIFS('تجربه‌گرها'!$B:$B,$A936,'تجربه‌گرها'!$F:$F,Q$1)</f>
        <v>0</v>
      </c>
      <c r="R936" s="242">
        <f>COUNTIFS('تجربه‌گرها'!$B:$B,$A936,'تجربه‌گرها'!$F:$F,R$1)</f>
        <v>0</v>
      </c>
      <c r="S936" s="242">
        <f>COUNTIFS('تجربه‌گرها'!$B:$B,$A936,'تجربه‌گرها'!$F:$F,S$1)</f>
        <v>0</v>
      </c>
      <c r="T936" s="242">
        <f>COUNTIFS('تجربه‌گرها'!$B:$B,$A936,'تجربه‌گرها'!$F:$F,T$1)</f>
        <v>0</v>
      </c>
      <c r="U936" s="242"/>
      <c r="V936" s="242"/>
      <c r="W936" s="242"/>
      <c r="X936" s="242"/>
      <c r="Y936" s="242"/>
      <c r="Z936" s="242"/>
      <c r="AA936" s="242"/>
      <c r="AB936" s="242"/>
    </row>
    <row r="937" hidden="1">
      <c r="A937" s="244" t="s">
        <v>5235</v>
      </c>
      <c r="B937" s="245" t="str">
        <f>VLOOKUP(A937,'تجربه‌گرها'!B:C,2,FALSE())</f>
        <v/>
      </c>
      <c r="C937" s="242"/>
      <c r="D937" s="242">
        <f t="shared" si="1"/>
        <v>1</v>
      </c>
      <c r="E937" s="242">
        <f>COUNTIFS('تجربه‌گرها'!$B:$B,$A937,'تجربه‌گرها'!$F:$F,E$1)</f>
        <v>0</v>
      </c>
      <c r="F937" s="242">
        <f>COUNTIFS('تجربه‌گرها'!$B:$B,$A937,'تجربه‌گرها'!$F:$F,F$1)</f>
        <v>0</v>
      </c>
      <c r="G937" s="242">
        <f>COUNTIFS('تجربه‌گرها'!$B:$B,$A937,'تجربه‌گرها'!$F:$F,G$1)</f>
        <v>0</v>
      </c>
      <c r="H937" s="242">
        <f>COUNTIFS('تجربه‌گرها'!$B:$B,$A937,'تجربه‌گرها'!$F:$F,H$1)</f>
        <v>0</v>
      </c>
      <c r="I937" s="242">
        <f>COUNTIFS('تجربه‌گرها'!$B:$B,$A937,'تجربه‌گرها'!$F:$F,I$1)</f>
        <v>0</v>
      </c>
      <c r="J937" s="242">
        <f>COUNTIFS('تجربه‌گرها'!$B:$B,$A937,'تجربه‌گرها'!$F:$F,J$1)</f>
        <v>0</v>
      </c>
      <c r="K937" s="242">
        <f>COUNTIFS('تجربه‌گرها'!$B:$B,$A937,'تجربه‌گرها'!$F:$F,K$1)</f>
        <v>0</v>
      </c>
      <c r="L937" s="242">
        <f>COUNTIFS('تجربه‌گرها'!$B:$B,$A937,'تجربه‌گرها'!$F:$F,L$1)</f>
        <v>1</v>
      </c>
      <c r="M937" s="242">
        <f>COUNTIFS('تجربه‌گرها'!$B:$B,$A937,'تجربه‌گرها'!$F:$F,M$1)</f>
        <v>0</v>
      </c>
      <c r="N937" s="242">
        <f>COUNTIFS('تجربه‌گرها'!$B:$B,$A937,'تجربه‌گرها'!$F:$F,N$1)</f>
        <v>0</v>
      </c>
      <c r="O937" s="242">
        <f>COUNTIFS('تجربه‌گرها'!$B:$B,$A937,'تجربه‌گرها'!$F:$F,O$1)</f>
        <v>0</v>
      </c>
      <c r="P937" s="242">
        <f>COUNTIFS('تجربه‌گرها'!$B:$B,$A937,'تجربه‌گرها'!$F:$F,P$1)</f>
        <v>0</v>
      </c>
      <c r="Q937" s="242">
        <f>COUNTIFS('تجربه‌گرها'!$B:$B,$A937,'تجربه‌گرها'!$F:$F,Q$1)</f>
        <v>0</v>
      </c>
      <c r="R937" s="242">
        <f>COUNTIFS('تجربه‌گرها'!$B:$B,$A937,'تجربه‌گرها'!$F:$F,R$1)</f>
        <v>0</v>
      </c>
      <c r="S937" s="242">
        <f>COUNTIFS('تجربه‌گرها'!$B:$B,$A937,'تجربه‌گرها'!$F:$F,S$1)</f>
        <v>0</v>
      </c>
      <c r="T937" s="242">
        <f>COUNTIFS('تجربه‌گرها'!$B:$B,$A937,'تجربه‌گرها'!$F:$F,T$1)</f>
        <v>0</v>
      </c>
      <c r="U937" s="242"/>
      <c r="V937" s="242"/>
      <c r="W937" s="242"/>
      <c r="X937" s="242"/>
      <c r="Y937" s="242"/>
      <c r="Z937" s="242"/>
      <c r="AA937" s="242"/>
      <c r="AB937" s="242"/>
    </row>
    <row r="938" hidden="1">
      <c r="A938" s="244" t="s">
        <v>5237</v>
      </c>
      <c r="B938" s="245" t="str">
        <f>VLOOKUP(A938,'تجربه‌گرها'!B:C,2,FALSE())</f>
        <v>9120684031</v>
      </c>
      <c r="C938" s="242"/>
      <c r="D938" s="242">
        <f t="shared" si="1"/>
        <v>1</v>
      </c>
      <c r="E938" s="242">
        <f>COUNTIFS('تجربه‌گرها'!$B:$B,$A938,'تجربه‌گرها'!$F:$F,E$1)</f>
        <v>0</v>
      </c>
      <c r="F938" s="242">
        <f>COUNTIFS('تجربه‌گرها'!$B:$B,$A938,'تجربه‌گرها'!$F:$F,F$1)</f>
        <v>0</v>
      </c>
      <c r="G938" s="242">
        <f>COUNTIFS('تجربه‌گرها'!$B:$B,$A938,'تجربه‌گرها'!$F:$F,G$1)</f>
        <v>0</v>
      </c>
      <c r="H938" s="242">
        <f>COUNTIFS('تجربه‌گرها'!$B:$B,$A938,'تجربه‌گرها'!$F:$F,H$1)</f>
        <v>0</v>
      </c>
      <c r="I938" s="242">
        <f>COUNTIFS('تجربه‌گرها'!$B:$B,$A938,'تجربه‌گرها'!$F:$F,I$1)</f>
        <v>0</v>
      </c>
      <c r="J938" s="242">
        <f>COUNTIFS('تجربه‌گرها'!$B:$B,$A938,'تجربه‌گرها'!$F:$F,J$1)</f>
        <v>0</v>
      </c>
      <c r="K938" s="242">
        <f>COUNTIFS('تجربه‌گرها'!$B:$B,$A938,'تجربه‌گرها'!$F:$F,K$1)</f>
        <v>0</v>
      </c>
      <c r="L938" s="242">
        <f>COUNTIFS('تجربه‌گرها'!$B:$B,$A938,'تجربه‌گرها'!$F:$F,L$1)</f>
        <v>1</v>
      </c>
      <c r="M938" s="242">
        <f>COUNTIFS('تجربه‌گرها'!$B:$B,$A938,'تجربه‌گرها'!$F:$F,M$1)</f>
        <v>0</v>
      </c>
      <c r="N938" s="242">
        <f>COUNTIFS('تجربه‌گرها'!$B:$B,$A938,'تجربه‌گرها'!$F:$F,N$1)</f>
        <v>0</v>
      </c>
      <c r="O938" s="242">
        <f>COUNTIFS('تجربه‌گرها'!$B:$B,$A938,'تجربه‌گرها'!$F:$F,O$1)</f>
        <v>0</v>
      </c>
      <c r="P938" s="242">
        <f>COUNTIFS('تجربه‌گرها'!$B:$B,$A938,'تجربه‌گرها'!$F:$F,P$1)</f>
        <v>0</v>
      </c>
      <c r="Q938" s="242">
        <f>COUNTIFS('تجربه‌گرها'!$B:$B,$A938,'تجربه‌گرها'!$F:$F,Q$1)</f>
        <v>0</v>
      </c>
      <c r="R938" s="242">
        <f>COUNTIFS('تجربه‌گرها'!$B:$B,$A938,'تجربه‌گرها'!$F:$F,R$1)</f>
        <v>0</v>
      </c>
      <c r="S938" s="242">
        <f>COUNTIFS('تجربه‌گرها'!$B:$B,$A938,'تجربه‌گرها'!$F:$F,S$1)</f>
        <v>0</v>
      </c>
      <c r="T938" s="242">
        <f>COUNTIFS('تجربه‌گرها'!$B:$B,$A938,'تجربه‌گرها'!$F:$F,T$1)</f>
        <v>0</v>
      </c>
      <c r="U938" s="242"/>
      <c r="V938" s="242"/>
      <c r="W938" s="242"/>
      <c r="X938" s="242"/>
      <c r="Y938" s="242"/>
      <c r="Z938" s="242"/>
      <c r="AA938" s="242"/>
      <c r="AB938" s="242"/>
    </row>
    <row r="939" hidden="1">
      <c r="A939" s="244" t="s">
        <v>5241</v>
      </c>
      <c r="B939" s="245" t="str">
        <f>VLOOKUP(A939,'تجربه‌گرها'!B:C,2,FALSE())</f>
        <v>9127942102</v>
      </c>
      <c r="C939" s="242"/>
      <c r="D939" s="242">
        <f t="shared" si="1"/>
        <v>1</v>
      </c>
      <c r="E939" s="242">
        <f>COUNTIFS('تجربه‌گرها'!$B:$B,$A939,'تجربه‌گرها'!$F:$F,E$1)</f>
        <v>0</v>
      </c>
      <c r="F939" s="242">
        <f>COUNTIFS('تجربه‌گرها'!$B:$B,$A939,'تجربه‌گرها'!$F:$F,F$1)</f>
        <v>0</v>
      </c>
      <c r="G939" s="242">
        <f>COUNTIFS('تجربه‌گرها'!$B:$B,$A939,'تجربه‌گرها'!$F:$F,G$1)</f>
        <v>0</v>
      </c>
      <c r="H939" s="242">
        <f>COUNTIFS('تجربه‌گرها'!$B:$B,$A939,'تجربه‌گرها'!$F:$F,H$1)</f>
        <v>0</v>
      </c>
      <c r="I939" s="242">
        <f>COUNTIFS('تجربه‌گرها'!$B:$B,$A939,'تجربه‌گرها'!$F:$F,I$1)</f>
        <v>0</v>
      </c>
      <c r="J939" s="242">
        <f>COUNTIFS('تجربه‌گرها'!$B:$B,$A939,'تجربه‌گرها'!$F:$F,J$1)</f>
        <v>0</v>
      </c>
      <c r="K939" s="242">
        <f>COUNTIFS('تجربه‌گرها'!$B:$B,$A939,'تجربه‌گرها'!$F:$F,K$1)</f>
        <v>0</v>
      </c>
      <c r="L939" s="242">
        <f>COUNTIFS('تجربه‌گرها'!$B:$B,$A939,'تجربه‌گرها'!$F:$F,L$1)</f>
        <v>1</v>
      </c>
      <c r="M939" s="242">
        <f>COUNTIFS('تجربه‌گرها'!$B:$B,$A939,'تجربه‌گرها'!$F:$F,M$1)</f>
        <v>0</v>
      </c>
      <c r="N939" s="242">
        <f>COUNTIFS('تجربه‌گرها'!$B:$B,$A939,'تجربه‌گرها'!$F:$F,N$1)</f>
        <v>0</v>
      </c>
      <c r="O939" s="242">
        <f>COUNTIFS('تجربه‌گرها'!$B:$B,$A939,'تجربه‌گرها'!$F:$F,O$1)</f>
        <v>0</v>
      </c>
      <c r="P939" s="242">
        <f>COUNTIFS('تجربه‌گرها'!$B:$B,$A939,'تجربه‌گرها'!$F:$F,P$1)</f>
        <v>0</v>
      </c>
      <c r="Q939" s="242">
        <f>COUNTIFS('تجربه‌گرها'!$B:$B,$A939,'تجربه‌گرها'!$F:$F,Q$1)</f>
        <v>0</v>
      </c>
      <c r="R939" s="242">
        <f>COUNTIFS('تجربه‌گرها'!$B:$B,$A939,'تجربه‌گرها'!$F:$F,R$1)</f>
        <v>0</v>
      </c>
      <c r="S939" s="242">
        <f>COUNTIFS('تجربه‌گرها'!$B:$B,$A939,'تجربه‌گرها'!$F:$F,S$1)</f>
        <v>0</v>
      </c>
      <c r="T939" s="242">
        <f>COUNTIFS('تجربه‌گرها'!$B:$B,$A939,'تجربه‌گرها'!$F:$F,T$1)</f>
        <v>0</v>
      </c>
      <c r="U939" s="242"/>
      <c r="V939" s="242"/>
      <c r="W939" s="242"/>
      <c r="X939" s="242"/>
      <c r="Y939" s="242"/>
      <c r="Z939" s="242"/>
      <c r="AA939" s="242"/>
      <c r="AB939" s="242"/>
    </row>
    <row r="940" hidden="1">
      <c r="A940" s="244" t="s">
        <v>5244</v>
      </c>
      <c r="B940" s="245" t="str">
        <f>VLOOKUP(A940,'تجربه‌گرها'!B:C,2,FALSE())</f>
        <v>9111378298</v>
      </c>
      <c r="C940" s="242"/>
      <c r="D940" s="242">
        <f t="shared" si="1"/>
        <v>1</v>
      </c>
      <c r="E940" s="242">
        <f>COUNTIFS('تجربه‌گرها'!$B:$B,$A940,'تجربه‌گرها'!$F:$F,E$1)</f>
        <v>0</v>
      </c>
      <c r="F940" s="242">
        <f>COUNTIFS('تجربه‌گرها'!$B:$B,$A940,'تجربه‌گرها'!$F:$F,F$1)</f>
        <v>0</v>
      </c>
      <c r="G940" s="242">
        <f>COUNTIFS('تجربه‌گرها'!$B:$B,$A940,'تجربه‌گرها'!$F:$F,G$1)</f>
        <v>0</v>
      </c>
      <c r="H940" s="242">
        <f>COUNTIFS('تجربه‌گرها'!$B:$B,$A940,'تجربه‌گرها'!$F:$F,H$1)</f>
        <v>0</v>
      </c>
      <c r="I940" s="242">
        <f>COUNTIFS('تجربه‌گرها'!$B:$B,$A940,'تجربه‌گرها'!$F:$F,I$1)</f>
        <v>0</v>
      </c>
      <c r="J940" s="242">
        <f>COUNTIFS('تجربه‌گرها'!$B:$B,$A940,'تجربه‌گرها'!$F:$F,J$1)</f>
        <v>0</v>
      </c>
      <c r="K940" s="242">
        <f>COUNTIFS('تجربه‌گرها'!$B:$B,$A940,'تجربه‌گرها'!$F:$F,K$1)</f>
        <v>0</v>
      </c>
      <c r="L940" s="242">
        <f>COUNTIFS('تجربه‌گرها'!$B:$B,$A940,'تجربه‌گرها'!$F:$F,L$1)</f>
        <v>1</v>
      </c>
      <c r="M940" s="242">
        <f>COUNTIFS('تجربه‌گرها'!$B:$B,$A940,'تجربه‌گرها'!$F:$F,M$1)</f>
        <v>0</v>
      </c>
      <c r="N940" s="242">
        <f>COUNTIFS('تجربه‌گرها'!$B:$B,$A940,'تجربه‌گرها'!$F:$F,N$1)</f>
        <v>0</v>
      </c>
      <c r="O940" s="242">
        <f>COUNTIFS('تجربه‌گرها'!$B:$B,$A940,'تجربه‌گرها'!$F:$F,O$1)</f>
        <v>0</v>
      </c>
      <c r="P940" s="242">
        <f>COUNTIFS('تجربه‌گرها'!$B:$B,$A940,'تجربه‌گرها'!$F:$F,P$1)</f>
        <v>0</v>
      </c>
      <c r="Q940" s="242">
        <f>COUNTIFS('تجربه‌گرها'!$B:$B,$A940,'تجربه‌گرها'!$F:$F,Q$1)</f>
        <v>0</v>
      </c>
      <c r="R940" s="242">
        <f>COUNTIFS('تجربه‌گرها'!$B:$B,$A940,'تجربه‌گرها'!$F:$F,R$1)</f>
        <v>0</v>
      </c>
      <c r="S940" s="242">
        <f>COUNTIFS('تجربه‌گرها'!$B:$B,$A940,'تجربه‌گرها'!$F:$F,S$1)</f>
        <v>0</v>
      </c>
      <c r="T940" s="242">
        <f>COUNTIFS('تجربه‌گرها'!$B:$B,$A940,'تجربه‌گرها'!$F:$F,T$1)</f>
        <v>0</v>
      </c>
      <c r="U940" s="242"/>
      <c r="V940" s="242"/>
      <c r="W940" s="242"/>
      <c r="X940" s="242"/>
      <c r="Y940" s="242"/>
      <c r="Z940" s="242"/>
      <c r="AA940" s="242"/>
      <c r="AB940" s="242"/>
    </row>
    <row r="941" hidden="1">
      <c r="A941" s="244" t="s">
        <v>5247</v>
      </c>
      <c r="B941" s="245" t="str">
        <f>VLOOKUP(A941,'تجربه‌گرها'!B:C,2,FALSE())</f>
        <v>9128093430</v>
      </c>
      <c r="C941" s="242"/>
      <c r="D941" s="242">
        <f t="shared" si="1"/>
        <v>1</v>
      </c>
      <c r="E941" s="242">
        <f>COUNTIFS('تجربه‌گرها'!$B:$B,$A941,'تجربه‌گرها'!$F:$F,E$1)</f>
        <v>0</v>
      </c>
      <c r="F941" s="242">
        <f>COUNTIFS('تجربه‌گرها'!$B:$B,$A941,'تجربه‌گرها'!$F:$F,F$1)</f>
        <v>0</v>
      </c>
      <c r="G941" s="242">
        <f>COUNTIFS('تجربه‌گرها'!$B:$B,$A941,'تجربه‌گرها'!$F:$F,G$1)</f>
        <v>0</v>
      </c>
      <c r="H941" s="242">
        <f>COUNTIFS('تجربه‌گرها'!$B:$B,$A941,'تجربه‌گرها'!$F:$F,H$1)</f>
        <v>0</v>
      </c>
      <c r="I941" s="242">
        <f>COUNTIFS('تجربه‌گرها'!$B:$B,$A941,'تجربه‌گرها'!$F:$F,I$1)</f>
        <v>0</v>
      </c>
      <c r="J941" s="242">
        <f>COUNTIFS('تجربه‌گرها'!$B:$B,$A941,'تجربه‌گرها'!$F:$F,J$1)</f>
        <v>0</v>
      </c>
      <c r="K941" s="242">
        <f>COUNTIFS('تجربه‌گرها'!$B:$B,$A941,'تجربه‌گرها'!$F:$F,K$1)</f>
        <v>0</v>
      </c>
      <c r="L941" s="242">
        <f>COUNTIFS('تجربه‌گرها'!$B:$B,$A941,'تجربه‌گرها'!$F:$F,L$1)</f>
        <v>1</v>
      </c>
      <c r="M941" s="242">
        <f>COUNTIFS('تجربه‌گرها'!$B:$B,$A941,'تجربه‌گرها'!$F:$F,M$1)</f>
        <v>0</v>
      </c>
      <c r="N941" s="242">
        <f>COUNTIFS('تجربه‌گرها'!$B:$B,$A941,'تجربه‌گرها'!$F:$F,N$1)</f>
        <v>0</v>
      </c>
      <c r="O941" s="242">
        <f>COUNTIFS('تجربه‌گرها'!$B:$B,$A941,'تجربه‌گرها'!$F:$F,O$1)</f>
        <v>0</v>
      </c>
      <c r="P941" s="242">
        <f>COUNTIFS('تجربه‌گرها'!$B:$B,$A941,'تجربه‌گرها'!$F:$F,P$1)</f>
        <v>0</v>
      </c>
      <c r="Q941" s="242">
        <f>COUNTIFS('تجربه‌گرها'!$B:$B,$A941,'تجربه‌گرها'!$F:$F,Q$1)</f>
        <v>0</v>
      </c>
      <c r="R941" s="242">
        <f>COUNTIFS('تجربه‌گرها'!$B:$B,$A941,'تجربه‌گرها'!$F:$F,R$1)</f>
        <v>0</v>
      </c>
      <c r="S941" s="242">
        <f>COUNTIFS('تجربه‌گرها'!$B:$B,$A941,'تجربه‌گرها'!$F:$F,S$1)</f>
        <v>0</v>
      </c>
      <c r="T941" s="242">
        <f>COUNTIFS('تجربه‌گرها'!$B:$B,$A941,'تجربه‌گرها'!$F:$F,T$1)</f>
        <v>0</v>
      </c>
      <c r="U941" s="242"/>
      <c r="V941" s="242"/>
      <c r="W941" s="242"/>
      <c r="X941" s="242"/>
      <c r="Y941" s="242"/>
      <c r="Z941" s="242"/>
      <c r="AA941" s="242"/>
      <c r="AB941" s="242"/>
    </row>
    <row r="942" hidden="1">
      <c r="A942" s="244" t="s">
        <v>5251</v>
      </c>
      <c r="B942" s="245" t="str">
        <f>VLOOKUP(A942,'تجربه‌گرها'!B:C,2,FALSE())</f>
        <v>9933464083</v>
      </c>
      <c r="C942" s="242"/>
      <c r="D942" s="242">
        <f t="shared" si="1"/>
        <v>1</v>
      </c>
      <c r="E942" s="242">
        <f>COUNTIFS('تجربه‌گرها'!$B:$B,$A942,'تجربه‌گرها'!$F:$F,E$1)</f>
        <v>0</v>
      </c>
      <c r="F942" s="242">
        <f>COUNTIFS('تجربه‌گرها'!$B:$B,$A942,'تجربه‌گرها'!$F:$F,F$1)</f>
        <v>0</v>
      </c>
      <c r="G942" s="242">
        <f>COUNTIFS('تجربه‌گرها'!$B:$B,$A942,'تجربه‌گرها'!$F:$F,G$1)</f>
        <v>0</v>
      </c>
      <c r="H942" s="242">
        <f>COUNTIFS('تجربه‌گرها'!$B:$B,$A942,'تجربه‌گرها'!$F:$F,H$1)</f>
        <v>0</v>
      </c>
      <c r="I942" s="242">
        <f>COUNTIFS('تجربه‌گرها'!$B:$B,$A942,'تجربه‌گرها'!$F:$F,I$1)</f>
        <v>0</v>
      </c>
      <c r="J942" s="242">
        <f>COUNTIFS('تجربه‌گرها'!$B:$B,$A942,'تجربه‌گرها'!$F:$F,J$1)</f>
        <v>0</v>
      </c>
      <c r="K942" s="242">
        <f>COUNTIFS('تجربه‌گرها'!$B:$B,$A942,'تجربه‌گرها'!$F:$F,K$1)</f>
        <v>0</v>
      </c>
      <c r="L942" s="242">
        <f>COUNTIFS('تجربه‌گرها'!$B:$B,$A942,'تجربه‌گرها'!$F:$F,L$1)</f>
        <v>1</v>
      </c>
      <c r="M942" s="242">
        <f>COUNTIFS('تجربه‌گرها'!$B:$B,$A942,'تجربه‌گرها'!$F:$F,M$1)</f>
        <v>0</v>
      </c>
      <c r="N942" s="242">
        <f>COUNTIFS('تجربه‌گرها'!$B:$B,$A942,'تجربه‌گرها'!$F:$F,N$1)</f>
        <v>0</v>
      </c>
      <c r="O942" s="242">
        <f>COUNTIFS('تجربه‌گرها'!$B:$B,$A942,'تجربه‌گرها'!$F:$F,O$1)</f>
        <v>0</v>
      </c>
      <c r="P942" s="242">
        <f>COUNTIFS('تجربه‌گرها'!$B:$B,$A942,'تجربه‌گرها'!$F:$F,P$1)</f>
        <v>0</v>
      </c>
      <c r="Q942" s="242">
        <f>COUNTIFS('تجربه‌گرها'!$B:$B,$A942,'تجربه‌گرها'!$F:$F,Q$1)</f>
        <v>0</v>
      </c>
      <c r="R942" s="242">
        <f>COUNTIFS('تجربه‌گرها'!$B:$B,$A942,'تجربه‌گرها'!$F:$F,R$1)</f>
        <v>0</v>
      </c>
      <c r="S942" s="242">
        <f>COUNTIFS('تجربه‌گرها'!$B:$B,$A942,'تجربه‌گرها'!$F:$F,S$1)</f>
        <v>0</v>
      </c>
      <c r="T942" s="242">
        <f>COUNTIFS('تجربه‌گرها'!$B:$B,$A942,'تجربه‌گرها'!$F:$F,T$1)</f>
        <v>0</v>
      </c>
      <c r="U942" s="242"/>
      <c r="V942" s="242"/>
      <c r="W942" s="242"/>
      <c r="X942" s="242"/>
      <c r="Y942" s="242"/>
      <c r="Z942" s="242"/>
      <c r="AA942" s="242"/>
      <c r="AB942" s="242"/>
    </row>
    <row r="943" hidden="1">
      <c r="A943" s="244" t="s">
        <v>5256</v>
      </c>
      <c r="B943" s="245" t="str">
        <f>VLOOKUP(A943,'تجربه‌گرها'!B:C,2,FALSE())</f>
        <v>9129610906</v>
      </c>
      <c r="C943" s="242"/>
      <c r="D943" s="242">
        <f t="shared" si="1"/>
        <v>2</v>
      </c>
      <c r="E943" s="242">
        <f>COUNTIFS('تجربه‌گرها'!$B:$B,$A943,'تجربه‌گرها'!$F:$F,E$1)</f>
        <v>0</v>
      </c>
      <c r="F943" s="242">
        <f>COUNTIFS('تجربه‌گرها'!$B:$B,$A943,'تجربه‌گرها'!$F:$F,F$1)</f>
        <v>0</v>
      </c>
      <c r="G943" s="242">
        <f>COUNTIFS('تجربه‌گرها'!$B:$B,$A943,'تجربه‌گرها'!$F:$F,G$1)</f>
        <v>0</v>
      </c>
      <c r="H943" s="242">
        <f>COUNTIFS('تجربه‌گرها'!$B:$B,$A943,'تجربه‌گرها'!$F:$F,H$1)</f>
        <v>0</v>
      </c>
      <c r="I943" s="242">
        <f>COUNTIFS('تجربه‌گرها'!$B:$B,$A943,'تجربه‌گرها'!$F:$F,I$1)</f>
        <v>0</v>
      </c>
      <c r="J943" s="242">
        <f>COUNTIFS('تجربه‌گرها'!$B:$B,$A943,'تجربه‌گرها'!$F:$F,J$1)</f>
        <v>0</v>
      </c>
      <c r="K943" s="242">
        <f>COUNTIFS('تجربه‌گرها'!$B:$B,$A943,'تجربه‌گرها'!$F:$F,K$1)</f>
        <v>0</v>
      </c>
      <c r="L943" s="242">
        <f>COUNTIFS('تجربه‌گرها'!$B:$B,$A943,'تجربه‌گرها'!$F:$F,L$1)</f>
        <v>1</v>
      </c>
      <c r="M943" s="242">
        <f>COUNTIFS('تجربه‌گرها'!$B:$B,$A943,'تجربه‌گرها'!$F:$F,M$1)</f>
        <v>0</v>
      </c>
      <c r="N943" s="242">
        <f>COUNTIFS('تجربه‌گرها'!$B:$B,$A943,'تجربه‌گرها'!$F:$F,N$1)</f>
        <v>1</v>
      </c>
      <c r="O943" s="242">
        <f>COUNTIFS('تجربه‌گرها'!$B:$B,$A943,'تجربه‌گرها'!$F:$F,O$1)</f>
        <v>0</v>
      </c>
      <c r="P943" s="242">
        <f>COUNTIFS('تجربه‌گرها'!$B:$B,$A943,'تجربه‌گرها'!$F:$F,P$1)</f>
        <v>0</v>
      </c>
      <c r="Q943" s="242">
        <f>COUNTIFS('تجربه‌گرها'!$B:$B,$A943,'تجربه‌گرها'!$F:$F,Q$1)</f>
        <v>0</v>
      </c>
      <c r="R943" s="242">
        <f>COUNTIFS('تجربه‌گرها'!$B:$B,$A943,'تجربه‌گرها'!$F:$F,R$1)</f>
        <v>0</v>
      </c>
      <c r="S943" s="242">
        <f>COUNTIFS('تجربه‌گرها'!$B:$B,$A943,'تجربه‌گرها'!$F:$F,S$1)</f>
        <v>0</v>
      </c>
      <c r="T943" s="242">
        <f>COUNTIFS('تجربه‌گرها'!$B:$B,$A943,'تجربه‌گرها'!$F:$F,T$1)</f>
        <v>0</v>
      </c>
      <c r="U943" s="242"/>
      <c r="V943" s="242"/>
      <c r="W943" s="242"/>
      <c r="X943" s="242"/>
      <c r="Y943" s="242"/>
      <c r="Z943" s="242"/>
      <c r="AA943" s="242"/>
      <c r="AB943" s="242"/>
    </row>
    <row r="944" hidden="1">
      <c r="A944" s="244" t="s">
        <v>5261</v>
      </c>
      <c r="B944" s="245" t="str">
        <f>VLOOKUP(A944,'تجربه‌گرها'!B:C,2,FALSE())</f>
        <v>989351577696</v>
      </c>
      <c r="C944" s="242"/>
      <c r="D944" s="242">
        <f t="shared" si="1"/>
        <v>1</v>
      </c>
      <c r="E944" s="242">
        <f>COUNTIFS('تجربه‌گرها'!$B:$B,$A944,'تجربه‌گرها'!$F:$F,E$1)</f>
        <v>0</v>
      </c>
      <c r="F944" s="242">
        <f>COUNTIFS('تجربه‌گرها'!$B:$B,$A944,'تجربه‌گرها'!$F:$F,F$1)</f>
        <v>0</v>
      </c>
      <c r="G944" s="242">
        <f>COUNTIFS('تجربه‌گرها'!$B:$B,$A944,'تجربه‌گرها'!$F:$F,G$1)</f>
        <v>0</v>
      </c>
      <c r="H944" s="242">
        <f>COUNTIFS('تجربه‌گرها'!$B:$B,$A944,'تجربه‌گرها'!$F:$F,H$1)</f>
        <v>0</v>
      </c>
      <c r="I944" s="242">
        <f>COUNTIFS('تجربه‌گرها'!$B:$B,$A944,'تجربه‌گرها'!$F:$F,I$1)</f>
        <v>0</v>
      </c>
      <c r="J944" s="242">
        <f>COUNTIFS('تجربه‌گرها'!$B:$B,$A944,'تجربه‌گرها'!$F:$F,J$1)</f>
        <v>0</v>
      </c>
      <c r="K944" s="242">
        <f>COUNTIFS('تجربه‌گرها'!$B:$B,$A944,'تجربه‌گرها'!$F:$F,K$1)</f>
        <v>0</v>
      </c>
      <c r="L944" s="242">
        <f>COUNTIFS('تجربه‌گرها'!$B:$B,$A944,'تجربه‌گرها'!$F:$F,L$1)</f>
        <v>0</v>
      </c>
      <c r="M944" s="242">
        <f>COUNTIFS('تجربه‌گرها'!$B:$B,$A944,'تجربه‌گرها'!$F:$F,M$1)</f>
        <v>1</v>
      </c>
      <c r="N944" s="242">
        <f>COUNTIFS('تجربه‌گرها'!$B:$B,$A944,'تجربه‌گرها'!$F:$F,N$1)</f>
        <v>0</v>
      </c>
      <c r="O944" s="242">
        <f>COUNTIFS('تجربه‌گرها'!$B:$B,$A944,'تجربه‌گرها'!$F:$F,O$1)</f>
        <v>0</v>
      </c>
      <c r="P944" s="242">
        <f>COUNTIFS('تجربه‌گرها'!$B:$B,$A944,'تجربه‌گرها'!$F:$F,P$1)</f>
        <v>0</v>
      </c>
      <c r="Q944" s="242">
        <f>COUNTIFS('تجربه‌گرها'!$B:$B,$A944,'تجربه‌گرها'!$F:$F,Q$1)</f>
        <v>0</v>
      </c>
      <c r="R944" s="242">
        <f>COUNTIFS('تجربه‌گرها'!$B:$B,$A944,'تجربه‌گرها'!$F:$F,R$1)</f>
        <v>0</v>
      </c>
      <c r="S944" s="242">
        <f>COUNTIFS('تجربه‌گرها'!$B:$B,$A944,'تجربه‌گرها'!$F:$F,S$1)</f>
        <v>0</v>
      </c>
      <c r="T944" s="242">
        <f>COUNTIFS('تجربه‌گرها'!$B:$B,$A944,'تجربه‌گرها'!$F:$F,T$1)</f>
        <v>0</v>
      </c>
      <c r="U944" s="242"/>
      <c r="V944" s="242"/>
      <c r="W944" s="242"/>
      <c r="X944" s="242"/>
      <c r="Y944" s="242"/>
      <c r="Z944" s="242"/>
      <c r="AA944" s="242"/>
      <c r="AB944" s="242"/>
    </row>
    <row r="945" hidden="1">
      <c r="A945" s="244" t="s">
        <v>5263</v>
      </c>
      <c r="B945" s="245" t="str">
        <f>VLOOKUP(A945,'تجربه‌گرها'!B:C,2,FALSE())</f>
        <v>989199194904</v>
      </c>
      <c r="C945" s="242"/>
      <c r="D945" s="242">
        <f t="shared" si="1"/>
        <v>1</v>
      </c>
      <c r="E945" s="242">
        <f>COUNTIFS('تجربه‌گرها'!$B:$B,$A945,'تجربه‌گرها'!$F:$F,E$1)</f>
        <v>0</v>
      </c>
      <c r="F945" s="242">
        <f>COUNTIFS('تجربه‌گرها'!$B:$B,$A945,'تجربه‌گرها'!$F:$F,F$1)</f>
        <v>0</v>
      </c>
      <c r="G945" s="242">
        <f>COUNTIFS('تجربه‌گرها'!$B:$B,$A945,'تجربه‌گرها'!$F:$F,G$1)</f>
        <v>0</v>
      </c>
      <c r="H945" s="242">
        <f>COUNTIFS('تجربه‌گرها'!$B:$B,$A945,'تجربه‌گرها'!$F:$F,H$1)</f>
        <v>0</v>
      </c>
      <c r="I945" s="242">
        <f>COUNTIFS('تجربه‌گرها'!$B:$B,$A945,'تجربه‌گرها'!$F:$F,I$1)</f>
        <v>0</v>
      </c>
      <c r="J945" s="242">
        <f>COUNTIFS('تجربه‌گرها'!$B:$B,$A945,'تجربه‌گرها'!$F:$F,J$1)</f>
        <v>0</v>
      </c>
      <c r="K945" s="242">
        <f>COUNTIFS('تجربه‌گرها'!$B:$B,$A945,'تجربه‌گرها'!$F:$F,K$1)</f>
        <v>0</v>
      </c>
      <c r="L945" s="242">
        <f>COUNTIFS('تجربه‌گرها'!$B:$B,$A945,'تجربه‌گرها'!$F:$F,L$1)</f>
        <v>0</v>
      </c>
      <c r="M945" s="242">
        <f>COUNTIFS('تجربه‌گرها'!$B:$B,$A945,'تجربه‌گرها'!$F:$F,M$1)</f>
        <v>1</v>
      </c>
      <c r="N945" s="242">
        <f>COUNTIFS('تجربه‌گرها'!$B:$B,$A945,'تجربه‌گرها'!$F:$F,N$1)</f>
        <v>0</v>
      </c>
      <c r="O945" s="242">
        <f>COUNTIFS('تجربه‌گرها'!$B:$B,$A945,'تجربه‌گرها'!$F:$F,O$1)</f>
        <v>0</v>
      </c>
      <c r="P945" s="242">
        <f>COUNTIFS('تجربه‌گرها'!$B:$B,$A945,'تجربه‌گرها'!$F:$F,P$1)</f>
        <v>0</v>
      </c>
      <c r="Q945" s="242">
        <f>COUNTIFS('تجربه‌گرها'!$B:$B,$A945,'تجربه‌گرها'!$F:$F,Q$1)</f>
        <v>0</v>
      </c>
      <c r="R945" s="242">
        <f>COUNTIFS('تجربه‌گرها'!$B:$B,$A945,'تجربه‌گرها'!$F:$F,R$1)</f>
        <v>0</v>
      </c>
      <c r="S945" s="242">
        <f>COUNTIFS('تجربه‌گرها'!$B:$B,$A945,'تجربه‌گرها'!$F:$F,S$1)</f>
        <v>0</v>
      </c>
      <c r="T945" s="242">
        <f>COUNTIFS('تجربه‌گرها'!$B:$B,$A945,'تجربه‌گرها'!$F:$F,T$1)</f>
        <v>0</v>
      </c>
      <c r="U945" s="242"/>
      <c r="V945" s="242"/>
      <c r="W945" s="242"/>
      <c r="X945" s="242"/>
      <c r="Y945" s="242"/>
      <c r="Z945" s="242"/>
      <c r="AA945" s="242"/>
      <c r="AB945" s="242"/>
    </row>
    <row r="946" hidden="1">
      <c r="A946" s="244" t="s">
        <v>5266</v>
      </c>
      <c r="B946" s="245" t="str">
        <f>VLOOKUP(A946,'تجربه‌گرها'!B:C,2,FALSE())</f>
        <v>989125167313</v>
      </c>
      <c r="C946" s="242"/>
      <c r="D946" s="242">
        <f t="shared" si="1"/>
        <v>1</v>
      </c>
      <c r="E946" s="242">
        <f>COUNTIFS('تجربه‌گرها'!$B:$B,$A946,'تجربه‌گرها'!$F:$F,E$1)</f>
        <v>0</v>
      </c>
      <c r="F946" s="242">
        <f>COUNTIFS('تجربه‌گرها'!$B:$B,$A946,'تجربه‌گرها'!$F:$F,F$1)</f>
        <v>0</v>
      </c>
      <c r="G946" s="242">
        <f>COUNTIFS('تجربه‌گرها'!$B:$B,$A946,'تجربه‌گرها'!$F:$F,G$1)</f>
        <v>0</v>
      </c>
      <c r="H946" s="242">
        <f>COUNTIFS('تجربه‌گرها'!$B:$B,$A946,'تجربه‌گرها'!$F:$F,H$1)</f>
        <v>0</v>
      </c>
      <c r="I946" s="242">
        <f>COUNTIFS('تجربه‌گرها'!$B:$B,$A946,'تجربه‌گرها'!$F:$F,I$1)</f>
        <v>0</v>
      </c>
      <c r="J946" s="242">
        <f>COUNTIFS('تجربه‌گرها'!$B:$B,$A946,'تجربه‌گرها'!$F:$F,J$1)</f>
        <v>0</v>
      </c>
      <c r="K946" s="242">
        <f>COUNTIFS('تجربه‌گرها'!$B:$B,$A946,'تجربه‌گرها'!$F:$F,K$1)</f>
        <v>0</v>
      </c>
      <c r="L946" s="242">
        <f>COUNTIFS('تجربه‌گرها'!$B:$B,$A946,'تجربه‌گرها'!$F:$F,L$1)</f>
        <v>0</v>
      </c>
      <c r="M946" s="242">
        <f>COUNTIFS('تجربه‌گرها'!$B:$B,$A946,'تجربه‌گرها'!$F:$F,M$1)</f>
        <v>1</v>
      </c>
      <c r="N946" s="242">
        <f>COUNTIFS('تجربه‌گرها'!$B:$B,$A946,'تجربه‌گرها'!$F:$F,N$1)</f>
        <v>0</v>
      </c>
      <c r="O946" s="242">
        <f>COUNTIFS('تجربه‌گرها'!$B:$B,$A946,'تجربه‌گرها'!$F:$F,O$1)</f>
        <v>0</v>
      </c>
      <c r="P946" s="242">
        <f>COUNTIFS('تجربه‌گرها'!$B:$B,$A946,'تجربه‌گرها'!$F:$F,P$1)</f>
        <v>0</v>
      </c>
      <c r="Q946" s="242">
        <f>COUNTIFS('تجربه‌گرها'!$B:$B,$A946,'تجربه‌گرها'!$F:$F,Q$1)</f>
        <v>0</v>
      </c>
      <c r="R946" s="242">
        <f>COUNTIFS('تجربه‌گرها'!$B:$B,$A946,'تجربه‌گرها'!$F:$F,R$1)</f>
        <v>0</v>
      </c>
      <c r="S946" s="242">
        <f>COUNTIFS('تجربه‌گرها'!$B:$B,$A946,'تجربه‌گرها'!$F:$F,S$1)</f>
        <v>0</v>
      </c>
      <c r="T946" s="242">
        <f>COUNTIFS('تجربه‌گرها'!$B:$B,$A946,'تجربه‌گرها'!$F:$F,T$1)</f>
        <v>0</v>
      </c>
      <c r="U946" s="242"/>
      <c r="V946" s="242"/>
      <c r="W946" s="242"/>
      <c r="X946" s="242"/>
      <c r="Y946" s="242"/>
      <c r="Z946" s="242"/>
      <c r="AA946" s="242"/>
      <c r="AB946" s="242"/>
    </row>
    <row r="947" hidden="1">
      <c r="A947" s="244" t="s">
        <v>5269</v>
      </c>
      <c r="B947" s="245" t="str">
        <f>VLOOKUP(A947,'تجربه‌گرها'!B:C,2,FALSE())</f>
        <v>989127152803</v>
      </c>
      <c r="C947" s="242"/>
      <c r="D947" s="242">
        <f t="shared" si="1"/>
        <v>1</v>
      </c>
      <c r="E947" s="242">
        <f>COUNTIFS('تجربه‌گرها'!$B:$B,$A947,'تجربه‌گرها'!$F:$F,E$1)</f>
        <v>0</v>
      </c>
      <c r="F947" s="242">
        <f>COUNTIFS('تجربه‌گرها'!$B:$B,$A947,'تجربه‌گرها'!$F:$F,F$1)</f>
        <v>0</v>
      </c>
      <c r="G947" s="242">
        <f>COUNTIFS('تجربه‌گرها'!$B:$B,$A947,'تجربه‌گرها'!$F:$F,G$1)</f>
        <v>0</v>
      </c>
      <c r="H947" s="242">
        <f>COUNTIFS('تجربه‌گرها'!$B:$B,$A947,'تجربه‌گرها'!$F:$F,H$1)</f>
        <v>0</v>
      </c>
      <c r="I947" s="242">
        <f>COUNTIFS('تجربه‌گرها'!$B:$B,$A947,'تجربه‌گرها'!$F:$F,I$1)</f>
        <v>0</v>
      </c>
      <c r="J947" s="242">
        <f>COUNTIFS('تجربه‌گرها'!$B:$B,$A947,'تجربه‌گرها'!$F:$F,J$1)</f>
        <v>0</v>
      </c>
      <c r="K947" s="242">
        <f>COUNTIFS('تجربه‌گرها'!$B:$B,$A947,'تجربه‌گرها'!$F:$F,K$1)</f>
        <v>0</v>
      </c>
      <c r="L947" s="242">
        <f>COUNTIFS('تجربه‌گرها'!$B:$B,$A947,'تجربه‌گرها'!$F:$F,L$1)</f>
        <v>0</v>
      </c>
      <c r="M947" s="242">
        <f>COUNTIFS('تجربه‌گرها'!$B:$B,$A947,'تجربه‌گرها'!$F:$F,M$1)</f>
        <v>1</v>
      </c>
      <c r="N947" s="242">
        <f>COUNTIFS('تجربه‌گرها'!$B:$B,$A947,'تجربه‌گرها'!$F:$F,N$1)</f>
        <v>0</v>
      </c>
      <c r="O947" s="242">
        <f>COUNTIFS('تجربه‌گرها'!$B:$B,$A947,'تجربه‌گرها'!$F:$F,O$1)</f>
        <v>0</v>
      </c>
      <c r="P947" s="242">
        <f>COUNTIFS('تجربه‌گرها'!$B:$B,$A947,'تجربه‌گرها'!$F:$F,P$1)</f>
        <v>0</v>
      </c>
      <c r="Q947" s="242">
        <f>COUNTIFS('تجربه‌گرها'!$B:$B,$A947,'تجربه‌گرها'!$F:$F,Q$1)</f>
        <v>0</v>
      </c>
      <c r="R947" s="242">
        <f>COUNTIFS('تجربه‌گرها'!$B:$B,$A947,'تجربه‌گرها'!$F:$F,R$1)</f>
        <v>0</v>
      </c>
      <c r="S947" s="242">
        <f>COUNTIFS('تجربه‌گرها'!$B:$B,$A947,'تجربه‌گرها'!$F:$F,S$1)</f>
        <v>0</v>
      </c>
      <c r="T947" s="242">
        <f>COUNTIFS('تجربه‌گرها'!$B:$B,$A947,'تجربه‌گرها'!$F:$F,T$1)</f>
        <v>0</v>
      </c>
      <c r="U947" s="242"/>
      <c r="V947" s="242"/>
      <c r="W947" s="242"/>
      <c r="X947" s="242"/>
      <c r="Y947" s="242"/>
      <c r="Z947" s="242"/>
      <c r="AA947" s="242"/>
      <c r="AB947" s="242"/>
    </row>
    <row r="948" hidden="1">
      <c r="A948" s="244" t="s">
        <v>5273</v>
      </c>
      <c r="B948" s="245" t="str">
        <f>VLOOKUP(A948,'تجربه‌گرها'!B:C,2,FALSE())</f>
        <v>989122164819</v>
      </c>
      <c r="C948" s="242"/>
      <c r="D948" s="242">
        <f t="shared" si="1"/>
        <v>1</v>
      </c>
      <c r="E948" s="242">
        <f>COUNTIFS('تجربه‌گرها'!$B:$B,$A948,'تجربه‌گرها'!$F:$F,E$1)</f>
        <v>0</v>
      </c>
      <c r="F948" s="242">
        <f>COUNTIFS('تجربه‌گرها'!$B:$B,$A948,'تجربه‌گرها'!$F:$F,F$1)</f>
        <v>0</v>
      </c>
      <c r="G948" s="242">
        <f>COUNTIFS('تجربه‌گرها'!$B:$B,$A948,'تجربه‌گرها'!$F:$F,G$1)</f>
        <v>0</v>
      </c>
      <c r="H948" s="242">
        <f>COUNTIFS('تجربه‌گرها'!$B:$B,$A948,'تجربه‌گرها'!$F:$F,H$1)</f>
        <v>0</v>
      </c>
      <c r="I948" s="242">
        <f>COUNTIFS('تجربه‌گرها'!$B:$B,$A948,'تجربه‌گرها'!$F:$F,I$1)</f>
        <v>0</v>
      </c>
      <c r="J948" s="242">
        <f>COUNTIFS('تجربه‌گرها'!$B:$B,$A948,'تجربه‌گرها'!$F:$F,J$1)</f>
        <v>0</v>
      </c>
      <c r="K948" s="242">
        <f>COUNTIFS('تجربه‌گرها'!$B:$B,$A948,'تجربه‌گرها'!$F:$F,K$1)</f>
        <v>0</v>
      </c>
      <c r="L948" s="242">
        <f>COUNTIFS('تجربه‌گرها'!$B:$B,$A948,'تجربه‌گرها'!$F:$F,L$1)</f>
        <v>0</v>
      </c>
      <c r="M948" s="242">
        <f>COUNTIFS('تجربه‌گرها'!$B:$B,$A948,'تجربه‌گرها'!$F:$F,M$1)</f>
        <v>1</v>
      </c>
      <c r="N948" s="242">
        <f>COUNTIFS('تجربه‌گرها'!$B:$B,$A948,'تجربه‌گرها'!$F:$F,N$1)</f>
        <v>0</v>
      </c>
      <c r="O948" s="242">
        <f>COUNTIFS('تجربه‌گرها'!$B:$B,$A948,'تجربه‌گرها'!$F:$F,O$1)</f>
        <v>0</v>
      </c>
      <c r="P948" s="242">
        <f>COUNTIFS('تجربه‌گرها'!$B:$B,$A948,'تجربه‌گرها'!$F:$F,P$1)</f>
        <v>0</v>
      </c>
      <c r="Q948" s="242">
        <f>COUNTIFS('تجربه‌گرها'!$B:$B,$A948,'تجربه‌گرها'!$F:$F,Q$1)</f>
        <v>0</v>
      </c>
      <c r="R948" s="242">
        <f>COUNTIFS('تجربه‌گرها'!$B:$B,$A948,'تجربه‌گرها'!$F:$F,R$1)</f>
        <v>0</v>
      </c>
      <c r="S948" s="242">
        <f>COUNTIFS('تجربه‌گرها'!$B:$B,$A948,'تجربه‌گرها'!$F:$F,S$1)</f>
        <v>0</v>
      </c>
      <c r="T948" s="242">
        <f>COUNTIFS('تجربه‌گرها'!$B:$B,$A948,'تجربه‌گرها'!$F:$F,T$1)</f>
        <v>0</v>
      </c>
      <c r="U948" s="242"/>
      <c r="V948" s="242"/>
      <c r="W948" s="242"/>
      <c r="X948" s="242"/>
      <c r="Y948" s="242"/>
      <c r="Z948" s="242"/>
      <c r="AA948" s="242"/>
      <c r="AB948" s="242"/>
    </row>
    <row r="949" hidden="1">
      <c r="A949" s="244" t="s">
        <v>5278</v>
      </c>
      <c r="B949" s="245" t="str">
        <f>VLOOKUP(A949,'تجربه‌گرها'!B:C,2,FALSE())</f>
        <v>989901963408</v>
      </c>
      <c r="C949" s="242"/>
      <c r="D949" s="242">
        <f t="shared" si="1"/>
        <v>1</v>
      </c>
      <c r="E949" s="242">
        <f>COUNTIFS('تجربه‌گرها'!$B:$B,$A949,'تجربه‌گرها'!$F:$F,E$1)</f>
        <v>0</v>
      </c>
      <c r="F949" s="242">
        <f>COUNTIFS('تجربه‌گرها'!$B:$B,$A949,'تجربه‌گرها'!$F:$F,F$1)</f>
        <v>0</v>
      </c>
      <c r="G949" s="242">
        <f>COUNTIFS('تجربه‌گرها'!$B:$B,$A949,'تجربه‌گرها'!$F:$F,G$1)</f>
        <v>0</v>
      </c>
      <c r="H949" s="242">
        <f>COUNTIFS('تجربه‌گرها'!$B:$B,$A949,'تجربه‌گرها'!$F:$F,H$1)</f>
        <v>0</v>
      </c>
      <c r="I949" s="242">
        <f>COUNTIFS('تجربه‌گرها'!$B:$B,$A949,'تجربه‌گرها'!$F:$F,I$1)</f>
        <v>0</v>
      </c>
      <c r="J949" s="242">
        <f>COUNTIFS('تجربه‌گرها'!$B:$B,$A949,'تجربه‌گرها'!$F:$F,J$1)</f>
        <v>0</v>
      </c>
      <c r="K949" s="242">
        <f>COUNTIFS('تجربه‌گرها'!$B:$B,$A949,'تجربه‌گرها'!$F:$F,K$1)</f>
        <v>0</v>
      </c>
      <c r="L949" s="242">
        <f>COUNTIFS('تجربه‌گرها'!$B:$B,$A949,'تجربه‌گرها'!$F:$F,L$1)</f>
        <v>0</v>
      </c>
      <c r="M949" s="242">
        <f>COUNTIFS('تجربه‌گرها'!$B:$B,$A949,'تجربه‌گرها'!$F:$F,M$1)</f>
        <v>1</v>
      </c>
      <c r="N949" s="242">
        <f>COUNTIFS('تجربه‌گرها'!$B:$B,$A949,'تجربه‌گرها'!$F:$F,N$1)</f>
        <v>0</v>
      </c>
      <c r="O949" s="242">
        <f>COUNTIFS('تجربه‌گرها'!$B:$B,$A949,'تجربه‌گرها'!$F:$F,O$1)</f>
        <v>0</v>
      </c>
      <c r="P949" s="242">
        <f>COUNTIFS('تجربه‌گرها'!$B:$B,$A949,'تجربه‌گرها'!$F:$F,P$1)</f>
        <v>0</v>
      </c>
      <c r="Q949" s="242">
        <f>COUNTIFS('تجربه‌گرها'!$B:$B,$A949,'تجربه‌گرها'!$F:$F,Q$1)</f>
        <v>0</v>
      </c>
      <c r="R949" s="242">
        <f>COUNTIFS('تجربه‌گرها'!$B:$B,$A949,'تجربه‌گرها'!$F:$F,R$1)</f>
        <v>0</v>
      </c>
      <c r="S949" s="242">
        <f>COUNTIFS('تجربه‌گرها'!$B:$B,$A949,'تجربه‌گرها'!$F:$F,S$1)</f>
        <v>0</v>
      </c>
      <c r="T949" s="242">
        <f>COUNTIFS('تجربه‌گرها'!$B:$B,$A949,'تجربه‌گرها'!$F:$F,T$1)</f>
        <v>0</v>
      </c>
      <c r="U949" s="242"/>
      <c r="V949" s="242"/>
      <c r="W949" s="242"/>
      <c r="X949" s="242"/>
      <c r="Y949" s="242"/>
      <c r="Z949" s="242"/>
      <c r="AA949" s="242"/>
      <c r="AB949" s="242"/>
    </row>
    <row r="950">
      <c r="A950" s="244" t="s">
        <v>5282</v>
      </c>
      <c r="B950" s="245" t="str">
        <f>VLOOKUP(A950,'تجربه‌گرها'!B:C,2,FALSE())</f>
        <v>989121233837</v>
      </c>
      <c r="C950" s="242"/>
      <c r="D950" s="242">
        <f t="shared" si="1"/>
        <v>1</v>
      </c>
      <c r="E950" s="242">
        <f>COUNTIFS('تجربه‌گرها'!$B:$B,$A950,'تجربه‌گرها'!$F:$F,E$1)</f>
        <v>0</v>
      </c>
      <c r="F950" s="242">
        <f>COUNTIFS('تجربه‌گرها'!$B:$B,$A950,'تجربه‌گرها'!$F:$F,F$1)</f>
        <v>0</v>
      </c>
      <c r="G950" s="242">
        <f>COUNTIFS('تجربه‌گرها'!$B:$B,$A950,'تجربه‌گرها'!$F:$F,G$1)</f>
        <v>0</v>
      </c>
      <c r="H950" s="242">
        <f>COUNTIFS('تجربه‌گرها'!$B:$B,$A950,'تجربه‌گرها'!$F:$F,H$1)</f>
        <v>0</v>
      </c>
      <c r="I950" s="242">
        <f>COUNTIFS('تجربه‌گرها'!$B:$B,$A950,'تجربه‌گرها'!$F:$F,I$1)</f>
        <v>0</v>
      </c>
      <c r="J950" s="242">
        <f>COUNTIFS('تجربه‌گرها'!$B:$B,$A950,'تجربه‌گرها'!$F:$F,J$1)</f>
        <v>0</v>
      </c>
      <c r="K950" s="242">
        <f>COUNTIFS('تجربه‌گرها'!$B:$B,$A950,'تجربه‌گرها'!$F:$F,K$1)</f>
        <v>0</v>
      </c>
      <c r="L950" s="242">
        <f>COUNTIFS('تجربه‌گرها'!$B:$B,$A950,'تجربه‌گرها'!$F:$F,L$1)</f>
        <v>0</v>
      </c>
      <c r="M950" s="242">
        <f>COUNTIFS('تجربه‌گرها'!$B:$B,$A950,'تجربه‌گرها'!$F:$F,M$1)</f>
        <v>1</v>
      </c>
      <c r="N950" s="242">
        <f>COUNTIFS('تجربه‌گرها'!$B:$B,$A950,'تجربه‌گرها'!$F:$F,N$1)</f>
        <v>0</v>
      </c>
      <c r="O950" s="242">
        <f>COUNTIFS('تجربه‌گرها'!$B:$B,$A950,'تجربه‌گرها'!$F:$F,O$1)</f>
        <v>0</v>
      </c>
      <c r="P950" s="242">
        <f>COUNTIFS('تجربه‌گرها'!$B:$B,$A950,'تجربه‌گرها'!$F:$F,P$1)</f>
        <v>0</v>
      </c>
      <c r="Q950" s="242">
        <f>COUNTIFS('تجربه‌گرها'!$B:$B,$A950,'تجربه‌گرها'!$F:$F,Q$1)</f>
        <v>0</v>
      </c>
      <c r="R950" s="242">
        <f>COUNTIFS('تجربه‌گرها'!$B:$B,$A950,'تجربه‌گرها'!$F:$F,R$1)</f>
        <v>0</v>
      </c>
      <c r="S950" s="242">
        <f>COUNTIFS('تجربه‌گرها'!$B:$B,$A950,'تجربه‌گرها'!$F:$F,S$1)</f>
        <v>0</v>
      </c>
      <c r="T950" s="242">
        <f>COUNTIFS('تجربه‌گرها'!$B:$B,$A950,'تجربه‌گرها'!$F:$F,T$1)</f>
        <v>0</v>
      </c>
      <c r="U950" s="242"/>
      <c r="V950" s="242"/>
      <c r="W950" s="242"/>
      <c r="X950" s="242"/>
      <c r="Y950" s="242"/>
      <c r="Z950" s="242"/>
      <c r="AA950" s="242"/>
      <c r="AB950" s="242"/>
    </row>
    <row r="951" hidden="1">
      <c r="A951" s="244" t="s">
        <v>5289</v>
      </c>
      <c r="B951" s="245" t="str">
        <f>VLOOKUP(A951,'تجربه‌گرها'!B:C,2,FALSE())</f>
        <v>989127224421</v>
      </c>
      <c r="C951" s="242"/>
      <c r="D951" s="242">
        <f t="shared" si="1"/>
        <v>3</v>
      </c>
      <c r="E951" s="242">
        <f>COUNTIFS('تجربه‌گرها'!$B:$B,$A951,'تجربه‌گرها'!$F:$F,E$1)</f>
        <v>0</v>
      </c>
      <c r="F951" s="242">
        <f>COUNTIFS('تجربه‌گرها'!$B:$B,$A951,'تجربه‌گرها'!$F:$F,F$1)</f>
        <v>0</v>
      </c>
      <c r="G951" s="242">
        <f>COUNTIFS('تجربه‌گرها'!$B:$B,$A951,'تجربه‌گرها'!$F:$F,G$1)</f>
        <v>0</v>
      </c>
      <c r="H951" s="242">
        <f>COUNTIFS('تجربه‌گرها'!$B:$B,$A951,'تجربه‌گرها'!$F:$F,H$1)</f>
        <v>0</v>
      </c>
      <c r="I951" s="242">
        <f>COUNTIFS('تجربه‌گرها'!$B:$B,$A951,'تجربه‌گرها'!$F:$F,I$1)</f>
        <v>0</v>
      </c>
      <c r="J951" s="242">
        <f>COUNTIFS('تجربه‌گرها'!$B:$B,$A951,'تجربه‌گرها'!$F:$F,J$1)</f>
        <v>0</v>
      </c>
      <c r="K951" s="242">
        <f>COUNTIFS('تجربه‌گرها'!$B:$B,$A951,'تجربه‌گرها'!$F:$F,K$1)</f>
        <v>0</v>
      </c>
      <c r="L951" s="242">
        <f>COUNTIFS('تجربه‌گرها'!$B:$B,$A951,'تجربه‌گرها'!$F:$F,L$1)</f>
        <v>0</v>
      </c>
      <c r="M951" s="242">
        <f>COUNTIFS('تجربه‌گرها'!$B:$B,$A951,'تجربه‌گرها'!$F:$F,M$1)</f>
        <v>1</v>
      </c>
      <c r="N951" s="242">
        <f>COUNTIFS('تجربه‌گرها'!$B:$B,$A951,'تجربه‌گرها'!$F:$F,N$1)</f>
        <v>1</v>
      </c>
      <c r="O951" s="242">
        <f>COUNTIFS('تجربه‌گرها'!$B:$B,$A951,'تجربه‌گرها'!$F:$F,O$1)</f>
        <v>0</v>
      </c>
      <c r="P951" s="242">
        <f>COUNTIFS('تجربه‌گرها'!$B:$B,$A951,'تجربه‌گرها'!$F:$F,P$1)</f>
        <v>1</v>
      </c>
      <c r="Q951" s="242">
        <f>COUNTIFS('تجربه‌گرها'!$B:$B,$A951,'تجربه‌گرها'!$F:$F,Q$1)</f>
        <v>0</v>
      </c>
      <c r="R951" s="242">
        <f>COUNTIFS('تجربه‌گرها'!$B:$B,$A951,'تجربه‌گرها'!$F:$F,R$1)</f>
        <v>0</v>
      </c>
      <c r="S951" s="242">
        <f>COUNTIFS('تجربه‌گرها'!$B:$B,$A951,'تجربه‌گرها'!$F:$F,S$1)</f>
        <v>0</v>
      </c>
      <c r="T951" s="242">
        <f>COUNTIFS('تجربه‌گرها'!$B:$B,$A951,'تجربه‌گرها'!$F:$F,T$1)</f>
        <v>0</v>
      </c>
      <c r="U951" s="242"/>
      <c r="V951" s="242"/>
      <c r="W951" s="242"/>
      <c r="X951" s="242"/>
      <c r="Y951" s="242"/>
      <c r="Z951" s="242"/>
      <c r="AA951" s="242"/>
      <c r="AB951" s="242"/>
    </row>
    <row r="952" hidden="1">
      <c r="A952" s="244" t="s">
        <v>5291</v>
      </c>
      <c r="B952" s="245" t="str">
        <f>VLOOKUP(A952,'تجربه‌گرها'!B:C,2,FALSE())</f>
        <v>989106714956</v>
      </c>
      <c r="C952" s="242"/>
      <c r="D952" s="242">
        <f t="shared" si="1"/>
        <v>1</v>
      </c>
      <c r="E952" s="242">
        <f>COUNTIFS('تجربه‌گرها'!$B:$B,$A952,'تجربه‌گرها'!$F:$F,E$1)</f>
        <v>0</v>
      </c>
      <c r="F952" s="242">
        <f>COUNTIFS('تجربه‌گرها'!$B:$B,$A952,'تجربه‌گرها'!$F:$F,F$1)</f>
        <v>0</v>
      </c>
      <c r="G952" s="242">
        <f>COUNTIFS('تجربه‌گرها'!$B:$B,$A952,'تجربه‌گرها'!$F:$F,G$1)</f>
        <v>0</v>
      </c>
      <c r="H952" s="242">
        <f>COUNTIFS('تجربه‌گرها'!$B:$B,$A952,'تجربه‌گرها'!$F:$F,H$1)</f>
        <v>0</v>
      </c>
      <c r="I952" s="242">
        <f>COUNTIFS('تجربه‌گرها'!$B:$B,$A952,'تجربه‌گرها'!$F:$F,I$1)</f>
        <v>0</v>
      </c>
      <c r="J952" s="242">
        <f>COUNTIFS('تجربه‌گرها'!$B:$B,$A952,'تجربه‌گرها'!$F:$F,J$1)</f>
        <v>0</v>
      </c>
      <c r="K952" s="242">
        <f>COUNTIFS('تجربه‌گرها'!$B:$B,$A952,'تجربه‌گرها'!$F:$F,K$1)</f>
        <v>0</v>
      </c>
      <c r="L952" s="242">
        <f>COUNTIFS('تجربه‌گرها'!$B:$B,$A952,'تجربه‌گرها'!$F:$F,L$1)</f>
        <v>0</v>
      </c>
      <c r="M952" s="242">
        <f>COUNTIFS('تجربه‌گرها'!$B:$B,$A952,'تجربه‌گرها'!$F:$F,M$1)</f>
        <v>1</v>
      </c>
      <c r="N952" s="242">
        <f>COUNTIFS('تجربه‌گرها'!$B:$B,$A952,'تجربه‌گرها'!$F:$F,N$1)</f>
        <v>0</v>
      </c>
      <c r="O952" s="242">
        <f>COUNTIFS('تجربه‌گرها'!$B:$B,$A952,'تجربه‌گرها'!$F:$F,O$1)</f>
        <v>0</v>
      </c>
      <c r="P952" s="242">
        <f>COUNTIFS('تجربه‌گرها'!$B:$B,$A952,'تجربه‌گرها'!$F:$F,P$1)</f>
        <v>0</v>
      </c>
      <c r="Q952" s="242">
        <f>COUNTIFS('تجربه‌گرها'!$B:$B,$A952,'تجربه‌گرها'!$F:$F,Q$1)</f>
        <v>0</v>
      </c>
      <c r="R952" s="242">
        <f>COUNTIFS('تجربه‌گرها'!$B:$B,$A952,'تجربه‌گرها'!$F:$F,R$1)</f>
        <v>0</v>
      </c>
      <c r="S952" s="242">
        <f>COUNTIFS('تجربه‌گرها'!$B:$B,$A952,'تجربه‌گرها'!$F:$F,S$1)</f>
        <v>0</v>
      </c>
      <c r="T952" s="242">
        <f>COUNTIFS('تجربه‌گرها'!$B:$B,$A952,'تجربه‌گرها'!$F:$F,T$1)</f>
        <v>0</v>
      </c>
      <c r="U952" s="242"/>
      <c r="V952" s="242"/>
      <c r="W952" s="242"/>
      <c r="X952" s="242"/>
      <c r="Y952" s="242"/>
      <c r="Z952" s="242"/>
      <c r="AA952" s="242"/>
      <c r="AB952" s="242"/>
    </row>
    <row r="953" hidden="1">
      <c r="A953" s="244" t="s">
        <v>5295</v>
      </c>
      <c r="B953" s="245" t="str">
        <f>VLOOKUP(A953,'تجربه‌گرها'!B:C,2,FALSE())</f>
        <v>989128695163</v>
      </c>
      <c r="C953" s="242"/>
      <c r="D953" s="242">
        <f t="shared" si="1"/>
        <v>1</v>
      </c>
      <c r="E953" s="242">
        <f>COUNTIFS('تجربه‌گرها'!$B:$B,$A953,'تجربه‌گرها'!$F:$F,E$1)</f>
        <v>0</v>
      </c>
      <c r="F953" s="242">
        <f>COUNTIFS('تجربه‌گرها'!$B:$B,$A953,'تجربه‌گرها'!$F:$F,F$1)</f>
        <v>0</v>
      </c>
      <c r="G953" s="242">
        <f>COUNTIFS('تجربه‌گرها'!$B:$B,$A953,'تجربه‌گرها'!$F:$F,G$1)</f>
        <v>0</v>
      </c>
      <c r="H953" s="242">
        <f>COUNTIFS('تجربه‌گرها'!$B:$B,$A953,'تجربه‌گرها'!$F:$F,H$1)</f>
        <v>0</v>
      </c>
      <c r="I953" s="242">
        <f>COUNTIFS('تجربه‌گرها'!$B:$B,$A953,'تجربه‌گرها'!$F:$F,I$1)</f>
        <v>0</v>
      </c>
      <c r="J953" s="242">
        <f>COUNTIFS('تجربه‌گرها'!$B:$B,$A953,'تجربه‌گرها'!$F:$F,J$1)</f>
        <v>0</v>
      </c>
      <c r="K953" s="242">
        <f>COUNTIFS('تجربه‌گرها'!$B:$B,$A953,'تجربه‌گرها'!$F:$F,K$1)</f>
        <v>0</v>
      </c>
      <c r="L953" s="242">
        <f>COUNTIFS('تجربه‌گرها'!$B:$B,$A953,'تجربه‌گرها'!$F:$F,L$1)</f>
        <v>0</v>
      </c>
      <c r="M953" s="242">
        <f>COUNTIFS('تجربه‌گرها'!$B:$B,$A953,'تجربه‌گرها'!$F:$F,M$1)</f>
        <v>1</v>
      </c>
      <c r="N953" s="242">
        <f>COUNTIFS('تجربه‌گرها'!$B:$B,$A953,'تجربه‌گرها'!$F:$F,N$1)</f>
        <v>0</v>
      </c>
      <c r="O953" s="242">
        <f>COUNTIFS('تجربه‌گرها'!$B:$B,$A953,'تجربه‌گرها'!$F:$F,O$1)</f>
        <v>0</v>
      </c>
      <c r="P953" s="242">
        <f>COUNTIFS('تجربه‌گرها'!$B:$B,$A953,'تجربه‌گرها'!$F:$F,P$1)</f>
        <v>0</v>
      </c>
      <c r="Q953" s="242">
        <f>COUNTIFS('تجربه‌گرها'!$B:$B,$A953,'تجربه‌گرها'!$F:$F,Q$1)</f>
        <v>0</v>
      </c>
      <c r="R953" s="242">
        <f>COUNTIFS('تجربه‌گرها'!$B:$B,$A953,'تجربه‌گرها'!$F:$F,R$1)</f>
        <v>0</v>
      </c>
      <c r="S953" s="242">
        <f>COUNTIFS('تجربه‌گرها'!$B:$B,$A953,'تجربه‌گرها'!$F:$F,S$1)</f>
        <v>0</v>
      </c>
      <c r="T953" s="242">
        <f>COUNTIFS('تجربه‌گرها'!$B:$B,$A953,'تجربه‌گرها'!$F:$F,T$1)</f>
        <v>0</v>
      </c>
      <c r="U953" s="242"/>
      <c r="V953" s="242"/>
      <c r="W953" s="242"/>
      <c r="X953" s="242"/>
      <c r="Y953" s="242"/>
      <c r="Z953" s="242"/>
      <c r="AA953" s="242"/>
      <c r="AB953" s="242"/>
    </row>
    <row r="954" hidden="1">
      <c r="A954" s="244" t="s">
        <v>5299</v>
      </c>
      <c r="B954" s="245" t="str">
        <f>VLOOKUP(A954,'تجربه‌گرها'!B:C,2,FALSE())</f>
        <v>989123589600</v>
      </c>
      <c r="C954" s="242"/>
      <c r="D954" s="242">
        <f t="shared" si="1"/>
        <v>1</v>
      </c>
      <c r="E954" s="242">
        <f>COUNTIFS('تجربه‌گرها'!$B:$B,$A954,'تجربه‌گرها'!$F:$F,E$1)</f>
        <v>0</v>
      </c>
      <c r="F954" s="242">
        <f>COUNTIFS('تجربه‌گرها'!$B:$B,$A954,'تجربه‌گرها'!$F:$F,F$1)</f>
        <v>0</v>
      </c>
      <c r="G954" s="242">
        <f>COUNTIFS('تجربه‌گرها'!$B:$B,$A954,'تجربه‌گرها'!$F:$F,G$1)</f>
        <v>0</v>
      </c>
      <c r="H954" s="242">
        <f>COUNTIFS('تجربه‌گرها'!$B:$B,$A954,'تجربه‌گرها'!$F:$F,H$1)</f>
        <v>0</v>
      </c>
      <c r="I954" s="242">
        <f>COUNTIFS('تجربه‌گرها'!$B:$B,$A954,'تجربه‌گرها'!$F:$F,I$1)</f>
        <v>0</v>
      </c>
      <c r="J954" s="242">
        <f>COUNTIFS('تجربه‌گرها'!$B:$B,$A954,'تجربه‌گرها'!$F:$F,J$1)</f>
        <v>0</v>
      </c>
      <c r="K954" s="242">
        <f>COUNTIFS('تجربه‌گرها'!$B:$B,$A954,'تجربه‌گرها'!$F:$F,K$1)</f>
        <v>0</v>
      </c>
      <c r="L954" s="242">
        <f>COUNTIFS('تجربه‌گرها'!$B:$B,$A954,'تجربه‌گرها'!$F:$F,L$1)</f>
        <v>0</v>
      </c>
      <c r="M954" s="242">
        <f>COUNTIFS('تجربه‌گرها'!$B:$B,$A954,'تجربه‌گرها'!$F:$F,M$1)</f>
        <v>1</v>
      </c>
      <c r="N954" s="242">
        <f>COUNTIFS('تجربه‌گرها'!$B:$B,$A954,'تجربه‌گرها'!$F:$F,N$1)</f>
        <v>0</v>
      </c>
      <c r="O954" s="242">
        <f>COUNTIFS('تجربه‌گرها'!$B:$B,$A954,'تجربه‌گرها'!$F:$F,O$1)</f>
        <v>0</v>
      </c>
      <c r="P954" s="242">
        <f>COUNTIFS('تجربه‌گرها'!$B:$B,$A954,'تجربه‌گرها'!$F:$F,P$1)</f>
        <v>0</v>
      </c>
      <c r="Q954" s="242">
        <f>COUNTIFS('تجربه‌گرها'!$B:$B,$A954,'تجربه‌گرها'!$F:$F,Q$1)</f>
        <v>0</v>
      </c>
      <c r="R954" s="242">
        <f>COUNTIFS('تجربه‌گرها'!$B:$B,$A954,'تجربه‌گرها'!$F:$F,R$1)</f>
        <v>0</v>
      </c>
      <c r="S954" s="242">
        <f>COUNTIFS('تجربه‌گرها'!$B:$B,$A954,'تجربه‌گرها'!$F:$F,S$1)</f>
        <v>0</v>
      </c>
      <c r="T954" s="242">
        <f>COUNTIFS('تجربه‌گرها'!$B:$B,$A954,'تجربه‌گرها'!$F:$F,T$1)</f>
        <v>0</v>
      </c>
      <c r="U954" s="242"/>
      <c r="V954" s="242"/>
      <c r="W954" s="242"/>
      <c r="X954" s="242"/>
      <c r="Y954" s="242"/>
      <c r="Z954" s="242"/>
      <c r="AA954" s="242"/>
      <c r="AB954" s="242"/>
    </row>
    <row r="955" hidden="1">
      <c r="A955" s="244" t="s">
        <v>5301</v>
      </c>
      <c r="B955" s="245" t="str">
        <f>VLOOKUP(A955,'تجربه‌گرها'!B:C,2,FALSE())</f>
        <v>989124753102</v>
      </c>
      <c r="C955" s="242"/>
      <c r="D955" s="242">
        <f t="shared" si="1"/>
        <v>1</v>
      </c>
      <c r="E955" s="242">
        <f>COUNTIFS('تجربه‌گرها'!$B:$B,$A955,'تجربه‌گرها'!$F:$F,E$1)</f>
        <v>0</v>
      </c>
      <c r="F955" s="242">
        <f>COUNTIFS('تجربه‌گرها'!$B:$B,$A955,'تجربه‌گرها'!$F:$F,F$1)</f>
        <v>0</v>
      </c>
      <c r="G955" s="242">
        <f>COUNTIFS('تجربه‌گرها'!$B:$B,$A955,'تجربه‌گرها'!$F:$F,G$1)</f>
        <v>0</v>
      </c>
      <c r="H955" s="242">
        <f>COUNTIFS('تجربه‌گرها'!$B:$B,$A955,'تجربه‌گرها'!$F:$F,H$1)</f>
        <v>0</v>
      </c>
      <c r="I955" s="242">
        <f>COUNTIFS('تجربه‌گرها'!$B:$B,$A955,'تجربه‌گرها'!$F:$F,I$1)</f>
        <v>0</v>
      </c>
      <c r="J955" s="242">
        <f>COUNTIFS('تجربه‌گرها'!$B:$B,$A955,'تجربه‌گرها'!$F:$F,J$1)</f>
        <v>0</v>
      </c>
      <c r="K955" s="242">
        <f>COUNTIFS('تجربه‌گرها'!$B:$B,$A955,'تجربه‌گرها'!$F:$F,K$1)</f>
        <v>0</v>
      </c>
      <c r="L955" s="242">
        <f>COUNTIFS('تجربه‌گرها'!$B:$B,$A955,'تجربه‌گرها'!$F:$F,L$1)</f>
        <v>0</v>
      </c>
      <c r="M955" s="242">
        <f>COUNTIFS('تجربه‌گرها'!$B:$B,$A955,'تجربه‌گرها'!$F:$F,M$1)</f>
        <v>1</v>
      </c>
      <c r="N955" s="242">
        <f>COUNTIFS('تجربه‌گرها'!$B:$B,$A955,'تجربه‌گرها'!$F:$F,N$1)</f>
        <v>0</v>
      </c>
      <c r="O955" s="242">
        <f>COUNTIFS('تجربه‌گرها'!$B:$B,$A955,'تجربه‌گرها'!$F:$F,O$1)</f>
        <v>0</v>
      </c>
      <c r="P955" s="242">
        <f>COUNTIFS('تجربه‌گرها'!$B:$B,$A955,'تجربه‌گرها'!$F:$F,P$1)</f>
        <v>0</v>
      </c>
      <c r="Q955" s="242">
        <f>COUNTIFS('تجربه‌گرها'!$B:$B,$A955,'تجربه‌گرها'!$F:$F,Q$1)</f>
        <v>0</v>
      </c>
      <c r="R955" s="242">
        <f>COUNTIFS('تجربه‌گرها'!$B:$B,$A955,'تجربه‌گرها'!$F:$F,R$1)</f>
        <v>0</v>
      </c>
      <c r="S955" s="242">
        <f>COUNTIFS('تجربه‌گرها'!$B:$B,$A955,'تجربه‌گرها'!$F:$F,S$1)</f>
        <v>0</v>
      </c>
      <c r="T955" s="242">
        <f>COUNTIFS('تجربه‌گرها'!$B:$B,$A955,'تجربه‌گرها'!$F:$F,T$1)</f>
        <v>0</v>
      </c>
      <c r="U955" s="242"/>
      <c r="V955" s="242"/>
      <c r="W955" s="242"/>
      <c r="X955" s="242"/>
      <c r="Y955" s="242"/>
      <c r="Z955" s="242"/>
      <c r="AA955" s="242"/>
      <c r="AB955" s="242"/>
    </row>
    <row r="956" hidden="1">
      <c r="A956" s="244" t="s">
        <v>5305</v>
      </c>
      <c r="B956" s="245" t="str">
        <f>VLOOKUP(A956,'تجربه‌گرها'!B:C,2,FALSE())</f>
        <v>989391905728</v>
      </c>
      <c r="C956" s="242"/>
      <c r="D956" s="242">
        <f t="shared" si="1"/>
        <v>1</v>
      </c>
      <c r="E956" s="242">
        <f>COUNTIFS('تجربه‌گرها'!$B:$B,$A956,'تجربه‌گرها'!$F:$F,E$1)</f>
        <v>0</v>
      </c>
      <c r="F956" s="242">
        <f>COUNTIFS('تجربه‌گرها'!$B:$B,$A956,'تجربه‌گرها'!$F:$F,F$1)</f>
        <v>0</v>
      </c>
      <c r="G956" s="242">
        <f>COUNTIFS('تجربه‌گرها'!$B:$B,$A956,'تجربه‌گرها'!$F:$F,G$1)</f>
        <v>0</v>
      </c>
      <c r="H956" s="242">
        <f>COUNTIFS('تجربه‌گرها'!$B:$B,$A956,'تجربه‌گرها'!$F:$F,H$1)</f>
        <v>0</v>
      </c>
      <c r="I956" s="242">
        <f>COUNTIFS('تجربه‌گرها'!$B:$B,$A956,'تجربه‌گرها'!$F:$F,I$1)</f>
        <v>0</v>
      </c>
      <c r="J956" s="242">
        <f>COUNTIFS('تجربه‌گرها'!$B:$B,$A956,'تجربه‌گرها'!$F:$F,J$1)</f>
        <v>0</v>
      </c>
      <c r="K956" s="242">
        <f>COUNTIFS('تجربه‌گرها'!$B:$B,$A956,'تجربه‌گرها'!$F:$F,K$1)</f>
        <v>0</v>
      </c>
      <c r="L956" s="242">
        <f>COUNTIFS('تجربه‌گرها'!$B:$B,$A956,'تجربه‌گرها'!$F:$F,L$1)</f>
        <v>0</v>
      </c>
      <c r="M956" s="242">
        <f>COUNTIFS('تجربه‌گرها'!$B:$B,$A956,'تجربه‌گرها'!$F:$F,M$1)</f>
        <v>1</v>
      </c>
      <c r="N956" s="242">
        <f>COUNTIFS('تجربه‌گرها'!$B:$B,$A956,'تجربه‌گرها'!$F:$F,N$1)</f>
        <v>0</v>
      </c>
      <c r="O956" s="242">
        <f>COUNTIFS('تجربه‌گرها'!$B:$B,$A956,'تجربه‌گرها'!$F:$F,O$1)</f>
        <v>0</v>
      </c>
      <c r="P956" s="242">
        <f>COUNTIFS('تجربه‌گرها'!$B:$B,$A956,'تجربه‌گرها'!$F:$F,P$1)</f>
        <v>0</v>
      </c>
      <c r="Q956" s="242">
        <f>COUNTIFS('تجربه‌گرها'!$B:$B,$A956,'تجربه‌گرها'!$F:$F,Q$1)</f>
        <v>0</v>
      </c>
      <c r="R956" s="242">
        <f>COUNTIFS('تجربه‌گرها'!$B:$B,$A956,'تجربه‌گرها'!$F:$F,R$1)</f>
        <v>0</v>
      </c>
      <c r="S956" s="242">
        <f>COUNTIFS('تجربه‌گرها'!$B:$B,$A956,'تجربه‌گرها'!$F:$F,S$1)</f>
        <v>0</v>
      </c>
      <c r="T956" s="242">
        <f>COUNTIFS('تجربه‌گرها'!$B:$B,$A956,'تجربه‌گرها'!$F:$F,T$1)</f>
        <v>0</v>
      </c>
      <c r="U956" s="242"/>
      <c r="V956" s="242"/>
      <c r="W956" s="242"/>
      <c r="X956" s="242"/>
      <c r="Y956" s="242"/>
      <c r="Z956" s="242"/>
      <c r="AA956" s="242"/>
      <c r="AB956" s="242"/>
    </row>
    <row r="957" hidden="1">
      <c r="A957" s="244" t="s">
        <v>5309</v>
      </c>
      <c r="B957" s="245" t="str">
        <f>VLOOKUP(A957,'تجربه‌گرها'!B:C,2,FALSE())</f>
        <v>989912092905</v>
      </c>
      <c r="C957" s="242"/>
      <c r="D957" s="242">
        <f t="shared" si="1"/>
        <v>2</v>
      </c>
      <c r="E957" s="242">
        <f>COUNTIFS('تجربه‌گرها'!$B:$B,$A957,'تجربه‌گرها'!$F:$F,E$1)</f>
        <v>0</v>
      </c>
      <c r="F957" s="242">
        <f>COUNTIFS('تجربه‌گرها'!$B:$B,$A957,'تجربه‌گرها'!$F:$F,F$1)</f>
        <v>0</v>
      </c>
      <c r="G957" s="242">
        <f>COUNTIFS('تجربه‌گرها'!$B:$B,$A957,'تجربه‌گرها'!$F:$F,G$1)</f>
        <v>0</v>
      </c>
      <c r="H957" s="242">
        <f>COUNTIFS('تجربه‌گرها'!$B:$B,$A957,'تجربه‌گرها'!$F:$F,H$1)</f>
        <v>0</v>
      </c>
      <c r="I957" s="242">
        <f>COUNTIFS('تجربه‌گرها'!$B:$B,$A957,'تجربه‌گرها'!$F:$F,I$1)</f>
        <v>0</v>
      </c>
      <c r="J957" s="242">
        <f>COUNTIFS('تجربه‌گرها'!$B:$B,$A957,'تجربه‌گرها'!$F:$F,J$1)</f>
        <v>0</v>
      </c>
      <c r="K957" s="242">
        <f>COUNTIFS('تجربه‌گرها'!$B:$B,$A957,'تجربه‌گرها'!$F:$F,K$1)</f>
        <v>0</v>
      </c>
      <c r="L957" s="242">
        <f>COUNTIFS('تجربه‌گرها'!$B:$B,$A957,'تجربه‌گرها'!$F:$F,L$1)</f>
        <v>0</v>
      </c>
      <c r="M957" s="242">
        <f>COUNTIFS('تجربه‌گرها'!$B:$B,$A957,'تجربه‌گرها'!$F:$F,M$1)</f>
        <v>1</v>
      </c>
      <c r="N957" s="242">
        <f>COUNTIFS('تجربه‌گرها'!$B:$B,$A957,'تجربه‌گرها'!$F:$F,N$1)</f>
        <v>1</v>
      </c>
      <c r="O957" s="242">
        <f>COUNTIFS('تجربه‌گرها'!$B:$B,$A957,'تجربه‌گرها'!$F:$F,O$1)</f>
        <v>0</v>
      </c>
      <c r="P957" s="242">
        <f>COUNTIFS('تجربه‌گرها'!$B:$B,$A957,'تجربه‌گرها'!$F:$F,P$1)</f>
        <v>0</v>
      </c>
      <c r="Q957" s="242">
        <f>COUNTIFS('تجربه‌گرها'!$B:$B,$A957,'تجربه‌گرها'!$F:$F,Q$1)</f>
        <v>0</v>
      </c>
      <c r="R957" s="242">
        <f>COUNTIFS('تجربه‌گرها'!$B:$B,$A957,'تجربه‌گرها'!$F:$F,R$1)</f>
        <v>0</v>
      </c>
      <c r="S957" s="242">
        <f>COUNTIFS('تجربه‌گرها'!$B:$B,$A957,'تجربه‌گرها'!$F:$F,S$1)</f>
        <v>0</v>
      </c>
      <c r="T957" s="242">
        <f>COUNTIFS('تجربه‌گرها'!$B:$B,$A957,'تجربه‌گرها'!$F:$F,T$1)</f>
        <v>0</v>
      </c>
      <c r="U957" s="242"/>
      <c r="V957" s="242"/>
      <c r="W957" s="242"/>
      <c r="X957" s="242"/>
      <c r="Y957" s="242"/>
      <c r="Z957" s="242"/>
      <c r="AA957" s="242"/>
      <c r="AB957" s="242"/>
    </row>
    <row r="958">
      <c r="A958" s="244" t="s">
        <v>5311</v>
      </c>
      <c r="B958" s="245" t="str">
        <f>VLOOKUP(A958,'تجربه‌گرها'!B:C,2,FALSE())</f>
        <v>989136281326</v>
      </c>
      <c r="C958" s="242"/>
      <c r="D958" s="242">
        <f t="shared" si="1"/>
        <v>1</v>
      </c>
      <c r="E958" s="242">
        <f>COUNTIFS('تجربه‌گرها'!$B:$B,$A958,'تجربه‌گرها'!$F:$F,E$1)</f>
        <v>0</v>
      </c>
      <c r="F958" s="242">
        <f>COUNTIFS('تجربه‌گرها'!$B:$B,$A958,'تجربه‌گرها'!$F:$F,F$1)</f>
        <v>0</v>
      </c>
      <c r="G958" s="242">
        <f>COUNTIFS('تجربه‌گرها'!$B:$B,$A958,'تجربه‌گرها'!$F:$F,G$1)</f>
        <v>0</v>
      </c>
      <c r="H958" s="242">
        <f>COUNTIFS('تجربه‌گرها'!$B:$B,$A958,'تجربه‌گرها'!$F:$F,H$1)</f>
        <v>0</v>
      </c>
      <c r="I958" s="242">
        <f>COUNTIFS('تجربه‌گرها'!$B:$B,$A958,'تجربه‌گرها'!$F:$F,I$1)</f>
        <v>0</v>
      </c>
      <c r="J958" s="242">
        <f>COUNTIFS('تجربه‌گرها'!$B:$B,$A958,'تجربه‌گرها'!$F:$F,J$1)</f>
        <v>0</v>
      </c>
      <c r="K958" s="242">
        <f>COUNTIFS('تجربه‌گرها'!$B:$B,$A958,'تجربه‌گرها'!$F:$F,K$1)</f>
        <v>0</v>
      </c>
      <c r="L958" s="242">
        <f>COUNTIFS('تجربه‌گرها'!$B:$B,$A958,'تجربه‌گرها'!$F:$F,L$1)</f>
        <v>0</v>
      </c>
      <c r="M958" s="242">
        <f>COUNTIFS('تجربه‌گرها'!$B:$B,$A958,'تجربه‌گرها'!$F:$F,M$1)</f>
        <v>1</v>
      </c>
      <c r="N958" s="242">
        <f>COUNTIFS('تجربه‌گرها'!$B:$B,$A958,'تجربه‌گرها'!$F:$F,N$1)</f>
        <v>0</v>
      </c>
      <c r="O958" s="242">
        <f>COUNTIFS('تجربه‌گرها'!$B:$B,$A958,'تجربه‌گرها'!$F:$F,O$1)</f>
        <v>0</v>
      </c>
      <c r="P958" s="242">
        <f>COUNTIFS('تجربه‌گرها'!$B:$B,$A958,'تجربه‌گرها'!$F:$F,P$1)</f>
        <v>0</v>
      </c>
      <c r="Q958" s="242">
        <f>COUNTIFS('تجربه‌گرها'!$B:$B,$A958,'تجربه‌گرها'!$F:$F,Q$1)</f>
        <v>0</v>
      </c>
      <c r="R958" s="242">
        <f>COUNTIFS('تجربه‌گرها'!$B:$B,$A958,'تجربه‌گرها'!$F:$F,R$1)</f>
        <v>0</v>
      </c>
      <c r="S958" s="242">
        <f>COUNTIFS('تجربه‌گرها'!$B:$B,$A958,'تجربه‌گرها'!$F:$F,S$1)</f>
        <v>0</v>
      </c>
      <c r="T958" s="242">
        <f>COUNTIFS('تجربه‌گرها'!$B:$B,$A958,'تجربه‌گرها'!$F:$F,T$1)</f>
        <v>0</v>
      </c>
      <c r="U958" s="242"/>
      <c r="V958" s="242"/>
      <c r="W958" s="242"/>
      <c r="X958" s="242"/>
      <c r="Y958" s="242"/>
      <c r="Z958" s="242"/>
      <c r="AA958" s="242"/>
      <c r="AB958" s="242"/>
    </row>
    <row r="959" hidden="1">
      <c r="A959" s="244" t="s">
        <v>5315</v>
      </c>
      <c r="B959" s="245" t="str">
        <f>VLOOKUP(A959,'تجربه‌گرها'!B:C,2,FALSE())</f>
        <v>989129619261</v>
      </c>
      <c r="C959" s="242"/>
      <c r="D959" s="242">
        <f t="shared" si="1"/>
        <v>3</v>
      </c>
      <c r="E959" s="242">
        <f>COUNTIFS('تجربه‌گرها'!$B:$B,$A959,'تجربه‌گرها'!$F:$F,E$1)</f>
        <v>0</v>
      </c>
      <c r="F959" s="242">
        <f>COUNTIFS('تجربه‌گرها'!$B:$B,$A959,'تجربه‌گرها'!$F:$F,F$1)</f>
        <v>0</v>
      </c>
      <c r="G959" s="242">
        <f>COUNTIFS('تجربه‌گرها'!$B:$B,$A959,'تجربه‌گرها'!$F:$F,G$1)</f>
        <v>0</v>
      </c>
      <c r="H959" s="242">
        <f>COUNTIFS('تجربه‌گرها'!$B:$B,$A959,'تجربه‌گرها'!$F:$F,H$1)</f>
        <v>0</v>
      </c>
      <c r="I959" s="242">
        <f>COUNTIFS('تجربه‌گرها'!$B:$B,$A959,'تجربه‌گرها'!$F:$F,I$1)</f>
        <v>0</v>
      </c>
      <c r="J959" s="242">
        <f>COUNTIFS('تجربه‌گرها'!$B:$B,$A959,'تجربه‌گرها'!$F:$F,J$1)</f>
        <v>0</v>
      </c>
      <c r="K959" s="242">
        <f>COUNTIFS('تجربه‌گرها'!$B:$B,$A959,'تجربه‌گرها'!$F:$F,K$1)</f>
        <v>0</v>
      </c>
      <c r="L959" s="242">
        <f>COUNTIFS('تجربه‌گرها'!$B:$B,$A959,'تجربه‌گرها'!$F:$F,L$1)</f>
        <v>0</v>
      </c>
      <c r="M959" s="242">
        <f>COUNTIFS('تجربه‌گرها'!$B:$B,$A959,'تجربه‌گرها'!$F:$F,M$1)</f>
        <v>1</v>
      </c>
      <c r="N959" s="242">
        <f>COUNTIFS('تجربه‌گرها'!$B:$B,$A959,'تجربه‌گرها'!$F:$F,N$1)</f>
        <v>1</v>
      </c>
      <c r="O959" s="242">
        <f>COUNTIFS('تجربه‌گرها'!$B:$B,$A959,'تجربه‌گرها'!$F:$F,O$1)</f>
        <v>0</v>
      </c>
      <c r="P959" s="242">
        <f>COUNTIFS('تجربه‌گرها'!$B:$B,$A959,'تجربه‌گرها'!$F:$F,P$1)</f>
        <v>1</v>
      </c>
      <c r="Q959" s="242">
        <f>COUNTIFS('تجربه‌گرها'!$B:$B,$A959,'تجربه‌گرها'!$F:$F,Q$1)</f>
        <v>0</v>
      </c>
      <c r="R959" s="242">
        <f>COUNTIFS('تجربه‌گرها'!$B:$B,$A959,'تجربه‌گرها'!$F:$F,R$1)</f>
        <v>0</v>
      </c>
      <c r="S959" s="242">
        <f>COUNTIFS('تجربه‌گرها'!$B:$B,$A959,'تجربه‌گرها'!$F:$F,S$1)</f>
        <v>0</v>
      </c>
      <c r="T959" s="242">
        <f>COUNTIFS('تجربه‌گرها'!$B:$B,$A959,'تجربه‌گرها'!$F:$F,T$1)</f>
        <v>0</v>
      </c>
      <c r="U959" s="242"/>
      <c r="V959" s="242"/>
      <c r="W959" s="242"/>
      <c r="X959" s="242"/>
      <c r="Y959" s="242"/>
      <c r="Z959" s="242"/>
      <c r="AA959" s="242"/>
      <c r="AB959" s="242"/>
    </row>
    <row r="960" hidden="1">
      <c r="A960" s="244" t="s">
        <v>5318</v>
      </c>
      <c r="B960" s="245" t="str">
        <f>VLOOKUP(A960,'تجربه‌گرها'!B:C,2,FALSE())</f>
        <v>989020118456</v>
      </c>
      <c r="C960" s="242"/>
      <c r="D960" s="242">
        <f t="shared" si="1"/>
        <v>1</v>
      </c>
      <c r="E960" s="242">
        <f>COUNTIFS('تجربه‌گرها'!$B:$B,$A960,'تجربه‌گرها'!$F:$F,E$1)</f>
        <v>0</v>
      </c>
      <c r="F960" s="242">
        <f>COUNTIFS('تجربه‌گرها'!$B:$B,$A960,'تجربه‌گرها'!$F:$F,F$1)</f>
        <v>0</v>
      </c>
      <c r="G960" s="242">
        <f>COUNTIFS('تجربه‌گرها'!$B:$B,$A960,'تجربه‌گرها'!$F:$F,G$1)</f>
        <v>0</v>
      </c>
      <c r="H960" s="242">
        <f>COUNTIFS('تجربه‌گرها'!$B:$B,$A960,'تجربه‌گرها'!$F:$F,H$1)</f>
        <v>0</v>
      </c>
      <c r="I960" s="242">
        <f>COUNTIFS('تجربه‌گرها'!$B:$B,$A960,'تجربه‌گرها'!$F:$F,I$1)</f>
        <v>0</v>
      </c>
      <c r="J960" s="242">
        <f>COUNTIFS('تجربه‌گرها'!$B:$B,$A960,'تجربه‌گرها'!$F:$F,J$1)</f>
        <v>0</v>
      </c>
      <c r="K960" s="242">
        <f>COUNTIFS('تجربه‌گرها'!$B:$B,$A960,'تجربه‌گرها'!$F:$F,K$1)</f>
        <v>0</v>
      </c>
      <c r="L960" s="242">
        <f>COUNTIFS('تجربه‌گرها'!$B:$B,$A960,'تجربه‌گرها'!$F:$F,L$1)</f>
        <v>0</v>
      </c>
      <c r="M960" s="242">
        <f>COUNTIFS('تجربه‌گرها'!$B:$B,$A960,'تجربه‌گرها'!$F:$F,M$1)</f>
        <v>1</v>
      </c>
      <c r="N960" s="242">
        <f>COUNTIFS('تجربه‌گرها'!$B:$B,$A960,'تجربه‌گرها'!$F:$F,N$1)</f>
        <v>0</v>
      </c>
      <c r="O960" s="242">
        <f>COUNTIFS('تجربه‌گرها'!$B:$B,$A960,'تجربه‌گرها'!$F:$F,O$1)</f>
        <v>0</v>
      </c>
      <c r="P960" s="242">
        <f>COUNTIFS('تجربه‌گرها'!$B:$B,$A960,'تجربه‌گرها'!$F:$F,P$1)</f>
        <v>0</v>
      </c>
      <c r="Q960" s="242">
        <f>COUNTIFS('تجربه‌گرها'!$B:$B,$A960,'تجربه‌گرها'!$F:$F,Q$1)</f>
        <v>0</v>
      </c>
      <c r="R960" s="242">
        <f>COUNTIFS('تجربه‌گرها'!$B:$B,$A960,'تجربه‌گرها'!$F:$F,R$1)</f>
        <v>0</v>
      </c>
      <c r="S960" s="242">
        <f>COUNTIFS('تجربه‌گرها'!$B:$B,$A960,'تجربه‌گرها'!$F:$F,S$1)</f>
        <v>0</v>
      </c>
      <c r="T960" s="242">
        <f>COUNTIFS('تجربه‌گرها'!$B:$B,$A960,'تجربه‌گرها'!$F:$F,T$1)</f>
        <v>0</v>
      </c>
      <c r="U960" s="242"/>
      <c r="V960" s="242"/>
      <c r="W960" s="242"/>
      <c r="X960" s="242"/>
      <c r="Y960" s="242"/>
      <c r="Z960" s="242"/>
      <c r="AA960" s="242"/>
      <c r="AB960" s="242"/>
    </row>
    <row r="961" hidden="1">
      <c r="A961" s="244" t="s">
        <v>5321</v>
      </c>
      <c r="B961" s="245" t="str">
        <f>VLOOKUP(A961,'تجربه‌گرها'!B:C,2,FALSE())</f>
        <v>989197674709</v>
      </c>
      <c r="C961" s="242"/>
      <c r="D961" s="242">
        <f t="shared" si="1"/>
        <v>1</v>
      </c>
      <c r="E961" s="242">
        <f>COUNTIFS('تجربه‌گرها'!$B:$B,$A961,'تجربه‌گرها'!$F:$F,E$1)</f>
        <v>0</v>
      </c>
      <c r="F961" s="242">
        <f>COUNTIFS('تجربه‌گرها'!$B:$B,$A961,'تجربه‌گرها'!$F:$F,F$1)</f>
        <v>0</v>
      </c>
      <c r="G961" s="242">
        <f>COUNTIFS('تجربه‌گرها'!$B:$B,$A961,'تجربه‌گرها'!$F:$F,G$1)</f>
        <v>0</v>
      </c>
      <c r="H961" s="242">
        <f>COUNTIFS('تجربه‌گرها'!$B:$B,$A961,'تجربه‌گرها'!$F:$F,H$1)</f>
        <v>0</v>
      </c>
      <c r="I961" s="242">
        <f>COUNTIFS('تجربه‌گرها'!$B:$B,$A961,'تجربه‌گرها'!$F:$F,I$1)</f>
        <v>0</v>
      </c>
      <c r="J961" s="242">
        <f>COUNTIFS('تجربه‌گرها'!$B:$B,$A961,'تجربه‌گرها'!$F:$F,J$1)</f>
        <v>0</v>
      </c>
      <c r="K961" s="242">
        <f>COUNTIFS('تجربه‌گرها'!$B:$B,$A961,'تجربه‌گرها'!$F:$F,K$1)</f>
        <v>0</v>
      </c>
      <c r="L961" s="242">
        <f>COUNTIFS('تجربه‌گرها'!$B:$B,$A961,'تجربه‌گرها'!$F:$F,L$1)</f>
        <v>0</v>
      </c>
      <c r="M961" s="242">
        <f>COUNTIFS('تجربه‌گرها'!$B:$B,$A961,'تجربه‌گرها'!$F:$F,M$1)</f>
        <v>1</v>
      </c>
      <c r="N961" s="242">
        <f>COUNTIFS('تجربه‌گرها'!$B:$B,$A961,'تجربه‌گرها'!$F:$F,N$1)</f>
        <v>0</v>
      </c>
      <c r="O961" s="242">
        <f>COUNTIFS('تجربه‌گرها'!$B:$B,$A961,'تجربه‌گرها'!$F:$F,O$1)</f>
        <v>0</v>
      </c>
      <c r="P961" s="242">
        <f>COUNTIFS('تجربه‌گرها'!$B:$B,$A961,'تجربه‌گرها'!$F:$F,P$1)</f>
        <v>0</v>
      </c>
      <c r="Q961" s="242">
        <f>COUNTIFS('تجربه‌گرها'!$B:$B,$A961,'تجربه‌گرها'!$F:$F,Q$1)</f>
        <v>0</v>
      </c>
      <c r="R961" s="242">
        <f>COUNTIFS('تجربه‌گرها'!$B:$B,$A961,'تجربه‌گرها'!$F:$F,R$1)</f>
        <v>0</v>
      </c>
      <c r="S961" s="242">
        <f>COUNTIFS('تجربه‌گرها'!$B:$B,$A961,'تجربه‌گرها'!$F:$F,S$1)</f>
        <v>0</v>
      </c>
      <c r="T961" s="242">
        <f>COUNTIFS('تجربه‌گرها'!$B:$B,$A961,'تجربه‌گرها'!$F:$F,T$1)</f>
        <v>0</v>
      </c>
      <c r="U961" s="242"/>
      <c r="V961" s="242"/>
      <c r="W961" s="242"/>
      <c r="X961" s="242"/>
      <c r="Y961" s="242"/>
      <c r="Z961" s="242"/>
      <c r="AA961" s="242"/>
      <c r="AB961" s="242"/>
    </row>
    <row r="962" hidden="1">
      <c r="A962" s="244" t="s">
        <v>5325</v>
      </c>
      <c r="B962" s="245" t="str">
        <f>VLOOKUP(A962,'تجربه‌گرها'!B:C,2,FALSE())</f>
        <v>989143159445</v>
      </c>
      <c r="C962" s="242"/>
      <c r="D962" s="242">
        <f t="shared" si="1"/>
        <v>2</v>
      </c>
      <c r="E962" s="242">
        <f>COUNTIFS('تجربه‌گرها'!$B:$B,$A962,'تجربه‌گرها'!$F:$F,E$1)</f>
        <v>0</v>
      </c>
      <c r="F962" s="242">
        <f>COUNTIFS('تجربه‌گرها'!$B:$B,$A962,'تجربه‌گرها'!$F:$F,F$1)</f>
        <v>0</v>
      </c>
      <c r="G962" s="242">
        <f>COUNTIFS('تجربه‌گرها'!$B:$B,$A962,'تجربه‌گرها'!$F:$F,G$1)</f>
        <v>0</v>
      </c>
      <c r="H962" s="242">
        <f>COUNTIFS('تجربه‌گرها'!$B:$B,$A962,'تجربه‌گرها'!$F:$F,H$1)</f>
        <v>0</v>
      </c>
      <c r="I962" s="242">
        <f>COUNTIFS('تجربه‌گرها'!$B:$B,$A962,'تجربه‌گرها'!$F:$F,I$1)</f>
        <v>0</v>
      </c>
      <c r="J962" s="242">
        <f>COUNTIFS('تجربه‌گرها'!$B:$B,$A962,'تجربه‌گرها'!$F:$F,J$1)</f>
        <v>0</v>
      </c>
      <c r="K962" s="242">
        <f>COUNTIFS('تجربه‌گرها'!$B:$B,$A962,'تجربه‌گرها'!$F:$F,K$1)</f>
        <v>0</v>
      </c>
      <c r="L962" s="242">
        <f>COUNTIFS('تجربه‌گرها'!$B:$B,$A962,'تجربه‌گرها'!$F:$F,L$1)</f>
        <v>0</v>
      </c>
      <c r="M962" s="242">
        <f>COUNTIFS('تجربه‌گرها'!$B:$B,$A962,'تجربه‌گرها'!$F:$F,M$1)</f>
        <v>1</v>
      </c>
      <c r="N962" s="242">
        <f>COUNTIFS('تجربه‌گرها'!$B:$B,$A962,'تجربه‌گرها'!$F:$F,N$1)</f>
        <v>1</v>
      </c>
      <c r="O962" s="242">
        <f>COUNTIFS('تجربه‌گرها'!$B:$B,$A962,'تجربه‌گرها'!$F:$F,O$1)</f>
        <v>0</v>
      </c>
      <c r="P962" s="242">
        <f>COUNTIFS('تجربه‌گرها'!$B:$B,$A962,'تجربه‌گرها'!$F:$F,P$1)</f>
        <v>0</v>
      </c>
      <c r="Q962" s="242">
        <f>COUNTIFS('تجربه‌گرها'!$B:$B,$A962,'تجربه‌گرها'!$F:$F,Q$1)</f>
        <v>0</v>
      </c>
      <c r="R962" s="242">
        <f>COUNTIFS('تجربه‌گرها'!$B:$B,$A962,'تجربه‌گرها'!$F:$F,R$1)</f>
        <v>0</v>
      </c>
      <c r="S962" s="242">
        <f>COUNTIFS('تجربه‌گرها'!$B:$B,$A962,'تجربه‌گرها'!$F:$F,S$1)</f>
        <v>0</v>
      </c>
      <c r="T962" s="242">
        <f>COUNTIFS('تجربه‌گرها'!$B:$B,$A962,'تجربه‌گرها'!$F:$F,T$1)</f>
        <v>0</v>
      </c>
      <c r="U962" s="242"/>
      <c r="V962" s="242"/>
      <c r="W962" s="242"/>
      <c r="X962" s="242"/>
      <c r="Y962" s="242"/>
      <c r="Z962" s="242"/>
      <c r="AA962" s="242"/>
      <c r="AB962" s="242"/>
    </row>
    <row r="963" hidden="1">
      <c r="A963" s="244" t="s">
        <v>5326</v>
      </c>
      <c r="B963" s="245" t="str">
        <f>VLOOKUP(A963,'تجربه‌گرها'!B:C,2,FALSE())</f>
        <v>989391383826</v>
      </c>
      <c r="C963" s="242"/>
      <c r="D963" s="242">
        <f t="shared" si="1"/>
        <v>1</v>
      </c>
      <c r="E963" s="242">
        <f>COUNTIFS('تجربه‌گرها'!$B:$B,$A963,'تجربه‌گرها'!$F:$F,E$1)</f>
        <v>0</v>
      </c>
      <c r="F963" s="242">
        <f>COUNTIFS('تجربه‌گرها'!$B:$B,$A963,'تجربه‌گرها'!$F:$F,F$1)</f>
        <v>0</v>
      </c>
      <c r="G963" s="242">
        <f>COUNTIFS('تجربه‌گرها'!$B:$B,$A963,'تجربه‌گرها'!$F:$F,G$1)</f>
        <v>0</v>
      </c>
      <c r="H963" s="242">
        <f>COUNTIFS('تجربه‌گرها'!$B:$B,$A963,'تجربه‌گرها'!$F:$F,H$1)</f>
        <v>0</v>
      </c>
      <c r="I963" s="242">
        <f>COUNTIFS('تجربه‌گرها'!$B:$B,$A963,'تجربه‌گرها'!$F:$F,I$1)</f>
        <v>0</v>
      </c>
      <c r="J963" s="242">
        <f>COUNTIFS('تجربه‌گرها'!$B:$B,$A963,'تجربه‌گرها'!$F:$F,J$1)</f>
        <v>0</v>
      </c>
      <c r="K963" s="242">
        <f>COUNTIFS('تجربه‌گرها'!$B:$B,$A963,'تجربه‌گرها'!$F:$F,K$1)</f>
        <v>0</v>
      </c>
      <c r="L963" s="242">
        <f>COUNTIFS('تجربه‌گرها'!$B:$B,$A963,'تجربه‌گرها'!$F:$F,L$1)</f>
        <v>0</v>
      </c>
      <c r="M963" s="242">
        <f>COUNTIFS('تجربه‌گرها'!$B:$B,$A963,'تجربه‌گرها'!$F:$F,M$1)</f>
        <v>1</v>
      </c>
      <c r="N963" s="242">
        <f>COUNTIFS('تجربه‌گرها'!$B:$B,$A963,'تجربه‌گرها'!$F:$F,N$1)</f>
        <v>0</v>
      </c>
      <c r="O963" s="242">
        <f>COUNTIFS('تجربه‌گرها'!$B:$B,$A963,'تجربه‌گرها'!$F:$F,O$1)</f>
        <v>0</v>
      </c>
      <c r="P963" s="242">
        <f>COUNTIFS('تجربه‌گرها'!$B:$B,$A963,'تجربه‌گرها'!$F:$F,P$1)</f>
        <v>0</v>
      </c>
      <c r="Q963" s="242">
        <f>COUNTIFS('تجربه‌گرها'!$B:$B,$A963,'تجربه‌گرها'!$F:$F,Q$1)</f>
        <v>0</v>
      </c>
      <c r="R963" s="242">
        <f>COUNTIFS('تجربه‌گرها'!$B:$B,$A963,'تجربه‌گرها'!$F:$F,R$1)</f>
        <v>0</v>
      </c>
      <c r="S963" s="242">
        <f>COUNTIFS('تجربه‌گرها'!$B:$B,$A963,'تجربه‌گرها'!$F:$F,S$1)</f>
        <v>0</v>
      </c>
      <c r="T963" s="242">
        <f>COUNTIFS('تجربه‌گرها'!$B:$B,$A963,'تجربه‌گرها'!$F:$F,T$1)</f>
        <v>0</v>
      </c>
      <c r="U963" s="242"/>
      <c r="V963" s="242"/>
      <c r="W963" s="242"/>
      <c r="X963" s="242"/>
      <c r="Y963" s="242"/>
      <c r="Z963" s="242"/>
      <c r="AA963" s="242"/>
      <c r="AB963" s="242"/>
    </row>
    <row r="964">
      <c r="A964" s="244" t="s">
        <v>5328</v>
      </c>
      <c r="B964" s="245" t="str">
        <f>VLOOKUP(A964,'تجربه‌گرها'!B:C,2,FALSE())</f>
        <v>989366974489</v>
      </c>
      <c r="C964" s="242"/>
      <c r="D964" s="242">
        <f t="shared" si="1"/>
        <v>1</v>
      </c>
      <c r="E964" s="242">
        <f>COUNTIFS('تجربه‌گرها'!$B:$B,$A964,'تجربه‌گرها'!$F:$F,E$1)</f>
        <v>0</v>
      </c>
      <c r="F964" s="242">
        <f>COUNTIFS('تجربه‌گرها'!$B:$B,$A964,'تجربه‌گرها'!$F:$F,F$1)</f>
        <v>0</v>
      </c>
      <c r="G964" s="242">
        <f>COUNTIFS('تجربه‌گرها'!$B:$B,$A964,'تجربه‌گرها'!$F:$F,G$1)</f>
        <v>0</v>
      </c>
      <c r="H964" s="242">
        <f>COUNTIFS('تجربه‌گرها'!$B:$B,$A964,'تجربه‌گرها'!$F:$F,H$1)</f>
        <v>0</v>
      </c>
      <c r="I964" s="242">
        <f>COUNTIFS('تجربه‌گرها'!$B:$B,$A964,'تجربه‌گرها'!$F:$F,I$1)</f>
        <v>0</v>
      </c>
      <c r="J964" s="242">
        <f>COUNTIFS('تجربه‌گرها'!$B:$B,$A964,'تجربه‌گرها'!$F:$F,J$1)</f>
        <v>0</v>
      </c>
      <c r="K964" s="242">
        <f>COUNTIFS('تجربه‌گرها'!$B:$B,$A964,'تجربه‌گرها'!$F:$F,K$1)</f>
        <v>0</v>
      </c>
      <c r="L964" s="242">
        <f>COUNTIFS('تجربه‌گرها'!$B:$B,$A964,'تجربه‌گرها'!$F:$F,L$1)</f>
        <v>0</v>
      </c>
      <c r="M964" s="242">
        <f>COUNTIFS('تجربه‌گرها'!$B:$B,$A964,'تجربه‌گرها'!$F:$F,M$1)</f>
        <v>1</v>
      </c>
      <c r="N964" s="242">
        <f>COUNTIFS('تجربه‌گرها'!$B:$B,$A964,'تجربه‌گرها'!$F:$F,N$1)</f>
        <v>0</v>
      </c>
      <c r="O964" s="242">
        <f>COUNTIFS('تجربه‌گرها'!$B:$B,$A964,'تجربه‌گرها'!$F:$F,O$1)</f>
        <v>0</v>
      </c>
      <c r="P964" s="242">
        <f>COUNTIFS('تجربه‌گرها'!$B:$B,$A964,'تجربه‌گرها'!$F:$F,P$1)</f>
        <v>0</v>
      </c>
      <c r="Q964" s="242">
        <f>COUNTIFS('تجربه‌گرها'!$B:$B,$A964,'تجربه‌گرها'!$F:$F,Q$1)</f>
        <v>0</v>
      </c>
      <c r="R964" s="242">
        <f>COUNTIFS('تجربه‌گرها'!$B:$B,$A964,'تجربه‌گرها'!$F:$F,R$1)</f>
        <v>0</v>
      </c>
      <c r="S964" s="242">
        <f>COUNTIFS('تجربه‌گرها'!$B:$B,$A964,'تجربه‌گرها'!$F:$F,S$1)</f>
        <v>0</v>
      </c>
      <c r="T964" s="242">
        <f>COUNTIFS('تجربه‌گرها'!$B:$B,$A964,'تجربه‌گرها'!$F:$F,T$1)</f>
        <v>0</v>
      </c>
      <c r="U964" s="242"/>
      <c r="V964" s="242"/>
      <c r="W964" s="242"/>
      <c r="X964" s="242"/>
      <c r="Y964" s="242"/>
      <c r="Z964" s="242"/>
      <c r="AA964" s="242"/>
      <c r="AB964" s="242"/>
    </row>
    <row r="965" hidden="1">
      <c r="A965" s="244" t="s">
        <v>5331</v>
      </c>
      <c r="B965" s="245" t="str">
        <f>VLOOKUP(A965,'تجربه‌گرها'!B:C,2,FALSE())</f>
        <v>989394996004</v>
      </c>
      <c r="C965" s="242"/>
      <c r="D965" s="242">
        <f t="shared" si="1"/>
        <v>1</v>
      </c>
      <c r="E965" s="242">
        <f>COUNTIFS('تجربه‌گرها'!$B:$B,$A965,'تجربه‌گرها'!$F:$F,E$1)</f>
        <v>0</v>
      </c>
      <c r="F965" s="242">
        <f>COUNTIFS('تجربه‌گرها'!$B:$B,$A965,'تجربه‌گرها'!$F:$F,F$1)</f>
        <v>0</v>
      </c>
      <c r="G965" s="242">
        <f>COUNTIFS('تجربه‌گرها'!$B:$B,$A965,'تجربه‌گرها'!$F:$F,G$1)</f>
        <v>0</v>
      </c>
      <c r="H965" s="242">
        <f>COUNTIFS('تجربه‌گرها'!$B:$B,$A965,'تجربه‌گرها'!$F:$F,H$1)</f>
        <v>0</v>
      </c>
      <c r="I965" s="242">
        <f>COUNTIFS('تجربه‌گرها'!$B:$B,$A965,'تجربه‌گرها'!$F:$F,I$1)</f>
        <v>0</v>
      </c>
      <c r="J965" s="242">
        <f>COUNTIFS('تجربه‌گرها'!$B:$B,$A965,'تجربه‌گرها'!$F:$F,J$1)</f>
        <v>0</v>
      </c>
      <c r="K965" s="242">
        <f>COUNTIFS('تجربه‌گرها'!$B:$B,$A965,'تجربه‌گرها'!$F:$F,K$1)</f>
        <v>0</v>
      </c>
      <c r="L965" s="242">
        <f>COUNTIFS('تجربه‌گرها'!$B:$B,$A965,'تجربه‌گرها'!$F:$F,L$1)</f>
        <v>0</v>
      </c>
      <c r="M965" s="242">
        <f>COUNTIFS('تجربه‌گرها'!$B:$B,$A965,'تجربه‌گرها'!$F:$F,M$1)</f>
        <v>1</v>
      </c>
      <c r="N965" s="242">
        <f>COUNTIFS('تجربه‌گرها'!$B:$B,$A965,'تجربه‌گرها'!$F:$F,N$1)</f>
        <v>0</v>
      </c>
      <c r="O965" s="242">
        <f>COUNTIFS('تجربه‌گرها'!$B:$B,$A965,'تجربه‌گرها'!$F:$F,O$1)</f>
        <v>0</v>
      </c>
      <c r="P965" s="242">
        <f>COUNTIFS('تجربه‌گرها'!$B:$B,$A965,'تجربه‌گرها'!$F:$F,P$1)</f>
        <v>0</v>
      </c>
      <c r="Q965" s="242">
        <f>COUNTIFS('تجربه‌گرها'!$B:$B,$A965,'تجربه‌گرها'!$F:$F,Q$1)</f>
        <v>0</v>
      </c>
      <c r="R965" s="242">
        <f>COUNTIFS('تجربه‌گرها'!$B:$B,$A965,'تجربه‌گرها'!$F:$F,R$1)</f>
        <v>0</v>
      </c>
      <c r="S965" s="242">
        <f>COUNTIFS('تجربه‌گرها'!$B:$B,$A965,'تجربه‌گرها'!$F:$F,S$1)</f>
        <v>0</v>
      </c>
      <c r="T965" s="242">
        <f>COUNTIFS('تجربه‌گرها'!$B:$B,$A965,'تجربه‌گرها'!$F:$F,T$1)</f>
        <v>0</v>
      </c>
      <c r="U965" s="242"/>
      <c r="V965" s="242"/>
      <c r="W965" s="242"/>
      <c r="X965" s="242"/>
      <c r="Y965" s="242"/>
      <c r="Z965" s="242"/>
      <c r="AA965" s="242"/>
      <c r="AB965" s="242"/>
    </row>
    <row r="966">
      <c r="A966" s="244" t="s">
        <v>5334</v>
      </c>
      <c r="B966" s="245" t="str">
        <f>VLOOKUP(A966,'تجربه‌گرها'!B:C,2,FALSE())</f>
        <v>989124512292</v>
      </c>
      <c r="C966" s="242"/>
      <c r="D966" s="242">
        <f t="shared" si="1"/>
        <v>1</v>
      </c>
      <c r="E966" s="242">
        <f>COUNTIFS('تجربه‌گرها'!$B:$B,$A966,'تجربه‌گرها'!$F:$F,E$1)</f>
        <v>0</v>
      </c>
      <c r="F966" s="242">
        <f>COUNTIFS('تجربه‌گرها'!$B:$B,$A966,'تجربه‌گرها'!$F:$F,F$1)</f>
        <v>0</v>
      </c>
      <c r="G966" s="242">
        <f>COUNTIFS('تجربه‌گرها'!$B:$B,$A966,'تجربه‌گرها'!$F:$F,G$1)</f>
        <v>0</v>
      </c>
      <c r="H966" s="242">
        <f>COUNTIFS('تجربه‌گرها'!$B:$B,$A966,'تجربه‌گرها'!$F:$F,H$1)</f>
        <v>0</v>
      </c>
      <c r="I966" s="242">
        <f>COUNTIFS('تجربه‌گرها'!$B:$B,$A966,'تجربه‌گرها'!$F:$F,I$1)</f>
        <v>0</v>
      </c>
      <c r="J966" s="242">
        <f>COUNTIFS('تجربه‌گرها'!$B:$B,$A966,'تجربه‌گرها'!$F:$F,J$1)</f>
        <v>0</v>
      </c>
      <c r="K966" s="242">
        <f>COUNTIFS('تجربه‌گرها'!$B:$B,$A966,'تجربه‌گرها'!$F:$F,K$1)</f>
        <v>0</v>
      </c>
      <c r="L966" s="242">
        <f>COUNTIFS('تجربه‌گرها'!$B:$B,$A966,'تجربه‌گرها'!$F:$F,L$1)</f>
        <v>0</v>
      </c>
      <c r="M966" s="242">
        <f>COUNTIFS('تجربه‌گرها'!$B:$B,$A966,'تجربه‌گرها'!$F:$F,M$1)</f>
        <v>1</v>
      </c>
      <c r="N966" s="242">
        <f>COUNTIFS('تجربه‌گرها'!$B:$B,$A966,'تجربه‌گرها'!$F:$F,N$1)</f>
        <v>0</v>
      </c>
      <c r="O966" s="242">
        <f>COUNTIFS('تجربه‌گرها'!$B:$B,$A966,'تجربه‌گرها'!$F:$F,O$1)</f>
        <v>0</v>
      </c>
      <c r="P966" s="242">
        <f>COUNTIFS('تجربه‌گرها'!$B:$B,$A966,'تجربه‌گرها'!$F:$F,P$1)</f>
        <v>0</v>
      </c>
      <c r="Q966" s="242">
        <f>COUNTIFS('تجربه‌گرها'!$B:$B,$A966,'تجربه‌گرها'!$F:$F,Q$1)</f>
        <v>0</v>
      </c>
      <c r="R966" s="242">
        <f>COUNTIFS('تجربه‌گرها'!$B:$B,$A966,'تجربه‌گرها'!$F:$F,R$1)</f>
        <v>0</v>
      </c>
      <c r="S966" s="242">
        <f>COUNTIFS('تجربه‌گرها'!$B:$B,$A966,'تجربه‌گرها'!$F:$F,S$1)</f>
        <v>0</v>
      </c>
      <c r="T966" s="242">
        <f>COUNTIFS('تجربه‌گرها'!$B:$B,$A966,'تجربه‌گرها'!$F:$F,T$1)</f>
        <v>0</v>
      </c>
      <c r="U966" s="242"/>
      <c r="V966" s="242"/>
      <c r="W966" s="242"/>
      <c r="X966" s="242"/>
      <c r="Y966" s="242"/>
      <c r="Z966" s="242"/>
      <c r="AA966" s="242"/>
      <c r="AB966" s="242"/>
    </row>
    <row r="967" hidden="1">
      <c r="A967" s="244" t="s">
        <v>5338</v>
      </c>
      <c r="B967" s="245" t="str">
        <f>VLOOKUP(A967,'تجربه‌گرها'!B:C,2,FALSE())</f>
        <v>989195373573</v>
      </c>
      <c r="C967" s="242"/>
      <c r="D967" s="242">
        <f t="shared" si="1"/>
        <v>1</v>
      </c>
      <c r="E967" s="242">
        <f>COUNTIFS('تجربه‌گرها'!$B:$B,$A967,'تجربه‌گرها'!$F:$F,E$1)</f>
        <v>0</v>
      </c>
      <c r="F967" s="242">
        <f>COUNTIFS('تجربه‌گرها'!$B:$B,$A967,'تجربه‌گرها'!$F:$F,F$1)</f>
        <v>0</v>
      </c>
      <c r="G967" s="242">
        <f>COUNTIFS('تجربه‌گرها'!$B:$B,$A967,'تجربه‌گرها'!$F:$F,G$1)</f>
        <v>0</v>
      </c>
      <c r="H967" s="242">
        <f>COUNTIFS('تجربه‌گرها'!$B:$B,$A967,'تجربه‌گرها'!$F:$F,H$1)</f>
        <v>0</v>
      </c>
      <c r="I967" s="242">
        <f>COUNTIFS('تجربه‌گرها'!$B:$B,$A967,'تجربه‌گرها'!$F:$F,I$1)</f>
        <v>0</v>
      </c>
      <c r="J967" s="242">
        <f>COUNTIFS('تجربه‌گرها'!$B:$B,$A967,'تجربه‌گرها'!$F:$F,J$1)</f>
        <v>0</v>
      </c>
      <c r="K967" s="242">
        <f>COUNTIFS('تجربه‌گرها'!$B:$B,$A967,'تجربه‌گرها'!$F:$F,K$1)</f>
        <v>0</v>
      </c>
      <c r="L967" s="242">
        <f>COUNTIFS('تجربه‌گرها'!$B:$B,$A967,'تجربه‌گرها'!$F:$F,L$1)</f>
        <v>0</v>
      </c>
      <c r="M967" s="242">
        <f>COUNTIFS('تجربه‌گرها'!$B:$B,$A967,'تجربه‌گرها'!$F:$F,M$1)</f>
        <v>1</v>
      </c>
      <c r="N967" s="242">
        <f>COUNTIFS('تجربه‌گرها'!$B:$B,$A967,'تجربه‌گرها'!$F:$F,N$1)</f>
        <v>0</v>
      </c>
      <c r="O967" s="242">
        <f>COUNTIFS('تجربه‌گرها'!$B:$B,$A967,'تجربه‌گرها'!$F:$F,O$1)</f>
        <v>0</v>
      </c>
      <c r="P967" s="242">
        <f>COUNTIFS('تجربه‌گرها'!$B:$B,$A967,'تجربه‌گرها'!$F:$F,P$1)</f>
        <v>0</v>
      </c>
      <c r="Q967" s="242">
        <f>COUNTIFS('تجربه‌گرها'!$B:$B,$A967,'تجربه‌گرها'!$F:$F,Q$1)</f>
        <v>0</v>
      </c>
      <c r="R967" s="242">
        <f>COUNTIFS('تجربه‌گرها'!$B:$B,$A967,'تجربه‌گرها'!$F:$F,R$1)</f>
        <v>0</v>
      </c>
      <c r="S967" s="242">
        <f>COUNTIFS('تجربه‌گرها'!$B:$B,$A967,'تجربه‌گرها'!$F:$F,S$1)</f>
        <v>0</v>
      </c>
      <c r="T967" s="242">
        <f>COUNTIFS('تجربه‌گرها'!$B:$B,$A967,'تجربه‌گرها'!$F:$F,T$1)</f>
        <v>0</v>
      </c>
      <c r="U967" s="242"/>
      <c r="V967" s="242"/>
      <c r="W967" s="242"/>
      <c r="X967" s="242"/>
      <c r="Y967" s="242"/>
      <c r="Z967" s="242"/>
      <c r="AA967" s="242"/>
      <c r="AB967" s="242"/>
    </row>
    <row r="968" hidden="1">
      <c r="A968" s="244" t="s">
        <v>5341</v>
      </c>
      <c r="B968" s="245" t="str">
        <f>VLOOKUP(A968,'تجربه‌گرها'!B:C,2,FALSE())</f>
        <v>989206310620</v>
      </c>
      <c r="C968" s="242"/>
      <c r="D968" s="242">
        <f t="shared" si="1"/>
        <v>1</v>
      </c>
      <c r="E968" s="242">
        <f>COUNTIFS('تجربه‌گرها'!$B:$B,$A968,'تجربه‌گرها'!$F:$F,E$1)</f>
        <v>0</v>
      </c>
      <c r="F968" s="242">
        <f>COUNTIFS('تجربه‌گرها'!$B:$B,$A968,'تجربه‌گرها'!$F:$F,F$1)</f>
        <v>0</v>
      </c>
      <c r="G968" s="242">
        <f>COUNTIFS('تجربه‌گرها'!$B:$B,$A968,'تجربه‌گرها'!$F:$F,G$1)</f>
        <v>0</v>
      </c>
      <c r="H968" s="242">
        <f>COUNTIFS('تجربه‌گرها'!$B:$B,$A968,'تجربه‌گرها'!$F:$F,H$1)</f>
        <v>0</v>
      </c>
      <c r="I968" s="242">
        <f>COUNTIFS('تجربه‌گرها'!$B:$B,$A968,'تجربه‌گرها'!$F:$F,I$1)</f>
        <v>0</v>
      </c>
      <c r="J968" s="242">
        <f>COUNTIFS('تجربه‌گرها'!$B:$B,$A968,'تجربه‌گرها'!$F:$F,J$1)</f>
        <v>0</v>
      </c>
      <c r="K968" s="242">
        <f>COUNTIFS('تجربه‌گرها'!$B:$B,$A968,'تجربه‌گرها'!$F:$F,K$1)</f>
        <v>0</v>
      </c>
      <c r="L968" s="242">
        <f>COUNTIFS('تجربه‌گرها'!$B:$B,$A968,'تجربه‌گرها'!$F:$F,L$1)</f>
        <v>0</v>
      </c>
      <c r="M968" s="242">
        <f>COUNTIFS('تجربه‌گرها'!$B:$B,$A968,'تجربه‌گرها'!$F:$F,M$1)</f>
        <v>1</v>
      </c>
      <c r="N968" s="242">
        <f>COUNTIFS('تجربه‌گرها'!$B:$B,$A968,'تجربه‌گرها'!$F:$F,N$1)</f>
        <v>0</v>
      </c>
      <c r="O968" s="242">
        <f>COUNTIFS('تجربه‌گرها'!$B:$B,$A968,'تجربه‌گرها'!$F:$F,O$1)</f>
        <v>0</v>
      </c>
      <c r="P968" s="242">
        <f>COUNTIFS('تجربه‌گرها'!$B:$B,$A968,'تجربه‌گرها'!$F:$F,P$1)</f>
        <v>0</v>
      </c>
      <c r="Q968" s="242">
        <f>COUNTIFS('تجربه‌گرها'!$B:$B,$A968,'تجربه‌گرها'!$F:$F,Q$1)</f>
        <v>0</v>
      </c>
      <c r="R968" s="242">
        <f>COUNTIFS('تجربه‌گرها'!$B:$B,$A968,'تجربه‌گرها'!$F:$F,R$1)</f>
        <v>0</v>
      </c>
      <c r="S968" s="242">
        <f>COUNTIFS('تجربه‌گرها'!$B:$B,$A968,'تجربه‌گرها'!$F:$F,S$1)</f>
        <v>0</v>
      </c>
      <c r="T968" s="242">
        <f>COUNTIFS('تجربه‌گرها'!$B:$B,$A968,'تجربه‌گرها'!$F:$F,T$1)</f>
        <v>0</v>
      </c>
      <c r="U968" s="242"/>
      <c r="V968" s="242"/>
      <c r="W968" s="242"/>
      <c r="X968" s="242"/>
      <c r="Y968" s="242"/>
      <c r="Z968" s="242"/>
      <c r="AA968" s="242"/>
      <c r="AB968" s="242"/>
    </row>
    <row r="969">
      <c r="A969" s="244" t="s">
        <v>5344</v>
      </c>
      <c r="B969" s="245" t="str">
        <f>VLOOKUP(A969,'تجربه‌گرها'!B:C,2,FALSE())</f>
        <v>989126000338</v>
      </c>
      <c r="C969" s="242"/>
      <c r="D969" s="242">
        <f t="shared" si="1"/>
        <v>1</v>
      </c>
      <c r="E969" s="242">
        <f>COUNTIFS('تجربه‌گرها'!$B:$B,$A969,'تجربه‌گرها'!$F:$F,E$1)</f>
        <v>0</v>
      </c>
      <c r="F969" s="242">
        <f>COUNTIFS('تجربه‌گرها'!$B:$B,$A969,'تجربه‌گرها'!$F:$F,F$1)</f>
        <v>0</v>
      </c>
      <c r="G969" s="242">
        <f>COUNTIFS('تجربه‌گرها'!$B:$B,$A969,'تجربه‌گرها'!$F:$F,G$1)</f>
        <v>0</v>
      </c>
      <c r="H969" s="242">
        <f>COUNTIFS('تجربه‌گرها'!$B:$B,$A969,'تجربه‌گرها'!$F:$F,H$1)</f>
        <v>0</v>
      </c>
      <c r="I969" s="242">
        <f>COUNTIFS('تجربه‌گرها'!$B:$B,$A969,'تجربه‌گرها'!$F:$F,I$1)</f>
        <v>0</v>
      </c>
      <c r="J969" s="242">
        <f>COUNTIFS('تجربه‌گرها'!$B:$B,$A969,'تجربه‌گرها'!$F:$F,J$1)</f>
        <v>0</v>
      </c>
      <c r="K969" s="242">
        <f>COUNTIFS('تجربه‌گرها'!$B:$B,$A969,'تجربه‌گرها'!$F:$F,K$1)</f>
        <v>0</v>
      </c>
      <c r="L969" s="242">
        <f>COUNTIFS('تجربه‌گرها'!$B:$B,$A969,'تجربه‌گرها'!$F:$F,L$1)</f>
        <v>0</v>
      </c>
      <c r="M969" s="242">
        <f>COUNTIFS('تجربه‌گرها'!$B:$B,$A969,'تجربه‌گرها'!$F:$F,M$1)</f>
        <v>1</v>
      </c>
      <c r="N969" s="242">
        <f>COUNTIFS('تجربه‌گرها'!$B:$B,$A969,'تجربه‌گرها'!$F:$F,N$1)</f>
        <v>0</v>
      </c>
      <c r="O969" s="242">
        <f>COUNTIFS('تجربه‌گرها'!$B:$B,$A969,'تجربه‌گرها'!$F:$F,O$1)</f>
        <v>0</v>
      </c>
      <c r="P969" s="242">
        <f>COUNTIFS('تجربه‌گرها'!$B:$B,$A969,'تجربه‌گرها'!$F:$F,P$1)</f>
        <v>0</v>
      </c>
      <c r="Q969" s="242">
        <f>COUNTIFS('تجربه‌گرها'!$B:$B,$A969,'تجربه‌گرها'!$F:$F,Q$1)</f>
        <v>0</v>
      </c>
      <c r="R969" s="242">
        <f>COUNTIFS('تجربه‌گرها'!$B:$B,$A969,'تجربه‌گرها'!$F:$F,R$1)</f>
        <v>0</v>
      </c>
      <c r="S969" s="242">
        <f>COUNTIFS('تجربه‌گرها'!$B:$B,$A969,'تجربه‌گرها'!$F:$F,S$1)</f>
        <v>0</v>
      </c>
      <c r="T969" s="242">
        <f>COUNTIFS('تجربه‌گرها'!$B:$B,$A969,'تجربه‌گرها'!$F:$F,T$1)</f>
        <v>0</v>
      </c>
      <c r="U969" s="242"/>
      <c r="V969" s="242"/>
      <c r="W969" s="242"/>
      <c r="X969" s="242"/>
      <c r="Y969" s="242"/>
      <c r="Z969" s="242"/>
      <c r="AA969" s="242"/>
      <c r="AB969" s="242"/>
    </row>
    <row r="970" hidden="1">
      <c r="A970" s="244" t="s">
        <v>5347</v>
      </c>
      <c r="B970" s="245" t="str">
        <f>VLOOKUP(A970,'تجربه‌گرها'!B:C,2,FALSE())</f>
        <v>989122431900</v>
      </c>
      <c r="C970" s="242"/>
      <c r="D970" s="242">
        <f t="shared" si="1"/>
        <v>1</v>
      </c>
      <c r="E970" s="242">
        <f>COUNTIFS('تجربه‌گرها'!$B:$B,$A970,'تجربه‌گرها'!$F:$F,E$1)</f>
        <v>0</v>
      </c>
      <c r="F970" s="242">
        <f>COUNTIFS('تجربه‌گرها'!$B:$B,$A970,'تجربه‌گرها'!$F:$F,F$1)</f>
        <v>0</v>
      </c>
      <c r="G970" s="242">
        <f>COUNTIFS('تجربه‌گرها'!$B:$B,$A970,'تجربه‌گرها'!$F:$F,G$1)</f>
        <v>0</v>
      </c>
      <c r="H970" s="242">
        <f>COUNTIFS('تجربه‌گرها'!$B:$B,$A970,'تجربه‌گرها'!$F:$F,H$1)</f>
        <v>0</v>
      </c>
      <c r="I970" s="242">
        <f>COUNTIFS('تجربه‌گرها'!$B:$B,$A970,'تجربه‌گرها'!$F:$F,I$1)</f>
        <v>0</v>
      </c>
      <c r="J970" s="242">
        <f>COUNTIFS('تجربه‌گرها'!$B:$B,$A970,'تجربه‌گرها'!$F:$F,J$1)</f>
        <v>0</v>
      </c>
      <c r="K970" s="242">
        <f>COUNTIFS('تجربه‌گرها'!$B:$B,$A970,'تجربه‌گرها'!$F:$F,K$1)</f>
        <v>0</v>
      </c>
      <c r="L970" s="242">
        <f>COUNTIFS('تجربه‌گرها'!$B:$B,$A970,'تجربه‌گرها'!$F:$F,L$1)</f>
        <v>0</v>
      </c>
      <c r="M970" s="242">
        <f>COUNTIFS('تجربه‌گرها'!$B:$B,$A970,'تجربه‌گرها'!$F:$F,M$1)</f>
        <v>1</v>
      </c>
      <c r="N970" s="242">
        <f>COUNTIFS('تجربه‌گرها'!$B:$B,$A970,'تجربه‌گرها'!$F:$F,N$1)</f>
        <v>0</v>
      </c>
      <c r="O970" s="242">
        <f>COUNTIFS('تجربه‌گرها'!$B:$B,$A970,'تجربه‌گرها'!$F:$F,O$1)</f>
        <v>0</v>
      </c>
      <c r="P970" s="242">
        <f>COUNTIFS('تجربه‌گرها'!$B:$B,$A970,'تجربه‌گرها'!$F:$F,P$1)</f>
        <v>0</v>
      </c>
      <c r="Q970" s="242">
        <f>COUNTIFS('تجربه‌گرها'!$B:$B,$A970,'تجربه‌گرها'!$F:$F,Q$1)</f>
        <v>0</v>
      </c>
      <c r="R970" s="242">
        <f>COUNTIFS('تجربه‌گرها'!$B:$B,$A970,'تجربه‌گرها'!$F:$F,R$1)</f>
        <v>0</v>
      </c>
      <c r="S970" s="242">
        <f>COUNTIFS('تجربه‌گرها'!$B:$B,$A970,'تجربه‌گرها'!$F:$F,S$1)</f>
        <v>0</v>
      </c>
      <c r="T970" s="242">
        <f>COUNTIFS('تجربه‌گرها'!$B:$B,$A970,'تجربه‌گرها'!$F:$F,T$1)</f>
        <v>0</v>
      </c>
      <c r="U970" s="242"/>
      <c r="V970" s="242"/>
      <c r="W970" s="242"/>
      <c r="X970" s="242"/>
      <c r="Y970" s="242"/>
      <c r="Z970" s="242"/>
      <c r="AA970" s="242"/>
      <c r="AB970" s="242"/>
    </row>
    <row r="971" hidden="1">
      <c r="A971" s="244" t="s">
        <v>5350</v>
      </c>
      <c r="B971" s="245" t="str">
        <f>VLOOKUP(A971,'تجربه‌گرها'!B:C,2,FALSE())</f>
        <v>989373384923</v>
      </c>
      <c r="C971" s="242"/>
      <c r="D971" s="242">
        <f t="shared" si="1"/>
        <v>1</v>
      </c>
      <c r="E971" s="242">
        <f>COUNTIFS('تجربه‌گرها'!$B:$B,$A971,'تجربه‌گرها'!$F:$F,E$1)</f>
        <v>0</v>
      </c>
      <c r="F971" s="242">
        <f>COUNTIFS('تجربه‌گرها'!$B:$B,$A971,'تجربه‌گرها'!$F:$F,F$1)</f>
        <v>0</v>
      </c>
      <c r="G971" s="242">
        <f>COUNTIFS('تجربه‌گرها'!$B:$B,$A971,'تجربه‌گرها'!$F:$F,G$1)</f>
        <v>0</v>
      </c>
      <c r="H971" s="242">
        <f>COUNTIFS('تجربه‌گرها'!$B:$B,$A971,'تجربه‌گرها'!$F:$F,H$1)</f>
        <v>0</v>
      </c>
      <c r="I971" s="242">
        <f>COUNTIFS('تجربه‌گرها'!$B:$B,$A971,'تجربه‌گرها'!$F:$F,I$1)</f>
        <v>0</v>
      </c>
      <c r="J971" s="242">
        <f>COUNTIFS('تجربه‌گرها'!$B:$B,$A971,'تجربه‌گرها'!$F:$F,J$1)</f>
        <v>0</v>
      </c>
      <c r="K971" s="242">
        <f>COUNTIFS('تجربه‌گرها'!$B:$B,$A971,'تجربه‌گرها'!$F:$F,K$1)</f>
        <v>0</v>
      </c>
      <c r="L971" s="242">
        <f>COUNTIFS('تجربه‌گرها'!$B:$B,$A971,'تجربه‌گرها'!$F:$F,L$1)</f>
        <v>0</v>
      </c>
      <c r="M971" s="242">
        <f>COUNTIFS('تجربه‌گرها'!$B:$B,$A971,'تجربه‌گرها'!$F:$F,M$1)</f>
        <v>1</v>
      </c>
      <c r="N971" s="242">
        <f>COUNTIFS('تجربه‌گرها'!$B:$B,$A971,'تجربه‌گرها'!$F:$F,N$1)</f>
        <v>0</v>
      </c>
      <c r="O971" s="242">
        <f>COUNTIFS('تجربه‌گرها'!$B:$B,$A971,'تجربه‌گرها'!$F:$F,O$1)</f>
        <v>0</v>
      </c>
      <c r="P971" s="242">
        <f>COUNTIFS('تجربه‌گرها'!$B:$B,$A971,'تجربه‌گرها'!$F:$F,P$1)</f>
        <v>0</v>
      </c>
      <c r="Q971" s="242">
        <f>COUNTIFS('تجربه‌گرها'!$B:$B,$A971,'تجربه‌گرها'!$F:$F,Q$1)</f>
        <v>0</v>
      </c>
      <c r="R971" s="242">
        <f>COUNTIFS('تجربه‌گرها'!$B:$B,$A971,'تجربه‌گرها'!$F:$F,R$1)</f>
        <v>0</v>
      </c>
      <c r="S971" s="242">
        <f>COUNTIFS('تجربه‌گرها'!$B:$B,$A971,'تجربه‌گرها'!$F:$F,S$1)</f>
        <v>0</v>
      </c>
      <c r="T971" s="242">
        <f>COUNTIFS('تجربه‌گرها'!$B:$B,$A971,'تجربه‌گرها'!$F:$F,T$1)</f>
        <v>0</v>
      </c>
      <c r="U971" s="242"/>
      <c r="V971" s="242"/>
      <c r="W971" s="242"/>
      <c r="X971" s="242"/>
      <c r="Y971" s="242"/>
      <c r="Z971" s="242"/>
      <c r="AA971" s="242"/>
      <c r="AB971" s="242"/>
    </row>
    <row r="972" hidden="1">
      <c r="A972" s="244" t="s">
        <v>5352</v>
      </c>
      <c r="B972" s="245" t="str">
        <f>VLOOKUP(A972,'تجربه‌گرها'!B:C,2,FALSE())</f>
        <v>989120843412</v>
      </c>
      <c r="C972" s="242"/>
      <c r="D972" s="242">
        <f t="shared" si="1"/>
        <v>1</v>
      </c>
      <c r="E972" s="242">
        <f>COUNTIFS('تجربه‌گرها'!$B:$B,$A972,'تجربه‌گرها'!$F:$F,E$1)</f>
        <v>0</v>
      </c>
      <c r="F972" s="242">
        <f>COUNTIFS('تجربه‌گرها'!$B:$B,$A972,'تجربه‌گرها'!$F:$F,F$1)</f>
        <v>0</v>
      </c>
      <c r="G972" s="242">
        <f>COUNTIFS('تجربه‌گرها'!$B:$B,$A972,'تجربه‌گرها'!$F:$F,G$1)</f>
        <v>0</v>
      </c>
      <c r="H972" s="242">
        <f>COUNTIFS('تجربه‌گرها'!$B:$B,$A972,'تجربه‌گرها'!$F:$F,H$1)</f>
        <v>0</v>
      </c>
      <c r="I972" s="242">
        <f>COUNTIFS('تجربه‌گرها'!$B:$B,$A972,'تجربه‌گرها'!$F:$F,I$1)</f>
        <v>0</v>
      </c>
      <c r="J972" s="242">
        <f>COUNTIFS('تجربه‌گرها'!$B:$B,$A972,'تجربه‌گرها'!$F:$F,J$1)</f>
        <v>0</v>
      </c>
      <c r="K972" s="242">
        <f>COUNTIFS('تجربه‌گرها'!$B:$B,$A972,'تجربه‌گرها'!$F:$F,K$1)</f>
        <v>0</v>
      </c>
      <c r="L972" s="242">
        <f>COUNTIFS('تجربه‌گرها'!$B:$B,$A972,'تجربه‌گرها'!$F:$F,L$1)</f>
        <v>0</v>
      </c>
      <c r="M972" s="242">
        <f>COUNTIFS('تجربه‌گرها'!$B:$B,$A972,'تجربه‌گرها'!$F:$F,M$1)</f>
        <v>1</v>
      </c>
      <c r="N972" s="242">
        <f>COUNTIFS('تجربه‌گرها'!$B:$B,$A972,'تجربه‌گرها'!$F:$F,N$1)</f>
        <v>0</v>
      </c>
      <c r="O972" s="242">
        <f>COUNTIFS('تجربه‌گرها'!$B:$B,$A972,'تجربه‌گرها'!$F:$F,O$1)</f>
        <v>0</v>
      </c>
      <c r="P972" s="242">
        <f>COUNTIFS('تجربه‌گرها'!$B:$B,$A972,'تجربه‌گرها'!$F:$F,P$1)</f>
        <v>0</v>
      </c>
      <c r="Q972" s="242">
        <f>COUNTIFS('تجربه‌گرها'!$B:$B,$A972,'تجربه‌گرها'!$F:$F,Q$1)</f>
        <v>0</v>
      </c>
      <c r="R972" s="242">
        <f>COUNTIFS('تجربه‌گرها'!$B:$B,$A972,'تجربه‌گرها'!$F:$F,R$1)</f>
        <v>0</v>
      </c>
      <c r="S972" s="242">
        <f>COUNTIFS('تجربه‌گرها'!$B:$B,$A972,'تجربه‌گرها'!$F:$F,S$1)</f>
        <v>0</v>
      </c>
      <c r="T972" s="242">
        <f>COUNTIFS('تجربه‌گرها'!$B:$B,$A972,'تجربه‌گرها'!$F:$F,T$1)</f>
        <v>0</v>
      </c>
      <c r="U972" s="242"/>
      <c r="V972" s="242"/>
      <c r="W972" s="242"/>
      <c r="X972" s="242"/>
      <c r="Y972" s="242"/>
      <c r="Z972" s="242"/>
      <c r="AA972" s="242"/>
      <c r="AB972" s="242"/>
    </row>
    <row r="973" hidden="1">
      <c r="A973" s="244" t="s">
        <v>5356</v>
      </c>
      <c r="B973" s="245" t="str">
        <f>VLOOKUP(A973,'تجربه‌گرها'!B:C,2,FALSE())</f>
        <v>989190318414</v>
      </c>
      <c r="C973" s="242"/>
      <c r="D973" s="242">
        <f t="shared" si="1"/>
        <v>2</v>
      </c>
      <c r="E973" s="242">
        <f>COUNTIFS('تجربه‌گرها'!$B:$B,$A973,'تجربه‌گرها'!$F:$F,E$1)</f>
        <v>0</v>
      </c>
      <c r="F973" s="242">
        <f>COUNTIFS('تجربه‌گرها'!$B:$B,$A973,'تجربه‌گرها'!$F:$F,F$1)</f>
        <v>0</v>
      </c>
      <c r="G973" s="242">
        <f>COUNTIFS('تجربه‌گرها'!$B:$B,$A973,'تجربه‌گرها'!$F:$F,G$1)</f>
        <v>0</v>
      </c>
      <c r="H973" s="242">
        <f>COUNTIFS('تجربه‌گرها'!$B:$B,$A973,'تجربه‌گرها'!$F:$F,H$1)</f>
        <v>0</v>
      </c>
      <c r="I973" s="242">
        <f>COUNTIFS('تجربه‌گرها'!$B:$B,$A973,'تجربه‌گرها'!$F:$F,I$1)</f>
        <v>0</v>
      </c>
      <c r="J973" s="242">
        <f>COUNTIFS('تجربه‌گرها'!$B:$B,$A973,'تجربه‌گرها'!$F:$F,J$1)</f>
        <v>0</v>
      </c>
      <c r="K973" s="242">
        <f>COUNTIFS('تجربه‌گرها'!$B:$B,$A973,'تجربه‌گرها'!$F:$F,K$1)</f>
        <v>0</v>
      </c>
      <c r="L973" s="242">
        <f>COUNTIFS('تجربه‌گرها'!$B:$B,$A973,'تجربه‌گرها'!$F:$F,L$1)</f>
        <v>0</v>
      </c>
      <c r="M973" s="242">
        <f>COUNTIFS('تجربه‌گرها'!$B:$B,$A973,'تجربه‌گرها'!$F:$F,M$1)</f>
        <v>1</v>
      </c>
      <c r="N973" s="242">
        <f>COUNTIFS('تجربه‌گرها'!$B:$B,$A973,'تجربه‌گرها'!$F:$F,N$1)</f>
        <v>1</v>
      </c>
      <c r="O973" s="242">
        <f>COUNTIFS('تجربه‌گرها'!$B:$B,$A973,'تجربه‌گرها'!$F:$F,O$1)</f>
        <v>0</v>
      </c>
      <c r="P973" s="242">
        <f>COUNTIFS('تجربه‌گرها'!$B:$B,$A973,'تجربه‌گرها'!$F:$F,P$1)</f>
        <v>0</v>
      </c>
      <c r="Q973" s="242">
        <f>COUNTIFS('تجربه‌گرها'!$B:$B,$A973,'تجربه‌گرها'!$F:$F,Q$1)</f>
        <v>0</v>
      </c>
      <c r="R973" s="242">
        <f>COUNTIFS('تجربه‌گرها'!$B:$B,$A973,'تجربه‌گرها'!$F:$F,R$1)</f>
        <v>0</v>
      </c>
      <c r="S973" s="242">
        <f>COUNTIFS('تجربه‌گرها'!$B:$B,$A973,'تجربه‌گرها'!$F:$F,S$1)</f>
        <v>0</v>
      </c>
      <c r="T973" s="242">
        <f>COUNTIFS('تجربه‌گرها'!$B:$B,$A973,'تجربه‌گرها'!$F:$F,T$1)</f>
        <v>0</v>
      </c>
      <c r="U973" s="242"/>
      <c r="V973" s="242"/>
      <c r="W973" s="242"/>
      <c r="X973" s="242"/>
      <c r="Y973" s="242"/>
      <c r="Z973" s="242"/>
      <c r="AA973" s="242"/>
      <c r="AB973" s="242"/>
    </row>
    <row r="974" hidden="1">
      <c r="A974" s="244" t="s">
        <v>5359</v>
      </c>
      <c r="B974" s="245" t="str">
        <f>VLOOKUP(A974,'تجربه‌گرها'!B:C,2,FALSE())</f>
        <v>989125870950</v>
      </c>
      <c r="C974" s="242"/>
      <c r="D974" s="242">
        <f t="shared" si="1"/>
        <v>1</v>
      </c>
      <c r="E974" s="242">
        <f>COUNTIFS('تجربه‌گرها'!$B:$B,$A974,'تجربه‌گرها'!$F:$F,E$1)</f>
        <v>0</v>
      </c>
      <c r="F974" s="242">
        <f>COUNTIFS('تجربه‌گرها'!$B:$B,$A974,'تجربه‌گرها'!$F:$F,F$1)</f>
        <v>0</v>
      </c>
      <c r="G974" s="242">
        <f>COUNTIFS('تجربه‌گرها'!$B:$B,$A974,'تجربه‌گرها'!$F:$F,G$1)</f>
        <v>0</v>
      </c>
      <c r="H974" s="242">
        <f>COUNTIFS('تجربه‌گرها'!$B:$B,$A974,'تجربه‌گرها'!$F:$F,H$1)</f>
        <v>0</v>
      </c>
      <c r="I974" s="242">
        <f>COUNTIFS('تجربه‌گرها'!$B:$B,$A974,'تجربه‌گرها'!$F:$F,I$1)</f>
        <v>0</v>
      </c>
      <c r="J974" s="242">
        <f>COUNTIFS('تجربه‌گرها'!$B:$B,$A974,'تجربه‌گرها'!$F:$F,J$1)</f>
        <v>0</v>
      </c>
      <c r="K974" s="242">
        <f>COUNTIFS('تجربه‌گرها'!$B:$B,$A974,'تجربه‌گرها'!$F:$F,K$1)</f>
        <v>0</v>
      </c>
      <c r="L974" s="242">
        <f>COUNTIFS('تجربه‌گرها'!$B:$B,$A974,'تجربه‌گرها'!$F:$F,L$1)</f>
        <v>0</v>
      </c>
      <c r="M974" s="242">
        <f>COUNTIFS('تجربه‌گرها'!$B:$B,$A974,'تجربه‌گرها'!$F:$F,M$1)</f>
        <v>1</v>
      </c>
      <c r="N974" s="242">
        <f>COUNTIFS('تجربه‌گرها'!$B:$B,$A974,'تجربه‌گرها'!$F:$F,N$1)</f>
        <v>0</v>
      </c>
      <c r="O974" s="242">
        <f>COUNTIFS('تجربه‌گرها'!$B:$B,$A974,'تجربه‌گرها'!$F:$F,O$1)</f>
        <v>0</v>
      </c>
      <c r="P974" s="242">
        <f>COUNTIFS('تجربه‌گرها'!$B:$B,$A974,'تجربه‌گرها'!$F:$F,P$1)</f>
        <v>0</v>
      </c>
      <c r="Q974" s="242">
        <f>COUNTIFS('تجربه‌گرها'!$B:$B,$A974,'تجربه‌گرها'!$F:$F,Q$1)</f>
        <v>0</v>
      </c>
      <c r="R974" s="242">
        <f>COUNTIFS('تجربه‌گرها'!$B:$B,$A974,'تجربه‌گرها'!$F:$F,R$1)</f>
        <v>0</v>
      </c>
      <c r="S974" s="242">
        <f>COUNTIFS('تجربه‌گرها'!$B:$B,$A974,'تجربه‌گرها'!$F:$F,S$1)</f>
        <v>0</v>
      </c>
      <c r="T974" s="242">
        <f>COUNTIFS('تجربه‌گرها'!$B:$B,$A974,'تجربه‌گرها'!$F:$F,T$1)</f>
        <v>0</v>
      </c>
      <c r="U974" s="242"/>
      <c r="V974" s="242"/>
      <c r="W974" s="242"/>
      <c r="X974" s="242"/>
      <c r="Y974" s="242"/>
      <c r="Z974" s="242"/>
      <c r="AA974" s="242"/>
      <c r="AB974" s="242"/>
    </row>
    <row r="975" hidden="1">
      <c r="A975" s="244" t="s">
        <v>5363</v>
      </c>
      <c r="B975" s="245" t="str">
        <f>VLOOKUP(A975,'تجربه‌گرها'!B:C,2,FALSE())</f>
        <v>###########</v>
      </c>
      <c r="C975" s="242"/>
      <c r="D975" s="242">
        <f t="shared" si="1"/>
        <v>1</v>
      </c>
      <c r="E975" s="242">
        <f>COUNTIFS('تجربه‌گرها'!$B:$B,$A975,'تجربه‌گرها'!$F:$F,E$1)</f>
        <v>0</v>
      </c>
      <c r="F975" s="242">
        <f>COUNTIFS('تجربه‌گرها'!$B:$B,$A975,'تجربه‌گرها'!$F:$F,F$1)</f>
        <v>0</v>
      </c>
      <c r="G975" s="242">
        <f>COUNTIFS('تجربه‌گرها'!$B:$B,$A975,'تجربه‌گرها'!$F:$F,G$1)</f>
        <v>0</v>
      </c>
      <c r="H975" s="242">
        <f>COUNTIFS('تجربه‌گرها'!$B:$B,$A975,'تجربه‌گرها'!$F:$F,H$1)</f>
        <v>0</v>
      </c>
      <c r="I975" s="242">
        <f>COUNTIFS('تجربه‌گرها'!$B:$B,$A975,'تجربه‌گرها'!$F:$F,I$1)</f>
        <v>0</v>
      </c>
      <c r="J975" s="242">
        <f>COUNTIFS('تجربه‌گرها'!$B:$B,$A975,'تجربه‌گرها'!$F:$F,J$1)</f>
        <v>0</v>
      </c>
      <c r="K975" s="242">
        <f>COUNTIFS('تجربه‌گرها'!$B:$B,$A975,'تجربه‌گرها'!$F:$F,K$1)</f>
        <v>0</v>
      </c>
      <c r="L975" s="242">
        <f>COUNTIFS('تجربه‌گرها'!$B:$B,$A975,'تجربه‌گرها'!$F:$F,L$1)</f>
        <v>0</v>
      </c>
      <c r="M975" s="242">
        <f>COUNTIFS('تجربه‌گرها'!$B:$B,$A975,'تجربه‌گرها'!$F:$F,M$1)</f>
        <v>1</v>
      </c>
      <c r="N975" s="242">
        <f>COUNTIFS('تجربه‌گرها'!$B:$B,$A975,'تجربه‌گرها'!$F:$F,N$1)</f>
        <v>0</v>
      </c>
      <c r="O975" s="242">
        <f>COUNTIFS('تجربه‌گرها'!$B:$B,$A975,'تجربه‌گرها'!$F:$F,O$1)</f>
        <v>0</v>
      </c>
      <c r="P975" s="242">
        <f>COUNTIFS('تجربه‌گرها'!$B:$B,$A975,'تجربه‌گرها'!$F:$F,P$1)</f>
        <v>0</v>
      </c>
      <c r="Q975" s="242">
        <f>COUNTIFS('تجربه‌گرها'!$B:$B,$A975,'تجربه‌گرها'!$F:$F,Q$1)</f>
        <v>0</v>
      </c>
      <c r="R975" s="242">
        <f>COUNTIFS('تجربه‌گرها'!$B:$B,$A975,'تجربه‌گرها'!$F:$F,R$1)</f>
        <v>0</v>
      </c>
      <c r="S975" s="242">
        <f>COUNTIFS('تجربه‌گرها'!$B:$B,$A975,'تجربه‌گرها'!$F:$F,S$1)</f>
        <v>0</v>
      </c>
      <c r="T975" s="242">
        <f>COUNTIFS('تجربه‌گرها'!$B:$B,$A975,'تجربه‌گرها'!$F:$F,T$1)</f>
        <v>0</v>
      </c>
      <c r="U975" s="242"/>
      <c r="V975" s="242"/>
      <c r="W975" s="242"/>
      <c r="X975" s="242"/>
      <c r="Y975" s="242"/>
      <c r="Z975" s="242"/>
      <c r="AA975" s="242"/>
      <c r="AB975" s="242"/>
    </row>
    <row r="976" hidden="1">
      <c r="A976" s="244" t="s">
        <v>5365</v>
      </c>
      <c r="B976" s="245" t="str">
        <f>VLOOKUP(A976,'تجربه‌گرها'!B:C,2,FALSE())</f>
        <v>989128660344</v>
      </c>
      <c r="C976" s="242"/>
      <c r="D976" s="242">
        <f t="shared" si="1"/>
        <v>1</v>
      </c>
      <c r="E976" s="242">
        <f>COUNTIFS('تجربه‌گرها'!$B:$B,$A976,'تجربه‌گرها'!$F:$F,E$1)</f>
        <v>0</v>
      </c>
      <c r="F976" s="242">
        <f>COUNTIFS('تجربه‌گرها'!$B:$B,$A976,'تجربه‌گرها'!$F:$F,F$1)</f>
        <v>0</v>
      </c>
      <c r="G976" s="242">
        <f>COUNTIFS('تجربه‌گرها'!$B:$B,$A976,'تجربه‌گرها'!$F:$F,G$1)</f>
        <v>0</v>
      </c>
      <c r="H976" s="242">
        <f>COUNTIFS('تجربه‌گرها'!$B:$B,$A976,'تجربه‌گرها'!$F:$F,H$1)</f>
        <v>0</v>
      </c>
      <c r="I976" s="242">
        <f>COUNTIFS('تجربه‌گرها'!$B:$B,$A976,'تجربه‌گرها'!$F:$F,I$1)</f>
        <v>0</v>
      </c>
      <c r="J976" s="242">
        <f>COUNTIFS('تجربه‌گرها'!$B:$B,$A976,'تجربه‌گرها'!$F:$F,J$1)</f>
        <v>0</v>
      </c>
      <c r="K976" s="242">
        <f>COUNTIFS('تجربه‌گرها'!$B:$B,$A976,'تجربه‌گرها'!$F:$F,K$1)</f>
        <v>0</v>
      </c>
      <c r="L976" s="242">
        <f>COUNTIFS('تجربه‌گرها'!$B:$B,$A976,'تجربه‌گرها'!$F:$F,L$1)</f>
        <v>0</v>
      </c>
      <c r="M976" s="242">
        <f>COUNTIFS('تجربه‌گرها'!$B:$B,$A976,'تجربه‌گرها'!$F:$F,M$1)</f>
        <v>1</v>
      </c>
      <c r="N976" s="242">
        <f>COUNTIFS('تجربه‌گرها'!$B:$B,$A976,'تجربه‌گرها'!$F:$F,N$1)</f>
        <v>0</v>
      </c>
      <c r="O976" s="242">
        <f>COUNTIFS('تجربه‌گرها'!$B:$B,$A976,'تجربه‌گرها'!$F:$F,O$1)</f>
        <v>0</v>
      </c>
      <c r="P976" s="242">
        <f>COUNTIFS('تجربه‌گرها'!$B:$B,$A976,'تجربه‌گرها'!$F:$F,P$1)</f>
        <v>0</v>
      </c>
      <c r="Q976" s="242">
        <f>COUNTIFS('تجربه‌گرها'!$B:$B,$A976,'تجربه‌گرها'!$F:$F,Q$1)</f>
        <v>0</v>
      </c>
      <c r="R976" s="242">
        <f>COUNTIFS('تجربه‌گرها'!$B:$B,$A976,'تجربه‌گرها'!$F:$F,R$1)</f>
        <v>0</v>
      </c>
      <c r="S976" s="242">
        <f>COUNTIFS('تجربه‌گرها'!$B:$B,$A976,'تجربه‌گرها'!$F:$F,S$1)</f>
        <v>0</v>
      </c>
      <c r="T976" s="242">
        <f>COUNTIFS('تجربه‌گرها'!$B:$B,$A976,'تجربه‌گرها'!$F:$F,T$1)</f>
        <v>0</v>
      </c>
      <c r="U976" s="242"/>
      <c r="V976" s="242"/>
      <c r="W976" s="242"/>
      <c r="X976" s="242"/>
      <c r="Y976" s="242"/>
      <c r="Z976" s="242"/>
      <c r="AA976" s="242"/>
      <c r="AB976" s="242"/>
    </row>
    <row r="977" hidden="1">
      <c r="A977" s="244" t="s">
        <v>5370</v>
      </c>
      <c r="B977" s="245" t="str">
        <f>VLOOKUP(A977,'تجربه‌گرها'!B:C,2,FALSE())</f>
        <v/>
      </c>
      <c r="C977" s="242"/>
      <c r="D977" s="242">
        <f t="shared" si="1"/>
        <v>1</v>
      </c>
      <c r="E977" s="242">
        <f>COUNTIFS('تجربه‌گرها'!$B:$B,$A977,'تجربه‌گرها'!$F:$F,E$1)</f>
        <v>0</v>
      </c>
      <c r="F977" s="242">
        <f>COUNTIFS('تجربه‌گرها'!$B:$B,$A977,'تجربه‌گرها'!$F:$F,F$1)</f>
        <v>0</v>
      </c>
      <c r="G977" s="242">
        <f>COUNTIFS('تجربه‌گرها'!$B:$B,$A977,'تجربه‌گرها'!$F:$F,G$1)</f>
        <v>0</v>
      </c>
      <c r="H977" s="242">
        <f>COUNTIFS('تجربه‌گرها'!$B:$B,$A977,'تجربه‌گرها'!$F:$F,H$1)</f>
        <v>0</v>
      </c>
      <c r="I977" s="242">
        <f>COUNTIFS('تجربه‌گرها'!$B:$B,$A977,'تجربه‌گرها'!$F:$F,I$1)</f>
        <v>0</v>
      </c>
      <c r="J977" s="242">
        <f>COUNTIFS('تجربه‌گرها'!$B:$B,$A977,'تجربه‌گرها'!$F:$F,J$1)</f>
        <v>0</v>
      </c>
      <c r="K977" s="242">
        <f>COUNTIFS('تجربه‌گرها'!$B:$B,$A977,'تجربه‌گرها'!$F:$F,K$1)</f>
        <v>0</v>
      </c>
      <c r="L977" s="242">
        <f>COUNTIFS('تجربه‌گرها'!$B:$B,$A977,'تجربه‌گرها'!$F:$F,L$1)</f>
        <v>0</v>
      </c>
      <c r="M977" s="242">
        <f>COUNTIFS('تجربه‌گرها'!$B:$B,$A977,'تجربه‌گرها'!$F:$F,M$1)</f>
        <v>1</v>
      </c>
      <c r="N977" s="242">
        <f>COUNTIFS('تجربه‌گرها'!$B:$B,$A977,'تجربه‌گرها'!$F:$F,N$1)</f>
        <v>0</v>
      </c>
      <c r="O977" s="242">
        <f>COUNTIFS('تجربه‌گرها'!$B:$B,$A977,'تجربه‌گرها'!$F:$F,O$1)</f>
        <v>0</v>
      </c>
      <c r="P977" s="242">
        <f>COUNTIFS('تجربه‌گرها'!$B:$B,$A977,'تجربه‌گرها'!$F:$F,P$1)</f>
        <v>0</v>
      </c>
      <c r="Q977" s="242">
        <f>COUNTIFS('تجربه‌گرها'!$B:$B,$A977,'تجربه‌گرها'!$F:$F,Q$1)</f>
        <v>0</v>
      </c>
      <c r="R977" s="242">
        <f>COUNTIFS('تجربه‌گرها'!$B:$B,$A977,'تجربه‌گرها'!$F:$F,R$1)</f>
        <v>0</v>
      </c>
      <c r="S977" s="242">
        <f>COUNTIFS('تجربه‌گرها'!$B:$B,$A977,'تجربه‌گرها'!$F:$F,S$1)</f>
        <v>0</v>
      </c>
      <c r="T977" s="242">
        <f>COUNTIFS('تجربه‌گرها'!$B:$B,$A977,'تجربه‌گرها'!$F:$F,T$1)</f>
        <v>0</v>
      </c>
      <c r="U977" s="242"/>
      <c r="V977" s="242"/>
      <c r="W977" s="242"/>
      <c r="X977" s="242"/>
      <c r="Y977" s="242"/>
      <c r="Z977" s="242"/>
      <c r="AA977" s="242"/>
      <c r="AB977" s="242"/>
    </row>
    <row r="978" hidden="1">
      <c r="A978" s="244" t="s">
        <v>5371</v>
      </c>
      <c r="B978" s="245" t="str">
        <f>VLOOKUP(A978,'تجربه‌گرها'!B:C,2,FALSE())</f>
        <v>989128011643</v>
      </c>
      <c r="C978" s="242"/>
      <c r="D978" s="242">
        <f t="shared" si="1"/>
        <v>2</v>
      </c>
      <c r="E978" s="242">
        <f>COUNTIFS('تجربه‌گرها'!$B:$B,$A978,'تجربه‌گرها'!$F:$F,E$1)</f>
        <v>0</v>
      </c>
      <c r="F978" s="242">
        <f>COUNTIFS('تجربه‌گرها'!$B:$B,$A978,'تجربه‌گرها'!$F:$F,F$1)</f>
        <v>0</v>
      </c>
      <c r="G978" s="242">
        <f>COUNTIFS('تجربه‌گرها'!$B:$B,$A978,'تجربه‌گرها'!$F:$F,G$1)</f>
        <v>0</v>
      </c>
      <c r="H978" s="242">
        <f>COUNTIFS('تجربه‌گرها'!$B:$B,$A978,'تجربه‌گرها'!$F:$F,H$1)</f>
        <v>0</v>
      </c>
      <c r="I978" s="242">
        <f>COUNTIFS('تجربه‌گرها'!$B:$B,$A978,'تجربه‌گرها'!$F:$F,I$1)</f>
        <v>0</v>
      </c>
      <c r="J978" s="242">
        <f>COUNTIFS('تجربه‌گرها'!$B:$B,$A978,'تجربه‌گرها'!$F:$F,J$1)</f>
        <v>0</v>
      </c>
      <c r="K978" s="242">
        <f>COUNTIFS('تجربه‌گرها'!$B:$B,$A978,'تجربه‌گرها'!$F:$F,K$1)</f>
        <v>0</v>
      </c>
      <c r="L978" s="242">
        <f>COUNTIFS('تجربه‌گرها'!$B:$B,$A978,'تجربه‌گرها'!$F:$F,L$1)</f>
        <v>0</v>
      </c>
      <c r="M978" s="242">
        <f>COUNTIFS('تجربه‌گرها'!$B:$B,$A978,'تجربه‌گرها'!$F:$F,M$1)</f>
        <v>1</v>
      </c>
      <c r="N978" s="242">
        <f>COUNTIFS('تجربه‌گرها'!$B:$B,$A978,'تجربه‌گرها'!$F:$F,N$1)</f>
        <v>1</v>
      </c>
      <c r="O978" s="242">
        <f>COUNTIFS('تجربه‌گرها'!$B:$B,$A978,'تجربه‌گرها'!$F:$F,O$1)</f>
        <v>0</v>
      </c>
      <c r="P978" s="242">
        <f>COUNTIFS('تجربه‌گرها'!$B:$B,$A978,'تجربه‌گرها'!$F:$F,P$1)</f>
        <v>0</v>
      </c>
      <c r="Q978" s="242">
        <f>COUNTIFS('تجربه‌گرها'!$B:$B,$A978,'تجربه‌گرها'!$F:$F,Q$1)</f>
        <v>0</v>
      </c>
      <c r="R978" s="242">
        <f>COUNTIFS('تجربه‌گرها'!$B:$B,$A978,'تجربه‌گرها'!$F:$F,R$1)</f>
        <v>0</v>
      </c>
      <c r="S978" s="242">
        <f>COUNTIFS('تجربه‌گرها'!$B:$B,$A978,'تجربه‌گرها'!$F:$F,S$1)</f>
        <v>0</v>
      </c>
      <c r="T978" s="242">
        <f>COUNTIFS('تجربه‌گرها'!$B:$B,$A978,'تجربه‌گرها'!$F:$F,T$1)</f>
        <v>0</v>
      </c>
      <c r="U978" s="242"/>
      <c r="V978" s="242"/>
      <c r="W978" s="242"/>
      <c r="X978" s="242"/>
      <c r="Y978" s="242"/>
      <c r="Z978" s="242"/>
      <c r="AA978" s="242"/>
      <c r="AB978" s="242"/>
    </row>
    <row r="979" hidden="1">
      <c r="A979" s="244" t="s">
        <v>5375</v>
      </c>
      <c r="B979" s="245" t="str">
        <f>VLOOKUP(A979,'تجربه‌گرها'!B:C,2,FALSE())</f>
        <v>989124945164</v>
      </c>
      <c r="C979" s="242"/>
      <c r="D979" s="242">
        <f t="shared" si="1"/>
        <v>1</v>
      </c>
      <c r="E979" s="242">
        <f>COUNTIFS('تجربه‌گرها'!$B:$B,$A979,'تجربه‌گرها'!$F:$F,E$1)</f>
        <v>0</v>
      </c>
      <c r="F979" s="242">
        <f>COUNTIFS('تجربه‌گرها'!$B:$B,$A979,'تجربه‌گرها'!$F:$F,F$1)</f>
        <v>0</v>
      </c>
      <c r="G979" s="242">
        <f>COUNTIFS('تجربه‌گرها'!$B:$B,$A979,'تجربه‌گرها'!$F:$F,G$1)</f>
        <v>0</v>
      </c>
      <c r="H979" s="242">
        <f>COUNTIFS('تجربه‌گرها'!$B:$B,$A979,'تجربه‌گرها'!$F:$F,H$1)</f>
        <v>0</v>
      </c>
      <c r="I979" s="242">
        <f>COUNTIFS('تجربه‌گرها'!$B:$B,$A979,'تجربه‌گرها'!$F:$F,I$1)</f>
        <v>0</v>
      </c>
      <c r="J979" s="242">
        <f>COUNTIFS('تجربه‌گرها'!$B:$B,$A979,'تجربه‌گرها'!$F:$F,J$1)</f>
        <v>0</v>
      </c>
      <c r="K979" s="242">
        <f>COUNTIFS('تجربه‌گرها'!$B:$B,$A979,'تجربه‌گرها'!$F:$F,K$1)</f>
        <v>0</v>
      </c>
      <c r="L979" s="242">
        <f>COUNTIFS('تجربه‌گرها'!$B:$B,$A979,'تجربه‌گرها'!$F:$F,L$1)</f>
        <v>0</v>
      </c>
      <c r="M979" s="242">
        <f>COUNTIFS('تجربه‌گرها'!$B:$B,$A979,'تجربه‌گرها'!$F:$F,M$1)</f>
        <v>1</v>
      </c>
      <c r="N979" s="242">
        <f>COUNTIFS('تجربه‌گرها'!$B:$B,$A979,'تجربه‌گرها'!$F:$F,N$1)</f>
        <v>0</v>
      </c>
      <c r="O979" s="242">
        <f>COUNTIFS('تجربه‌گرها'!$B:$B,$A979,'تجربه‌گرها'!$F:$F,O$1)</f>
        <v>0</v>
      </c>
      <c r="P979" s="242">
        <f>COUNTIFS('تجربه‌گرها'!$B:$B,$A979,'تجربه‌گرها'!$F:$F,P$1)</f>
        <v>0</v>
      </c>
      <c r="Q979" s="242">
        <f>COUNTIFS('تجربه‌گرها'!$B:$B,$A979,'تجربه‌گرها'!$F:$F,Q$1)</f>
        <v>0</v>
      </c>
      <c r="R979" s="242">
        <f>COUNTIFS('تجربه‌گرها'!$B:$B,$A979,'تجربه‌گرها'!$F:$F,R$1)</f>
        <v>0</v>
      </c>
      <c r="S979" s="242">
        <f>COUNTIFS('تجربه‌گرها'!$B:$B,$A979,'تجربه‌گرها'!$F:$F,S$1)</f>
        <v>0</v>
      </c>
      <c r="T979" s="242">
        <f>COUNTIFS('تجربه‌گرها'!$B:$B,$A979,'تجربه‌گرها'!$F:$F,T$1)</f>
        <v>0</v>
      </c>
      <c r="U979" s="242"/>
      <c r="V979" s="242"/>
      <c r="W979" s="242"/>
      <c r="X979" s="242"/>
      <c r="Y979" s="242"/>
      <c r="Z979" s="242"/>
      <c r="AA979" s="242"/>
      <c r="AB979" s="242"/>
    </row>
    <row r="980">
      <c r="A980" s="244" t="s">
        <v>5378</v>
      </c>
      <c r="B980" s="245" t="str">
        <f>VLOOKUP(A980,'تجربه‌گرها'!B:C,2,FALSE())</f>
        <v/>
      </c>
      <c r="C980" s="242"/>
      <c r="D980" s="242">
        <f t="shared" si="1"/>
        <v>1</v>
      </c>
      <c r="E980" s="242">
        <f>COUNTIFS('تجربه‌گرها'!$B:$B,$A980,'تجربه‌گرها'!$F:$F,E$1)</f>
        <v>0</v>
      </c>
      <c r="F980" s="242">
        <f>COUNTIFS('تجربه‌گرها'!$B:$B,$A980,'تجربه‌گرها'!$F:$F,F$1)</f>
        <v>0</v>
      </c>
      <c r="G980" s="242">
        <f>COUNTIFS('تجربه‌گرها'!$B:$B,$A980,'تجربه‌گرها'!$F:$F,G$1)</f>
        <v>0</v>
      </c>
      <c r="H980" s="242">
        <f>COUNTIFS('تجربه‌گرها'!$B:$B,$A980,'تجربه‌گرها'!$F:$F,H$1)</f>
        <v>0</v>
      </c>
      <c r="I980" s="242">
        <f>COUNTIFS('تجربه‌گرها'!$B:$B,$A980,'تجربه‌گرها'!$F:$F,I$1)</f>
        <v>0</v>
      </c>
      <c r="J980" s="242">
        <f>COUNTIFS('تجربه‌گرها'!$B:$B,$A980,'تجربه‌گرها'!$F:$F,J$1)</f>
        <v>0</v>
      </c>
      <c r="K980" s="242">
        <f>COUNTIFS('تجربه‌گرها'!$B:$B,$A980,'تجربه‌گرها'!$F:$F,K$1)</f>
        <v>0</v>
      </c>
      <c r="L980" s="242">
        <f>COUNTIFS('تجربه‌گرها'!$B:$B,$A980,'تجربه‌گرها'!$F:$F,L$1)</f>
        <v>0</v>
      </c>
      <c r="M980" s="242">
        <f>COUNTIFS('تجربه‌گرها'!$B:$B,$A980,'تجربه‌گرها'!$F:$F,M$1)</f>
        <v>1</v>
      </c>
      <c r="N980" s="242">
        <f>COUNTIFS('تجربه‌گرها'!$B:$B,$A980,'تجربه‌گرها'!$F:$F,N$1)</f>
        <v>0</v>
      </c>
      <c r="O980" s="242">
        <f>COUNTIFS('تجربه‌گرها'!$B:$B,$A980,'تجربه‌گرها'!$F:$F,O$1)</f>
        <v>0</v>
      </c>
      <c r="P980" s="242">
        <f>COUNTIFS('تجربه‌گرها'!$B:$B,$A980,'تجربه‌گرها'!$F:$F,P$1)</f>
        <v>0</v>
      </c>
      <c r="Q980" s="242">
        <f>COUNTIFS('تجربه‌گرها'!$B:$B,$A980,'تجربه‌گرها'!$F:$F,Q$1)</f>
        <v>0</v>
      </c>
      <c r="R980" s="242">
        <f>COUNTIFS('تجربه‌گرها'!$B:$B,$A980,'تجربه‌گرها'!$F:$F,R$1)</f>
        <v>0</v>
      </c>
      <c r="S980" s="242">
        <f>COUNTIFS('تجربه‌گرها'!$B:$B,$A980,'تجربه‌گرها'!$F:$F,S$1)</f>
        <v>0</v>
      </c>
      <c r="T980" s="242">
        <f>COUNTIFS('تجربه‌گرها'!$B:$B,$A980,'تجربه‌گرها'!$F:$F,T$1)</f>
        <v>0</v>
      </c>
      <c r="U980" s="242"/>
      <c r="V980" s="242"/>
      <c r="W980" s="242"/>
      <c r="X980" s="242"/>
      <c r="Y980" s="242"/>
      <c r="Z980" s="242"/>
      <c r="AA980" s="242"/>
      <c r="AB980" s="242"/>
    </row>
    <row r="981" hidden="1">
      <c r="A981" s="244" t="s">
        <v>5380</v>
      </c>
      <c r="B981" s="245" t="str">
        <f>VLOOKUP(A981,'تجربه‌گرها'!B:C,2,FALSE())</f>
        <v/>
      </c>
      <c r="C981" s="242"/>
      <c r="D981" s="242">
        <f t="shared" si="1"/>
        <v>1</v>
      </c>
      <c r="E981" s="242">
        <f>COUNTIFS('تجربه‌گرها'!$B:$B,$A981,'تجربه‌گرها'!$F:$F,E$1)</f>
        <v>0</v>
      </c>
      <c r="F981" s="242">
        <f>COUNTIFS('تجربه‌گرها'!$B:$B,$A981,'تجربه‌گرها'!$F:$F,F$1)</f>
        <v>0</v>
      </c>
      <c r="G981" s="242">
        <f>COUNTIFS('تجربه‌گرها'!$B:$B,$A981,'تجربه‌گرها'!$F:$F,G$1)</f>
        <v>0</v>
      </c>
      <c r="H981" s="242">
        <f>COUNTIFS('تجربه‌گرها'!$B:$B,$A981,'تجربه‌گرها'!$F:$F,H$1)</f>
        <v>0</v>
      </c>
      <c r="I981" s="242">
        <f>COUNTIFS('تجربه‌گرها'!$B:$B,$A981,'تجربه‌گرها'!$F:$F,I$1)</f>
        <v>0</v>
      </c>
      <c r="J981" s="242">
        <f>COUNTIFS('تجربه‌گرها'!$B:$B,$A981,'تجربه‌گرها'!$F:$F,J$1)</f>
        <v>0</v>
      </c>
      <c r="K981" s="242">
        <f>COUNTIFS('تجربه‌گرها'!$B:$B,$A981,'تجربه‌گرها'!$F:$F,K$1)</f>
        <v>0</v>
      </c>
      <c r="L981" s="242">
        <f>COUNTIFS('تجربه‌گرها'!$B:$B,$A981,'تجربه‌گرها'!$F:$F,L$1)</f>
        <v>0</v>
      </c>
      <c r="M981" s="242">
        <f>COUNTIFS('تجربه‌گرها'!$B:$B,$A981,'تجربه‌گرها'!$F:$F,M$1)</f>
        <v>1</v>
      </c>
      <c r="N981" s="242">
        <f>COUNTIFS('تجربه‌گرها'!$B:$B,$A981,'تجربه‌گرها'!$F:$F,N$1)</f>
        <v>0</v>
      </c>
      <c r="O981" s="242">
        <f>COUNTIFS('تجربه‌گرها'!$B:$B,$A981,'تجربه‌گرها'!$F:$F,O$1)</f>
        <v>0</v>
      </c>
      <c r="P981" s="242">
        <f>COUNTIFS('تجربه‌گرها'!$B:$B,$A981,'تجربه‌گرها'!$F:$F,P$1)</f>
        <v>0</v>
      </c>
      <c r="Q981" s="242">
        <f>COUNTIFS('تجربه‌گرها'!$B:$B,$A981,'تجربه‌گرها'!$F:$F,Q$1)</f>
        <v>0</v>
      </c>
      <c r="R981" s="242">
        <f>COUNTIFS('تجربه‌گرها'!$B:$B,$A981,'تجربه‌گرها'!$F:$F,R$1)</f>
        <v>0</v>
      </c>
      <c r="S981" s="242">
        <f>COUNTIFS('تجربه‌گرها'!$B:$B,$A981,'تجربه‌گرها'!$F:$F,S$1)</f>
        <v>0</v>
      </c>
      <c r="T981" s="242">
        <f>COUNTIFS('تجربه‌گرها'!$B:$B,$A981,'تجربه‌گرها'!$F:$F,T$1)</f>
        <v>0</v>
      </c>
      <c r="U981" s="242"/>
      <c r="V981" s="242"/>
      <c r="W981" s="242"/>
      <c r="X981" s="242"/>
      <c r="Y981" s="242"/>
      <c r="Z981" s="242"/>
      <c r="AA981" s="242"/>
      <c r="AB981" s="242"/>
    </row>
    <row r="982" hidden="1">
      <c r="A982" s="244" t="s">
        <v>5382</v>
      </c>
      <c r="B982" s="245" t="str">
        <f>VLOOKUP(A982,'تجربه‌گرها'!B:C,2,FALSE())</f>
        <v/>
      </c>
      <c r="C982" s="242"/>
      <c r="D982" s="242">
        <f t="shared" si="1"/>
        <v>1</v>
      </c>
      <c r="E982" s="242">
        <f>COUNTIFS('تجربه‌گرها'!$B:$B,$A982,'تجربه‌گرها'!$F:$F,E$1)</f>
        <v>0</v>
      </c>
      <c r="F982" s="242">
        <f>COUNTIFS('تجربه‌گرها'!$B:$B,$A982,'تجربه‌گرها'!$F:$F,F$1)</f>
        <v>0</v>
      </c>
      <c r="G982" s="242">
        <f>COUNTIFS('تجربه‌گرها'!$B:$B,$A982,'تجربه‌گرها'!$F:$F,G$1)</f>
        <v>0</v>
      </c>
      <c r="H982" s="242">
        <f>COUNTIFS('تجربه‌گرها'!$B:$B,$A982,'تجربه‌گرها'!$F:$F,H$1)</f>
        <v>0</v>
      </c>
      <c r="I982" s="242">
        <f>COUNTIFS('تجربه‌گرها'!$B:$B,$A982,'تجربه‌گرها'!$F:$F,I$1)</f>
        <v>0</v>
      </c>
      <c r="J982" s="242">
        <f>COUNTIFS('تجربه‌گرها'!$B:$B,$A982,'تجربه‌گرها'!$F:$F,J$1)</f>
        <v>0</v>
      </c>
      <c r="K982" s="242">
        <f>COUNTIFS('تجربه‌گرها'!$B:$B,$A982,'تجربه‌گرها'!$F:$F,K$1)</f>
        <v>0</v>
      </c>
      <c r="L982" s="242">
        <f>COUNTIFS('تجربه‌گرها'!$B:$B,$A982,'تجربه‌گرها'!$F:$F,L$1)</f>
        <v>0</v>
      </c>
      <c r="M982" s="242">
        <f>COUNTIFS('تجربه‌گرها'!$B:$B,$A982,'تجربه‌گرها'!$F:$F,M$1)</f>
        <v>1</v>
      </c>
      <c r="N982" s="242">
        <f>COUNTIFS('تجربه‌گرها'!$B:$B,$A982,'تجربه‌گرها'!$F:$F,N$1)</f>
        <v>0</v>
      </c>
      <c r="O982" s="242">
        <f>COUNTIFS('تجربه‌گرها'!$B:$B,$A982,'تجربه‌گرها'!$F:$F,O$1)</f>
        <v>0</v>
      </c>
      <c r="P982" s="242">
        <f>COUNTIFS('تجربه‌گرها'!$B:$B,$A982,'تجربه‌گرها'!$F:$F,P$1)</f>
        <v>0</v>
      </c>
      <c r="Q982" s="242">
        <f>COUNTIFS('تجربه‌گرها'!$B:$B,$A982,'تجربه‌گرها'!$F:$F,Q$1)</f>
        <v>0</v>
      </c>
      <c r="R982" s="242">
        <f>COUNTIFS('تجربه‌گرها'!$B:$B,$A982,'تجربه‌گرها'!$F:$F,R$1)</f>
        <v>0</v>
      </c>
      <c r="S982" s="242">
        <f>COUNTIFS('تجربه‌گرها'!$B:$B,$A982,'تجربه‌گرها'!$F:$F,S$1)</f>
        <v>0</v>
      </c>
      <c r="T982" s="242">
        <f>COUNTIFS('تجربه‌گرها'!$B:$B,$A982,'تجربه‌گرها'!$F:$F,T$1)</f>
        <v>0</v>
      </c>
      <c r="U982" s="242"/>
      <c r="V982" s="242"/>
      <c r="W982" s="242"/>
      <c r="X982" s="242"/>
      <c r="Y982" s="242"/>
      <c r="Z982" s="242"/>
      <c r="AA982" s="242"/>
      <c r="AB982" s="242"/>
    </row>
    <row r="983" hidden="1">
      <c r="A983" s="244" t="s">
        <v>5384</v>
      </c>
      <c r="B983" s="245" t="str">
        <f>VLOOKUP(A983,'تجربه‌گرها'!B:C,2,FALSE())</f>
        <v/>
      </c>
      <c r="C983" s="242"/>
      <c r="D983" s="242">
        <f t="shared" si="1"/>
        <v>1</v>
      </c>
      <c r="E983" s="242">
        <f>COUNTIFS('تجربه‌گرها'!$B:$B,$A983,'تجربه‌گرها'!$F:$F,E$1)</f>
        <v>0</v>
      </c>
      <c r="F983" s="242">
        <f>COUNTIFS('تجربه‌گرها'!$B:$B,$A983,'تجربه‌گرها'!$F:$F,F$1)</f>
        <v>0</v>
      </c>
      <c r="G983" s="242">
        <f>COUNTIFS('تجربه‌گرها'!$B:$B,$A983,'تجربه‌گرها'!$F:$F,G$1)</f>
        <v>0</v>
      </c>
      <c r="H983" s="242">
        <f>COUNTIFS('تجربه‌گرها'!$B:$B,$A983,'تجربه‌گرها'!$F:$F,H$1)</f>
        <v>0</v>
      </c>
      <c r="I983" s="242">
        <f>COUNTIFS('تجربه‌گرها'!$B:$B,$A983,'تجربه‌گرها'!$F:$F,I$1)</f>
        <v>0</v>
      </c>
      <c r="J983" s="242">
        <f>COUNTIFS('تجربه‌گرها'!$B:$B,$A983,'تجربه‌گرها'!$F:$F,J$1)</f>
        <v>0</v>
      </c>
      <c r="K983" s="242">
        <f>COUNTIFS('تجربه‌گرها'!$B:$B,$A983,'تجربه‌گرها'!$F:$F,K$1)</f>
        <v>0</v>
      </c>
      <c r="L983" s="242">
        <f>COUNTIFS('تجربه‌گرها'!$B:$B,$A983,'تجربه‌گرها'!$F:$F,L$1)</f>
        <v>0</v>
      </c>
      <c r="M983" s="242">
        <f>COUNTIFS('تجربه‌گرها'!$B:$B,$A983,'تجربه‌گرها'!$F:$F,M$1)</f>
        <v>1</v>
      </c>
      <c r="N983" s="242">
        <f>COUNTIFS('تجربه‌گرها'!$B:$B,$A983,'تجربه‌گرها'!$F:$F,N$1)</f>
        <v>0</v>
      </c>
      <c r="O983" s="242">
        <f>COUNTIFS('تجربه‌گرها'!$B:$B,$A983,'تجربه‌گرها'!$F:$F,O$1)</f>
        <v>0</v>
      </c>
      <c r="P983" s="242">
        <f>COUNTIFS('تجربه‌گرها'!$B:$B,$A983,'تجربه‌گرها'!$F:$F,P$1)</f>
        <v>0</v>
      </c>
      <c r="Q983" s="242">
        <f>COUNTIFS('تجربه‌گرها'!$B:$B,$A983,'تجربه‌گرها'!$F:$F,Q$1)</f>
        <v>0</v>
      </c>
      <c r="R983" s="242">
        <f>COUNTIFS('تجربه‌گرها'!$B:$B,$A983,'تجربه‌گرها'!$F:$F,R$1)</f>
        <v>0</v>
      </c>
      <c r="S983" s="242">
        <f>COUNTIFS('تجربه‌گرها'!$B:$B,$A983,'تجربه‌گرها'!$F:$F,S$1)</f>
        <v>0</v>
      </c>
      <c r="T983" s="242">
        <f>COUNTIFS('تجربه‌گرها'!$B:$B,$A983,'تجربه‌گرها'!$F:$F,T$1)</f>
        <v>0</v>
      </c>
      <c r="U983" s="242"/>
      <c r="V983" s="242"/>
      <c r="W983" s="242"/>
      <c r="X983" s="242"/>
      <c r="Y983" s="242"/>
      <c r="Z983" s="242"/>
      <c r="AA983" s="242"/>
      <c r="AB983" s="242"/>
    </row>
    <row r="984" hidden="1">
      <c r="A984" s="244" t="s">
        <v>5386</v>
      </c>
      <c r="B984" s="245" t="str">
        <f>VLOOKUP(A984,'تجربه‌گرها'!B:C,2,FALSE())</f>
        <v>989120961128</v>
      </c>
      <c r="C984" s="242"/>
      <c r="D984" s="242">
        <f t="shared" si="1"/>
        <v>1</v>
      </c>
      <c r="E984" s="242">
        <f>COUNTIFS('تجربه‌گرها'!$B:$B,$A984,'تجربه‌گرها'!$F:$F,E$1)</f>
        <v>0</v>
      </c>
      <c r="F984" s="242">
        <f>COUNTIFS('تجربه‌گرها'!$B:$B,$A984,'تجربه‌گرها'!$F:$F,F$1)</f>
        <v>0</v>
      </c>
      <c r="G984" s="242">
        <f>COUNTIFS('تجربه‌گرها'!$B:$B,$A984,'تجربه‌گرها'!$F:$F,G$1)</f>
        <v>0</v>
      </c>
      <c r="H984" s="242">
        <f>COUNTIFS('تجربه‌گرها'!$B:$B,$A984,'تجربه‌گرها'!$F:$F,H$1)</f>
        <v>0</v>
      </c>
      <c r="I984" s="242">
        <f>COUNTIFS('تجربه‌گرها'!$B:$B,$A984,'تجربه‌گرها'!$F:$F,I$1)</f>
        <v>0</v>
      </c>
      <c r="J984" s="242">
        <f>COUNTIFS('تجربه‌گرها'!$B:$B,$A984,'تجربه‌گرها'!$F:$F,J$1)</f>
        <v>0</v>
      </c>
      <c r="K984" s="242">
        <f>COUNTIFS('تجربه‌گرها'!$B:$B,$A984,'تجربه‌گرها'!$F:$F,K$1)</f>
        <v>0</v>
      </c>
      <c r="L984" s="242">
        <f>COUNTIFS('تجربه‌گرها'!$B:$B,$A984,'تجربه‌گرها'!$F:$F,L$1)</f>
        <v>0</v>
      </c>
      <c r="M984" s="242">
        <f>COUNTIFS('تجربه‌گرها'!$B:$B,$A984,'تجربه‌گرها'!$F:$F,M$1)</f>
        <v>0</v>
      </c>
      <c r="N984" s="242">
        <f>COUNTIFS('تجربه‌گرها'!$B:$B,$A984,'تجربه‌گرها'!$F:$F,N$1)</f>
        <v>1</v>
      </c>
      <c r="O984" s="242">
        <f>COUNTIFS('تجربه‌گرها'!$B:$B,$A984,'تجربه‌گرها'!$F:$F,O$1)</f>
        <v>0</v>
      </c>
      <c r="P984" s="242">
        <f>COUNTIFS('تجربه‌گرها'!$B:$B,$A984,'تجربه‌گرها'!$F:$F,P$1)</f>
        <v>0</v>
      </c>
      <c r="Q984" s="242">
        <f>COUNTIFS('تجربه‌گرها'!$B:$B,$A984,'تجربه‌گرها'!$F:$F,Q$1)</f>
        <v>0</v>
      </c>
      <c r="R984" s="242">
        <f>COUNTIFS('تجربه‌گرها'!$B:$B,$A984,'تجربه‌گرها'!$F:$F,R$1)</f>
        <v>0</v>
      </c>
      <c r="S984" s="242">
        <f>COUNTIFS('تجربه‌گرها'!$B:$B,$A984,'تجربه‌گرها'!$F:$F,S$1)</f>
        <v>0</v>
      </c>
      <c r="T984" s="242">
        <f>COUNTIFS('تجربه‌گرها'!$B:$B,$A984,'تجربه‌گرها'!$F:$F,T$1)</f>
        <v>0</v>
      </c>
      <c r="U984" s="242"/>
      <c r="V984" s="242"/>
      <c r="W984" s="242"/>
      <c r="X984" s="242"/>
      <c r="Y984" s="242"/>
      <c r="Z984" s="242"/>
      <c r="AA984" s="242"/>
      <c r="AB984" s="242"/>
    </row>
    <row r="985">
      <c r="A985" s="244" t="s">
        <v>5389</v>
      </c>
      <c r="B985" s="245" t="str">
        <f>VLOOKUP(A985,'تجربه‌گرها'!B:C,2,FALSE())</f>
        <v>989102020400</v>
      </c>
      <c r="C985" s="242"/>
      <c r="D985" s="242">
        <f t="shared" si="1"/>
        <v>1</v>
      </c>
      <c r="E985" s="242">
        <f>COUNTIFS('تجربه‌گرها'!$B:$B,$A985,'تجربه‌گرها'!$F:$F,E$1)</f>
        <v>0</v>
      </c>
      <c r="F985" s="242">
        <f>COUNTIFS('تجربه‌گرها'!$B:$B,$A985,'تجربه‌گرها'!$F:$F,F$1)</f>
        <v>0</v>
      </c>
      <c r="G985" s="242">
        <f>COUNTIFS('تجربه‌گرها'!$B:$B,$A985,'تجربه‌گرها'!$F:$F,G$1)</f>
        <v>0</v>
      </c>
      <c r="H985" s="242">
        <f>COUNTIFS('تجربه‌گرها'!$B:$B,$A985,'تجربه‌گرها'!$F:$F,H$1)</f>
        <v>0</v>
      </c>
      <c r="I985" s="242">
        <f>COUNTIFS('تجربه‌گرها'!$B:$B,$A985,'تجربه‌گرها'!$F:$F,I$1)</f>
        <v>0</v>
      </c>
      <c r="J985" s="242">
        <f>COUNTIFS('تجربه‌گرها'!$B:$B,$A985,'تجربه‌گرها'!$F:$F,J$1)</f>
        <v>0</v>
      </c>
      <c r="K985" s="242">
        <f>COUNTIFS('تجربه‌گرها'!$B:$B,$A985,'تجربه‌گرها'!$F:$F,K$1)</f>
        <v>0</v>
      </c>
      <c r="L985" s="242">
        <f>COUNTIFS('تجربه‌گرها'!$B:$B,$A985,'تجربه‌گرها'!$F:$F,L$1)</f>
        <v>0</v>
      </c>
      <c r="M985" s="242">
        <f>COUNTIFS('تجربه‌گرها'!$B:$B,$A985,'تجربه‌گرها'!$F:$F,M$1)</f>
        <v>0</v>
      </c>
      <c r="N985" s="242">
        <f>COUNTIFS('تجربه‌گرها'!$B:$B,$A985,'تجربه‌گرها'!$F:$F,N$1)</f>
        <v>1</v>
      </c>
      <c r="O985" s="242">
        <f>COUNTIFS('تجربه‌گرها'!$B:$B,$A985,'تجربه‌گرها'!$F:$F,O$1)</f>
        <v>0</v>
      </c>
      <c r="P985" s="242">
        <f>COUNTIFS('تجربه‌گرها'!$B:$B,$A985,'تجربه‌گرها'!$F:$F,P$1)</f>
        <v>0</v>
      </c>
      <c r="Q985" s="242">
        <f>COUNTIFS('تجربه‌گرها'!$B:$B,$A985,'تجربه‌گرها'!$F:$F,Q$1)</f>
        <v>0</v>
      </c>
      <c r="R985" s="242">
        <f>COUNTIFS('تجربه‌گرها'!$B:$B,$A985,'تجربه‌گرها'!$F:$F,R$1)</f>
        <v>0</v>
      </c>
      <c r="S985" s="242">
        <f>COUNTIFS('تجربه‌گرها'!$B:$B,$A985,'تجربه‌گرها'!$F:$F,S$1)</f>
        <v>0</v>
      </c>
      <c r="T985" s="242">
        <f>COUNTIFS('تجربه‌گرها'!$B:$B,$A985,'تجربه‌گرها'!$F:$F,T$1)</f>
        <v>0</v>
      </c>
      <c r="U985" s="242"/>
      <c r="V985" s="242"/>
      <c r="W985" s="242"/>
      <c r="X985" s="242"/>
      <c r="Y985" s="242"/>
      <c r="Z985" s="242"/>
      <c r="AA985" s="242"/>
      <c r="AB985" s="242"/>
    </row>
    <row r="986" hidden="1">
      <c r="A986" s="244" t="s">
        <v>5392</v>
      </c>
      <c r="B986" s="245" t="str">
        <f>VLOOKUP(A986,'تجربه‌گرها'!B:C,2,FALSE())</f>
        <v>989127199654</v>
      </c>
      <c r="C986" s="242"/>
      <c r="D986" s="242">
        <f t="shared" si="1"/>
        <v>1</v>
      </c>
      <c r="E986" s="242">
        <f>COUNTIFS('تجربه‌گرها'!$B:$B,$A986,'تجربه‌گرها'!$F:$F,E$1)</f>
        <v>0</v>
      </c>
      <c r="F986" s="242">
        <f>COUNTIFS('تجربه‌گرها'!$B:$B,$A986,'تجربه‌گرها'!$F:$F,F$1)</f>
        <v>0</v>
      </c>
      <c r="G986" s="242">
        <f>COUNTIFS('تجربه‌گرها'!$B:$B,$A986,'تجربه‌گرها'!$F:$F,G$1)</f>
        <v>0</v>
      </c>
      <c r="H986" s="242">
        <f>COUNTIFS('تجربه‌گرها'!$B:$B,$A986,'تجربه‌گرها'!$F:$F,H$1)</f>
        <v>0</v>
      </c>
      <c r="I986" s="242">
        <f>COUNTIFS('تجربه‌گرها'!$B:$B,$A986,'تجربه‌گرها'!$F:$F,I$1)</f>
        <v>0</v>
      </c>
      <c r="J986" s="242">
        <f>COUNTIFS('تجربه‌گرها'!$B:$B,$A986,'تجربه‌گرها'!$F:$F,J$1)</f>
        <v>0</v>
      </c>
      <c r="K986" s="242">
        <f>COUNTIFS('تجربه‌گرها'!$B:$B,$A986,'تجربه‌گرها'!$F:$F,K$1)</f>
        <v>0</v>
      </c>
      <c r="L986" s="242">
        <f>COUNTIFS('تجربه‌گرها'!$B:$B,$A986,'تجربه‌گرها'!$F:$F,L$1)</f>
        <v>0</v>
      </c>
      <c r="M986" s="242">
        <f>COUNTIFS('تجربه‌گرها'!$B:$B,$A986,'تجربه‌گرها'!$F:$F,M$1)</f>
        <v>0</v>
      </c>
      <c r="N986" s="242">
        <f>COUNTIFS('تجربه‌گرها'!$B:$B,$A986,'تجربه‌گرها'!$F:$F,N$1)</f>
        <v>1</v>
      </c>
      <c r="O986" s="242">
        <f>COUNTIFS('تجربه‌گرها'!$B:$B,$A986,'تجربه‌گرها'!$F:$F,O$1)</f>
        <v>0</v>
      </c>
      <c r="P986" s="242">
        <f>COUNTIFS('تجربه‌گرها'!$B:$B,$A986,'تجربه‌گرها'!$F:$F,P$1)</f>
        <v>0</v>
      </c>
      <c r="Q986" s="242">
        <f>COUNTIFS('تجربه‌گرها'!$B:$B,$A986,'تجربه‌گرها'!$F:$F,Q$1)</f>
        <v>0</v>
      </c>
      <c r="R986" s="242">
        <f>COUNTIFS('تجربه‌گرها'!$B:$B,$A986,'تجربه‌گرها'!$F:$F,R$1)</f>
        <v>0</v>
      </c>
      <c r="S986" s="242">
        <f>COUNTIFS('تجربه‌گرها'!$B:$B,$A986,'تجربه‌گرها'!$F:$F,S$1)</f>
        <v>0</v>
      </c>
      <c r="T986" s="242">
        <f>COUNTIFS('تجربه‌گرها'!$B:$B,$A986,'تجربه‌گرها'!$F:$F,T$1)</f>
        <v>0</v>
      </c>
      <c r="U986" s="242"/>
      <c r="V986" s="242"/>
      <c r="W986" s="242"/>
      <c r="X986" s="242"/>
      <c r="Y986" s="242"/>
      <c r="Z986" s="242"/>
      <c r="AA986" s="242"/>
      <c r="AB986" s="242"/>
    </row>
    <row r="987" hidden="1">
      <c r="A987" s="244" t="s">
        <v>5396</v>
      </c>
      <c r="B987" s="245" t="str">
        <f>VLOOKUP(A987,'تجربه‌گرها'!B:C,2,FALSE())</f>
        <v>989120649408</v>
      </c>
      <c r="C987" s="242"/>
      <c r="D987" s="242">
        <f t="shared" si="1"/>
        <v>1</v>
      </c>
      <c r="E987" s="242">
        <f>COUNTIFS('تجربه‌گرها'!$B:$B,$A987,'تجربه‌گرها'!$F:$F,E$1)</f>
        <v>0</v>
      </c>
      <c r="F987" s="242">
        <f>COUNTIFS('تجربه‌گرها'!$B:$B,$A987,'تجربه‌گرها'!$F:$F,F$1)</f>
        <v>0</v>
      </c>
      <c r="G987" s="242">
        <f>COUNTIFS('تجربه‌گرها'!$B:$B,$A987,'تجربه‌گرها'!$F:$F,G$1)</f>
        <v>0</v>
      </c>
      <c r="H987" s="242">
        <f>COUNTIFS('تجربه‌گرها'!$B:$B,$A987,'تجربه‌گرها'!$F:$F,H$1)</f>
        <v>0</v>
      </c>
      <c r="I987" s="242">
        <f>COUNTIFS('تجربه‌گرها'!$B:$B,$A987,'تجربه‌گرها'!$F:$F,I$1)</f>
        <v>0</v>
      </c>
      <c r="J987" s="242">
        <f>COUNTIFS('تجربه‌گرها'!$B:$B,$A987,'تجربه‌گرها'!$F:$F,J$1)</f>
        <v>0</v>
      </c>
      <c r="K987" s="242">
        <f>COUNTIFS('تجربه‌گرها'!$B:$B,$A987,'تجربه‌گرها'!$F:$F,K$1)</f>
        <v>0</v>
      </c>
      <c r="L987" s="242">
        <f>COUNTIFS('تجربه‌گرها'!$B:$B,$A987,'تجربه‌گرها'!$F:$F,L$1)</f>
        <v>0</v>
      </c>
      <c r="M987" s="242">
        <f>COUNTIFS('تجربه‌گرها'!$B:$B,$A987,'تجربه‌گرها'!$F:$F,M$1)</f>
        <v>0</v>
      </c>
      <c r="N987" s="242">
        <f>COUNTIFS('تجربه‌گرها'!$B:$B,$A987,'تجربه‌گرها'!$F:$F,N$1)</f>
        <v>1</v>
      </c>
      <c r="O987" s="242">
        <f>COUNTIFS('تجربه‌گرها'!$B:$B,$A987,'تجربه‌گرها'!$F:$F,O$1)</f>
        <v>0</v>
      </c>
      <c r="P987" s="242">
        <f>COUNTIFS('تجربه‌گرها'!$B:$B,$A987,'تجربه‌گرها'!$F:$F,P$1)</f>
        <v>0</v>
      </c>
      <c r="Q987" s="242">
        <f>COUNTIFS('تجربه‌گرها'!$B:$B,$A987,'تجربه‌گرها'!$F:$F,Q$1)</f>
        <v>0</v>
      </c>
      <c r="R987" s="242">
        <f>COUNTIFS('تجربه‌گرها'!$B:$B,$A987,'تجربه‌گرها'!$F:$F,R$1)</f>
        <v>0</v>
      </c>
      <c r="S987" s="242">
        <f>COUNTIFS('تجربه‌گرها'!$B:$B,$A987,'تجربه‌گرها'!$F:$F,S$1)</f>
        <v>0</v>
      </c>
      <c r="T987" s="242">
        <f>COUNTIFS('تجربه‌گرها'!$B:$B,$A987,'تجربه‌گرها'!$F:$F,T$1)</f>
        <v>0</v>
      </c>
      <c r="U987" s="242"/>
      <c r="V987" s="242"/>
      <c r="W987" s="242"/>
      <c r="X987" s="242"/>
      <c r="Y987" s="242"/>
      <c r="Z987" s="242"/>
      <c r="AA987" s="242"/>
      <c r="AB987" s="242"/>
    </row>
    <row r="988" hidden="1">
      <c r="A988" s="244" t="s">
        <v>5399</v>
      </c>
      <c r="B988" s="245" t="str">
        <f>VLOOKUP(A988,'تجربه‌گرها'!B:C,2,FALSE())</f>
        <v>989122501447</v>
      </c>
      <c r="C988" s="242"/>
      <c r="D988" s="242">
        <f t="shared" si="1"/>
        <v>1</v>
      </c>
      <c r="E988" s="242">
        <f>COUNTIFS('تجربه‌گرها'!$B:$B,$A988,'تجربه‌گرها'!$F:$F,E$1)</f>
        <v>0</v>
      </c>
      <c r="F988" s="242">
        <f>COUNTIFS('تجربه‌گرها'!$B:$B,$A988,'تجربه‌گرها'!$F:$F,F$1)</f>
        <v>0</v>
      </c>
      <c r="G988" s="242">
        <f>COUNTIFS('تجربه‌گرها'!$B:$B,$A988,'تجربه‌گرها'!$F:$F,G$1)</f>
        <v>0</v>
      </c>
      <c r="H988" s="242">
        <f>COUNTIFS('تجربه‌گرها'!$B:$B,$A988,'تجربه‌گرها'!$F:$F,H$1)</f>
        <v>0</v>
      </c>
      <c r="I988" s="242">
        <f>COUNTIFS('تجربه‌گرها'!$B:$B,$A988,'تجربه‌گرها'!$F:$F,I$1)</f>
        <v>0</v>
      </c>
      <c r="J988" s="242">
        <f>COUNTIFS('تجربه‌گرها'!$B:$B,$A988,'تجربه‌گرها'!$F:$F,J$1)</f>
        <v>0</v>
      </c>
      <c r="K988" s="242">
        <f>COUNTIFS('تجربه‌گرها'!$B:$B,$A988,'تجربه‌گرها'!$F:$F,K$1)</f>
        <v>0</v>
      </c>
      <c r="L988" s="242">
        <f>COUNTIFS('تجربه‌گرها'!$B:$B,$A988,'تجربه‌گرها'!$F:$F,L$1)</f>
        <v>0</v>
      </c>
      <c r="M988" s="242">
        <f>COUNTIFS('تجربه‌گرها'!$B:$B,$A988,'تجربه‌گرها'!$F:$F,M$1)</f>
        <v>0</v>
      </c>
      <c r="N988" s="242">
        <f>COUNTIFS('تجربه‌گرها'!$B:$B,$A988,'تجربه‌گرها'!$F:$F,N$1)</f>
        <v>1</v>
      </c>
      <c r="O988" s="242">
        <f>COUNTIFS('تجربه‌گرها'!$B:$B,$A988,'تجربه‌گرها'!$F:$F,O$1)</f>
        <v>0</v>
      </c>
      <c r="P988" s="242">
        <f>COUNTIFS('تجربه‌گرها'!$B:$B,$A988,'تجربه‌گرها'!$F:$F,P$1)</f>
        <v>0</v>
      </c>
      <c r="Q988" s="242">
        <f>COUNTIFS('تجربه‌گرها'!$B:$B,$A988,'تجربه‌گرها'!$F:$F,Q$1)</f>
        <v>0</v>
      </c>
      <c r="R988" s="242">
        <f>COUNTIFS('تجربه‌گرها'!$B:$B,$A988,'تجربه‌گرها'!$F:$F,R$1)</f>
        <v>0</v>
      </c>
      <c r="S988" s="242">
        <f>COUNTIFS('تجربه‌گرها'!$B:$B,$A988,'تجربه‌گرها'!$F:$F,S$1)</f>
        <v>0</v>
      </c>
      <c r="T988" s="242">
        <f>COUNTIFS('تجربه‌گرها'!$B:$B,$A988,'تجربه‌گرها'!$F:$F,T$1)</f>
        <v>0</v>
      </c>
      <c r="U988" s="242"/>
      <c r="V988" s="242"/>
      <c r="W988" s="242"/>
      <c r="X988" s="242"/>
      <c r="Y988" s="242"/>
      <c r="Z988" s="242"/>
      <c r="AA988" s="242"/>
      <c r="AB988" s="242"/>
    </row>
    <row r="989" hidden="1">
      <c r="A989" s="244" t="s">
        <v>5402</v>
      </c>
      <c r="B989" s="245" t="str">
        <f>VLOOKUP(A989,'تجربه‌گرها'!B:C,2,FALSE())</f>
        <v>9131949650</v>
      </c>
      <c r="C989" s="242"/>
      <c r="D989" s="242">
        <f t="shared" si="1"/>
        <v>1</v>
      </c>
      <c r="E989" s="242">
        <f>COUNTIFS('تجربه‌گرها'!$B:$B,$A989,'تجربه‌گرها'!$F:$F,E$1)</f>
        <v>0</v>
      </c>
      <c r="F989" s="242">
        <f>COUNTIFS('تجربه‌گرها'!$B:$B,$A989,'تجربه‌گرها'!$F:$F,F$1)</f>
        <v>0</v>
      </c>
      <c r="G989" s="242">
        <f>COUNTIFS('تجربه‌گرها'!$B:$B,$A989,'تجربه‌گرها'!$F:$F,G$1)</f>
        <v>0</v>
      </c>
      <c r="H989" s="242">
        <f>COUNTIFS('تجربه‌گرها'!$B:$B,$A989,'تجربه‌گرها'!$F:$F,H$1)</f>
        <v>0</v>
      </c>
      <c r="I989" s="242">
        <f>COUNTIFS('تجربه‌گرها'!$B:$B,$A989,'تجربه‌گرها'!$F:$F,I$1)</f>
        <v>0</v>
      </c>
      <c r="J989" s="242">
        <f>COUNTIFS('تجربه‌گرها'!$B:$B,$A989,'تجربه‌گرها'!$F:$F,J$1)</f>
        <v>0</v>
      </c>
      <c r="K989" s="242">
        <f>COUNTIFS('تجربه‌گرها'!$B:$B,$A989,'تجربه‌گرها'!$F:$F,K$1)</f>
        <v>0</v>
      </c>
      <c r="L989" s="242">
        <f>COUNTIFS('تجربه‌گرها'!$B:$B,$A989,'تجربه‌گرها'!$F:$F,L$1)</f>
        <v>0</v>
      </c>
      <c r="M989" s="242">
        <f>COUNTIFS('تجربه‌گرها'!$B:$B,$A989,'تجربه‌گرها'!$F:$F,M$1)</f>
        <v>0</v>
      </c>
      <c r="N989" s="242">
        <f>COUNTIFS('تجربه‌گرها'!$B:$B,$A989,'تجربه‌گرها'!$F:$F,N$1)</f>
        <v>1</v>
      </c>
      <c r="O989" s="242">
        <f>COUNTIFS('تجربه‌گرها'!$B:$B,$A989,'تجربه‌گرها'!$F:$F,O$1)</f>
        <v>0</v>
      </c>
      <c r="P989" s="242">
        <f>COUNTIFS('تجربه‌گرها'!$B:$B,$A989,'تجربه‌گرها'!$F:$F,P$1)</f>
        <v>0</v>
      </c>
      <c r="Q989" s="242">
        <f>COUNTIFS('تجربه‌گرها'!$B:$B,$A989,'تجربه‌گرها'!$F:$F,Q$1)</f>
        <v>0</v>
      </c>
      <c r="R989" s="242">
        <f>COUNTIFS('تجربه‌گرها'!$B:$B,$A989,'تجربه‌گرها'!$F:$F,R$1)</f>
        <v>0</v>
      </c>
      <c r="S989" s="242">
        <f>COUNTIFS('تجربه‌گرها'!$B:$B,$A989,'تجربه‌گرها'!$F:$F,S$1)</f>
        <v>0</v>
      </c>
      <c r="T989" s="242">
        <f>COUNTIFS('تجربه‌گرها'!$B:$B,$A989,'تجربه‌گرها'!$F:$F,T$1)</f>
        <v>0</v>
      </c>
      <c r="U989" s="242"/>
      <c r="V989" s="242"/>
      <c r="W989" s="242"/>
      <c r="X989" s="242"/>
      <c r="Y989" s="242"/>
      <c r="Z989" s="242"/>
      <c r="AA989" s="242"/>
      <c r="AB989" s="242"/>
    </row>
    <row r="990" hidden="1">
      <c r="A990" s="244" t="s">
        <v>5405</v>
      </c>
      <c r="B990" s="245" t="str">
        <f>VLOOKUP(A990,'تجربه‌گرها'!B:C,2,FALSE())</f>
        <v>989194293625</v>
      </c>
      <c r="C990" s="242"/>
      <c r="D990" s="242">
        <f t="shared" si="1"/>
        <v>1</v>
      </c>
      <c r="E990" s="242">
        <f>COUNTIFS('تجربه‌گرها'!$B:$B,$A990,'تجربه‌گرها'!$F:$F,E$1)</f>
        <v>0</v>
      </c>
      <c r="F990" s="242">
        <f>COUNTIFS('تجربه‌گرها'!$B:$B,$A990,'تجربه‌گرها'!$F:$F,F$1)</f>
        <v>0</v>
      </c>
      <c r="G990" s="242">
        <f>COUNTIFS('تجربه‌گرها'!$B:$B,$A990,'تجربه‌گرها'!$F:$F,G$1)</f>
        <v>0</v>
      </c>
      <c r="H990" s="242">
        <f>COUNTIFS('تجربه‌گرها'!$B:$B,$A990,'تجربه‌گرها'!$F:$F,H$1)</f>
        <v>0</v>
      </c>
      <c r="I990" s="242">
        <f>COUNTIFS('تجربه‌گرها'!$B:$B,$A990,'تجربه‌گرها'!$F:$F,I$1)</f>
        <v>0</v>
      </c>
      <c r="J990" s="242">
        <f>COUNTIFS('تجربه‌گرها'!$B:$B,$A990,'تجربه‌گرها'!$F:$F,J$1)</f>
        <v>0</v>
      </c>
      <c r="K990" s="242">
        <f>COUNTIFS('تجربه‌گرها'!$B:$B,$A990,'تجربه‌گرها'!$F:$F,K$1)</f>
        <v>0</v>
      </c>
      <c r="L990" s="242">
        <f>COUNTIFS('تجربه‌گرها'!$B:$B,$A990,'تجربه‌گرها'!$F:$F,L$1)</f>
        <v>0</v>
      </c>
      <c r="M990" s="242">
        <f>COUNTIFS('تجربه‌گرها'!$B:$B,$A990,'تجربه‌گرها'!$F:$F,M$1)</f>
        <v>0</v>
      </c>
      <c r="N990" s="242">
        <f>COUNTIFS('تجربه‌گرها'!$B:$B,$A990,'تجربه‌گرها'!$F:$F,N$1)</f>
        <v>1</v>
      </c>
      <c r="O990" s="242">
        <f>COUNTIFS('تجربه‌گرها'!$B:$B,$A990,'تجربه‌گرها'!$F:$F,O$1)</f>
        <v>0</v>
      </c>
      <c r="P990" s="242">
        <f>COUNTIFS('تجربه‌گرها'!$B:$B,$A990,'تجربه‌گرها'!$F:$F,P$1)</f>
        <v>0</v>
      </c>
      <c r="Q990" s="242">
        <f>COUNTIFS('تجربه‌گرها'!$B:$B,$A990,'تجربه‌گرها'!$F:$F,Q$1)</f>
        <v>0</v>
      </c>
      <c r="R990" s="242">
        <f>COUNTIFS('تجربه‌گرها'!$B:$B,$A990,'تجربه‌گرها'!$F:$F,R$1)</f>
        <v>0</v>
      </c>
      <c r="S990" s="242">
        <f>COUNTIFS('تجربه‌گرها'!$B:$B,$A990,'تجربه‌گرها'!$F:$F,S$1)</f>
        <v>0</v>
      </c>
      <c r="T990" s="242">
        <f>COUNTIFS('تجربه‌گرها'!$B:$B,$A990,'تجربه‌گرها'!$F:$F,T$1)</f>
        <v>0</v>
      </c>
      <c r="U990" s="242"/>
      <c r="V990" s="242"/>
      <c r="W990" s="242"/>
      <c r="X990" s="242"/>
      <c r="Y990" s="242"/>
      <c r="Z990" s="242"/>
      <c r="AA990" s="242"/>
      <c r="AB990" s="242"/>
    </row>
    <row r="991" hidden="1">
      <c r="A991" s="244" t="s">
        <v>5409</v>
      </c>
      <c r="B991" s="245" t="str">
        <f>VLOOKUP(A991,'تجربه‌گرها'!B:C,2,FALSE())</f>
        <v>9303929747</v>
      </c>
      <c r="C991" s="242"/>
      <c r="D991" s="242">
        <f t="shared" si="1"/>
        <v>1</v>
      </c>
      <c r="E991" s="242">
        <f>COUNTIFS('تجربه‌گرها'!$B:$B,$A991,'تجربه‌گرها'!$F:$F,E$1)</f>
        <v>0</v>
      </c>
      <c r="F991" s="242">
        <f>COUNTIFS('تجربه‌گرها'!$B:$B,$A991,'تجربه‌گرها'!$F:$F,F$1)</f>
        <v>0</v>
      </c>
      <c r="G991" s="242">
        <f>COUNTIFS('تجربه‌گرها'!$B:$B,$A991,'تجربه‌گرها'!$F:$F,G$1)</f>
        <v>0</v>
      </c>
      <c r="H991" s="242">
        <f>COUNTIFS('تجربه‌گرها'!$B:$B,$A991,'تجربه‌گرها'!$F:$F,H$1)</f>
        <v>0</v>
      </c>
      <c r="I991" s="242">
        <f>COUNTIFS('تجربه‌گرها'!$B:$B,$A991,'تجربه‌گرها'!$F:$F,I$1)</f>
        <v>0</v>
      </c>
      <c r="J991" s="242">
        <f>COUNTIFS('تجربه‌گرها'!$B:$B,$A991,'تجربه‌گرها'!$F:$F,J$1)</f>
        <v>0</v>
      </c>
      <c r="K991" s="242">
        <f>COUNTIFS('تجربه‌گرها'!$B:$B,$A991,'تجربه‌گرها'!$F:$F,K$1)</f>
        <v>0</v>
      </c>
      <c r="L991" s="242">
        <f>COUNTIFS('تجربه‌گرها'!$B:$B,$A991,'تجربه‌گرها'!$F:$F,L$1)</f>
        <v>0</v>
      </c>
      <c r="M991" s="242">
        <f>COUNTIFS('تجربه‌گرها'!$B:$B,$A991,'تجربه‌گرها'!$F:$F,M$1)</f>
        <v>0</v>
      </c>
      <c r="N991" s="242">
        <f>COUNTIFS('تجربه‌گرها'!$B:$B,$A991,'تجربه‌گرها'!$F:$F,N$1)</f>
        <v>1</v>
      </c>
      <c r="O991" s="242">
        <f>COUNTIFS('تجربه‌گرها'!$B:$B,$A991,'تجربه‌گرها'!$F:$F,O$1)</f>
        <v>0</v>
      </c>
      <c r="P991" s="242">
        <f>COUNTIFS('تجربه‌گرها'!$B:$B,$A991,'تجربه‌گرها'!$F:$F,P$1)</f>
        <v>0</v>
      </c>
      <c r="Q991" s="242">
        <f>COUNTIFS('تجربه‌گرها'!$B:$B,$A991,'تجربه‌گرها'!$F:$F,Q$1)</f>
        <v>0</v>
      </c>
      <c r="R991" s="242">
        <f>COUNTIFS('تجربه‌گرها'!$B:$B,$A991,'تجربه‌گرها'!$F:$F,R$1)</f>
        <v>0</v>
      </c>
      <c r="S991" s="242">
        <f>COUNTIFS('تجربه‌گرها'!$B:$B,$A991,'تجربه‌گرها'!$F:$F,S$1)</f>
        <v>0</v>
      </c>
      <c r="T991" s="242">
        <f>COUNTIFS('تجربه‌گرها'!$B:$B,$A991,'تجربه‌گرها'!$F:$F,T$1)</f>
        <v>0</v>
      </c>
      <c r="U991" s="242"/>
      <c r="V991" s="242"/>
      <c r="W991" s="242"/>
      <c r="X991" s="242"/>
      <c r="Y991" s="242"/>
      <c r="Z991" s="242"/>
      <c r="AA991" s="242"/>
      <c r="AB991" s="242"/>
    </row>
    <row r="992" hidden="1">
      <c r="A992" s="244" t="s">
        <v>5413</v>
      </c>
      <c r="B992" s="245" t="str">
        <f>VLOOKUP(A992,'تجربه‌گرها'!B:C,2,FALSE())</f>
        <v>989131118589</v>
      </c>
      <c r="C992" s="242"/>
      <c r="D992" s="242">
        <f t="shared" si="1"/>
        <v>2</v>
      </c>
      <c r="E992" s="242">
        <f>COUNTIFS('تجربه‌گرها'!$B:$B,$A992,'تجربه‌گرها'!$F:$F,E$1)</f>
        <v>0</v>
      </c>
      <c r="F992" s="242">
        <f>COUNTIFS('تجربه‌گرها'!$B:$B,$A992,'تجربه‌گرها'!$F:$F,F$1)</f>
        <v>0</v>
      </c>
      <c r="G992" s="242">
        <f>COUNTIFS('تجربه‌گرها'!$B:$B,$A992,'تجربه‌گرها'!$F:$F,G$1)</f>
        <v>0</v>
      </c>
      <c r="H992" s="242">
        <f>COUNTIFS('تجربه‌گرها'!$B:$B,$A992,'تجربه‌گرها'!$F:$F,H$1)</f>
        <v>0</v>
      </c>
      <c r="I992" s="242">
        <f>COUNTIFS('تجربه‌گرها'!$B:$B,$A992,'تجربه‌گرها'!$F:$F,I$1)</f>
        <v>0</v>
      </c>
      <c r="J992" s="242">
        <f>COUNTIFS('تجربه‌گرها'!$B:$B,$A992,'تجربه‌گرها'!$F:$F,J$1)</f>
        <v>0</v>
      </c>
      <c r="K992" s="242">
        <f>COUNTIFS('تجربه‌گرها'!$B:$B,$A992,'تجربه‌گرها'!$F:$F,K$1)</f>
        <v>0</v>
      </c>
      <c r="L992" s="242">
        <f>COUNTIFS('تجربه‌گرها'!$B:$B,$A992,'تجربه‌گرها'!$F:$F,L$1)</f>
        <v>0</v>
      </c>
      <c r="M992" s="242">
        <f>COUNTIFS('تجربه‌گرها'!$B:$B,$A992,'تجربه‌گرها'!$F:$F,M$1)</f>
        <v>0</v>
      </c>
      <c r="N992" s="242">
        <f>COUNTIFS('تجربه‌گرها'!$B:$B,$A992,'تجربه‌گرها'!$F:$F,N$1)</f>
        <v>1</v>
      </c>
      <c r="O992" s="242">
        <f>COUNTIFS('تجربه‌گرها'!$B:$B,$A992,'تجربه‌گرها'!$F:$F,O$1)</f>
        <v>0</v>
      </c>
      <c r="P992" s="242">
        <f>COUNTIFS('تجربه‌گرها'!$B:$B,$A992,'تجربه‌گرها'!$F:$F,P$1)</f>
        <v>1</v>
      </c>
      <c r="Q992" s="242">
        <f>COUNTIFS('تجربه‌گرها'!$B:$B,$A992,'تجربه‌گرها'!$F:$F,Q$1)</f>
        <v>0</v>
      </c>
      <c r="R992" s="242">
        <f>COUNTIFS('تجربه‌گرها'!$B:$B,$A992,'تجربه‌گرها'!$F:$F,R$1)</f>
        <v>0</v>
      </c>
      <c r="S992" s="242">
        <f>COUNTIFS('تجربه‌گرها'!$B:$B,$A992,'تجربه‌گرها'!$F:$F,S$1)</f>
        <v>0</v>
      </c>
      <c r="T992" s="242">
        <f>COUNTIFS('تجربه‌گرها'!$B:$B,$A992,'تجربه‌گرها'!$F:$F,T$1)</f>
        <v>0</v>
      </c>
      <c r="U992" s="242"/>
      <c r="V992" s="242"/>
      <c r="W992" s="242"/>
      <c r="X992" s="242"/>
      <c r="Y992" s="242"/>
      <c r="Z992" s="242"/>
      <c r="AA992" s="242"/>
      <c r="AB992" s="242"/>
    </row>
    <row r="993" hidden="1">
      <c r="A993" s="244" t="s">
        <v>5416</v>
      </c>
      <c r="B993" s="245" t="str">
        <f>VLOOKUP(A993,'تجربه‌گرها'!B:C,2,FALSE())</f>
        <v>989353903434</v>
      </c>
      <c r="C993" s="242"/>
      <c r="D993" s="242">
        <f t="shared" si="1"/>
        <v>1</v>
      </c>
      <c r="E993" s="242">
        <f>COUNTIFS('تجربه‌گرها'!$B:$B,$A993,'تجربه‌گرها'!$F:$F,E$1)</f>
        <v>0</v>
      </c>
      <c r="F993" s="242">
        <f>COUNTIFS('تجربه‌گرها'!$B:$B,$A993,'تجربه‌گرها'!$F:$F,F$1)</f>
        <v>0</v>
      </c>
      <c r="G993" s="242">
        <f>COUNTIFS('تجربه‌گرها'!$B:$B,$A993,'تجربه‌گرها'!$F:$F,G$1)</f>
        <v>0</v>
      </c>
      <c r="H993" s="242">
        <f>COUNTIFS('تجربه‌گرها'!$B:$B,$A993,'تجربه‌گرها'!$F:$F,H$1)</f>
        <v>0</v>
      </c>
      <c r="I993" s="242">
        <f>COUNTIFS('تجربه‌گرها'!$B:$B,$A993,'تجربه‌گرها'!$F:$F,I$1)</f>
        <v>0</v>
      </c>
      <c r="J993" s="242">
        <f>COUNTIFS('تجربه‌گرها'!$B:$B,$A993,'تجربه‌گرها'!$F:$F,J$1)</f>
        <v>0</v>
      </c>
      <c r="K993" s="242">
        <f>COUNTIFS('تجربه‌گرها'!$B:$B,$A993,'تجربه‌گرها'!$F:$F,K$1)</f>
        <v>0</v>
      </c>
      <c r="L993" s="242">
        <f>COUNTIFS('تجربه‌گرها'!$B:$B,$A993,'تجربه‌گرها'!$F:$F,L$1)</f>
        <v>0</v>
      </c>
      <c r="M993" s="242">
        <f>COUNTIFS('تجربه‌گرها'!$B:$B,$A993,'تجربه‌گرها'!$F:$F,M$1)</f>
        <v>0</v>
      </c>
      <c r="N993" s="242">
        <f>COUNTIFS('تجربه‌گرها'!$B:$B,$A993,'تجربه‌گرها'!$F:$F,N$1)</f>
        <v>1</v>
      </c>
      <c r="O993" s="242">
        <f>COUNTIFS('تجربه‌گرها'!$B:$B,$A993,'تجربه‌گرها'!$F:$F,O$1)</f>
        <v>0</v>
      </c>
      <c r="P993" s="242">
        <f>COUNTIFS('تجربه‌گرها'!$B:$B,$A993,'تجربه‌گرها'!$F:$F,P$1)</f>
        <v>0</v>
      </c>
      <c r="Q993" s="242">
        <f>COUNTIFS('تجربه‌گرها'!$B:$B,$A993,'تجربه‌گرها'!$F:$F,Q$1)</f>
        <v>0</v>
      </c>
      <c r="R993" s="242">
        <f>COUNTIFS('تجربه‌گرها'!$B:$B,$A993,'تجربه‌گرها'!$F:$F,R$1)</f>
        <v>0</v>
      </c>
      <c r="S993" s="242">
        <f>COUNTIFS('تجربه‌گرها'!$B:$B,$A993,'تجربه‌گرها'!$F:$F,S$1)</f>
        <v>0</v>
      </c>
      <c r="T993" s="242">
        <f>COUNTIFS('تجربه‌گرها'!$B:$B,$A993,'تجربه‌گرها'!$F:$F,T$1)</f>
        <v>0</v>
      </c>
      <c r="U993" s="242"/>
      <c r="V993" s="242"/>
      <c r="W993" s="242"/>
      <c r="X993" s="242"/>
      <c r="Y993" s="242"/>
      <c r="Z993" s="242"/>
      <c r="AA993" s="242"/>
      <c r="AB993" s="242"/>
    </row>
    <row r="994" hidden="1">
      <c r="A994" s="244" t="s">
        <v>5418</v>
      </c>
      <c r="B994" s="245" t="str">
        <f>VLOOKUP(A994,'تجربه‌گرها'!B:C,2,FALSE())</f>
        <v>989375642044</v>
      </c>
      <c r="C994" s="242"/>
      <c r="D994" s="242">
        <f t="shared" si="1"/>
        <v>1</v>
      </c>
      <c r="E994" s="242">
        <f>COUNTIFS('تجربه‌گرها'!$B:$B,$A994,'تجربه‌گرها'!$F:$F,E$1)</f>
        <v>0</v>
      </c>
      <c r="F994" s="242">
        <f>COUNTIFS('تجربه‌گرها'!$B:$B,$A994,'تجربه‌گرها'!$F:$F,F$1)</f>
        <v>0</v>
      </c>
      <c r="G994" s="242">
        <f>COUNTIFS('تجربه‌گرها'!$B:$B,$A994,'تجربه‌گرها'!$F:$F,G$1)</f>
        <v>0</v>
      </c>
      <c r="H994" s="242">
        <f>COUNTIFS('تجربه‌گرها'!$B:$B,$A994,'تجربه‌گرها'!$F:$F,H$1)</f>
        <v>0</v>
      </c>
      <c r="I994" s="242">
        <f>COUNTIFS('تجربه‌گرها'!$B:$B,$A994,'تجربه‌گرها'!$F:$F,I$1)</f>
        <v>0</v>
      </c>
      <c r="J994" s="242">
        <f>COUNTIFS('تجربه‌گرها'!$B:$B,$A994,'تجربه‌گرها'!$F:$F,J$1)</f>
        <v>0</v>
      </c>
      <c r="K994" s="242">
        <f>COUNTIFS('تجربه‌گرها'!$B:$B,$A994,'تجربه‌گرها'!$F:$F,K$1)</f>
        <v>0</v>
      </c>
      <c r="L994" s="242">
        <f>COUNTIFS('تجربه‌گرها'!$B:$B,$A994,'تجربه‌گرها'!$F:$F,L$1)</f>
        <v>0</v>
      </c>
      <c r="M994" s="242">
        <f>COUNTIFS('تجربه‌گرها'!$B:$B,$A994,'تجربه‌گرها'!$F:$F,M$1)</f>
        <v>0</v>
      </c>
      <c r="N994" s="242">
        <f>COUNTIFS('تجربه‌گرها'!$B:$B,$A994,'تجربه‌گرها'!$F:$F,N$1)</f>
        <v>1</v>
      </c>
      <c r="O994" s="242">
        <f>COUNTIFS('تجربه‌گرها'!$B:$B,$A994,'تجربه‌گرها'!$F:$F,O$1)</f>
        <v>0</v>
      </c>
      <c r="P994" s="242">
        <f>COUNTIFS('تجربه‌گرها'!$B:$B,$A994,'تجربه‌گرها'!$F:$F,P$1)</f>
        <v>0</v>
      </c>
      <c r="Q994" s="242">
        <f>COUNTIFS('تجربه‌گرها'!$B:$B,$A994,'تجربه‌گرها'!$F:$F,Q$1)</f>
        <v>0</v>
      </c>
      <c r="R994" s="242">
        <f>COUNTIFS('تجربه‌گرها'!$B:$B,$A994,'تجربه‌گرها'!$F:$F,R$1)</f>
        <v>0</v>
      </c>
      <c r="S994" s="242">
        <f>COUNTIFS('تجربه‌گرها'!$B:$B,$A994,'تجربه‌گرها'!$F:$F,S$1)</f>
        <v>0</v>
      </c>
      <c r="T994" s="242">
        <f>COUNTIFS('تجربه‌گرها'!$B:$B,$A994,'تجربه‌گرها'!$F:$F,T$1)</f>
        <v>0</v>
      </c>
      <c r="U994" s="242"/>
      <c r="V994" s="242"/>
      <c r="W994" s="242"/>
      <c r="X994" s="242"/>
      <c r="Y994" s="242"/>
      <c r="Z994" s="242"/>
      <c r="AA994" s="242"/>
      <c r="AB994" s="242"/>
    </row>
    <row r="995" hidden="1">
      <c r="A995" s="244" t="s">
        <v>5420</v>
      </c>
      <c r="B995" s="245" t="str">
        <f>VLOOKUP(A995,'تجربه‌گرها'!B:C,2,FALSE())</f>
        <v>989122040763</v>
      </c>
      <c r="C995" s="242"/>
      <c r="D995" s="242">
        <f t="shared" si="1"/>
        <v>1</v>
      </c>
      <c r="E995" s="242">
        <f>COUNTIFS('تجربه‌گرها'!$B:$B,$A995,'تجربه‌گرها'!$F:$F,E$1)</f>
        <v>0</v>
      </c>
      <c r="F995" s="242">
        <f>COUNTIFS('تجربه‌گرها'!$B:$B,$A995,'تجربه‌گرها'!$F:$F,F$1)</f>
        <v>0</v>
      </c>
      <c r="G995" s="242">
        <f>COUNTIFS('تجربه‌گرها'!$B:$B,$A995,'تجربه‌گرها'!$F:$F,G$1)</f>
        <v>0</v>
      </c>
      <c r="H995" s="242">
        <f>COUNTIFS('تجربه‌گرها'!$B:$B,$A995,'تجربه‌گرها'!$F:$F,H$1)</f>
        <v>0</v>
      </c>
      <c r="I995" s="242">
        <f>COUNTIFS('تجربه‌گرها'!$B:$B,$A995,'تجربه‌گرها'!$F:$F,I$1)</f>
        <v>0</v>
      </c>
      <c r="J995" s="242">
        <f>COUNTIFS('تجربه‌گرها'!$B:$B,$A995,'تجربه‌گرها'!$F:$F,J$1)</f>
        <v>0</v>
      </c>
      <c r="K995" s="242">
        <f>COUNTIFS('تجربه‌گرها'!$B:$B,$A995,'تجربه‌گرها'!$F:$F,K$1)</f>
        <v>0</v>
      </c>
      <c r="L995" s="242">
        <f>COUNTIFS('تجربه‌گرها'!$B:$B,$A995,'تجربه‌گرها'!$F:$F,L$1)</f>
        <v>0</v>
      </c>
      <c r="M995" s="242">
        <f>COUNTIFS('تجربه‌گرها'!$B:$B,$A995,'تجربه‌گرها'!$F:$F,M$1)</f>
        <v>0</v>
      </c>
      <c r="N995" s="242">
        <f>COUNTIFS('تجربه‌گرها'!$B:$B,$A995,'تجربه‌گرها'!$F:$F,N$1)</f>
        <v>1</v>
      </c>
      <c r="O995" s="242">
        <f>COUNTIFS('تجربه‌گرها'!$B:$B,$A995,'تجربه‌گرها'!$F:$F,O$1)</f>
        <v>0</v>
      </c>
      <c r="P995" s="242">
        <f>COUNTIFS('تجربه‌گرها'!$B:$B,$A995,'تجربه‌گرها'!$F:$F,P$1)</f>
        <v>0</v>
      </c>
      <c r="Q995" s="242">
        <f>COUNTIFS('تجربه‌گرها'!$B:$B,$A995,'تجربه‌گرها'!$F:$F,Q$1)</f>
        <v>0</v>
      </c>
      <c r="R995" s="242">
        <f>COUNTIFS('تجربه‌گرها'!$B:$B,$A995,'تجربه‌گرها'!$F:$F,R$1)</f>
        <v>0</v>
      </c>
      <c r="S995" s="242">
        <f>COUNTIFS('تجربه‌گرها'!$B:$B,$A995,'تجربه‌گرها'!$F:$F,S$1)</f>
        <v>0</v>
      </c>
      <c r="T995" s="242">
        <f>COUNTIFS('تجربه‌گرها'!$B:$B,$A995,'تجربه‌گرها'!$F:$F,T$1)</f>
        <v>0</v>
      </c>
      <c r="U995" s="242"/>
      <c r="V995" s="242"/>
      <c r="W995" s="242"/>
      <c r="X995" s="242"/>
      <c r="Y995" s="242"/>
      <c r="Z995" s="242"/>
      <c r="AA995" s="242"/>
      <c r="AB995" s="242"/>
    </row>
    <row r="996" hidden="1">
      <c r="A996" s="244" t="s">
        <v>5424</v>
      </c>
      <c r="B996" s="245" t="str">
        <f>VLOOKUP(A996,'تجربه‌گرها'!B:C,2,FALSE())</f>
        <v>9122451435</v>
      </c>
      <c r="C996" s="242"/>
      <c r="D996" s="242">
        <f t="shared" si="1"/>
        <v>1</v>
      </c>
      <c r="E996" s="242">
        <f>COUNTIFS('تجربه‌گرها'!$B:$B,$A996,'تجربه‌گرها'!$F:$F,E$1)</f>
        <v>0</v>
      </c>
      <c r="F996" s="242">
        <f>COUNTIFS('تجربه‌گرها'!$B:$B,$A996,'تجربه‌گرها'!$F:$F,F$1)</f>
        <v>0</v>
      </c>
      <c r="G996" s="242">
        <f>COUNTIFS('تجربه‌گرها'!$B:$B,$A996,'تجربه‌گرها'!$F:$F,G$1)</f>
        <v>0</v>
      </c>
      <c r="H996" s="242">
        <f>COUNTIFS('تجربه‌گرها'!$B:$B,$A996,'تجربه‌گرها'!$F:$F,H$1)</f>
        <v>0</v>
      </c>
      <c r="I996" s="242">
        <f>COUNTIFS('تجربه‌گرها'!$B:$B,$A996,'تجربه‌گرها'!$F:$F,I$1)</f>
        <v>0</v>
      </c>
      <c r="J996" s="242">
        <f>COUNTIFS('تجربه‌گرها'!$B:$B,$A996,'تجربه‌گرها'!$F:$F,J$1)</f>
        <v>0</v>
      </c>
      <c r="K996" s="242">
        <f>COUNTIFS('تجربه‌گرها'!$B:$B,$A996,'تجربه‌گرها'!$F:$F,K$1)</f>
        <v>0</v>
      </c>
      <c r="L996" s="242">
        <f>COUNTIFS('تجربه‌گرها'!$B:$B,$A996,'تجربه‌گرها'!$F:$F,L$1)</f>
        <v>0</v>
      </c>
      <c r="M996" s="242">
        <f>COUNTIFS('تجربه‌گرها'!$B:$B,$A996,'تجربه‌گرها'!$F:$F,M$1)</f>
        <v>0</v>
      </c>
      <c r="N996" s="242">
        <f>COUNTIFS('تجربه‌گرها'!$B:$B,$A996,'تجربه‌گرها'!$F:$F,N$1)</f>
        <v>1</v>
      </c>
      <c r="O996" s="242">
        <f>COUNTIFS('تجربه‌گرها'!$B:$B,$A996,'تجربه‌گرها'!$F:$F,O$1)</f>
        <v>0</v>
      </c>
      <c r="P996" s="242">
        <f>COUNTIFS('تجربه‌گرها'!$B:$B,$A996,'تجربه‌گرها'!$F:$F,P$1)</f>
        <v>0</v>
      </c>
      <c r="Q996" s="242">
        <f>COUNTIFS('تجربه‌گرها'!$B:$B,$A996,'تجربه‌گرها'!$F:$F,Q$1)</f>
        <v>0</v>
      </c>
      <c r="R996" s="242">
        <f>COUNTIFS('تجربه‌گرها'!$B:$B,$A996,'تجربه‌گرها'!$F:$F,R$1)</f>
        <v>0</v>
      </c>
      <c r="S996" s="242">
        <f>COUNTIFS('تجربه‌گرها'!$B:$B,$A996,'تجربه‌گرها'!$F:$F,S$1)</f>
        <v>0</v>
      </c>
      <c r="T996" s="242">
        <f>COUNTIFS('تجربه‌گرها'!$B:$B,$A996,'تجربه‌گرها'!$F:$F,T$1)</f>
        <v>0</v>
      </c>
      <c r="U996" s="242"/>
      <c r="V996" s="242"/>
      <c r="W996" s="242"/>
      <c r="X996" s="242"/>
      <c r="Y996" s="242"/>
      <c r="Z996" s="242"/>
      <c r="AA996" s="242"/>
      <c r="AB996" s="242"/>
    </row>
    <row r="997" hidden="1">
      <c r="A997" s="244" t="s">
        <v>5427</v>
      </c>
      <c r="B997" s="245" t="str">
        <f>VLOOKUP(A997,'تجربه‌گرها'!B:C,2,FALSE())</f>
        <v>989124472106</v>
      </c>
      <c r="C997" s="242"/>
      <c r="D997" s="242">
        <f t="shared" si="1"/>
        <v>1</v>
      </c>
      <c r="E997" s="242">
        <f>COUNTIFS('تجربه‌گرها'!$B:$B,$A997,'تجربه‌گرها'!$F:$F,E$1)</f>
        <v>0</v>
      </c>
      <c r="F997" s="242">
        <f>COUNTIFS('تجربه‌گرها'!$B:$B,$A997,'تجربه‌گرها'!$F:$F,F$1)</f>
        <v>0</v>
      </c>
      <c r="G997" s="242">
        <f>COUNTIFS('تجربه‌گرها'!$B:$B,$A997,'تجربه‌گرها'!$F:$F,G$1)</f>
        <v>0</v>
      </c>
      <c r="H997" s="242">
        <f>COUNTIFS('تجربه‌گرها'!$B:$B,$A997,'تجربه‌گرها'!$F:$F,H$1)</f>
        <v>0</v>
      </c>
      <c r="I997" s="242">
        <f>COUNTIFS('تجربه‌گرها'!$B:$B,$A997,'تجربه‌گرها'!$F:$F,I$1)</f>
        <v>0</v>
      </c>
      <c r="J997" s="242">
        <f>COUNTIFS('تجربه‌گرها'!$B:$B,$A997,'تجربه‌گرها'!$F:$F,J$1)</f>
        <v>0</v>
      </c>
      <c r="K997" s="242">
        <f>COUNTIFS('تجربه‌گرها'!$B:$B,$A997,'تجربه‌گرها'!$F:$F,K$1)</f>
        <v>0</v>
      </c>
      <c r="L997" s="242">
        <f>COUNTIFS('تجربه‌گرها'!$B:$B,$A997,'تجربه‌گرها'!$F:$F,L$1)</f>
        <v>0</v>
      </c>
      <c r="M997" s="242">
        <f>COUNTIFS('تجربه‌گرها'!$B:$B,$A997,'تجربه‌گرها'!$F:$F,M$1)</f>
        <v>0</v>
      </c>
      <c r="N997" s="242">
        <f>COUNTIFS('تجربه‌گرها'!$B:$B,$A997,'تجربه‌گرها'!$F:$F,N$1)</f>
        <v>1</v>
      </c>
      <c r="O997" s="242">
        <f>COUNTIFS('تجربه‌گرها'!$B:$B,$A997,'تجربه‌گرها'!$F:$F,O$1)</f>
        <v>0</v>
      </c>
      <c r="P997" s="242">
        <f>COUNTIFS('تجربه‌گرها'!$B:$B,$A997,'تجربه‌گرها'!$F:$F,P$1)</f>
        <v>0</v>
      </c>
      <c r="Q997" s="242">
        <f>COUNTIFS('تجربه‌گرها'!$B:$B,$A997,'تجربه‌گرها'!$F:$F,Q$1)</f>
        <v>0</v>
      </c>
      <c r="R997" s="242">
        <f>COUNTIFS('تجربه‌گرها'!$B:$B,$A997,'تجربه‌گرها'!$F:$F,R$1)</f>
        <v>0</v>
      </c>
      <c r="S997" s="242">
        <f>COUNTIFS('تجربه‌گرها'!$B:$B,$A997,'تجربه‌گرها'!$F:$F,S$1)</f>
        <v>0</v>
      </c>
      <c r="T997" s="242">
        <f>COUNTIFS('تجربه‌گرها'!$B:$B,$A997,'تجربه‌گرها'!$F:$F,T$1)</f>
        <v>0</v>
      </c>
      <c r="U997" s="242"/>
      <c r="V997" s="242"/>
      <c r="W997" s="242"/>
      <c r="X997" s="242"/>
      <c r="Y997" s="242"/>
      <c r="Z997" s="242"/>
      <c r="AA997" s="242"/>
      <c r="AB997" s="242"/>
    </row>
    <row r="998" hidden="1">
      <c r="A998" s="244" t="s">
        <v>5429</v>
      </c>
      <c r="B998" s="245" t="str">
        <f>VLOOKUP(A998,'تجربه‌گرها'!B:C,2,FALSE())</f>
        <v>9194686072</v>
      </c>
      <c r="C998" s="242"/>
      <c r="D998" s="242">
        <f t="shared" si="1"/>
        <v>1</v>
      </c>
      <c r="E998" s="242">
        <f>COUNTIFS('تجربه‌گرها'!$B:$B,$A998,'تجربه‌گرها'!$F:$F,E$1)</f>
        <v>0</v>
      </c>
      <c r="F998" s="242">
        <f>COUNTIFS('تجربه‌گرها'!$B:$B,$A998,'تجربه‌گرها'!$F:$F,F$1)</f>
        <v>0</v>
      </c>
      <c r="G998" s="242">
        <f>COUNTIFS('تجربه‌گرها'!$B:$B,$A998,'تجربه‌گرها'!$F:$F,G$1)</f>
        <v>0</v>
      </c>
      <c r="H998" s="242">
        <f>COUNTIFS('تجربه‌گرها'!$B:$B,$A998,'تجربه‌گرها'!$F:$F,H$1)</f>
        <v>0</v>
      </c>
      <c r="I998" s="242">
        <f>COUNTIFS('تجربه‌گرها'!$B:$B,$A998,'تجربه‌گرها'!$F:$F,I$1)</f>
        <v>0</v>
      </c>
      <c r="J998" s="242">
        <f>COUNTIFS('تجربه‌گرها'!$B:$B,$A998,'تجربه‌گرها'!$F:$F,J$1)</f>
        <v>0</v>
      </c>
      <c r="K998" s="242">
        <f>COUNTIFS('تجربه‌گرها'!$B:$B,$A998,'تجربه‌گرها'!$F:$F,K$1)</f>
        <v>0</v>
      </c>
      <c r="L998" s="242">
        <f>COUNTIFS('تجربه‌گرها'!$B:$B,$A998,'تجربه‌گرها'!$F:$F,L$1)</f>
        <v>0</v>
      </c>
      <c r="M998" s="242">
        <f>COUNTIFS('تجربه‌گرها'!$B:$B,$A998,'تجربه‌گرها'!$F:$F,M$1)</f>
        <v>0</v>
      </c>
      <c r="N998" s="242">
        <f>COUNTIFS('تجربه‌گرها'!$B:$B,$A998,'تجربه‌گرها'!$F:$F,N$1)</f>
        <v>1</v>
      </c>
      <c r="O998" s="242">
        <f>COUNTIFS('تجربه‌گرها'!$B:$B,$A998,'تجربه‌گرها'!$F:$F,O$1)</f>
        <v>0</v>
      </c>
      <c r="P998" s="242">
        <f>COUNTIFS('تجربه‌گرها'!$B:$B,$A998,'تجربه‌گرها'!$F:$F,P$1)</f>
        <v>0</v>
      </c>
      <c r="Q998" s="242">
        <f>COUNTIFS('تجربه‌گرها'!$B:$B,$A998,'تجربه‌گرها'!$F:$F,Q$1)</f>
        <v>0</v>
      </c>
      <c r="R998" s="242">
        <f>COUNTIFS('تجربه‌گرها'!$B:$B,$A998,'تجربه‌گرها'!$F:$F,R$1)</f>
        <v>0</v>
      </c>
      <c r="S998" s="242">
        <f>COUNTIFS('تجربه‌گرها'!$B:$B,$A998,'تجربه‌گرها'!$F:$F,S$1)</f>
        <v>0</v>
      </c>
      <c r="T998" s="242">
        <f>COUNTIFS('تجربه‌گرها'!$B:$B,$A998,'تجربه‌گرها'!$F:$F,T$1)</f>
        <v>0</v>
      </c>
      <c r="U998" s="242"/>
      <c r="V998" s="242"/>
      <c r="W998" s="242"/>
      <c r="X998" s="242"/>
      <c r="Y998" s="242"/>
      <c r="Z998" s="242"/>
      <c r="AA998" s="242"/>
      <c r="AB998" s="242"/>
    </row>
    <row r="999">
      <c r="A999" s="244" t="s">
        <v>5432</v>
      </c>
      <c r="B999" s="245" t="str">
        <f>VLOOKUP(A999,'تجربه‌گرها'!B:C,2,FALSE())</f>
        <v>9127656516</v>
      </c>
      <c r="C999" s="242"/>
      <c r="D999" s="242">
        <f t="shared" si="1"/>
        <v>1</v>
      </c>
      <c r="E999" s="242">
        <f>COUNTIFS('تجربه‌گرها'!$B:$B,$A999,'تجربه‌گرها'!$F:$F,E$1)</f>
        <v>0</v>
      </c>
      <c r="F999" s="242">
        <f>COUNTIFS('تجربه‌گرها'!$B:$B,$A999,'تجربه‌گرها'!$F:$F,F$1)</f>
        <v>0</v>
      </c>
      <c r="G999" s="242">
        <f>COUNTIFS('تجربه‌گرها'!$B:$B,$A999,'تجربه‌گرها'!$F:$F,G$1)</f>
        <v>0</v>
      </c>
      <c r="H999" s="242">
        <f>COUNTIFS('تجربه‌گرها'!$B:$B,$A999,'تجربه‌گرها'!$F:$F,H$1)</f>
        <v>0</v>
      </c>
      <c r="I999" s="242">
        <f>COUNTIFS('تجربه‌گرها'!$B:$B,$A999,'تجربه‌گرها'!$F:$F,I$1)</f>
        <v>0</v>
      </c>
      <c r="J999" s="242">
        <f>COUNTIFS('تجربه‌گرها'!$B:$B,$A999,'تجربه‌گرها'!$F:$F,J$1)</f>
        <v>0</v>
      </c>
      <c r="K999" s="242">
        <f>COUNTIFS('تجربه‌گرها'!$B:$B,$A999,'تجربه‌گرها'!$F:$F,K$1)</f>
        <v>0</v>
      </c>
      <c r="L999" s="242">
        <f>COUNTIFS('تجربه‌گرها'!$B:$B,$A999,'تجربه‌گرها'!$F:$F,L$1)</f>
        <v>0</v>
      </c>
      <c r="M999" s="242">
        <f>COUNTIFS('تجربه‌گرها'!$B:$B,$A999,'تجربه‌گرها'!$F:$F,M$1)</f>
        <v>0</v>
      </c>
      <c r="N999" s="242">
        <f>COUNTIFS('تجربه‌گرها'!$B:$B,$A999,'تجربه‌گرها'!$F:$F,N$1)</f>
        <v>1</v>
      </c>
      <c r="O999" s="242">
        <f>COUNTIFS('تجربه‌گرها'!$B:$B,$A999,'تجربه‌گرها'!$F:$F,O$1)</f>
        <v>0</v>
      </c>
      <c r="P999" s="242">
        <f>COUNTIFS('تجربه‌گرها'!$B:$B,$A999,'تجربه‌گرها'!$F:$F,P$1)</f>
        <v>0</v>
      </c>
      <c r="Q999" s="242">
        <f>COUNTIFS('تجربه‌گرها'!$B:$B,$A999,'تجربه‌گرها'!$F:$F,Q$1)</f>
        <v>0</v>
      </c>
      <c r="R999" s="242">
        <f>COUNTIFS('تجربه‌گرها'!$B:$B,$A999,'تجربه‌گرها'!$F:$F,R$1)</f>
        <v>0</v>
      </c>
      <c r="S999" s="242">
        <f>COUNTIFS('تجربه‌گرها'!$B:$B,$A999,'تجربه‌گرها'!$F:$F,S$1)</f>
        <v>0</v>
      </c>
      <c r="T999" s="242">
        <f>COUNTIFS('تجربه‌گرها'!$B:$B,$A999,'تجربه‌گرها'!$F:$F,T$1)</f>
        <v>0</v>
      </c>
      <c r="U999" s="242"/>
      <c r="V999" s="242"/>
      <c r="W999" s="242"/>
      <c r="X999" s="242"/>
      <c r="Y999" s="242"/>
      <c r="Z999" s="242"/>
      <c r="AA999" s="242"/>
      <c r="AB999" s="242"/>
    </row>
    <row r="1000" hidden="1">
      <c r="A1000" s="244" t="s">
        <v>5435</v>
      </c>
      <c r="B1000" s="245" t="str">
        <f>VLOOKUP(A1000,'تجربه‌گرها'!B:C,2,FALSE())</f>
        <v>989112709217</v>
      </c>
      <c r="C1000" s="242"/>
      <c r="D1000" s="242">
        <f t="shared" si="1"/>
        <v>1</v>
      </c>
      <c r="E1000" s="242">
        <f>COUNTIFS('تجربه‌گرها'!$B:$B,$A1000,'تجربه‌گرها'!$F:$F,E$1)</f>
        <v>0</v>
      </c>
      <c r="F1000" s="242">
        <f>COUNTIFS('تجربه‌گرها'!$B:$B,$A1000,'تجربه‌گرها'!$F:$F,F$1)</f>
        <v>0</v>
      </c>
      <c r="G1000" s="242">
        <f>COUNTIFS('تجربه‌گرها'!$B:$B,$A1000,'تجربه‌گرها'!$F:$F,G$1)</f>
        <v>0</v>
      </c>
      <c r="H1000" s="242">
        <f>COUNTIFS('تجربه‌گرها'!$B:$B,$A1000,'تجربه‌گرها'!$F:$F,H$1)</f>
        <v>0</v>
      </c>
      <c r="I1000" s="242">
        <f>COUNTIFS('تجربه‌گرها'!$B:$B,$A1000,'تجربه‌گرها'!$F:$F,I$1)</f>
        <v>0</v>
      </c>
      <c r="J1000" s="242">
        <f>COUNTIFS('تجربه‌گرها'!$B:$B,$A1000,'تجربه‌گرها'!$F:$F,J$1)</f>
        <v>0</v>
      </c>
      <c r="K1000" s="242">
        <f>COUNTIFS('تجربه‌گرها'!$B:$B,$A1000,'تجربه‌گرها'!$F:$F,K$1)</f>
        <v>0</v>
      </c>
      <c r="L1000" s="242">
        <f>COUNTIFS('تجربه‌گرها'!$B:$B,$A1000,'تجربه‌گرها'!$F:$F,L$1)</f>
        <v>0</v>
      </c>
      <c r="M1000" s="242">
        <f>COUNTIFS('تجربه‌گرها'!$B:$B,$A1000,'تجربه‌گرها'!$F:$F,M$1)</f>
        <v>0</v>
      </c>
      <c r="N1000" s="242">
        <f>COUNTIFS('تجربه‌گرها'!$B:$B,$A1000,'تجربه‌گرها'!$F:$F,N$1)</f>
        <v>1</v>
      </c>
      <c r="O1000" s="242">
        <f>COUNTIFS('تجربه‌گرها'!$B:$B,$A1000,'تجربه‌گرها'!$F:$F,O$1)</f>
        <v>0</v>
      </c>
      <c r="P1000" s="242">
        <f>COUNTIFS('تجربه‌گرها'!$B:$B,$A1000,'تجربه‌گرها'!$F:$F,P$1)</f>
        <v>0</v>
      </c>
      <c r="Q1000" s="242">
        <f>COUNTIFS('تجربه‌گرها'!$B:$B,$A1000,'تجربه‌گرها'!$F:$F,Q$1)</f>
        <v>0</v>
      </c>
      <c r="R1000" s="242">
        <f>COUNTIFS('تجربه‌گرها'!$B:$B,$A1000,'تجربه‌گرها'!$F:$F,R$1)</f>
        <v>0</v>
      </c>
      <c r="S1000" s="242">
        <f>COUNTIFS('تجربه‌گرها'!$B:$B,$A1000,'تجربه‌گرها'!$F:$F,S$1)</f>
        <v>0</v>
      </c>
      <c r="T1000" s="242">
        <f>COUNTIFS('تجربه‌گرها'!$B:$B,$A1000,'تجربه‌گرها'!$F:$F,T$1)</f>
        <v>0</v>
      </c>
      <c r="U1000" s="242"/>
      <c r="V1000" s="242"/>
      <c r="W1000" s="242"/>
      <c r="X1000" s="242"/>
      <c r="Y1000" s="242"/>
      <c r="Z1000" s="242"/>
      <c r="AA1000" s="242"/>
      <c r="AB1000" s="242"/>
    </row>
    <row r="1001" hidden="1">
      <c r="A1001" s="244" t="s">
        <v>5438</v>
      </c>
      <c r="B1001" s="245" t="str">
        <f>VLOOKUP(A1001,'تجربه‌گرها'!B:C,2,FALSE())</f>
        <v>989124933917</v>
      </c>
      <c r="C1001" s="242"/>
      <c r="D1001" s="242">
        <f t="shared" si="1"/>
        <v>1</v>
      </c>
      <c r="E1001" s="242">
        <f>COUNTIFS('تجربه‌گرها'!$B:$B,$A1001,'تجربه‌گرها'!$F:$F,E$1)</f>
        <v>0</v>
      </c>
      <c r="F1001" s="242">
        <f>COUNTIFS('تجربه‌گرها'!$B:$B,$A1001,'تجربه‌گرها'!$F:$F,F$1)</f>
        <v>0</v>
      </c>
      <c r="G1001" s="242">
        <f>COUNTIFS('تجربه‌گرها'!$B:$B,$A1001,'تجربه‌گرها'!$F:$F,G$1)</f>
        <v>0</v>
      </c>
      <c r="H1001" s="242">
        <f>COUNTIFS('تجربه‌گرها'!$B:$B,$A1001,'تجربه‌گرها'!$F:$F,H$1)</f>
        <v>0</v>
      </c>
      <c r="I1001" s="242">
        <f>COUNTIFS('تجربه‌گرها'!$B:$B,$A1001,'تجربه‌گرها'!$F:$F,I$1)</f>
        <v>0</v>
      </c>
      <c r="J1001" s="242">
        <f>COUNTIFS('تجربه‌گرها'!$B:$B,$A1001,'تجربه‌گرها'!$F:$F,J$1)</f>
        <v>0</v>
      </c>
      <c r="K1001" s="242">
        <f>COUNTIFS('تجربه‌گرها'!$B:$B,$A1001,'تجربه‌گرها'!$F:$F,K$1)</f>
        <v>0</v>
      </c>
      <c r="L1001" s="242">
        <f>COUNTIFS('تجربه‌گرها'!$B:$B,$A1001,'تجربه‌گرها'!$F:$F,L$1)</f>
        <v>0</v>
      </c>
      <c r="M1001" s="242">
        <f>COUNTIFS('تجربه‌گرها'!$B:$B,$A1001,'تجربه‌گرها'!$F:$F,M$1)</f>
        <v>0</v>
      </c>
      <c r="N1001" s="242">
        <f>COUNTIFS('تجربه‌گرها'!$B:$B,$A1001,'تجربه‌گرها'!$F:$F,N$1)</f>
        <v>1</v>
      </c>
      <c r="O1001" s="242">
        <f>COUNTIFS('تجربه‌گرها'!$B:$B,$A1001,'تجربه‌گرها'!$F:$F,O$1)</f>
        <v>0</v>
      </c>
      <c r="P1001" s="242">
        <f>COUNTIFS('تجربه‌گرها'!$B:$B,$A1001,'تجربه‌گرها'!$F:$F,P$1)</f>
        <v>0</v>
      </c>
      <c r="Q1001" s="242">
        <f>COUNTIFS('تجربه‌گرها'!$B:$B,$A1001,'تجربه‌گرها'!$F:$F,Q$1)</f>
        <v>0</v>
      </c>
      <c r="R1001" s="242">
        <f>COUNTIFS('تجربه‌گرها'!$B:$B,$A1001,'تجربه‌گرها'!$F:$F,R$1)</f>
        <v>0</v>
      </c>
      <c r="S1001" s="242">
        <f>COUNTIFS('تجربه‌گرها'!$B:$B,$A1001,'تجربه‌گرها'!$F:$F,S$1)</f>
        <v>0</v>
      </c>
      <c r="T1001" s="242">
        <f>COUNTIFS('تجربه‌گرها'!$B:$B,$A1001,'تجربه‌گرها'!$F:$F,T$1)</f>
        <v>0</v>
      </c>
      <c r="U1001" s="242"/>
      <c r="V1001" s="242"/>
      <c r="W1001" s="242"/>
      <c r="X1001" s="242"/>
      <c r="Y1001" s="242"/>
      <c r="Z1001" s="242"/>
      <c r="AA1001" s="242"/>
      <c r="AB1001" s="242"/>
    </row>
    <row r="1002" hidden="1">
      <c r="A1002" s="244" t="s">
        <v>379</v>
      </c>
      <c r="B1002" s="245" t="str">
        <f>VLOOKUP(A1002,'تجربه‌گرها'!B:C,2,FALSE())</f>
        <v>989121233837 </v>
      </c>
      <c r="C1002" s="242"/>
      <c r="D1002" s="242">
        <f t="shared" si="1"/>
        <v>1</v>
      </c>
      <c r="E1002" s="242">
        <f>COUNTIFS('تجربه‌گرها'!$B:$B,$A1002,'تجربه‌گرها'!$F:$F,E$1)</f>
        <v>0</v>
      </c>
      <c r="F1002" s="242">
        <f>COUNTIFS('تجربه‌گرها'!$B:$B,$A1002,'تجربه‌گرها'!$F:$F,F$1)</f>
        <v>0</v>
      </c>
      <c r="G1002" s="242">
        <f>COUNTIFS('تجربه‌گرها'!$B:$B,$A1002,'تجربه‌گرها'!$F:$F,G$1)</f>
        <v>0</v>
      </c>
      <c r="H1002" s="242">
        <f>COUNTIFS('تجربه‌گرها'!$B:$B,$A1002,'تجربه‌گرها'!$F:$F,H$1)</f>
        <v>0</v>
      </c>
      <c r="I1002" s="242">
        <f>COUNTIFS('تجربه‌گرها'!$B:$B,$A1002,'تجربه‌گرها'!$F:$F,I$1)</f>
        <v>0</v>
      </c>
      <c r="J1002" s="242">
        <f>COUNTIFS('تجربه‌گرها'!$B:$B,$A1002,'تجربه‌گرها'!$F:$F,J$1)</f>
        <v>0</v>
      </c>
      <c r="K1002" s="242">
        <f>COUNTIFS('تجربه‌گرها'!$B:$B,$A1002,'تجربه‌گرها'!$F:$F,K$1)</f>
        <v>0</v>
      </c>
      <c r="L1002" s="242">
        <f>COUNTIFS('تجربه‌گرها'!$B:$B,$A1002,'تجربه‌گرها'!$F:$F,L$1)</f>
        <v>0</v>
      </c>
      <c r="M1002" s="242">
        <f>COUNTIFS('تجربه‌گرها'!$B:$B,$A1002,'تجربه‌گرها'!$F:$F,M$1)</f>
        <v>0</v>
      </c>
      <c r="N1002" s="242">
        <f>COUNTIFS('تجربه‌گرها'!$B:$B,$A1002,'تجربه‌گرها'!$F:$F,N$1)</f>
        <v>1</v>
      </c>
      <c r="O1002" s="242">
        <f>COUNTIFS('تجربه‌گرها'!$B:$B,$A1002,'تجربه‌گرها'!$F:$F,O$1)</f>
        <v>0</v>
      </c>
      <c r="P1002" s="242">
        <f>COUNTIFS('تجربه‌گرها'!$B:$B,$A1002,'تجربه‌گرها'!$F:$F,P$1)</f>
        <v>0</v>
      </c>
      <c r="Q1002" s="242">
        <f>COUNTIFS('تجربه‌گرها'!$B:$B,$A1002,'تجربه‌گرها'!$F:$F,Q$1)</f>
        <v>0</v>
      </c>
      <c r="R1002" s="242">
        <f>COUNTIFS('تجربه‌گرها'!$B:$B,$A1002,'تجربه‌گرها'!$F:$F,R$1)</f>
        <v>0</v>
      </c>
      <c r="S1002" s="242">
        <f>COUNTIFS('تجربه‌گرها'!$B:$B,$A1002,'تجربه‌گرها'!$F:$F,S$1)</f>
        <v>0</v>
      </c>
      <c r="T1002" s="242">
        <f>COUNTIFS('تجربه‌گرها'!$B:$B,$A1002,'تجربه‌گرها'!$F:$F,T$1)</f>
        <v>0</v>
      </c>
      <c r="U1002" s="242"/>
      <c r="V1002" s="242"/>
      <c r="W1002" s="242"/>
      <c r="X1002" s="242"/>
      <c r="Y1002" s="242"/>
      <c r="Z1002" s="242"/>
      <c r="AA1002" s="242"/>
      <c r="AB1002" s="242"/>
    </row>
    <row r="1003" hidden="1">
      <c r="A1003" s="244" t="s">
        <v>5442</v>
      </c>
      <c r="B1003" s="245" t="str">
        <f>VLOOKUP(A1003,'تجربه‌گرها'!B:C,2,FALSE())</f>
        <v>989128406282</v>
      </c>
      <c r="C1003" s="242"/>
      <c r="D1003" s="242">
        <f t="shared" si="1"/>
        <v>1</v>
      </c>
      <c r="E1003" s="242">
        <f>COUNTIFS('تجربه‌گرها'!$B:$B,$A1003,'تجربه‌گرها'!$F:$F,E$1)</f>
        <v>0</v>
      </c>
      <c r="F1003" s="242">
        <f>COUNTIFS('تجربه‌گرها'!$B:$B,$A1003,'تجربه‌گرها'!$F:$F,F$1)</f>
        <v>0</v>
      </c>
      <c r="G1003" s="242">
        <f>COUNTIFS('تجربه‌گرها'!$B:$B,$A1003,'تجربه‌گرها'!$F:$F,G$1)</f>
        <v>0</v>
      </c>
      <c r="H1003" s="242">
        <f>COUNTIFS('تجربه‌گرها'!$B:$B,$A1003,'تجربه‌گرها'!$F:$F,H$1)</f>
        <v>0</v>
      </c>
      <c r="I1003" s="242">
        <f>COUNTIFS('تجربه‌گرها'!$B:$B,$A1003,'تجربه‌گرها'!$F:$F,I$1)</f>
        <v>0</v>
      </c>
      <c r="J1003" s="242">
        <f>COUNTIFS('تجربه‌گرها'!$B:$B,$A1003,'تجربه‌گرها'!$F:$F,J$1)</f>
        <v>0</v>
      </c>
      <c r="K1003" s="242">
        <f>COUNTIFS('تجربه‌گرها'!$B:$B,$A1003,'تجربه‌گرها'!$F:$F,K$1)</f>
        <v>0</v>
      </c>
      <c r="L1003" s="242">
        <f>COUNTIFS('تجربه‌گرها'!$B:$B,$A1003,'تجربه‌گرها'!$F:$F,L$1)</f>
        <v>0</v>
      </c>
      <c r="M1003" s="242">
        <f>COUNTIFS('تجربه‌گرها'!$B:$B,$A1003,'تجربه‌گرها'!$F:$F,M$1)</f>
        <v>0</v>
      </c>
      <c r="N1003" s="242">
        <f>COUNTIFS('تجربه‌گرها'!$B:$B,$A1003,'تجربه‌گرها'!$F:$F,N$1)</f>
        <v>1</v>
      </c>
      <c r="O1003" s="242">
        <f>COUNTIFS('تجربه‌گرها'!$B:$B,$A1003,'تجربه‌گرها'!$F:$F,O$1)</f>
        <v>0</v>
      </c>
      <c r="P1003" s="242">
        <f>COUNTIFS('تجربه‌گرها'!$B:$B,$A1003,'تجربه‌گرها'!$F:$F,P$1)</f>
        <v>0</v>
      </c>
      <c r="Q1003" s="242">
        <f>COUNTIFS('تجربه‌گرها'!$B:$B,$A1003,'تجربه‌گرها'!$F:$F,Q$1)</f>
        <v>0</v>
      </c>
      <c r="R1003" s="242">
        <f>COUNTIFS('تجربه‌گرها'!$B:$B,$A1003,'تجربه‌گرها'!$F:$F,R$1)</f>
        <v>0</v>
      </c>
      <c r="S1003" s="242">
        <f>COUNTIFS('تجربه‌گرها'!$B:$B,$A1003,'تجربه‌گرها'!$F:$F,S$1)</f>
        <v>0</v>
      </c>
      <c r="T1003" s="242">
        <f>COUNTIFS('تجربه‌گرها'!$B:$B,$A1003,'تجربه‌گرها'!$F:$F,T$1)</f>
        <v>0</v>
      </c>
      <c r="U1003" s="242"/>
      <c r="V1003" s="242"/>
      <c r="W1003" s="242"/>
      <c r="X1003" s="242"/>
      <c r="Y1003" s="242"/>
      <c r="Z1003" s="242"/>
      <c r="AA1003" s="242"/>
      <c r="AB1003" s="242"/>
    </row>
    <row r="1004" hidden="1">
      <c r="A1004" s="244" t="s">
        <v>5444</v>
      </c>
      <c r="B1004" s="245" t="str">
        <f>VLOOKUP(A1004,'تجربه‌گرها'!B:C,2,FALSE())</f>
        <v>989122505911</v>
      </c>
      <c r="C1004" s="242"/>
      <c r="D1004" s="242">
        <f t="shared" si="1"/>
        <v>1</v>
      </c>
      <c r="E1004" s="242">
        <f>COUNTIFS('تجربه‌گرها'!$B:$B,$A1004,'تجربه‌گرها'!$F:$F,E$1)</f>
        <v>0</v>
      </c>
      <c r="F1004" s="242">
        <f>COUNTIFS('تجربه‌گرها'!$B:$B,$A1004,'تجربه‌گرها'!$F:$F,F$1)</f>
        <v>0</v>
      </c>
      <c r="G1004" s="242">
        <f>COUNTIFS('تجربه‌گرها'!$B:$B,$A1004,'تجربه‌گرها'!$F:$F,G$1)</f>
        <v>0</v>
      </c>
      <c r="H1004" s="242">
        <f>COUNTIFS('تجربه‌گرها'!$B:$B,$A1004,'تجربه‌گرها'!$F:$F,H$1)</f>
        <v>0</v>
      </c>
      <c r="I1004" s="242">
        <f>COUNTIFS('تجربه‌گرها'!$B:$B,$A1004,'تجربه‌گرها'!$F:$F,I$1)</f>
        <v>0</v>
      </c>
      <c r="J1004" s="242">
        <f>COUNTIFS('تجربه‌گرها'!$B:$B,$A1004,'تجربه‌گرها'!$F:$F,J$1)</f>
        <v>0</v>
      </c>
      <c r="K1004" s="242">
        <f>COUNTIFS('تجربه‌گرها'!$B:$B,$A1004,'تجربه‌گرها'!$F:$F,K$1)</f>
        <v>0</v>
      </c>
      <c r="L1004" s="242">
        <f>COUNTIFS('تجربه‌گرها'!$B:$B,$A1004,'تجربه‌گرها'!$F:$F,L$1)</f>
        <v>0</v>
      </c>
      <c r="M1004" s="242">
        <f>COUNTIFS('تجربه‌گرها'!$B:$B,$A1004,'تجربه‌گرها'!$F:$F,M$1)</f>
        <v>0</v>
      </c>
      <c r="N1004" s="242">
        <f>COUNTIFS('تجربه‌گرها'!$B:$B,$A1004,'تجربه‌گرها'!$F:$F,N$1)</f>
        <v>1</v>
      </c>
      <c r="O1004" s="242">
        <f>COUNTIFS('تجربه‌گرها'!$B:$B,$A1004,'تجربه‌گرها'!$F:$F,O$1)</f>
        <v>0</v>
      </c>
      <c r="P1004" s="242">
        <f>COUNTIFS('تجربه‌گرها'!$B:$B,$A1004,'تجربه‌گرها'!$F:$F,P$1)</f>
        <v>0</v>
      </c>
      <c r="Q1004" s="242">
        <f>COUNTIFS('تجربه‌گرها'!$B:$B,$A1004,'تجربه‌گرها'!$F:$F,Q$1)</f>
        <v>0</v>
      </c>
      <c r="R1004" s="242">
        <f>COUNTIFS('تجربه‌گرها'!$B:$B,$A1004,'تجربه‌گرها'!$F:$F,R$1)</f>
        <v>0</v>
      </c>
      <c r="S1004" s="242">
        <f>COUNTIFS('تجربه‌گرها'!$B:$B,$A1004,'تجربه‌گرها'!$F:$F,S$1)</f>
        <v>0</v>
      </c>
      <c r="T1004" s="242">
        <f>COUNTIFS('تجربه‌گرها'!$B:$B,$A1004,'تجربه‌گرها'!$F:$F,T$1)</f>
        <v>0</v>
      </c>
      <c r="U1004" s="242"/>
      <c r="V1004" s="242"/>
      <c r="W1004" s="242"/>
      <c r="X1004" s="242"/>
      <c r="Y1004" s="242"/>
      <c r="Z1004" s="242"/>
      <c r="AA1004" s="242"/>
      <c r="AB1004" s="242"/>
    </row>
    <row r="1005" hidden="1">
      <c r="A1005" s="244" t="s">
        <v>5448</v>
      </c>
      <c r="B1005" s="245" t="str">
        <f>VLOOKUP(A1005,'تجربه‌گرها'!B:C,2,FALSE())</f>
        <v>989123360208</v>
      </c>
      <c r="C1005" s="242"/>
      <c r="D1005" s="242">
        <f t="shared" si="1"/>
        <v>2</v>
      </c>
      <c r="E1005" s="242">
        <f>COUNTIFS('تجربه‌گرها'!$B:$B,$A1005,'تجربه‌گرها'!$F:$F,E$1)</f>
        <v>0</v>
      </c>
      <c r="F1005" s="242">
        <f>COUNTIFS('تجربه‌گرها'!$B:$B,$A1005,'تجربه‌گرها'!$F:$F,F$1)</f>
        <v>0</v>
      </c>
      <c r="G1005" s="242">
        <f>COUNTIFS('تجربه‌گرها'!$B:$B,$A1005,'تجربه‌گرها'!$F:$F,G$1)</f>
        <v>0</v>
      </c>
      <c r="H1005" s="242">
        <f>COUNTIFS('تجربه‌گرها'!$B:$B,$A1005,'تجربه‌گرها'!$F:$F,H$1)</f>
        <v>0</v>
      </c>
      <c r="I1005" s="242">
        <f>COUNTIFS('تجربه‌گرها'!$B:$B,$A1005,'تجربه‌گرها'!$F:$F,I$1)</f>
        <v>0</v>
      </c>
      <c r="J1005" s="242">
        <f>COUNTIFS('تجربه‌گرها'!$B:$B,$A1005,'تجربه‌گرها'!$F:$F,J$1)</f>
        <v>0</v>
      </c>
      <c r="K1005" s="242">
        <f>COUNTIFS('تجربه‌گرها'!$B:$B,$A1005,'تجربه‌گرها'!$F:$F,K$1)</f>
        <v>0</v>
      </c>
      <c r="L1005" s="242">
        <f>COUNTIFS('تجربه‌گرها'!$B:$B,$A1005,'تجربه‌گرها'!$F:$F,L$1)</f>
        <v>0</v>
      </c>
      <c r="M1005" s="242">
        <f>COUNTIFS('تجربه‌گرها'!$B:$B,$A1005,'تجربه‌گرها'!$F:$F,M$1)</f>
        <v>0</v>
      </c>
      <c r="N1005" s="242">
        <f>COUNTIFS('تجربه‌گرها'!$B:$B,$A1005,'تجربه‌گرها'!$F:$F,N$1)</f>
        <v>1</v>
      </c>
      <c r="O1005" s="242">
        <f>COUNTIFS('تجربه‌گرها'!$B:$B,$A1005,'تجربه‌گرها'!$F:$F,O$1)</f>
        <v>0</v>
      </c>
      <c r="P1005" s="242">
        <f>COUNTIFS('تجربه‌گرها'!$B:$B,$A1005,'تجربه‌گرها'!$F:$F,P$1)</f>
        <v>1</v>
      </c>
      <c r="Q1005" s="242">
        <f>COUNTIFS('تجربه‌گرها'!$B:$B,$A1005,'تجربه‌گرها'!$F:$F,Q$1)</f>
        <v>0</v>
      </c>
      <c r="R1005" s="242">
        <f>COUNTIFS('تجربه‌گرها'!$B:$B,$A1005,'تجربه‌گرها'!$F:$F,R$1)</f>
        <v>0</v>
      </c>
      <c r="S1005" s="242">
        <f>COUNTIFS('تجربه‌گرها'!$B:$B,$A1005,'تجربه‌گرها'!$F:$F,S$1)</f>
        <v>0</v>
      </c>
      <c r="T1005" s="242">
        <f>COUNTIFS('تجربه‌گرها'!$B:$B,$A1005,'تجربه‌گرها'!$F:$F,T$1)</f>
        <v>0</v>
      </c>
      <c r="U1005" s="242"/>
      <c r="V1005" s="242"/>
      <c r="W1005" s="242"/>
      <c r="X1005" s="242"/>
      <c r="Y1005" s="242"/>
      <c r="Z1005" s="242"/>
      <c r="AA1005" s="242"/>
      <c r="AB1005" s="242"/>
    </row>
    <row r="1006" hidden="1">
      <c r="A1006" s="244" t="s">
        <v>5451</v>
      </c>
      <c r="B1006" s="245" t="str">
        <f>VLOOKUP(A1006,'تجربه‌گرها'!B:C,2,FALSE())</f>
        <v>9124936372</v>
      </c>
      <c r="C1006" s="242"/>
      <c r="D1006" s="242">
        <f t="shared" si="1"/>
        <v>2</v>
      </c>
      <c r="E1006" s="242">
        <f>COUNTIFS('تجربه‌گرها'!$B:$B,$A1006,'تجربه‌گرها'!$F:$F,E$1)</f>
        <v>0</v>
      </c>
      <c r="F1006" s="242">
        <f>COUNTIFS('تجربه‌گرها'!$B:$B,$A1006,'تجربه‌گرها'!$F:$F,F$1)</f>
        <v>0</v>
      </c>
      <c r="G1006" s="242">
        <f>COUNTIFS('تجربه‌گرها'!$B:$B,$A1006,'تجربه‌گرها'!$F:$F,G$1)</f>
        <v>0</v>
      </c>
      <c r="H1006" s="242">
        <f>COUNTIFS('تجربه‌گرها'!$B:$B,$A1006,'تجربه‌گرها'!$F:$F,H$1)</f>
        <v>0</v>
      </c>
      <c r="I1006" s="242">
        <f>COUNTIFS('تجربه‌گرها'!$B:$B,$A1006,'تجربه‌گرها'!$F:$F,I$1)</f>
        <v>0</v>
      </c>
      <c r="J1006" s="242">
        <f>COUNTIFS('تجربه‌گرها'!$B:$B,$A1006,'تجربه‌گرها'!$F:$F,J$1)</f>
        <v>0</v>
      </c>
      <c r="K1006" s="242">
        <f>COUNTIFS('تجربه‌گرها'!$B:$B,$A1006,'تجربه‌گرها'!$F:$F,K$1)</f>
        <v>0</v>
      </c>
      <c r="L1006" s="242">
        <f>COUNTIFS('تجربه‌گرها'!$B:$B,$A1006,'تجربه‌گرها'!$F:$F,L$1)</f>
        <v>0</v>
      </c>
      <c r="M1006" s="242">
        <f>COUNTIFS('تجربه‌گرها'!$B:$B,$A1006,'تجربه‌گرها'!$F:$F,M$1)</f>
        <v>0</v>
      </c>
      <c r="N1006" s="242">
        <f>COUNTIFS('تجربه‌گرها'!$B:$B,$A1006,'تجربه‌گرها'!$F:$F,N$1)</f>
        <v>1</v>
      </c>
      <c r="O1006" s="242">
        <f>COUNTIFS('تجربه‌گرها'!$B:$B,$A1006,'تجربه‌گرها'!$F:$F,O$1)</f>
        <v>0</v>
      </c>
      <c r="P1006" s="242">
        <f>COUNTIFS('تجربه‌گرها'!$B:$B,$A1006,'تجربه‌گرها'!$F:$F,P$1)</f>
        <v>1</v>
      </c>
      <c r="Q1006" s="242">
        <f>COUNTIFS('تجربه‌گرها'!$B:$B,$A1006,'تجربه‌گرها'!$F:$F,Q$1)</f>
        <v>0</v>
      </c>
      <c r="R1006" s="242">
        <f>COUNTIFS('تجربه‌گرها'!$B:$B,$A1006,'تجربه‌گرها'!$F:$F,R$1)</f>
        <v>0</v>
      </c>
      <c r="S1006" s="242">
        <f>COUNTIFS('تجربه‌گرها'!$B:$B,$A1006,'تجربه‌گرها'!$F:$F,S$1)</f>
        <v>0</v>
      </c>
      <c r="T1006" s="242">
        <f>COUNTIFS('تجربه‌گرها'!$B:$B,$A1006,'تجربه‌گرها'!$F:$F,T$1)</f>
        <v>0</v>
      </c>
      <c r="U1006" s="242"/>
      <c r="V1006" s="242"/>
      <c r="W1006" s="242"/>
      <c r="X1006" s="242"/>
      <c r="Y1006" s="242"/>
      <c r="Z1006" s="242"/>
      <c r="AA1006" s="242"/>
      <c r="AB1006" s="242"/>
    </row>
    <row r="1007" hidden="1">
      <c r="A1007" s="244" t="s">
        <v>5454</v>
      </c>
      <c r="B1007" s="245" t="str">
        <f>VLOOKUP(A1007,'تجربه‌گرها'!B:C,2,FALSE())</f>
        <v>989121866170</v>
      </c>
      <c r="C1007" s="242"/>
      <c r="D1007" s="242">
        <f t="shared" si="1"/>
        <v>1</v>
      </c>
      <c r="E1007" s="242">
        <f>COUNTIFS('تجربه‌گرها'!$B:$B,$A1007,'تجربه‌گرها'!$F:$F,E$1)</f>
        <v>0</v>
      </c>
      <c r="F1007" s="242">
        <f>COUNTIFS('تجربه‌گرها'!$B:$B,$A1007,'تجربه‌گرها'!$F:$F,F$1)</f>
        <v>0</v>
      </c>
      <c r="G1007" s="242">
        <f>COUNTIFS('تجربه‌گرها'!$B:$B,$A1007,'تجربه‌گرها'!$F:$F,G$1)</f>
        <v>0</v>
      </c>
      <c r="H1007" s="242">
        <f>COUNTIFS('تجربه‌گرها'!$B:$B,$A1007,'تجربه‌گرها'!$F:$F,H$1)</f>
        <v>0</v>
      </c>
      <c r="I1007" s="242">
        <f>COUNTIFS('تجربه‌گرها'!$B:$B,$A1007,'تجربه‌گرها'!$F:$F,I$1)</f>
        <v>0</v>
      </c>
      <c r="J1007" s="242">
        <f>COUNTIFS('تجربه‌گرها'!$B:$B,$A1007,'تجربه‌گرها'!$F:$F,J$1)</f>
        <v>0</v>
      </c>
      <c r="K1007" s="242">
        <f>COUNTIFS('تجربه‌گرها'!$B:$B,$A1007,'تجربه‌گرها'!$F:$F,K$1)</f>
        <v>0</v>
      </c>
      <c r="L1007" s="242">
        <f>COUNTIFS('تجربه‌گرها'!$B:$B,$A1007,'تجربه‌گرها'!$F:$F,L$1)</f>
        <v>0</v>
      </c>
      <c r="M1007" s="242">
        <f>COUNTIFS('تجربه‌گرها'!$B:$B,$A1007,'تجربه‌گرها'!$F:$F,M$1)</f>
        <v>0</v>
      </c>
      <c r="N1007" s="242">
        <f>COUNTIFS('تجربه‌گرها'!$B:$B,$A1007,'تجربه‌گرها'!$F:$F,N$1)</f>
        <v>1</v>
      </c>
      <c r="O1007" s="242">
        <f>COUNTIFS('تجربه‌گرها'!$B:$B,$A1007,'تجربه‌گرها'!$F:$F,O$1)</f>
        <v>0</v>
      </c>
      <c r="P1007" s="242">
        <f>COUNTIFS('تجربه‌گرها'!$B:$B,$A1007,'تجربه‌گرها'!$F:$F,P$1)</f>
        <v>0</v>
      </c>
      <c r="Q1007" s="242">
        <f>COUNTIFS('تجربه‌گرها'!$B:$B,$A1007,'تجربه‌گرها'!$F:$F,Q$1)</f>
        <v>0</v>
      </c>
      <c r="R1007" s="242">
        <f>COUNTIFS('تجربه‌گرها'!$B:$B,$A1007,'تجربه‌گرها'!$F:$F,R$1)</f>
        <v>0</v>
      </c>
      <c r="S1007" s="242">
        <f>COUNTIFS('تجربه‌گرها'!$B:$B,$A1007,'تجربه‌گرها'!$F:$F,S$1)</f>
        <v>0</v>
      </c>
      <c r="T1007" s="242">
        <f>COUNTIFS('تجربه‌گرها'!$B:$B,$A1007,'تجربه‌گرها'!$F:$F,T$1)</f>
        <v>0</v>
      </c>
      <c r="U1007" s="242"/>
      <c r="V1007" s="242"/>
      <c r="W1007" s="242"/>
      <c r="X1007" s="242"/>
      <c r="Y1007" s="242"/>
      <c r="Z1007" s="242"/>
      <c r="AA1007" s="242"/>
      <c r="AB1007" s="242"/>
    </row>
    <row r="1008" hidden="1">
      <c r="A1008" s="244" t="s">
        <v>5457</v>
      </c>
      <c r="B1008" s="245" t="str">
        <f>VLOOKUP(A1008,'تجربه‌گرها'!B:C,2,FALSE())</f>
        <v>989221251785</v>
      </c>
      <c r="C1008" s="242"/>
      <c r="D1008" s="242">
        <f t="shared" si="1"/>
        <v>2</v>
      </c>
      <c r="E1008" s="242">
        <f>COUNTIFS('تجربه‌گرها'!$B:$B,$A1008,'تجربه‌گرها'!$F:$F,E$1)</f>
        <v>0</v>
      </c>
      <c r="F1008" s="242">
        <f>COUNTIFS('تجربه‌گرها'!$B:$B,$A1008,'تجربه‌گرها'!$F:$F,F$1)</f>
        <v>0</v>
      </c>
      <c r="G1008" s="242">
        <f>COUNTIFS('تجربه‌گرها'!$B:$B,$A1008,'تجربه‌گرها'!$F:$F,G$1)</f>
        <v>0</v>
      </c>
      <c r="H1008" s="242">
        <f>COUNTIFS('تجربه‌گرها'!$B:$B,$A1008,'تجربه‌گرها'!$F:$F,H$1)</f>
        <v>0</v>
      </c>
      <c r="I1008" s="242">
        <f>COUNTIFS('تجربه‌گرها'!$B:$B,$A1008,'تجربه‌گرها'!$F:$F,I$1)</f>
        <v>0</v>
      </c>
      <c r="J1008" s="242">
        <f>COUNTIFS('تجربه‌گرها'!$B:$B,$A1008,'تجربه‌گرها'!$F:$F,J$1)</f>
        <v>0</v>
      </c>
      <c r="K1008" s="242">
        <f>COUNTIFS('تجربه‌گرها'!$B:$B,$A1008,'تجربه‌گرها'!$F:$F,K$1)</f>
        <v>0</v>
      </c>
      <c r="L1008" s="242">
        <f>COUNTIFS('تجربه‌گرها'!$B:$B,$A1008,'تجربه‌گرها'!$F:$F,L$1)</f>
        <v>0</v>
      </c>
      <c r="M1008" s="242">
        <f>COUNTIFS('تجربه‌گرها'!$B:$B,$A1008,'تجربه‌گرها'!$F:$F,M$1)</f>
        <v>0</v>
      </c>
      <c r="N1008" s="242">
        <f>COUNTIFS('تجربه‌گرها'!$B:$B,$A1008,'تجربه‌گرها'!$F:$F,N$1)</f>
        <v>1</v>
      </c>
      <c r="O1008" s="242">
        <f>COUNTIFS('تجربه‌گرها'!$B:$B,$A1008,'تجربه‌گرها'!$F:$F,O$1)</f>
        <v>0</v>
      </c>
      <c r="P1008" s="242">
        <f>COUNTIFS('تجربه‌گرها'!$B:$B,$A1008,'تجربه‌گرها'!$F:$F,P$1)</f>
        <v>0</v>
      </c>
      <c r="Q1008" s="242">
        <f>COUNTIFS('تجربه‌گرها'!$B:$B,$A1008,'تجربه‌گرها'!$F:$F,Q$1)</f>
        <v>1</v>
      </c>
      <c r="R1008" s="242">
        <f>COUNTIFS('تجربه‌گرها'!$B:$B,$A1008,'تجربه‌گرها'!$F:$F,R$1)</f>
        <v>0</v>
      </c>
      <c r="S1008" s="242">
        <f>COUNTIFS('تجربه‌گرها'!$B:$B,$A1008,'تجربه‌گرها'!$F:$F,S$1)</f>
        <v>0</v>
      </c>
      <c r="T1008" s="242">
        <f>COUNTIFS('تجربه‌گرها'!$B:$B,$A1008,'تجربه‌گرها'!$F:$F,T$1)</f>
        <v>0</v>
      </c>
      <c r="U1008" s="242"/>
      <c r="V1008" s="242"/>
      <c r="W1008" s="242"/>
      <c r="X1008" s="242"/>
      <c r="Y1008" s="242"/>
      <c r="Z1008" s="242"/>
      <c r="AA1008" s="242"/>
      <c r="AB1008" s="242"/>
    </row>
    <row r="1009" hidden="1">
      <c r="A1009" s="244" t="s">
        <v>5460</v>
      </c>
      <c r="B1009" s="245" t="str">
        <f>VLOOKUP(A1009,'تجربه‌گرها'!B:C,2,FALSE())</f>
        <v>989170174000</v>
      </c>
      <c r="C1009" s="242"/>
      <c r="D1009" s="242">
        <f t="shared" si="1"/>
        <v>1</v>
      </c>
      <c r="E1009" s="242">
        <f>COUNTIFS('تجربه‌گرها'!$B:$B,$A1009,'تجربه‌گرها'!$F:$F,E$1)</f>
        <v>0</v>
      </c>
      <c r="F1009" s="242">
        <f>COUNTIFS('تجربه‌گرها'!$B:$B,$A1009,'تجربه‌گرها'!$F:$F,F$1)</f>
        <v>0</v>
      </c>
      <c r="G1009" s="242">
        <f>COUNTIFS('تجربه‌گرها'!$B:$B,$A1009,'تجربه‌گرها'!$F:$F,G$1)</f>
        <v>0</v>
      </c>
      <c r="H1009" s="242">
        <f>COUNTIFS('تجربه‌گرها'!$B:$B,$A1009,'تجربه‌گرها'!$F:$F,H$1)</f>
        <v>0</v>
      </c>
      <c r="I1009" s="242">
        <f>COUNTIFS('تجربه‌گرها'!$B:$B,$A1009,'تجربه‌گرها'!$F:$F,I$1)</f>
        <v>0</v>
      </c>
      <c r="J1009" s="242">
        <f>COUNTIFS('تجربه‌گرها'!$B:$B,$A1009,'تجربه‌گرها'!$F:$F,J$1)</f>
        <v>0</v>
      </c>
      <c r="K1009" s="242">
        <f>COUNTIFS('تجربه‌گرها'!$B:$B,$A1009,'تجربه‌گرها'!$F:$F,K$1)</f>
        <v>0</v>
      </c>
      <c r="L1009" s="242">
        <f>COUNTIFS('تجربه‌گرها'!$B:$B,$A1009,'تجربه‌گرها'!$F:$F,L$1)</f>
        <v>0</v>
      </c>
      <c r="M1009" s="242">
        <f>COUNTIFS('تجربه‌گرها'!$B:$B,$A1009,'تجربه‌گرها'!$F:$F,M$1)</f>
        <v>0</v>
      </c>
      <c r="N1009" s="242">
        <f>COUNTIFS('تجربه‌گرها'!$B:$B,$A1009,'تجربه‌گرها'!$F:$F,N$1)</f>
        <v>1</v>
      </c>
      <c r="O1009" s="242">
        <f>COUNTIFS('تجربه‌گرها'!$B:$B,$A1009,'تجربه‌گرها'!$F:$F,O$1)</f>
        <v>0</v>
      </c>
      <c r="P1009" s="242">
        <f>COUNTIFS('تجربه‌گرها'!$B:$B,$A1009,'تجربه‌گرها'!$F:$F,P$1)</f>
        <v>0</v>
      </c>
      <c r="Q1009" s="242">
        <f>COUNTIFS('تجربه‌گرها'!$B:$B,$A1009,'تجربه‌گرها'!$F:$F,Q$1)</f>
        <v>0</v>
      </c>
      <c r="R1009" s="242">
        <f>COUNTIFS('تجربه‌گرها'!$B:$B,$A1009,'تجربه‌گرها'!$F:$F,R$1)</f>
        <v>0</v>
      </c>
      <c r="S1009" s="242">
        <f>COUNTIFS('تجربه‌گرها'!$B:$B,$A1009,'تجربه‌گرها'!$F:$F,S$1)</f>
        <v>0</v>
      </c>
      <c r="T1009" s="242">
        <f>COUNTIFS('تجربه‌گرها'!$B:$B,$A1009,'تجربه‌گرها'!$F:$F,T$1)</f>
        <v>0</v>
      </c>
      <c r="U1009" s="242"/>
      <c r="V1009" s="242"/>
      <c r="W1009" s="242"/>
      <c r="X1009" s="242"/>
      <c r="Y1009" s="242"/>
      <c r="Z1009" s="242"/>
      <c r="AA1009" s="242"/>
      <c r="AB1009" s="242"/>
    </row>
    <row r="1010" hidden="1">
      <c r="A1010" s="244" t="s">
        <v>5463</v>
      </c>
      <c r="B1010" s="245" t="str">
        <f>VLOOKUP(A1010,'تجربه‌گرها'!B:C,2,FALSE())</f>
        <v>989155571982</v>
      </c>
      <c r="C1010" s="242"/>
      <c r="D1010" s="242">
        <f t="shared" si="1"/>
        <v>1</v>
      </c>
      <c r="E1010" s="242">
        <f>COUNTIFS('تجربه‌گرها'!$B:$B,$A1010,'تجربه‌گرها'!$F:$F,E$1)</f>
        <v>0</v>
      </c>
      <c r="F1010" s="242">
        <f>COUNTIFS('تجربه‌گرها'!$B:$B,$A1010,'تجربه‌گرها'!$F:$F,F$1)</f>
        <v>0</v>
      </c>
      <c r="G1010" s="242">
        <f>COUNTIFS('تجربه‌گرها'!$B:$B,$A1010,'تجربه‌گرها'!$F:$F,G$1)</f>
        <v>0</v>
      </c>
      <c r="H1010" s="242">
        <f>COUNTIFS('تجربه‌گرها'!$B:$B,$A1010,'تجربه‌گرها'!$F:$F,H$1)</f>
        <v>0</v>
      </c>
      <c r="I1010" s="242">
        <f>COUNTIFS('تجربه‌گرها'!$B:$B,$A1010,'تجربه‌گرها'!$F:$F,I$1)</f>
        <v>0</v>
      </c>
      <c r="J1010" s="242">
        <f>COUNTIFS('تجربه‌گرها'!$B:$B,$A1010,'تجربه‌گرها'!$F:$F,J$1)</f>
        <v>0</v>
      </c>
      <c r="K1010" s="242">
        <f>COUNTIFS('تجربه‌گرها'!$B:$B,$A1010,'تجربه‌گرها'!$F:$F,K$1)</f>
        <v>0</v>
      </c>
      <c r="L1010" s="242">
        <f>COUNTIFS('تجربه‌گرها'!$B:$B,$A1010,'تجربه‌گرها'!$F:$F,L$1)</f>
        <v>0</v>
      </c>
      <c r="M1010" s="242">
        <f>COUNTIFS('تجربه‌گرها'!$B:$B,$A1010,'تجربه‌گرها'!$F:$F,M$1)</f>
        <v>0</v>
      </c>
      <c r="N1010" s="242">
        <f>COUNTIFS('تجربه‌گرها'!$B:$B,$A1010,'تجربه‌گرها'!$F:$F,N$1)</f>
        <v>1</v>
      </c>
      <c r="O1010" s="242">
        <f>COUNTIFS('تجربه‌گرها'!$B:$B,$A1010,'تجربه‌گرها'!$F:$F,O$1)</f>
        <v>0</v>
      </c>
      <c r="P1010" s="242">
        <f>COUNTIFS('تجربه‌گرها'!$B:$B,$A1010,'تجربه‌گرها'!$F:$F,P$1)</f>
        <v>0</v>
      </c>
      <c r="Q1010" s="242">
        <f>COUNTIFS('تجربه‌گرها'!$B:$B,$A1010,'تجربه‌گرها'!$F:$F,Q$1)</f>
        <v>0</v>
      </c>
      <c r="R1010" s="242">
        <f>COUNTIFS('تجربه‌گرها'!$B:$B,$A1010,'تجربه‌گرها'!$F:$F,R$1)</f>
        <v>0</v>
      </c>
      <c r="S1010" s="242">
        <f>COUNTIFS('تجربه‌گرها'!$B:$B,$A1010,'تجربه‌گرها'!$F:$F,S$1)</f>
        <v>0</v>
      </c>
      <c r="T1010" s="242">
        <f>COUNTIFS('تجربه‌گرها'!$B:$B,$A1010,'تجربه‌گرها'!$F:$F,T$1)</f>
        <v>0</v>
      </c>
      <c r="U1010" s="242"/>
      <c r="V1010" s="242"/>
      <c r="W1010" s="242"/>
      <c r="X1010" s="242"/>
      <c r="Y1010" s="242"/>
      <c r="Z1010" s="242"/>
      <c r="AA1010" s="242"/>
      <c r="AB1010" s="242"/>
    </row>
    <row r="1011" hidden="1">
      <c r="A1011" s="244" t="s">
        <v>5467</v>
      </c>
      <c r="B1011" s="245" t="str">
        <f>VLOOKUP(A1011,'تجربه‌گرها'!B:C,2,FALSE())</f>
        <v>9124112249</v>
      </c>
      <c r="C1011" s="242"/>
      <c r="D1011" s="242">
        <f t="shared" si="1"/>
        <v>1</v>
      </c>
      <c r="E1011" s="242">
        <f>COUNTIFS('تجربه‌گرها'!$B:$B,$A1011,'تجربه‌گرها'!$F:$F,E$1)</f>
        <v>0</v>
      </c>
      <c r="F1011" s="242">
        <f>COUNTIFS('تجربه‌گرها'!$B:$B,$A1011,'تجربه‌گرها'!$F:$F,F$1)</f>
        <v>0</v>
      </c>
      <c r="G1011" s="242">
        <f>COUNTIFS('تجربه‌گرها'!$B:$B,$A1011,'تجربه‌گرها'!$F:$F,G$1)</f>
        <v>0</v>
      </c>
      <c r="H1011" s="242">
        <f>COUNTIFS('تجربه‌گرها'!$B:$B,$A1011,'تجربه‌گرها'!$F:$F,H$1)</f>
        <v>0</v>
      </c>
      <c r="I1011" s="242">
        <f>COUNTIFS('تجربه‌گرها'!$B:$B,$A1011,'تجربه‌گرها'!$F:$F,I$1)</f>
        <v>0</v>
      </c>
      <c r="J1011" s="242">
        <f>COUNTIFS('تجربه‌گرها'!$B:$B,$A1011,'تجربه‌گرها'!$F:$F,J$1)</f>
        <v>0</v>
      </c>
      <c r="K1011" s="242">
        <f>COUNTIFS('تجربه‌گرها'!$B:$B,$A1011,'تجربه‌گرها'!$F:$F,K$1)</f>
        <v>0</v>
      </c>
      <c r="L1011" s="242">
        <f>COUNTIFS('تجربه‌گرها'!$B:$B,$A1011,'تجربه‌گرها'!$F:$F,L$1)</f>
        <v>0</v>
      </c>
      <c r="M1011" s="242">
        <f>COUNTIFS('تجربه‌گرها'!$B:$B,$A1011,'تجربه‌گرها'!$F:$F,M$1)</f>
        <v>0</v>
      </c>
      <c r="N1011" s="242">
        <f>COUNTIFS('تجربه‌گرها'!$B:$B,$A1011,'تجربه‌گرها'!$F:$F,N$1)</f>
        <v>1</v>
      </c>
      <c r="O1011" s="242">
        <f>COUNTIFS('تجربه‌گرها'!$B:$B,$A1011,'تجربه‌گرها'!$F:$F,O$1)</f>
        <v>0</v>
      </c>
      <c r="P1011" s="242">
        <f>COUNTIFS('تجربه‌گرها'!$B:$B,$A1011,'تجربه‌گرها'!$F:$F,P$1)</f>
        <v>0</v>
      </c>
      <c r="Q1011" s="242">
        <f>COUNTIFS('تجربه‌گرها'!$B:$B,$A1011,'تجربه‌گرها'!$F:$F,Q$1)</f>
        <v>0</v>
      </c>
      <c r="R1011" s="242">
        <f>COUNTIFS('تجربه‌گرها'!$B:$B,$A1011,'تجربه‌گرها'!$F:$F,R$1)</f>
        <v>0</v>
      </c>
      <c r="S1011" s="242">
        <f>COUNTIFS('تجربه‌گرها'!$B:$B,$A1011,'تجربه‌گرها'!$F:$F,S$1)</f>
        <v>0</v>
      </c>
      <c r="T1011" s="242">
        <f>COUNTIFS('تجربه‌گرها'!$B:$B,$A1011,'تجربه‌گرها'!$F:$F,T$1)</f>
        <v>0</v>
      </c>
      <c r="U1011" s="242"/>
      <c r="V1011" s="242"/>
      <c r="W1011" s="242"/>
      <c r="X1011" s="242"/>
      <c r="Y1011" s="242"/>
      <c r="Z1011" s="242"/>
      <c r="AA1011" s="242"/>
      <c r="AB1011" s="242"/>
    </row>
    <row r="1012">
      <c r="A1012" s="244" t="s">
        <v>5469</v>
      </c>
      <c r="B1012" s="245" t="str">
        <f>VLOOKUP(A1012,'تجربه‌گرها'!B:C,2,FALSE())</f>
        <v>9128993213</v>
      </c>
      <c r="C1012" s="242"/>
      <c r="D1012" s="242">
        <f t="shared" si="1"/>
        <v>3</v>
      </c>
      <c r="E1012" s="242">
        <f>COUNTIFS('تجربه‌گرها'!$B:$B,$A1012,'تجربه‌گرها'!$F:$F,E$1)</f>
        <v>0</v>
      </c>
      <c r="F1012" s="242">
        <f>COUNTIFS('تجربه‌گرها'!$B:$B,$A1012,'تجربه‌گرها'!$F:$F,F$1)</f>
        <v>0</v>
      </c>
      <c r="G1012" s="242">
        <f>COUNTIFS('تجربه‌گرها'!$B:$B,$A1012,'تجربه‌گرها'!$F:$F,G$1)</f>
        <v>0</v>
      </c>
      <c r="H1012" s="242">
        <f>COUNTIFS('تجربه‌گرها'!$B:$B,$A1012,'تجربه‌گرها'!$F:$F,H$1)</f>
        <v>0</v>
      </c>
      <c r="I1012" s="242">
        <f>COUNTIFS('تجربه‌گرها'!$B:$B,$A1012,'تجربه‌گرها'!$F:$F,I$1)</f>
        <v>0</v>
      </c>
      <c r="J1012" s="242">
        <f>COUNTIFS('تجربه‌گرها'!$B:$B,$A1012,'تجربه‌گرها'!$F:$F,J$1)</f>
        <v>0</v>
      </c>
      <c r="K1012" s="242">
        <f>COUNTIFS('تجربه‌گرها'!$B:$B,$A1012,'تجربه‌گرها'!$F:$F,K$1)</f>
        <v>0</v>
      </c>
      <c r="L1012" s="242">
        <f>COUNTIFS('تجربه‌گرها'!$B:$B,$A1012,'تجربه‌گرها'!$F:$F,L$1)</f>
        <v>0</v>
      </c>
      <c r="M1012" s="242">
        <f>COUNTIFS('تجربه‌گرها'!$B:$B,$A1012,'تجربه‌گرها'!$F:$F,M$1)</f>
        <v>0</v>
      </c>
      <c r="N1012" s="242">
        <f>COUNTIFS('تجربه‌گرها'!$B:$B,$A1012,'تجربه‌گرها'!$F:$F,N$1)</f>
        <v>1</v>
      </c>
      <c r="O1012" s="242">
        <f>COUNTIFS('تجربه‌گرها'!$B:$B,$A1012,'تجربه‌گرها'!$F:$F,O$1)</f>
        <v>0</v>
      </c>
      <c r="P1012" s="242">
        <f>COUNTIFS('تجربه‌گرها'!$B:$B,$A1012,'تجربه‌گرها'!$F:$F,P$1)</f>
        <v>1</v>
      </c>
      <c r="Q1012" s="242">
        <f>COUNTIFS('تجربه‌گرها'!$B:$B,$A1012,'تجربه‌گرها'!$F:$F,Q$1)</f>
        <v>1</v>
      </c>
      <c r="R1012" s="242">
        <f>COUNTIFS('تجربه‌گرها'!$B:$B,$A1012,'تجربه‌گرها'!$F:$F,R$1)</f>
        <v>0</v>
      </c>
      <c r="S1012" s="242">
        <f>COUNTIFS('تجربه‌گرها'!$B:$B,$A1012,'تجربه‌گرها'!$F:$F,S$1)</f>
        <v>0</v>
      </c>
      <c r="T1012" s="242">
        <f>COUNTIFS('تجربه‌گرها'!$B:$B,$A1012,'تجربه‌گرها'!$F:$F,T$1)</f>
        <v>0</v>
      </c>
      <c r="U1012" s="242"/>
      <c r="V1012" s="242"/>
      <c r="W1012" s="242"/>
      <c r="X1012" s="242"/>
      <c r="Y1012" s="242"/>
      <c r="Z1012" s="242"/>
      <c r="AA1012" s="242"/>
      <c r="AB1012" s="242"/>
    </row>
    <row r="1013">
      <c r="A1013" s="244" t="s">
        <v>5471</v>
      </c>
      <c r="B1013" s="245" t="str">
        <f>VLOOKUP(A1013,'تجربه‌گرها'!B:C,2,FALSE())</f>
        <v>989011246310</v>
      </c>
      <c r="C1013" s="242"/>
      <c r="D1013" s="242">
        <f t="shared" si="1"/>
        <v>1</v>
      </c>
      <c r="E1013" s="242">
        <f>COUNTIFS('تجربه‌گرها'!$B:$B,$A1013,'تجربه‌گرها'!$F:$F,E$1)</f>
        <v>0</v>
      </c>
      <c r="F1013" s="242">
        <f>COUNTIFS('تجربه‌گرها'!$B:$B,$A1013,'تجربه‌گرها'!$F:$F,F$1)</f>
        <v>0</v>
      </c>
      <c r="G1013" s="242">
        <f>COUNTIFS('تجربه‌گرها'!$B:$B,$A1013,'تجربه‌گرها'!$F:$F,G$1)</f>
        <v>0</v>
      </c>
      <c r="H1013" s="242">
        <f>COUNTIFS('تجربه‌گرها'!$B:$B,$A1013,'تجربه‌گرها'!$F:$F,H$1)</f>
        <v>0</v>
      </c>
      <c r="I1013" s="242">
        <f>COUNTIFS('تجربه‌گرها'!$B:$B,$A1013,'تجربه‌گرها'!$F:$F,I$1)</f>
        <v>0</v>
      </c>
      <c r="J1013" s="242">
        <f>COUNTIFS('تجربه‌گرها'!$B:$B,$A1013,'تجربه‌گرها'!$F:$F,J$1)</f>
        <v>0</v>
      </c>
      <c r="K1013" s="242">
        <f>COUNTIFS('تجربه‌گرها'!$B:$B,$A1013,'تجربه‌گرها'!$F:$F,K$1)</f>
        <v>0</v>
      </c>
      <c r="L1013" s="242">
        <f>COUNTIFS('تجربه‌گرها'!$B:$B,$A1013,'تجربه‌گرها'!$F:$F,L$1)</f>
        <v>0</v>
      </c>
      <c r="M1013" s="242">
        <f>COUNTIFS('تجربه‌گرها'!$B:$B,$A1013,'تجربه‌گرها'!$F:$F,M$1)</f>
        <v>0</v>
      </c>
      <c r="N1013" s="242">
        <f>COUNTIFS('تجربه‌گرها'!$B:$B,$A1013,'تجربه‌گرها'!$F:$F,N$1)</f>
        <v>1</v>
      </c>
      <c r="O1013" s="242">
        <f>COUNTIFS('تجربه‌گرها'!$B:$B,$A1013,'تجربه‌گرها'!$F:$F,O$1)</f>
        <v>0</v>
      </c>
      <c r="P1013" s="242">
        <f>COUNTIFS('تجربه‌گرها'!$B:$B,$A1013,'تجربه‌گرها'!$F:$F,P$1)</f>
        <v>0</v>
      </c>
      <c r="Q1013" s="242">
        <f>COUNTIFS('تجربه‌گرها'!$B:$B,$A1013,'تجربه‌گرها'!$F:$F,Q$1)</f>
        <v>0</v>
      </c>
      <c r="R1013" s="242">
        <f>COUNTIFS('تجربه‌گرها'!$B:$B,$A1013,'تجربه‌گرها'!$F:$F,R$1)</f>
        <v>0</v>
      </c>
      <c r="S1013" s="242">
        <f>COUNTIFS('تجربه‌گرها'!$B:$B,$A1013,'تجربه‌گرها'!$F:$F,S$1)</f>
        <v>0</v>
      </c>
      <c r="T1013" s="242">
        <f>COUNTIFS('تجربه‌گرها'!$B:$B,$A1013,'تجربه‌گرها'!$F:$F,T$1)</f>
        <v>0</v>
      </c>
      <c r="U1013" s="242"/>
      <c r="V1013" s="242"/>
      <c r="W1013" s="242"/>
      <c r="X1013" s="242"/>
      <c r="Y1013" s="242"/>
      <c r="Z1013" s="242"/>
      <c r="AA1013" s="242"/>
      <c r="AB1013" s="242"/>
    </row>
    <row r="1014" hidden="1">
      <c r="A1014" s="244" t="s">
        <v>5473</v>
      </c>
      <c r="B1014" s="245" t="str">
        <f>VLOOKUP(A1014,'تجربه‌گرها'!B:C,2,FALSE())</f>
        <v>989125192240</v>
      </c>
      <c r="C1014" s="242"/>
      <c r="D1014" s="242">
        <f t="shared" si="1"/>
        <v>1</v>
      </c>
      <c r="E1014" s="242">
        <f>COUNTIFS('تجربه‌گرها'!$B:$B,$A1014,'تجربه‌گرها'!$F:$F,E$1)</f>
        <v>0</v>
      </c>
      <c r="F1014" s="242">
        <f>COUNTIFS('تجربه‌گرها'!$B:$B,$A1014,'تجربه‌گرها'!$F:$F,F$1)</f>
        <v>0</v>
      </c>
      <c r="G1014" s="242">
        <f>COUNTIFS('تجربه‌گرها'!$B:$B,$A1014,'تجربه‌گرها'!$F:$F,G$1)</f>
        <v>0</v>
      </c>
      <c r="H1014" s="242">
        <f>COUNTIFS('تجربه‌گرها'!$B:$B,$A1014,'تجربه‌گرها'!$F:$F,H$1)</f>
        <v>0</v>
      </c>
      <c r="I1014" s="242">
        <f>COUNTIFS('تجربه‌گرها'!$B:$B,$A1014,'تجربه‌گرها'!$F:$F,I$1)</f>
        <v>0</v>
      </c>
      <c r="J1014" s="242">
        <f>COUNTIFS('تجربه‌گرها'!$B:$B,$A1014,'تجربه‌گرها'!$F:$F,J$1)</f>
        <v>0</v>
      </c>
      <c r="K1014" s="242">
        <f>COUNTIFS('تجربه‌گرها'!$B:$B,$A1014,'تجربه‌گرها'!$F:$F,K$1)</f>
        <v>0</v>
      </c>
      <c r="L1014" s="242">
        <f>COUNTIFS('تجربه‌گرها'!$B:$B,$A1014,'تجربه‌گرها'!$F:$F,L$1)</f>
        <v>0</v>
      </c>
      <c r="M1014" s="242">
        <f>COUNTIFS('تجربه‌گرها'!$B:$B,$A1014,'تجربه‌گرها'!$F:$F,M$1)</f>
        <v>0</v>
      </c>
      <c r="N1014" s="242">
        <f>COUNTIFS('تجربه‌گرها'!$B:$B,$A1014,'تجربه‌گرها'!$F:$F,N$1)</f>
        <v>1</v>
      </c>
      <c r="O1014" s="242">
        <f>COUNTIFS('تجربه‌گرها'!$B:$B,$A1014,'تجربه‌گرها'!$F:$F,O$1)</f>
        <v>0</v>
      </c>
      <c r="P1014" s="242">
        <f>COUNTIFS('تجربه‌گرها'!$B:$B,$A1014,'تجربه‌گرها'!$F:$F,P$1)</f>
        <v>0</v>
      </c>
      <c r="Q1014" s="242">
        <f>COUNTIFS('تجربه‌گرها'!$B:$B,$A1014,'تجربه‌گرها'!$F:$F,Q$1)</f>
        <v>0</v>
      </c>
      <c r="R1014" s="242">
        <f>COUNTIFS('تجربه‌گرها'!$B:$B,$A1014,'تجربه‌گرها'!$F:$F,R$1)</f>
        <v>0</v>
      </c>
      <c r="S1014" s="242">
        <f>COUNTIFS('تجربه‌گرها'!$B:$B,$A1014,'تجربه‌گرها'!$F:$F,S$1)</f>
        <v>0</v>
      </c>
      <c r="T1014" s="242">
        <f>COUNTIFS('تجربه‌گرها'!$B:$B,$A1014,'تجربه‌گرها'!$F:$F,T$1)</f>
        <v>0</v>
      </c>
      <c r="U1014" s="242"/>
      <c r="V1014" s="242"/>
      <c r="W1014" s="242"/>
      <c r="X1014" s="242"/>
      <c r="Y1014" s="242"/>
      <c r="Z1014" s="242"/>
      <c r="AA1014" s="242"/>
      <c r="AB1014" s="242"/>
    </row>
    <row r="1015">
      <c r="A1015" s="244" t="s">
        <v>5476</v>
      </c>
      <c r="B1015" s="245" t="str">
        <f>VLOOKUP(A1015,'تجربه‌گرها'!B:C,2,FALSE())</f>
        <v>989122361023</v>
      </c>
      <c r="C1015" s="242"/>
      <c r="D1015" s="242">
        <f t="shared" si="1"/>
        <v>2</v>
      </c>
      <c r="E1015" s="242">
        <f>COUNTIFS('تجربه‌گرها'!$B:$B,$A1015,'تجربه‌گرها'!$F:$F,E$1)</f>
        <v>0</v>
      </c>
      <c r="F1015" s="242">
        <f>COUNTIFS('تجربه‌گرها'!$B:$B,$A1015,'تجربه‌گرها'!$F:$F,F$1)</f>
        <v>0</v>
      </c>
      <c r="G1015" s="242">
        <f>COUNTIFS('تجربه‌گرها'!$B:$B,$A1015,'تجربه‌گرها'!$F:$F,G$1)</f>
        <v>0</v>
      </c>
      <c r="H1015" s="242">
        <f>COUNTIFS('تجربه‌گرها'!$B:$B,$A1015,'تجربه‌گرها'!$F:$F,H$1)</f>
        <v>0</v>
      </c>
      <c r="I1015" s="242">
        <f>COUNTIFS('تجربه‌گرها'!$B:$B,$A1015,'تجربه‌گرها'!$F:$F,I$1)</f>
        <v>0</v>
      </c>
      <c r="J1015" s="242">
        <f>COUNTIFS('تجربه‌گرها'!$B:$B,$A1015,'تجربه‌گرها'!$F:$F,J$1)</f>
        <v>0</v>
      </c>
      <c r="K1015" s="242">
        <f>COUNTIFS('تجربه‌گرها'!$B:$B,$A1015,'تجربه‌گرها'!$F:$F,K$1)</f>
        <v>0</v>
      </c>
      <c r="L1015" s="242">
        <f>COUNTIFS('تجربه‌گرها'!$B:$B,$A1015,'تجربه‌گرها'!$F:$F,L$1)</f>
        <v>0</v>
      </c>
      <c r="M1015" s="242">
        <f>COUNTIFS('تجربه‌گرها'!$B:$B,$A1015,'تجربه‌گرها'!$F:$F,M$1)</f>
        <v>0</v>
      </c>
      <c r="N1015" s="242">
        <f>COUNTIFS('تجربه‌گرها'!$B:$B,$A1015,'تجربه‌گرها'!$F:$F,N$1)</f>
        <v>1</v>
      </c>
      <c r="O1015" s="242">
        <f>COUNTIFS('تجربه‌گرها'!$B:$B,$A1015,'تجربه‌گرها'!$F:$F,O$1)</f>
        <v>0</v>
      </c>
      <c r="P1015" s="242">
        <f>COUNTIFS('تجربه‌گرها'!$B:$B,$A1015,'تجربه‌گرها'!$F:$F,P$1)</f>
        <v>1</v>
      </c>
      <c r="Q1015" s="242">
        <f>COUNTIFS('تجربه‌گرها'!$B:$B,$A1015,'تجربه‌گرها'!$F:$F,Q$1)</f>
        <v>0</v>
      </c>
      <c r="R1015" s="242">
        <f>COUNTIFS('تجربه‌گرها'!$B:$B,$A1015,'تجربه‌گرها'!$F:$F,R$1)</f>
        <v>0</v>
      </c>
      <c r="S1015" s="242">
        <f>COUNTIFS('تجربه‌گرها'!$B:$B,$A1015,'تجربه‌گرها'!$F:$F,S$1)</f>
        <v>0</v>
      </c>
      <c r="T1015" s="242">
        <f>COUNTIFS('تجربه‌گرها'!$B:$B,$A1015,'تجربه‌گرها'!$F:$F,T$1)</f>
        <v>0</v>
      </c>
      <c r="U1015" s="242"/>
      <c r="V1015" s="242"/>
      <c r="W1015" s="242"/>
      <c r="X1015" s="242"/>
      <c r="Y1015" s="242"/>
      <c r="Z1015" s="242"/>
      <c r="AA1015" s="242"/>
      <c r="AB1015" s="242"/>
    </row>
    <row r="1016" hidden="1">
      <c r="A1016" s="244" t="s">
        <v>5479</v>
      </c>
      <c r="B1016" s="245" t="str">
        <f>VLOOKUP(A1016,'تجربه‌گرها'!B:C,2,FALSE())</f>
        <v>989125940449</v>
      </c>
      <c r="C1016" s="242"/>
      <c r="D1016" s="242">
        <f t="shared" si="1"/>
        <v>1</v>
      </c>
      <c r="E1016" s="242">
        <f>COUNTIFS('تجربه‌گرها'!$B:$B,$A1016,'تجربه‌گرها'!$F:$F,E$1)</f>
        <v>0</v>
      </c>
      <c r="F1016" s="242">
        <f>COUNTIFS('تجربه‌گرها'!$B:$B,$A1016,'تجربه‌گرها'!$F:$F,F$1)</f>
        <v>0</v>
      </c>
      <c r="G1016" s="242">
        <f>COUNTIFS('تجربه‌گرها'!$B:$B,$A1016,'تجربه‌گرها'!$F:$F,G$1)</f>
        <v>0</v>
      </c>
      <c r="H1016" s="242">
        <f>COUNTIFS('تجربه‌گرها'!$B:$B,$A1016,'تجربه‌گرها'!$F:$F,H$1)</f>
        <v>0</v>
      </c>
      <c r="I1016" s="242">
        <f>COUNTIFS('تجربه‌گرها'!$B:$B,$A1016,'تجربه‌گرها'!$F:$F,I$1)</f>
        <v>0</v>
      </c>
      <c r="J1016" s="242">
        <f>COUNTIFS('تجربه‌گرها'!$B:$B,$A1016,'تجربه‌گرها'!$F:$F,J$1)</f>
        <v>0</v>
      </c>
      <c r="K1016" s="242">
        <f>COUNTIFS('تجربه‌گرها'!$B:$B,$A1016,'تجربه‌گرها'!$F:$F,K$1)</f>
        <v>0</v>
      </c>
      <c r="L1016" s="242">
        <f>COUNTIFS('تجربه‌گرها'!$B:$B,$A1016,'تجربه‌گرها'!$F:$F,L$1)</f>
        <v>0</v>
      </c>
      <c r="M1016" s="242">
        <f>COUNTIFS('تجربه‌گرها'!$B:$B,$A1016,'تجربه‌گرها'!$F:$F,M$1)</f>
        <v>0</v>
      </c>
      <c r="N1016" s="242">
        <f>COUNTIFS('تجربه‌گرها'!$B:$B,$A1016,'تجربه‌گرها'!$F:$F,N$1)</f>
        <v>1</v>
      </c>
      <c r="O1016" s="242">
        <f>COUNTIFS('تجربه‌گرها'!$B:$B,$A1016,'تجربه‌گرها'!$F:$F,O$1)</f>
        <v>0</v>
      </c>
      <c r="P1016" s="242">
        <f>COUNTIFS('تجربه‌گرها'!$B:$B,$A1016,'تجربه‌گرها'!$F:$F,P$1)</f>
        <v>0</v>
      </c>
      <c r="Q1016" s="242">
        <f>COUNTIFS('تجربه‌گرها'!$B:$B,$A1016,'تجربه‌گرها'!$F:$F,Q$1)</f>
        <v>0</v>
      </c>
      <c r="R1016" s="242">
        <f>COUNTIFS('تجربه‌گرها'!$B:$B,$A1016,'تجربه‌گرها'!$F:$F,R$1)</f>
        <v>0</v>
      </c>
      <c r="S1016" s="242">
        <f>COUNTIFS('تجربه‌گرها'!$B:$B,$A1016,'تجربه‌گرها'!$F:$F,S$1)</f>
        <v>0</v>
      </c>
      <c r="T1016" s="242">
        <f>COUNTIFS('تجربه‌گرها'!$B:$B,$A1016,'تجربه‌گرها'!$F:$F,T$1)</f>
        <v>0</v>
      </c>
      <c r="U1016" s="242"/>
      <c r="V1016" s="242"/>
      <c r="W1016" s="242"/>
      <c r="X1016" s="242"/>
      <c r="Y1016" s="242"/>
      <c r="Z1016" s="242"/>
      <c r="AA1016" s="242"/>
      <c r="AB1016" s="242"/>
    </row>
    <row r="1017" hidden="1">
      <c r="A1017" s="244" t="s">
        <v>5484</v>
      </c>
      <c r="B1017" s="245" t="str">
        <f>VLOOKUP(A1017,'تجربه‌گرها'!B:C,2,FALSE())</f>
        <v>9126013572</v>
      </c>
      <c r="C1017" s="242"/>
      <c r="D1017" s="242">
        <f t="shared" si="1"/>
        <v>1</v>
      </c>
      <c r="E1017" s="242">
        <f>COUNTIFS('تجربه‌گرها'!$B:$B,$A1017,'تجربه‌گرها'!$F:$F,E$1)</f>
        <v>0</v>
      </c>
      <c r="F1017" s="242">
        <f>COUNTIFS('تجربه‌گرها'!$B:$B,$A1017,'تجربه‌گرها'!$F:$F,F$1)</f>
        <v>0</v>
      </c>
      <c r="G1017" s="242">
        <f>COUNTIFS('تجربه‌گرها'!$B:$B,$A1017,'تجربه‌گرها'!$F:$F,G$1)</f>
        <v>0</v>
      </c>
      <c r="H1017" s="242">
        <f>COUNTIFS('تجربه‌گرها'!$B:$B,$A1017,'تجربه‌گرها'!$F:$F,H$1)</f>
        <v>0</v>
      </c>
      <c r="I1017" s="242">
        <f>COUNTIFS('تجربه‌گرها'!$B:$B,$A1017,'تجربه‌گرها'!$F:$F,I$1)</f>
        <v>0</v>
      </c>
      <c r="J1017" s="242">
        <f>COUNTIFS('تجربه‌گرها'!$B:$B,$A1017,'تجربه‌گرها'!$F:$F,J$1)</f>
        <v>0</v>
      </c>
      <c r="K1017" s="242">
        <f>COUNTIFS('تجربه‌گرها'!$B:$B,$A1017,'تجربه‌گرها'!$F:$F,K$1)</f>
        <v>0</v>
      </c>
      <c r="L1017" s="242">
        <f>COUNTIFS('تجربه‌گرها'!$B:$B,$A1017,'تجربه‌گرها'!$F:$F,L$1)</f>
        <v>0</v>
      </c>
      <c r="M1017" s="242">
        <f>COUNTIFS('تجربه‌گرها'!$B:$B,$A1017,'تجربه‌گرها'!$F:$F,M$1)</f>
        <v>0</v>
      </c>
      <c r="N1017" s="242">
        <f>COUNTIFS('تجربه‌گرها'!$B:$B,$A1017,'تجربه‌گرها'!$F:$F,N$1)</f>
        <v>1</v>
      </c>
      <c r="O1017" s="242">
        <f>COUNTIFS('تجربه‌گرها'!$B:$B,$A1017,'تجربه‌گرها'!$F:$F,O$1)</f>
        <v>0</v>
      </c>
      <c r="P1017" s="242">
        <f>COUNTIFS('تجربه‌گرها'!$B:$B,$A1017,'تجربه‌گرها'!$F:$F,P$1)</f>
        <v>0</v>
      </c>
      <c r="Q1017" s="242">
        <f>COUNTIFS('تجربه‌گرها'!$B:$B,$A1017,'تجربه‌گرها'!$F:$F,Q$1)</f>
        <v>0</v>
      </c>
      <c r="R1017" s="242">
        <f>COUNTIFS('تجربه‌گرها'!$B:$B,$A1017,'تجربه‌گرها'!$F:$F,R$1)</f>
        <v>0</v>
      </c>
      <c r="S1017" s="242">
        <f>COUNTIFS('تجربه‌گرها'!$B:$B,$A1017,'تجربه‌گرها'!$F:$F,S$1)</f>
        <v>0</v>
      </c>
      <c r="T1017" s="242">
        <f>COUNTIFS('تجربه‌گرها'!$B:$B,$A1017,'تجربه‌گرها'!$F:$F,T$1)</f>
        <v>0</v>
      </c>
      <c r="U1017" s="242"/>
      <c r="V1017" s="242"/>
      <c r="W1017" s="242"/>
      <c r="X1017" s="242"/>
      <c r="Y1017" s="242"/>
      <c r="Z1017" s="242"/>
      <c r="AA1017" s="242"/>
      <c r="AB1017" s="242"/>
    </row>
    <row r="1018" hidden="1">
      <c r="A1018" s="244" t="s">
        <v>5486</v>
      </c>
      <c r="B1018" s="245" t="str">
        <f>VLOOKUP(A1018,'تجربه‌گرها'!B:C,2,FALSE())</f>
        <v>989105813634</v>
      </c>
      <c r="C1018" s="242"/>
      <c r="D1018" s="242">
        <f t="shared" si="1"/>
        <v>1</v>
      </c>
      <c r="E1018" s="242">
        <f>COUNTIFS('تجربه‌گرها'!$B:$B,$A1018,'تجربه‌گرها'!$F:$F,E$1)</f>
        <v>0</v>
      </c>
      <c r="F1018" s="242">
        <f>COUNTIFS('تجربه‌گرها'!$B:$B,$A1018,'تجربه‌گرها'!$F:$F,F$1)</f>
        <v>0</v>
      </c>
      <c r="G1018" s="242">
        <f>COUNTIFS('تجربه‌گرها'!$B:$B,$A1018,'تجربه‌گرها'!$F:$F,G$1)</f>
        <v>0</v>
      </c>
      <c r="H1018" s="242">
        <f>COUNTIFS('تجربه‌گرها'!$B:$B,$A1018,'تجربه‌گرها'!$F:$F,H$1)</f>
        <v>0</v>
      </c>
      <c r="I1018" s="242">
        <f>COUNTIFS('تجربه‌گرها'!$B:$B,$A1018,'تجربه‌گرها'!$F:$F,I$1)</f>
        <v>0</v>
      </c>
      <c r="J1018" s="242">
        <f>COUNTIFS('تجربه‌گرها'!$B:$B,$A1018,'تجربه‌گرها'!$F:$F,J$1)</f>
        <v>0</v>
      </c>
      <c r="K1018" s="242">
        <f>COUNTIFS('تجربه‌گرها'!$B:$B,$A1018,'تجربه‌گرها'!$F:$F,K$1)</f>
        <v>0</v>
      </c>
      <c r="L1018" s="242">
        <f>COUNTIFS('تجربه‌گرها'!$B:$B,$A1018,'تجربه‌گرها'!$F:$F,L$1)</f>
        <v>0</v>
      </c>
      <c r="M1018" s="242">
        <f>COUNTIFS('تجربه‌گرها'!$B:$B,$A1018,'تجربه‌گرها'!$F:$F,M$1)</f>
        <v>0</v>
      </c>
      <c r="N1018" s="242">
        <f>COUNTIFS('تجربه‌گرها'!$B:$B,$A1018,'تجربه‌گرها'!$F:$F,N$1)</f>
        <v>1</v>
      </c>
      <c r="O1018" s="242">
        <f>COUNTIFS('تجربه‌گرها'!$B:$B,$A1018,'تجربه‌گرها'!$F:$F,O$1)</f>
        <v>0</v>
      </c>
      <c r="P1018" s="242">
        <f>COUNTIFS('تجربه‌گرها'!$B:$B,$A1018,'تجربه‌گرها'!$F:$F,P$1)</f>
        <v>0</v>
      </c>
      <c r="Q1018" s="242">
        <f>COUNTIFS('تجربه‌گرها'!$B:$B,$A1018,'تجربه‌گرها'!$F:$F,Q$1)</f>
        <v>0</v>
      </c>
      <c r="R1018" s="242">
        <f>COUNTIFS('تجربه‌گرها'!$B:$B,$A1018,'تجربه‌گرها'!$F:$F,R$1)</f>
        <v>0</v>
      </c>
      <c r="S1018" s="242">
        <f>COUNTIFS('تجربه‌گرها'!$B:$B,$A1018,'تجربه‌گرها'!$F:$F,S$1)</f>
        <v>0</v>
      </c>
      <c r="T1018" s="242">
        <f>COUNTIFS('تجربه‌گرها'!$B:$B,$A1018,'تجربه‌گرها'!$F:$F,T$1)</f>
        <v>0</v>
      </c>
      <c r="U1018" s="242"/>
      <c r="V1018" s="242"/>
      <c r="W1018" s="242"/>
      <c r="X1018" s="242"/>
      <c r="Y1018" s="242"/>
      <c r="Z1018" s="242"/>
      <c r="AA1018" s="242"/>
      <c r="AB1018" s="242"/>
    </row>
    <row r="1019" hidden="1">
      <c r="A1019" s="244" t="s">
        <v>5489</v>
      </c>
      <c r="B1019" s="245" t="str">
        <f>VLOOKUP(A1019,'تجربه‌گرها'!B:C,2,FALSE())</f>
        <v>989375075610</v>
      </c>
      <c r="C1019" s="242"/>
      <c r="D1019" s="242">
        <f t="shared" si="1"/>
        <v>1</v>
      </c>
      <c r="E1019" s="242">
        <f>COUNTIFS('تجربه‌گرها'!$B:$B,$A1019,'تجربه‌گرها'!$F:$F,E$1)</f>
        <v>0</v>
      </c>
      <c r="F1019" s="242">
        <f>COUNTIFS('تجربه‌گرها'!$B:$B,$A1019,'تجربه‌گرها'!$F:$F,F$1)</f>
        <v>0</v>
      </c>
      <c r="G1019" s="242">
        <f>COUNTIFS('تجربه‌گرها'!$B:$B,$A1019,'تجربه‌گرها'!$F:$F,G$1)</f>
        <v>0</v>
      </c>
      <c r="H1019" s="242">
        <f>COUNTIFS('تجربه‌گرها'!$B:$B,$A1019,'تجربه‌گرها'!$F:$F,H$1)</f>
        <v>0</v>
      </c>
      <c r="I1019" s="242">
        <f>COUNTIFS('تجربه‌گرها'!$B:$B,$A1019,'تجربه‌گرها'!$F:$F,I$1)</f>
        <v>0</v>
      </c>
      <c r="J1019" s="242">
        <f>COUNTIFS('تجربه‌گرها'!$B:$B,$A1019,'تجربه‌گرها'!$F:$F,J$1)</f>
        <v>0</v>
      </c>
      <c r="K1019" s="242">
        <f>COUNTIFS('تجربه‌گرها'!$B:$B,$A1019,'تجربه‌گرها'!$F:$F,K$1)</f>
        <v>0</v>
      </c>
      <c r="L1019" s="242">
        <f>COUNTIFS('تجربه‌گرها'!$B:$B,$A1019,'تجربه‌گرها'!$F:$F,L$1)</f>
        <v>0</v>
      </c>
      <c r="M1019" s="242">
        <f>COUNTIFS('تجربه‌گرها'!$B:$B,$A1019,'تجربه‌گرها'!$F:$F,M$1)</f>
        <v>0</v>
      </c>
      <c r="N1019" s="242">
        <f>COUNTIFS('تجربه‌گرها'!$B:$B,$A1019,'تجربه‌گرها'!$F:$F,N$1)</f>
        <v>1</v>
      </c>
      <c r="O1019" s="242">
        <f>COUNTIFS('تجربه‌گرها'!$B:$B,$A1019,'تجربه‌گرها'!$F:$F,O$1)</f>
        <v>0</v>
      </c>
      <c r="P1019" s="242">
        <f>COUNTIFS('تجربه‌گرها'!$B:$B,$A1019,'تجربه‌گرها'!$F:$F,P$1)</f>
        <v>0</v>
      </c>
      <c r="Q1019" s="242">
        <f>COUNTIFS('تجربه‌گرها'!$B:$B,$A1019,'تجربه‌گرها'!$F:$F,Q$1)</f>
        <v>0</v>
      </c>
      <c r="R1019" s="242">
        <f>COUNTIFS('تجربه‌گرها'!$B:$B,$A1019,'تجربه‌گرها'!$F:$F,R$1)</f>
        <v>0</v>
      </c>
      <c r="S1019" s="242">
        <f>COUNTIFS('تجربه‌گرها'!$B:$B,$A1019,'تجربه‌گرها'!$F:$F,S$1)</f>
        <v>0</v>
      </c>
      <c r="T1019" s="242">
        <f>COUNTIFS('تجربه‌گرها'!$B:$B,$A1019,'تجربه‌گرها'!$F:$F,T$1)</f>
        <v>0</v>
      </c>
      <c r="U1019" s="242"/>
      <c r="V1019" s="242"/>
      <c r="W1019" s="242"/>
      <c r="X1019" s="242"/>
      <c r="Y1019" s="242"/>
      <c r="Z1019" s="242"/>
      <c r="AA1019" s="242"/>
      <c r="AB1019" s="242"/>
    </row>
    <row r="1020">
      <c r="A1020" s="244" t="s">
        <v>5492</v>
      </c>
      <c r="B1020" s="245" t="str">
        <f>VLOOKUP(A1020,'تجربه‌گرها'!B:C,2,FALSE())</f>
        <v>9357617303</v>
      </c>
      <c r="C1020" s="242"/>
      <c r="D1020" s="242">
        <f t="shared" si="1"/>
        <v>1</v>
      </c>
      <c r="E1020" s="242">
        <f>COUNTIFS('تجربه‌گرها'!$B:$B,$A1020,'تجربه‌گرها'!$F:$F,E$1)</f>
        <v>0</v>
      </c>
      <c r="F1020" s="242">
        <f>COUNTIFS('تجربه‌گرها'!$B:$B,$A1020,'تجربه‌گرها'!$F:$F,F$1)</f>
        <v>0</v>
      </c>
      <c r="G1020" s="242">
        <f>COUNTIFS('تجربه‌گرها'!$B:$B,$A1020,'تجربه‌گرها'!$F:$F,G$1)</f>
        <v>0</v>
      </c>
      <c r="H1020" s="242">
        <f>COUNTIFS('تجربه‌گرها'!$B:$B,$A1020,'تجربه‌گرها'!$F:$F,H$1)</f>
        <v>0</v>
      </c>
      <c r="I1020" s="242">
        <f>COUNTIFS('تجربه‌گرها'!$B:$B,$A1020,'تجربه‌گرها'!$F:$F,I$1)</f>
        <v>0</v>
      </c>
      <c r="J1020" s="242">
        <f>COUNTIFS('تجربه‌گرها'!$B:$B,$A1020,'تجربه‌گرها'!$F:$F,J$1)</f>
        <v>0</v>
      </c>
      <c r="K1020" s="242">
        <f>COUNTIFS('تجربه‌گرها'!$B:$B,$A1020,'تجربه‌گرها'!$F:$F,K$1)</f>
        <v>0</v>
      </c>
      <c r="L1020" s="242">
        <f>COUNTIFS('تجربه‌گرها'!$B:$B,$A1020,'تجربه‌گرها'!$F:$F,L$1)</f>
        <v>0</v>
      </c>
      <c r="M1020" s="242">
        <f>COUNTIFS('تجربه‌گرها'!$B:$B,$A1020,'تجربه‌گرها'!$F:$F,M$1)</f>
        <v>0</v>
      </c>
      <c r="N1020" s="242">
        <f>COUNTIFS('تجربه‌گرها'!$B:$B,$A1020,'تجربه‌گرها'!$F:$F,N$1)</f>
        <v>1</v>
      </c>
      <c r="O1020" s="242">
        <f>COUNTIFS('تجربه‌گرها'!$B:$B,$A1020,'تجربه‌گرها'!$F:$F,O$1)</f>
        <v>0</v>
      </c>
      <c r="P1020" s="242">
        <f>COUNTIFS('تجربه‌گرها'!$B:$B,$A1020,'تجربه‌گرها'!$F:$F,P$1)</f>
        <v>0</v>
      </c>
      <c r="Q1020" s="242">
        <f>COUNTIFS('تجربه‌گرها'!$B:$B,$A1020,'تجربه‌گرها'!$F:$F,Q$1)</f>
        <v>0</v>
      </c>
      <c r="R1020" s="242">
        <f>COUNTIFS('تجربه‌گرها'!$B:$B,$A1020,'تجربه‌گرها'!$F:$F,R$1)</f>
        <v>0</v>
      </c>
      <c r="S1020" s="242">
        <f>COUNTIFS('تجربه‌گرها'!$B:$B,$A1020,'تجربه‌گرها'!$F:$F,S$1)</f>
        <v>0</v>
      </c>
      <c r="T1020" s="242">
        <f>COUNTIFS('تجربه‌گرها'!$B:$B,$A1020,'تجربه‌گرها'!$F:$F,T$1)</f>
        <v>0</v>
      </c>
      <c r="U1020" s="242"/>
      <c r="V1020" s="242"/>
      <c r="W1020" s="242"/>
      <c r="X1020" s="242"/>
      <c r="Y1020" s="242"/>
      <c r="Z1020" s="242"/>
      <c r="AA1020" s="242"/>
      <c r="AB1020" s="242"/>
    </row>
    <row r="1021" hidden="1">
      <c r="A1021" s="244" t="s">
        <v>5495</v>
      </c>
      <c r="B1021" s="245" t="str">
        <f>VLOOKUP(A1021,'تجربه‌گرها'!B:C,2,FALSE())</f>
        <v>989960085776</v>
      </c>
      <c r="C1021" s="242"/>
      <c r="D1021" s="242">
        <f t="shared" si="1"/>
        <v>1</v>
      </c>
      <c r="E1021" s="242">
        <f>COUNTIFS('تجربه‌گرها'!$B:$B,$A1021,'تجربه‌گرها'!$F:$F,E$1)</f>
        <v>0</v>
      </c>
      <c r="F1021" s="242">
        <f>COUNTIFS('تجربه‌گرها'!$B:$B,$A1021,'تجربه‌گرها'!$F:$F,F$1)</f>
        <v>0</v>
      </c>
      <c r="G1021" s="242">
        <f>COUNTIFS('تجربه‌گرها'!$B:$B,$A1021,'تجربه‌گرها'!$F:$F,G$1)</f>
        <v>0</v>
      </c>
      <c r="H1021" s="242">
        <f>COUNTIFS('تجربه‌گرها'!$B:$B,$A1021,'تجربه‌گرها'!$F:$F,H$1)</f>
        <v>0</v>
      </c>
      <c r="I1021" s="242">
        <f>COUNTIFS('تجربه‌گرها'!$B:$B,$A1021,'تجربه‌گرها'!$F:$F,I$1)</f>
        <v>0</v>
      </c>
      <c r="J1021" s="242">
        <f>COUNTIFS('تجربه‌گرها'!$B:$B,$A1021,'تجربه‌گرها'!$F:$F,J$1)</f>
        <v>0</v>
      </c>
      <c r="K1021" s="242">
        <f>COUNTIFS('تجربه‌گرها'!$B:$B,$A1021,'تجربه‌گرها'!$F:$F,K$1)</f>
        <v>0</v>
      </c>
      <c r="L1021" s="242">
        <f>COUNTIFS('تجربه‌گرها'!$B:$B,$A1021,'تجربه‌گرها'!$F:$F,L$1)</f>
        <v>0</v>
      </c>
      <c r="M1021" s="242">
        <f>COUNTIFS('تجربه‌گرها'!$B:$B,$A1021,'تجربه‌گرها'!$F:$F,M$1)</f>
        <v>0</v>
      </c>
      <c r="N1021" s="242">
        <f>COUNTIFS('تجربه‌گرها'!$B:$B,$A1021,'تجربه‌گرها'!$F:$F,N$1)</f>
        <v>1</v>
      </c>
      <c r="O1021" s="242">
        <f>COUNTIFS('تجربه‌گرها'!$B:$B,$A1021,'تجربه‌گرها'!$F:$F,O$1)</f>
        <v>0</v>
      </c>
      <c r="P1021" s="242">
        <f>COUNTIFS('تجربه‌گرها'!$B:$B,$A1021,'تجربه‌گرها'!$F:$F,P$1)</f>
        <v>0</v>
      </c>
      <c r="Q1021" s="242">
        <f>COUNTIFS('تجربه‌گرها'!$B:$B,$A1021,'تجربه‌گرها'!$F:$F,Q$1)</f>
        <v>0</v>
      </c>
      <c r="R1021" s="242">
        <f>COUNTIFS('تجربه‌گرها'!$B:$B,$A1021,'تجربه‌گرها'!$F:$F,R$1)</f>
        <v>0</v>
      </c>
      <c r="S1021" s="242">
        <f>COUNTIFS('تجربه‌گرها'!$B:$B,$A1021,'تجربه‌گرها'!$F:$F,S$1)</f>
        <v>0</v>
      </c>
      <c r="T1021" s="242">
        <f>COUNTIFS('تجربه‌گرها'!$B:$B,$A1021,'تجربه‌گرها'!$F:$F,T$1)</f>
        <v>0</v>
      </c>
      <c r="U1021" s="242"/>
      <c r="V1021" s="242"/>
      <c r="W1021" s="242"/>
      <c r="X1021" s="242"/>
      <c r="Y1021" s="242"/>
      <c r="Z1021" s="242"/>
      <c r="AA1021" s="242"/>
      <c r="AB1021" s="242"/>
    </row>
    <row r="1022" hidden="1">
      <c r="A1022" s="244" t="s">
        <v>5498</v>
      </c>
      <c r="B1022" s="245" t="str">
        <f>VLOOKUP(A1022,'تجربه‌گرها'!B:C,2,FALSE())</f>
        <v>09148672399</v>
      </c>
      <c r="C1022" s="242"/>
      <c r="D1022" s="242">
        <f t="shared" si="1"/>
        <v>1</v>
      </c>
      <c r="E1022" s="242">
        <f>COUNTIFS('تجربه‌گرها'!$B:$B,$A1022,'تجربه‌گرها'!$F:$F,E$1)</f>
        <v>0</v>
      </c>
      <c r="F1022" s="242">
        <f>COUNTIFS('تجربه‌گرها'!$B:$B,$A1022,'تجربه‌گرها'!$F:$F,F$1)</f>
        <v>0</v>
      </c>
      <c r="G1022" s="242">
        <f>COUNTIFS('تجربه‌گرها'!$B:$B,$A1022,'تجربه‌گرها'!$F:$F,G$1)</f>
        <v>0</v>
      </c>
      <c r="H1022" s="242">
        <f>COUNTIFS('تجربه‌گرها'!$B:$B,$A1022,'تجربه‌گرها'!$F:$F,H$1)</f>
        <v>0</v>
      </c>
      <c r="I1022" s="242">
        <f>COUNTIFS('تجربه‌گرها'!$B:$B,$A1022,'تجربه‌گرها'!$F:$F,I$1)</f>
        <v>0</v>
      </c>
      <c r="J1022" s="242">
        <f>COUNTIFS('تجربه‌گرها'!$B:$B,$A1022,'تجربه‌گرها'!$F:$F,J$1)</f>
        <v>0</v>
      </c>
      <c r="K1022" s="242">
        <f>COUNTIFS('تجربه‌گرها'!$B:$B,$A1022,'تجربه‌گرها'!$F:$F,K$1)</f>
        <v>0</v>
      </c>
      <c r="L1022" s="242">
        <f>COUNTIFS('تجربه‌گرها'!$B:$B,$A1022,'تجربه‌گرها'!$F:$F,L$1)</f>
        <v>0</v>
      </c>
      <c r="M1022" s="242">
        <f>COUNTIFS('تجربه‌گرها'!$B:$B,$A1022,'تجربه‌گرها'!$F:$F,M$1)</f>
        <v>0</v>
      </c>
      <c r="N1022" s="242">
        <f>COUNTIFS('تجربه‌گرها'!$B:$B,$A1022,'تجربه‌گرها'!$F:$F,N$1)</f>
        <v>1</v>
      </c>
      <c r="O1022" s="242">
        <f>COUNTIFS('تجربه‌گرها'!$B:$B,$A1022,'تجربه‌گرها'!$F:$F,O$1)</f>
        <v>0</v>
      </c>
      <c r="P1022" s="242">
        <f>COUNTIFS('تجربه‌گرها'!$B:$B,$A1022,'تجربه‌گرها'!$F:$F,P$1)</f>
        <v>0</v>
      </c>
      <c r="Q1022" s="242">
        <f>COUNTIFS('تجربه‌گرها'!$B:$B,$A1022,'تجربه‌گرها'!$F:$F,Q$1)</f>
        <v>0</v>
      </c>
      <c r="R1022" s="242">
        <f>COUNTIFS('تجربه‌گرها'!$B:$B,$A1022,'تجربه‌گرها'!$F:$F,R$1)</f>
        <v>0</v>
      </c>
      <c r="S1022" s="242">
        <f>COUNTIFS('تجربه‌گرها'!$B:$B,$A1022,'تجربه‌گرها'!$F:$F,S$1)</f>
        <v>0</v>
      </c>
      <c r="T1022" s="242">
        <f>COUNTIFS('تجربه‌گرها'!$B:$B,$A1022,'تجربه‌گرها'!$F:$F,T$1)</f>
        <v>0</v>
      </c>
      <c r="U1022" s="242"/>
      <c r="V1022" s="242"/>
      <c r="W1022" s="242"/>
      <c r="X1022" s="242"/>
      <c r="Y1022" s="242"/>
      <c r="Z1022" s="242"/>
      <c r="AA1022" s="242"/>
      <c r="AB1022" s="242"/>
    </row>
    <row r="1023">
      <c r="A1023" s="244" t="s">
        <v>5501</v>
      </c>
      <c r="B1023" s="245" t="str">
        <f>VLOOKUP(A1023,'تجربه‌گرها'!B:C,2,FALSE())</f>
        <v>989129545399</v>
      </c>
      <c r="C1023" s="242"/>
      <c r="D1023" s="242">
        <f t="shared" si="1"/>
        <v>1</v>
      </c>
      <c r="E1023" s="242">
        <f>COUNTIFS('تجربه‌گرها'!$B:$B,$A1023,'تجربه‌گرها'!$F:$F,E$1)</f>
        <v>0</v>
      </c>
      <c r="F1023" s="242">
        <f>COUNTIFS('تجربه‌گرها'!$B:$B,$A1023,'تجربه‌گرها'!$F:$F,F$1)</f>
        <v>0</v>
      </c>
      <c r="G1023" s="242">
        <f>COUNTIFS('تجربه‌گرها'!$B:$B,$A1023,'تجربه‌گرها'!$F:$F,G$1)</f>
        <v>0</v>
      </c>
      <c r="H1023" s="242">
        <f>COUNTIFS('تجربه‌گرها'!$B:$B,$A1023,'تجربه‌گرها'!$F:$F,H$1)</f>
        <v>0</v>
      </c>
      <c r="I1023" s="242">
        <f>COUNTIFS('تجربه‌گرها'!$B:$B,$A1023,'تجربه‌گرها'!$F:$F,I$1)</f>
        <v>0</v>
      </c>
      <c r="J1023" s="242">
        <f>COUNTIFS('تجربه‌گرها'!$B:$B,$A1023,'تجربه‌گرها'!$F:$F,J$1)</f>
        <v>0</v>
      </c>
      <c r="K1023" s="242">
        <f>COUNTIFS('تجربه‌گرها'!$B:$B,$A1023,'تجربه‌گرها'!$F:$F,K$1)</f>
        <v>0</v>
      </c>
      <c r="L1023" s="242">
        <f>COUNTIFS('تجربه‌گرها'!$B:$B,$A1023,'تجربه‌گرها'!$F:$F,L$1)</f>
        <v>0</v>
      </c>
      <c r="M1023" s="242">
        <f>COUNTIFS('تجربه‌گرها'!$B:$B,$A1023,'تجربه‌گرها'!$F:$F,M$1)</f>
        <v>0</v>
      </c>
      <c r="N1023" s="242">
        <f>COUNTIFS('تجربه‌گرها'!$B:$B,$A1023,'تجربه‌گرها'!$F:$F,N$1)</f>
        <v>1</v>
      </c>
      <c r="O1023" s="242">
        <f>COUNTIFS('تجربه‌گرها'!$B:$B,$A1023,'تجربه‌گرها'!$F:$F,O$1)</f>
        <v>0</v>
      </c>
      <c r="P1023" s="242">
        <f>COUNTIFS('تجربه‌گرها'!$B:$B,$A1023,'تجربه‌گرها'!$F:$F,P$1)</f>
        <v>0</v>
      </c>
      <c r="Q1023" s="242">
        <f>COUNTIFS('تجربه‌گرها'!$B:$B,$A1023,'تجربه‌گرها'!$F:$F,Q$1)</f>
        <v>0</v>
      </c>
      <c r="R1023" s="242">
        <f>COUNTIFS('تجربه‌گرها'!$B:$B,$A1023,'تجربه‌گرها'!$F:$F,R$1)</f>
        <v>0</v>
      </c>
      <c r="S1023" s="242">
        <f>COUNTIFS('تجربه‌گرها'!$B:$B,$A1023,'تجربه‌گرها'!$F:$F,S$1)</f>
        <v>0</v>
      </c>
      <c r="T1023" s="242">
        <f>COUNTIFS('تجربه‌گرها'!$B:$B,$A1023,'تجربه‌گرها'!$F:$F,T$1)</f>
        <v>0</v>
      </c>
      <c r="U1023" s="242"/>
      <c r="V1023" s="242"/>
      <c r="W1023" s="242"/>
      <c r="X1023" s="242"/>
      <c r="Y1023" s="242"/>
      <c r="Z1023" s="242"/>
      <c r="AA1023" s="242"/>
      <c r="AB1023" s="242"/>
    </row>
    <row r="1024" hidden="1">
      <c r="A1024" s="244" t="s">
        <v>5505</v>
      </c>
      <c r="B1024" s="245" t="str">
        <f>VLOOKUP(A1024,'تجربه‌گرها'!B:C,2,FALSE())</f>
        <v>989933240568</v>
      </c>
      <c r="C1024" s="242"/>
      <c r="D1024" s="242">
        <f t="shared" si="1"/>
        <v>1</v>
      </c>
      <c r="E1024" s="242">
        <f>COUNTIFS('تجربه‌گرها'!$B:$B,$A1024,'تجربه‌گرها'!$F:$F,E$1)</f>
        <v>0</v>
      </c>
      <c r="F1024" s="242">
        <f>COUNTIFS('تجربه‌گرها'!$B:$B,$A1024,'تجربه‌گرها'!$F:$F,F$1)</f>
        <v>0</v>
      </c>
      <c r="G1024" s="242">
        <f>COUNTIFS('تجربه‌گرها'!$B:$B,$A1024,'تجربه‌گرها'!$F:$F,G$1)</f>
        <v>0</v>
      </c>
      <c r="H1024" s="242">
        <f>COUNTIFS('تجربه‌گرها'!$B:$B,$A1024,'تجربه‌گرها'!$F:$F,H$1)</f>
        <v>0</v>
      </c>
      <c r="I1024" s="242">
        <f>COUNTIFS('تجربه‌گرها'!$B:$B,$A1024,'تجربه‌گرها'!$F:$F,I$1)</f>
        <v>0</v>
      </c>
      <c r="J1024" s="242">
        <f>COUNTIFS('تجربه‌گرها'!$B:$B,$A1024,'تجربه‌گرها'!$F:$F,J$1)</f>
        <v>0</v>
      </c>
      <c r="K1024" s="242">
        <f>COUNTIFS('تجربه‌گرها'!$B:$B,$A1024,'تجربه‌گرها'!$F:$F,K$1)</f>
        <v>0</v>
      </c>
      <c r="L1024" s="242">
        <f>COUNTIFS('تجربه‌گرها'!$B:$B,$A1024,'تجربه‌گرها'!$F:$F,L$1)</f>
        <v>0</v>
      </c>
      <c r="M1024" s="242">
        <f>COUNTIFS('تجربه‌گرها'!$B:$B,$A1024,'تجربه‌گرها'!$F:$F,M$1)</f>
        <v>0</v>
      </c>
      <c r="N1024" s="242">
        <f>COUNTIFS('تجربه‌گرها'!$B:$B,$A1024,'تجربه‌گرها'!$F:$F,N$1)</f>
        <v>1</v>
      </c>
      <c r="O1024" s="242">
        <f>COUNTIFS('تجربه‌گرها'!$B:$B,$A1024,'تجربه‌گرها'!$F:$F,O$1)</f>
        <v>0</v>
      </c>
      <c r="P1024" s="242">
        <f>COUNTIFS('تجربه‌گرها'!$B:$B,$A1024,'تجربه‌گرها'!$F:$F,P$1)</f>
        <v>0</v>
      </c>
      <c r="Q1024" s="242">
        <f>COUNTIFS('تجربه‌گرها'!$B:$B,$A1024,'تجربه‌گرها'!$F:$F,Q$1)</f>
        <v>0</v>
      </c>
      <c r="R1024" s="242">
        <f>COUNTIFS('تجربه‌گرها'!$B:$B,$A1024,'تجربه‌گرها'!$F:$F,R$1)</f>
        <v>0</v>
      </c>
      <c r="S1024" s="242">
        <f>COUNTIFS('تجربه‌گرها'!$B:$B,$A1024,'تجربه‌گرها'!$F:$F,S$1)</f>
        <v>0</v>
      </c>
      <c r="T1024" s="242">
        <f>COUNTIFS('تجربه‌گرها'!$B:$B,$A1024,'تجربه‌گرها'!$F:$F,T$1)</f>
        <v>0</v>
      </c>
      <c r="U1024" s="242"/>
      <c r="V1024" s="242"/>
      <c r="W1024" s="242"/>
      <c r="X1024" s="242"/>
      <c r="Y1024" s="242"/>
      <c r="Z1024" s="242"/>
      <c r="AA1024" s="242"/>
      <c r="AB1024" s="242"/>
    </row>
    <row r="1025" hidden="1">
      <c r="A1025" s="244" t="s">
        <v>5508</v>
      </c>
      <c r="B1025" s="245" t="str">
        <f>VLOOKUP(A1025,'تجربه‌گرها'!B:C,2,FALSE())</f>
        <v>9900073128</v>
      </c>
      <c r="C1025" s="242"/>
      <c r="D1025" s="242">
        <f t="shared" si="1"/>
        <v>1</v>
      </c>
      <c r="E1025" s="242">
        <f>COUNTIFS('تجربه‌گرها'!$B:$B,$A1025,'تجربه‌گرها'!$F:$F,E$1)</f>
        <v>0</v>
      </c>
      <c r="F1025" s="242">
        <f>COUNTIFS('تجربه‌گرها'!$B:$B,$A1025,'تجربه‌گرها'!$F:$F,F$1)</f>
        <v>0</v>
      </c>
      <c r="G1025" s="242">
        <f>COUNTIFS('تجربه‌گرها'!$B:$B,$A1025,'تجربه‌گرها'!$F:$F,G$1)</f>
        <v>0</v>
      </c>
      <c r="H1025" s="242">
        <f>COUNTIFS('تجربه‌گرها'!$B:$B,$A1025,'تجربه‌گرها'!$F:$F,H$1)</f>
        <v>0</v>
      </c>
      <c r="I1025" s="242">
        <f>COUNTIFS('تجربه‌گرها'!$B:$B,$A1025,'تجربه‌گرها'!$F:$F,I$1)</f>
        <v>0</v>
      </c>
      <c r="J1025" s="242">
        <f>COUNTIFS('تجربه‌گرها'!$B:$B,$A1025,'تجربه‌گرها'!$F:$F,J$1)</f>
        <v>0</v>
      </c>
      <c r="K1025" s="242">
        <f>COUNTIFS('تجربه‌گرها'!$B:$B,$A1025,'تجربه‌گرها'!$F:$F,K$1)</f>
        <v>0</v>
      </c>
      <c r="L1025" s="242">
        <f>COUNTIFS('تجربه‌گرها'!$B:$B,$A1025,'تجربه‌گرها'!$F:$F,L$1)</f>
        <v>0</v>
      </c>
      <c r="M1025" s="242">
        <f>COUNTIFS('تجربه‌گرها'!$B:$B,$A1025,'تجربه‌گرها'!$F:$F,M$1)</f>
        <v>0</v>
      </c>
      <c r="N1025" s="242">
        <f>COUNTIFS('تجربه‌گرها'!$B:$B,$A1025,'تجربه‌گرها'!$F:$F,N$1)</f>
        <v>1</v>
      </c>
      <c r="O1025" s="242">
        <f>COUNTIFS('تجربه‌گرها'!$B:$B,$A1025,'تجربه‌گرها'!$F:$F,O$1)</f>
        <v>0</v>
      </c>
      <c r="P1025" s="242">
        <f>COUNTIFS('تجربه‌گرها'!$B:$B,$A1025,'تجربه‌گرها'!$F:$F,P$1)</f>
        <v>0</v>
      </c>
      <c r="Q1025" s="242">
        <f>COUNTIFS('تجربه‌گرها'!$B:$B,$A1025,'تجربه‌گرها'!$F:$F,Q$1)</f>
        <v>0</v>
      </c>
      <c r="R1025" s="242">
        <f>COUNTIFS('تجربه‌گرها'!$B:$B,$A1025,'تجربه‌گرها'!$F:$F,R$1)</f>
        <v>0</v>
      </c>
      <c r="S1025" s="242">
        <f>COUNTIFS('تجربه‌گرها'!$B:$B,$A1025,'تجربه‌گرها'!$F:$F,S$1)</f>
        <v>0</v>
      </c>
      <c r="T1025" s="242">
        <f>COUNTIFS('تجربه‌گرها'!$B:$B,$A1025,'تجربه‌گرها'!$F:$F,T$1)</f>
        <v>0</v>
      </c>
      <c r="U1025" s="242"/>
      <c r="V1025" s="242"/>
      <c r="W1025" s="242"/>
      <c r="X1025" s="242"/>
      <c r="Y1025" s="242"/>
      <c r="Z1025" s="242"/>
      <c r="AA1025" s="242"/>
      <c r="AB1025" s="242"/>
    </row>
    <row r="1026" hidden="1">
      <c r="A1026" s="244" t="s">
        <v>5511</v>
      </c>
      <c r="B1026" s="245" t="str">
        <f>VLOOKUP(A1026,'تجربه‌گرها'!B:C,2,FALSE())</f>
        <v>989125089650</v>
      </c>
      <c r="C1026" s="242"/>
      <c r="D1026" s="242">
        <f t="shared" si="1"/>
        <v>1</v>
      </c>
      <c r="E1026" s="242">
        <f>COUNTIFS('تجربه‌گرها'!$B:$B,$A1026,'تجربه‌گرها'!$F:$F,E$1)</f>
        <v>0</v>
      </c>
      <c r="F1026" s="242">
        <f>COUNTIFS('تجربه‌گرها'!$B:$B,$A1026,'تجربه‌گرها'!$F:$F,F$1)</f>
        <v>0</v>
      </c>
      <c r="G1026" s="242">
        <f>COUNTIFS('تجربه‌گرها'!$B:$B,$A1026,'تجربه‌گرها'!$F:$F,G$1)</f>
        <v>0</v>
      </c>
      <c r="H1026" s="242">
        <f>COUNTIFS('تجربه‌گرها'!$B:$B,$A1026,'تجربه‌گرها'!$F:$F,H$1)</f>
        <v>0</v>
      </c>
      <c r="I1026" s="242">
        <f>COUNTIFS('تجربه‌گرها'!$B:$B,$A1026,'تجربه‌گرها'!$F:$F,I$1)</f>
        <v>0</v>
      </c>
      <c r="J1026" s="242">
        <f>COUNTIFS('تجربه‌گرها'!$B:$B,$A1026,'تجربه‌گرها'!$F:$F,J$1)</f>
        <v>0</v>
      </c>
      <c r="K1026" s="242">
        <f>COUNTIFS('تجربه‌گرها'!$B:$B,$A1026,'تجربه‌گرها'!$F:$F,K$1)</f>
        <v>0</v>
      </c>
      <c r="L1026" s="242">
        <f>COUNTIFS('تجربه‌گرها'!$B:$B,$A1026,'تجربه‌گرها'!$F:$F,L$1)</f>
        <v>0</v>
      </c>
      <c r="M1026" s="242">
        <f>COUNTIFS('تجربه‌گرها'!$B:$B,$A1026,'تجربه‌گرها'!$F:$F,M$1)</f>
        <v>0</v>
      </c>
      <c r="N1026" s="242">
        <f>COUNTIFS('تجربه‌گرها'!$B:$B,$A1026,'تجربه‌گرها'!$F:$F,N$1)</f>
        <v>1</v>
      </c>
      <c r="O1026" s="242">
        <f>COUNTIFS('تجربه‌گرها'!$B:$B,$A1026,'تجربه‌گرها'!$F:$F,O$1)</f>
        <v>0</v>
      </c>
      <c r="P1026" s="242">
        <f>COUNTIFS('تجربه‌گرها'!$B:$B,$A1026,'تجربه‌گرها'!$F:$F,P$1)</f>
        <v>0</v>
      </c>
      <c r="Q1026" s="242">
        <f>COUNTIFS('تجربه‌گرها'!$B:$B,$A1026,'تجربه‌گرها'!$F:$F,Q$1)</f>
        <v>0</v>
      </c>
      <c r="R1026" s="242">
        <f>COUNTIFS('تجربه‌گرها'!$B:$B,$A1026,'تجربه‌گرها'!$F:$F,R$1)</f>
        <v>0</v>
      </c>
      <c r="S1026" s="242">
        <f>COUNTIFS('تجربه‌گرها'!$B:$B,$A1026,'تجربه‌گرها'!$F:$F,S$1)</f>
        <v>0</v>
      </c>
      <c r="T1026" s="242">
        <f>COUNTIFS('تجربه‌گرها'!$B:$B,$A1026,'تجربه‌گرها'!$F:$F,T$1)</f>
        <v>0</v>
      </c>
      <c r="U1026" s="242"/>
      <c r="V1026" s="242"/>
      <c r="W1026" s="242"/>
      <c r="X1026" s="242"/>
      <c r="Y1026" s="242"/>
      <c r="Z1026" s="242"/>
      <c r="AA1026" s="242"/>
      <c r="AB1026" s="242"/>
    </row>
    <row r="1027" hidden="1">
      <c r="A1027" s="244" t="s">
        <v>5513</v>
      </c>
      <c r="B1027" s="245" t="str">
        <f>VLOOKUP(A1027,'تجربه‌گرها'!B:C,2,FALSE())</f>
        <v>9109002711</v>
      </c>
      <c r="C1027" s="242"/>
      <c r="D1027" s="242">
        <f t="shared" si="1"/>
        <v>1</v>
      </c>
      <c r="E1027" s="242">
        <f>COUNTIFS('تجربه‌گرها'!$B:$B,$A1027,'تجربه‌گرها'!$F:$F,E$1)</f>
        <v>0</v>
      </c>
      <c r="F1027" s="242">
        <f>COUNTIFS('تجربه‌گرها'!$B:$B,$A1027,'تجربه‌گرها'!$F:$F,F$1)</f>
        <v>0</v>
      </c>
      <c r="G1027" s="242">
        <f>COUNTIFS('تجربه‌گرها'!$B:$B,$A1027,'تجربه‌گرها'!$F:$F,G$1)</f>
        <v>0</v>
      </c>
      <c r="H1027" s="242">
        <f>COUNTIFS('تجربه‌گرها'!$B:$B,$A1027,'تجربه‌گرها'!$F:$F,H$1)</f>
        <v>0</v>
      </c>
      <c r="I1027" s="242">
        <f>COUNTIFS('تجربه‌گرها'!$B:$B,$A1027,'تجربه‌گرها'!$F:$F,I$1)</f>
        <v>0</v>
      </c>
      <c r="J1027" s="242">
        <f>COUNTIFS('تجربه‌گرها'!$B:$B,$A1027,'تجربه‌گرها'!$F:$F,J$1)</f>
        <v>0</v>
      </c>
      <c r="K1027" s="242">
        <f>COUNTIFS('تجربه‌گرها'!$B:$B,$A1027,'تجربه‌گرها'!$F:$F,K$1)</f>
        <v>0</v>
      </c>
      <c r="L1027" s="242">
        <f>COUNTIFS('تجربه‌گرها'!$B:$B,$A1027,'تجربه‌گرها'!$F:$F,L$1)</f>
        <v>0</v>
      </c>
      <c r="M1027" s="242">
        <f>COUNTIFS('تجربه‌گرها'!$B:$B,$A1027,'تجربه‌گرها'!$F:$F,M$1)</f>
        <v>0</v>
      </c>
      <c r="N1027" s="242">
        <f>COUNTIFS('تجربه‌گرها'!$B:$B,$A1027,'تجربه‌گرها'!$F:$F,N$1)</f>
        <v>1</v>
      </c>
      <c r="O1027" s="242">
        <f>COUNTIFS('تجربه‌گرها'!$B:$B,$A1027,'تجربه‌گرها'!$F:$F,O$1)</f>
        <v>0</v>
      </c>
      <c r="P1027" s="242">
        <f>COUNTIFS('تجربه‌گرها'!$B:$B,$A1027,'تجربه‌گرها'!$F:$F,P$1)</f>
        <v>0</v>
      </c>
      <c r="Q1027" s="242">
        <f>COUNTIFS('تجربه‌گرها'!$B:$B,$A1027,'تجربه‌گرها'!$F:$F,Q$1)</f>
        <v>0</v>
      </c>
      <c r="R1027" s="242">
        <f>COUNTIFS('تجربه‌گرها'!$B:$B,$A1027,'تجربه‌گرها'!$F:$F,R$1)</f>
        <v>0</v>
      </c>
      <c r="S1027" s="242">
        <f>COUNTIFS('تجربه‌گرها'!$B:$B,$A1027,'تجربه‌گرها'!$F:$F,S$1)</f>
        <v>0</v>
      </c>
      <c r="T1027" s="242">
        <f>COUNTIFS('تجربه‌گرها'!$B:$B,$A1027,'تجربه‌گرها'!$F:$F,T$1)</f>
        <v>0</v>
      </c>
      <c r="U1027" s="242"/>
      <c r="V1027" s="242"/>
      <c r="W1027" s="242"/>
      <c r="X1027" s="242"/>
      <c r="Y1027" s="242"/>
      <c r="Z1027" s="242"/>
      <c r="AA1027" s="242"/>
      <c r="AB1027" s="242"/>
    </row>
    <row r="1028" hidden="1">
      <c r="A1028" s="244" t="s">
        <v>5515</v>
      </c>
      <c r="B1028" s="245" t="str">
        <f>VLOOKUP(A1028,'تجربه‌گرها'!B:C,2,FALSE())</f>
        <v>9391127748</v>
      </c>
      <c r="C1028" s="242"/>
      <c r="D1028" s="242">
        <f t="shared" si="1"/>
        <v>1</v>
      </c>
      <c r="E1028" s="242">
        <f>COUNTIFS('تجربه‌گرها'!$B:$B,$A1028,'تجربه‌گرها'!$F:$F,E$1)</f>
        <v>0</v>
      </c>
      <c r="F1028" s="242">
        <f>COUNTIFS('تجربه‌گرها'!$B:$B,$A1028,'تجربه‌گرها'!$F:$F,F$1)</f>
        <v>0</v>
      </c>
      <c r="G1028" s="242">
        <f>COUNTIFS('تجربه‌گرها'!$B:$B,$A1028,'تجربه‌گرها'!$F:$F,G$1)</f>
        <v>0</v>
      </c>
      <c r="H1028" s="242">
        <f>COUNTIFS('تجربه‌گرها'!$B:$B,$A1028,'تجربه‌گرها'!$F:$F,H$1)</f>
        <v>0</v>
      </c>
      <c r="I1028" s="242">
        <f>COUNTIFS('تجربه‌گرها'!$B:$B,$A1028,'تجربه‌گرها'!$F:$F,I$1)</f>
        <v>0</v>
      </c>
      <c r="J1028" s="242">
        <f>COUNTIFS('تجربه‌گرها'!$B:$B,$A1028,'تجربه‌گرها'!$F:$F,J$1)</f>
        <v>0</v>
      </c>
      <c r="K1028" s="242">
        <f>COUNTIFS('تجربه‌گرها'!$B:$B,$A1028,'تجربه‌گرها'!$F:$F,K$1)</f>
        <v>0</v>
      </c>
      <c r="L1028" s="242">
        <f>COUNTIFS('تجربه‌گرها'!$B:$B,$A1028,'تجربه‌گرها'!$F:$F,L$1)</f>
        <v>0</v>
      </c>
      <c r="M1028" s="242">
        <f>COUNTIFS('تجربه‌گرها'!$B:$B,$A1028,'تجربه‌گرها'!$F:$F,M$1)</f>
        <v>0</v>
      </c>
      <c r="N1028" s="242">
        <f>COUNTIFS('تجربه‌گرها'!$B:$B,$A1028,'تجربه‌گرها'!$F:$F,N$1)</f>
        <v>1</v>
      </c>
      <c r="O1028" s="242">
        <f>COUNTIFS('تجربه‌گرها'!$B:$B,$A1028,'تجربه‌گرها'!$F:$F,O$1)</f>
        <v>0</v>
      </c>
      <c r="P1028" s="242">
        <f>COUNTIFS('تجربه‌گرها'!$B:$B,$A1028,'تجربه‌گرها'!$F:$F,P$1)</f>
        <v>0</v>
      </c>
      <c r="Q1028" s="242">
        <f>COUNTIFS('تجربه‌گرها'!$B:$B,$A1028,'تجربه‌گرها'!$F:$F,Q$1)</f>
        <v>0</v>
      </c>
      <c r="R1028" s="242">
        <f>COUNTIFS('تجربه‌گرها'!$B:$B,$A1028,'تجربه‌گرها'!$F:$F,R$1)</f>
        <v>0</v>
      </c>
      <c r="S1028" s="242">
        <f>COUNTIFS('تجربه‌گرها'!$B:$B,$A1028,'تجربه‌گرها'!$F:$F,S$1)</f>
        <v>0</v>
      </c>
      <c r="T1028" s="242">
        <f>COUNTIFS('تجربه‌گرها'!$B:$B,$A1028,'تجربه‌گرها'!$F:$F,T$1)</f>
        <v>0</v>
      </c>
      <c r="U1028" s="242"/>
      <c r="V1028" s="242"/>
      <c r="W1028" s="242"/>
      <c r="X1028" s="242"/>
      <c r="Y1028" s="242"/>
      <c r="Z1028" s="242"/>
      <c r="AA1028" s="242"/>
      <c r="AB1028" s="242"/>
    </row>
    <row r="1029" hidden="1">
      <c r="A1029" s="244" t="s">
        <v>5517</v>
      </c>
      <c r="B1029" s="245" t="str">
        <f>VLOOKUP(A1029,'تجربه‌گرها'!B:C,2,FALSE())</f>
        <v>989121935257</v>
      </c>
      <c r="C1029" s="242"/>
      <c r="D1029" s="242">
        <f t="shared" si="1"/>
        <v>1</v>
      </c>
      <c r="E1029" s="242">
        <f>COUNTIFS('تجربه‌گرها'!$B:$B,$A1029,'تجربه‌گرها'!$F:$F,E$1)</f>
        <v>0</v>
      </c>
      <c r="F1029" s="242">
        <f>COUNTIFS('تجربه‌گرها'!$B:$B,$A1029,'تجربه‌گرها'!$F:$F,F$1)</f>
        <v>0</v>
      </c>
      <c r="G1029" s="242">
        <f>COUNTIFS('تجربه‌گرها'!$B:$B,$A1029,'تجربه‌گرها'!$F:$F,G$1)</f>
        <v>0</v>
      </c>
      <c r="H1029" s="242">
        <f>COUNTIFS('تجربه‌گرها'!$B:$B,$A1029,'تجربه‌گرها'!$F:$F,H$1)</f>
        <v>0</v>
      </c>
      <c r="I1029" s="242">
        <f>COUNTIFS('تجربه‌گرها'!$B:$B,$A1029,'تجربه‌گرها'!$F:$F,I$1)</f>
        <v>0</v>
      </c>
      <c r="J1029" s="242">
        <f>COUNTIFS('تجربه‌گرها'!$B:$B,$A1029,'تجربه‌گرها'!$F:$F,J$1)</f>
        <v>0</v>
      </c>
      <c r="K1029" s="242">
        <f>COUNTIFS('تجربه‌گرها'!$B:$B,$A1029,'تجربه‌گرها'!$F:$F,K$1)</f>
        <v>0</v>
      </c>
      <c r="L1029" s="242">
        <f>COUNTIFS('تجربه‌گرها'!$B:$B,$A1029,'تجربه‌گرها'!$F:$F,L$1)</f>
        <v>0</v>
      </c>
      <c r="M1029" s="242">
        <f>COUNTIFS('تجربه‌گرها'!$B:$B,$A1029,'تجربه‌گرها'!$F:$F,M$1)</f>
        <v>0</v>
      </c>
      <c r="N1029" s="242">
        <f>COUNTIFS('تجربه‌گرها'!$B:$B,$A1029,'تجربه‌گرها'!$F:$F,N$1)</f>
        <v>1</v>
      </c>
      <c r="O1029" s="242">
        <f>COUNTIFS('تجربه‌گرها'!$B:$B,$A1029,'تجربه‌گرها'!$F:$F,O$1)</f>
        <v>0</v>
      </c>
      <c r="P1029" s="242">
        <f>COUNTIFS('تجربه‌گرها'!$B:$B,$A1029,'تجربه‌گرها'!$F:$F,P$1)</f>
        <v>0</v>
      </c>
      <c r="Q1029" s="242">
        <f>COUNTIFS('تجربه‌گرها'!$B:$B,$A1029,'تجربه‌گرها'!$F:$F,Q$1)</f>
        <v>0</v>
      </c>
      <c r="R1029" s="242">
        <f>COUNTIFS('تجربه‌گرها'!$B:$B,$A1029,'تجربه‌گرها'!$F:$F,R$1)</f>
        <v>0</v>
      </c>
      <c r="S1029" s="242">
        <f>COUNTIFS('تجربه‌گرها'!$B:$B,$A1029,'تجربه‌گرها'!$F:$F,S$1)</f>
        <v>0</v>
      </c>
      <c r="T1029" s="242">
        <f>COUNTIFS('تجربه‌گرها'!$B:$B,$A1029,'تجربه‌گرها'!$F:$F,T$1)</f>
        <v>0</v>
      </c>
      <c r="U1029" s="242"/>
      <c r="V1029" s="242"/>
      <c r="W1029" s="242"/>
      <c r="X1029" s="242"/>
      <c r="Y1029" s="242"/>
      <c r="Z1029" s="242"/>
      <c r="AA1029" s="242"/>
      <c r="AB1029" s="242"/>
    </row>
    <row r="1030" hidden="1">
      <c r="A1030" s="244" t="s">
        <v>5519</v>
      </c>
      <c r="B1030" s="245" t="str">
        <f>VLOOKUP(A1030,'تجربه‌گرها'!B:C,2,FALSE())</f>
        <v>989122616302</v>
      </c>
      <c r="C1030" s="242"/>
      <c r="D1030" s="242">
        <f t="shared" si="1"/>
        <v>1</v>
      </c>
      <c r="E1030" s="242">
        <f>COUNTIFS('تجربه‌گرها'!$B:$B,$A1030,'تجربه‌گرها'!$F:$F,E$1)</f>
        <v>0</v>
      </c>
      <c r="F1030" s="242">
        <f>COUNTIFS('تجربه‌گرها'!$B:$B,$A1030,'تجربه‌گرها'!$F:$F,F$1)</f>
        <v>0</v>
      </c>
      <c r="G1030" s="242">
        <f>COUNTIFS('تجربه‌گرها'!$B:$B,$A1030,'تجربه‌گرها'!$F:$F,G$1)</f>
        <v>0</v>
      </c>
      <c r="H1030" s="242">
        <f>COUNTIFS('تجربه‌گرها'!$B:$B,$A1030,'تجربه‌گرها'!$F:$F,H$1)</f>
        <v>0</v>
      </c>
      <c r="I1030" s="242">
        <f>COUNTIFS('تجربه‌گرها'!$B:$B,$A1030,'تجربه‌گرها'!$F:$F,I$1)</f>
        <v>0</v>
      </c>
      <c r="J1030" s="242">
        <f>COUNTIFS('تجربه‌گرها'!$B:$B,$A1030,'تجربه‌گرها'!$F:$F,J$1)</f>
        <v>0</v>
      </c>
      <c r="K1030" s="242">
        <f>COUNTIFS('تجربه‌گرها'!$B:$B,$A1030,'تجربه‌گرها'!$F:$F,K$1)</f>
        <v>0</v>
      </c>
      <c r="L1030" s="242">
        <f>COUNTIFS('تجربه‌گرها'!$B:$B,$A1030,'تجربه‌گرها'!$F:$F,L$1)</f>
        <v>0</v>
      </c>
      <c r="M1030" s="242">
        <f>COUNTIFS('تجربه‌گرها'!$B:$B,$A1030,'تجربه‌گرها'!$F:$F,M$1)</f>
        <v>0</v>
      </c>
      <c r="N1030" s="242">
        <f>COUNTIFS('تجربه‌گرها'!$B:$B,$A1030,'تجربه‌گرها'!$F:$F,N$1)</f>
        <v>1</v>
      </c>
      <c r="O1030" s="242">
        <f>COUNTIFS('تجربه‌گرها'!$B:$B,$A1030,'تجربه‌گرها'!$F:$F,O$1)</f>
        <v>0</v>
      </c>
      <c r="P1030" s="242">
        <f>COUNTIFS('تجربه‌گرها'!$B:$B,$A1030,'تجربه‌گرها'!$F:$F,P$1)</f>
        <v>0</v>
      </c>
      <c r="Q1030" s="242">
        <f>COUNTIFS('تجربه‌گرها'!$B:$B,$A1030,'تجربه‌گرها'!$F:$F,Q$1)</f>
        <v>0</v>
      </c>
      <c r="R1030" s="242">
        <f>COUNTIFS('تجربه‌گرها'!$B:$B,$A1030,'تجربه‌گرها'!$F:$F,R$1)</f>
        <v>0</v>
      </c>
      <c r="S1030" s="242">
        <f>COUNTIFS('تجربه‌گرها'!$B:$B,$A1030,'تجربه‌گرها'!$F:$F,S$1)</f>
        <v>0</v>
      </c>
      <c r="T1030" s="242">
        <f>COUNTIFS('تجربه‌گرها'!$B:$B,$A1030,'تجربه‌گرها'!$F:$F,T$1)</f>
        <v>0</v>
      </c>
      <c r="U1030" s="242"/>
      <c r="V1030" s="242"/>
      <c r="W1030" s="242"/>
      <c r="X1030" s="242"/>
      <c r="Y1030" s="242"/>
      <c r="Z1030" s="242"/>
      <c r="AA1030" s="242"/>
      <c r="AB1030" s="242"/>
    </row>
    <row r="1031" hidden="1">
      <c r="A1031" s="244" t="s">
        <v>710</v>
      </c>
      <c r="B1031" s="245" t="str">
        <f>VLOOKUP(A1031,'تجربه‌گرها'!B:C,2,FALSE())</f>
        <v>989912389823</v>
      </c>
      <c r="C1031" s="242"/>
      <c r="D1031" s="242">
        <f t="shared" si="1"/>
        <v>1</v>
      </c>
      <c r="E1031" s="242">
        <f>COUNTIFS('تجربه‌گرها'!$B:$B,$A1031,'تجربه‌گرها'!$F:$F,E$1)</f>
        <v>0</v>
      </c>
      <c r="F1031" s="242">
        <f>COUNTIFS('تجربه‌گرها'!$B:$B,$A1031,'تجربه‌گرها'!$F:$F,F$1)</f>
        <v>0</v>
      </c>
      <c r="G1031" s="242">
        <f>COUNTIFS('تجربه‌گرها'!$B:$B,$A1031,'تجربه‌گرها'!$F:$F,G$1)</f>
        <v>0</v>
      </c>
      <c r="H1031" s="242">
        <f>COUNTIFS('تجربه‌گرها'!$B:$B,$A1031,'تجربه‌گرها'!$F:$F,H$1)</f>
        <v>0</v>
      </c>
      <c r="I1031" s="242">
        <f>COUNTIFS('تجربه‌گرها'!$B:$B,$A1031,'تجربه‌گرها'!$F:$F,I$1)</f>
        <v>0</v>
      </c>
      <c r="J1031" s="242">
        <f>COUNTIFS('تجربه‌گرها'!$B:$B,$A1031,'تجربه‌گرها'!$F:$F,J$1)</f>
        <v>0</v>
      </c>
      <c r="K1031" s="242">
        <f>COUNTIFS('تجربه‌گرها'!$B:$B,$A1031,'تجربه‌گرها'!$F:$F,K$1)</f>
        <v>0</v>
      </c>
      <c r="L1031" s="242">
        <f>COUNTIFS('تجربه‌گرها'!$B:$B,$A1031,'تجربه‌گرها'!$F:$F,L$1)</f>
        <v>0</v>
      </c>
      <c r="M1031" s="242">
        <f>COUNTIFS('تجربه‌گرها'!$B:$B,$A1031,'تجربه‌گرها'!$F:$F,M$1)</f>
        <v>0</v>
      </c>
      <c r="N1031" s="242">
        <f>COUNTIFS('تجربه‌گرها'!$B:$B,$A1031,'تجربه‌گرها'!$F:$F,N$1)</f>
        <v>1</v>
      </c>
      <c r="O1031" s="242">
        <f>COUNTIFS('تجربه‌گرها'!$B:$B,$A1031,'تجربه‌گرها'!$F:$F,O$1)</f>
        <v>0</v>
      </c>
      <c r="P1031" s="242">
        <f>COUNTIFS('تجربه‌گرها'!$B:$B,$A1031,'تجربه‌گرها'!$F:$F,P$1)</f>
        <v>0</v>
      </c>
      <c r="Q1031" s="242">
        <f>COUNTIFS('تجربه‌گرها'!$B:$B,$A1031,'تجربه‌گرها'!$F:$F,Q$1)</f>
        <v>0</v>
      </c>
      <c r="R1031" s="242">
        <f>COUNTIFS('تجربه‌گرها'!$B:$B,$A1031,'تجربه‌گرها'!$F:$F,R$1)</f>
        <v>0</v>
      </c>
      <c r="S1031" s="242">
        <f>COUNTIFS('تجربه‌گرها'!$B:$B,$A1031,'تجربه‌گرها'!$F:$F,S$1)</f>
        <v>0</v>
      </c>
      <c r="T1031" s="242">
        <f>COUNTIFS('تجربه‌گرها'!$B:$B,$A1031,'تجربه‌گرها'!$F:$F,T$1)</f>
        <v>0</v>
      </c>
      <c r="U1031" s="242"/>
      <c r="V1031" s="242"/>
      <c r="W1031" s="242"/>
      <c r="X1031" s="242"/>
      <c r="Y1031" s="242"/>
      <c r="Z1031" s="242"/>
      <c r="AA1031" s="242"/>
      <c r="AB1031" s="242"/>
    </row>
    <row r="1032" hidden="1">
      <c r="A1032" s="244" t="s">
        <v>5524</v>
      </c>
      <c r="B1032" s="245" t="str">
        <f>VLOOKUP(A1032,'تجربه‌گرها'!B:C,2,FALSE())</f>
        <v>989197540076</v>
      </c>
      <c r="C1032" s="242"/>
      <c r="D1032" s="242">
        <f t="shared" si="1"/>
        <v>1</v>
      </c>
      <c r="E1032" s="242">
        <f>COUNTIFS('تجربه‌گرها'!$B:$B,$A1032,'تجربه‌گرها'!$F:$F,E$1)</f>
        <v>0</v>
      </c>
      <c r="F1032" s="242">
        <f>COUNTIFS('تجربه‌گرها'!$B:$B,$A1032,'تجربه‌گرها'!$F:$F,F$1)</f>
        <v>0</v>
      </c>
      <c r="G1032" s="242">
        <f>COUNTIFS('تجربه‌گرها'!$B:$B,$A1032,'تجربه‌گرها'!$F:$F,G$1)</f>
        <v>0</v>
      </c>
      <c r="H1032" s="242">
        <f>COUNTIFS('تجربه‌گرها'!$B:$B,$A1032,'تجربه‌گرها'!$F:$F,H$1)</f>
        <v>0</v>
      </c>
      <c r="I1032" s="242">
        <f>COUNTIFS('تجربه‌گرها'!$B:$B,$A1032,'تجربه‌گرها'!$F:$F,I$1)</f>
        <v>0</v>
      </c>
      <c r="J1032" s="242">
        <f>COUNTIFS('تجربه‌گرها'!$B:$B,$A1032,'تجربه‌گرها'!$F:$F,J$1)</f>
        <v>0</v>
      </c>
      <c r="K1032" s="242">
        <f>COUNTIFS('تجربه‌گرها'!$B:$B,$A1032,'تجربه‌گرها'!$F:$F,K$1)</f>
        <v>0</v>
      </c>
      <c r="L1032" s="242">
        <f>COUNTIFS('تجربه‌گرها'!$B:$B,$A1032,'تجربه‌گرها'!$F:$F,L$1)</f>
        <v>0</v>
      </c>
      <c r="M1032" s="242">
        <f>COUNTIFS('تجربه‌گرها'!$B:$B,$A1032,'تجربه‌گرها'!$F:$F,M$1)</f>
        <v>0</v>
      </c>
      <c r="N1032" s="242">
        <f>COUNTIFS('تجربه‌گرها'!$B:$B,$A1032,'تجربه‌گرها'!$F:$F,N$1)</f>
        <v>1</v>
      </c>
      <c r="O1032" s="242">
        <f>COUNTIFS('تجربه‌گرها'!$B:$B,$A1032,'تجربه‌گرها'!$F:$F,O$1)</f>
        <v>0</v>
      </c>
      <c r="P1032" s="242">
        <f>COUNTIFS('تجربه‌گرها'!$B:$B,$A1032,'تجربه‌گرها'!$F:$F,P$1)</f>
        <v>0</v>
      </c>
      <c r="Q1032" s="242">
        <f>COUNTIFS('تجربه‌گرها'!$B:$B,$A1032,'تجربه‌گرها'!$F:$F,Q$1)</f>
        <v>0</v>
      </c>
      <c r="R1032" s="242">
        <f>COUNTIFS('تجربه‌گرها'!$B:$B,$A1032,'تجربه‌گرها'!$F:$F,R$1)</f>
        <v>0</v>
      </c>
      <c r="S1032" s="242">
        <f>COUNTIFS('تجربه‌گرها'!$B:$B,$A1032,'تجربه‌گرها'!$F:$F,S$1)</f>
        <v>0</v>
      </c>
      <c r="T1032" s="242">
        <f>COUNTIFS('تجربه‌گرها'!$B:$B,$A1032,'تجربه‌گرها'!$F:$F,T$1)</f>
        <v>0</v>
      </c>
      <c r="U1032" s="242"/>
      <c r="V1032" s="242"/>
      <c r="W1032" s="242"/>
      <c r="X1032" s="242"/>
      <c r="Y1032" s="242"/>
      <c r="Z1032" s="242"/>
      <c r="AA1032" s="242"/>
      <c r="AB1032" s="242"/>
    </row>
    <row r="1033" hidden="1">
      <c r="A1033" s="244" t="s">
        <v>5527</v>
      </c>
      <c r="B1033" s="245" t="str">
        <f>VLOOKUP(A1033,'تجربه‌گرها'!B:C,2,FALSE())</f>
        <v>9127615736</v>
      </c>
      <c r="C1033" s="242"/>
      <c r="D1033" s="242">
        <f t="shared" si="1"/>
        <v>2</v>
      </c>
      <c r="E1033" s="242">
        <f>COUNTIFS('تجربه‌گرها'!$B:$B,$A1033,'تجربه‌گرها'!$F:$F,E$1)</f>
        <v>0</v>
      </c>
      <c r="F1033" s="242">
        <f>COUNTIFS('تجربه‌گرها'!$B:$B,$A1033,'تجربه‌گرها'!$F:$F,F$1)</f>
        <v>0</v>
      </c>
      <c r="G1033" s="242">
        <f>COUNTIFS('تجربه‌گرها'!$B:$B,$A1033,'تجربه‌گرها'!$F:$F,G$1)</f>
        <v>0</v>
      </c>
      <c r="H1033" s="242">
        <f>COUNTIFS('تجربه‌گرها'!$B:$B,$A1033,'تجربه‌گرها'!$F:$F,H$1)</f>
        <v>0</v>
      </c>
      <c r="I1033" s="242">
        <f>COUNTIFS('تجربه‌گرها'!$B:$B,$A1033,'تجربه‌گرها'!$F:$F,I$1)</f>
        <v>0</v>
      </c>
      <c r="J1033" s="242">
        <f>COUNTIFS('تجربه‌گرها'!$B:$B,$A1033,'تجربه‌گرها'!$F:$F,J$1)</f>
        <v>0</v>
      </c>
      <c r="K1033" s="242">
        <f>COUNTIFS('تجربه‌گرها'!$B:$B,$A1033,'تجربه‌گرها'!$F:$F,K$1)</f>
        <v>0</v>
      </c>
      <c r="L1033" s="242">
        <f>COUNTIFS('تجربه‌گرها'!$B:$B,$A1033,'تجربه‌گرها'!$F:$F,L$1)</f>
        <v>0</v>
      </c>
      <c r="M1033" s="242">
        <f>COUNTIFS('تجربه‌گرها'!$B:$B,$A1033,'تجربه‌گرها'!$F:$F,M$1)</f>
        <v>0</v>
      </c>
      <c r="N1033" s="242">
        <f>COUNTIFS('تجربه‌گرها'!$B:$B,$A1033,'تجربه‌گرها'!$F:$F,N$1)</f>
        <v>1</v>
      </c>
      <c r="O1033" s="242">
        <f>COUNTIFS('تجربه‌گرها'!$B:$B,$A1033,'تجربه‌گرها'!$F:$F,O$1)</f>
        <v>0</v>
      </c>
      <c r="P1033" s="242">
        <f>COUNTIFS('تجربه‌گرها'!$B:$B,$A1033,'تجربه‌گرها'!$F:$F,P$1)</f>
        <v>1</v>
      </c>
      <c r="Q1033" s="242">
        <f>COUNTIFS('تجربه‌گرها'!$B:$B,$A1033,'تجربه‌گرها'!$F:$F,Q$1)</f>
        <v>0</v>
      </c>
      <c r="R1033" s="242">
        <f>COUNTIFS('تجربه‌گرها'!$B:$B,$A1033,'تجربه‌گرها'!$F:$F,R$1)</f>
        <v>0</v>
      </c>
      <c r="S1033" s="242">
        <f>COUNTIFS('تجربه‌گرها'!$B:$B,$A1033,'تجربه‌گرها'!$F:$F,S$1)</f>
        <v>0</v>
      </c>
      <c r="T1033" s="242">
        <f>COUNTIFS('تجربه‌گرها'!$B:$B,$A1033,'تجربه‌گرها'!$F:$F,T$1)</f>
        <v>0</v>
      </c>
      <c r="U1033" s="242"/>
      <c r="V1033" s="242"/>
      <c r="W1033" s="242"/>
      <c r="X1033" s="242"/>
      <c r="Y1033" s="242"/>
      <c r="Z1033" s="242"/>
      <c r="AA1033" s="242"/>
      <c r="AB1033" s="242"/>
    </row>
    <row r="1034" hidden="1">
      <c r="A1034" s="244" t="s">
        <v>5531</v>
      </c>
      <c r="B1034" s="245" t="str">
        <f>VLOOKUP(A1034,'تجربه‌گرها'!B:C,2,FALSE())</f>
        <v>989365813604</v>
      </c>
      <c r="C1034" s="242"/>
      <c r="D1034" s="242">
        <f t="shared" si="1"/>
        <v>1</v>
      </c>
      <c r="E1034" s="242">
        <f>COUNTIFS('تجربه‌گرها'!$B:$B,$A1034,'تجربه‌گرها'!$F:$F,E$1)</f>
        <v>0</v>
      </c>
      <c r="F1034" s="242">
        <f>COUNTIFS('تجربه‌گرها'!$B:$B,$A1034,'تجربه‌گرها'!$F:$F,F$1)</f>
        <v>0</v>
      </c>
      <c r="G1034" s="242">
        <f>COUNTIFS('تجربه‌گرها'!$B:$B,$A1034,'تجربه‌گرها'!$F:$F,G$1)</f>
        <v>0</v>
      </c>
      <c r="H1034" s="242">
        <f>COUNTIFS('تجربه‌گرها'!$B:$B,$A1034,'تجربه‌گرها'!$F:$F,H$1)</f>
        <v>0</v>
      </c>
      <c r="I1034" s="242">
        <f>COUNTIFS('تجربه‌گرها'!$B:$B,$A1034,'تجربه‌گرها'!$F:$F,I$1)</f>
        <v>0</v>
      </c>
      <c r="J1034" s="242">
        <f>COUNTIFS('تجربه‌گرها'!$B:$B,$A1034,'تجربه‌گرها'!$F:$F,J$1)</f>
        <v>0</v>
      </c>
      <c r="K1034" s="242">
        <f>COUNTIFS('تجربه‌گرها'!$B:$B,$A1034,'تجربه‌گرها'!$F:$F,K$1)</f>
        <v>0</v>
      </c>
      <c r="L1034" s="242">
        <f>COUNTIFS('تجربه‌گرها'!$B:$B,$A1034,'تجربه‌گرها'!$F:$F,L$1)</f>
        <v>0</v>
      </c>
      <c r="M1034" s="242">
        <f>COUNTIFS('تجربه‌گرها'!$B:$B,$A1034,'تجربه‌گرها'!$F:$F,M$1)</f>
        <v>0</v>
      </c>
      <c r="N1034" s="242">
        <f>COUNTIFS('تجربه‌گرها'!$B:$B,$A1034,'تجربه‌گرها'!$F:$F,N$1)</f>
        <v>1</v>
      </c>
      <c r="O1034" s="242">
        <f>COUNTIFS('تجربه‌گرها'!$B:$B,$A1034,'تجربه‌گرها'!$F:$F,O$1)</f>
        <v>0</v>
      </c>
      <c r="P1034" s="242">
        <f>COUNTIFS('تجربه‌گرها'!$B:$B,$A1034,'تجربه‌گرها'!$F:$F,P$1)</f>
        <v>0</v>
      </c>
      <c r="Q1034" s="242">
        <f>COUNTIFS('تجربه‌گرها'!$B:$B,$A1034,'تجربه‌گرها'!$F:$F,Q$1)</f>
        <v>0</v>
      </c>
      <c r="R1034" s="242">
        <f>COUNTIFS('تجربه‌گرها'!$B:$B,$A1034,'تجربه‌گرها'!$F:$F,R$1)</f>
        <v>0</v>
      </c>
      <c r="S1034" s="242">
        <f>COUNTIFS('تجربه‌گرها'!$B:$B,$A1034,'تجربه‌گرها'!$F:$F,S$1)</f>
        <v>0</v>
      </c>
      <c r="T1034" s="242">
        <f>COUNTIFS('تجربه‌گرها'!$B:$B,$A1034,'تجربه‌گرها'!$F:$F,T$1)</f>
        <v>0</v>
      </c>
      <c r="U1034" s="242"/>
      <c r="V1034" s="242"/>
      <c r="W1034" s="242"/>
      <c r="X1034" s="242"/>
      <c r="Y1034" s="242"/>
      <c r="Z1034" s="242"/>
      <c r="AA1034" s="242"/>
      <c r="AB1034" s="242"/>
    </row>
    <row r="1035" hidden="1">
      <c r="A1035" s="244" t="s">
        <v>5534</v>
      </c>
      <c r="B1035" s="245" t="str">
        <f>VLOOKUP(A1035,'تجربه‌گرها'!B:C,2,FALSE())</f>
        <v>989303428075</v>
      </c>
      <c r="C1035" s="242"/>
      <c r="D1035" s="242">
        <f t="shared" si="1"/>
        <v>1</v>
      </c>
      <c r="E1035" s="242">
        <f>COUNTIFS('تجربه‌گرها'!$B:$B,$A1035,'تجربه‌گرها'!$F:$F,E$1)</f>
        <v>0</v>
      </c>
      <c r="F1035" s="242">
        <f>COUNTIFS('تجربه‌گرها'!$B:$B,$A1035,'تجربه‌گرها'!$F:$F,F$1)</f>
        <v>0</v>
      </c>
      <c r="G1035" s="242">
        <f>COUNTIFS('تجربه‌گرها'!$B:$B,$A1035,'تجربه‌گرها'!$F:$F,G$1)</f>
        <v>0</v>
      </c>
      <c r="H1035" s="242">
        <f>COUNTIFS('تجربه‌گرها'!$B:$B,$A1035,'تجربه‌گرها'!$F:$F,H$1)</f>
        <v>0</v>
      </c>
      <c r="I1035" s="242">
        <f>COUNTIFS('تجربه‌گرها'!$B:$B,$A1035,'تجربه‌گرها'!$F:$F,I$1)</f>
        <v>0</v>
      </c>
      <c r="J1035" s="242">
        <f>COUNTIFS('تجربه‌گرها'!$B:$B,$A1035,'تجربه‌گرها'!$F:$F,J$1)</f>
        <v>0</v>
      </c>
      <c r="K1035" s="242">
        <f>COUNTIFS('تجربه‌گرها'!$B:$B,$A1035,'تجربه‌گرها'!$F:$F,K$1)</f>
        <v>0</v>
      </c>
      <c r="L1035" s="242">
        <f>COUNTIFS('تجربه‌گرها'!$B:$B,$A1035,'تجربه‌گرها'!$F:$F,L$1)</f>
        <v>0</v>
      </c>
      <c r="M1035" s="242">
        <f>COUNTIFS('تجربه‌گرها'!$B:$B,$A1035,'تجربه‌گرها'!$F:$F,M$1)</f>
        <v>0</v>
      </c>
      <c r="N1035" s="242">
        <f>COUNTIFS('تجربه‌گرها'!$B:$B,$A1035,'تجربه‌گرها'!$F:$F,N$1)</f>
        <v>1</v>
      </c>
      <c r="O1035" s="242">
        <f>COUNTIFS('تجربه‌گرها'!$B:$B,$A1035,'تجربه‌گرها'!$F:$F,O$1)</f>
        <v>0</v>
      </c>
      <c r="P1035" s="242">
        <f>COUNTIFS('تجربه‌گرها'!$B:$B,$A1035,'تجربه‌گرها'!$F:$F,P$1)</f>
        <v>0</v>
      </c>
      <c r="Q1035" s="242">
        <f>COUNTIFS('تجربه‌گرها'!$B:$B,$A1035,'تجربه‌گرها'!$F:$F,Q$1)</f>
        <v>0</v>
      </c>
      <c r="R1035" s="242">
        <f>COUNTIFS('تجربه‌گرها'!$B:$B,$A1035,'تجربه‌گرها'!$F:$F,R$1)</f>
        <v>0</v>
      </c>
      <c r="S1035" s="242">
        <f>COUNTIFS('تجربه‌گرها'!$B:$B,$A1035,'تجربه‌گرها'!$F:$F,S$1)</f>
        <v>0</v>
      </c>
      <c r="T1035" s="242">
        <f>COUNTIFS('تجربه‌گرها'!$B:$B,$A1035,'تجربه‌گرها'!$F:$F,T$1)</f>
        <v>0</v>
      </c>
      <c r="U1035" s="242"/>
      <c r="V1035" s="242"/>
      <c r="W1035" s="242"/>
      <c r="X1035" s="242"/>
      <c r="Y1035" s="242"/>
      <c r="Z1035" s="242"/>
      <c r="AA1035" s="242"/>
      <c r="AB1035" s="242"/>
    </row>
    <row r="1036" hidden="1">
      <c r="A1036" s="244" t="s">
        <v>5537</v>
      </c>
      <c r="B1036" s="245" t="str">
        <f>VLOOKUP(A1036,'تجربه‌گرها'!B:C,2,FALSE())</f>
        <v>9124215160</v>
      </c>
      <c r="C1036" s="242"/>
      <c r="D1036" s="242">
        <f t="shared" si="1"/>
        <v>1</v>
      </c>
      <c r="E1036" s="242">
        <f>COUNTIFS('تجربه‌گرها'!$B:$B,$A1036,'تجربه‌گرها'!$F:$F,E$1)</f>
        <v>0</v>
      </c>
      <c r="F1036" s="242">
        <f>COUNTIFS('تجربه‌گرها'!$B:$B,$A1036,'تجربه‌گرها'!$F:$F,F$1)</f>
        <v>0</v>
      </c>
      <c r="G1036" s="242">
        <f>COUNTIFS('تجربه‌گرها'!$B:$B,$A1036,'تجربه‌گرها'!$F:$F,G$1)</f>
        <v>0</v>
      </c>
      <c r="H1036" s="242">
        <f>COUNTIFS('تجربه‌گرها'!$B:$B,$A1036,'تجربه‌گرها'!$F:$F,H$1)</f>
        <v>0</v>
      </c>
      <c r="I1036" s="242">
        <f>COUNTIFS('تجربه‌گرها'!$B:$B,$A1036,'تجربه‌گرها'!$F:$F,I$1)</f>
        <v>0</v>
      </c>
      <c r="J1036" s="242">
        <f>COUNTIFS('تجربه‌گرها'!$B:$B,$A1036,'تجربه‌گرها'!$F:$F,J$1)</f>
        <v>0</v>
      </c>
      <c r="K1036" s="242">
        <f>COUNTIFS('تجربه‌گرها'!$B:$B,$A1036,'تجربه‌گرها'!$F:$F,K$1)</f>
        <v>0</v>
      </c>
      <c r="L1036" s="242">
        <f>COUNTIFS('تجربه‌گرها'!$B:$B,$A1036,'تجربه‌گرها'!$F:$F,L$1)</f>
        <v>0</v>
      </c>
      <c r="M1036" s="242">
        <f>COUNTIFS('تجربه‌گرها'!$B:$B,$A1036,'تجربه‌گرها'!$F:$F,M$1)</f>
        <v>0</v>
      </c>
      <c r="N1036" s="242">
        <f>COUNTIFS('تجربه‌گرها'!$B:$B,$A1036,'تجربه‌گرها'!$F:$F,N$1)</f>
        <v>1</v>
      </c>
      <c r="O1036" s="242">
        <f>COUNTIFS('تجربه‌گرها'!$B:$B,$A1036,'تجربه‌گرها'!$F:$F,O$1)</f>
        <v>0</v>
      </c>
      <c r="P1036" s="242">
        <f>COUNTIFS('تجربه‌گرها'!$B:$B,$A1036,'تجربه‌گرها'!$F:$F,P$1)</f>
        <v>0</v>
      </c>
      <c r="Q1036" s="242">
        <f>COUNTIFS('تجربه‌گرها'!$B:$B,$A1036,'تجربه‌گرها'!$F:$F,Q$1)</f>
        <v>0</v>
      </c>
      <c r="R1036" s="242">
        <f>COUNTIFS('تجربه‌گرها'!$B:$B,$A1036,'تجربه‌گرها'!$F:$F,R$1)</f>
        <v>0</v>
      </c>
      <c r="S1036" s="242">
        <f>COUNTIFS('تجربه‌گرها'!$B:$B,$A1036,'تجربه‌گرها'!$F:$F,S$1)</f>
        <v>0</v>
      </c>
      <c r="T1036" s="242">
        <f>COUNTIFS('تجربه‌گرها'!$B:$B,$A1036,'تجربه‌گرها'!$F:$F,T$1)</f>
        <v>0</v>
      </c>
      <c r="U1036" s="242"/>
      <c r="V1036" s="242"/>
      <c r="W1036" s="242"/>
      <c r="X1036" s="242"/>
      <c r="Y1036" s="242"/>
      <c r="Z1036" s="242"/>
      <c r="AA1036" s="242"/>
      <c r="AB1036" s="242"/>
    </row>
    <row r="1037" hidden="1">
      <c r="A1037" s="244" t="s">
        <v>5540</v>
      </c>
      <c r="B1037" s="245" t="str">
        <f>VLOOKUP(A1037,'تجربه‌گرها'!B:C,2,FALSE())</f>
        <v>989173376804</v>
      </c>
      <c r="C1037" s="242"/>
      <c r="D1037" s="242">
        <f t="shared" si="1"/>
        <v>1</v>
      </c>
      <c r="E1037" s="242">
        <f>COUNTIFS('تجربه‌گرها'!$B:$B,$A1037,'تجربه‌گرها'!$F:$F,E$1)</f>
        <v>0</v>
      </c>
      <c r="F1037" s="242">
        <f>COUNTIFS('تجربه‌گرها'!$B:$B,$A1037,'تجربه‌گرها'!$F:$F,F$1)</f>
        <v>0</v>
      </c>
      <c r="G1037" s="242">
        <f>COUNTIFS('تجربه‌گرها'!$B:$B,$A1037,'تجربه‌گرها'!$F:$F,G$1)</f>
        <v>0</v>
      </c>
      <c r="H1037" s="242">
        <f>COUNTIFS('تجربه‌گرها'!$B:$B,$A1037,'تجربه‌گرها'!$F:$F,H$1)</f>
        <v>0</v>
      </c>
      <c r="I1037" s="242">
        <f>COUNTIFS('تجربه‌گرها'!$B:$B,$A1037,'تجربه‌گرها'!$F:$F,I$1)</f>
        <v>0</v>
      </c>
      <c r="J1037" s="242">
        <f>COUNTIFS('تجربه‌گرها'!$B:$B,$A1037,'تجربه‌گرها'!$F:$F,J$1)</f>
        <v>0</v>
      </c>
      <c r="K1037" s="242">
        <f>COUNTIFS('تجربه‌گرها'!$B:$B,$A1037,'تجربه‌گرها'!$F:$F,K$1)</f>
        <v>0</v>
      </c>
      <c r="L1037" s="242">
        <f>COUNTIFS('تجربه‌گرها'!$B:$B,$A1037,'تجربه‌گرها'!$F:$F,L$1)</f>
        <v>0</v>
      </c>
      <c r="M1037" s="242">
        <f>COUNTIFS('تجربه‌گرها'!$B:$B,$A1037,'تجربه‌گرها'!$F:$F,M$1)</f>
        <v>0</v>
      </c>
      <c r="N1037" s="242">
        <f>COUNTIFS('تجربه‌گرها'!$B:$B,$A1037,'تجربه‌گرها'!$F:$F,N$1)</f>
        <v>1</v>
      </c>
      <c r="O1037" s="242">
        <f>COUNTIFS('تجربه‌گرها'!$B:$B,$A1037,'تجربه‌گرها'!$F:$F,O$1)</f>
        <v>0</v>
      </c>
      <c r="P1037" s="242">
        <f>COUNTIFS('تجربه‌گرها'!$B:$B,$A1037,'تجربه‌گرها'!$F:$F,P$1)</f>
        <v>0</v>
      </c>
      <c r="Q1037" s="242">
        <f>COUNTIFS('تجربه‌گرها'!$B:$B,$A1037,'تجربه‌گرها'!$F:$F,Q$1)</f>
        <v>0</v>
      </c>
      <c r="R1037" s="242">
        <f>COUNTIFS('تجربه‌گرها'!$B:$B,$A1037,'تجربه‌گرها'!$F:$F,R$1)</f>
        <v>0</v>
      </c>
      <c r="S1037" s="242">
        <f>COUNTIFS('تجربه‌گرها'!$B:$B,$A1037,'تجربه‌گرها'!$F:$F,S$1)</f>
        <v>0</v>
      </c>
      <c r="T1037" s="242">
        <f>COUNTIFS('تجربه‌گرها'!$B:$B,$A1037,'تجربه‌گرها'!$F:$F,T$1)</f>
        <v>0</v>
      </c>
      <c r="U1037" s="242"/>
      <c r="V1037" s="242"/>
      <c r="W1037" s="242"/>
      <c r="X1037" s="242"/>
      <c r="Y1037" s="242"/>
      <c r="Z1037" s="242"/>
      <c r="AA1037" s="242"/>
      <c r="AB1037" s="242"/>
    </row>
    <row r="1038" hidden="1">
      <c r="A1038" s="244" t="s">
        <v>5545</v>
      </c>
      <c r="B1038" s="245" t="str">
        <f>VLOOKUP(A1038,'تجربه‌گرها'!B:C,2,FALSE())</f>
        <v>9123728725</v>
      </c>
      <c r="C1038" s="242"/>
      <c r="D1038" s="242">
        <f t="shared" si="1"/>
        <v>1</v>
      </c>
      <c r="E1038" s="242">
        <f>COUNTIFS('تجربه‌گرها'!$B:$B,$A1038,'تجربه‌گرها'!$F:$F,E$1)</f>
        <v>0</v>
      </c>
      <c r="F1038" s="242">
        <f>COUNTIFS('تجربه‌گرها'!$B:$B,$A1038,'تجربه‌گرها'!$F:$F,F$1)</f>
        <v>0</v>
      </c>
      <c r="G1038" s="242">
        <f>COUNTIFS('تجربه‌گرها'!$B:$B,$A1038,'تجربه‌گرها'!$F:$F,G$1)</f>
        <v>0</v>
      </c>
      <c r="H1038" s="242">
        <f>COUNTIFS('تجربه‌گرها'!$B:$B,$A1038,'تجربه‌گرها'!$F:$F,H$1)</f>
        <v>0</v>
      </c>
      <c r="I1038" s="242">
        <f>COUNTIFS('تجربه‌گرها'!$B:$B,$A1038,'تجربه‌گرها'!$F:$F,I$1)</f>
        <v>0</v>
      </c>
      <c r="J1038" s="242">
        <f>COUNTIFS('تجربه‌گرها'!$B:$B,$A1038,'تجربه‌گرها'!$F:$F,J$1)</f>
        <v>0</v>
      </c>
      <c r="K1038" s="242">
        <f>COUNTIFS('تجربه‌گرها'!$B:$B,$A1038,'تجربه‌گرها'!$F:$F,K$1)</f>
        <v>0</v>
      </c>
      <c r="L1038" s="242">
        <f>COUNTIFS('تجربه‌گرها'!$B:$B,$A1038,'تجربه‌گرها'!$F:$F,L$1)</f>
        <v>0</v>
      </c>
      <c r="M1038" s="242">
        <f>COUNTIFS('تجربه‌گرها'!$B:$B,$A1038,'تجربه‌گرها'!$F:$F,M$1)</f>
        <v>0</v>
      </c>
      <c r="N1038" s="242">
        <f>COUNTIFS('تجربه‌گرها'!$B:$B,$A1038,'تجربه‌گرها'!$F:$F,N$1)</f>
        <v>1</v>
      </c>
      <c r="O1038" s="242">
        <f>COUNTIFS('تجربه‌گرها'!$B:$B,$A1038,'تجربه‌گرها'!$F:$F,O$1)</f>
        <v>0</v>
      </c>
      <c r="P1038" s="242">
        <f>COUNTIFS('تجربه‌گرها'!$B:$B,$A1038,'تجربه‌گرها'!$F:$F,P$1)</f>
        <v>0</v>
      </c>
      <c r="Q1038" s="242">
        <f>COUNTIFS('تجربه‌گرها'!$B:$B,$A1038,'تجربه‌گرها'!$F:$F,Q$1)</f>
        <v>0</v>
      </c>
      <c r="R1038" s="242">
        <f>COUNTIFS('تجربه‌گرها'!$B:$B,$A1038,'تجربه‌گرها'!$F:$F,R$1)</f>
        <v>0</v>
      </c>
      <c r="S1038" s="242">
        <f>COUNTIFS('تجربه‌گرها'!$B:$B,$A1038,'تجربه‌گرها'!$F:$F,S$1)</f>
        <v>0</v>
      </c>
      <c r="T1038" s="242">
        <f>COUNTIFS('تجربه‌گرها'!$B:$B,$A1038,'تجربه‌گرها'!$F:$F,T$1)</f>
        <v>0</v>
      </c>
      <c r="U1038" s="242"/>
      <c r="V1038" s="242"/>
      <c r="W1038" s="242"/>
      <c r="X1038" s="242"/>
      <c r="Y1038" s="242"/>
      <c r="Z1038" s="242"/>
      <c r="AA1038" s="242"/>
      <c r="AB1038" s="242"/>
    </row>
    <row r="1039" hidden="1">
      <c r="A1039" s="244" t="s">
        <v>5548</v>
      </c>
      <c r="B1039" s="245" t="str">
        <f>VLOOKUP(A1039,'تجربه‌گرها'!B:C,2,FALSE())</f>
        <v>989126653006</v>
      </c>
      <c r="C1039" s="242"/>
      <c r="D1039" s="242">
        <f t="shared" si="1"/>
        <v>1</v>
      </c>
      <c r="E1039" s="242">
        <f>COUNTIFS('تجربه‌گرها'!$B:$B,$A1039,'تجربه‌گرها'!$F:$F,E$1)</f>
        <v>0</v>
      </c>
      <c r="F1039" s="242">
        <f>COUNTIFS('تجربه‌گرها'!$B:$B,$A1039,'تجربه‌گرها'!$F:$F,F$1)</f>
        <v>0</v>
      </c>
      <c r="G1039" s="242">
        <f>COUNTIFS('تجربه‌گرها'!$B:$B,$A1039,'تجربه‌گرها'!$F:$F,G$1)</f>
        <v>0</v>
      </c>
      <c r="H1039" s="242">
        <f>COUNTIFS('تجربه‌گرها'!$B:$B,$A1039,'تجربه‌گرها'!$F:$F,H$1)</f>
        <v>0</v>
      </c>
      <c r="I1039" s="242">
        <f>COUNTIFS('تجربه‌گرها'!$B:$B,$A1039,'تجربه‌گرها'!$F:$F,I$1)</f>
        <v>0</v>
      </c>
      <c r="J1039" s="242">
        <f>COUNTIFS('تجربه‌گرها'!$B:$B,$A1039,'تجربه‌گرها'!$F:$F,J$1)</f>
        <v>0</v>
      </c>
      <c r="K1039" s="242">
        <f>COUNTIFS('تجربه‌گرها'!$B:$B,$A1039,'تجربه‌گرها'!$F:$F,K$1)</f>
        <v>0</v>
      </c>
      <c r="L1039" s="242">
        <f>COUNTIFS('تجربه‌گرها'!$B:$B,$A1039,'تجربه‌گرها'!$F:$F,L$1)</f>
        <v>0</v>
      </c>
      <c r="M1039" s="242">
        <f>COUNTIFS('تجربه‌گرها'!$B:$B,$A1039,'تجربه‌گرها'!$F:$F,M$1)</f>
        <v>0</v>
      </c>
      <c r="N1039" s="242">
        <f>COUNTIFS('تجربه‌گرها'!$B:$B,$A1039,'تجربه‌گرها'!$F:$F,N$1)</f>
        <v>1</v>
      </c>
      <c r="O1039" s="242">
        <f>COUNTIFS('تجربه‌گرها'!$B:$B,$A1039,'تجربه‌گرها'!$F:$F,O$1)</f>
        <v>0</v>
      </c>
      <c r="P1039" s="242">
        <f>COUNTIFS('تجربه‌گرها'!$B:$B,$A1039,'تجربه‌گرها'!$F:$F,P$1)</f>
        <v>0</v>
      </c>
      <c r="Q1039" s="242">
        <f>COUNTIFS('تجربه‌گرها'!$B:$B,$A1039,'تجربه‌گرها'!$F:$F,Q$1)</f>
        <v>0</v>
      </c>
      <c r="R1039" s="242">
        <f>COUNTIFS('تجربه‌گرها'!$B:$B,$A1039,'تجربه‌گرها'!$F:$F,R$1)</f>
        <v>0</v>
      </c>
      <c r="S1039" s="242">
        <f>COUNTIFS('تجربه‌گرها'!$B:$B,$A1039,'تجربه‌گرها'!$F:$F,S$1)</f>
        <v>0</v>
      </c>
      <c r="T1039" s="242">
        <f>COUNTIFS('تجربه‌گرها'!$B:$B,$A1039,'تجربه‌گرها'!$F:$F,T$1)</f>
        <v>0</v>
      </c>
      <c r="U1039" s="242"/>
      <c r="V1039" s="242"/>
      <c r="W1039" s="242"/>
      <c r="X1039" s="242"/>
      <c r="Y1039" s="242"/>
      <c r="Z1039" s="242"/>
      <c r="AA1039" s="242"/>
      <c r="AB1039" s="242"/>
    </row>
    <row r="1040" hidden="1">
      <c r="A1040" s="244" t="s">
        <v>5551</v>
      </c>
      <c r="B1040" s="245" t="str">
        <f>VLOOKUP(A1040,'تجربه‌گرها'!B:C,2,FALSE())</f>
        <v>9191991754</v>
      </c>
      <c r="C1040" s="242"/>
      <c r="D1040" s="242">
        <f t="shared" si="1"/>
        <v>1</v>
      </c>
      <c r="E1040" s="242">
        <f>COUNTIFS('تجربه‌گرها'!$B:$B,$A1040,'تجربه‌گرها'!$F:$F,E$1)</f>
        <v>0</v>
      </c>
      <c r="F1040" s="242">
        <f>COUNTIFS('تجربه‌گرها'!$B:$B,$A1040,'تجربه‌گرها'!$F:$F,F$1)</f>
        <v>0</v>
      </c>
      <c r="G1040" s="242">
        <f>COUNTIFS('تجربه‌گرها'!$B:$B,$A1040,'تجربه‌گرها'!$F:$F,G$1)</f>
        <v>0</v>
      </c>
      <c r="H1040" s="242">
        <f>COUNTIFS('تجربه‌گرها'!$B:$B,$A1040,'تجربه‌گرها'!$F:$F,H$1)</f>
        <v>0</v>
      </c>
      <c r="I1040" s="242">
        <f>COUNTIFS('تجربه‌گرها'!$B:$B,$A1040,'تجربه‌گرها'!$F:$F,I$1)</f>
        <v>0</v>
      </c>
      <c r="J1040" s="242">
        <f>COUNTIFS('تجربه‌گرها'!$B:$B,$A1040,'تجربه‌گرها'!$F:$F,J$1)</f>
        <v>0</v>
      </c>
      <c r="K1040" s="242">
        <f>COUNTIFS('تجربه‌گرها'!$B:$B,$A1040,'تجربه‌گرها'!$F:$F,K$1)</f>
        <v>0</v>
      </c>
      <c r="L1040" s="242">
        <f>COUNTIFS('تجربه‌گرها'!$B:$B,$A1040,'تجربه‌گرها'!$F:$F,L$1)</f>
        <v>0</v>
      </c>
      <c r="M1040" s="242">
        <f>COUNTIFS('تجربه‌گرها'!$B:$B,$A1040,'تجربه‌گرها'!$F:$F,M$1)</f>
        <v>0</v>
      </c>
      <c r="N1040" s="242">
        <f>COUNTIFS('تجربه‌گرها'!$B:$B,$A1040,'تجربه‌گرها'!$F:$F,N$1)</f>
        <v>1</v>
      </c>
      <c r="O1040" s="242">
        <f>COUNTIFS('تجربه‌گرها'!$B:$B,$A1040,'تجربه‌گرها'!$F:$F,O$1)</f>
        <v>0</v>
      </c>
      <c r="P1040" s="242">
        <f>COUNTIFS('تجربه‌گرها'!$B:$B,$A1040,'تجربه‌گرها'!$F:$F,P$1)</f>
        <v>0</v>
      </c>
      <c r="Q1040" s="242">
        <f>COUNTIFS('تجربه‌گرها'!$B:$B,$A1040,'تجربه‌گرها'!$F:$F,Q$1)</f>
        <v>0</v>
      </c>
      <c r="R1040" s="242">
        <f>COUNTIFS('تجربه‌گرها'!$B:$B,$A1040,'تجربه‌گرها'!$F:$F,R$1)</f>
        <v>0</v>
      </c>
      <c r="S1040" s="242">
        <f>COUNTIFS('تجربه‌گرها'!$B:$B,$A1040,'تجربه‌گرها'!$F:$F,S$1)</f>
        <v>0</v>
      </c>
      <c r="T1040" s="242">
        <f>COUNTIFS('تجربه‌گرها'!$B:$B,$A1040,'تجربه‌گرها'!$F:$F,T$1)</f>
        <v>0</v>
      </c>
      <c r="U1040" s="242"/>
      <c r="V1040" s="242"/>
      <c r="W1040" s="242"/>
      <c r="X1040" s="242"/>
      <c r="Y1040" s="242"/>
      <c r="Z1040" s="242"/>
      <c r="AA1040" s="242"/>
      <c r="AB1040" s="242"/>
    </row>
    <row r="1041">
      <c r="A1041" s="244" t="s">
        <v>5554</v>
      </c>
      <c r="B1041" s="245" t="str">
        <f>VLOOKUP(A1041,'تجربه‌گرها'!B:C,2,FALSE())</f>
        <v>9126041669</v>
      </c>
      <c r="C1041" s="242"/>
      <c r="D1041" s="242">
        <f t="shared" si="1"/>
        <v>1</v>
      </c>
      <c r="E1041" s="242">
        <f>COUNTIFS('تجربه‌گرها'!$B:$B,$A1041,'تجربه‌گرها'!$F:$F,E$1)</f>
        <v>0</v>
      </c>
      <c r="F1041" s="242">
        <f>COUNTIFS('تجربه‌گرها'!$B:$B,$A1041,'تجربه‌گرها'!$F:$F,F$1)</f>
        <v>0</v>
      </c>
      <c r="G1041" s="242">
        <f>COUNTIFS('تجربه‌گرها'!$B:$B,$A1041,'تجربه‌گرها'!$F:$F,G$1)</f>
        <v>0</v>
      </c>
      <c r="H1041" s="242">
        <f>COUNTIFS('تجربه‌گرها'!$B:$B,$A1041,'تجربه‌گرها'!$F:$F,H$1)</f>
        <v>0</v>
      </c>
      <c r="I1041" s="242">
        <f>COUNTIFS('تجربه‌گرها'!$B:$B,$A1041,'تجربه‌گرها'!$F:$F,I$1)</f>
        <v>0</v>
      </c>
      <c r="J1041" s="242">
        <f>COUNTIFS('تجربه‌گرها'!$B:$B,$A1041,'تجربه‌گرها'!$F:$F,J$1)</f>
        <v>0</v>
      </c>
      <c r="K1041" s="242">
        <f>COUNTIFS('تجربه‌گرها'!$B:$B,$A1041,'تجربه‌گرها'!$F:$F,K$1)</f>
        <v>0</v>
      </c>
      <c r="L1041" s="242">
        <f>COUNTIFS('تجربه‌گرها'!$B:$B,$A1041,'تجربه‌گرها'!$F:$F,L$1)</f>
        <v>0</v>
      </c>
      <c r="M1041" s="242">
        <f>COUNTIFS('تجربه‌گرها'!$B:$B,$A1041,'تجربه‌گرها'!$F:$F,M$1)</f>
        <v>0</v>
      </c>
      <c r="N1041" s="242">
        <f>COUNTIFS('تجربه‌گرها'!$B:$B,$A1041,'تجربه‌گرها'!$F:$F,N$1)</f>
        <v>1</v>
      </c>
      <c r="O1041" s="242">
        <f>COUNTIFS('تجربه‌گرها'!$B:$B,$A1041,'تجربه‌گرها'!$F:$F,O$1)</f>
        <v>0</v>
      </c>
      <c r="P1041" s="242">
        <f>COUNTIFS('تجربه‌گرها'!$B:$B,$A1041,'تجربه‌گرها'!$F:$F,P$1)</f>
        <v>0</v>
      </c>
      <c r="Q1041" s="242">
        <f>COUNTIFS('تجربه‌گرها'!$B:$B,$A1041,'تجربه‌گرها'!$F:$F,Q$1)</f>
        <v>0</v>
      </c>
      <c r="R1041" s="242">
        <f>COUNTIFS('تجربه‌گرها'!$B:$B,$A1041,'تجربه‌گرها'!$F:$F,R$1)</f>
        <v>0</v>
      </c>
      <c r="S1041" s="242">
        <f>COUNTIFS('تجربه‌گرها'!$B:$B,$A1041,'تجربه‌گرها'!$F:$F,S$1)</f>
        <v>0</v>
      </c>
      <c r="T1041" s="242">
        <f>COUNTIFS('تجربه‌گرها'!$B:$B,$A1041,'تجربه‌گرها'!$F:$F,T$1)</f>
        <v>0</v>
      </c>
      <c r="U1041" s="242"/>
      <c r="V1041" s="242"/>
      <c r="W1041" s="242"/>
      <c r="X1041" s="242"/>
      <c r="Y1041" s="242"/>
      <c r="Z1041" s="242"/>
      <c r="AA1041" s="242"/>
      <c r="AB1041" s="242"/>
    </row>
    <row r="1042" hidden="1">
      <c r="A1042" s="244" t="s">
        <v>5556</v>
      </c>
      <c r="B1042" s="245" t="str">
        <f>VLOOKUP(A1042,'تجربه‌گرها'!B:C,2,FALSE())</f>
        <v>989106845524</v>
      </c>
      <c r="C1042" s="242"/>
      <c r="D1042" s="242">
        <f t="shared" si="1"/>
        <v>1</v>
      </c>
      <c r="E1042" s="242">
        <f>COUNTIFS('تجربه‌گرها'!$B:$B,$A1042,'تجربه‌گرها'!$F:$F,E$1)</f>
        <v>0</v>
      </c>
      <c r="F1042" s="242">
        <f>COUNTIFS('تجربه‌گرها'!$B:$B,$A1042,'تجربه‌گرها'!$F:$F,F$1)</f>
        <v>0</v>
      </c>
      <c r="G1042" s="242">
        <f>COUNTIFS('تجربه‌گرها'!$B:$B,$A1042,'تجربه‌گرها'!$F:$F,G$1)</f>
        <v>0</v>
      </c>
      <c r="H1042" s="242">
        <f>COUNTIFS('تجربه‌گرها'!$B:$B,$A1042,'تجربه‌گرها'!$F:$F,H$1)</f>
        <v>0</v>
      </c>
      <c r="I1042" s="242">
        <f>COUNTIFS('تجربه‌گرها'!$B:$B,$A1042,'تجربه‌گرها'!$F:$F,I$1)</f>
        <v>0</v>
      </c>
      <c r="J1042" s="242">
        <f>COUNTIFS('تجربه‌گرها'!$B:$B,$A1042,'تجربه‌گرها'!$F:$F,J$1)</f>
        <v>0</v>
      </c>
      <c r="K1042" s="242">
        <f>COUNTIFS('تجربه‌گرها'!$B:$B,$A1042,'تجربه‌گرها'!$F:$F,K$1)</f>
        <v>0</v>
      </c>
      <c r="L1042" s="242">
        <f>COUNTIFS('تجربه‌گرها'!$B:$B,$A1042,'تجربه‌گرها'!$F:$F,L$1)</f>
        <v>0</v>
      </c>
      <c r="M1042" s="242">
        <f>COUNTIFS('تجربه‌گرها'!$B:$B,$A1042,'تجربه‌گرها'!$F:$F,M$1)</f>
        <v>0</v>
      </c>
      <c r="N1042" s="242">
        <f>COUNTIFS('تجربه‌گرها'!$B:$B,$A1042,'تجربه‌گرها'!$F:$F,N$1)</f>
        <v>1</v>
      </c>
      <c r="O1042" s="242">
        <f>COUNTIFS('تجربه‌گرها'!$B:$B,$A1042,'تجربه‌گرها'!$F:$F,O$1)</f>
        <v>0</v>
      </c>
      <c r="P1042" s="242">
        <f>COUNTIFS('تجربه‌گرها'!$B:$B,$A1042,'تجربه‌گرها'!$F:$F,P$1)</f>
        <v>0</v>
      </c>
      <c r="Q1042" s="242">
        <f>COUNTIFS('تجربه‌گرها'!$B:$B,$A1042,'تجربه‌گرها'!$F:$F,Q$1)</f>
        <v>0</v>
      </c>
      <c r="R1042" s="242">
        <f>COUNTIFS('تجربه‌گرها'!$B:$B,$A1042,'تجربه‌گرها'!$F:$F,R$1)</f>
        <v>0</v>
      </c>
      <c r="S1042" s="242">
        <f>COUNTIFS('تجربه‌گرها'!$B:$B,$A1042,'تجربه‌گرها'!$F:$F,S$1)</f>
        <v>0</v>
      </c>
      <c r="T1042" s="242">
        <f>COUNTIFS('تجربه‌گرها'!$B:$B,$A1042,'تجربه‌گرها'!$F:$F,T$1)</f>
        <v>0</v>
      </c>
      <c r="U1042" s="242"/>
      <c r="V1042" s="242"/>
      <c r="W1042" s="242"/>
      <c r="X1042" s="242"/>
      <c r="Y1042" s="242"/>
      <c r="Z1042" s="242"/>
      <c r="AA1042" s="242"/>
      <c r="AB1042" s="242"/>
    </row>
    <row r="1043" hidden="1">
      <c r="A1043" s="244" t="s">
        <v>5557</v>
      </c>
      <c r="B1043" s="245" t="str">
        <f>VLOOKUP(A1043,'تجربه‌گرها'!B:C,2,FALSE())</f>
        <v>9354343054</v>
      </c>
      <c r="C1043" s="242"/>
      <c r="D1043" s="242">
        <f t="shared" si="1"/>
        <v>1</v>
      </c>
      <c r="E1043" s="242">
        <f>COUNTIFS('تجربه‌گرها'!$B:$B,$A1043,'تجربه‌گرها'!$F:$F,E$1)</f>
        <v>0</v>
      </c>
      <c r="F1043" s="242">
        <f>COUNTIFS('تجربه‌گرها'!$B:$B,$A1043,'تجربه‌گرها'!$F:$F,F$1)</f>
        <v>0</v>
      </c>
      <c r="G1043" s="242">
        <f>COUNTIFS('تجربه‌گرها'!$B:$B,$A1043,'تجربه‌گرها'!$F:$F,G$1)</f>
        <v>0</v>
      </c>
      <c r="H1043" s="242">
        <f>COUNTIFS('تجربه‌گرها'!$B:$B,$A1043,'تجربه‌گرها'!$F:$F,H$1)</f>
        <v>0</v>
      </c>
      <c r="I1043" s="242">
        <f>COUNTIFS('تجربه‌گرها'!$B:$B,$A1043,'تجربه‌گرها'!$F:$F,I$1)</f>
        <v>0</v>
      </c>
      <c r="J1043" s="242">
        <f>COUNTIFS('تجربه‌گرها'!$B:$B,$A1043,'تجربه‌گرها'!$F:$F,J$1)</f>
        <v>0</v>
      </c>
      <c r="K1043" s="242">
        <f>COUNTIFS('تجربه‌گرها'!$B:$B,$A1043,'تجربه‌گرها'!$F:$F,K$1)</f>
        <v>0</v>
      </c>
      <c r="L1043" s="242">
        <f>COUNTIFS('تجربه‌گرها'!$B:$B,$A1043,'تجربه‌گرها'!$F:$F,L$1)</f>
        <v>0</v>
      </c>
      <c r="M1043" s="242">
        <f>COUNTIFS('تجربه‌گرها'!$B:$B,$A1043,'تجربه‌گرها'!$F:$F,M$1)</f>
        <v>0</v>
      </c>
      <c r="N1043" s="242">
        <f>COUNTIFS('تجربه‌گرها'!$B:$B,$A1043,'تجربه‌گرها'!$F:$F,N$1)</f>
        <v>1</v>
      </c>
      <c r="O1043" s="242">
        <f>COUNTIFS('تجربه‌گرها'!$B:$B,$A1043,'تجربه‌گرها'!$F:$F,O$1)</f>
        <v>0</v>
      </c>
      <c r="P1043" s="242">
        <f>COUNTIFS('تجربه‌گرها'!$B:$B,$A1043,'تجربه‌گرها'!$F:$F,P$1)</f>
        <v>0</v>
      </c>
      <c r="Q1043" s="242">
        <f>COUNTIFS('تجربه‌گرها'!$B:$B,$A1043,'تجربه‌گرها'!$F:$F,Q$1)</f>
        <v>0</v>
      </c>
      <c r="R1043" s="242">
        <f>COUNTIFS('تجربه‌گرها'!$B:$B,$A1043,'تجربه‌گرها'!$F:$F,R$1)</f>
        <v>0</v>
      </c>
      <c r="S1043" s="242">
        <f>COUNTIFS('تجربه‌گرها'!$B:$B,$A1043,'تجربه‌گرها'!$F:$F,S$1)</f>
        <v>0</v>
      </c>
      <c r="T1043" s="242">
        <f>COUNTIFS('تجربه‌گرها'!$B:$B,$A1043,'تجربه‌گرها'!$F:$F,T$1)</f>
        <v>0</v>
      </c>
      <c r="U1043" s="242"/>
      <c r="V1043" s="242"/>
      <c r="W1043" s="242"/>
      <c r="X1043" s="242"/>
      <c r="Y1043" s="242"/>
      <c r="Z1043" s="242"/>
      <c r="AA1043" s="242"/>
      <c r="AB1043" s="242"/>
    </row>
    <row r="1044" hidden="1">
      <c r="A1044" s="244" t="s">
        <v>5561</v>
      </c>
      <c r="B1044" s="245" t="str">
        <f>VLOOKUP(A1044,'تجربه‌گرها'!B:C,2,FALSE())</f>
        <v>989120380740</v>
      </c>
      <c r="C1044" s="242"/>
      <c r="D1044" s="242">
        <f t="shared" si="1"/>
        <v>1</v>
      </c>
      <c r="E1044" s="242">
        <f>COUNTIFS('تجربه‌گرها'!$B:$B,$A1044,'تجربه‌گرها'!$F:$F,E$1)</f>
        <v>0</v>
      </c>
      <c r="F1044" s="242">
        <f>COUNTIFS('تجربه‌گرها'!$B:$B,$A1044,'تجربه‌گرها'!$F:$F,F$1)</f>
        <v>0</v>
      </c>
      <c r="G1044" s="242">
        <f>COUNTIFS('تجربه‌گرها'!$B:$B,$A1044,'تجربه‌گرها'!$F:$F,G$1)</f>
        <v>0</v>
      </c>
      <c r="H1044" s="242">
        <f>COUNTIFS('تجربه‌گرها'!$B:$B,$A1044,'تجربه‌گرها'!$F:$F,H$1)</f>
        <v>0</v>
      </c>
      <c r="I1044" s="242">
        <f>COUNTIFS('تجربه‌گرها'!$B:$B,$A1044,'تجربه‌گرها'!$F:$F,I$1)</f>
        <v>0</v>
      </c>
      <c r="J1044" s="242">
        <f>COUNTIFS('تجربه‌گرها'!$B:$B,$A1044,'تجربه‌گرها'!$F:$F,J$1)</f>
        <v>0</v>
      </c>
      <c r="K1044" s="242">
        <f>COUNTIFS('تجربه‌گرها'!$B:$B,$A1044,'تجربه‌گرها'!$F:$F,K$1)</f>
        <v>0</v>
      </c>
      <c r="L1044" s="242">
        <f>COUNTIFS('تجربه‌گرها'!$B:$B,$A1044,'تجربه‌گرها'!$F:$F,L$1)</f>
        <v>0</v>
      </c>
      <c r="M1044" s="242">
        <f>COUNTIFS('تجربه‌گرها'!$B:$B,$A1044,'تجربه‌گرها'!$F:$F,M$1)</f>
        <v>0</v>
      </c>
      <c r="N1044" s="242">
        <f>COUNTIFS('تجربه‌گرها'!$B:$B,$A1044,'تجربه‌گرها'!$F:$F,N$1)</f>
        <v>1</v>
      </c>
      <c r="O1044" s="242">
        <f>COUNTIFS('تجربه‌گرها'!$B:$B,$A1044,'تجربه‌گرها'!$F:$F,O$1)</f>
        <v>0</v>
      </c>
      <c r="P1044" s="242">
        <f>COUNTIFS('تجربه‌گرها'!$B:$B,$A1044,'تجربه‌گرها'!$F:$F,P$1)</f>
        <v>0</v>
      </c>
      <c r="Q1044" s="242">
        <f>COUNTIFS('تجربه‌گرها'!$B:$B,$A1044,'تجربه‌گرها'!$F:$F,Q$1)</f>
        <v>0</v>
      </c>
      <c r="R1044" s="242">
        <f>COUNTIFS('تجربه‌گرها'!$B:$B,$A1044,'تجربه‌گرها'!$F:$F,R$1)</f>
        <v>0</v>
      </c>
      <c r="S1044" s="242">
        <f>COUNTIFS('تجربه‌گرها'!$B:$B,$A1044,'تجربه‌گرها'!$F:$F,S$1)</f>
        <v>0</v>
      </c>
      <c r="T1044" s="242">
        <f>COUNTIFS('تجربه‌گرها'!$B:$B,$A1044,'تجربه‌گرها'!$F:$F,T$1)</f>
        <v>0</v>
      </c>
      <c r="U1044" s="242"/>
      <c r="V1044" s="242"/>
      <c r="W1044" s="242"/>
      <c r="X1044" s="242"/>
      <c r="Y1044" s="242"/>
      <c r="Z1044" s="242"/>
      <c r="AA1044" s="242"/>
      <c r="AB1044" s="242"/>
    </row>
    <row r="1045" hidden="1">
      <c r="A1045" s="244" t="s">
        <v>5563</v>
      </c>
      <c r="B1045" s="245" t="str">
        <f>VLOOKUP(A1045,'تجربه‌گرها'!B:C,2,FALSE())</f>
        <v>989354853466</v>
      </c>
      <c r="C1045" s="242"/>
      <c r="D1045" s="242">
        <f t="shared" si="1"/>
        <v>1</v>
      </c>
      <c r="E1045" s="242">
        <f>COUNTIFS('تجربه‌گرها'!$B:$B,$A1045,'تجربه‌گرها'!$F:$F,E$1)</f>
        <v>0</v>
      </c>
      <c r="F1045" s="242">
        <f>COUNTIFS('تجربه‌گرها'!$B:$B,$A1045,'تجربه‌گرها'!$F:$F,F$1)</f>
        <v>0</v>
      </c>
      <c r="G1045" s="242">
        <f>COUNTIFS('تجربه‌گرها'!$B:$B,$A1045,'تجربه‌گرها'!$F:$F,G$1)</f>
        <v>0</v>
      </c>
      <c r="H1045" s="242">
        <f>COUNTIFS('تجربه‌گرها'!$B:$B,$A1045,'تجربه‌گرها'!$F:$F,H$1)</f>
        <v>0</v>
      </c>
      <c r="I1045" s="242">
        <f>COUNTIFS('تجربه‌گرها'!$B:$B,$A1045,'تجربه‌گرها'!$F:$F,I$1)</f>
        <v>0</v>
      </c>
      <c r="J1045" s="242">
        <f>COUNTIFS('تجربه‌گرها'!$B:$B,$A1045,'تجربه‌گرها'!$F:$F,J$1)</f>
        <v>0</v>
      </c>
      <c r="K1045" s="242">
        <f>COUNTIFS('تجربه‌گرها'!$B:$B,$A1045,'تجربه‌گرها'!$F:$F,K$1)</f>
        <v>0</v>
      </c>
      <c r="L1045" s="242">
        <f>COUNTIFS('تجربه‌گرها'!$B:$B,$A1045,'تجربه‌گرها'!$F:$F,L$1)</f>
        <v>0</v>
      </c>
      <c r="M1045" s="242">
        <f>COUNTIFS('تجربه‌گرها'!$B:$B,$A1045,'تجربه‌گرها'!$F:$F,M$1)</f>
        <v>0</v>
      </c>
      <c r="N1045" s="242">
        <f>COUNTIFS('تجربه‌گرها'!$B:$B,$A1045,'تجربه‌گرها'!$F:$F,N$1)</f>
        <v>1</v>
      </c>
      <c r="O1045" s="242">
        <f>COUNTIFS('تجربه‌گرها'!$B:$B,$A1045,'تجربه‌گرها'!$F:$F,O$1)</f>
        <v>0</v>
      </c>
      <c r="P1045" s="242">
        <f>COUNTIFS('تجربه‌گرها'!$B:$B,$A1045,'تجربه‌گرها'!$F:$F,P$1)</f>
        <v>0</v>
      </c>
      <c r="Q1045" s="242">
        <f>COUNTIFS('تجربه‌گرها'!$B:$B,$A1045,'تجربه‌گرها'!$F:$F,Q$1)</f>
        <v>0</v>
      </c>
      <c r="R1045" s="242">
        <f>COUNTIFS('تجربه‌گرها'!$B:$B,$A1045,'تجربه‌گرها'!$F:$F,R$1)</f>
        <v>0</v>
      </c>
      <c r="S1045" s="242">
        <f>COUNTIFS('تجربه‌گرها'!$B:$B,$A1045,'تجربه‌گرها'!$F:$F,S$1)</f>
        <v>0</v>
      </c>
      <c r="T1045" s="242">
        <f>COUNTIFS('تجربه‌گرها'!$B:$B,$A1045,'تجربه‌گرها'!$F:$F,T$1)</f>
        <v>0</v>
      </c>
      <c r="U1045" s="242"/>
      <c r="V1045" s="242"/>
      <c r="W1045" s="242"/>
      <c r="X1045" s="242"/>
      <c r="Y1045" s="242"/>
      <c r="Z1045" s="242"/>
      <c r="AA1045" s="242"/>
      <c r="AB1045" s="242"/>
    </row>
    <row r="1046" hidden="1">
      <c r="A1046" s="244" t="s">
        <v>5565</v>
      </c>
      <c r="B1046" s="245" t="str">
        <f>VLOOKUP(A1046,'تجربه‌گرها'!B:C,2,FALSE())</f>
        <v>989215503589</v>
      </c>
      <c r="C1046" s="242"/>
      <c r="D1046" s="242">
        <f t="shared" si="1"/>
        <v>2</v>
      </c>
      <c r="E1046" s="242">
        <f>COUNTIFS('تجربه‌گرها'!$B:$B,$A1046,'تجربه‌گرها'!$F:$F,E$1)</f>
        <v>0</v>
      </c>
      <c r="F1046" s="242">
        <f>COUNTIFS('تجربه‌گرها'!$B:$B,$A1046,'تجربه‌گرها'!$F:$F,F$1)</f>
        <v>0</v>
      </c>
      <c r="G1046" s="242">
        <f>COUNTIFS('تجربه‌گرها'!$B:$B,$A1046,'تجربه‌گرها'!$F:$F,G$1)</f>
        <v>0</v>
      </c>
      <c r="H1046" s="242">
        <f>COUNTIFS('تجربه‌گرها'!$B:$B,$A1046,'تجربه‌گرها'!$F:$F,H$1)</f>
        <v>0</v>
      </c>
      <c r="I1046" s="242">
        <f>COUNTIFS('تجربه‌گرها'!$B:$B,$A1046,'تجربه‌گرها'!$F:$F,I$1)</f>
        <v>0</v>
      </c>
      <c r="J1046" s="242">
        <f>COUNTIFS('تجربه‌گرها'!$B:$B,$A1046,'تجربه‌گرها'!$F:$F,J$1)</f>
        <v>0</v>
      </c>
      <c r="K1046" s="242">
        <f>COUNTIFS('تجربه‌گرها'!$B:$B,$A1046,'تجربه‌گرها'!$F:$F,K$1)</f>
        <v>0</v>
      </c>
      <c r="L1046" s="242">
        <f>COUNTIFS('تجربه‌گرها'!$B:$B,$A1046,'تجربه‌گرها'!$F:$F,L$1)</f>
        <v>0</v>
      </c>
      <c r="M1046" s="242">
        <f>COUNTIFS('تجربه‌گرها'!$B:$B,$A1046,'تجربه‌گرها'!$F:$F,M$1)</f>
        <v>0</v>
      </c>
      <c r="N1046" s="242">
        <f>COUNTIFS('تجربه‌گرها'!$B:$B,$A1046,'تجربه‌گرها'!$F:$F,N$1)</f>
        <v>1</v>
      </c>
      <c r="O1046" s="242">
        <f>COUNTIFS('تجربه‌گرها'!$B:$B,$A1046,'تجربه‌گرها'!$F:$F,O$1)</f>
        <v>0</v>
      </c>
      <c r="P1046" s="242">
        <f>COUNTIFS('تجربه‌گرها'!$B:$B,$A1046,'تجربه‌گرها'!$F:$F,P$1)</f>
        <v>0</v>
      </c>
      <c r="Q1046" s="242">
        <f>COUNTIFS('تجربه‌گرها'!$B:$B,$A1046,'تجربه‌گرها'!$F:$F,Q$1)</f>
        <v>1</v>
      </c>
      <c r="R1046" s="242">
        <f>COUNTIFS('تجربه‌گرها'!$B:$B,$A1046,'تجربه‌گرها'!$F:$F,R$1)</f>
        <v>0</v>
      </c>
      <c r="S1046" s="242">
        <f>COUNTIFS('تجربه‌گرها'!$B:$B,$A1046,'تجربه‌گرها'!$F:$F,S$1)</f>
        <v>0</v>
      </c>
      <c r="T1046" s="242">
        <f>COUNTIFS('تجربه‌گرها'!$B:$B,$A1046,'تجربه‌گرها'!$F:$F,T$1)</f>
        <v>0</v>
      </c>
      <c r="U1046" s="242"/>
      <c r="V1046" s="242"/>
      <c r="W1046" s="242"/>
      <c r="X1046" s="242"/>
      <c r="Y1046" s="242"/>
      <c r="Z1046" s="242"/>
      <c r="AA1046" s="242"/>
      <c r="AB1046" s="242"/>
    </row>
    <row r="1047" hidden="1">
      <c r="A1047" s="244" t="s">
        <v>5567</v>
      </c>
      <c r="B1047" s="245" t="str">
        <f>VLOOKUP(A1047,'تجربه‌گرها'!B:C,2,FALSE())</f>
        <v>09301186536</v>
      </c>
      <c r="C1047" s="242"/>
      <c r="D1047" s="242">
        <f t="shared" si="1"/>
        <v>1</v>
      </c>
      <c r="E1047" s="242">
        <f>COUNTIFS('تجربه‌گرها'!$B:$B,$A1047,'تجربه‌گرها'!$F:$F,E$1)</f>
        <v>0</v>
      </c>
      <c r="F1047" s="242">
        <f>COUNTIFS('تجربه‌گرها'!$B:$B,$A1047,'تجربه‌گرها'!$F:$F,F$1)</f>
        <v>0</v>
      </c>
      <c r="G1047" s="242">
        <f>COUNTIFS('تجربه‌گرها'!$B:$B,$A1047,'تجربه‌گرها'!$F:$F,G$1)</f>
        <v>0</v>
      </c>
      <c r="H1047" s="242">
        <f>COUNTIFS('تجربه‌گرها'!$B:$B,$A1047,'تجربه‌گرها'!$F:$F,H$1)</f>
        <v>0</v>
      </c>
      <c r="I1047" s="242">
        <f>COUNTIFS('تجربه‌گرها'!$B:$B,$A1047,'تجربه‌گرها'!$F:$F,I$1)</f>
        <v>0</v>
      </c>
      <c r="J1047" s="242">
        <f>COUNTIFS('تجربه‌گرها'!$B:$B,$A1047,'تجربه‌گرها'!$F:$F,J$1)</f>
        <v>0</v>
      </c>
      <c r="K1047" s="242">
        <f>COUNTIFS('تجربه‌گرها'!$B:$B,$A1047,'تجربه‌گرها'!$F:$F,K$1)</f>
        <v>0</v>
      </c>
      <c r="L1047" s="242">
        <f>COUNTIFS('تجربه‌گرها'!$B:$B,$A1047,'تجربه‌گرها'!$F:$F,L$1)</f>
        <v>0</v>
      </c>
      <c r="M1047" s="242">
        <f>COUNTIFS('تجربه‌گرها'!$B:$B,$A1047,'تجربه‌گرها'!$F:$F,M$1)</f>
        <v>0</v>
      </c>
      <c r="N1047" s="242">
        <f>COUNTIFS('تجربه‌گرها'!$B:$B,$A1047,'تجربه‌گرها'!$F:$F,N$1)</f>
        <v>1</v>
      </c>
      <c r="O1047" s="242">
        <f>COUNTIFS('تجربه‌گرها'!$B:$B,$A1047,'تجربه‌گرها'!$F:$F,O$1)</f>
        <v>0</v>
      </c>
      <c r="P1047" s="242">
        <f>COUNTIFS('تجربه‌گرها'!$B:$B,$A1047,'تجربه‌گرها'!$F:$F,P$1)</f>
        <v>0</v>
      </c>
      <c r="Q1047" s="242">
        <f>COUNTIFS('تجربه‌گرها'!$B:$B,$A1047,'تجربه‌گرها'!$F:$F,Q$1)</f>
        <v>0</v>
      </c>
      <c r="R1047" s="242">
        <f>COUNTIFS('تجربه‌گرها'!$B:$B,$A1047,'تجربه‌گرها'!$F:$F,R$1)</f>
        <v>0</v>
      </c>
      <c r="S1047" s="242">
        <f>COUNTIFS('تجربه‌گرها'!$B:$B,$A1047,'تجربه‌گرها'!$F:$F,S$1)</f>
        <v>0</v>
      </c>
      <c r="T1047" s="242">
        <f>COUNTIFS('تجربه‌گرها'!$B:$B,$A1047,'تجربه‌گرها'!$F:$F,T$1)</f>
        <v>0</v>
      </c>
      <c r="U1047" s="242"/>
      <c r="V1047" s="242"/>
      <c r="W1047" s="242"/>
      <c r="X1047" s="242"/>
      <c r="Y1047" s="242"/>
      <c r="Z1047" s="242"/>
      <c r="AA1047" s="242"/>
      <c r="AB1047" s="242"/>
    </row>
    <row r="1048" hidden="1">
      <c r="A1048" s="244" t="s">
        <v>5570</v>
      </c>
      <c r="B1048" s="245" t="str">
        <f>VLOOKUP(A1048,'تجربه‌گرها'!B:C,2,FALSE())</f>
        <v>989122998576</v>
      </c>
      <c r="C1048" s="242"/>
      <c r="D1048" s="242">
        <f t="shared" si="1"/>
        <v>1</v>
      </c>
      <c r="E1048" s="242">
        <f>COUNTIFS('تجربه‌گرها'!$B:$B,$A1048,'تجربه‌گرها'!$F:$F,E$1)</f>
        <v>0</v>
      </c>
      <c r="F1048" s="242">
        <f>COUNTIFS('تجربه‌گرها'!$B:$B,$A1048,'تجربه‌گرها'!$F:$F,F$1)</f>
        <v>0</v>
      </c>
      <c r="G1048" s="242">
        <f>COUNTIFS('تجربه‌گرها'!$B:$B,$A1048,'تجربه‌گرها'!$F:$F,G$1)</f>
        <v>0</v>
      </c>
      <c r="H1048" s="242">
        <f>COUNTIFS('تجربه‌گرها'!$B:$B,$A1048,'تجربه‌گرها'!$F:$F,H$1)</f>
        <v>0</v>
      </c>
      <c r="I1048" s="242">
        <f>COUNTIFS('تجربه‌گرها'!$B:$B,$A1048,'تجربه‌گرها'!$F:$F,I$1)</f>
        <v>0</v>
      </c>
      <c r="J1048" s="242">
        <f>COUNTIFS('تجربه‌گرها'!$B:$B,$A1048,'تجربه‌گرها'!$F:$F,J$1)</f>
        <v>0</v>
      </c>
      <c r="K1048" s="242">
        <f>COUNTIFS('تجربه‌گرها'!$B:$B,$A1048,'تجربه‌گرها'!$F:$F,K$1)</f>
        <v>0</v>
      </c>
      <c r="L1048" s="242">
        <f>COUNTIFS('تجربه‌گرها'!$B:$B,$A1048,'تجربه‌گرها'!$F:$F,L$1)</f>
        <v>0</v>
      </c>
      <c r="M1048" s="242">
        <f>COUNTIFS('تجربه‌گرها'!$B:$B,$A1048,'تجربه‌گرها'!$F:$F,M$1)</f>
        <v>0</v>
      </c>
      <c r="N1048" s="242">
        <f>COUNTIFS('تجربه‌گرها'!$B:$B,$A1048,'تجربه‌گرها'!$F:$F,N$1)</f>
        <v>1</v>
      </c>
      <c r="O1048" s="242">
        <f>COUNTIFS('تجربه‌گرها'!$B:$B,$A1048,'تجربه‌گرها'!$F:$F,O$1)</f>
        <v>0</v>
      </c>
      <c r="P1048" s="242">
        <f>COUNTIFS('تجربه‌گرها'!$B:$B,$A1048,'تجربه‌گرها'!$F:$F,P$1)</f>
        <v>0</v>
      </c>
      <c r="Q1048" s="242">
        <f>COUNTIFS('تجربه‌گرها'!$B:$B,$A1048,'تجربه‌گرها'!$F:$F,Q$1)</f>
        <v>0</v>
      </c>
      <c r="R1048" s="242">
        <f>COUNTIFS('تجربه‌گرها'!$B:$B,$A1048,'تجربه‌گرها'!$F:$F,R$1)</f>
        <v>0</v>
      </c>
      <c r="S1048" s="242">
        <f>COUNTIFS('تجربه‌گرها'!$B:$B,$A1048,'تجربه‌گرها'!$F:$F,S$1)</f>
        <v>0</v>
      </c>
      <c r="T1048" s="242">
        <f>COUNTIFS('تجربه‌گرها'!$B:$B,$A1048,'تجربه‌گرها'!$F:$F,T$1)</f>
        <v>0</v>
      </c>
      <c r="U1048" s="242"/>
      <c r="V1048" s="242"/>
      <c r="W1048" s="242"/>
      <c r="X1048" s="242"/>
      <c r="Y1048" s="242"/>
      <c r="Z1048" s="242"/>
      <c r="AA1048" s="242"/>
      <c r="AB1048" s="242"/>
    </row>
    <row r="1049" hidden="1">
      <c r="A1049" s="244" t="s">
        <v>5573</v>
      </c>
      <c r="B1049" s="245" t="str">
        <f>VLOOKUP(A1049,'تجربه‌گرها'!B:C,2,FALSE())</f>
        <v>9353638868</v>
      </c>
      <c r="C1049" s="242"/>
      <c r="D1049" s="242">
        <f t="shared" si="1"/>
        <v>1</v>
      </c>
      <c r="E1049" s="242">
        <f>COUNTIFS('تجربه‌گرها'!$B:$B,$A1049,'تجربه‌گرها'!$F:$F,E$1)</f>
        <v>0</v>
      </c>
      <c r="F1049" s="242">
        <f>COUNTIFS('تجربه‌گرها'!$B:$B,$A1049,'تجربه‌گرها'!$F:$F,F$1)</f>
        <v>0</v>
      </c>
      <c r="G1049" s="242">
        <f>COUNTIFS('تجربه‌گرها'!$B:$B,$A1049,'تجربه‌گرها'!$F:$F,G$1)</f>
        <v>0</v>
      </c>
      <c r="H1049" s="242">
        <f>COUNTIFS('تجربه‌گرها'!$B:$B,$A1049,'تجربه‌گرها'!$F:$F,H$1)</f>
        <v>0</v>
      </c>
      <c r="I1049" s="242">
        <f>COUNTIFS('تجربه‌گرها'!$B:$B,$A1049,'تجربه‌گرها'!$F:$F,I$1)</f>
        <v>0</v>
      </c>
      <c r="J1049" s="242">
        <f>COUNTIFS('تجربه‌گرها'!$B:$B,$A1049,'تجربه‌گرها'!$F:$F,J$1)</f>
        <v>0</v>
      </c>
      <c r="K1049" s="242">
        <f>COUNTIFS('تجربه‌گرها'!$B:$B,$A1049,'تجربه‌گرها'!$F:$F,K$1)</f>
        <v>0</v>
      </c>
      <c r="L1049" s="242">
        <f>COUNTIFS('تجربه‌گرها'!$B:$B,$A1049,'تجربه‌گرها'!$F:$F,L$1)</f>
        <v>0</v>
      </c>
      <c r="M1049" s="242">
        <f>COUNTIFS('تجربه‌گرها'!$B:$B,$A1049,'تجربه‌گرها'!$F:$F,M$1)</f>
        <v>0</v>
      </c>
      <c r="N1049" s="242">
        <f>COUNTIFS('تجربه‌گرها'!$B:$B,$A1049,'تجربه‌گرها'!$F:$F,N$1)</f>
        <v>1</v>
      </c>
      <c r="O1049" s="242">
        <f>COUNTIFS('تجربه‌گرها'!$B:$B,$A1049,'تجربه‌گرها'!$F:$F,O$1)</f>
        <v>0</v>
      </c>
      <c r="P1049" s="242">
        <f>COUNTIFS('تجربه‌گرها'!$B:$B,$A1049,'تجربه‌گرها'!$F:$F,P$1)</f>
        <v>0</v>
      </c>
      <c r="Q1049" s="242">
        <f>COUNTIFS('تجربه‌گرها'!$B:$B,$A1049,'تجربه‌گرها'!$F:$F,Q$1)</f>
        <v>0</v>
      </c>
      <c r="R1049" s="242">
        <f>COUNTIFS('تجربه‌گرها'!$B:$B,$A1049,'تجربه‌گرها'!$F:$F,R$1)</f>
        <v>0</v>
      </c>
      <c r="S1049" s="242">
        <f>COUNTIFS('تجربه‌گرها'!$B:$B,$A1049,'تجربه‌گرها'!$F:$F,S$1)</f>
        <v>0</v>
      </c>
      <c r="T1049" s="242">
        <f>COUNTIFS('تجربه‌گرها'!$B:$B,$A1049,'تجربه‌گرها'!$F:$F,T$1)</f>
        <v>0</v>
      </c>
      <c r="U1049" s="242"/>
      <c r="V1049" s="242"/>
      <c r="W1049" s="242"/>
      <c r="X1049" s="242"/>
      <c r="Y1049" s="242"/>
      <c r="Z1049" s="242"/>
      <c r="AA1049" s="242"/>
      <c r="AB1049" s="242"/>
    </row>
    <row r="1050" hidden="1">
      <c r="A1050" s="244" t="s">
        <v>5575</v>
      </c>
      <c r="B1050" s="245" t="str">
        <f>VLOOKUP(A1050,'تجربه‌گرها'!B:C,2,FALSE())</f>
        <v>9124449002</v>
      </c>
      <c r="C1050" s="242"/>
      <c r="D1050" s="242">
        <f t="shared" si="1"/>
        <v>1</v>
      </c>
      <c r="E1050" s="242">
        <f>COUNTIFS('تجربه‌گرها'!$B:$B,$A1050,'تجربه‌گرها'!$F:$F,E$1)</f>
        <v>0</v>
      </c>
      <c r="F1050" s="242">
        <f>COUNTIFS('تجربه‌گرها'!$B:$B,$A1050,'تجربه‌گرها'!$F:$F,F$1)</f>
        <v>0</v>
      </c>
      <c r="G1050" s="242">
        <f>COUNTIFS('تجربه‌گرها'!$B:$B,$A1050,'تجربه‌گرها'!$F:$F,G$1)</f>
        <v>0</v>
      </c>
      <c r="H1050" s="242">
        <f>COUNTIFS('تجربه‌گرها'!$B:$B,$A1050,'تجربه‌گرها'!$F:$F,H$1)</f>
        <v>0</v>
      </c>
      <c r="I1050" s="242">
        <f>COUNTIFS('تجربه‌گرها'!$B:$B,$A1050,'تجربه‌گرها'!$F:$F,I$1)</f>
        <v>0</v>
      </c>
      <c r="J1050" s="242">
        <f>COUNTIFS('تجربه‌گرها'!$B:$B,$A1050,'تجربه‌گرها'!$F:$F,J$1)</f>
        <v>0</v>
      </c>
      <c r="K1050" s="242">
        <f>COUNTIFS('تجربه‌گرها'!$B:$B,$A1050,'تجربه‌گرها'!$F:$F,K$1)</f>
        <v>0</v>
      </c>
      <c r="L1050" s="242">
        <f>COUNTIFS('تجربه‌گرها'!$B:$B,$A1050,'تجربه‌گرها'!$F:$F,L$1)</f>
        <v>0</v>
      </c>
      <c r="M1050" s="242">
        <f>COUNTIFS('تجربه‌گرها'!$B:$B,$A1050,'تجربه‌گرها'!$F:$F,M$1)</f>
        <v>0</v>
      </c>
      <c r="N1050" s="242">
        <f>COUNTIFS('تجربه‌گرها'!$B:$B,$A1050,'تجربه‌گرها'!$F:$F,N$1)</f>
        <v>1</v>
      </c>
      <c r="O1050" s="242">
        <f>COUNTIFS('تجربه‌گرها'!$B:$B,$A1050,'تجربه‌گرها'!$F:$F,O$1)</f>
        <v>0</v>
      </c>
      <c r="P1050" s="242">
        <f>COUNTIFS('تجربه‌گرها'!$B:$B,$A1050,'تجربه‌گرها'!$F:$F,P$1)</f>
        <v>0</v>
      </c>
      <c r="Q1050" s="242">
        <f>COUNTIFS('تجربه‌گرها'!$B:$B,$A1050,'تجربه‌گرها'!$F:$F,Q$1)</f>
        <v>0</v>
      </c>
      <c r="R1050" s="242">
        <f>COUNTIFS('تجربه‌گرها'!$B:$B,$A1050,'تجربه‌گرها'!$F:$F,R$1)</f>
        <v>0</v>
      </c>
      <c r="S1050" s="242">
        <f>COUNTIFS('تجربه‌گرها'!$B:$B,$A1050,'تجربه‌گرها'!$F:$F,S$1)</f>
        <v>0</v>
      </c>
      <c r="T1050" s="242">
        <f>COUNTIFS('تجربه‌گرها'!$B:$B,$A1050,'تجربه‌گرها'!$F:$F,T$1)</f>
        <v>0</v>
      </c>
      <c r="U1050" s="242"/>
      <c r="V1050" s="242"/>
      <c r="W1050" s="242"/>
      <c r="X1050" s="242"/>
      <c r="Y1050" s="242"/>
      <c r="Z1050" s="242"/>
      <c r="AA1050" s="242"/>
      <c r="AB1050" s="242"/>
    </row>
    <row r="1051" hidden="1">
      <c r="A1051" s="244" t="s">
        <v>5578</v>
      </c>
      <c r="B1051" s="245" t="str">
        <f>VLOOKUP(A1051,'تجربه‌گرها'!B:C,2,FALSE())</f>
        <v>989212792657</v>
      </c>
      <c r="C1051" s="242"/>
      <c r="D1051" s="242">
        <f t="shared" si="1"/>
        <v>2</v>
      </c>
      <c r="E1051" s="242">
        <f>COUNTIFS('تجربه‌گرها'!$B:$B,$A1051,'تجربه‌گرها'!$F:$F,E$1)</f>
        <v>0</v>
      </c>
      <c r="F1051" s="242">
        <f>COUNTIFS('تجربه‌گرها'!$B:$B,$A1051,'تجربه‌گرها'!$F:$F,F$1)</f>
        <v>0</v>
      </c>
      <c r="G1051" s="242">
        <f>COUNTIFS('تجربه‌گرها'!$B:$B,$A1051,'تجربه‌گرها'!$F:$F,G$1)</f>
        <v>0</v>
      </c>
      <c r="H1051" s="242">
        <f>COUNTIFS('تجربه‌گرها'!$B:$B,$A1051,'تجربه‌گرها'!$F:$F,H$1)</f>
        <v>0</v>
      </c>
      <c r="I1051" s="242">
        <f>COUNTIFS('تجربه‌گرها'!$B:$B,$A1051,'تجربه‌گرها'!$F:$F,I$1)</f>
        <v>0</v>
      </c>
      <c r="J1051" s="242">
        <f>COUNTIFS('تجربه‌گرها'!$B:$B,$A1051,'تجربه‌گرها'!$F:$F,J$1)</f>
        <v>0</v>
      </c>
      <c r="K1051" s="242">
        <f>COUNTIFS('تجربه‌گرها'!$B:$B,$A1051,'تجربه‌گرها'!$F:$F,K$1)</f>
        <v>0</v>
      </c>
      <c r="L1051" s="242">
        <f>COUNTIFS('تجربه‌گرها'!$B:$B,$A1051,'تجربه‌گرها'!$F:$F,L$1)</f>
        <v>0</v>
      </c>
      <c r="M1051" s="242">
        <f>COUNTIFS('تجربه‌گرها'!$B:$B,$A1051,'تجربه‌گرها'!$F:$F,M$1)</f>
        <v>0</v>
      </c>
      <c r="N1051" s="242">
        <f>COUNTIFS('تجربه‌گرها'!$B:$B,$A1051,'تجربه‌گرها'!$F:$F,N$1)</f>
        <v>1</v>
      </c>
      <c r="O1051" s="242">
        <f>COUNTIFS('تجربه‌گرها'!$B:$B,$A1051,'تجربه‌گرها'!$F:$F,O$1)</f>
        <v>0</v>
      </c>
      <c r="P1051" s="242">
        <f>COUNTIFS('تجربه‌گرها'!$B:$B,$A1051,'تجربه‌گرها'!$F:$F,P$1)</f>
        <v>1</v>
      </c>
      <c r="Q1051" s="242">
        <f>COUNTIFS('تجربه‌گرها'!$B:$B,$A1051,'تجربه‌گرها'!$F:$F,Q$1)</f>
        <v>0</v>
      </c>
      <c r="R1051" s="242">
        <f>COUNTIFS('تجربه‌گرها'!$B:$B,$A1051,'تجربه‌گرها'!$F:$F,R$1)</f>
        <v>0</v>
      </c>
      <c r="S1051" s="242">
        <f>COUNTIFS('تجربه‌گرها'!$B:$B,$A1051,'تجربه‌گرها'!$F:$F,S$1)</f>
        <v>0</v>
      </c>
      <c r="T1051" s="242">
        <f>COUNTIFS('تجربه‌گرها'!$B:$B,$A1051,'تجربه‌گرها'!$F:$F,T$1)</f>
        <v>0</v>
      </c>
      <c r="U1051" s="242"/>
      <c r="V1051" s="242"/>
      <c r="W1051" s="242"/>
      <c r="X1051" s="242"/>
      <c r="Y1051" s="242"/>
      <c r="Z1051" s="242"/>
      <c r="AA1051" s="242"/>
      <c r="AB1051" s="242"/>
    </row>
    <row r="1052" hidden="1">
      <c r="A1052" s="244" t="s">
        <v>5580</v>
      </c>
      <c r="B1052" s="245" t="str">
        <f>VLOOKUP(A1052,'تجربه‌گرها'!B:C,2,FALSE())</f>
        <v>989125707560</v>
      </c>
      <c r="C1052" s="242"/>
      <c r="D1052" s="242">
        <f t="shared" si="1"/>
        <v>1</v>
      </c>
      <c r="E1052" s="242">
        <f>COUNTIFS('تجربه‌گرها'!$B:$B,$A1052,'تجربه‌گرها'!$F:$F,E$1)</f>
        <v>0</v>
      </c>
      <c r="F1052" s="242">
        <f>COUNTIFS('تجربه‌گرها'!$B:$B,$A1052,'تجربه‌گرها'!$F:$F,F$1)</f>
        <v>0</v>
      </c>
      <c r="G1052" s="242">
        <f>COUNTIFS('تجربه‌گرها'!$B:$B,$A1052,'تجربه‌گرها'!$F:$F,G$1)</f>
        <v>0</v>
      </c>
      <c r="H1052" s="242">
        <f>COUNTIFS('تجربه‌گرها'!$B:$B,$A1052,'تجربه‌گرها'!$F:$F,H$1)</f>
        <v>0</v>
      </c>
      <c r="I1052" s="242">
        <f>COUNTIFS('تجربه‌گرها'!$B:$B,$A1052,'تجربه‌گرها'!$F:$F,I$1)</f>
        <v>0</v>
      </c>
      <c r="J1052" s="242">
        <f>COUNTIFS('تجربه‌گرها'!$B:$B,$A1052,'تجربه‌گرها'!$F:$F,J$1)</f>
        <v>0</v>
      </c>
      <c r="K1052" s="242">
        <f>COUNTIFS('تجربه‌گرها'!$B:$B,$A1052,'تجربه‌گرها'!$F:$F,K$1)</f>
        <v>0</v>
      </c>
      <c r="L1052" s="242">
        <f>COUNTIFS('تجربه‌گرها'!$B:$B,$A1052,'تجربه‌گرها'!$F:$F,L$1)</f>
        <v>0</v>
      </c>
      <c r="M1052" s="242">
        <f>COUNTIFS('تجربه‌گرها'!$B:$B,$A1052,'تجربه‌گرها'!$F:$F,M$1)</f>
        <v>0</v>
      </c>
      <c r="N1052" s="242">
        <f>COUNTIFS('تجربه‌گرها'!$B:$B,$A1052,'تجربه‌گرها'!$F:$F,N$1)</f>
        <v>1</v>
      </c>
      <c r="O1052" s="242">
        <f>COUNTIFS('تجربه‌گرها'!$B:$B,$A1052,'تجربه‌گرها'!$F:$F,O$1)</f>
        <v>0</v>
      </c>
      <c r="P1052" s="242">
        <f>COUNTIFS('تجربه‌گرها'!$B:$B,$A1052,'تجربه‌گرها'!$F:$F,P$1)</f>
        <v>0</v>
      </c>
      <c r="Q1052" s="242">
        <f>COUNTIFS('تجربه‌گرها'!$B:$B,$A1052,'تجربه‌گرها'!$F:$F,Q$1)</f>
        <v>0</v>
      </c>
      <c r="R1052" s="242">
        <f>COUNTIFS('تجربه‌گرها'!$B:$B,$A1052,'تجربه‌گرها'!$F:$F,R$1)</f>
        <v>0</v>
      </c>
      <c r="S1052" s="242">
        <f>COUNTIFS('تجربه‌گرها'!$B:$B,$A1052,'تجربه‌گرها'!$F:$F,S$1)</f>
        <v>0</v>
      </c>
      <c r="T1052" s="242">
        <f>COUNTIFS('تجربه‌گرها'!$B:$B,$A1052,'تجربه‌گرها'!$F:$F,T$1)</f>
        <v>0</v>
      </c>
      <c r="U1052" s="242"/>
      <c r="V1052" s="242"/>
      <c r="W1052" s="242"/>
      <c r="X1052" s="242"/>
      <c r="Y1052" s="242"/>
      <c r="Z1052" s="242"/>
      <c r="AA1052" s="242"/>
      <c r="AB1052" s="242"/>
    </row>
    <row r="1053" hidden="1">
      <c r="A1053" s="244" t="s">
        <v>5583</v>
      </c>
      <c r="B1053" s="245" t="str">
        <f>VLOOKUP(A1053,'تجربه‌گرها'!B:C,2,FALSE())</f>
        <v>989108437191</v>
      </c>
      <c r="C1053" s="242"/>
      <c r="D1053" s="242">
        <f t="shared" si="1"/>
        <v>1</v>
      </c>
      <c r="E1053" s="242">
        <f>COUNTIFS('تجربه‌گرها'!$B:$B,$A1053,'تجربه‌گرها'!$F:$F,E$1)</f>
        <v>0</v>
      </c>
      <c r="F1053" s="242">
        <f>COUNTIFS('تجربه‌گرها'!$B:$B,$A1053,'تجربه‌گرها'!$F:$F,F$1)</f>
        <v>0</v>
      </c>
      <c r="G1053" s="242">
        <f>COUNTIFS('تجربه‌گرها'!$B:$B,$A1053,'تجربه‌گرها'!$F:$F,G$1)</f>
        <v>0</v>
      </c>
      <c r="H1053" s="242">
        <f>COUNTIFS('تجربه‌گرها'!$B:$B,$A1053,'تجربه‌گرها'!$F:$F,H$1)</f>
        <v>0</v>
      </c>
      <c r="I1053" s="242">
        <f>COUNTIFS('تجربه‌گرها'!$B:$B,$A1053,'تجربه‌گرها'!$F:$F,I$1)</f>
        <v>0</v>
      </c>
      <c r="J1053" s="242">
        <f>COUNTIFS('تجربه‌گرها'!$B:$B,$A1053,'تجربه‌گرها'!$F:$F,J$1)</f>
        <v>0</v>
      </c>
      <c r="K1053" s="242">
        <f>COUNTIFS('تجربه‌گرها'!$B:$B,$A1053,'تجربه‌گرها'!$F:$F,K$1)</f>
        <v>0</v>
      </c>
      <c r="L1053" s="242">
        <f>COUNTIFS('تجربه‌گرها'!$B:$B,$A1053,'تجربه‌گرها'!$F:$F,L$1)</f>
        <v>0</v>
      </c>
      <c r="M1053" s="242">
        <f>COUNTIFS('تجربه‌گرها'!$B:$B,$A1053,'تجربه‌گرها'!$F:$F,M$1)</f>
        <v>0</v>
      </c>
      <c r="N1053" s="242">
        <f>COUNTIFS('تجربه‌گرها'!$B:$B,$A1053,'تجربه‌گرها'!$F:$F,N$1)</f>
        <v>1</v>
      </c>
      <c r="O1053" s="242">
        <f>COUNTIFS('تجربه‌گرها'!$B:$B,$A1053,'تجربه‌گرها'!$F:$F,O$1)</f>
        <v>0</v>
      </c>
      <c r="P1053" s="242">
        <f>COUNTIFS('تجربه‌گرها'!$B:$B,$A1053,'تجربه‌گرها'!$F:$F,P$1)</f>
        <v>0</v>
      </c>
      <c r="Q1053" s="242">
        <f>COUNTIFS('تجربه‌گرها'!$B:$B,$A1053,'تجربه‌گرها'!$F:$F,Q$1)</f>
        <v>0</v>
      </c>
      <c r="R1053" s="242">
        <f>COUNTIFS('تجربه‌گرها'!$B:$B,$A1053,'تجربه‌گرها'!$F:$F,R$1)</f>
        <v>0</v>
      </c>
      <c r="S1053" s="242">
        <f>COUNTIFS('تجربه‌گرها'!$B:$B,$A1053,'تجربه‌گرها'!$F:$F,S$1)</f>
        <v>0</v>
      </c>
      <c r="T1053" s="242">
        <f>COUNTIFS('تجربه‌گرها'!$B:$B,$A1053,'تجربه‌گرها'!$F:$F,T$1)</f>
        <v>0</v>
      </c>
      <c r="U1053" s="242"/>
      <c r="V1053" s="242"/>
      <c r="W1053" s="242"/>
      <c r="X1053" s="242"/>
      <c r="Y1053" s="242"/>
      <c r="Z1053" s="242"/>
      <c r="AA1053" s="242"/>
      <c r="AB1053" s="242"/>
    </row>
    <row r="1054">
      <c r="A1054" s="244" t="s">
        <v>5587</v>
      </c>
      <c r="B1054" s="245" t="str">
        <f>VLOOKUP(A1054,'تجربه‌گرها'!B:C,2,FALSE())</f>
        <v>9366667856</v>
      </c>
      <c r="C1054" s="242"/>
      <c r="D1054" s="242">
        <f t="shared" si="1"/>
        <v>1</v>
      </c>
      <c r="E1054" s="242">
        <f>COUNTIFS('تجربه‌گرها'!$B:$B,$A1054,'تجربه‌گرها'!$F:$F,E$1)</f>
        <v>0</v>
      </c>
      <c r="F1054" s="242">
        <f>COUNTIFS('تجربه‌گرها'!$B:$B,$A1054,'تجربه‌گرها'!$F:$F,F$1)</f>
        <v>0</v>
      </c>
      <c r="G1054" s="242">
        <f>COUNTIFS('تجربه‌گرها'!$B:$B,$A1054,'تجربه‌گرها'!$F:$F,G$1)</f>
        <v>0</v>
      </c>
      <c r="H1054" s="242">
        <f>COUNTIFS('تجربه‌گرها'!$B:$B,$A1054,'تجربه‌گرها'!$F:$F,H$1)</f>
        <v>0</v>
      </c>
      <c r="I1054" s="242">
        <f>COUNTIFS('تجربه‌گرها'!$B:$B,$A1054,'تجربه‌گرها'!$F:$F,I$1)</f>
        <v>0</v>
      </c>
      <c r="J1054" s="242">
        <f>COUNTIFS('تجربه‌گرها'!$B:$B,$A1054,'تجربه‌گرها'!$F:$F,J$1)</f>
        <v>0</v>
      </c>
      <c r="K1054" s="242">
        <f>COUNTIFS('تجربه‌گرها'!$B:$B,$A1054,'تجربه‌گرها'!$F:$F,K$1)</f>
        <v>0</v>
      </c>
      <c r="L1054" s="242">
        <f>COUNTIFS('تجربه‌گرها'!$B:$B,$A1054,'تجربه‌گرها'!$F:$F,L$1)</f>
        <v>0</v>
      </c>
      <c r="M1054" s="242">
        <f>COUNTIFS('تجربه‌گرها'!$B:$B,$A1054,'تجربه‌گرها'!$F:$F,M$1)</f>
        <v>0</v>
      </c>
      <c r="N1054" s="242">
        <f>COUNTIFS('تجربه‌گرها'!$B:$B,$A1054,'تجربه‌گرها'!$F:$F,N$1)</f>
        <v>1</v>
      </c>
      <c r="O1054" s="242">
        <f>COUNTIFS('تجربه‌گرها'!$B:$B,$A1054,'تجربه‌گرها'!$F:$F,O$1)</f>
        <v>0</v>
      </c>
      <c r="P1054" s="242">
        <f>COUNTIFS('تجربه‌گرها'!$B:$B,$A1054,'تجربه‌گرها'!$F:$F,P$1)</f>
        <v>0</v>
      </c>
      <c r="Q1054" s="242">
        <f>COUNTIFS('تجربه‌گرها'!$B:$B,$A1054,'تجربه‌گرها'!$F:$F,Q$1)</f>
        <v>0</v>
      </c>
      <c r="R1054" s="242">
        <f>COUNTIFS('تجربه‌گرها'!$B:$B,$A1054,'تجربه‌گرها'!$F:$F,R$1)</f>
        <v>0</v>
      </c>
      <c r="S1054" s="242">
        <f>COUNTIFS('تجربه‌گرها'!$B:$B,$A1054,'تجربه‌گرها'!$F:$F,S$1)</f>
        <v>0</v>
      </c>
      <c r="T1054" s="242">
        <f>COUNTIFS('تجربه‌گرها'!$B:$B,$A1054,'تجربه‌گرها'!$F:$F,T$1)</f>
        <v>0</v>
      </c>
      <c r="U1054" s="242"/>
      <c r="V1054" s="242"/>
      <c r="W1054" s="242"/>
      <c r="X1054" s="242"/>
      <c r="Y1054" s="242"/>
      <c r="Z1054" s="242"/>
      <c r="AA1054" s="242"/>
      <c r="AB1054" s="242"/>
    </row>
    <row r="1055" hidden="1">
      <c r="A1055" s="244" t="s">
        <v>5590</v>
      </c>
      <c r="B1055" s="245" t="str">
        <f>VLOOKUP(A1055,'تجربه‌گرها'!B:C,2,FALSE())</f>
        <v>989118911002</v>
      </c>
      <c r="C1055" s="242"/>
      <c r="D1055" s="242">
        <f t="shared" si="1"/>
        <v>2</v>
      </c>
      <c r="E1055" s="242">
        <f>COUNTIFS('تجربه‌گرها'!$B:$B,$A1055,'تجربه‌گرها'!$F:$F,E$1)</f>
        <v>0</v>
      </c>
      <c r="F1055" s="242">
        <f>COUNTIFS('تجربه‌گرها'!$B:$B,$A1055,'تجربه‌گرها'!$F:$F,F$1)</f>
        <v>0</v>
      </c>
      <c r="G1055" s="242">
        <f>COUNTIFS('تجربه‌گرها'!$B:$B,$A1055,'تجربه‌گرها'!$F:$F,G$1)</f>
        <v>0</v>
      </c>
      <c r="H1055" s="242">
        <f>COUNTIFS('تجربه‌گرها'!$B:$B,$A1055,'تجربه‌گرها'!$F:$F,H$1)</f>
        <v>0</v>
      </c>
      <c r="I1055" s="242">
        <f>COUNTIFS('تجربه‌گرها'!$B:$B,$A1055,'تجربه‌گرها'!$F:$F,I$1)</f>
        <v>0</v>
      </c>
      <c r="J1055" s="242">
        <f>COUNTIFS('تجربه‌گرها'!$B:$B,$A1055,'تجربه‌گرها'!$F:$F,J$1)</f>
        <v>0</v>
      </c>
      <c r="K1055" s="242">
        <f>COUNTIFS('تجربه‌گرها'!$B:$B,$A1055,'تجربه‌گرها'!$F:$F,K$1)</f>
        <v>0</v>
      </c>
      <c r="L1055" s="242">
        <f>COUNTIFS('تجربه‌گرها'!$B:$B,$A1055,'تجربه‌گرها'!$F:$F,L$1)</f>
        <v>0</v>
      </c>
      <c r="M1055" s="242">
        <f>COUNTIFS('تجربه‌گرها'!$B:$B,$A1055,'تجربه‌گرها'!$F:$F,M$1)</f>
        <v>0</v>
      </c>
      <c r="N1055" s="242">
        <f>COUNTIFS('تجربه‌گرها'!$B:$B,$A1055,'تجربه‌گرها'!$F:$F,N$1)</f>
        <v>1</v>
      </c>
      <c r="O1055" s="242">
        <f>COUNTIFS('تجربه‌گرها'!$B:$B,$A1055,'تجربه‌گرها'!$F:$F,O$1)</f>
        <v>1</v>
      </c>
      <c r="P1055" s="242">
        <f>COUNTIFS('تجربه‌گرها'!$B:$B,$A1055,'تجربه‌گرها'!$F:$F,P$1)</f>
        <v>0</v>
      </c>
      <c r="Q1055" s="242">
        <f>COUNTIFS('تجربه‌گرها'!$B:$B,$A1055,'تجربه‌گرها'!$F:$F,Q$1)</f>
        <v>0</v>
      </c>
      <c r="R1055" s="242">
        <f>COUNTIFS('تجربه‌گرها'!$B:$B,$A1055,'تجربه‌گرها'!$F:$F,R$1)</f>
        <v>0</v>
      </c>
      <c r="S1055" s="242">
        <f>COUNTIFS('تجربه‌گرها'!$B:$B,$A1055,'تجربه‌گرها'!$F:$F,S$1)</f>
        <v>0</v>
      </c>
      <c r="T1055" s="242">
        <f>COUNTIFS('تجربه‌گرها'!$B:$B,$A1055,'تجربه‌گرها'!$F:$F,T$1)</f>
        <v>0</v>
      </c>
      <c r="U1055" s="242"/>
      <c r="V1055" s="242"/>
      <c r="W1055" s="242"/>
      <c r="X1055" s="242"/>
      <c r="Y1055" s="242"/>
      <c r="Z1055" s="242"/>
      <c r="AA1055" s="242"/>
      <c r="AB1055" s="242"/>
    </row>
    <row r="1056" hidden="1">
      <c r="A1056" s="244" t="s">
        <v>5593</v>
      </c>
      <c r="B1056" s="245" t="str">
        <f>VLOOKUP(A1056,'تجربه‌گرها'!B:C,2,FALSE())</f>
        <v>9394570707</v>
      </c>
      <c r="C1056" s="242"/>
      <c r="D1056" s="242">
        <f t="shared" si="1"/>
        <v>1</v>
      </c>
      <c r="E1056" s="242">
        <f>COUNTIFS('تجربه‌گرها'!$B:$B,$A1056,'تجربه‌گرها'!$F:$F,E$1)</f>
        <v>0</v>
      </c>
      <c r="F1056" s="242">
        <f>COUNTIFS('تجربه‌گرها'!$B:$B,$A1056,'تجربه‌گرها'!$F:$F,F$1)</f>
        <v>0</v>
      </c>
      <c r="G1056" s="242">
        <f>COUNTIFS('تجربه‌گرها'!$B:$B,$A1056,'تجربه‌گرها'!$F:$F,G$1)</f>
        <v>0</v>
      </c>
      <c r="H1056" s="242">
        <f>COUNTIFS('تجربه‌گرها'!$B:$B,$A1056,'تجربه‌گرها'!$F:$F,H$1)</f>
        <v>0</v>
      </c>
      <c r="I1056" s="242">
        <f>COUNTIFS('تجربه‌گرها'!$B:$B,$A1056,'تجربه‌گرها'!$F:$F,I$1)</f>
        <v>0</v>
      </c>
      <c r="J1056" s="242">
        <f>COUNTIFS('تجربه‌گرها'!$B:$B,$A1056,'تجربه‌گرها'!$F:$F,J$1)</f>
        <v>0</v>
      </c>
      <c r="K1056" s="242">
        <f>COUNTIFS('تجربه‌گرها'!$B:$B,$A1056,'تجربه‌گرها'!$F:$F,K$1)</f>
        <v>0</v>
      </c>
      <c r="L1056" s="242">
        <f>COUNTIFS('تجربه‌گرها'!$B:$B,$A1056,'تجربه‌گرها'!$F:$F,L$1)</f>
        <v>0</v>
      </c>
      <c r="M1056" s="242">
        <f>COUNTIFS('تجربه‌گرها'!$B:$B,$A1056,'تجربه‌گرها'!$F:$F,M$1)</f>
        <v>0</v>
      </c>
      <c r="N1056" s="242">
        <f>COUNTIFS('تجربه‌گرها'!$B:$B,$A1056,'تجربه‌گرها'!$F:$F,N$1)</f>
        <v>1</v>
      </c>
      <c r="O1056" s="242">
        <f>COUNTIFS('تجربه‌گرها'!$B:$B,$A1056,'تجربه‌گرها'!$F:$F,O$1)</f>
        <v>0</v>
      </c>
      <c r="P1056" s="242">
        <f>COUNTIFS('تجربه‌گرها'!$B:$B,$A1056,'تجربه‌گرها'!$F:$F,P$1)</f>
        <v>0</v>
      </c>
      <c r="Q1056" s="242">
        <f>COUNTIFS('تجربه‌گرها'!$B:$B,$A1056,'تجربه‌گرها'!$F:$F,Q$1)</f>
        <v>0</v>
      </c>
      <c r="R1056" s="242">
        <f>COUNTIFS('تجربه‌گرها'!$B:$B,$A1056,'تجربه‌گرها'!$F:$F,R$1)</f>
        <v>0</v>
      </c>
      <c r="S1056" s="242">
        <f>COUNTIFS('تجربه‌گرها'!$B:$B,$A1056,'تجربه‌گرها'!$F:$F,S$1)</f>
        <v>0</v>
      </c>
      <c r="T1056" s="242">
        <f>COUNTIFS('تجربه‌گرها'!$B:$B,$A1056,'تجربه‌گرها'!$F:$F,T$1)</f>
        <v>0</v>
      </c>
      <c r="U1056" s="242"/>
      <c r="V1056" s="242"/>
      <c r="W1056" s="242"/>
      <c r="X1056" s="242"/>
      <c r="Y1056" s="242"/>
      <c r="Z1056" s="242"/>
      <c r="AA1056" s="242"/>
      <c r="AB1056" s="242"/>
    </row>
    <row r="1057" hidden="1">
      <c r="A1057" s="244" t="s">
        <v>5597</v>
      </c>
      <c r="B1057" s="245" t="str">
        <f>VLOOKUP(A1057,'تجربه‌گرها'!B:C,2,FALSE())</f>
        <v>989122885077</v>
      </c>
      <c r="C1057" s="242"/>
      <c r="D1057" s="242">
        <f t="shared" si="1"/>
        <v>1</v>
      </c>
      <c r="E1057" s="242">
        <f>COUNTIFS('تجربه‌گرها'!$B:$B,$A1057,'تجربه‌گرها'!$F:$F,E$1)</f>
        <v>0</v>
      </c>
      <c r="F1057" s="242">
        <f>COUNTIFS('تجربه‌گرها'!$B:$B,$A1057,'تجربه‌گرها'!$F:$F,F$1)</f>
        <v>0</v>
      </c>
      <c r="G1057" s="242">
        <f>COUNTIFS('تجربه‌گرها'!$B:$B,$A1057,'تجربه‌گرها'!$F:$F,G$1)</f>
        <v>0</v>
      </c>
      <c r="H1057" s="242">
        <f>COUNTIFS('تجربه‌گرها'!$B:$B,$A1057,'تجربه‌گرها'!$F:$F,H$1)</f>
        <v>0</v>
      </c>
      <c r="I1057" s="242">
        <f>COUNTIFS('تجربه‌گرها'!$B:$B,$A1057,'تجربه‌گرها'!$F:$F,I$1)</f>
        <v>0</v>
      </c>
      <c r="J1057" s="242">
        <f>COUNTIFS('تجربه‌گرها'!$B:$B,$A1057,'تجربه‌گرها'!$F:$F,J$1)</f>
        <v>0</v>
      </c>
      <c r="K1057" s="242">
        <f>COUNTIFS('تجربه‌گرها'!$B:$B,$A1057,'تجربه‌گرها'!$F:$F,K$1)</f>
        <v>0</v>
      </c>
      <c r="L1057" s="242">
        <f>COUNTIFS('تجربه‌گرها'!$B:$B,$A1057,'تجربه‌گرها'!$F:$F,L$1)</f>
        <v>0</v>
      </c>
      <c r="M1057" s="242">
        <f>COUNTIFS('تجربه‌گرها'!$B:$B,$A1057,'تجربه‌گرها'!$F:$F,M$1)</f>
        <v>0</v>
      </c>
      <c r="N1057" s="242">
        <f>COUNTIFS('تجربه‌گرها'!$B:$B,$A1057,'تجربه‌گرها'!$F:$F,N$1)</f>
        <v>1</v>
      </c>
      <c r="O1057" s="242">
        <f>COUNTIFS('تجربه‌گرها'!$B:$B,$A1057,'تجربه‌گرها'!$F:$F,O$1)</f>
        <v>0</v>
      </c>
      <c r="P1057" s="242">
        <f>COUNTIFS('تجربه‌گرها'!$B:$B,$A1057,'تجربه‌گرها'!$F:$F,P$1)</f>
        <v>0</v>
      </c>
      <c r="Q1057" s="242">
        <f>COUNTIFS('تجربه‌گرها'!$B:$B,$A1057,'تجربه‌گرها'!$F:$F,Q$1)</f>
        <v>0</v>
      </c>
      <c r="R1057" s="242">
        <f>COUNTIFS('تجربه‌گرها'!$B:$B,$A1057,'تجربه‌گرها'!$F:$F,R$1)</f>
        <v>0</v>
      </c>
      <c r="S1057" s="242">
        <f>COUNTIFS('تجربه‌گرها'!$B:$B,$A1057,'تجربه‌گرها'!$F:$F,S$1)</f>
        <v>0</v>
      </c>
      <c r="T1057" s="242">
        <f>COUNTIFS('تجربه‌گرها'!$B:$B,$A1057,'تجربه‌گرها'!$F:$F,T$1)</f>
        <v>0</v>
      </c>
      <c r="U1057" s="242"/>
      <c r="V1057" s="242"/>
      <c r="W1057" s="242"/>
      <c r="X1057" s="242"/>
      <c r="Y1057" s="242"/>
      <c r="Z1057" s="242"/>
      <c r="AA1057" s="242"/>
      <c r="AB1057" s="242"/>
    </row>
    <row r="1058" hidden="1">
      <c r="A1058" s="244" t="s">
        <v>5600</v>
      </c>
      <c r="B1058" s="245" t="str">
        <f>VLOOKUP(A1058,'تجربه‌گرها'!B:C,2,FALSE())</f>
        <v>989359407205</v>
      </c>
      <c r="C1058" s="242"/>
      <c r="D1058" s="242">
        <f t="shared" si="1"/>
        <v>1</v>
      </c>
      <c r="E1058" s="242">
        <f>COUNTIFS('تجربه‌گرها'!$B:$B,$A1058,'تجربه‌گرها'!$F:$F,E$1)</f>
        <v>0</v>
      </c>
      <c r="F1058" s="242">
        <f>COUNTIFS('تجربه‌گرها'!$B:$B,$A1058,'تجربه‌گرها'!$F:$F,F$1)</f>
        <v>0</v>
      </c>
      <c r="G1058" s="242">
        <f>COUNTIFS('تجربه‌گرها'!$B:$B,$A1058,'تجربه‌گرها'!$F:$F,G$1)</f>
        <v>0</v>
      </c>
      <c r="H1058" s="242">
        <f>COUNTIFS('تجربه‌گرها'!$B:$B,$A1058,'تجربه‌گرها'!$F:$F,H$1)</f>
        <v>0</v>
      </c>
      <c r="I1058" s="242">
        <f>COUNTIFS('تجربه‌گرها'!$B:$B,$A1058,'تجربه‌گرها'!$F:$F,I$1)</f>
        <v>0</v>
      </c>
      <c r="J1058" s="242">
        <f>COUNTIFS('تجربه‌گرها'!$B:$B,$A1058,'تجربه‌گرها'!$F:$F,J$1)</f>
        <v>0</v>
      </c>
      <c r="K1058" s="242">
        <f>COUNTIFS('تجربه‌گرها'!$B:$B,$A1058,'تجربه‌گرها'!$F:$F,K$1)</f>
        <v>0</v>
      </c>
      <c r="L1058" s="242">
        <f>COUNTIFS('تجربه‌گرها'!$B:$B,$A1058,'تجربه‌گرها'!$F:$F,L$1)</f>
        <v>0</v>
      </c>
      <c r="M1058" s="242">
        <f>COUNTIFS('تجربه‌گرها'!$B:$B,$A1058,'تجربه‌گرها'!$F:$F,M$1)</f>
        <v>0</v>
      </c>
      <c r="N1058" s="242">
        <f>COUNTIFS('تجربه‌گرها'!$B:$B,$A1058,'تجربه‌گرها'!$F:$F,N$1)</f>
        <v>1</v>
      </c>
      <c r="O1058" s="242">
        <f>COUNTIFS('تجربه‌گرها'!$B:$B,$A1058,'تجربه‌گرها'!$F:$F,O$1)</f>
        <v>0</v>
      </c>
      <c r="P1058" s="242">
        <f>COUNTIFS('تجربه‌گرها'!$B:$B,$A1058,'تجربه‌گرها'!$F:$F,P$1)</f>
        <v>0</v>
      </c>
      <c r="Q1058" s="242">
        <f>COUNTIFS('تجربه‌گرها'!$B:$B,$A1058,'تجربه‌گرها'!$F:$F,Q$1)</f>
        <v>0</v>
      </c>
      <c r="R1058" s="242">
        <f>COUNTIFS('تجربه‌گرها'!$B:$B,$A1058,'تجربه‌گرها'!$F:$F,R$1)</f>
        <v>0</v>
      </c>
      <c r="S1058" s="242">
        <f>COUNTIFS('تجربه‌گرها'!$B:$B,$A1058,'تجربه‌گرها'!$F:$F,S$1)</f>
        <v>0</v>
      </c>
      <c r="T1058" s="242">
        <f>COUNTIFS('تجربه‌گرها'!$B:$B,$A1058,'تجربه‌گرها'!$F:$F,T$1)</f>
        <v>0</v>
      </c>
      <c r="U1058" s="242"/>
      <c r="V1058" s="242"/>
      <c r="W1058" s="242"/>
      <c r="X1058" s="242"/>
      <c r="Y1058" s="242"/>
      <c r="Z1058" s="242"/>
      <c r="AA1058" s="242"/>
      <c r="AB1058" s="242"/>
    </row>
    <row r="1059">
      <c r="A1059" s="244" t="s">
        <v>5603</v>
      </c>
      <c r="B1059" s="245" t="str">
        <f>VLOOKUP(A1059,'تجربه‌گرها'!B:C,2,FALSE())</f>
        <v>9144044463</v>
      </c>
      <c r="C1059" s="242"/>
      <c r="D1059" s="242">
        <f t="shared" si="1"/>
        <v>1</v>
      </c>
      <c r="E1059" s="242">
        <f>COUNTIFS('تجربه‌گرها'!$B:$B,$A1059,'تجربه‌گرها'!$F:$F,E$1)</f>
        <v>0</v>
      </c>
      <c r="F1059" s="242">
        <f>COUNTIFS('تجربه‌گرها'!$B:$B,$A1059,'تجربه‌گرها'!$F:$F,F$1)</f>
        <v>0</v>
      </c>
      <c r="G1059" s="242">
        <f>COUNTIFS('تجربه‌گرها'!$B:$B,$A1059,'تجربه‌گرها'!$F:$F,G$1)</f>
        <v>0</v>
      </c>
      <c r="H1059" s="242">
        <f>COUNTIFS('تجربه‌گرها'!$B:$B,$A1059,'تجربه‌گرها'!$F:$F,H$1)</f>
        <v>0</v>
      </c>
      <c r="I1059" s="242">
        <f>COUNTIFS('تجربه‌گرها'!$B:$B,$A1059,'تجربه‌گرها'!$F:$F,I$1)</f>
        <v>0</v>
      </c>
      <c r="J1059" s="242">
        <f>COUNTIFS('تجربه‌گرها'!$B:$B,$A1059,'تجربه‌گرها'!$F:$F,J$1)</f>
        <v>0</v>
      </c>
      <c r="K1059" s="242">
        <f>COUNTIFS('تجربه‌گرها'!$B:$B,$A1059,'تجربه‌گرها'!$F:$F,K$1)</f>
        <v>0</v>
      </c>
      <c r="L1059" s="242">
        <f>COUNTIFS('تجربه‌گرها'!$B:$B,$A1059,'تجربه‌گرها'!$F:$F,L$1)</f>
        <v>0</v>
      </c>
      <c r="M1059" s="242">
        <f>COUNTIFS('تجربه‌گرها'!$B:$B,$A1059,'تجربه‌گرها'!$F:$F,M$1)</f>
        <v>0</v>
      </c>
      <c r="N1059" s="242">
        <f>COUNTIFS('تجربه‌گرها'!$B:$B,$A1059,'تجربه‌گرها'!$F:$F,N$1)</f>
        <v>1</v>
      </c>
      <c r="O1059" s="242">
        <f>COUNTIFS('تجربه‌گرها'!$B:$B,$A1059,'تجربه‌گرها'!$F:$F,O$1)</f>
        <v>0</v>
      </c>
      <c r="P1059" s="242">
        <f>COUNTIFS('تجربه‌گرها'!$B:$B,$A1059,'تجربه‌گرها'!$F:$F,P$1)</f>
        <v>0</v>
      </c>
      <c r="Q1059" s="242">
        <f>COUNTIFS('تجربه‌گرها'!$B:$B,$A1059,'تجربه‌گرها'!$F:$F,Q$1)</f>
        <v>0</v>
      </c>
      <c r="R1059" s="242">
        <f>COUNTIFS('تجربه‌گرها'!$B:$B,$A1059,'تجربه‌گرها'!$F:$F,R$1)</f>
        <v>0</v>
      </c>
      <c r="S1059" s="242">
        <f>COUNTIFS('تجربه‌گرها'!$B:$B,$A1059,'تجربه‌گرها'!$F:$F,S$1)</f>
        <v>0</v>
      </c>
      <c r="T1059" s="242">
        <f>COUNTIFS('تجربه‌گرها'!$B:$B,$A1059,'تجربه‌گرها'!$F:$F,T$1)</f>
        <v>0</v>
      </c>
      <c r="U1059" s="242"/>
      <c r="V1059" s="242"/>
      <c r="W1059" s="242"/>
      <c r="X1059" s="242"/>
      <c r="Y1059" s="242"/>
      <c r="Z1059" s="242"/>
      <c r="AA1059" s="242"/>
      <c r="AB1059" s="242"/>
    </row>
    <row r="1060" hidden="1">
      <c r="A1060" s="244" t="s">
        <v>5606</v>
      </c>
      <c r="B1060" s="245" t="str">
        <f>VLOOKUP(A1060,'تجربه‌گرها'!B:C,2,FALSE())</f>
        <v>989195111285</v>
      </c>
      <c r="C1060" s="242"/>
      <c r="D1060" s="242">
        <f t="shared" si="1"/>
        <v>1</v>
      </c>
      <c r="E1060" s="242">
        <f>COUNTIFS('تجربه‌گرها'!$B:$B,$A1060,'تجربه‌گرها'!$F:$F,E$1)</f>
        <v>0</v>
      </c>
      <c r="F1060" s="242">
        <f>COUNTIFS('تجربه‌گرها'!$B:$B,$A1060,'تجربه‌گرها'!$F:$F,F$1)</f>
        <v>0</v>
      </c>
      <c r="G1060" s="242">
        <f>COUNTIFS('تجربه‌گرها'!$B:$B,$A1060,'تجربه‌گرها'!$F:$F,G$1)</f>
        <v>0</v>
      </c>
      <c r="H1060" s="242">
        <f>COUNTIFS('تجربه‌گرها'!$B:$B,$A1060,'تجربه‌گرها'!$F:$F,H$1)</f>
        <v>0</v>
      </c>
      <c r="I1060" s="242">
        <f>COUNTIFS('تجربه‌گرها'!$B:$B,$A1060,'تجربه‌گرها'!$F:$F,I$1)</f>
        <v>0</v>
      </c>
      <c r="J1060" s="242">
        <f>COUNTIFS('تجربه‌گرها'!$B:$B,$A1060,'تجربه‌گرها'!$F:$F,J$1)</f>
        <v>0</v>
      </c>
      <c r="K1060" s="242">
        <f>COUNTIFS('تجربه‌گرها'!$B:$B,$A1060,'تجربه‌گرها'!$F:$F,K$1)</f>
        <v>0</v>
      </c>
      <c r="L1060" s="242">
        <f>COUNTIFS('تجربه‌گرها'!$B:$B,$A1060,'تجربه‌گرها'!$F:$F,L$1)</f>
        <v>0</v>
      </c>
      <c r="M1060" s="242">
        <f>COUNTIFS('تجربه‌گرها'!$B:$B,$A1060,'تجربه‌گرها'!$F:$F,M$1)</f>
        <v>0</v>
      </c>
      <c r="N1060" s="242">
        <f>COUNTIFS('تجربه‌گرها'!$B:$B,$A1060,'تجربه‌گرها'!$F:$F,N$1)</f>
        <v>1</v>
      </c>
      <c r="O1060" s="242">
        <f>COUNTIFS('تجربه‌گرها'!$B:$B,$A1060,'تجربه‌گرها'!$F:$F,O$1)</f>
        <v>0</v>
      </c>
      <c r="P1060" s="242">
        <f>COUNTIFS('تجربه‌گرها'!$B:$B,$A1060,'تجربه‌گرها'!$F:$F,P$1)</f>
        <v>0</v>
      </c>
      <c r="Q1060" s="242">
        <f>COUNTIFS('تجربه‌گرها'!$B:$B,$A1060,'تجربه‌گرها'!$F:$F,Q$1)</f>
        <v>0</v>
      </c>
      <c r="R1060" s="242">
        <f>COUNTIFS('تجربه‌گرها'!$B:$B,$A1060,'تجربه‌گرها'!$F:$F,R$1)</f>
        <v>0</v>
      </c>
      <c r="S1060" s="242">
        <f>COUNTIFS('تجربه‌گرها'!$B:$B,$A1060,'تجربه‌گرها'!$F:$F,S$1)</f>
        <v>0</v>
      </c>
      <c r="T1060" s="242">
        <f>COUNTIFS('تجربه‌گرها'!$B:$B,$A1060,'تجربه‌گرها'!$F:$F,T$1)</f>
        <v>0</v>
      </c>
      <c r="U1060" s="242"/>
      <c r="V1060" s="242"/>
      <c r="W1060" s="242"/>
      <c r="X1060" s="242"/>
      <c r="Y1060" s="242"/>
      <c r="Z1060" s="242"/>
      <c r="AA1060" s="242"/>
      <c r="AB1060" s="242"/>
    </row>
    <row r="1061" hidden="1">
      <c r="A1061" s="244" t="s">
        <v>5610</v>
      </c>
      <c r="B1061" s="245" t="str">
        <f>VLOOKUP(A1061,'تجربه‌گرها'!B:C,2,FALSE())</f>
        <v>9366085758</v>
      </c>
      <c r="C1061" s="242"/>
      <c r="D1061" s="242">
        <f t="shared" si="1"/>
        <v>1</v>
      </c>
      <c r="E1061" s="242">
        <f>COUNTIFS('تجربه‌گرها'!$B:$B,$A1061,'تجربه‌گرها'!$F:$F,E$1)</f>
        <v>0</v>
      </c>
      <c r="F1061" s="242">
        <f>COUNTIFS('تجربه‌گرها'!$B:$B,$A1061,'تجربه‌گرها'!$F:$F,F$1)</f>
        <v>0</v>
      </c>
      <c r="G1061" s="242">
        <f>COUNTIFS('تجربه‌گرها'!$B:$B,$A1061,'تجربه‌گرها'!$F:$F,G$1)</f>
        <v>0</v>
      </c>
      <c r="H1061" s="242">
        <f>COUNTIFS('تجربه‌گرها'!$B:$B,$A1061,'تجربه‌گرها'!$F:$F,H$1)</f>
        <v>0</v>
      </c>
      <c r="I1061" s="242">
        <f>COUNTIFS('تجربه‌گرها'!$B:$B,$A1061,'تجربه‌گرها'!$F:$F,I$1)</f>
        <v>0</v>
      </c>
      <c r="J1061" s="242">
        <f>COUNTIFS('تجربه‌گرها'!$B:$B,$A1061,'تجربه‌گرها'!$F:$F,J$1)</f>
        <v>0</v>
      </c>
      <c r="K1061" s="242">
        <f>COUNTIFS('تجربه‌گرها'!$B:$B,$A1061,'تجربه‌گرها'!$F:$F,K$1)</f>
        <v>0</v>
      </c>
      <c r="L1061" s="242">
        <f>COUNTIFS('تجربه‌گرها'!$B:$B,$A1061,'تجربه‌گرها'!$F:$F,L$1)</f>
        <v>0</v>
      </c>
      <c r="M1061" s="242">
        <f>COUNTIFS('تجربه‌گرها'!$B:$B,$A1061,'تجربه‌گرها'!$F:$F,M$1)</f>
        <v>0</v>
      </c>
      <c r="N1061" s="242">
        <f>COUNTIFS('تجربه‌گرها'!$B:$B,$A1061,'تجربه‌گرها'!$F:$F,N$1)</f>
        <v>1</v>
      </c>
      <c r="O1061" s="242">
        <f>COUNTIFS('تجربه‌گرها'!$B:$B,$A1061,'تجربه‌گرها'!$F:$F,O$1)</f>
        <v>0</v>
      </c>
      <c r="P1061" s="242">
        <f>COUNTIFS('تجربه‌گرها'!$B:$B,$A1061,'تجربه‌گرها'!$F:$F,P$1)</f>
        <v>0</v>
      </c>
      <c r="Q1061" s="242">
        <f>COUNTIFS('تجربه‌گرها'!$B:$B,$A1061,'تجربه‌گرها'!$F:$F,Q$1)</f>
        <v>0</v>
      </c>
      <c r="R1061" s="242">
        <f>COUNTIFS('تجربه‌گرها'!$B:$B,$A1061,'تجربه‌گرها'!$F:$F,R$1)</f>
        <v>0</v>
      </c>
      <c r="S1061" s="242">
        <f>COUNTIFS('تجربه‌گرها'!$B:$B,$A1061,'تجربه‌گرها'!$F:$F,S$1)</f>
        <v>0</v>
      </c>
      <c r="T1061" s="242">
        <f>COUNTIFS('تجربه‌گرها'!$B:$B,$A1061,'تجربه‌گرها'!$F:$F,T$1)</f>
        <v>0</v>
      </c>
      <c r="U1061" s="242"/>
      <c r="V1061" s="242"/>
      <c r="W1061" s="242"/>
      <c r="X1061" s="242"/>
      <c r="Y1061" s="242"/>
      <c r="Z1061" s="242"/>
      <c r="AA1061" s="242"/>
      <c r="AB1061" s="242"/>
    </row>
    <row r="1062" hidden="1">
      <c r="A1062" s="244" t="s">
        <v>5613</v>
      </c>
      <c r="B1062" s="245" t="str">
        <f>VLOOKUP(A1062,'تجربه‌گرها'!B:C,2,FALSE())</f>
        <v>989122753458</v>
      </c>
      <c r="C1062" s="242"/>
      <c r="D1062" s="242">
        <f t="shared" si="1"/>
        <v>1</v>
      </c>
      <c r="E1062" s="242">
        <f>COUNTIFS('تجربه‌گرها'!$B:$B,$A1062,'تجربه‌گرها'!$F:$F,E$1)</f>
        <v>0</v>
      </c>
      <c r="F1062" s="242">
        <f>COUNTIFS('تجربه‌گرها'!$B:$B,$A1062,'تجربه‌گرها'!$F:$F,F$1)</f>
        <v>0</v>
      </c>
      <c r="G1062" s="242">
        <f>COUNTIFS('تجربه‌گرها'!$B:$B,$A1062,'تجربه‌گرها'!$F:$F,G$1)</f>
        <v>0</v>
      </c>
      <c r="H1062" s="242">
        <f>COUNTIFS('تجربه‌گرها'!$B:$B,$A1062,'تجربه‌گرها'!$F:$F,H$1)</f>
        <v>0</v>
      </c>
      <c r="I1062" s="242">
        <f>COUNTIFS('تجربه‌گرها'!$B:$B,$A1062,'تجربه‌گرها'!$F:$F,I$1)</f>
        <v>0</v>
      </c>
      <c r="J1062" s="242">
        <f>COUNTIFS('تجربه‌گرها'!$B:$B,$A1062,'تجربه‌گرها'!$F:$F,J$1)</f>
        <v>0</v>
      </c>
      <c r="K1062" s="242">
        <f>COUNTIFS('تجربه‌گرها'!$B:$B,$A1062,'تجربه‌گرها'!$F:$F,K$1)</f>
        <v>0</v>
      </c>
      <c r="L1062" s="242">
        <f>COUNTIFS('تجربه‌گرها'!$B:$B,$A1062,'تجربه‌گرها'!$F:$F,L$1)</f>
        <v>0</v>
      </c>
      <c r="M1062" s="242">
        <f>COUNTIFS('تجربه‌گرها'!$B:$B,$A1062,'تجربه‌گرها'!$F:$F,M$1)</f>
        <v>0</v>
      </c>
      <c r="N1062" s="242">
        <f>COUNTIFS('تجربه‌گرها'!$B:$B,$A1062,'تجربه‌گرها'!$F:$F,N$1)</f>
        <v>1</v>
      </c>
      <c r="O1062" s="242">
        <f>COUNTIFS('تجربه‌گرها'!$B:$B,$A1062,'تجربه‌گرها'!$F:$F,O$1)</f>
        <v>0</v>
      </c>
      <c r="P1062" s="242">
        <f>COUNTIFS('تجربه‌گرها'!$B:$B,$A1062,'تجربه‌گرها'!$F:$F,P$1)</f>
        <v>0</v>
      </c>
      <c r="Q1062" s="242">
        <f>COUNTIFS('تجربه‌گرها'!$B:$B,$A1062,'تجربه‌گرها'!$F:$F,Q$1)</f>
        <v>0</v>
      </c>
      <c r="R1062" s="242">
        <f>COUNTIFS('تجربه‌گرها'!$B:$B,$A1062,'تجربه‌گرها'!$F:$F,R$1)</f>
        <v>0</v>
      </c>
      <c r="S1062" s="242">
        <f>COUNTIFS('تجربه‌گرها'!$B:$B,$A1062,'تجربه‌گرها'!$F:$F,S$1)</f>
        <v>0</v>
      </c>
      <c r="T1062" s="242">
        <f>COUNTIFS('تجربه‌گرها'!$B:$B,$A1062,'تجربه‌گرها'!$F:$F,T$1)</f>
        <v>0</v>
      </c>
      <c r="U1062" s="242"/>
      <c r="V1062" s="242"/>
      <c r="W1062" s="242"/>
      <c r="X1062" s="242"/>
      <c r="Y1062" s="242"/>
      <c r="Z1062" s="242"/>
      <c r="AA1062" s="242"/>
      <c r="AB1062" s="242"/>
    </row>
    <row r="1063">
      <c r="A1063" s="244" t="s">
        <v>5617</v>
      </c>
      <c r="B1063" s="245" t="str">
        <f>VLOOKUP(A1063,'تجربه‌گرها'!B:C,2,FALSE())</f>
        <v>989193102292</v>
      </c>
      <c r="C1063" s="242"/>
      <c r="D1063" s="242">
        <f t="shared" si="1"/>
        <v>1</v>
      </c>
      <c r="E1063" s="242">
        <f>COUNTIFS('تجربه‌گرها'!$B:$B,$A1063,'تجربه‌گرها'!$F:$F,E$1)</f>
        <v>0</v>
      </c>
      <c r="F1063" s="242">
        <f>COUNTIFS('تجربه‌گرها'!$B:$B,$A1063,'تجربه‌گرها'!$F:$F,F$1)</f>
        <v>0</v>
      </c>
      <c r="G1063" s="242">
        <f>COUNTIFS('تجربه‌گرها'!$B:$B,$A1063,'تجربه‌گرها'!$F:$F,G$1)</f>
        <v>0</v>
      </c>
      <c r="H1063" s="242">
        <f>COUNTIFS('تجربه‌گرها'!$B:$B,$A1063,'تجربه‌گرها'!$F:$F,H$1)</f>
        <v>0</v>
      </c>
      <c r="I1063" s="242">
        <f>COUNTIFS('تجربه‌گرها'!$B:$B,$A1063,'تجربه‌گرها'!$F:$F,I$1)</f>
        <v>0</v>
      </c>
      <c r="J1063" s="242">
        <f>COUNTIFS('تجربه‌گرها'!$B:$B,$A1063,'تجربه‌گرها'!$F:$F,J$1)</f>
        <v>0</v>
      </c>
      <c r="K1063" s="242">
        <f>COUNTIFS('تجربه‌گرها'!$B:$B,$A1063,'تجربه‌گرها'!$F:$F,K$1)</f>
        <v>0</v>
      </c>
      <c r="L1063" s="242">
        <f>COUNTIFS('تجربه‌گرها'!$B:$B,$A1063,'تجربه‌گرها'!$F:$F,L$1)</f>
        <v>0</v>
      </c>
      <c r="M1063" s="242">
        <f>COUNTIFS('تجربه‌گرها'!$B:$B,$A1063,'تجربه‌گرها'!$F:$F,M$1)</f>
        <v>0</v>
      </c>
      <c r="N1063" s="242">
        <f>COUNTIFS('تجربه‌گرها'!$B:$B,$A1063,'تجربه‌گرها'!$F:$F,N$1)</f>
        <v>1</v>
      </c>
      <c r="O1063" s="242">
        <f>COUNTIFS('تجربه‌گرها'!$B:$B,$A1063,'تجربه‌گرها'!$F:$F,O$1)</f>
        <v>0</v>
      </c>
      <c r="P1063" s="242">
        <f>COUNTIFS('تجربه‌گرها'!$B:$B,$A1063,'تجربه‌گرها'!$F:$F,P$1)</f>
        <v>0</v>
      </c>
      <c r="Q1063" s="242">
        <f>COUNTIFS('تجربه‌گرها'!$B:$B,$A1063,'تجربه‌گرها'!$F:$F,Q$1)</f>
        <v>0</v>
      </c>
      <c r="R1063" s="242">
        <f>COUNTIFS('تجربه‌گرها'!$B:$B,$A1063,'تجربه‌گرها'!$F:$F,R$1)</f>
        <v>0</v>
      </c>
      <c r="S1063" s="242">
        <f>COUNTIFS('تجربه‌گرها'!$B:$B,$A1063,'تجربه‌گرها'!$F:$F,S$1)</f>
        <v>0</v>
      </c>
      <c r="T1063" s="242">
        <f>COUNTIFS('تجربه‌گرها'!$B:$B,$A1063,'تجربه‌گرها'!$F:$F,T$1)</f>
        <v>0</v>
      </c>
      <c r="U1063" s="242"/>
      <c r="V1063" s="242"/>
      <c r="W1063" s="242"/>
      <c r="X1063" s="242"/>
      <c r="Y1063" s="242"/>
      <c r="Z1063" s="242"/>
      <c r="AA1063" s="242"/>
      <c r="AB1063" s="242"/>
    </row>
    <row r="1064" hidden="1">
      <c r="A1064" s="244" t="s">
        <v>5620</v>
      </c>
      <c r="B1064" s="245" t="str">
        <f>VLOOKUP(A1064,'تجربه‌گرها'!B:C,2,FALSE())</f>
        <v>9210829141</v>
      </c>
      <c r="C1064" s="242"/>
      <c r="D1064" s="242">
        <f t="shared" si="1"/>
        <v>1</v>
      </c>
      <c r="E1064" s="242">
        <f>COUNTIFS('تجربه‌گرها'!$B:$B,$A1064,'تجربه‌گرها'!$F:$F,E$1)</f>
        <v>0</v>
      </c>
      <c r="F1064" s="242">
        <f>COUNTIFS('تجربه‌گرها'!$B:$B,$A1064,'تجربه‌گرها'!$F:$F,F$1)</f>
        <v>0</v>
      </c>
      <c r="G1064" s="242">
        <f>COUNTIFS('تجربه‌گرها'!$B:$B,$A1064,'تجربه‌گرها'!$F:$F,G$1)</f>
        <v>0</v>
      </c>
      <c r="H1064" s="242">
        <f>COUNTIFS('تجربه‌گرها'!$B:$B,$A1064,'تجربه‌گرها'!$F:$F,H$1)</f>
        <v>0</v>
      </c>
      <c r="I1064" s="242">
        <f>COUNTIFS('تجربه‌گرها'!$B:$B,$A1064,'تجربه‌گرها'!$F:$F,I$1)</f>
        <v>0</v>
      </c>
      <c r="J1064" s="242">
        <f>COUNTIFS('تجربه‌گرها'!$B:$B,$A1064,'تجربه‌گرها'!$F:$F,J$1)</f>
        <v>0</v>
      </c>
      <c r="K1064" s="242">
        <f>COUNTIFS('تجربه‌گرها'!$B:$B,$A1064,'تجربه‌گرها'!$F:$F,K$1)</f>
        <v>0</v>
      </c>
      <c r="L1064" s="242">
        <f>COUNTIFS('تجربه‌گرها'!$B:$B,$A1064,'تجربه‌گرها'!$F:$F,L$1)</f>
        <v>0</v>
      </c>
      <c r="M1064" s="242">
        <f>COUNTIFS('تجربه‌گرها'!$B:$B,$A1064,'تجربه‌گرها'!$F:$F,M$1)</f>
        <v>0</v>
      </c>
      <c r="N1064" s="242">
        <f>COUNTIFS('تجربه‌گرها'!$B:$B,$A1064,'تجربه‌گرها'!$F:$F,N$1)</f>
        <v>1</v>
      </c>
      <c r="O1064" s="242">
        <f>COUNTIFS('تجربه‌گرها'!$B:$B,$A1064,'تجربه‌گرها'!$F:$F,O$1)</f>
        <v>0</v>
      </c>
      <c r="P1064" s="242">
        <f>COUNTIFS('تجربه‌گرها'!$B:$B,$A1064,'تجربه‌گرها'!$F:$F,P$1)</f>
        <v>0</v>
      </c>
      <c r="Q1064" s="242">
        <f>COUNTIFS('تجربه‌گرها'!$B:$B,$A1064,'تجربه‌گرها'!$F:$F,Q$1)</f>
        <v>0</v>
      </c>
      <c r="R1064" s="242">
        <f>COUNTIFS('تجربه‌گرها'!$B:$B,$A1064,'تجربه‌گرها'!$F:$F,R$1)</f>
        <v>0</v>
      </c>
      <c r="S1064" s="242">
        <f>COUNTIFS('تجربه‌گرها'!$B:$B,$A1064,'تجربه‌گرها'!$F:$F,S$1)</f>
        <v>0</v>
      </c>
      <c r="T1064" s="242">
        <f>COUNTIFS('تجربه‌گرها'!$B:$B,$A1064,'تجربه‌گرها'!$F:$F,T$1)</f>
        <v>0</v>
      </c>
      <c r="U1064" s="242"/>
      <c r="V1064" s="242"/>
      <c r="W1064" s="242"/>
      <c r="X1064" s="242"/>
      <c r="Y1064" s="242"/>
      <c r="Z1064" s="242"/>
      <c r="AA1064" s="242"/>
      <c r="AB1064" s="242"/>
    </row>
    <row r="1065" hidden="1">
      <c r="A1065" s="244" t="s">
        <v>5622</v>
      </c>
      <c r="B1065" s="245" t="str">
        <f>VLOOKUP(A1065,'تجربه‌گرها'!B:C,2,FALSE())</f>
        <v>989113324540</v>
      </c>
      <c r="C1065" s="242"/>
      <c r="D1065" s="242">
        <f t="shared" si="1"/>
        <v>1</v>
      </c>
      <c r="E1065" s="242">
        <f>COUNTIFS('تجربه‌گرها'!$B:$B,$A1065,'تجربه‌گرها'!$F:$F,E$1)</f>
        <v>0</v>
      </c>
      <c r="F1065" s="242">
        <f>COUNTIFS('تجربه‌گرها'!$B:$B,$A1065,'تجربه‌گرها'!$F:$F,F$1)</f>
        <v>0</v>
      </c>
      <c r="G1065" s="242">
        <f>COUNTIFS('تجربه‌گرها'!$B:$B,$A1065,'تجربه‌گرها'!$F:$F,G$1)</f>
        <v>0</v>
      </c>
      <c r="H1065" s="242">
        <f>COUNTIFS('تجربه‌گرها'!$B:$B,$A1065,'تجربه‌گرها'!$F:$F,H$1)</f>
        <v>0</v>
      </c>
      <c r="I1065" s="242">
        <f>COUNTIFS('تجربه‌گرها'!$B:$B,$A1065,'تجربه‌گرها'!$F:$F,I$1)</f>
        <v>0</v>
      </c>
      <c r="J1065" s="242">
        <f>COUNTIFS('تجربه‌گرها'!$B:$B,$A1065,'تجربه‌گرها'!$F:$F,J$1)</f>
        <v>0</v>
      </c>
      <c r="K1065" s="242">
        <f>COUNTIFS('تجربه‌گرها'!$B:$B,$A1065,'تجربه‌گرها'!$F:$F,K$1)</f>
        <v>0</v>
      </c>
      <c r="L1065" s="242">
        <f>COUNTIFS('تجربه‌گرها'!$B:$B,$A1065,'تجربه‌گرها'!$F:$F,L$1)</f>
        <v>0</v>
      </c>
      <c r="M1065" s="242">
        <f>COUNTIFS('تجربه‌گرها'!$B:$B,$A1065,'تجربه‌گرها'!$F:$F,M$1)</f>
        <v>0</v>
      </c>
      <c r="N1065" s="242">
        <f>COUNTIFS('تجربه‌گرها'!$B:$B,$A1065,'تجربه‌گرها'!$F:$F,N$1)</f>
        <v>1</v>
      </c>
      <c r="O1065" s="242">
        <f>COUNTIFS('تجربه‌گرها'!$B:$B,$A1065,'تجربه‌گرها'!$F:$F,O$1)</f>
        <v>0</v>
      </c>
      <c r="P1065" s="242">
        <f>COUNTIFS('تجربه‌گرها'!$B:$B,$A1065,'تجربه‌گرها'!$F:$F,P$1)</f>
        <v>0</v>
      </c>
      <c r="Q1065" s="242">
        <f>COUNTIFS('تجربه‌گرها'!$B:$B,$A1065,'تجربه‌گرها'!$F:$F,Q$1)</f>
        <v>0</v>
      </c>
      <c r="R1065" s="242">
        <f>COUNTIFS('تجربه‌گرها'!$B:$B,$A1065,'تجربه‌گرها'!$F:$F,R$1)</f>
        <v>0</v>
      </c>
      <c r="S1065" s="242">
        <f>COUNTIFS('تجربه‌گرها'!$B:$B,$A1065,'تجربه‌گرها'!$F:$F,S$1)</f>
        <v>0</v>
      </c>
      <c r="T1065" s="242">
        <f>COUNTIFS('تجربه‌گرها'!$B:$B,$A1065,'تجربه‌گرها'!$F:$F,T$1)</f>
        <v>0</v>
      </c>
      <c r="U1065" s="242"/>
      <c r="V1065" s="242"/>
      <c r="W1065" s="242"/>
      <c r="X1065" s="242"/>
      <c r="Y1065" s="242"/>
      <c r="Z1065" s="242"/>
      <c r="AA1065" s="242"/>
      <c r="AB1065" s="242"/>
    </row>
    <row r="1066" hidden="1">
      <c r="A1066" s="244" t="s">
        <v>5626</v>
      </c>
      <c r="B1066" s="245" t="str">
        <f>VLOOKUP(A1066,'تجربه‌گرها'!B:C,2,FALSE())</f>
        <v>989124037335</v>
      </c>
      <c r="C1066" s="242"/>
      <c r="D1066" s="242">
        <f t="shared" si="1"/>
        <v>1</v>
      </c>
      <c r="E1066" s="242">
        <f>COUNTIFS('تجربه‌گرها'!$B:$B,$A1066,'تجربه‌گرها'!$F:$F,E$1)</f>
        <v>0</v>
      </c>
      <c r="F1066" s="242">
        <f>COUNTIFS('تجربه‌گرها'!$B:$B,$A1066,'تجربه‌گرها'!$F:$F,F$1)</f>
        <v>0</v>
      </c>
      <c r="G1066" s="242">
        <f>COUNTIFS('تجربه‌گرها'!$B:$B,$A1066,'تجربه‌گرها'!$F:$F,G$1)</f>
        <v>0</v>
      </c>
      <c r="H1066" s="242">
        <f>COUNTIFS('تجربه‌گرها'!$B:$B,$A1066,'تجربه‌گرها'!$F:$F,H$1)</f>
        <v>0</v>
      </c>
      <c r="I1066" s="242">
        <f>COUNTIFS('تجربه‌گرها'!$B:$B,$A1066,'تجربه‌گرها'!$F:$F,I$1)</f>
        <v>0</v>
      </c>
      <c r="J1066" s="242">
        <f>COUNTIFS('تجربه‌گرها'!$B:$B,$A1066,'تجربه‌گرها'!$F:$F,J$1)</f>
        <v>0</v>
      </c>
      <c r="K1066" s="242">
        <f>COUNTIFS('تجربه‌گرها'!$B:$B,$A1066,'تجربه‌گرها'!$F:$F,K$1)</f>
        <v>0</v>
      </c>
      <c r="L1066" s="242">
        <f>COUNTIFS('تجربه‌گرها'!$B:$B,$A1066,'تجربه‌گرها'!$F:$F,L$1)</f>
        <v>0</v>
      </c>
      <c r="M1066" s="242">
        <f>COUNTIFS('تجربه‌گرها'!$B:$B,$A1066,'تجربه‌گرها'!$F:$F,M$1)</f>
        <v>0</v>
      </c>
      <c r="N1066" s="242">
        <f>COUNTIFS('تجربه‌گرها'!$B:$B,$A1066,'تجربه‌گرها'!$F:$F,N$1)</f>
        <v>1</v>
      </c>
      <c r="O1066" s="242">
        <f>COUNTIFS('تجربه‌گرها'!$B:$B,$A1066,'تجربه‌گرها'!$F:$F,O$1)</f>
        <v>0</v>
      </c>
      <c r="P1066" s="242">
        <f>COUNTIFS('تجربه‌گرها'!$B:$B,$A1066,'تجربه‌گرها'!$F:$F,P$1)</f>
        <v>0</v>
      </c>
      <c r="Q1066" s="242">
        <f>COUNTIFS('تجربه‌گرها'!$B:$B,$A1066,'تجربه‌گرها'!$F:$F,Q$1)</f>
        <v>0</v>
      </c>
      <c r="R1066" s="242">
        <f>COUNTIFS('تجربه‌گرها'!$B:$B,$A1066,'تجربه‌گرها'!$F:$F,R$1)</f>
        <v>0</v>
      </c>
      <c r="S1066" s="242">
        <f>COUNTIFS('تجربه‌گرها'!$B:$B,$A1066,'تجربه‌گرها'!$F:$F,S$1)</f>
        <v>0</v>
      </c>
      <c r="T1066" s="242">
        <f>COUNTIFS('تجربه‌گرها'!$B:$B,$A1066,'تجربه‌گرها'!$F:$F,T$1)</f>
        <v>0</v>
      </c>
      <c r="U1066" s="242"/>
      <c r="V1066" s="242"/>
      <c r="W1066" s="242"/>
      <c r="X1066" s="242"/>
      <c r="Y1066" s="242"/>
      <c r="Z1066" s="242"/>
      <c r="AA1066" s="242"/>
      <c r="AB1066" s="242"/>
    </row>
    <row r="1067" hidden="1">
      <c r="A1067" s="244" t="s">
        <v>5629</v>
      </c>
      <c r="B1067" s="245" t="str">
        <f>VLOOKUP(A1067,'تجربه‌گرها'!B:C,2,FALSE())</f>
        <v>9210829141</v>
      </c>
      <c r="C1067" s="242"/>
      <c r="D1067" s="242">
        <f t="shared" si="1"/>
        <v>1</v>
      </c>
      <c r="E1067" s="242">
        <f>COUNTIFS('تجربه‌گرها'!$B:$B,$A1067,'تجربه‌گرها'!$F:$F,E$1)</f>
        <v>0</v>
      </c>
      <c r="F1067" s="242">
        <f>COUNTIFS('تجربه‌گرها'!$B:$B,$A1067,'تجربه‌گرها'!$F:$F,F$1)</f>
        <v>0</v>
      </c>
      <c r="G1067" s="242">
        <f>COUNTIFS('تجربه‌گرها'!$B:$B,$A1067,'تجربه‌گرها'!$F:$F,G$1)</f>
        <v>0</v>
      </c>
      <c r="H1067" s="242">
        <f>COUNTIFS('تجربه‌گرها'!$B:$B,$A1067,'تجربه‌گرها'!$F:$F,H$1)</f>
        <v>0</v>
      </c>
      <c r="I1067" s="242">
        <f>COUNTIFS('تجربه‌گرها'!$B:$B,$A1067,'تجربه‌گرها'!$F:$F,I$1)</f>
        <v>0</v>
      </c>
      <c r="J1067" s="242">
        <f>COUNTIFS('تجربه‌گرها'!$B:$B,$A1067,'تجربه‌گرها'!$F:$F,J$1)</f>
        <v>0</v>
      </c>
      <c r="K1067" s="242">
        <f>COUNTIFS('تجربه‌گرها'!$B:$B,$A1067,'تجربه‌گرها'!$F:$F,K$1)</f>
        <v>0</v>
      </c>
      <c r="L1067" s="242">
        <f>COUNTIFS('تجربه‌گرها'!$B:$B,$A1067,'تجربه‌گرها'!$F:$F,L$1)</f>
        <v>0</v>
      </c>
      <c r="M1067" s="242">
        <f>COUNTIFS('تجربه‌گرها'!$B:$B,$A1067,'تجربه‌گرها'!$F:$F,M$1)</f>
        <v>0</v>
      </c>
      <c r="N1067" s="242">
        <f>COUNTIFS('تجربه‌گرها'!$B:$B,$A1067,'تجربه‌گرها'!$F:$F,N$1)</f>
        <v>1</v>
      </c>
      <c r="O1067" s="242">
        <f>COUNTIFS('تجربه‌گرها'!$B:$B,$A1067,'تجربه‌گرها'!$F:$F,O$1)</f>
        <v>0</v>
      </c>
      <c r="P1067" s="242">
        <f>COUNTIFS('تجربه‌گرها'!$B:$B,$A1067,'تجربه‌گرها'!$F:$F,P$1)</f>
        <v>0</v>
      </c>
      <c r="Q1067" s="242">
        <f>COUNTIFS('تجربه‌گرها'!$B:$B,$A1067,'تجربه‌گرها'!$F:$F,Q$1)</f>
        <v>0</v>
      </c>
      <c r="R1067" s="242">
        <f>COUNTIFS('تجربه‌گرها'!$B:$B,$A1067,'تجربه‌گرها'!$F:$F,R$1)</f>
        <v>0</v>
      </c>
      <c r="S1067" s="242">
        <f>COUNTIFS('تجربه‌گرها'!$B:$B,$A1067,'تجربه‌گرها'!$F:$F,S$1)</f>
        <v>0</v>
      </c>
      <c r="T1067" s="242">
        <f>COUNTIFS('تجربه‌گرها'!$B:$B,$A1067,'تجربه‌گرها'!$F:$F,T$1)</f>
        <v>0</v>
      </c>
      <c r="U1067" s="242"/>
      <c r="V1067" s="242"/>
      <c r="W1067" s="242"/>
      <c r="X1067" s="242"/>
      <c r="Y1067" s="242"/>
      <c r="Z1067" s="242"/>
      <c r="AA1067" s="242"/>
      <c r="AB1067" s="242"/>
    </row>
    <row r="1068" hidden="1">
      <c r="A1068" s="244" t="s">
        <v>5631</v>
      </c>
      <c r="B1068" s="245" t="str">
        <f>VLOOKUP(A1068,'تجربه‌گرها'!B:C,2,FALSE())</f>
        <v>9114594761</v>
      </c>
      <c r="C1068" s="242"/>
      <c r="D1068" s="242">
        <f t="shared" si="1"/>
        <v>1</v>
      </c>
      <c r="E1068" s="242">
        <f>COUNTIFS('تجربه‌گرها'!$B:$B,$A1068,'تجربه‌گرها'!$F:$F,E$1)</f>
        <v>0</v>
      </c>
      <c r="F1068" s="242">
        <f>COUNTIFS('تجربه‌گرها'!$B:$B,$A1068,'تجربه‌گرها'!$F:$F,F$1)</f>
        <v>0</v>
      </c>
      <c r="G1068" s="242">
        <f>COUNTIFS('تجربه‌گرها'!$B:$B,$A1068,'تجربه‌گرها'!$F:$F,G$1)</f>
        <v>0</v>
      </c>
      <c r="H1068" s="242">
        <f>COUNTIFS('تجربه‌گرها'!$B:$B,$A1068,'تجربه‌گرها'!$F:$F,H$1)</f>
        <v>0</v>
      </c>
      <c r="I1068" s="242">
        <f>COUNTIFS('تجربه‌گرها'!$B:$B,$A1068,'تجربه‌گرها'!$F:$F,I$1)</f>
        <v>0</v>
      </c>
      <c r="J1068" s="242">
        <f>COUNTIFS('تجربه‌گرها'!$B:$B,$A1068,'تجربه‌گرها'!$F:$F,J$1)</f>
        <v>0</v>
      </c>
      <c r="K1068" s="242">
        <f>COUNTIFS('تجربه‌گرها'!$B:$B,$A1068,'تجربه‌گرها'!$F:$F,K$1)</f>
        <v>0</v>
      </c>
      <c r="L1068" s="242">
        <f>COUNTIFS('تجربه‌گرها'!$B:$B,$A1068,'تجربه‌گرها'!$F:$F,L$1)</f>
        <v>0</v>
      </c>
      <c r="M1068" s="242">
        <f>COUNTIFS('تجربه‌گرها'!$B:$B,$A1068,'تجربه‌گرها'!$F:$F,M$1)</f>
        <v>0</v>
      </c>
      <c r="N1068" s="242">
        <f>COUNTIFS('تجربه‌گرها'!$B:$B,$A1068,'تجربه‌گرها'!$F:$F,N$1)</f>
        <v>1</v>
      </c>
      <c r="O1068" s="242">
        <f>COUNTIFS('تجربه‌گرها'!$B:$B,$A1068,'تجربه‌گرها'!$F:$F,O$1)</f>
        <v>0</v>
      </c>
      <c r="P1068" s="242">
        <f>COUNTIFS('تجربه‌گرها'!$B:$B,$A1068,'تجربه‌گرها'!$F:$F,P$1)</f>
        <v>0</v>
      </c>
      <c r="Q1068" s="242">
        <f>COUNTIFS('تجربه‌گرها'!$B:$B,$A1068,'تجربه‌گرها'!$F:$F,Q$1)</f>
        <v>0</v>
      </c>
      <c r="R1068" s="242">
        <f>COUNTIFS('تجربه‌گرها'!$B:$B,$A1068,'تجربه‌گرها'!$F:$F,R$1)</f>
        <v>0</v>
      </c>
      <c r="S1068" s="242">
        <f>COUNTIFS('تجربه‌گرها'!$B:$B,$A1068,'تجربه‌گرها'!$F:$F,S$1)</f>
        <v>0</v>
      </c>
      <c r="T1068" s="242">
        <f>COUNTIFS('تجربه‌گرها'!$B:$B,$A1068,'تجربه‌گرها'!$F:$F,T$1)</f>
        <v>0</v>
      </c>
      <c r="U1068" s="242"/>
      <c r="V1068" s="242"/>
      <c r="W1068" s="242"/>
      <c r="X1068" s="242"/>
      <c r="Y1068" s="242"/>
      <c r="Z1068" s="242"/>
      <c r="AA1068" s="242"/>
      <c r="AB1068" s="242"/>
    </row>
    <row r="1069" hidden="1">
      <c r="A1069" s="244" t="s">
        <v>5634</v>
      </c>
      <c r="B1069" s="245" t="str">
        <f>VLOOKUP(A1069,'تجربه‌گرها'!B:C,2,FALSE())</f>
        <v>989393900318</v>
      </c>
      <c r="C1069" s="242"/>
      <c r="D1069" s="242">
        <f t="shared" si="1"/>
        <v>2</v>
      </c>
      <c r="E1069" s="242">
        <f>COUNTIFS('تجربه‌گرها'!$B:$B,$A1069,'تجربه‌گرها'!$F:$F,E$1)</f>
        <v>0</v>
      </c>
      <c r="F1069" s="242">
        <f>COUNTIFS('تجربه‌گرها'!$B:$B,$A1069,'تجربه‌گرها'!$F:$F,F$1)</f>
        <v>0</v>
      </c>
      <c r="G1069" s="242">
        <f>COUNTIFS('تجربه‌گرها'!$B:$B,$A1069,'تجربه‌گرها'!$F:$F,G$1)</f>
        <v>0</v>
      </c>
      <c r="H1069" s="242">
        <f>COUNTIFS('تجربه‌گرها'!$B:$B,$A1069,'تجربه‌گرها'!$F:$F,H$1)</f>
        <v>0</v>
      </c>
      <c r="I1069" s="242">
        <f>COUNTIFS('تجربه‌گرها'!$B:$B,$A1069,'تجربه‌گرها'!$F:$F,I$1)</f>
        <v>0</v>
      </c>
      <c r="J1069" s="242">
        <f>COUNTIFS('تجربه‌گرها'!$B:$B,$A1069,'تجربه‌گرها'!$F:$F,J$1)</f>
        <v>0</v>
      </c>
      <c r="K1069" s="242">
        <f>COUNTIFS('تجربه‌گرها'!$B:$B,$A1069,'تجربه‌گرها'!$F:$F,K$1)</f>
        <v>0</v>
      </c>
      <c r="L1069" s="242">
        <f>COUNTIFS('تجربه‌گرها'!$B:$B,$A1069,'تجربه‌گرها'!$F:$F,L$1)</f>
        <v>0</v>
      </c>
      <c r="M1069" s="242">
        <f>COUNTIFS('تجربه‌گرها'!$B:$B,$A1069,'تجربه‌گرها'!$F:$F,M$1)</f>
        <v>0</v>
      </c>
      <c r="N1069" s="242">
        <f>COUNTIFS('تجربه‌گرها'!$B:$B,$A1069,'تجربه‌گرها'!$F:$F,N$1)</f>
        <v>1</v>
      </c>
      <c r="O1069" s="242">
        <f>COUNTIFS('تجربه‌گرها'!$B:$B,$A1069,'تجربه‌گرها'!$F:$F,O$1)</f>
        <v>0</v>
      </c>
      <c r="P1069" s="242">
        <f>COUNTIFS('تجربه‌گرها'!$B:$B,$A1069,'تجربه‌گرها'!$F:$F,P$1)</f>
        <v>1</v>
      </c>
      <c r="Q1069" s="242">
        <f>COUNTIFS('تجربه‌گرها'!$B:$B,$A1069,'تجربه‌گرها'!$F:$F,Q$1)</f>
        <v>0</v>
      </c>
      <c r="R1069" s="242">
        <f>COUNTIFS('تجربه‌گرها'!$B:$B,$A1069,'تجربه‌گرها'!$F:$F,R$1)</f>
        <v>0</v>
      </c>
      <c r="S1069" s="242">
        <f>COUNTIFS('تجربه‌گرها'!$B:$B,$A1069,'تجربه‌گرها'!$F:$F,S$1)</f>
        <v>0</v>
      </c>
      <c r="T1069" s="242">
        <f>COUNTIFS('تجربه‌گرها'!$B:$B,$A1069,'تجربه‌گرها'!$F:$F,T$1)</f>
        <v>0</v>
      </c>
      <c r="U1069" s="242"/>
      <c r="V1069" s="242"/>
      <c r="W1069" s="242"/>
      <c r="X1069" s="242"/>
      <c r="Y1069" s="242"/>
      <c r="Z1069" s="242"/>
      <c r="AA1069" s="242"/>
      <c r="AB1069" s="242"/>
    </row>
    <row r="1070" hidden="1">
      <c r="A1070" s="244" t="s">
        <v>5638</v>
      </c>
      <c r="B1070" s="245" t="str">
        <f>VLOOKUP(A1070,'تجربه‌گرها'!B:C,2,FALSE())</f>
        <v>9121252841</v>
      </c>
      <c r="C1070" s="242"/>
      <c r="D1070" s="242">
        <f t="shared" si="1"/>
        <v>1</v>
      </c>
      <c r="E1070" s="242">
        <f>COUNTIFS('تجربه‌گرها'!$B:$B,$A1070,'تجربه‌گرها'!$F:$F,E$1)</f>
        <v>0</v>
      </c>
      <c r="F1070" s="242">
        <f>COUNTIFS('تجربه‌گرها'!$B:$B,$A1070,'تجربه‌گرها'!$F:$F,F$1)</f>
        <v>0</v>
      </c>
      <c r="G1070" s="242">
        <f>COUNTIFS('تجربه‌گرها'!$B:$B,$A1070,'تجربه‌گرها'!$F:$F,G$1)</f>
        <v>0</v>
      </c>
      <c r="H1070" s="242">
        <f>COUNTIFS('تجربه‌گرها'!$B:$B,$A1070,'تجربه‌گرها'!$F:$F,H$1)</f>
        <v>0</v>
      </c>
      <c r="I1070" s="242">
        <f>COUNTIFS('تجربه‌گرها'!$B:$B,$A1070,'تجربه‌گرها'!$F:$F,I$1)</f>
        <v>0</v>
      </c>
      <c r="J1070" s="242">
        <f>COUNTIFS('تجربه‌گرها'!$B:$B,$A1070,'تجربه‌گرها'!$F:$F,J$1)</f>
        <v>0</v>
      </c>
      <c r="K1070" s="242">
        <f>COUNTIFS('تجربه‌گرها'!$B:$B,$A1070,'تجربه‌گرها'!$F:$F,K$1)</f>
        <v>0</v>
      </c>
      <c r="L1070" s="242">
        <f>COUNTIFS('تجربه‌گرها'!$B:$B,$A1070,'تجربه‌گرها'!$F:$F,L$1)</f>
        <v>0</v>
      </c>
      <c r="M1070" s="242">
        <f>COUNTIFS('تجربه‌گرها'!$B:$B,$A1070,'تجربه‌گرها'!$F:$F,M$1)</f>
        <v>0</v>
      </c>
      <c r="N1070" s="242">
        <f>COUNTIFS('تجربه‌گرها'!$B:$B,$A1070,'تجربه‌گرها'!$F:$F,N$1)</f>
        <v>1</v>
      </c>
      <c r="O1070" s="242">
        <f>COUNTIFS('تجربه‌گرها'!$B:$B,$A1070,'تجربه‌گرها'!$F:$F,O$1)</f>
        <v>0</v>
      </c>
      <c r="P1070" s="242">
        <f>COUNTIFS('تجربه‌گرها'!$B:$B,$A1070,'تجربه‌گرها'!$F:$F,P$1)</f>
        <v>0</v>
      </c>
      <c r="Q1070" s="242">
        <f>COUNTIFS('تجربه‌گرها'!$B:$B,$A1070,'تجربه‌گرها'!$F:$F,Q$1)</f>
        <v>0</v>
      </c>
      <c r="R1070" s="242">
        <f>COUNTIFS('تجربه‌گرها'!$B:$B,$A1070,'تجربه‌گرها'!$F:$F,R$1)</f>
        <v>0</v>
      </c>
      <c r="S1070" s="242">
        <f>COUNTIFS('تجربه‌گرها'!$B:$B,$A1070,'تجربه‌گرها'!$F:$F,S$1)</f>
        <v>0</v>
      </c>
      <c r="T1070" s="242">
        <f>COUNTIFS('تجربه‌گرها'!$B:$B,$A1070,'تجربه‌گرها'!$F:$F,T$1)</f>
        <v>0</v>
      </c>
      <c r="U1070" s="242"/>
      <c r="V1070" s="242"/>
      <c r="W1070" s="242"/>
      <c r="X1070" s="242"/>
      <c r="Y1070" s="242"/>
      <c r="Z1070" s="242"/>
      <c r="AA1070" s="242"/>
      <c r="AB1070" s="242"/>
    </row>
    <row r="1071" hidden="1">
      <c r="A1071" s="244" t="s">
        <v>5642</v>
      </c>
      <c r="B1071" s="245" t="str">
        <f>VLOOKUP(A1071,'تجربه‌گرها'!B:C,2,FALSE())</f>
        <v>989124444149</v>
      </c>
      <c r="C1071" s="242"/>
      <c r="D1071" s="242">
        <f t="shared" si="1"/>
        <v>1</v>
      </c>
      <c r="E1071" s="242">
        <f>COUNTIFS('تجربه‌گرها'!$B:$B,$A1071,'تجربه‌گرها'!$F:$F,E$1)</f>
        <v>0</v>
      </c>
      <c r="F1071" s="242">
        <f>COUNTIFS('تجربه‌گرها'!$B:$B,$A1071,'تجربه‌گرها'!$F:$F,F$1)</f>
        <v>0</v>
      </c>
      <c r="G1071" s="242">
        <f>COUNTIFS('تجربه‌گرها'!$B:$B,$A1071,'تجربه‌گرها'!$F:$F,G$1)</f>
        <v>0</v>
      </c>
      <c r="H1071" s="242">
        <f>COUNTIFS('تجربه‌گرها'!$B:$B,$A1071,'تجربه‌گرها'!$F:$F,H$1)</f>
        <v>0</v>
      </c>
      <c r="I1071" s="242">
        <f>COUNTIFS('تجربه‌گرها'!$B:$B,$A1071,'تجربه‌گرها'!$F:$F,I$1)</f>
        <v>0</v>
      </c>
      <c r="J1071" s="242">
        <f>COUNTIFS('تجربه‌گرها'!$B:$B,$A1071,'تجربه‌گرها'!$F:$F,J$1)</f>
        <v>0</v>
      </c>
      <c r="K1071" s="242">
        <f>COUNTIFS('تجربه‌گرها'!$B:$B,$A1071,'تجربه‌گرها'!$F:$F,K$1)</f>
        <v>0</v>
      </c>
      <c r="L1071" s="242">
        <f>COUNTIFS('تجربه‌گرها'!$B:$B,$A1071,'تجربه‌گرها'!$F:$F,L$1)</f>
        <v>0</v>
      </c>
      <c r="M1071" s="242">
        <f>COUNTIFS('تجربه‌گرها'!$B:$B,$A1071,'تجربه‌گرها'!$F:$F,M$1)</f>
        <v>0</v>
      </c>
      <c r="N1071" s="242">
        <f>COUNTIFS('تجربه‌گرها'!$B:$B,$A1071,'تجربه‌گرها'!$F:$F,N$1)</f>
        <v>1</v>
      </c>
      <c r="O1071" s="242">
        <f>COUNTIFS('تجربه‌گرها'!$B:$B,$A1071,'تجربه‌گرها'!$F:$F,O$1)</f>
        <v>0</v>
      </c>
      <c r="P1071" s="242">
        <f>COUNTIFS('تجربه‌گرها'!$B:$B,$A1071,'تجربه‌گرها'!$F:$F,P$1)</f>
        <v>0</v>
      </c>
      <c r="Q1071" s="242">
        <f>COUNTIFS('تجربه‌گرها'!$B:$B,$A1071,'تجربه‌گرها'!$F:$F,Q$1)</f>
        <v>0</v>
      </c>
      <c r="R1071" s="242">
        <f>COUNTIFS('تجربه‌گرها'!$B:$B,$A1071,'تجربه‌گرها'!$F:$F,R$1)</f>
        <v>0</v>
      </c>
      <c r="S1071" s="242">
        <f>COUNTIFS('تجربه‌گرها'!$B:$B,$A1071,'تجربه‌گرها'!$F:$F,S$1)</f>
        <v>0</v>
      </c>
      <c r="T1071" s="242">
        <f>COUNTIFS('تجربه‌گرها'!$B:$B,$A1071,'تجربه‌گرها'!$F:$F,T$1)</f>
        <v>0</v>
      </c>
      <c r="U1071" s="242"/>
      <c r="V1071" s="242"/>
      <c r="W1071" s="242"/>
      <c r="X1071" s="242"/>
      <c r="Y1071" s="242"/>
      <c r="Z1071" s="242"/>
      <c r="AA1071" s="242"/>
      <c r="AB1071" s="242"/>
    </row>
    <row r="1072" hidden="1">
      <c r="A1072" s="244" t="s">
        <v>5644</v>
      </c>
      <c r="B1072" s="245" t="str">
        <f>VLOOKUP(A1072,'تجربه‌گرها'!B:C,2,FALSE())</f>
        <v>989125340121</v>
      </c>
      <c r="C1072" s="242"/>
      <c r="D1072" s="242">
        <f t="shared" si="1"/>
        <v>1</v>
      </c>
      <c r="E1072" s="242">
        <f>COUNTIFS('تجربه‌گرها'!$B:$B,$A1072,'تجربه‌گرها'!$F:$F,E$1)</f>
        <v>0</v>
      </c>
      <c r="F1072" s="242">
        <f>COUNTIFS('تجربه‌گرها'!$B:$B,$A1072,'تجربه‌گرها'!$F:$F,F$1)</f>
        <v>0</v>
      </c>
      <c r="G1072" s="242">
        <f>COUNTIFS('تجربه‌گرها'!$B:$B,$A1072,'تجربه‌گرها'!$F:$F,G$1)</f>
        <v>0</v>
      </c>
      <c r="H1072" s="242">
        <f>COUNTIFS('تجربه‌گرها'!$B:$B,$A1072,'تجربه‌گرها'!$F:$F,H$1)</f>
        <v>0</v>
      </c>
      <c r="I1072" s="242">
        <f>COUNTIFS('تجربه‌گرها'!$B:$B,$A1072,'تجربه‌گرها'!$F:$F,I$1)</f>
        <v>0</v>
      </c>
      <c r="J1072" s="242">
        <f>COUNTIFS('تجربه‌گرها'!$B:$B,$A1072,'تجربه‌گرها'!$F:$F,J$1)</f>
        <v>0</v>
      </c>
      <c r="K1072" s="242">
        <f>COUNTIFS('تجربه‌گرها'!$B:$B,$A1072,'تجربه‌گرها'!$F:$F,K$1)</f>
        <v>0</v>
      </c>
      <c r="L1072" s="242">
        <f>COUNTIFS('تجربه‌گرها'!$B:$B,$A1072,'تجربه‌گرها'!$F:$F,L$1)</f>
        <v>0</v>
      </c>
      <c r="M1072" s="242">
        <f>COUNTIFS('تجربه‌گرها'!$B:$B,$A1072,'تجربه‌گرها'!$F:$F,M$1)</f>
        <v>0</v>
      </c>
      <c r="N1072" s="242">
        <f>COUNTIFS('تجربه‌گرها'!$B:$B,$A1072,'تجربه‌گرها'!$F:$F,N$1)</f>
        <v>1</v>
      </c>
      <c r="O1072" s="242">
        <f>COUNTIFS('تجربه‌گرها'!$B:$B,$A1072,'تجربه‌گرها'!$F:$F,O$1)</f>
        <v>0</v>
      </c>
      <c r="P1072" s="242">
        <f>COUNTIFS('تجربه‌گرها'!$B:$B,$A1072,'تجربه‌گرها'!$F:$F,P$1)</f>
        <v>0</v>
      </c>
      <c r="Q1072" s="242">
        <f>COUNTIFS('تجربه‌گرها'!$B:$B,$A1072,'تجربه‌گرها'!$F:$F,Q$1)</f>
        <v>0</v>
      </c>
      <c r="R1072" s="242">
        <f>COUNTIFS('تجربه‌گرها'!$B:$B,$A1072,'تجربه‌گرها'!$F:$F,R$1)</f>
        <v>0</v>
      </c>
      <c r="S1072" s="242">
        <f>COUNTIFS('تجربه‌گرها'!$B:$B,$A1072,'تجربه‌گرها'!$F:$F,S$1)</f>
        <v>0</v>
      </c>
      <c r="T1072" s="242">
        <f>COUNTIFS('تجربه‌گرها'!$B:$B,$A1072,'تجربه‌گرها'!$F:$F,T$1)</f>
        <v>0</v>
      </c>
      <c r="U1072" s="242"/>
      <c r="V1072" s="242"/>
      <c r="W1072" s="242"/>
      <c r="X1072" s="242"/>
      <c r="Y1072" s="242"/>
      <c r="Z1072" s="242"/>
      <c r="AA1072" s="242"/>
      <c r="AB1072" s="242"/>
    </row>
    <row r="1073" hidden="1">
      <c r="A1073" s="244" t="s">
        <v>5647</v>
      </c>
      <c r="B1073" s="245" t="str">
        <f>VLOOKUP(A1073,'تجربه‌گرها'!B:C,2,FALSE())</f>
        <v>9124762588</v>
      </c>
      <c r="C1073" s="242"/>
      <c r="D1073" s="242">
        <f t="shared" si="1"/>
        <v>1</v>
      </c>
      <c r="E1073" s="242">
        <f>COUNTIFS('تجربه‌گرها'!$B:$B,$A1073,'تجربه‌گرها'!$F:$F,E$1)</f>
        <v>0</v>
      </c>
      <c r="F1073" s="242">
        <f>COUNTIFS('تجربه‌گرها'!$B:$B,$A1073,'تجربه‌گرها'!$F:$F,F$1)</f>
        <v>0</v>
      </c>
      <c r="G1073" s="242">
        <f>COUNTIFS('تجربه‌گرها'!$B:$B,$A1073,'تجربه‌گرها'!$F:$F,G$1)</f>
        <v>0</v>
      </c>
      <c r="H1073" s="242">
        <f>COUNTIFS('تجربه‌گرها'!$B:$B,$A1073,'تجربه‌گرها'!$F:$F,H$1)</f>
        <v>0</v>
      </c>
      <c r="I1073" s="242">
        <f>COUNTIFS('تجربه‌گرها'!$B:$B,$A1073,'تجربه‌گرها'!$F:$F,I$1)</f>
        <v>0</v>
      </c>
      <c r="J1073" s="242">
        <f>COUNTIFS('تجربه‌گرها'!$B:$B,$A1073,'تجربه‌گرها'!$F:$F,J$1)</f>
        <v>0</v>
      </c>
      <c r="K1073" s="242">
        <f>COUNTIFS('تجربه‌گرها'!$B:$B,$A1073,'تجربه‌گرها'!$F:$F,K$1)</f>
        <v>0</v>
      </c>
      <c r="L1073" s="242">
        <f>COUNTIFS('تجربه‌گرها'!$B:$B,$A1073,'تجربه‌گرها'!$F:$F,L$1)</f>
        <v>0</v>
      </c>
      <c r="M1073" s="242">
        <f>COUNTIFS('تجربه‌گرها'!$B:$B,$A1073,'تجربه‌گرها'!$F:$F,M$1)</f>
        <v>0</v>
      </c>
      <c r="N1073" s="242">
        <f>COUNTIFS('تجربه‌گرها'!$B:$B,$A1073,'تجربه‌گرها'!$F:$F,N$1)</f>
        <v>1</v>
      </c>
      <c r="O1073" s="242">
        <f>COUNTIFS('تجربه‌گرها'!$B:$B,$A1073,'تجربه‌گرها'!$F:$F,O$1)</f>
        <v>0</v>
      </c>
      <c r="P1073" s="242">
        <f>COUNTIFS('تجربه‌گرها'!$B:$B,$A1073,'تجربه‌گرها'!$F:$F,P$1)</f>
        <v>0</v>
      </c>
      <c r="Q1073" s="242">
        <f>COUNTIFS('تجربه‌گرها'!$B:$B,$A1073,'تجربه‌گرها'!$F:$F,Q$1)</f>
        <v>0</v>
      </c>
      <c r="R1073" s="242">
        <f>COUNTIFS('تجربه‌گرها'!$B:$B,$A1073,'تجربه‌گرها'!$F:$F,R$1)</f>
        <v>0</v>
      </c>
      <c r="S1073" s="242">
        <f>COUNTIFS('تجربه‌گرها'!$B:$B,$A1073,'تجربه‌گرها'!$F:$F,S$1)</f>
        <v>0</v>
      </c>
      <c r="T1073" s="242">
        <f>COUNTIFS('تجربه‌گرها'!$B:$B,$A1073,'تجربه‌گرها'!$F:$F,T$1)</f>
        <v>0</v>
      </c>
      <c r="U1073" s="242"/>
      <c r="V1073" s="242"/>
      <c r="W1073" s="242"/>
      <c r="X1073" s="242"/>
      <c r="Y1073" s="242"/>
      <c r="Z1073" s="242"/>
      <c r="AA1073" s="242"/>
      <c r="AB1073" s="242"/>
    </row>
    <row r="1074" hidden="1">
      <c r="A1074" s="244" t="s">
        <v>5650</v>
      </c>
      <c r="B1074" s="245" t="str">
        <f>VLOOKUP(A1074,'تجربه‌گرها'!B:C,2,FALSE())</f>
        <v>989131042319</v>
      </c>
      <c r="C1074" s="242"/>
      <c r="D1074" s="242">
        <f t="shared" si="1"/>
        <v>1</v>
      </c>
      <c r="E1074" s="242">
        <f>COUNTIFS('تجربه‌گرها'!$B:$B,$A1074,'تجربه‌گرها'!$F:$F,E$1)</f>
        <v>0</v>
      </c>
      <c r="F1074" s="242">
        <f>COUNTIFS('تجربه‌گرها'!$B:$B,$A1074,'تجربه‌گرها'!$F:$F,F$1)</f>
        <v>0</v>
      </c>
      <c r="G1074" s="242">
        <f>COUNTIFS('تجربه‌گرها'!$B:$B,$A1074,'تجربه‌گرها'!$F:$F,G$1)</f>
        <v>0</v>
      </c>
      <c r="H1074" s="242">
        <f>COUNTIFS('تجربه‌گرها'!$B:$B,$A1074,'تجربه‌گرها'!$F:$F,H$1)</f>
        <v>0</v>
      </c>
      <c r="I1074" s="242">
        <f>COUNTIFS('تجربه‌گرها'!$B:$B,$A1074,'تجربه‌گرها'!$F:$F,I$1)</f>
        <v>0</v>
      </c>
      <c r="J1074" s="242">
        <f>COUNTIFS('تجربه‌گرها'!$B:$B,$A1074,'تجربه‌گرها'!$F:$F,J$1)</f>
        <v>0</v>
      </c>
      <c r="K1074" s="242">
        <f>COUNTIFS('تجربه‌گرها'!$B:$B,$A1074,'تجربه‌گرها'!$F:$F,K$1)</f>
        <v>0</v>
      </c>
      <c r="L1074" s="242">
        <f>COUNTIFS('تجربه‌گرها'!$B:$B,$A1074,'تجربه‌گرها'!$F:$F,L$1)</f>
        <v>0</v>
      </c>
      <c r="M1074" s="242">
        <f>COUNTIFS('تجربه‌گرها'!$B:$B,$A1074,'تجربه‌گرها'!$F:$F,M$1)</f>
        <v>0</v>
      </c>
      <c r="N1074" s="242">
        <f>COUNTIFS('تجربه‌گرها'!$B:$B,$A1074,'تجربه‌گرها'!$F:$F,N$1)</f>
        <v>1</v>
      </c>
      <c r="O1074" s="242">
        <f>COUNTIFS('تجربه‌گرها'!$B:$B,$A1074,'تجربه‌گرها'!$F:$F,O$1)</f>
        <v>0</v>
      </c>
      <c r="P1074" s="242">
        <f>COUNTIFS('تجربه‌گرها'!$B:$B,$A1074,'تجربه‌گرها'!$F:$F,P$1)</f>
        <v>0</v>
      </c>
      <c r="Q1074" s="242">
        <f>COUNTIFS('تجربه‌گرها'!$B:$B,$A1074,'تجربه‌گرها'!$F:$F,Q$1)</f>
        <v>0</v>
      </c>
      <c r="R1074" s="242">
        <f>COUNTIFS('تجربه‌گرها'!$B:$B,$A1074,'تجربه‌گرها'!$F:$F,R$1)</f>
        <v>0</v>
      </c>
      <c r="S1074" s="242">
        <f>COUNTIFS('تجربه‌گرها'!$B:$B,$A1074,'تجربه‌گرها'!$F:$F,S$1)</f>
        <v>0</v>
      </c>
      <c r="T1074" s="242">
        <f>COUNTIFS('تجربه‌گرها'!$B:$B,$A1074,'تجربه‌گرها'!$F:$F,T$1)</f>
        <v>0</v>
      </c>
      <c r="U1074" s="242"/>
      <c r="V1074" s="242"/>
      <c r="W1074" s="242"/>
      <c r="X1074" s="242"/>
      <c r="Y1074" s="242"/>
      <c r="Z1074" s="242"/>
      <c r="AA1074" s="242"/>
      <c r="AB1074" s="242"/>
    </row>
    <row r="1075" hidden="1">
      <c r="A1075" s="244" t="s">
        <v>5653</v>
      </c>
      <c r="B1075" s="245" t="str">
        <f>VLOOKUP(A1075,'تجربه‌گرها'!B:C,2,FALSE())</f>
        <v/>
      </c>
      <c r="C1075" s="242"/>
      <c r="D1075" s="242">
        <f t="shared" si="1"/>
        <v>1</v>
      </c>
      <c r="E1075" s="242">
        <f>COUNTIFS('تجربه‌گرها'!$B:$B,$A1075,'تجربه‌گرها'!$F:$F,E$1)</f>
        <v>0</v>
      </c>
      <c r="F1075" s="242">
        <f>COUNTIFS('تجربه‌گرها'!$B:$B,$A1075,'تجربه‌گرها'!$F:$F,F$1)</f>
        <v>0</v>
      </c>
      <c r="G1075" s="242">
        <f>COUNTIFS('تجربه‌گرها'!$B:$B,$A1075,'تجربه‌گرها'!$F:$F,G$1)</f>
        <v>0</v>
      </c>
      <c r="H1075" s="242">
        <f>COUNTIFS('تجربه‌گرها'!$B:$B,$A1075,'تجربه‌گرها'!$F:$F,H$1)</f>
        <v>0</v>
      </c>
      <c r="I1075" s="242">
        <f>COUNTIFS('تجربه‌گرها'!$B:$B,$A1075,'تجربه‌گرها'!$F:$F,I$1)</f>
        <v>0</v>
      </c>
      <c r="J1075" s="242">
        <f>COUNTIFS('تجربه‌گرها'!$B:$B,$A1075,'تجربه‌گرها'!$F:$F,J$1)</f>
        <v>0</v>
      </c>
      <c r="K1075" s="242">
        <f>COUNTIFS('تجربه‌گرها'!$B:$B,$A1075,'تجربه‌گرها'!$F:$F,K$1)</f>
        <v>0</v>
      </c>
      <c r="L1075" s="242">
        <f>COUNTIFS('تجربه‌گرها'!$B:$B,$A1075,'تجربه‌گرها'!$F:$F,L$1)</f>
        <v>0</v>
      </c>
      <c r="M1075" s="242">
        <f>COUNTIFS('تجربه‌گرها'!$B:$B,$A1075,'تجربه‌گرها'!$F:$F,M$1)</f>
        <v>0</v>
      </c>
      <c r="N1075" s="242">
        <f>COUNTIFS('تجربه‌گرها'!$B:$B,$A1075,'تجربه‌گرها'!$F:$F,N$1)</f>
        <v>1</v>
      </c>
      <c r="O1075" s="242">
        <f>COUNTIFS('تجربه‌گرها'!$B:$B,$A1075,'تجربه‌گرها'!$F:$F,O$1)</f>
        <v>0</v>
      </c>
      <c r="P1075" s="242">
        <f>COUNTIFS('تجربه‌گرها'!$B:$B,$A1075,'تجربه‌گرها'!$F:$F,P$1)</f>
        <v>0</v>
      </c>
      <c r="Q1075" s="242">
        <f>COUNTIFS('تجربه‌گرها'!$B:$B,$A1075,'تجربه‌گرها'!$F:$F,Q$1)</f>
        <v>0</v>
      </c>
      <c r="R1075" s="242">
        <f>COUNTIFS('تجربه‌گرها'!$B:$B,$A1075,'تجربه‌گرها'!$F:$F,R$1)</f>
        <v>0</v>
      </c>
      <c r="S1075" s="242">
        <f>COUNTIFS('تجربه‌گرها'!$B:$B,$A1075,'تجربه‌گرها'!$F:$F,S$1)</f>
        <v>0</v>
      </c>
      <c r="T1075" s="242">
        <f>COUNTIFS('تجربه‌گرها'!$B:$B,$A1075,'تجربه‌گرها'!$F:$F,T$1)</f>
        <v>0</v>
      </c>
      <c r="U1075" s="242"/>
      <c r="V1075" s="242"/>
      <c r="W1075" s="242"/>
      <c r="X1075" s="242"/>
      <c r="Y1075" s="242"/>
      <c r="Z1075" s="242"/>
      <c r="AA1075" s="242"/>
      <c r="AB1075" s="242"/>
    </row>
    <row r="1076" hidden="1">
      <c r="A1076" s="244" t="s">
        <v>5655</v>
      </c>
      <c r="B1076" s="245" t="str">
        <f>VLOOKUP(A1076,'تجربه‌گرها'!B:C,2,FALSE())</f>
        <v>9126457618</v>
      </c>
      <c r="C1076" s="242"/>
      <c r="D1076" s="242">
        <f t="shared" si="1"/>
        <v>1</v>
      </c>
      <c r="E1076" s="242">
        <f>COUNTIFS('تجربه‌گرها'!$B:$B,$A1076,'تجربه‌گرها'!$F:$F,E$1)</f>
        <v>0</v>
      </c>
      <c r="F1076" s="242">
        <f>COUNTIFS('تجربه‌گرها'!$B:$B,$A1076,'تجربه‌گرها'!$F:$F,F$1)</f>
        <v>0</v>
      </c>
      <c r="G1076" s="242">
        <f>COUNTIFS('تجربه‌گرها'!$B:$B,$A1076,'تجربه‌گرها'!$F:$F,G$1)</f>
        <v>0</v>
      </c>
      <c r="H1076" s="242">
        <f>COUNTIFS('تجربه‌گرها'!$B:$B,$A1076,'تجربه‌گرها'!$F:$F,H$1)</f>
        <v>0</v>
      </c>
      <c r="I1076" s="242">
        <f>COUNTIFS('تجربه‌گرها'!$B:$B,$A1076,'تجربه‌گرها'!$F:$F,I$1)</f>
        <v>0</v>
      </c>
      <c r="J1076" s="242">
        <f>COUNTIFS('تجربه‌گرها'!$B:$B,$A1076,'تجربه‌گرها'!$F:$F,J$1)</f>
        <v>0</v>
      </c>
      <c r="K1076" s="242">
        <f>COUNTIFS('تجربه‌گرها'!$B:$B,$A1076,'تجربه‌گرها'!$F:$F,K$1)</f>
        <v>0</v>
      </c>
      <c r="L1076" s="242">
        <f>COUNTIFS('تجربه‌گرها'!$B:$B,$A1076,'تجربه‌گرها'!$F:$F,L$1)</f>
        <v>0</v>
      </c>
      <c r="M1076" s="242">
        <f>COUNTIFS('تجربه‌گرها'!$B:$B,$A1076,'تجربه‌گرها'!$F:$F,M$1)</f>
        <v>0</v>
      </c>
      <c r="N1076" s="242">
        <f>COUNTIFS('تجربه‌گرها'!$B:$B,$A1076,'تجربه‌گرها'!$F:$F,N$1)</f>
        <v>1</v>
      </c>
      <c r="O1076" s="242">
        <f>COUNTIFS('تجربه‌گرها'!$B:$B,$A1076,'تجربه‌گرها'!$F:$F,O$1)</f>
        <v>0</v>
      </c>
      <c r="P1076" s="242">
        <f>COUNTIFS('تجربه‌گرها'!$B:$B,$A1076,'تجربه‌گرها'!$F:$F,P$1)</f>
        <v>0</v>
      </c>
      <c r="Q1076" s="242">
        <f>COUNTIFS('تجربه‌گرها'!$B:$B,$A1076,'تجربه‌گرها'!$F:$F,Q$1)</f>
        <v>0</v>
      </c>
      <c r="R1076" s="242">
        <f>COUNTIFS('تجربه‌گرها'!$B:$B,$A1076,'تجربه‌گرها'!$F:$F,R$1)</f>
        <v>0</v>
      </c>
      <c r="S1076" s="242">
        <f>COUNTIFS('تجربه‌گرها'!$B:$B,$A1076,'تجربه‌گرها'!$F:$F,S$1)</f>
        <v>0</v>
      </c>
      <c r="T1076" s="242">
        <f>COUNTIFS('تجربه‌گرها'!$B:$B,$A1076,'تجربه‌گرها'!$F:$F,T$1)</f>
        <v>0</v>
      </c>
      <c r="U1076" s="242"/>
      <c r="V1076" s="242"/>
      <c r="W1076" s="242"/>
      <c r="X1076" s="242"/>
      <c r="Y1076" s="242"/>
      <c r="Z1076" s="242"/>
      <c r="AA1076" s="242"/>
      <c r="AB1076" s="242"/>
    </row>
    <row r="1077">
      <c r="A1077" s="244" t="s">
        <v>5657</v>
      </c>
      <c r="B1077" s="245" t="str">
        <f>VLOOKUP(A1077,'تجربه‌گرها'!B:C,2,FALSE())</f>
        <v>989133183814</v>
      </c>
      <c r="C1077" s="242"/>
      <c r="D1077" s="242">
        <f t="shared" si="1"/>
        <v>1</v>
      </c>
      <c r="E1077" s="242">
        <f>COUNTIFS('تجربه‌گرها'!$B:$B,$A1077,'تجربه‌گرها'!$F:$F,E$1)</f>
        <v>0</v>
      </c>
      <c r="F1077" s="242">
        <f>COUNTIFS('تجربه‌گرها'!$B:$B,$A1077,'تجربه‌گرها'!$F:$F,F$1)</f>
        <v>0</v>
      </c>
      <c r="G1077" s="242">
        <f>COUNTIFS('تجربه‌گرها'!$B:$B,$A1077,'تجربه‌گرها'!$F:$F,G$1)</f>
        <v>0</v>
      </c>
      <c r="H1077" s="242">
        <f>COUNTIFS('تجربه‌گرها'!$B:$B,$A1077,'تجربه‌گرها'!$F:$F,H$1)</f>
        <v>0</v>
      </c>
      <c r="I1077" s="242">
        <f>COUNTIFS('تجربه‌گرها'!$B:$B,$A1077,'تجربه‌گرها'!$F:$F,I$1)</f>
        <v>0</v>
      </c>
      <c r="J1077" s="242">
        <f>COUNTIFS('تجربه‌گرها'!$B:$B,$A1077,'تجربه‌گرها'!$F:$F,J$1)</f>
        <v>0</v>
      </c>
      <c r="K1077" s="242">
        <f>COUNTIFS('تجربه‌گرها'!$B:$B,$A1077,'تجربه‌گرها'!$F:$F,K$1)</f>
        <v>0</v>
      </c>
      <c r="L1077" s="242">
        <f>COUNTIFS('تجربه‌گرها'!$B:$B,$A1077,'تجربه‌گرها'!$F:$F,L$1)</f>
        <v>0</v>
      </c>
      <c r="M1077" s="242">
        <f>COUNTIFS('تجربه‌گرها'!$B:$B,$A1077,'تجربه‌گرها'!$F:$F,M$1)</f>
        <v>0</v>
      </c>
      <c r="N1077" s="242">
        <f>COUNTIFS('تجربه‌گرها'!$B:$B,$A1077,'تجربه‌گرها'!$F:$F,N$1)</f>
        <v>1</v>
      </c>
      <c r="O1077" s="242">
        <f>COUNTIFS('تجربه‌گرها'!$B:$B,$A1077,'تجربه‌گرها'!$F:$F,O$1)</f>
        <v>0</v>
      </c>
      <c r="P1077" s="242">
        <f>COUNTIFS('تجربه‌گرها'!$B:$B,$A1077,'تجربه‌گرها'!$F:$F,P$1)</f>
        <v>0</v>
      </c>
      <c r="Q1077" s="242">
        <f>COUNTIFS('تجربه‌گرها'!$B:$B,$A1077,'تجربه‌گرها'!$F:$F,Q$1)</f>
        <v>0</v>
      </c>
      <c r="R1077" s="242">
        <f>COUNTIFS('تجربه‌گرها'!$B:$B,$A1077,'تجربه‌گرها'!$F:$F,R$1)</f>
        <v>0</v>
      </c>
      <c r="S1077" s="242">
        <f>COUNTIFS('تجربه‌گرها'!$B:$B,$A1077,'تجربه‌گرها'!$F:$F,S$1)</f>
        <v>0</v>
      </c>
      <c r="T1077" s="242">
        <f>COUNTIFS('تجربه‌گرها'!$B:$B,$A1077,'تجربه‌گرها'!$F:$F,T$1)</f>
        <v>0</v>
      </c>
      <c r="U1077" s="242"/>
      <c r="V1077" s="242"/>
      <c r="W1077" s="242"/>
      <c r="X1077" s="242"/>
      <c r="Y1077" s="242"/>
      <c r="Z1077" s="242"/>
      <c r="AA1077" s="242"/>
      <c r="AB1077" s="242"/>
    </row>
    <row r="1078" hidden="1">
      <c r="A1078" s="244" t="s">
        <v>5660</v>
      </c>
      <c r="B1078" s="245" t="str">
        <f>VLOOKUP(A1078,'تجربه‌گرها'!B:C,2,FALSE())</f>
        <v>9354533383</v>
      </c>
      <c r="C1078" s="242"/>
      <c r="D1078" s="242">
        <f t="shared" si="1"/>
        <v>1</v>
      </c>
      <c r="E1078" s="242">
        <f>COUNTIFS('تجربه‌گرها'!$B:$B,$A1078,'تجربه‌گرها'!$F:$F,E$1)</f>
        <v>0</v>
      </c>
      <c r="F1078" s="242">
        <f>COUNTIFS('تجربه‌گرها'!$B:$B,$A1078,'تجربه‌گرها'!$F:$F,F$1)</f>
        <v>0</v>
      </c>
      <c r="G1078" s="242">
        <f>COUNTIFS('تجربه‌گرها'!$B:$B,$A1078,'تجربه‌گرها'!$F:$F,G$1)</f>
        <v>0</v>
      </c>
      <c r="H1078" s="242">
        <f>COUNTIFS('تجربه‌گرها'!$B:$B,$A1078,'تجربه‌گرها'!$F:$F,H$1)</f>
        <v>0</v>
      </c>
      <c r="I1078" s="242">
        <f>COUNTIFS('تجربه‌گرها'!$B:$B,$A1078,'تجربه‌گرها'!$F:$F,I$1)</f>
        <v>0</v>
      </c>
      <c r="J1078" s="242">
        <f>COUNTIFS('تجربه‌گرها'!$B:$B,$A1078,'تجربه‌گرها'!$F:$F,J$1)</f>
        <v>0</v>
      </c>
      <c r="K1078" s="242">
        <f>COUNTIFS('تجربه‌گرها'!$B:$B,$A1078,'تجربه‌گرها'!$F:$F,K$1)</f>
        <v>0</v>
      </c>
      <c r="L1078" s="242">
        <f>COUNTIFS('تجربه‌گرها'!$B:$B,$A1078,'تجربه‌گرها'!$F:$F,L$1)</f>
        <v>0</v>
      </c>
      <c r="M1078" s="242">
        <f>COUNTIFS('تجربه‌گرها'!$B:$B,$A1078,'تجربه‌گرها'!$F:$F,M$1)</f>
        <v>0</v>
      </c>
      <c r="N1078" s="242">
        <f>COUNTIFS('تجربه‌گرها'!$B:$B,$A1078,'تجربه‌گرها'!$F:$F,N$1)</f>
        <v>1</v>
      </c>
      <c r="O1078" s="242">
        <f>COUNTIFS('تجربه‌گرها'!$B:$B,$A1078,'تجربه‌گرها'!$F:$F,O$1)</f>
        <v>0</v>
      </c>
      <c r="P1078" s="242">
        <f>COUNTIFS('تجربه‌گرها'!$B:$B,$A1078,'تجربه‌گرها'!$F:$F,P$1)</f>
        <v>0</v>
      </c>
      <c r="Q1078" s="242">
        <f>COUNTIFS('تجربه‌گرها'!$B:$B,$A1078,'تجربه‌گرها'!$F:$F,Q$1)</f>
        <v>0</v>
      </c>
      <c r="R1078" s="242">
        <f>COUNTIFS('تجربه‌گرها'!$B:$B,$A1078,'تجربه‌گرها'!$F:$F,R$1)</f>
        <v>0</v>
      </c>
      <c r="S1078" s="242">
        <f>COUNTIFS('تجربه‌گرها'!$B:$B,$A1078,'تجربه‌گرها'!$F:$F,S$1)</f>
        <v>0</v>
      </c>
      <c r="T1078" s="242">
        <f>COUNTIFS('تجربه‌گرها'!$B:$B,$A1078,'تجربه‌گرها'!$F:$F,T$1)</f>
        <v>0</v>
      </c>
      <c r="U1078" s="242"/>
      <c r="V1078" s="242"/>
      <c r="W1078" s="242"/>
      <c r="X1078" s="242"/>
      <c r="Y1078" s="242"/>
      <c r="Z1078" s="242"/>
      <c r="AA1078" s="242"/>
      <c r="AB1078" s="242"/>
    </row>
    <row r="1079" hidden="1">
      <c r="A1079" s="244" t="s">
        <v>5663</v>
      </c>
      <c r="B1079" s="245" t="str">
        <f>VLOOKUP(A1079,'تجربه‌گرها'!B:C,2,FALSE())</f>
        <v>9124363075</v>
      </c>
      <c r="C1079" s="242"/>
      <c r="D1079" s="242">
        <f t="shared" si="1"/>
        <v>1</v>
      </c>
      <c r="E1079" s="242">
        <f>COUNTIFS('تجربه‌گرها'!$B:$B,$A1079,'تجربه‌گرها'!$F:$F,E$1)</f>
        <v>0</v>
      </c>
      <c r="F1079" s="242">
        <f>COUNTIFS('تجربه‌گرها'!$B:$B,$A1079,'تجربه‌گرها'!$F:$F,F$1)</f>
        <v>0</v>
      </c>
      <c r="G1079" s="242">
        <f>COUNTIFS('تجربه‌گرها'!$B:$B,$A1079,'تجربه‌گرها'!$F:$F,G$1)</f>
        <v>0</v>
      </c>
      <c r="H1079" s="242">
        <f>COUNTIFS('تجربه‌گرها'!$B:$B,$A1079,'تجربه‌گرها'!$F:$F,H$1)</f>
        <v>0</v>
      </c>
      <c r="I1079" s="242">
        <f>COUNTIFS('تجربه‌گرها'!$B:$B,$A1079,'تجربه‌گرها'!$F:$F,I$1)</f>
        <v>0</v>
      </c>
      <c r="J1079" s="242">
        <f>COUNTIFS('تجربه‌گرها'!$B:$B,$A1079,'تجربه‌گرها'!$F:$F,J$1)</f>
        <v>0</v>
      </c>
      <c r="K1079" s="242">
        <f>COUNTIFS('تجربه‌گرها'!$B:$B,$A1079,'تجربه‌گرها'!$F:$F,K$1)</f>
        <v>0</v>
      </c>
      <c r="L1079" s="242">
        <f>COUNTIFS('تجربه‌گرها'!$B:$B,$A1079,'تجربه‌گرها'!$F:$F,L$1)</f>
        <v>0</v>
      </c>
      <c r="M1079" s="242">
        <f>COUNTIFS('تجربه‌گرها'!$B:$B,$A1079,'تجربه‌گرها'!$F:$F,M$1)</f>
        <v>0</v>
      </c>
      <c r="N1079" s="242">
        <f>COUNTIFS('تجربه‌گرها'!$B:$B,$A1079,'تجربه‌گرها'!$F:$F,N$1)</f>
        <v>1</v>
      </c>
      <c r="O1079" s="242">
        <f>COUNTIFS('تجربه‌گرها'!$B:$B,$A1079,'تجربه‌گرها'!$F:$F,O$1)</f>
        <v>0</v>
      </c>
      <c r="P1079" s="242">
        <f>COUNTIFS('تجربه‌گرها'!$B:$B,$A1079,'تجربه‌گرها'!$F:$F,P$1)</f>
        <v>0</v>
      </c>
      <c r="Q1079" s="242">
        <f>COUNTIFS('تجربه‌گرها'!$B:$B,$A1079,'تجربه‌گرها'!$F:$F,Q$1)</f>
        <v>0</v>
      </c>
      <c r="R1079" s="242">
        <f>COUNTIFS('تجربه‌گرها'!$B:$B,$A1079,'تجربه‌گرها'!$F:$F,R$1)</f>
        <v>0</v>
      </c>
      <c r="S1079" s="242">
        <f>COUNTIFS('تجربه‌گرها'!$B:$B,$A1079,'تجربه‌گرها'!$F:$F,S$1)</f>
        <v>0</v>
      </c>
      <c r="T1079" s="242">
        <f>COUNTIFS('تجربه‌گرها'!$B:$B,$A1079,'تجربه‌گرها'!$F:$F,T$1)</f>
        <v>0</v>
      </c>
      <c r="U1079" s="242"/>
      <c r="V1079" s="242"/>
      <c r="W1079" s="242"/>
      <c r="X1079" s="242"/>
      <c r="Y1079" s="242"/>
      <c r="Z1079" s="242"/>
      <c r="AA1079" s="242"/>
      <c r="AB1079" s="242"/>
    </row>
    <row r="1080" hidden="1">
      <c r="A1080" s="244" t="s">
        <v>5666</v>
      </c>
      <c r="B1080" s="245" t="str">
        <f>VLOOKUP(A1080,'تجربه‌گرها'!B:C,2,FALSE())</f>
        <v>989127341327</v>
      </c>
      <c r="C1080" s="242"/>
      <c r="D1080" s="242">
        <f t="shared" si="1"/>
        <v>1</v>
      </c>
      <c r="E1080" s="242">
        <f>COUNTIFS('تجربه‌گرها'!$B:$B,$A1080,'تجربه‌گرها'!$F:$F,E$1)</f>
        <v>0</v>
      </c>
      <c r="F1080" s="242">
        <f>COUNTIFS('تجربه‌گرها'!$B:$B,$A1080,'تجربه‌گرها'!$F:$F,F$1)</f>
        <v>0</v>
      </c>
      <c r="G1080" s="242">
        <f>COUNTIFS('تجربه‌گرها'!$B:$B,$A1080,'تجربه‌گرها'!$F:$F,G$1)</f>
        <v>0</v>
      </c>
      <c r="H1080" s="242">
        <f>COUNTIFS('تجربه‌گرها'!$B:$B,$A1080,'تجربه‌گرها'!$F:$F,H$1)</f>
        <v>0</v>
      </c>
      <c r="I1080" s="242">
        <f>COUNTIFS('تجربه‌گرها'!$B:$B,$A1080,'تجربه‌گرها'!$F:$F,I$1)</f>
        <v>0</v>
      </c>
      <c r="J1080" s="242">
        <f>COUNTIFS('تجربه‌گرها'!$B:$B,$A1080,'تجربه‌گرها'!$F:$F,J$1)</f>
        <v>0</v>
      </c>
      <c r="K1080" s="242">
        <f>COUNTIFS('تجربه‌گرها'!$B:$B,$A1080,'تجربه‌گرها'!$F:$F,K$1)</f>
        <v>0</v>
      </c>
      <c r="L1080" s="242">
        <f>COUNTIFS('تجربه‌گرها'!$B:$B,$A1080,'تجربه‌گرها'!$F:$F,L$1)</f>
        <v>0</v>
      </c>
      <c r="M1080" s="242">
        <f>COUNTIFS('تجربه‌گرها'!$B:$B,$A1080,'تجربه‌گرها'!$F:$F,M$1)</f>
        <v>0</v>
      </c>
      <c r="N1080" s="242">
        <f>COUNTIFS('تجربه‌گرها'!$B:$B,$A1080,'تجربه‌گرها'!$F:$F,N$1)</f>
        <v>1</v>
      </c>
      <c r="O1080" s="242">
        <f>COUNTIFS('تجربه‌گرها'!$B:$B,$A1080,'تجربه‌گرها'!$F:$F,O$1)</f>
        <v>0</v>
      </c>
      <c r="P1080" s="242">
        <f>COUNTIFS('تجربه‌گرها'!$B:$B,$A1080,'تجربه‌گرها'!$F:$F,P$1)</f>
        <v>0</v>
      </c>
      <c r="Q1080" s="242">
        <f>COUNTIFS('تجربه‌گرها'!$B:$B,$A1080,'تجربه‌گرها'!$F:$F,Q$1)</f>
        <v>0</v>
      </c>
      <c r="R1080" s="242">
        <f>COUNTIFS('تجربه‌گرها'!$B:$B,$A1080,'تجربه‌گرها'!$F:$F,R$1)</f>
        <v>0</v>
      </c>
      <c r="S1080" s="242">
        <f>COUNTIFS('تجربه‌گرها'!$B:$B,$A1080,'تجربه‌گرها'!$F:$F,S$1)</f>
        <v>0</v>
      </c>
      <c r="T1080" s="242">
        <f>COUNTIFS('تجربه‌گرها'!$B:$B,$A1080,'تجربه‌گرها'!$F:$F,T$1)</f>
        <v>0</v>
      </c>
      <c r="U1080" s="242"/>
      <c r="V1080" s="242"/>
      <c r="W1080" s="242"/>
      <c r="X1080" s="242"/>
      <c r="Y1080" s="242"/>
      <c r="Z1080" s="242"/>
      <c r="AA1080" s="242"/>
      <c r="AB1080" s="242"/>
    </row>
    <row r="1081" hidden="1">
      <c r="A1081" s="244" t="s">
        <v>5668</v>
      </c>
      <c r="B1081" s="245" t="str">
        <f>VLOOKUP(A1081,'تجربه‌گرها'!B:C,2,FALSE())</f>
        <v>9192220910</v>
      </c>
      <c r="C1081" s="242"/>
      <c r="D1081" s="242">
        <f t="shared" si="1"/>
        <v>1</v>
      </c>
      <c r="E1081" s="242">
        <f>COUNTIFS('تجربه‌گرها'!$B:$B,$A1081,'تجربه‌گرها'!$F:$F,E$1)</f>
        <v>0</v>
      </c>
      <c r="F1081" s="242">
        <f>COUNTIFS('تجربه‌گرها'!$B:$B,$A1081,'تجربه‌گرها'!$F:$F,F$1)</f>
        <v>0</v>
      </c>
      <c r="G1081" s="242">
        <f>COUNTIFS('تجربه‌گرها'!$B:$B,$A1081,'تجربه‌گرها'!$F:$F,G$1)</f>
        <v>0</v>
      </c>
      <c r="H1081" s="242">
        <f>COUNTIFS('تجربه‌گرها'!$B:$B,$A1081,'تجربه‌گرها'!$F:$F,H$1)</f>
        <v>0</v>
      </c>
      <c r="I1081" s="242">
        <f>COUNTIFS('تجربه‌گرها'!$B:$B,$A1081,'تجربه‌گرها'!$F:$F,I$1)</f>
        <v>0</v>
      </c>
      <c r="J1081" s="242">
        <f>COUNTIFS('تجربه‌گرها'!$B:$B,$A1081,'تجربه‌گرها'!$F:$F,J$1)</f>
        <v>0</v>
      </c>
      <c r="K1081" s="242">
        <f>COUNTIFS('تجربه‌گرها'!$B:$B,$A1081,'تجربه‌گرها'!$F:$F,K$1)</f>
        <v>0</v>
      </c>
      <c r="L1081" s="242">
        <f>COUNTIFS('تجربه‌گرها'!$B:$B,$A1081,'تجربه‌گرها'!$F:$F,L$1)</f>
        <v>0</v>
      </c>
      <c r="M1081" s="242">
        <f>COUNTIFS('تجربه‌گرها'!$B:$B,$A1081,'تجربه‌گرها'!$F:$F,M$1)</f>
        <v>0</v>
      </c>
      <c r="N1081" s="242">
        <f>COUNTIFS('تجربه‌گرها'!$B:$B,$A1081,'تجربه‌گرها'!$F:$F,N$1)</f>
        <v>1</v>
      </c>
      <c r="O1081" s="242">
        <f>COUNTIFS('تجربه‌گرها'!$B:$B,$A1081,'تجربه‌گرها'!$F:$F,O$1)</f>
        <v>0</v>
      </c>
      <c r="P1081" s="242">
        <f>COUNTIFS('تجربه‌گرها'!$B:$B,$A1081,'تجربه‌گرها'!$F:$F,P$1)</f>
        <v>0</v>
      </c>
      <c r="Q1081" s="242">
        <f>COUNTIFS('تجربه‌گرها'!$B:$B,$A1081,'تجربه‌گرها'!$F:$F,Q$1)</f>
        <v>0</v>
      </c>
      <c r="R1081" s="242">
        <f>COUNTIFS('تجربه‌گرها'!$B:$B,$A1081,'تجربه‌گرها'!$F:$F,R$1)</f>
        <v>0</v>
      </c>
      <c r="S1081" s="242">
        <f>COUNTIFS('تجربه‌گرها'!$B:$B,$A1081,'تجربه‌گرها'!$F:$F,S$1)</f>
        <v>0</v>
      </c>
      <c r="T1081" s="242">
        <f>COUNTIFS('تجربه‌گرها'!$B:$B,$A1081,'تجربه‌گرها'!$F:$F,T$1)</f>
        <v>0</v>
      </c>
      <c r="U1081" s="242"/>
      <c r="V1081" s="242"/>
      <c r="W1081" s="242"/>
      <c r="X1081" s="242"/>
      <c r="Y1081" s="242"/>
      <c r="Z1081" s="242"/>
      <c r="AA1081" s="242"/>
      <c r="AB1081" s="242"/>
    </row>
    <row r="1082" hidden="1">
      <c r="A1082" s="244" t="s">
        <v>5672</v>
      </c>
      <c r="B1082" s="245" t="str">
        <f>VLOOKUP(A1082,'تجربه‌گرها'!B:C,2,FALSE())</f>
        <v>989125206410</v>
      </c>
      <c r="C1082" s="242"/>
      <c r="D1082" s="242">
        <f t="shared" si="1"/>
        <v>1</v>
      </c>
      <c r="E1082" s="242">
        <f>COUNTIFS('تجربه‌گرها'!$B:$B,$A1082,'تجربه‌گرها'!$F:$F,E$1)</f>
        <v>0</v>
      </c>
      <c r="F1082" s="242">
        <f>COUNTIFS('تجربه‌گرها'!$B:$B,$A1082,'تجربه‌گرها'!$F:$F,F$1)</f>
        <v>0</v>
      </c>
      <c r="G1082" s="242">
        <f>COUNTIFS('تجربه‌گرها'!$B:$B,$A1082,'تجربه‌گرها'!$F:$F,G$1)</f>
        <v>0</v>
      </c>
      <c r="H1082" s="242">
        <f>COUNTIFS('تجربه‌گرها'!$B:$B,$A1082,'تجربه‌گرها'!$F:$F,H$1)</f>
        <v>0</v>
      </c>
      <c r="I1082" s="242">
        <f>COUNTIFS('تجربه‌گرها'!$B:$B,$A1082,'تجربه‌گرها'!$F:$F,I$1)</f>
        <v>0</v>
      </c>
      <c r="J1082" s="242">
        <f>COUNTIFS('تجربه‌گرها'!$B:$B,$A1082,'تجربه‌گرها'!$F:$F,J$1)</f>
        <v>0</v>
      </c>
      <c r="K1082" s="242">
        <f>COUNTIFS('تجربه‌گرها'!$B:$B,$A1082,'تجربه‌گرها'!$F:$F,K$1)</f>
        <v>0</v>
      </c>
      <c r="L1082" s="242">
        <f>COUNTIFS('تجربه‌گرها'!$B:$B,$A1082,'تجربه‌گرها'!$F:$F,L$1)</f>
        <v>0</v>
      </c>
      <c r="M1082" s="242">
        <f>COUNTIFS('تجربه‌گرها'!$B:$B,$A1082,'تجربه‌گرها'!$F:$F,M$1)</f>
        <v>0</v>
      </c>
      <c r="N1082" s="242">
        <f>COUNTIFS('تجربه‌گرها'!$B:$B,$A1082,'تجربه‌گرها'!$F:$F,N$1)</f>
        <v>1</v>
      </c>
      <c r="O1082" s="242">
        <f>COUNTIFS('تجربه‌گرها'!$B:$B,$A1082,'تجربه‌گرها'!$F:$F,O$1)</f>
        <v>0</v>
      </c>
      <c r="P1082" s="242">
        <f>COUNTIFS('تجربه‌گرها'!$B:$B,$A1082,'تجربه‌گرها'!$F:$F,P$1)</f>
        <v>0</v>
      </c>
      <c r="Q1082" s="242">
        <f>COUNTIFS('تجربه‌گرها'!$B:$B,$A1082,'تجربه‌گرها'!$F:$F,Q$1)</f>
        <v>0</v>
      </c>
      <c r="R1082" s="242">
        <f>COUNTIFS('تجربه‌گرها'!$B:$B,$A1082,'تجربه‌گرها'!$F:$F,R$1)</f>
        <v>0</v>
      </c>
      <c r="S1082" s="242">
        <f>COUNTIFS('تجربه‌گرها'!$B:$B,$A1082,'تجربه‌گرها'!$F:$F,S$1)</f>
        <v>0</v>
      </c>
      <c r="T1082" s="242">
        <f>COUNTIFS('تجربه‌گرها'!$B:$B,$A1082,'تجربه‌گرها'!$F:$F,T$1)</f>
        <v>0</v>
      </c>
      <c r="U1082" s="242"/>
      <c r="V1082" s="242"/>
      <c r="W1082" s="242"/>
      <c r="X1082" s="242"/>
      <c r="Y1082" s="242"/>
      <c r="Z1082" s="242"/>
      <c r="AA1082" s="242"/>
      <c r="AB1082" s="242"/>
    </row>
    <row r="1083" hidden="1">
      <c r="A1083" s="244" t="s">
        <v>5674</v>
      </c>
      <c r="B1083" s="245" t="str">
        <f>VLOOKUP(A1083,'تجربه‌گرها'!B:C,2,FALSE())</f>
        <v>989363755772</v>
      </c>
      <c r="C1083" s="242"/>
      <c r="D1083" s="242">
        <f t="shared" si="1"/>
        <v>2</v>
      </c>
      <c r="E1083" s="242">
        <f>COUNTIFS('تجربه‌گرها'!$B:$B,$A1083,'تجربه‌گرها'!$F:$F,E$1)</f>
        <v>0</v>
      </c>
      <c r="F1083" s="242">
        <f>COUNTIFS('تجربه‌گرها'!$B:$B,$A1083,'تجربه‌گرها'!$F:$F,F$1)</f>
        <v>0</v>
      </c>
      <c r="G1083" s="242">
        <f>COUNTIFS('تجربه‌گرها'!$B:$B,$A1083,'تجربه‌گرها'!$F:$F,G$1)</f>
        <v>0</v>
      </c>
      <c r="H1083" s="242">
        <f>COUNTIFS('تجربه‌گرها'!$B:$B,$A1083,'تجربه‌گرها'!$F:$F,H$1)</f>
        <v>0</v>
      </c>
      <c r="I1083" s="242">
        <f>COUNTIFS('تجربه‌گرها'!$B:$B,$A1083,'تجربه‌گرها'!$F:$F,I$1)</f>
        <v>0</v>
      </c>
      <c r="J1083" s="242">
        <f>COUNTIFS('تجربه‌گرها'!$B:$B,$A1083,'تجربه‌گرها'!$F:$F,J$1)</f>
        <v>0</v>
      </c>
      <c r="K1083" s="242">
        <f>COUNTIFS('تجربه‌گرها'!$B:$B,$A1083,'تجربه‌گرها'!$F:$F,K$1)</f>
        <v>0</v>
      </c>
      <c r="L1083" s="242">
        <f>COUNTIFS('تجربه‌گرها'!$B:$B,$A1083,'تجربه‌گرها'!$F:$F,L$1)</f>
        <v>0</v>
      </c>
      <c r="M1083" s="242">
        <f>COUNTIFS('تجربه‌گرها'!$B:$B,$A1083,'تجربه‌گرها'!$F:$F,M$1)</f>
        <v>0</v>
      </c>
      <c r="N1083" s="242">
        <f>COUNTIFS('تجربه‌گرها'!$B:$B,$A1083,'تجربه‌گرها'!$F:$F,N$1)</f>
        <v>1</v>
      </c>
      <c r="O1083" s="242">
        <f>COUNTIFS('تجربه‌گرها'!$B:$B,$A1083,'تجربه‌گرها'!$F:$F,O$1)</f>
        <v>0</v>
      </c>
      <c r="P1083" s="242">
        <f>COUNTIFS('تجربه‌گرها'!$B:$B,$A1083,'تجربه‌گرها'!$F:$F,P$1)</f>
        <v>1</v>
      </c>
      <c r="Q1083" s="242">
        <f>COUNTIFS('تجربه‌گرها'!$B:$B,$A1083,'تجربه‌گرها'!$F:$F,Q$1)</f>
        <v>0</v>
      </c>
      <c r="R1083" s="242">
        <f>COUNTIFS('تجربه‌گرها'!$B:$B,$A1083,'تجربه‌گرها'!$F:$F,R$1)</f>
        <v>0</v>
      </c>
      <c r="S1083" s="242">
        <f>COUNTIFS('تجربه‌گرها'!$B:$B,$A1083,'تجربه‌گرها'!$F:$F,S$1)</f>
        <v>0</v>
      </c>
      <c r="T1083" s="242">
        <f>COUNTIFS('تجربه‌گرها'!$B:$B,$A1083,'تجربه‌گرها'!$F:$F,T$1)</f>
        <v>0</v>
      </c>
      <c r="U1083" s="242"/>
      <c r="V1083" s="242"/>
      <c r="W1083" s="242"/>
      <c r="X1083" s="242"/>
      <c r="Y1083" s="242"/>
      <c r="Z1083" s="242"/>
      <c r="AA1083" s="242"/>
      <c r="AB1083" s="242"/>
    </row>
    <row r="1084" hidden="1">
      <c r="A1084" s="244" t="s">
        <v>5677</v>
      </c>
      <c r="B1084" s="245" t="str">
        <f>VLOOKUP(A1084,'تجربه‌گرها'!B:C,2,FALSE())</f>
        <v>9120681759</v>
      </c>
      <c r="C1084" s="242"/>
      <c r="D1084" s="242">
        <f t="shared" si="1"/>
        <v>1</v>
      </c>
      <c r="E1084" s="242">
        <f>COUNTIFS('تجربه‌گرها'!$B:$B,$A1084,'تجربه‌گرها'!$F:$F,E$1)</f>
        <v>0</v>
      </c>
      <c r="F1084" s="242">
        <f>COUNTIFS('تجربه‌گرها'!$B:$B,$A1084,'تجربه‌گرها'!$F:$F,F$1)</f>
        <v>0</v>
      </c>
      <c r="G1084" s="242">
        <f>COUNTIFS('تجربه‌گرها'!$B:$B,$A1084,'تجربه‌گرها'!$F:$F,G$1)</f>
        <v>0</v>
      </c>
      <c r="H1084" s="242">
        <f>COUNTIFS('تجربه‌گرها'!$B:$B,$A1084,'تجربه‌گرها'!$F:$F,H$1)</f>
        <v>0</v>
      </c>
      <c r="I1084" s="242">
        <f>COUNTIFS('تجربه‌گرها'!$B:$B,$A1084,'تجربه‌گرها'!$F:$F,I$1)</f>
        <v>0</v>
      </c>
      <c r="J1084" s="242">
        <f>COUNTIFS('تجربه‌گرها'!$B:$B,$A1084,'تجربه‌گرها'!$F:$F,J$1)</f>
        <v>0</v>
      </c>
      <c r="K1084" s="242">
        <f>COUNTIFS('تجربه‌گرها'!$B:$B,$A1084,'تجربه‌گرها'!$F:$F,K$1)</f>
        <v>0</v>
      </c>
      <c r="L1084" s="242">
        <f>COUNTIFS('تجربه‌گرها'!$B:$B,$A1084,'تجربه‌گرها'!$F:$F,L$1)</f>
        <v>0</v>
      </c>
      <c r="M1084" s="242">
        <f>COUNTIFS('تجربه‌گرها'!$B:$B,$A1084,'تجربه‌گرها'!$F:$F,M$1)</f>
        <v>0</v>
      </c>
      <c r="N1084" s="242">
        <f>COUNTIFS('تجربه‌گرها'!$B:$B,$A1084,'تجربه‌گرها'!$F:$F,N$1)</f>
        <v>1</v>
      </c>
      <c r="O1084" s="242">
        <f>COUNTIFS('تجربه‌گرها'!$B:$B,$A1084,'تجربه‌گرها'!$F:$F,O$1)</f>
        <v>0</v>
      </c>
      <c r="P1084" s="242">
        <f>COUNTIFS('تجربه‌گرها'!$B:$B,$A1084,'تجربه‌گرها'!$F:$F,P$1)</f>
        <v>0</v>
      </c>
      <c r="Q1084" s="242">
        <f>COUNTIFS('تجربه‌گرها'!$B:$B,$A1084,'تجربه‌گرها'!$F:$F,Q$1)</f>
        <v>0</v>
      </c>
      <c r="R1084" s="242">
        <f>COUNTIFS('تجربه‌گرها'!$B:$B,$A1084,'تجربه‌گرها'!$F:$F,R$1)</f>
        <v>0</v>
      </c>
      <c r="S1084" s="242">
        <f>COUNTIFS('تجربه‌گرها'!$B:$B,$A1084,'تجربه‌گرها'!$F:$F,S$1)</f>
        <v>0</v>
      </c>
      <c r="T1084" s="242">
        <f>COUNTIFS('تجربه‌گرها'!$B:$B,$A1084,'تجربه‌گرها'!$F:$F,T$1)</f>
        <v>0</v>
      </c>
      <c r="U1084" s="242"/>
      <c r="V1084" s="242"/>
      <c r="W1084" s="242"/>
      <c r="X1084" s="242"/>
      <c r="Y1084" s="242"/>
      <c r="Z1084" s="242"/>
      <c r="AA1084" s="242"/>
      <c r="AB1084" s="242"/>
    </row>
    <row r="1085" hidden="1">
      <c r="A1085" s="244" t="s">
        <v>5680</v>
      </c>
      <c r="B1085" s="245" t="str">
        <f>VLOOKUP(A1085,'تجربه‌گرها'!B:C,2,FALSE())</f>
        <v>9381192373</v>
      </c>
      <c r="C1085" s="242"/>
      <c r="D1085" s="242">
        <f t="shared" si="1"/>
        <v>1</v>
      </c>
      <c r="E1085" s="242">
        <f>COUNTIFS('تجربه‌گرها'!$B:$B,$A1085,'تجربه‌گرها'!$F:$F,E$1)</f>
        <v>0</v>
      </c>
      <c r="F1085" s="242">
        <f>COUNTIFS('تجربه‌گرها'!$B:$B,$A1085,'تجربه‌گرها'!$F:$F,F$1)</f>
        <v>0</v>
      </c>
      <c r="G1085" s="242">
        <f>COUNTIFS('تجربه‌گرها'!$B:$B,$A1085,'تجربه‌گرها'!$F:$F,G$1)</f>
        <v>0</v>
      </c>
      <c r="H1085" s="242">
        <f>COUNTIFS('تجربه‌گرها'!$B:$B,$A1085,'تجربه‌گرها'!$F:$F,H$1)</f>
        <v>0</v>
      </c>
      <c r="I1085" s="242">
        <f>COUNTIFS('تجربه‌گرها'!$B:$B,$A1085,'تجربه‌گرها'!$F:$F,I$1)</f>
        <v>0</v>
      </c>
      <c r="J1085" s="242">
        <f>COUNTIFS('تجربه‌گرها'!$B:$B,$A1085,'تجربه‌گرها'!$F:$F,J$1)</f>
        <v>0</v>
      </c>
      <c r="K1085" s="242">
        <f>COUNTIFS('تجربه‌گرها'!$B:$B,$A1085,'تجربه‌گرها'!$F:$F,K$1)</f>
        <v>0</v>
      </c>
      <c r="L1085" s="242">
        <f>COUNTIFS('تجربه‌گرها'!$B:$B,$A1085,'تجربه‌گرها'!$F:$F,L$1)</f>
        <v>0</v>
      </c>
      <c r="M1085" s="242">
        <f>COUNTIFS('تجربه‌گرها'!$B:$B,$A1085,'تجربه‌گرها'!$F:$F,M$1)</f>
        <v>0</v>
      </c>
      <c r="N1085" s="242">
        <f>COUNTIFS('تجربه‌گرها'!$B:$B,$A1085,'تجربه‌گرها'!$F:$F,N$1)</f>
        <v>1</v>
      </c>
      <c r="O1085" s="242">
        <f>COUNTIFS('تجربه‌گرها'!$B:$B,$A1085,'تجربه‌گرها'!$F:$F,O$1)</f>
        <v>0</v>
      </c>
      <c r="P1085" s="242">
        <f>COUNTIFS('تجربه‌گرها'!$B:$B,$A1085,'تجربه‌گرها'!$F:$F,P$1)</f>
        <v>0</v>
      </c>
      <c r="Q1085" s="242">
        <f>COUNTIFS('تجربه‌گرها'!$B:$B,$A1085,'تجربه‌گرها'!$F:$F,Q$1)</f>
        <v>0</v>
      </c>
      <c r="R1085" s="242">
        <f>COUNTIFS('تجربه‌گرها'!$B:$B,$A1085,'تجربه‌گرها'!$F:$F,R$1)</f>
        <v>0</v>
      </c>
      <c r="S1085" s="242">
        <f>COUNTIFS('تجربه‌گرها'!$B:$B,$A1085,'تجربه‌گرها'!$F:$F,S$1)</f>
        <v>0</v>
      </c>
      <c r="T1085" s="242">
        <f>COUNTIFS('تجربه‌گرها'!$B:$B,$A1085,'تجربه‌گرها'!$F:$F,T$1)</f>
        <v>0</v>
      </c>
      <c r="U1085" s="242"/>
      <c r="V1085" s="242"/>
      <c r="W1085" s="242"/>
      <c r="X1085" s="242"/>
      <c r="Y1085" s="242"/>
      <c r="Z1085" s="242"/>
      <c r="AA1085" s="242"/>
      <c r="AB1085" s="242"/>
    </row>
    <row r="1086" hidden="1">
      <c r="A1086" s="244" t="s">
        <v>5682</v>
      </c>
      <c r="B1086" s="245" t="str">
        <f>VLOOKUP(A1086,'تجربه‌گرها'!B:C,2,FALSE())</f>
        <v>989128703674</v>
      </c>
      <c r="C1086" s="242"/>
      <c r="D1086" s="242">
        <f t="shared" si="1"/>
        <v>1</v>
      </c>
      <c r="E1086" s="242">
        <f>COUNTIFS('تجربه‌گرها'!$B:$B,$A1086,'تجربه‌گرها'!$F:$F,E$1)</f>
        <v>0</v>
      </c>
      <c r="F1086" s="242">
        <f>COUNTIFS('تجربه‌گرها'!$B:$B,$A1086,'تجربه‌گرها'!$F:$F,F$1)</f>
        <v>0</v>
      </c>
      <c r="G1086" s="242">
        <f>COUNTIFS('تجربه‌گرها'!$B:$B,$A1086,'تجربه‌گرها'!$F:$F,G$1)</f>
        <v>0</v>
      </c>
      <c r="H1086" s="242">
        <f>COUNTIFS('تجربه‌گرها'!$B:$B,$A1086,'تجربه‌گرها'!$F:$F,H$1)</f>
        <v>0</v>
      </c>
      <c r="I1086" s="242">
        <f>COUNTIFS('تجربه‌گرها'!$B:$B,$A1086,'تجربه‌گرها'!$F:$F,I$1)</f>
        <v>0</v>
      </c>
      <c r="J1086" s="242">
        <f>COUNTIFS('تجربه‌گرها'!$B:$B,$A1086,'تجربه‌گرها'!$F:$F,J$1)</f>
        <v>0</v>
      </c>
      <c r="K1086" s="242">
        <f>COUNTIFS('تجربه‌گرها'!$B:$B,$A1086,'تجربه‌گرها'!$F:$F,K$1)</f>
        <v>0</v>
      </c>
      <c r="L1086" s="242">
        <f>COUNTIFS('تجربه‌گرها'!$B:$B,$A1086,'تجربه‌گرها'!$F:$F,L$1)</f>
        <v>0</v>
      </c>
      <c r="M1086" s="242">
        <f>COUNTIFS('تجربه‌گرها'!$B:$B,$A1086,'تجربه‌گرها'!$F:$F,M$1)</f>
        <v>0</v>
      </c>
      <c r="N1086" s="242">
        <f>COUNTIFS('تجربه‌گرها'!$B:$B,$A1086,'تجربه‌گرها'!$F:$F,N$1)</f>
        <v>1</v>
      </c>
      <c r="O1086" s="242">
        <f>COUNTIFS('تجربه‌گرها'!$B:$B,$A1086,'تجربه‌گرها'!$F:$F,O$1)</f>
        <v>0</v>
      </c>
      <c r="P1086" s="242">
        <f>COUNTIFS('تجربه‌گرها'!$B:$B,$A1086,'تجربه‌گرها'!$F:$F,P$1)</f>
        <v>0</v>
      </c>
      <c r="Q1086" s="242">
        <f>COUNTIFS('تجربه‌گرها'!$B:$B,$A1086,'تجربه‌گرها'!$F:$F,Q$1)</f>
        <v>0</v>
      </c>
      <c r="R1086" s="242">
        <f>COUNTIFS('تجربه‌گرها'!$B:$B,$A1086,'تجربه‌گرها'!$F:$F,R$1)</f>
        <v>0</v>
      </c>
      <c r="S1086" s="242">
        <f>COUNTIFS('تجربه‌گرها'!$B:$B,$A1086,'تجربه‌گرها'!$F:$F,S$1)</f>
        <v>0</v>
      </c>
      <c r="T1086" s="242">
        <f>COUNTIFS('تجربه‌گرها'!$B:$B,$A1086,'تجربه‌گرها'!$F:$F,T$1)</f>
        <v>0</v>
      </c>
      <c r="U1086" s="242"/>
      <c r="V1086" s="242"/>
      <c r="W1086" s="242"/>
      <c r="X1086" s="242"/>
      <c r="Y1086" s="242"/>
      <c r="Z1086" s="242"/>
      <c r="AA1086" s="242"/>
      <c r="AB1086" s="242"/>
    </row>
    <row r="1087" hidden="1">
      <c r="A1087" s="244" t="s">
        <v>5685</v>
      </c>
      <c r="B1087" s="245" t="str">
        <f>VLOOKUP(A1087,'تجربه‌گرها'!B:C,2,FALSE())</f>
        <v>989192440043</v>
      </c>
      <c r="C1087" s="242"/>
      <c r="D1087" s="242">
        <f t="shared" si="1"/>
        <v>1</v>
      </c>
      <c r="E1087" s="242">
        <f>COUNTIFS('تجربه‌گرها'!$B:$B,$A1087,'تجربه‌گرها'!$F:$F,E$1)</f>
        <v>0</v>
      </c>
      <c r="F1087" s="242">
        <f>COUNTIFS('تجربه‌گرها'!$B:$B,$A1087,'تجربه‌گرها'!$F:$F,F$1)</f>
        <v>0</v>
      </c>
      <c r="G1087" s="242">
        <f>COUNTIFS('تجربه‌گرها'!$B:$B,$A1087,'تجربه‌گرها'!$F:$F,G$1)</f>
        <v>0</v>
      </c>
      <c r="H1087" s="242">
        <f>COUNTIFS('تجربه‌گرها'!$B:$B,$A1087,'تجربه‌گرها'!$F:$F,H$1)</f>
        <v>0</v>
      </c>
      <c r="I1087" s="242">
        <f>COUNTIFS('تجربه‌گرها'!$B:$B,$A1087,'تجربه‌گرها'!$F:$F,I$1)</f>
        <v>0</v>
      </c>
      <c r="J1087" s="242">
        <f>COUNTIFS('تجربه‌گرها'!$B:$B,$A1087,'تجربه‌گرها'!$F:$F,J$1)</f>
        <v>0</v>
      </c>
      <c r="K1087" s="242">
        <f>COUNTIFS('تجربه‌گرها'!$B:$B,$A1087,'تجربه‌گرها'!$F:$F,K$1)</f>
        <v>0</v>
      </c>
      <c r="L1087" s="242">
        <f>COUNTIFS('تجربه‌گرها'!$B:$B,$A1087,'تجربه‌گرها'!$F:$F,L$1)</f>
        <v>0</v>
      </c>
      <c r="M1087" s="242">
        <f>COUNTIFS('تجربه‌گرها'!$B:$B,$A1087,'تجربه‌گرها'!$F:$F,M$1)</f>
        <v>0</v>
      </c>
      <c r="N1087" s="242">
        <f>COUNTIFS('تجربه‌گرها'!$B:$B,$A1087,'تجربه‌گرها'!$F:$F,N$1)</f>
        <v>1</v>
      </c>
      <c r="O1087" s="242">
        <f>COUNTIFS('تجربه‌گرها'!$B:$B,$A1087,'تجربه‌گرها'!$F:$F,O$1)</f>
        <v>0</v>
      </c>
      <c r="P1087" s="242">
        <f>COUNTIFS('تجربه‌گرها'!$B:$B,$A1087,'تجربه‌گرها'!$F:$F,P$1)</f>
        <v>0</v>
      </c>
      <c r="Q1087" s="242">
        <f>COUNTIFS('تجربه‌گرها'!$B:$B,$A1087,'تجربه‌گرها'!$F:$F,Q$1)</f>
        <v>0</v>
      </c>
      <c r="R1087" s="242">
        <f>COUNTIFS('تجربه‌گرها'!$B:$B,$A1087,'تجربه‌گرها'!$F:$F,R$1)</f>
        <v>0</v>
      </c>
      <c r="S1087" s="242">
        <f>COUNTIFS('تجربه‌گرها'!$B:$B,$A1087,'تجربه‌گرها'!$F:$F,S$1)</f>
        <v>0</v>
      </c>
      <c r="T1087" s="242">
        <f>COUNTIFS('تجربه‌گرها'!$B:$B,$A1087,'تجربه‌گرها'!$F:$F,T$1)</f>
        <v>0</v>
      </c>
      <c r="U1087" s="242"/>
      <c r="V1087" s="242"/>
      <c r="W1087" s="242"/>
      <c r="X1087" s="242"/>
      <c r="Y1087" s="242"/>
      <c r="Z1087" s="242"/>
      <c r="AA1087" s="242"/>
      <c r="AB1087" s="242"/>
    </row>
    <row r="1088" hidden="1">
      <c r="A1088" s="244" t="s">
        <v>5688</v>
      </c>
      <c r="B1088" s="245" t="str">
        <f>VLOOKUP(A1088,'تجربه‌گرها'!B:C,2,FALSE())</f>
        <v>9101829821</v>
      </c>
      <c r="C1088" s="242"/>
      <c r="D1088" s="242">
        <f t="shared" si="1"/>
        <v>1</v>
      </c>
      <c r="E1088" s="242">
        <f>COUNTIFS('تجربه‌گرها'!$B:$B,$A1088,'تجربه‌گرها'!$F:$F,E$1)</f>
        <v>0</v>
      </c>
      <c r="F1088" s="242">
        <f>COUNTIFS('تجربه‌گرها'!$B:$B,$A1088,'تجربه‌گرها'!$F:$F,F$1)</f>
        <v>0</v>
      </c>
      <c r="G1088" s="242">
        <f>COUNTIFS('تجربه‌گرها'!$B:$B,$A1088,'تجربه‌گرها'!$F:$F,G$1)</f>
        <v>0</v>
      </c>
      <c r="H1088" s="242">
        <f>COUNTIFS('تجربه‌گرها'!$B:$B,$A1088,'تجربه‌گرها'!$F:$F,H$1)</f>
        <v>0</v>
      </c>
      <c r="I1088" s="242">
        <f>COUNTIFS('تجربه‌گرها'!$B:$B,$A1088,'تجربه‌گرها'!$F:$F,I$1)</f>
        <v>0</v>
      </c>
      <c r="J1088" s="242">
        <f>COUNTIFS('تجربه‌گرها'!$B:$B,$A1088,'تجربه‌گرها'!$F:$F,J$1)</f>
        <v>0</v>
      </c>
      <c r="K1088" s="242">
        <f>COUNTIFS('تجربه‌گرها'!$B:$B,$A1088,'تجربه‌گرها'!$F:$F,K$1)</f>
        <v>0</v>
      </c>
      <c r="L1088" s="242">
        <f>COUNTIFS('تجربه‌گرها'!$B:$B,$A1088,'تجربه‌گرها'!$F:$F,L$1)</f>
        <v>0</v>
      </c>
      <c r="M1088" s="242">
        <f>COUNTIFS('تجربه‌گرها'!$B:$B,$A1088,'تجربه‌گرها'!$F:$F,M$1)</f>
        <v>0</v>
      </c>
      <c r="N1088" s="242">
        <f>COUNTIFS('تجربه‌گرها'!$B:$B,$A1088,'تجربه‌گرها'!$F:$F,N$1)</f>
        <v>1</v>
      </c>
      <c r="O1088" s="242">
        <f>COUNTIFS('تجربه‌گرها'!$B:$B,$A1088,'تجربه‌گرها'!$F:$F,O$1)</f>
        <v>0</v>
      </c>
      <c r="P1088" s="242">
        <f>COUNTIFS('تجربه‌گرها'!$B:$B,$A1088,'تجربه‌گرها'!$F:$F,P$1)</f>
        <v>0</v>
      </c>
      <c r="Q1088" s="242">
        <f>COUNTIFS('تجربه‌گرها'!$B:$B,$A1088,'تجربه‌گرها'!$F:$F,Q$1)</f>
        <v>0</v>
      </c>
      <c r="R1088" s="242">
        <f>COUNTIFS('تجربه‌گرها'!$B:$B,$A1088,'تجربه‌گرها'!$F:$F,R$1)</f>
        <v>0</v>
      </c>
      <c r="S1088" s="242">
        <f>COUNTIFS('تجربه‌گرها'!$B:$B,$A1088,'تجربه‌گرها'!$F:$F,S$1)</f>
        <v>0</v>
      </c>
      <c r="T1088" s="242">
        <f>COUNTIFS('تجربه‌گرها'!$B:$B,$A1088,'تجربه‌گرها'!$F:$F,T$1)</f>
        <v>0</v>
      </c>
      <c r="U1088" s="242"/>
      <c r="V1088" s="242"/>
      <c r="W1088" s="242"/>
      <c r="X1088" s="242"/>
      <c r="Y1088" s="242"/>
      <c r="Z1088" s="242"/>
      <c r="AA1088" s="242"/>
      <c r="AB1088" s="242"/>
    </row>
    <row r="1089" hidden="1">
      <c r="A1089" s="244" t="s">
        <v>5691</v>
      </c>
      <c r="B1089" s="245" t="str">
        <f>VLOOKUP(A1089,'تجربه‌گرها'!B:C,2,FALSE())</f>
        <v>989022679124</v>
      </c>
      <c r="C1089" s="242"/>
      <c r="D1089" s="242">
        <f t="shared" si="1"/>
        <v>1</v>
      </c>
      <c r="E1089" s="242">
        <f>COUNTIFS('تجربه‌گرها'!$B:$B,$A1089,'تجربه‌گرها'!$F:$F,E$1)</f>
        <v>0</v>
      </c>
      <c r="F1089" s="242">
        <f>COUNTIFS('تجربه‌گرها'!$B:$B,$A1089,'تجربه‌گرها'!$F:$F,F$1)</f>
        <v>0</v>
      </c>
      <c r="G1089" s="242">
        <f>COUNTIFS('تجربه‌گرها'!$B:$B,$A1089,'تجربه‌گرها'!$F:$F,G$1)</f>
        <v>0</v>
      </c>
      <c r="H1089" s="242">
        <f>COUNTIFS('تجربه‌گرها'!$B:$B,$A1089,'تجربه‌گرها'!$F:$F,H$1)</f>
        <v>0</v>
      </c>
      <c r="I1089" s="242">
        <f>COUNTIFS('تجربه‌گرها'!$B:$B,$A1089,'تجربه‌گرها'!$F:$F,I$1)</f>
        <v>0</v>
      </c>
      <c r="J1089" s="242">
        <f>COUNTIFS('تجربه‌گرها'!$B:$B,$A1089,'تجربه‌گرها'!$F:$F,J$1)</f>
        <v>0</v>
      </c>
      <c r="K1089" s="242">
        <f>COUNTIFS('تجربه‌گرها'!$B:$B,$A1089,'تجربه‌گرها'!$F:$F,K$1)</f>
        <v>0</v>
      </c>
      <c r="L1089" s="242">
        <f>COUNTIFS('تجربه‌گرها'!$B:$B,$A1089,'تجربه‌گرها'!$F:$F,L$1)</f>
        <v>0</v>
      </c>
      <c r="M1089" s="242">
        <f>COUNTIFS('تجربه‌گرها'!$B:$B,$A1089,'تجربه‌گرها'!$F:$F,M$1)</f>
        <v>0</v>
      </c>
      <c r="N1089" s="242">
        <f>COUNTIFS('تجربه‌گرها'!$B:$B,$A1089,'تجربه‌گرها'!$F:$F,N$1)</f>
        <v>1</v>
      </c>
      <c r="O1089" s="242">
        <f>COUNTIFS('تجربه‌گرها'!$B:$B,$A1089,'تجربه‌گرها'!$F:$F,O$1)</f>
        <v>0</v>
      </c>
      <c r="P1089" s="242">
        <f>COUNTIFS('تجربه‌گرها'!$B:$B,$A1089,'تجربه‌گرها'!$F:$F,P$1)</f>
        <v>0</v>
      </c>
      <c r="Q1089" s="242">
        <f>COUNTIFS('تجربه‌گرها'!$B:$B,$A1089,'تجربه‌گرها'!$F:$F,Q$1)</f>
        <v>0</v>
      </c>
      <c r="R1089" s="242">
        <f>COUNTIFS('تجربه‌گرها'!$B:$B,$A1089,'تجربه‌گرها'!$F:$F,R$1)</f>
        <v>0</v>
      </c>
      <c r="S1089" s="242">
        <f>COUNTIFS('تجربه‌گرها'!$B:$B,$A1089,'تجربه‌گرها'!$F:$F,S$1)</f>
        <v>0</v>
      </c>
      <c r="T1089" s="242">
        <f>COUNTIFS('تجربه‌گرها'!$B:$B,$A1089,'تجربه‌گرها'!$F:$F,T$1)</f>
        <v>0</v>
      </c>
      <c r="U1089" s="242"/>
      <c r="V1089" s="242"/>
      <c r="W1089" s="242"/>
      <c r="X1089" s="242"/>
      <c r="Y1089" s="242"/>
      <c r="Z1089" s="242"/>
      <c r="AA1089" s="242"/>
      <c r="AB1089" s="242"/>
    </row>
    <row r="1090" hidden="1">
      <c r="A1090" s="244" t="s">
        <v>5693</v>
      </c>
      <c r="B1090" s="245" t="str">
        <f>VLOOKUP(A1090,'تجربه‌گرها'!B:C,2,FALSE())</f>
        <v>989376846399</v>
      </c>
      <c r="C1090" s="242"/>
      <c r="D1090" s="242">
        <f t="shared" si="1"/>
        <v>1</v>
      </c>
      <c r="E1090" s="242">
        <f>COUNTIFS('تجربه‌گرها'!$B:$B,$A1090,'تجربه‌گرها'!$F:$F,E$1)</f>
        <v>0</v>
      </c>
      <c r="F1090" s="242">
        <f>COUNTIFS('تجربه‌گرها'!$B:$B,$A1090,'تجربه‌گرها'!$F:$F,F$1)</f>
        <v>0</v>
      </c>
      <c r="G1090" s="242">
        <f>COUNTIFS('تجربه‌گرها'!$B:$B,$A1090,'تجربه‌گرها'!$F:$F,G$1)</f>
        <v>0</v>
      </c>
      <c r="H1090" s="242">
        <f>COUNTIFS('تجربه‌گرها'!$B:$B,$A1090,'تجربه‌گرها'!$F:$F,H$1)</f>
        <v>0</v>
      </c>
      <c r="I1090" s="242">
        <f>COUNTIFS('تجربه‌گرها'!$B:$B,$A1090,'تجربه‌گرها'!$F:$F,I$1)</f>
        <v>0</v>
      </c>
      <c r="J1090" s="242">
        <f>COUNTIFS('تجربه‌گرها'!$B:$B,$A1090,'تجربه‌گرها'!$F:$F,J$1)</f>
        <v>0</v>
      </c>
      <c r="K1090" s="242">
        <f>COUNTIFS('تجربه‌گرها'!$B:$B,$A1090,'تجربه‌گرها'!$F:$F,K$1)</f>
        <v>0</v>
      </c>
      <c r="L1090" s="242">
        <f>COUNTIFS('تجربه‌گرها'!$B:$B,$A1090,'تجربه‌گرها'!$F:$F,L$1)</f>
        <v>0</v>
      </c>
      <c r="M1090" s="242">
        <f>COUNTIFS('تجربه‌گرها'!$B:$B,$A1090,'تجربه‌گرها'!$F:$F,M$1)</f>
        <v>0</v>
      </c>
      <c r="N1090" s="242">
        <f>COUNTIFS('تجربه‌گرها'!$B:$B,$A1090,'تجربه‌گرها'!$F:$F,N$1)</f>
        <v>1</v>
      </c>
      <c r="O1090" s="242">
        <f>COUNTIFS('تجربه‌گرها'!$B:$B,$A1090,'تجربه‌گرها'!$F:$F,O$1)</f>
        <v>0</v>
      </c>
      <c r="P1090" s="242">
        <f>COUNTIFS('تجربه‌گرها'!$B:$B,$A1090,'تجربه‌گرها'!$F:$F,P$1)</f>
        <v>0</v>
      </c>
      <c r="Q1090" s="242">
        <f>COUNTIFS('تجربه‌گرها'!$B:$B,$A1090,'تجربه‌گرها'!$F:$F,Q$1)</f>
        <v>0</v>
      </c>
      <c r="R1090" s="242">
        <f>COUNTIFS('تجربه‌گرها'!$B:$B,$A1090,'تجربه‌گرها'!$F:$F,R$1)</f>
        <v>0</v>
      </c>
      <c r="S1090" s="242">
        <f>COUNTIFS('تجربه‌گرها'!$B:$B,$A1090,'تجربه‌گرها'!$F:$F,S$1)</f>
        <v>0</v>
      </c>
      <c r="T1090" s="242">
        <f>COUNTIFS('تجربه‌گرها'!$B:$B,$A1090,'تجربه‌گرها'!$F:$F,T$1)</f>
        <v>0</v>
      </c>
      <c r="U1090" s="242"/>
      <c r="V1090" s="242"/>
      <c r="W1090" s="242"/>
      <c r="X1090" s="242"/>
      <c r="Y1090" s="242"/>
      <c r="Z1090" s="242"/>
      <c r="AA1090" s="242"/>
      <c r="AB1090" s="242"/>
    </row>
    <row r="1091">
      <c r="A1091" s="244" t="s">
        <v>5697</v>
      </c>
      <c r="B1091" s="245" t="str">
        <f>VLOOKUP(A1091,'تجربه‌گرها'!B:C,2,FALSE())</f>
        <v>989125340799</v>
      </c>
      <c r="C1091" s="242"/>
      <c r="D1091" s="242">
        <f t="shared" si="1"/>
        <v>1</v>
      </c>
      <c r="E1091" s="242">
        <f>COUNTIFS('تجربه‌گرها'!$B:$B,$A1091,'تجربه‌گرها'!$F:$F,E$1)</f>
        <v>0</v>
      </c>
      <c r="F1091" s="242">
        <f>COUNTIFS('تجربه‌گرها'!$B:$B,$A1091,'تجربه‌گرها'!$F:$F,F$1)</f>
        <v>0</v>
      </c>
      <c r="G1091" s="242">
        <f>COUNTIFS('تجربه‌گرها'!$B:$B,$A1091,'تجربه‌گرها'!$F:$F,G$1)</f>
        <v>0</v>
      </c>
      <c r="H1091" s="242">
        <f>COUNTIFS('تجربه‌گرها'!$B:$B,$A1091,'تجربه‌گرها'!$F:$F,H$1)</f>
        <v>0</v>
      </c>
      <c r="I1091" s="242">
        <f>COUNTIFS('تجربه‌گرها'!$B:$B,$A1091,'تجربه‌گرها'!$F:$F,I$1)</f>
        <v>0</v>
      </c>
      <c r="J1091" s="242">
        <f>COUNTIFS('تجربه‌گرها'!$B:$B,$A1091,'تجربه‌گرها'!$F:$F,J$1)</f>
        <v>0</v>
      </c>
      <c r="K1091" s="242">
        <f>COUNTIFS('تجربه‌گرها'!$B:$B,$A1091,'تجربه‌گرها'!$F:$F,K$1)</f>
        <v>0</v>
      </c>
      <c r="L1091" s="242">
        <f>COUNTIFS('تجربه‌گرها'!$B:$B,$A1091,'تجربه‌گرها'!$F:$F,L$1)</f>
        <v>0</v>
      </c>
      <c r="M1091" s="242">
        <f>COUNTIFS('تجربه‌گرها'!$B:$B,$A1091,'تجربه‌گرها'!$F:$F,M$1)</f>
        <v>0</v>
      </c>
      <c r="N1091" s="242">
        <f>COUNTIFS('تجربه‌گرها'!$B:$B,$A1091,'تجربه‌گرها'!$F:$F,N$1)</f>
        <v>1</v>
      </c>
      <c r="O1091" s="242">
        <f>COUNTIFS('تجربه‌گرها'!$B:$B,$A1091,'تجربه‌گرها'!$F:$F,O$1)</f>
        <v>0</v>
      </c>
      <c r="P1091" s="242">
        <f>COUNTIFS('تجربه‌گرها'!$B:$B,$A1091,'تجربه‌گرها'!$F:$F,P$1)</f>
        <v>0</v>
      </c>
      <c r="Q1091" s="242">
        <f>COUNTIFS('تجربه‌گرها'!$B:$B,$A1091,'تجربه‌گرها'!$F:$F,Q$1)</f>
        <v>0</v>
      </c>
      <c r="R1091" s="242">
        <f>COUNTIFS('تجربه‌گرها'!$B:$B,$A1091,'تجربه‌گرها'!$F:$F,R$1)</f>
        <v>0</v>
      </c>
      <c r="S1091" s="242">
        <f>COUNTIFS('تجربه‌گرها'!$B:$B,$A1091,'تجربه‌گرها'!$F:$F,S$1)</f>
        <v>0</v>
      </c>
      <c r="T1091" s="242">
        <f>COUNTIFS('تجربه‌گرها'!$B:$B,$A1091,'تجربه‌گرها'!$F:$F,T$1)</f>
        <v>0</v>
      </c>
      <c r="U1091" s="242"/>
      <c r="V1091" s="242"/>
      <c r="W1091" s="242"/>
      <c r="X1091" s="242"/>
      <c r="Y1091" s="242"/>
      <c r="Z1091" s="242"/>
      <c r="AA1091" s="242"/>
      <c r="AB1091" s="242"/>
    </row>
    <row r="1092" hidden="1">
      <c r="A1092" s="244" t="s">
        <v>5699</v>
      </c>
      <c r="B1092" s="245" t="str">
        <f>VLOOKUP(A1092,'تجربه‌گرها'!B:C,2,FALSE())</f>
        <v>989122580273</v>
      </c>
      <c r="C1092" s="242"/>
      <c r="D1092" s="242">
        <f t="shared" si="1"/>
        <v>1</v>
      </c>
      <c r="E1092" s="242">
        <f>COUNTIFS('تجربه‌گرها'!$B:$B,$A1092,'تجربه‌گرها'!$F:$F,E$1)</f>
        <v>0</v>
      </c>
      <c r="F1092" s="242">
        <f>COUNTIFS('تجربه‌گرها'!$B:$B,$A1092,'تجربه‌گرها'!$F:$F,F$1)</f>
        <v>0</v>
      </c>
      <c r="G1092" s="242">
        <f>COUNTIFS('تجربه‌گرها'!$B:$B,$A1092,'تجربه‌گرها'!$F:$F,G$1)</f>
        <v>0</v>
      </c>
      <c r="H1092" s="242">
        <f>COUNTIFS('تجربه‌گرها'!$B:$B,$A1092,'تجربه‌گرها'!$F:$F,H$1)</f>
        <v>0</v>
      </c>
      <c r="I1092" s="242">
        <f>COUNTIFS('تجربه‌گرها'!$B:$B,$A1092,'تجربه‌گرها'!$F:$F,I$1)</f>
        <v>0</v>
      </c>
      <c r="J1092" s="242">
        <f>COUNTIFS('تجربه‌گرها'!$B:$B,$A1092,'تجربه‌گرها'!$F:$F,J$1)</f>
        <v>0</v>
      </c>
      <c r="K1092" s="242">
        <f>COUNTIFS('تجربه‌گرها'!$B:$B,$A1092,'تجربه‌گرها'!$F:$F,K$1)</f>
        <v>0</v>
      </c>
      <c r="L1092" s="242">
        <f>COUNTIFS('تجربه‌گرها'!$B:$B,$A1092,'تجربه‌گرها'!$F:$F,L$1)</f>
        <v>0</v>
      </c>
      <c r="M1092" s="242">
        <f>COUNTIFS('تجربه‌گرها'!$B:$B,$A1092,'تجربه‌گرها'!$F:$F,M$1)</f>
        <v>0</v>
      </c>
      <c r="N1092" s="242">
        <f>COUNTIFS('تجربه‌گرها'!$B:$B,$A1092,'تجربه‌گرها'!$F:$F,N$1)</f>
        <v>1</v>
      </c>
      <c r="O1092" s="242">
        <f>COUNTIFS('تجربه‌گرها'!$B:$B,$A1092,'تجربه‌گرها'!$F:$F,O$1)</f>
        <v>0</v>
      </c>
      <c r="P1092" s="242">
        <f>COUNTIFS('تجربه‌گرها'!$B:$B,$A1092,'تجربه‌گرها'!$F:$F,P$1)</f>
        <v>0</v>
      </c>
      <c r="Q1092" s="242">
        <f>COUNTIFS('تجربه‌گرها'!$B:$B,$A1092,'تجربه‌گرها'!$F:$F,Q$1)</f>
        <v>0</v>
      </c>
      <c r="R1092" s="242">
        <f>COUNTIFS('تجربه‌گرها'!$B:$B,$A1092,'تجربه‌گرها'!$F:$F,R$1)</f>
        <v>0</v>
      </c>
      <c r="S1092" s="242">
        <f>COUNTIFS('تجربه‌گرها'!$B:$B,$A1092,'تجربه‌گرها'!$F:$F,S$1)</f>
        <v>0</v>
      </c>
      <c r="T1092" s="242">
        <f>COUNTIFS('تجربه‌گرها'!$B:$B,$A1092,'تجربه‌گرها'!$F:$F,T$1)</f>
        <v>0</v>
      </c>
      <c r="U1092" s="242"/>
      <c r="V1092" s="242"/>
      <c r="W1092" s="242"/>
      <c r="X1092" s="242"/>
      <c r="Y1092" s="242"/>
      <c r="Z1092" s="242"/>
      <c r="AA1092" s="242"/>
      <c r="AB1092" s="242"/>
    </row>
    <row r="1093" hidden="1">
      <c r="A1093" s="244" t="s">
        <v>5702</v>
      </c>
      <c r="B1093" s="245" t="str">
        <f>VLOOKUP(A1093,'تجربه‌گرها'!B:C,2,FALSE())</f>
        <v>9112512459</v>
      </c>
      <c r="C1093" s="242"/>
      <c r="D1093" s="242">
        <f t="shared" si="1"/>
        <v>2</v>
      </c>
      <c r="E1093" s="242">
        <f>COUNTIFS('تجربه‌گرها'!$B:$B,$A1093,'تجربه‌گرها'!$F:$F,E$1)</f>
        <v>0</v>
      </c>
      <c r="F1093" s="242">
        <f>COUNTIFS('تجربه‌گرها'!$B:$B,$A1093,'تجربه‌گرها'!$F:$F,F$1)</f>
        <v>0</v>
      </c>
      <c r="G1093" s="242">
        <f>COUNTIFS('تجربه‌گرها'!$B:$B,$A1093,'تجربه‌گرها'!$F:$F,G$1)</f>
        <v>0</v>
      </c>
      <c r="H1093" s="242">
        <f>COUNTIFS('تجربه‌گرها'!$B:$B,$A1093,'تجربه‌گرها'!$F:$F,H$1)</f>
        <v>0</v>
      </c>
      <c r="I1093" s="242">
        <f>COUNTIFS('تجربه‌گرها'!$B:$B,$A1093,'تجربه‌گرها'!$F:$F,I$1)</f>
        <v>0</v>
      </c>
      <c r="J1093" s="242">
        <f>COUNTIFS('تجربه‌گرها'!$B:$B,$A1093,'تجربه‌گرها'!$F:$F,J$1)</f>
        <v>0</v>
      </c>
      <c r="K1093" s="242">
        <f>COUNTIFS('تجربه‌گرها'!$B:$B,$A1093,'تجربه‌گرها'!$F:$F,K$1)</f>
        <v>0</v>
      </c>
      <c r="L1093" s="242">
        <f>COUNTIFS('تجربه‌گرها'!$B:$B,$A1093,'تجربه‌گرها'!$F:$F,L$1)</f>
        <v>0</v>
      </c>
      <c r="M1093" s="242">
        <f>COUNTIFS('تجربه‌گرها'!$B:$B,$A1093,'تجربه‌گرها'!$F:$F,M$1)</f>
        <v>0</v>
      </c>
      <c r="N1093" s="242">
        <f>COUNTIFS('تجربه‌گرها'!$B:$B,$A1093,'تجربه‌گرها'!$F:$F,N$1)</f>
        <v>1</v>
      </c>
      <c r="O1093" s="242">
        <f>COUNTIFS('تجربه‌گرها'!$B:$B,$A1093,'تجربه‌گرها'!$F:$F,O$1)</f>
        <v>0</v>
      </c>
      <c r="P1093" s="242">
        <f>COUNTIFS('تجربه‌گرها'!$B:$B,$A1093,'تجربه‌گرها'!$F:$F,P$1)</f>
        <v>1</v>
      </c>
      <c r="Q1093" s="242">
        <f>COUNTIFS('تجربه‌گرها'!$B:$B,$A1093,'تجربه‌گرها'!$F:$F,Q$1)</f>
        <v>0</v>
      </c>
      <c r="R1093" s="242">
        <f>COUNTIFS('تجربه‌گرها'!$B:$B,$A1093,'تجربه‌گرها'!$F:$F,R$1)</f>
        <v>0</v>
      </c>
      <c r="S1093" s="242">
        <f>COUNTIFS('تجربه‌گرها'!$B:$B,$A1093,'تجربه‌گرها'!$F:$F,S$1)</f>
        <v>0</v>
      </c>
      <c r="T1093" s="242">
        <f>COUNTIFS('تجربه‌گرها'!$B:$B,$A1093,'تجربه‌گرها'!$F:$F,T$1)</f>
        <v>0</v>
      </c>
      <c r="U1093" s="242"/>
      <c r="V1093" s="242"/>
      <c r="W1093" s="242"/>
      <c r="X1093" s="242"/>
      <c r="Y1093" s="242"/>
      <c r="Z1093" s="242"/>
      <c r="AA1093" s="242"/>
      <c r="AB1093" s="242"/>
    </row>
    <row r="1094" hidden="1">
      <c r="A1094" s="244" t="s">
        <v>5704</v>
      </c>
      <c r="B1094" s="245" t="str">
        <f>VLOOKUP(A1094,'تجربه‌گرها'!B:C,2,FALSE())</f>
        <v>989198888906</v>
      </c>
      <c r="C1094" s="242"/>
      <c r="D1094" s="242">
        <f t="shared" si="1"/>
        <v>1</v>
      </c>
      <c r="E1094" s="242">
        <f>COUNTIFS('تجربه‌گرها'!$B:$B,$A1094,'تجربه‌گرها'!$F:$F,E$1)</f>
        <v>0</v>
      </c>
      <c r="F1094" s="242">
        <f>COUNTIFS('تجربه‌گرها'!$B:$B,$A1094,'تجربه‌گرها'!$F:$F,F$1)</f>
        <v>0</v>
      </c>
      <c r="G1094" s="242">
        <f>COUNTIFS('تجربه‌گرها'!$B:$B,$A1094,'تجربه‌گرها'!$F:$F,G$1)</f>
        <v>0</v>
      </c>
      <c r="H1094" s="242">
        <f>COUNTIFS('تجربه‌گرها'!$B:$B,$A1094,'تجربه‌گرها'!$F:$F,H$1)</f>
        <v>0</v>
      </c>
      <c r="I1094" s="242">
        <f>COUNTIFS('تجربه‌گرها'!$B:$B,$A1094,'تجربه‌گرها'!$F:$F,I$1)</f>
        <v>0</v>
      </c>
      <c r="J1094" s="242">
        <f>COUNTIFS('تجربه‌گرها'!$B:$B,$A1094,'تجربه‌گرها'!$F:$F,J$1)</f>
        <v>0</v>
      </c>
      <c r="K1094" s="242">
        <f>COUNTIFS('تجربه‌گرها'!$B:$B,$A1094,'تجربه‌گرها'!$F:$F,K$1)</f>
        <v>0</v>
      </c>
      <c r="L1094" s="242">
        <f>COUNTIFS('تجربه‌گرها'!$B:$B,$A1094,'تجربه‌گرها'!$F:$F,L$1)</f>
        <v>0</v>
      </c>
      <c r="M1094" s="242">
        <f>COUNTIFS('تجربه‌گرها'!$B:$B,$A1094,'تجربه‌گرها'!$F:$F,M$1)</f>
        <v>0</v>
      </c>
      <c r="N1094" s="242">
        <f>COUNTIFS('تجربه‌گرها'!$B:$B,$A1094,'تجربه‌گرها'!$F:$F,N$1)</f>
        <v>1</v>
      </c>
      <c r="O1094" s="242">
        <f>COUNTIFS('تجربه‌گرها'!$B:$B,$A1094,'تجربه‌گرها'!$F:$F,O$1)</f>
        <v>0</v>
      </c>
      <c r="P1094" s="242">
        <f>COUNTIFS('تجربه‌گرها'!$B:$B,$A1094,'تجربه‌گرها'!$F:$F,P$1)</f>
        <v>0</v>
      </c>
      <c r="Q1094" s="242">
        <f>COUNTIFS('تجربه‌گرها'!$B:$B,$A1094,'تجربه‌گرها'!$F:$F,Q$1)</f>
        <v>0</v>
      </c>
      <c r="R1094" s="242">
        <f>COUNTIFS('تجربه‌گرها'!$B:$B,$A1094,'تجربه‌گرها'!$F:$F,R$1)</f>
        <v>0</v>
      </c>
      <c r="S1094" s="242">
        <f>COUNTIFS('تجربه‌گرها'!$B:$B,$A1094,'تجربه‌گرها'!$F:$F,S$1)</f>
        <v>0</v>
      </c>
      <c r="T1094" s="242">
        <f>COUNTIFS('تجربه‌گرها'!$B:$B,$A1094,'تجربه‌گرها'!$F:$F,T$1)</f>
        <v>0</v>
      </c>
      <c r="U1094" s="242"/>
      <c r="V1094" s="242"/>
      <c r="W1094" s="242"/>
      <c r="X1094" s="242"/>
      <c r="Y1094" s="242"/>
      <c r="Z1094" s="242"/>
      <c r="AA1094" s="242"/>
      <c r="AB1094" s="242"/>
    </row>
    <row r="1095" hidden="1">
      <c r="A1095" s="244" t="s">
        <v>5706</v>
      </c>
      <c r="B1095" s="245" t="str">
        <f>VLOOKUP(A1095,'تجربه‌گرها'!B:C,2,FALSE())</f>
        <v>9125439381</v>
      </c>
      <c r="C1095" s="242"/>
      <c r="D1095" s="242">
        <f t="shared" si="1"/>
        <v>1</v>
      </c>
      <c r="E1095" s="242">
        <f>COUNTIFS('تجربه‌گرها'!$B:$B,$A1095,'تجربه‌گرها'!$F:$F,E$1)</f>
        <v>0</v>
      </c>
      <c r="F1095" s="242">
        <f>COUNTIFS('تجربه‌گرها'!$B:$B,$A1095,'تجربه‌گرها'!$F:$F,F$1)</f>
        <v>0</v>
      </c>
      <c r="G1095" s="242">
        <f>COUNTIFS('تجربه‌گرها'!$B:$B,$A1095,'تجربه‌گرها'!$F:$F,G$1)</f>
        <v>0</v>
      </c>
      <c r="H1095" s="242">
        <f>COUNTIFS('تجربه‌گرها'!$B:$B,$A1095,'تجربه‌گرها'!$F:$F,H$1)</f>
        <v>0</v>
      </c>
      <c r="I1095" s="242">
        <f>COUNTIFS('تجربه‌گرها'!$B:$B,$A1095,'تجربه‌گرها'!$F:$F,I$1)</f>
        <v>0</v>
      </c>
      <c r="J1095" s="242">
        <f>COUNTIFS('تجربه‌گرها'!$B:$B,$A1095,'تجربه‌گرها'!$F:$F,J$1)</f>
        <v>0</v>
      </c>
      <c r="K1095" s="242">
        <f>COUNTIFS('تجربه‌گرها'!$B:$B,$A1095,'تجربه‌گرها'!$F:$F,K$1)</f>
        <v>0</v>
      </c>
      <c r="L1095" s="242">
        <f>COUNTIFS('تجربه‌گرها'!$B:$B,$A1095,'تجربه‌گرها'!$F:$F,L$1)</f>
        <v>0</v>
      </c>
      <c r="M1095" s="242">
        <f>COUNTIFS('تجربه‌گرها'!$B:$B,$A1095,'تجربه‌گرها'!$F:$F,M$1)</f>
        <v>0</v>
      </c>
      <c r="N1095" s="242">
        <f>COUNTIFS('تجربه‌گرها'!$B:$B,$A1095,'تجربه‌گرها'!$F:$F,N$1)</f>
        <v>1</v>
      </c>
      <c r="O1095" s="242">
        <f>COUNTIFS('تجربه‌گرها'!$B:$B,$A1095,'تجربه‌گرها'!$F:$F,O$1)</f>
        <v>0</v>
      </c>
      <c r="P1095" s="242">
        <f>COUNTIFS('تجربه‌گرها'!$B:$B,$A1095,'تجربه‌گرها'!$F:$F,P$1)</f>
        <v>0</v>
      </c>
      <c r="Q1095" s="242">
        <f>COUNTIFS('تجربه‌گرها'!$B:$B,$A1095,'تجربه‌گرها'!$F:$F,Q$1)</f>
        <v>0</v>
      </c>
      <c r="R1095" s="242">
        <f>COUNTIFS('تجربه‌گرها'!$B:$B,$A1095,'تجربه‌گرها'!$F:$F,R$1)</f>
        <v>0</v>
      </c>
      <c r="S1095" s="242">
        <f>COUNTIFS('تجربه‌گرها'!$B:$B,$A1095,'تجربه‌گرها'!$F:$F,S$1)</f>
        <v>0</v>
      </c>
      <c r="T1095" s="242">
        <f>COUNTIFS('تجربه‌گرها'!$B:$B,$A1095,'تجربه‌گرها'!$F:$F,T$1)</f>
        <v>0</v>
      </c>
      <c r="U1095" s="242"/>
      <c r="V1095" s="242"/>
      <c r="W1095" s="242"/>
      <c r="X1095" s="242"/>
      <c r="Y1095" s="242"/>
      <c r="Z1095" s="242"/>
      <c r="AA1095" s="242"/>
      <c r="AB1095" s="242"/>
    </row>
    <row r="1096" hidden="1">
      <c r="A1096" s="244" t="s">
        <v>5708</v>
      </c>
      <c r="B1096" s="245" t="str">
        <f>VLOOKUP(A1096,'تجربه‌گرها'!B:C,2,FALSE())</f>
        <v>989190677968</v>
      </c>
      <c r="C1096" s="242"/>
      <c r="D1096" s="242">
        <f t="shared" si="1"/>
        <v>1</v>
      </c>
      <c r="E1096" s="242">
        <f>COUNTIFS('تجربه‌گرها'!$B:$B,$A1096,'تجربه‌گرها'!$F:$F,E$1)</f>
        <v>0</v>
      </c>
      <c r="F1096" s="242">
        <f>COUNTIFS('تجربه‌گرها'!$B:$B,$A1096,'تجربه‌گرها'!$F:$F,F$1)</f>
        <v>0</v>
      </c>
      <c r="G1096" s="242">
        <f>COUNTIFS('تجربه‌گرها'!$B:$B,$A1096,'تجربه‌گرها'!$F:$F,G$1)</f>
        <v>0</v>
      </c>
      <c r="H1096" s="242">
        <f>COUNTIFS('تجربه‌گرها'!$B:$B,$A1096,'تجربه‌گرها'!$F:$F,H$1)</f>
        <v>0</v>
      </c>
      <c r="I1096" s="242">
        <f>COUNTIFS('تجربه‌گرها'!$B:$B,$A1096,'تجربه‌گرها'!$F:$F,I$1)</f>
        <v>0</v>
      </c>
      <c r="J1096" s="242">
        <f>COUNTIFS('تجربه‌گرها'!$B:$B,$A1096,'تجربه‌گرها'!$F:$F,J$1)</f>
        <v>0</v>
      </c>
      <c r="K1096" s="242">
        <f>COUNTIFS('تجربه‌گرها'!$B:$B,$A1096,'تجربه‌گرها'!$F:$F,K$1)</f>
        <v>0</v>
      </c>
      <c r="L1096" s="242">
        <f>COUNTIFS('تجربه‌گرها'!$B:$B,$A1096,'تجربه‌گرها'!$F:$F,L$1)</f>
        <v>0</v>
      </c>
      <c r="M1096" s="242">
        <f>COUNTIFS('تجربه‌گرها'!$B:$B,$A1096,'تجربه‌گرها'!$F:$F,M$1)</f>
        <v>0</v>
      </c>
      <c r="N1096" s="242">
        <f>COUNTIFS('تجربه‌گرها'!$B:$B,$A1096,'تجربه‌گرها'!$F:$F,N$1)</f>
        <v>1</v>
      </c>
      <c r="O1096" s="242">
        <f>COUNTIFS('تجربه‌گرها'!$B:$B,$A1096,'تجربه‌گرها'!$F:$F,O$1)</f>
        <v>0</v>
      </c>
      <c r="P1096" s="242">
        <f>COUNTIFS('تجربه‌گرها'!$B:$B,$A1096,'تجربه‌گرها'!$F:$F,P$1)</f>
        <v>0</v>
      </c>
      <c r="Q1096" s="242">
        <f>COUNTIFS('تجربه‌گرها'!$B:$B,$A1096,'تجربه‌گرها'!$F:$F,Q$1)</f>
        <v>0</v>
      </c>
      <c r="R1096" s="242">
        <f>COUNTIFS('تجربه‌گرها'!$B:$B,$A1096,'تجربه‌گرها'!$F:$F,R$1)</f>
        <v>0</v>
      </c>
      <c r="S1096" s="242">
        <f>COUNTIFS('تجربه‌گرها'!$B:$B,$A1096,'تجربه‌گرها'!$F:$F,S$1)</f>
        <v>0</v>
      </c>
      <c r="T1096" s="242">
        <f>COUNTIFS('تجربه‌گرها'!$B:$B,$A1096,'تجربه‌گرها'!$F:$F,T$1)</f>
        <v>0</v>
      </c>
      <c r="U1096" s="242"/>
      <c r="V1096" s="242"/>
      <c r="W1096" s="242"/>
      <c r="X1096" s="242"/>
      <c r="Y1096" s="242"/>
      <c r="Z1096" s="242"/>
      <c r="AA1096" s="242"/>
      <c r="AB1096" s="242"/>
    </row>
    <row r="1097" hidden="1">
      <c r="A1097" s="244" t="s">
        <v>5711</v>
      </c>
      <c r="B1097" s="245" t="str">
        <f>VLOOKUP(A1097,'تجربه‌گرها'!B:C,2,FALSE())</f>
        <v>9123135307</v>
      </c>
      <c r="C1097" s="242"/>
      <c r="D1097" s="242">
        <f t="shared" si="1"/>
        <v>2</v>
      </c>
      <c r="E1097" s="242">
        <f>COUNTIFS('تجربه‌گرها'!$B:$B,$A1097,'تجربه‌گرها'!$F:$F,E$1)</f>
        <v>0</v>
      </c>
      <c r="F1097" s="242">
        <f>COUNTIFS('تجربه‌گرها'!$B:$B,$A1097,'تجربه‌گرها'!$F:$F,F$1)</f>
        <v>0</v>
      </c>
      <c r="G1097" s="242">
        <f>COUNTIFS('تجربه‌گرها'!$B:$B,$A1097,'تجربه‌گرها'!$F:$F,G$1)</f>
        <v>0</v>
      </c>
      <c r="H1097" s="242">
        <f>COUNTIFS('تجربه‌گرها'!$B:$B,$A1097,'تجربه‌گرها'!$F:$F,H$1)</f>
        <v>0</v>
      </c>
      <c r="I1097" s="242">
        <f>COUNTIFS('تجربه‌گرها'!$B:$B,$A1097,'تجربه‌گرها'!$F:$F,I$1)</f>
        <v>0</v>
      </c>
      <c r="J1097" s="242">
        <f>COUNTIFS('تجربه‌گرها'!$B:$B,$A1097,'تجربه‌گرها'!$F:$F,J$1)</f>
        <v>0</v>
      </c>
      <c r="K1097" s="242">
        <f>COUNTIFS('تجربه‌گرها'!$B:$B,$A1097,'تجربه‌گرها'!$F:$F,K$1)</f>
        <v>0</v>
      </c>
      <c r="L1097" s="242">
        <f>COUNTIFS('تجربه‌گرها'!$B:$B,$A1097,'تجربه‌گرها'!$F:$F,L$1)</f>
        <v>0</v>
      </c>
      <c r="M1097" s="242">
        <f>COUNTIFS('تجربه‌گرها'!$B:$B,$A1097,'تجربه‌گرها'!$F:$F,M$1)</f>
        <v>0</v>
      </c>
      <c r="N1097" s="242">
        <f>COUNTIFS('تجربه‌گرها'!$B:$B,$A1097,'تجربه‌گرها'!$F:$F,N$1)</f>
        <v>1</v>
      </c>
      <c r="O1097" s="242">
        <f>COUNTIFS('تجربه‌گرها'!$B:$B,$A1097,'تجربه‌گرها'!$F:$F,O$1)</f>
        <v>0</v>
      </c>
      <c r="P1097" s="242">
        <f>COUNTIFS('تجربه‌گرها'!$B:$B,$A1097,'تجربه‌گرها'!$F:$F,P$1)</f>
        <v>1</v>
      </c>
      <c r="Q1097" s="242">
        <f>COUNTIFS('تجربه‌گرها'!$B:$B,$A1097,'تجربه‌گرها'!$F:$F,Q$1)</f>
        <v>0</v>
      </c>
      <c r="R1097" s="242">
        <f>COUNTIFS('تجربه‌گرها'!$B:$B,$A1097,'تجربه‌گرها'!$F:$F,R$1)</f>
        <v>0</v>
      </c>
      <c r="S1097" s="242">
        <f>COUNTIFS('تجربه‌گرها'!$B:$B,$A1097,'تجربه‌گرها'!$F:$F,S$1)</f>
        <v>0</v>
      </c>
      <c r="T1097" s="242">
        <f>COUNTIFS('تجربه‌گرها'!$B:$B,$A1097,'تجربه‌گرها'!$F:$F,T$1)</f>
        <v>0</v>
      </c>
      <c r="U1097" s="242"/>
      <c r="V1097" s="242"/>
      <c r="W1097" s="242"/>
      <c r="X1097" s="242"/>
      <c r="Y1097" s="242"/>
      <c r="Z1097" s="242"/>
      <c r="AA1097" s="242"/>
      <c r="AB1097" s="242"/>
    </row>
    <row r="1098" hidden="1">
      <c r="A1098" s="244" t="s">
        <v>5714</v>
      </c>
      <c r="B1098" s="245" t="str">
        <f>VLOOKUP(A1098,'تجربه‌گرها'!B:C,2,FALSE())</f>
        <v>989118660827</v>
      </c>
      <c r="C1098" s="242"/>
      <c r="D1098" s="242">
        <f t="shared" si="1"/>
        <v>1</v>
      </c>
      <c r="E1098" s="242">
        <f>COUNTIFS('تجربه‌گرها'!$B:$B,$A1098,'تجربه‌گرها'!$F:$F,E$1)</f>
        <v>0</v>
      </c>
      <c r="F1098" s="242">
        <f>COUNTIFS('تجربه‌گرها'!$B:$B,$A1098,'تجربه‌گرها'!$F:$F,F$1)</f>
        <v>0</v>
      </c>
      <c r="G1098" s="242">
        <f>COUNTIFS('تجربه‌گرها'!$B:$B,$A1098,'تجربه‌گرها'!$F:$F,G$1)</f>
        <v>0</v>
      </c>
      <c r="H1098" s="242">
        <f>COUNTIFS('تجربه‌گرها'!$B:$B,$A1098,'تجربه‌گرها'!$F:$F,H$1)</f>
        <v>0</v>
      </c>
      <c r="I1098" s="242">
        <f>COUNTIFS('تجربه‌گرها'!$B:$B,$A1098,'تجربه‌گرها'!$F:$F,I$1)</f>
        <v>0</v>
      </c>
      <c r="J1098" s="242">
        <f>COUNTIFS('تجربه‌گرها'!$B:$B,$A1098,'تجربه‌گرها'!$F:$F,J$1)</f>
        <v>0</v>
      </c>
      <c r="K1098" s="242">
        <f>COUNTIFS('تجربه‌گرها'!$B:$B,$A1098,'تجربه‌گرها'!$F:$F,K$1)</f>
        <v>0</v>
      </c>
      <c r="L1098" s="242">
        <f>COUNTIFS('تجربه‌گرها'!$B:$B,$A1098,'تجربه‌گرها'!$F:$F,L$1)</f>
        <v>0</v>
      </c>
      <c r="M1098" s="242">
        <f>COUNTIFS('تجربه‌گرها'!$B:$B,$A1098,'تجربه‌گرها'!$F:$F,M$1)</f>
        <v>0</v>
      </c>
      <c r="N1098" s="242">
        <f>COUNTIFS('تجربه‌گرها'!$B:$B,$A1098,'تجربه‌گرها'!$F:$F,N$1)</f>
        <v>1</v>
      </c>
      <c r="O1098" s="242">
        <f>COUNTIFS('تجربه‌گرها'!$B:$B,$A1098,'تجربه‌گرها'!$F:$F,O$1)</f>
        <v>0</v>
      </c>
      <c r="P1098" s="242">
        <f>COUNTIFS('تجربه‌گرها'!$B:$B,$A1098,'تجربه‌گرها'!$F:$F,P$1)</f>
        <v>0</v>
      </c>
      <c r="Q1098" s="242">
        <f>COUNTIFS('تجربه‌گرها'!$B:$B,$A1098,'تجربه‌گرها'!$F:$F,Q$1)</f>
        <v>0</v>
      </c>
      <c r="R1098" s="242">
        <f>COUNTIFS('تجربه‌گرها'!$B:$B,$A1098,'تجربه‌گرها'!$F:$F,R$1)</f>
        <v>0</v>
      </c>
      <c r="S1098" s="242">
        <f>COUNTIFS('تجربه‌گرها'!$B:$B,$A1098,'تجربه‌گرها'!$F:$F,S$1)</f>
        <v>0</v>
      </c>
      <c r="T1098" s="242">
        <f>COUNTIFS('تجربه‌گرها'!$B:$B,$A1098,'تجربه‌گرها'!$F:$F,T$1)</f>
        <v>0</v>
      </c>
      <c r="U1098" s="242"/>
      <c r="V1098" s="242"/>
      <c r="W1098" s="242"/>
      <c r="X1098" s="242"/>
      <c r="Y1098" s="242"/>
      <c r="Z1098" s="242"/>
      <c r="AA1098" s="242"/>
      <c r="AB1098" s="242"/>
    </row>
    <row r="1099" hidden="1">
      <c r="A1099" s="244" t="s">
        <v>5717</v>
      </c>
      <c r="B1099" s="245" t="str">
        <f>VLOOKUP(A1099,'تجربه‌گرها'!B:C,2,FALSE())</f>
        <v>9051572561</v>
      </c>
      <c r="C1099" s="242"/>
      <c r="D1099" s="242">
        <f t="shared" si="1"/>
        <v>1</v>
      </c>
      <c r="E1099" s="242">
        <f>COUNTIFS('تجربه‌گرها'!$B:$B,$A1099,'تجربه‌گرها'!$F:$F,E$1)</f>
        <v>0</v>
      </c>
      <c r="F1099" s="242">
        <f>COUNTIFS('تجربه‌گرها'!$B:$B,$A1099,'تجربه‌گرها'!$F:$F,F$1)</f>
        <v>0</v>
      </c>
      <c r="G1099" s="242">
        <f>COUNTIFS('تجربه‌گرها'!$B:$B,$A1099,'تجربه‌گرها'!$F:$F,G$1)</f>
        <v>0</v>
      </c>
      <c r="H1099" s="242">
        <f>COUNTIFS('تجربه‌گرها'!$B:$B,$A1099,'تجربه‌گرها'!$F:$F,H$1)</f>
        <v>0</v>
      </c>
      <c r="I1099" s="242">
        <f>COUNTIFS('تجربه‌گرها'!$B:$B,$A1099,'تجربه‌گرها'!$F:$F,I$1)</f>
        <v>0</v>
      </c>
      <c r="J1099" s="242">
        <f>COUNTIFS('تجربه‌گرها'!$B:$B,$A1099,'تجربه‌گرها'!$F:$F,J$1)</f>
        <v>0</v>
      </c>
      <c r="K1099" s="242">
        <f>COUNTIFS('تجربه‌گرها'!$B:$B,$A1099,'تجربه‌گرها'!$F:$F,K$1)</f>
        <v>0</v>
      </c>
      <c r="L1099" s="242">
        <f>COUNTIFS('تجربه‌گرها'!$B:$B,$A1099,'تجربه‌گرها'!$F:$F,L$1)</f>
        <v>0</v>
      </c>
      <c r="M1099" s="242">
        <f>COUNTIFS('تجربه‌گرها'!$B:$B,$A1099,'تجربه‌گرها'!$F:$F,M$1)</f>
        <v>0</v>
      </c>
      <c r="N1099" s="242">
        <f>COUNTIFS('تجربه‌گرها'!$B:$B,$A1099,'تجربه‌گرها'!$F:$F,N$1)</f>
        <v>1</v>
      </c>
      <c r="O1099" s="242">
        <f>COUNTIFS('تجربه‌گرها'!$B:$B,$A1099,'تجربه‌گرها'!$F:$F,O$1)</f>
        <v>0</v>
      </c>
      <c r="P1099" s="242">
        <f>COUNTIFS('تجربه‌گرها'!$B:$B,$A1099,'تجربه‌گرها'!$F:$F,P$1)</f>
        <v>0</v>
      </c>
      <c r="Q1099" s="242">
        <f>COUNTIFS('تجربه‌گرها'!$B:$B,$A1099,'تجربه‌گرها'!$F:$F,Q$1)</f>
        <v>0</v>
      </c>
      <c r="R1099" s="242">
        <f>COUNTIFS('تجربه‌گرها'!$B:$B,$A1099,'تجربه‌گرها'!$F:$F,R$1)</f>
        <v>0</v>
      </c>
      <c r="S1099" s="242">
        <f>COUNTIFS('تجربه‌گرها'!$B:$B,$A1099,'تجربه‌گرها'!$F:$F,S$1)</f>
        <v>0</v>
      </c>
      <c r="T1099" s="242">
        <f>COUNTIFS('تجربه‌گرها'!$B:$B,$A1099,'تجربه‌گرها'!$F:$F,T$1)</f>
        <v>0</v>
      </c>
      <c r="U1099" s="242"/>
      <c r="V1099" s="242"/>
      <c r="W1099" s="242"/>
      <c r="X1099" s="242"/>
      <c r="Y1099" s="242"/>
      <c r="Z1099" s="242"/>
      <c r="AA1099" s="242"/>
      <c r="AB1099" s="242"/>
    </row>
    <row r="1100" hidden="1">
      <c r="A1100" s="244" t="s">
        <v>5719</v>
      </c>
      <c r="B1100" s="245" t="str">
        <f>VLOOKUP(A1100,'تجربه‌گرها'!B:C,2,FALSE())</f>
        <v>989190791802</v>
      </c>
      <c r="C1100" s="242"/>
      <c r="D1100" s="242">
        <f t="shared" si="1"/>
        <v>1</v>
      </c>
      <c r="E1100" s="242">
        <f>COUNTIFS('تجربه‌گرها'!$B:$B,$A1100,'تجربه‌گرها'!$F:$F,E$1)</f>
        <v>0</v>
      </c>
      <c r="F1100" s="242">
        <f>COUNTIFS('تجربه‌گرها'!$B:$B,$A1100,'تجربه‌گرها'!$F:$F,F$1)</f>
        <v>0</v>
      </c>
      <c r="G1100" s="242">
        <f>COUNTIFS('تجربه‌گرها'!$B:$B,$A1100,'تجربه‌گرها'!$F:$F,G$1)</f>
        <v>0</v>
      </c>
      <c r="H1100" s="242">
        <f>COUNTIFS('تجربه‌گرها'!$B:$B,$A1100,'تجربه‌گرها'!$F:$F,H$1)</f>
        <v>0</v>
      </c>
      <c r="I1100" s="242">
        <f>COUNTIFS('تجربه‌گرها'!$B:$B,$A1100,'تجربه‌گرها'!$F:$F,I$1)</f>
        <v>0</v>
      </c>
      <c r="J1100" s="242">
        <f>COUNTIFS('تجربه‌گرها'!$B:$B,$A1100,'تجربه‌گرها'!$F:$F,J$1)</f>
        <v>0</v>
      </c>
      <c r="K1100" s="242">
        <f>COUNTIFS('تجربه‌گرها'!$B:$B,$A1100,'تجربه‌گرها'!$F:$F,K$1)</f>
        <v>0</v>
      </c>
      <c r="L1100" s="242">
        <f>COUNTIFS('تجربه‌گرها'!$B:$B,$A1100,'تجربه‌گرها'!$F:$F,L$1)</f>
        <v>0</v>
      </c>
      <c r="M1100" s="242">
        <f>COUNTIFS('تجربه‌گرها'!$B:$B,$A1100,'تجربه‌گرها'!$F:$F,M$1)</f>
        <v>0</v>
      </c>
      <c r="N1100" s="242">
        <f>COUNTIFS('تجربه‌گرها'!$B:$B,$A1100,'تجربه‌گرها'!$F:$F,N$1)</f>
        <v>1</v>
      </c>
      <c r="O1100" s="242">
        <f>COUNTIFS('تجربه‌گرها'!$B:$B,$A1100,'تجربه‌گرها'!$F:$F,O$1)</f>
        <v>0</v>
      </c>
      <c r="P1100" s="242">
        <f>COUNTIFS('تجربه‌گرها'!$B:$B,$A1100,'تجربه‌گرها'!$F:$F,P$1)</f>
        <v>0</v>
      </c>
      <c r="Q1100" s="242">
        <f>COUNTIFS('تجربه‌گرها'!$B:$B,$A1100,'تجربه‌گرها'!$F:$F,Q$1)</f>
        <v>0</v>
      </c>
      <c r="R1100" s="242">
        <f>COUNTIFS('تجربه‌گرها'!$B:$B,$A1100,'تجربه‌گرها'!$F:$F,R$1)</f>
        <v>0</v>
      </c>
      <c r="S1100" s="242">
        <f>COUNTIFS('تجربه‌گرها'!$B:$B,$A1100,'تجربه‌گرها'!$F:$F,S$1)</f>
        <v>0</v>
      </c>
      <c r="T1100" s="242">
        <f>COUNTIFS('تجربه‌گرها'!$B:$B,$A1100,'تجربه‌گرها'!$F:$F,T$1)</f>
        <v>0</v>
      </c>
      <c r="U1100" s="242"/>
      <c r="V1100" s="242"/>
      <c r="W1100" s="242"/>
      <c r="X1100" s="242"/>
      <c r="Y1100" s="242"/>
      <c r="Z1100" s="242"/>
      <c r="AA1100" s="242"/>
      <c r="AB1100" s="242"/>
    </row>
    <row r="1101">
      <c r="A1101" s="244" t="s">
        <v>5721</v>
      </c>
      <c r="B1101" s="245" t="str">
        <f>VLOOKUP(A1101,'تجربه‌گرها'!B:C,2,FALSE())</f>
        <v>989391927811</v>
      </c>
      <c r="C1101" s="242"/>
      <c r="D1101" s="242">
        <f t="shared" si="1"/>
        <v>1</v>
      </c>
      <c r="E1101" s="242">
        <f>COUNTIFS('تجربه‌گرها'!$B:$B,$A1101,'تجربه‌گرها'!$F:$F,E$1)</f>
        <v>0</v>
      </c>
      <c r="F1101" s="242">
        <f>COUNTIFS('تجربه‌گرها'!$B:$B,$A1101,'تجربه‌گرها'!$F:$F,F$1)</f>
        <v>0</v>
      </c>
      <c r="G1101" s="242">
        <f>COUNTIFS('تجربه‌گرها'!$B:$B,$A1101,'تجربه‌گرها'!$F:$F,G$1)</f>
        <v>0</v>
      </c>
      <c r="H1101" s="242">
        <f>COUNTIFS('تجربه‌گرها'!$B:$B,$A1101,'تجربه‌گرها'!$F:$F,H$1)</f>
        <v>0</v>
      </c>
      <c r="I1101" s="242">
        <f>COUNTIFS('تجربه‌گرها'!$B:$B,$A1101,'تجربه‌گرها'!$F:$F,I$1)</f>
        <v>0</v>
      </c>
      <c r="J1101" s="242">
        <f>COUNTIFS('تجربه‌گرها'!$B:$B,$A1101,'تجربه‌گرها'!$F:$F,J$1)</f>
        <v>0</v>
      </c>
      <c r="K1101" s="242">
        <f>COUNTIFS('تجربه‌گرها'!$B:$B,$A1101,'تجربه‌گرها'!$F:$F,K$1)</f>
        <v>0</v>
      </c>
      <c r="L1101" s="242">
        <f>COUNTIFS('تجربه‌گرها'!$B:$B,$A1101,'تجربه‌گرها'!$F:$F,L$1)</f>
        <v>0</v>
      </c>
      <c r="M1101" s="242">
        <f>COUNTIFS('تجربه‌گرها'!$B:$B,$A1101,'تجربه‌گرها'!$F:$F,M$1)</f>
        <v>0</v>
      </c>
      <c r="N1101" s="242">
        <f>COUNTIFS('تجربه‌گرها'!$B:$B,$A1101,'تجربه‌گرها'!$F:$F,N$1)</f>
        <v>1</v>
      </c>
      <c r="O1101" s="242">
        <f>COUNTIFS('تجربه‌گرها'!$B:$B,$A1101,'تجربه‌گرها'!$F:$F,O$1)</f>
        <v>0</v>
      </c>
      <c r="P1101" s="242">
        <f>COUNTIFS('تجربه‌گرها'!$B:$B,$A1101,'تجربه‌گرها'!$F:$F,P$1)</f>
        <v>0</v>
      </c>
      <c r="Q1101" s="242">
        <f>COUNTIFS('تجربه‌گرها'!$B:$B,$A1101,'تجربه‌گرها'!$F:$F,Q$1)</f>
        <v>0</v>
      </c>
      <c r="R1101" s="242">
        <f>COUNTIFS('تجربه‌گرها'!$B:$B,$A1101,'تجربه‌گرها'!$F:$F,R$1)</f>
        <v>0</v>
      </c>
      <c r="S1101" s="242">
        <f>COUNTIFS('تجربه‌گرها'!$B:$B,$A1101,'تجربه‌گرها'!$F:$F,S$1)</f>
        <v>0</v>
      </c>
      <c r="T1101" s="242">
        <f>COUNTIFS('تجربه‌گرها'!$B:$B,$A1101,'تجربه‌گرها'!$F:$F,T$1)</f>
        <v>0</v>
      </c>
      <c r="U1101" s="242"/>
      <c r="V1101" s="242"/>
      <c r="W1101" s="242"/>
      <c r="X1101" s="242"/>
      <c r="Y1101" s="242"/>
      <c r="Z1101" s="242"/>
      <c r="AA1101" s="242"/>
      <c r="AB1101" s="242"/>
    </row>
    <row r="1102" hidden="1">
      <c r="A1102" s="244" t="s">
        <v>5723</v>
      </c>
      <c r="B1102" s="245" t="str">
        <f>VLOOKUP(A1102,'تجربه‌گرها'!B:C,2,FALSE())</f>
        <v>989127063548</v>
      </c>
      <c r="C1102" s="242"/>
      <c r="D1102" s="242">
        <f t="shared" si="1"/>
        <v>1</v>
      </c>
      <c r="E1102" s="242">
        <f>COUNTIFS('تجربه‌گرها'!$B:$B,$A1102,'تجربه‌گرها'!$F:$F,E$1)</f>
        <v>0</v>
      </c>
      <c r="F1102" s="242">
        <f>COUNTIFS('تجربه‌گرها'!$B:$B,$A1102,'تجربه‌گرها'!$F:$F,F$1)</f>
        <v>0</v>
      </c>
      <c r="G1102" s="242">
        <f>COUNTIFS('تجربه‌گرها'!$B:$B,$A1102,'تجربه‌گرها'!$F:$F,G$1)</f>
        <v>0</v>
      </c>
      <c r="H1102" s="242">
        <f>COUNTIFS('تجربه‌گرها'!$B:$B,$A1102,'تجربه‌گرها'!$F:$F,H$1)</f>
        <v>0</v>
      </c>
      <c r="I1102" s="242">
        <f>COUNTIFS('تجربه‌گرها'!$B:$B,$A1102,'تجربه‌گرها'!$F:$F,I$1)</f>
        <v>0</v>
      </c>
      <c r="J1102" s="242">
        <f>COUNTIFS('تجربه‌گرها'!$B:$B,$A1102,'تجربه‌گرها'!$F:$F,J$1)</f>
        <v>0</v>
      </c>
      <c r="K1102" s="242">
        <f>COUNTIFS('تجربه‌گرها'!$B:$B,$A1102,'تجربه‌گرها'!$F:$F,K$1)</f>
        <v>0</v>
      </c>
      <c r="L1102" s="242">
        <f>COUNTIFS('تجربه‌گرها'!$B:$B,$A1102,'تجربه‌گرها'!$F:$F,L$1)</f>
        <v>0</v>
      </c>
      <c r="M1102" s="242">
        <f>COUNTIFS('تجربه‌گرها'!$B:$B,$A1102,'تجربه‌گرها'!$F:$F,M$1)</f>
        <v>0</v>
      </c>
      <c r="N1102" s="242">
        <f>COUNTIFS('تجربه‌گرها'!$B:$B,$A1102,'تجربه‌گرها'!$F:$F,N$1)</f>
        <v>1</v>
      </c>
      <c r="O1102" s="242">
        <f>COUNTIFS('تجربه‌گرها'!$B:$B,$A1102,'تجربه‌گرها'!$F:$F,O$1)</f>
        <v>0</v>
      </c>
      <c r="P1102" s="242">
        <f>COUNTIFS('تجربه‌گرها'!$B:$B,$A1102,'تجربه‌گرها'!$F:$F,P$1)</f>
        <v>0</v>
      </c>
      <c r="Q1102" s="242">
        <f>COUNTIFS('تجربه‌گرها'!$B:$B,$A1102,'تجربه‌گرها'!$F:$F,Q$1)</f>
        <v>0</v>
      </c>
      <c r="R1102" s="242">
        <f>COUNTIFS('تجربه‌گرها'!$B:$B,$A1102,'تجربه‌گرها'!$F:$F,R$1)</f>
        <v>0</v>
      </c>
      <c r="S1102" s="242">
        <f>COUNTIFS('تجربه‌گرها'!$B:$B,$A1102,'تجربه‌گرها'!$F:$F,S$1)</f>
        <v>0</v>
      </c>
      <c r="T1102" s="242">
        <f>COUNTIFS('تجربه‌گرها'!$B:$B,$A1102,'تجربه‌گرها'!$F:$F,T$1)</f>
        <v>0</v>
      </c>
      <c r="U1102" s="242"/>
      <c r="V1102" s="242"/>
      <c r="W1102" s="242"/>
      <c r="X1102" s="242"/>
      <c r="Y1102" s="242"/>
      <c r="Z1102" s="242"/>
      <c r="AA1102" s="242"/>
      <c r="AB1102" s="242"/>
    </row>
    <row r="1103" hidden="1">
      <c r="A1103" s="244" t="s">
        <v>5726</v>
      </c>
      <c r="B1103" s="245" t="str">
        <f>VLOOKUP(A1103,'تجربه‌گرها'!B:C,2,FALSE())</f>
        <v>989156135181</v>
      </c>
      <c r="C1103" s="242"/>
      <c r="D1103" s="242">
        <f t="shared" si="1"/>
        <v>2</v>
      </c>
      <c r="E1103" s="242">
        <f>COUNTIFS('تجربه‌گرها'!$B:$B,$A1103,'تجربه‌گرها'!$F:$F,E$1)</f>
        <v>0</v>
      </c>
      <c r="F1103" s="242">
        <f>COUNTIFS('تجربه‌گرها'!$B:$B,$A1103,'تجربه‌گرها'!$F:$F,F$1)</f>
        <v>0</v>
      </c>
      <c r="G1103" s="242">
        <f>COUNTIFS('تجربه‌گرها'!$B:$B,$A1103,'تجربه‌گرها'!$F:$F,G$1)</f>
        <v>0</v>
      </c>
      <c r="H1103" s="242">
        <f>COUNTIFS('تجربه‌گرها'!$B:$B,$A1103,'تجربه‌گرها'!$F:$F,H$1)</f>
        <v>0</v>
      </c>
      <c r="I1103" s="242">
        <f>COUNTIFS('تجربه‌گرها'!$B:$B,$A1103,'تجربه‌گرها'!$F:$F,I$1)</f>
        <v>0</v>
      </c>
      <c r="J1103" s="242">
        <f>COUNTIFS('تجربه‌گرها'!$B:$B,$A1103,'تجربه‌گرها'!$F:$F,J$1)</f>
        <v>0</v>
      </c>
      <c r="K1103" s="242">
        <f>COUNTIFS('تجربه‌گرها'!$B:$B,$A1103,'تجربه‌گرها'!$F:$F,K$1)</f>
        <v>0</v>
      </c>
      <c r="L1103" s="242">
        <f>COUNTIFS('تجربه‌گرها'!$B:$B,$A1103,'تجربه‌گرها'!$F:$F,L$1)</f>
        <v>0</v>
      </c>
      <c r="M1103" s="242">
        <f>COUNTIFS('تجربه‌گرها'!$B:$B,$A1103,'تجربه‌گرها'!$F:$F,M$1)</f>
        <v>0</v>
      </c>
      <c r="N1103" s="242">
        <f>COUNTIFS('تجربه‌گرها'!$B:$B,$A1103,'تجربه‌گرها'!$F:$F,N$1)</f>
        <v>1</v>
      </c>
      <c r="O1103" s="242">
        <f>COUNTIFS('تجربه‌گرها'!$B:$B,$A1103,'تجربه‌گرها'!$F:$F,O$1)</f>
        <v>0</v>
      </c>
      <c r="P1103" s="242">
        <f>COUNTIFS('تجربه‌گرها'!$B:$B,$A1103,'تجربه‌گرها'!$F:$F,P$1)</f>
        <v>1</v>
      </c>
      <c r="Q1103" s="242">
        <f>COUNTIFS('تجربه‌گرها'!$B:$B,$A1103,'تجربه‌گرها'!$F:$F,Q$1)</f>
        <v>0</v>
      </c>
      <c r="R1103" s="242">
        <f>COUNTIFS('تجربه‌گرها'!$B:$B,$A1103,'تجربه‌گرها'!$F:$F,R$1)</f>
        <v>0</v>
      </c>
      <c r="S1103" s="242">
        <f>COUNTIFS('تجربه‌گرها'!$B:$B,$A1103,'تجربه‌گرها'!$F:$F,S$1)</f>
        <v>0</v>
      </c>
      <c r="T1103" s="242">
        <f>COUNTIFS('تجربه‌گرها'!$B:$B,$A1103,'تجربه‌گرها'!$F:$F,T$1)</f>
        <v>0</v>
      </c>
      <c r="U1103" s="242"/>
      <c r="V1103" s="242"/>
      <c r="W1103" s="242"/>
      <c r="X1103" s="242"/>
      <c r="Y1103" s="242"/>
      <c r="Z1103" s="242"/>
      <c r="AA1103" s="242"/>
      <c r="AB1103" s="242"/>
    </row>
    <row r="1104" hidden="1">
      <c r="A1104" s="244" t="s">
        <v>5728</v>
      </c>
      <c r="B1104" s="245" t="str">
        <f>VLOOKUP(A1104,'تجربه‌گرها'!B:C,2,FALSE())</f>
        <v>989123337169</v>
      </c>
      <c r="C1104" s="242"/>
      <c r="D1104" s="242">
        <f t="shared" si="1"/>
        <v>1</v>
      </c>
      <c r="E1104" s="242">
        <f>COUNTIFS('تجربه‌گرها'!$B:$B,$A1104,'تجربه‌گرها'!$F:$F,E$1)</f>
        <v>0</v>
      </c>
      <c r="F1104" s="242">
        <f>COUNTIFS('تجربه‌گرها'!$B:$B,$A1104,'تجربه‌گرها'!$F:$F,F$1)</f>
        <v>0</v>
      </c>
      <c r="G1104" s="242">
        <f>COUNTIFS('تجربه‌گرها'!$B:$B,$A1104,'تجربه‌گرها'!$F:$F,G$1)</f>
        <v>0</v>
      </c>
      <c r="H1104" s="242">
        <f>COUNTIFS('تجربه‌گرها'!$B:$B,$A1104,'تجربه‌گرها'!$F:$F,H$1)</f>
        <v>0</v>
      </c>
      <c r="I1104" s="242">
        <f>COUNTIFS('تجربه‌گرها'!$B:$B,$A1104,'تجربه‌گرها'!$F:$F,I$1)</f>
        <v>0</v>
      </c>
      <c r="J1104" s="242">
        <f>COUNTIFS('تجربه‌گرها'!$B:$B,$A1104,'تجربه‌گرها'!$F:$F,J$1)</f>
        <v>0</v>
      </c>
      <c r="K1104" s="242">
        <f>COUNTIFS('تجربه‌گرها'!$B:$B,$A1104,'تجربه‌گرها'!$F:$F,K$1)</f>
        <v>0</v>
      </c>
      <c r="L1104" s="242">
        <f>COUNTIFS('تجربه‌گرها'!$B:$B,$A1104,'تجربه‌گرها'!$F:$F,L$1)</f>
        <v>0</v>
      </c>
      <c r="M1104" s="242">
        <f>COUNTIFS('تجربه‌گرها'!$B:$B,$A1104,'تجربه‌گرها'!$F:$F,M$1)</f>
        <v>0</v>
      </c>
      <c r="N1104" s="242">
        <f>COUNTIFS('تجربه‌گرها'!$B:$B,$A1104,'تجربه‌گرها'!$F:$F,N$1)</f>
        <v>1</v>
      </c>
      <c r="O1104" s="242">
        <f>COUNTIFS('تجربه‌گرها'!$B:$B,$A1104,'تجربه‌گرها'!$F:$F,O$1)</f>
        <v>0</v>
      </c>
      <c r="P1104" s="242">
        <f>COUNTIFS('تجربه‌گرها'!$B:$B,$A1104,'تجربه‌گرها'!$F:$F,P$1)</f>
        <v>0</v>
      </c>
      <c r="Q1104" s="242">
        <f>COUNTIFS('تجربه‌گرها'!$B:$B,$A1104,'تجربه‌گرها'!$F:$F,Q$1)</f>
        <v>0</v>
      </c>
      <c r="R1104" s="242">
        <f>COUNTIFS('تجربه‌گرها'!$B:$B,$A1104,'تجربه‌گرها'!$F:$F,R$1)</f>
        <v>0</v>
      </c>
      <c r="S1104" s="242">
        <f>COUNTIFS('تجربه‌گرها'!$B:$B,$A1104,'تجربه‌گرها'!$F:$F,S$1)</f>
        <v>0</v>
      </c>
      <c r="T1104" s="242">
        <f>COUNTIFS('تجربه‌گرها'!$B:$B,$A1104,'تجربه‌گرها'!$F:$F,T$1)</f>
        <v>0</v>
      </c>
      <c r="U1104" s="242"/>
      <c r="V1104" s="242"/>
      <c r="W1104" s="242"/>
      <c r="X1104" s="242"/>
      <c r="Y1104" s="242"/>
      <c r="Z1104" s="242"/>
      <c r="AA1104" s="242"/>
      <c r="AB1104" s="242"/>
    </row>
    <row r="1105">
      <c r="A1105" s="244" t="s">
        <v>5731</v>
      </c>
      <c r="B1105" s="245" t="str">
        <f>VLOOKUP(A1105,'تجربه‌گرها'!B:C,2,FALSE())</f>
        <v>989125670829</v>
      </c>
      <c r="C1105" s="242"/>
      <c r="D1105" s="242">
        <f t="shared" si="1"/>
        <v>1</v>
      </c>
      <c r="E1105" s="242">
        <f>COUNTIFS('تجربه‌گرها'!$B:$B,$A1105,'تجربه‌گرها'!$F:$F,E$1)</f>
        <v>0</v>
      </c>
      <c r="F1105" s="242">
        <f>COUNTIFS('تجربه‌گرها'!$B:$B,$A1105,'تجربه‌گرها'!$F:$F,F$1)</f>
        <v>0</v>
      </c>
      <c r="G1105" s="242">
        <f>COUNTIFS('تجربه‌گرها'!$B:$B,$A1105,'تجربه‌گرها'!$F:$F,G$1)</f>
        <v>0</v>
      </c>
      <c r="H1105" s="242">
        <f>COUNTIFS('تجربه‌گرها'!$B:$B,$A1105,'تجربه‌گرها'!$F:$F,H$1)</f>
        <v>0</v>
      </c>
      <c r="I1105" s="242">
        <f>COUNTIFS('تجربه‌گرها'!$B:$B,$A1105,'تجربه‌گرها'!$F:$F,I$1)</f>
        <v>0</v>
      </c>
      <c r="J1105" s="242">
        <f>COUNTIFS('تجربه‌گرها'!$B:$B,$A1105,'تجربه‌گرها'!$F:$F,J$1)</f>
        <v>0</v>
      </c>
      <c r="K1105" s="242">
        <f>COUNTIFS('تجربه‌گرها'!$B:$B,$A1105,'تجربه‌گرها'!$F:$F,K$1)</f>
        <v>0</v>
      </c>
      <c r="L1105" s="242">
        <f>COUNTIFS('تجربه‌گرها'!$B:$B,$A1105,'تجربه‌گرها'!$F:$F,L$1)</f>
        <v>0</v>
      </c>
      <c r="M1105" s="242">
        <f>COUNTIFS('تجربه‌گرها'!$B:$B,$A1105,'تجربه‌گرها'!$F:$F,M$1)</f>
        <v>0</v>
      </c>
      <c r="N1105" s="242">
        <f>COUNTIFS('تجربه‌گرها'!$B:$B,$A1105,'تجربه‌گرها'!$F:$F,N$1)</f>
        <v>1</v>
      </c>
      <c r="O1105" s="242">
        <f>COUNTIFS('تجربه‌گرها'!$B:$B,$A1105,'تجربه‌گرها'!$F:$F,O$1)</f>
        <v>0</v>
      </c>
      <c r="P1105" s="242">
        <f>COUNTIFS('تجربه‌گرها'!$B:$B,$A1105,'تجربه‌گرها'!$F:$F,P$1)</f>
        <v>0</v>
      </c>
      <c r="Q1105" s="242">
        <f>COUNTIFS('تجربه‌گرها'!$B:$B,$A1105,'تجربه‌گرها'!$F:$F,Q$1)</f>
        <v>0</v>
      </c>
      <c r="R1105" s="242">
        <f>COUNTIFS('تجربه‌گرها'!$B:$B,$A1105,'تجربه‌گرها'!$F:$F,R$1)</f>
        <v>0</v>
      </c>
      <c r="S1105" s="242">
        <f>COUNTIFS('تجربه‌گرها'!$B:$B,$A1105,'تجربه‌گرها'!$F:$F,S$1)</f>
        <v>0</v>
      </c>
      <c r="T1105" s="242">
        <f>COUNTIFS('تجربه‌گرها'!$B:$B,$A1105,'تجربه‌گرها'!$F:$F,T$1)</f>
        <v>0</v>
      </c>
      <c r="U1105" s="242"/>
      <c r="V1105" s="242"/>
      <c r="W1105" s="242"/>
      <c r="X1105" s="242"/>
      <c r="Y1105" s="242"/>
      <c r="Z1105" s="242"/>
      <c r="AA1105" s="242"/>
      <c r="AB1105" s="242"/>
    </row>
    <row r="1106" hidden="1">
      <c r="A1106" s="244" t="s">
        <v>5733</v>
      </c>
      <c r="B1106" s="245" t="str">
        <f>VLOOKUP(A1106,'تجربه‌گرها'!B:C,2,FALSE())</f>
        <v>9360012278</v>
      </c>
      <c r="C1106" s="242"/>
      <c r="D1106" s="242">
        <f t="shared" si="1"/>
        <v>1</v>
      </c>
      <c r="E1106" s="242">
        <f>COUNTIFS('تجربه‌گرها'!$B:$B,$A1106,'تجربه‌گرها'!$F:$F,E$1)</f>
        <v>0</v>
      </c>
      <c r="F1106" s="242">
        <f>COUNTIFS('تجربه‌گرها'!$B:$B,$A1106,'تجربه‌گرها'!$F:$F,F$1)</f>
        <v>0</v>
      </c>
      <c r="G1106" s="242">
        <f>COUNTIFS('تجربه‌گرها'!$B:$B,$A1106,'تجربه‌گرها'!$F:$F,G$1)</f>
        <v>0</v>
      </c>
      <c r="H1106" s="242">
        <f>COUNTIFS('تجربه‌گرها'!$B:$B,$A1106,'تجربه‌گرها'!$F:$F,H$1)</f>
        <v>0</v>
      </c>
      <c r="I1106" s="242">
        <f>COUNTIFS('تجربه‌گرها'!$B:$B,$A1106,'تجربه‌گرها'!$F:$F,I$1)</f>
        <v>0</v>
      </c>
      <c r="J1106" s="242">
        <f>COUNTIFS('تجربه‌گرها'!$B:$B,$A1106,'تجربه‌گرها'!$F:$F,J$1)</f>
        <v>0</v>
      </c>
      <c r="K1106" s="242">
        <f>COUNTIFS('تجربه‌گرها'!$B:$B,$A1106,'تجربه‌گرها'!$F:$F,K$1)</f>
        <v>0</v>
      </c>
      <c r="L1106" s="242">
        <f>COUNTIFS('تجربه‌گرها'!$B:$B,$A1106,'تجربه‌گرها'!$F:$F,L$1)</f>
        <v>0</v>
      </c>
      <c r="M1106" s="242">
        <f>COUNTIFS('تجربه‌گرها'!$B:$B,$A1106,'تجربه‌گرها'!$F:$F,M$1)</f>
        <v>0</v>
      </c>
      <c r="N1106" s="242">
        <f>COUNTIFS('تجربه‌گرها'!$B:$B,$A1106,'تجربه‌گرها'!$F:$F,N$1)</f>
        <v>1</v>
      </c>
      <c r="O1106" s="242">
        <f>COUNTIFS('تجربه‌گرها'!$B:$B,$A1106,'تجربه‌گرها'!$F:$F,O$1)</f>
        <v>0</v>
      </c>
      <c r="P1106" s="242">
        <f>COUNTIFS('تجربه‌گرها'!$B:$B,$A1106,'تجربه‌گرها'!$F:$F,P$1)</f>
        <v>0</v>
      </c>
      <c r="Q1106" s="242">
        <f>COUNTIFS('تجربه‌گرها'!$B:$B,$A1106,'تجربه‌گرها'!$F:$F,Q$1)</f>
        <v>0</v>
      </c>
      <c r="R1106" s="242">
        <f>COUNTIFS('تجربه‌گرها'!$B:$B,$A1106,'تجربه‌گرها'!$F:$F,R$1)</f>
        <v>0</v>
      </c>
      <c r="S1106" s="242">
        <f>COUNTIFS('تجربه‌گرها'!$B:$B,$A1106,'تجربه‌گرها'!$F:$F,S$1)</f>
        <v>0</v>
      </c>
      <c r="T1106" s="242">
        <f>COUNTIFS('تجربه‌گرها'!$B:$B,$A1106,'تجربه‌گرها'!$F:$F,T$1)</f>
        <v>0</v>
      </c>
      <c r="U1106" s="242"/>
      <c r="V1106" s="242"/>
      <c r="W1106" s="242"/>
      <c r="X1106" s="242"/>
      <c r="Y1106" s="242"/>
      <c r="Z1106" s="242"/>
      <c r="AA1106" s="242"/>
      <c r="AB1106" s="242"/>
    </row>
    <row r="1107" hidden="1">
      <c r="A1107" s="244" t="s">
        <v>5736</v>
      </c>
      <c r="B1107" s="245" t="str">
        <f>VLOOKUP(A1107,'تجربه‌گرها'!B:C,2,FALSE())</f>
        <v>989130200939</v>
      </c>
      <c r="C1107" s="242"/>
      <c r="D1107" s="242">
        <f t="shared" si="1"/>
        <v>1</v>
      </c>
      <c r="E1107" s="242">
        <f>COUNTIFS('تجربه‌گرها'!$B:$B,$A1107,'تجربه‌گرها'!$F:$F,E$1)</f>
        <v>0</v>
      </c>
      <c r="F1107" s="242">
        <f>COUNTIFS('تجربه‌گرها'!$B:$B,$A1107,'تجربه‌گرها'!$F:$F,F$1)</f>
        <v>0</v>
      </c>
      <c r="G1107" s="242">
        <f>COUNTIFS('تجربه‌گرها'!$B:$B,$A1107,'تجربه‌گرها'!$F:$F,G$1)</f>
        <v>0</v>
      </c>
      <c r="H1107" s="242">
        <f>COUNTIFS('تجربه‌گرها'!$B:$B,$A1107,'تجربه‌گرها'!$F:$F,H$1)</f>
        <v>0</v>
      </c>
      <c r="I1107" s="242">
        <f>COUNTIFS('تجربه‌گرها'!$B:$B,$A1107,'تجربه‌گرها'!$F:$F,I$1)</f>
        <v>0</v>
      </c>
      <c r="J1107" s="242">
        <f>COUNTIFS('تجربه‌گرها'!$B:$B,$A1107,'تجربه‌گرها'!$F:$F,J$1)</f>
        <v>0</v>
      </c>
      <c r="K1107" s="242">
        <f>COUNTIFS('تجربه‌گرها'!$B:$B,$A1107,'تجربه‌گرها'!$F:$F,K$1)</f>
        <v>0</v>
      </c>
      <c r="L1107" s="242">
        <f>COUNTIFS('تجربه‌گرها'!$B:$B,$A1107,'تجربه‌گرها'!$F:$F,L$1)</f>
        <v>0</v>
      </c>
      <c r="M1107" s="242">
        <f>COUNTIFS('تجربه‌گرها'!$B:$B,$A1107,'تجربه‌گرها'!$F:$F,M$1)</f>
        <v>0</v>
      </c>
      <c r="N1107" s="242">
        <f>COUNTIFS('تجربه‌گرها'!$B:$B,$A1107,'تجربه‌گرها'!$F:$F,N$1)</f>
        <v>1</v>
      </c>
      <c r="O1107" s="242">
        <f>COUNTIFS('تجربه‌گرها'!$B:$B,$A1107,'تجربه‌گرها'!$F:$F,O$1)</f>
        <v>0</v>
      </c>
      <c r="P1107" s="242">
        <f>COUNTIFS('تجربه‌گرها'!$B:$B,$A1107,'تجربه‌گرها'!$F:$F,P$1)</f>
        <v>0</v>
      </c>
      <c r="Q1107" s="242">
        <f>COUNTIFS('تجربه‌گرها'!$B:$B,$A1107,'تجربه‌گرها'!$F:$F,Q$1)</f>
        <v>0</v>
      </c>
      <c r="R1107" s="242">
        <f>COUNTIFS('تجربه‌گرها'!$B:$B,$A1107,'تجربه‌گرها'!$F:$F,R$1)</f>
        <v>0</v>
      </c>
      <c r="S1107" s="242">
        <f>COUNTIFS('تجربه‌گرها'!$B:$B,$A1107,'تجربه‌گرها'!$F:$F,S$1)</f>
        <v>0</v>
      </c>
      <c r="T1107" s="242">
        <f>COUNTIFS('تجربه‌گرها'!$B:$B,$A1107,'تجربه‌گرها'!$F:$F,T$1)</f>
        <v>0</v>
      </c>
      <c r="U1107" s="242"/>
      <c r="V1107" s="242"/>
      <c r="W1107" s="242"/>
      <c r="X1107" s="242"/>
      <c r="Y1107" s="242"/>
      <c r="Z1107" s="242"/>
      <c r="AA1107" s="242"/>
      <c r="AB1107" s="242"/>
    </row>
    <row r="1108" hidden="1">
      <c r="A1108" s="244" t="s">
        <v>5739</v>
      </c>
      <c r="B1108" s="245" t="str">
        <f>VLOOKUP(A1108,'تجربه‌گرها'!B:C,2,FALSE())</f>
        <v>989389073346
989193255089</v>
      </c>
      <c r="C1108" s="242"/>
      <c r="D1108" s="242">
        <f t="shared" si="1"/>
        <v>1</v>
      </c>
      <c r="E1108" s="242">
        <f>COUNTIFS('تجربه‌گرها'!$B:$B,$A1108,'تجربه‌گرها'!$F:$F,E$1)</f>
        <v>0</v>
      </c>
      <c r="F1108" s="242">
        <f>COUNTIFS('تجربه‌گرها'!$B:$B,$A1108,'تجربه‌گرها'!$F:$F,F$1)</f>
        <v>0</v>
      </c>
      <c r="G1108" s="242">
        <f>COUNTIFS('تجربه‌گرها'!$B:$B,$A1108,'تجربه‌گرها'!$F:$F,G$1)</f>
        <v>0</v>
      </c>
      <c r="H1108" s="242">
        <f>COUNTIFS('تجربه‌گرها'!$B:$B,$A1108,'تجربه‌گرها'!$F:$F,H$1)</f>
        <v>0</v>
      </c>
      <c r="I1108" s="242">
        <f>COUNTIFS('تجربه‌گرها'!$B:$B,$A1108,'تجربه‌گرها'!$F:$F,I$1)</f>
        <v>0</v>
      </c>
      <c r="J1108" s="242">
        <f>COUNTIFS('تجربه‌گرها'!$B:$B,$A1108,'تجربه‌گرها'!$F:$F,J$1)</f>
        <v>0</v>
      </c>
      <c r="K1108" s="242">
        <f>COUNTIFS('تجربه‌گرها'!$B:$B,$A1108,'تجربه‌گرها'!$F:$F,K$1)</f>
        <v>0</v>
      </c>
      <c r="L1108" s="242">
        <f>COUNTIFS('تجربه‌گرها'!$B:$B,$A1108,'تجربه‌گرها'!$F:$F,L$1)</f>
        <v>0</v>
      </c>
      <c r="M1108" s="242">
        <f>COUNTIFS('تجربه‌گرها'!$B:$B,$A1108,'تجربه‌گرها'!$F:$F,M$1)</f>
        <v>0</v>
      </c>
      <c r="N1108" s="242">
        <f>COUNTIFS('تجربه‌گرها'!$B:$B,$A1108,'تجربه‌گرها'!$F:$F,N$1)</f>
        <v>1</v>
      </c>
      <c r="O1108" s="242">
        <f>COUNTIFS('تجربه‌گرها'!$B:$B,$A1108,'تجربه‌گرها'!$F:$F,O$1)</f>
        <v>0</v>
      </c>
      <c r="P1108" s="242">
        <f>COUNTIFS('تجربه‌گرها'!$B:$B,$A1108,'تجربه‌گرها'!$F:$F,P$1)</f>
        <v>0</v>
      </c>
      <c r="Q1108" s="242">
        <f>COUNTIFS('تجربه‌گرها'!$B:$B,$A1108,'تجربه‌گرها'!$F:$F,Q$1)</f>
        <v>0</v>
      </c>
      <c r="R1108" s="242">
        <f>COUNTIFS('تجربه‌گرها'!$B:$B,$A1108,'تجربه‌گرها'!$F:$F,R$1)</f>
        <v>0</v>
      </c>
      <c r="S1108" s="242">
        <f>COUNTIFS('تجربه‌گرها'!$B:$B,$A1108,'تجربه‌گرها'!$F:$F,S$1)</f>
        <v>0</v>
      </c>
      <c r="T1108" s="242">
        <f>COUNTIFS('تجربه‌گرها'!$B:$B,$A1108,'تجربه‌گرها'!$F:$F,T$1)</f>
        <v>0</v>
      </c>
      <c r="U1108" s="242"/>
      <c r="V1108" s="242"/>
      <c r="W1108" s="242"/>
      <c r="X1108" s="242"/>
      <c r="Y1108" s="242"/>
      <c r="Z1108" s="242"/>
      <c r="AA1108" s="242"/>
      <c r="AB1108" s="242"/>
    </row>
    <row r="1109" hidden="1">
      <c r="A1109" s="244" t="s">
        <v>5742</v>
      </c>
      <c r="B1109" s="245" t="str">
        <f>VLOOKUP(A1109,'تجربه‌گرها'!B:C,2,FALSE())</f>
        <v>9122584218</v>
      </c>
      <c r="C1109" s="242"/>
      <c r="D1109" s="242">
        <f t="shared" si="1"/>
        <v>1</v>
      </c>
      <c r="E1109" s="242">
        <f>COUNTIFS('تجربه‌گرها'!$B:$B,$A1109,'تجربه‌گرها'!$F:$F,E$1)</f>
        <v>0</v>
      </c>
      <c r="F1109" s="242">
        <f>COUNTIFS('تجربه‌گرها'!$B:$B,$A1109,'تجربه‌گرها'!$F:$F,F$1)</f>
        <v>0</v>
      </c>
      <c r="G1109" s="242">
        <f>COUNTIFS('تجربه‌گرها'!$B:$B,$A1109,'تجربه‌گرها'!$F:$F,G$1)</f>
        <v>0</v>
      </c>
      <c r="H1109" s="242">
        <f>COUNTIFS('تجربه‌گرها'!$B:$B,$A1109,'تجربه‌گرها'!$F:$F,H$1)</f>
        <v>0</v>
      </c>
      <c r="I1109" s="242">
        <f>COUNTIFS('تجربه‌گرها'!$B:$B,$A1109,'تجربه‌گرها'!$F:$F,I$1)</f>
        <v>0</v>
      </c>
      <c r="J1109" s="242">
        <f>COUNTIFS('تجربه‌گرها'!$B:$B,$A1109,'تجربه‌گرها'!$F:$F,J$1)</f>
        <v>0</v>
      </c>
      <c r="K1109" s="242">
        <f>COUNTIFS('تجربه‌گرها'!$B:$B,$A1109,'تجربه‌گرها'!$F:$F,K$1)</f>
        <v>0</v>
      </c>
      <c r="L1109" s="242">
        <f>COUNTIFS('تجربه‌گرها'!$B:$B,$A1109,'تجربه‌گرها'!$F:$F,L$1)</f>
        <v>0</v>
      </c>
      <c r="M1109" s="242">
        <f>COUNTIFS('تجربه‌گرها'!$B:$B,$A1109,'تجربه‌گرها'!$F:$F,M$1)</f>
        <v>0</v>
      </c>
      <c r="N1109" s="242">
        <f>COUNTIFS('تجربه‌گرها'!$B:$B,$A1109,'تجربه‌گرها'!$F:$F,N$1)</f>
        <v>1</v>
      </c>
      <c r="O1109" s="242">
        <f>COUNTIFS('تجربه‌گرها'!$B:$B,$A1109,'تجربه‌گرها'!$F:$F,O$1)</f>
        <v>0</v>
      </c>
      <c r="P1109" s="242">
        <f>COUNTIFS('تجربه‌گرها'!$B:$B,$A1109,'تجربه‌گرها'!$F:$F,P$1)</f>
        <v>0</v>
      </c>
      <c r="Q1109" s="242">
        <f>COUNTIFS('تجربه‌گرها'!$B:$B,$A1109,'تجربه‌گرها'!$F:$F,Q$1)</f>
        <v>0</v>
      </c>
      <c r="R1109" s="242">
        <f>COUNTIFS('تجربه‌گرها'!$B:$B,$A1109,'تجربه‌گرها'!$F:$F,R$1)</f>
        <v>0</v>
      </c>
      <c r="S1109" s="242">
        <f>COUNTIFS('تجربه‌گرها'!$B:$B,$A1109,'تجربه‌گرها'!$F:$F,S$1)</f>
        <v>0</v>
      </c>
      <c r="T1109" s="242">
        <f>COUNTIFS('تجربه‌گرها'!$B:$B,$A1109,'تجربه‌گرها'!$F:$F,T$1)</f>
        <v>0</v>
      </c>
      <c r="U1109" s="242"/>
      <c r="V1109" s="242"/>
      <c r="W1109" s="242"/>
      <c r="X1109" s="242"/>
      <c r="Y1109" s="242"/>
      <c r="Z1109" s="242"/>
      <c r="AA1109" s="242"/>
      <c r="AB1109" s="242"/>
    </row>
    <row r="1110" hidden="1">
      <c r="A1110" s="244" t="s">
        <v>5746</v>
      </c>
      <c r="B1110" s="245" t="str">
        <f>VLOOKUP(A1110,'تجربه‌گرها'!B:C,2,FALSE())</f>
        <v>9038307089</v>
      </c>
      <c r="C1110" s="242"/>
      <c r="D1110" s="242">
        <f t="shared" si="1"/>
        <v>1</v>
      </c>
      <c r="E1110" s="242">
        <f>COUNTIFS('تجربه‌گرها'!$B:$B,$A1110,'تجربه‌گرها'!$F:$F,E$1)</f>
        <v>0</v>
      </c>
      <c r="F1110" s="242">
        <f>COUNTIFS('تجربه‌گرها'!$B:$B,$A1110,'تجربه‌گرها'!$F:$F,F$1)</f>
        <v>0</v>
      </c>
      <c r="G1110" s="242">
        <f>COUNTIFS('تجربه‌گرها'!$B:$B,$A1110,'تجربه‌گرها'!$F:$F,G$1)</f>
        <v>0</v>
      </c>
      <c r="H1110" s="242">
        <f>COUNTIFS('تجربه‌گرها'!$B:$B,$A1110,'تجربه‌گرها'!$F:$F,H$1)</f>
        <v>0</v>
      </c>
      <c r="I1110" s="242">
        <f>COUNTIFS('تجربه‌گرها'!$B:$B,$A1110,'تجربه‌گرها'!$F:$F,I$1)</f>
        <v>0</v>
      </c>
      <c r="J1110" s="242">
        <f>COUNTIFS('تجربه‌گرها'!$B:$B,$A1110,'تجربه‌گرها'!$F:$F,J$1)</f>
        <v>0</v>
      </c>
      <c r="K1110" s="242">
        <f>COUNTIFS('تجربه‌گرها'!$B:$B,$A1110,'تجربه‌گرها'!$F:$F,K$1)</f>
        <v>0</v>
      </c>
      <c r="L1110" s="242">
        <f>COUNTIFS('تجربه‌گرها'!$B:$B,$A1110,'تجربه‌گرها'!$F:$F,L$1)</f>
        <v>0</v>
      </c>
      <c r="M1110" s="242">
        <f>COUNTIFS('تجربه‌گرها'!$B:$B,$A1110,'تجربه‌گرها'!$F:$F,M$1)</f>
        <v>0</v>
      </c>
      <c r="N1110" s="242">
        <f>COUNTIFS('تجربه‌گرها'!$B:$B,$A1110,'تجربه‌گرها'!$F:$F,N$1)</f>
        <v>1</v>
      </c>
      <c r="O1110" s="242">
        <f>COUNTIFS('تجربه‌گرها'!$B:$B,$A1110,'تجربه‌گرها'!$F:$F,O$1)</f>
        <v>0</v>
      </c>
      <c r="P1110" s="242">
        <f>COUNTIFS('تجربه‌گرها'!$B:$B,$A1110,'تجربه‌گرها'!$F:$F,P$1)</f>
        <v>0</v>
      </c>
      <c r="Q1110" s="242">
        <f>COUNTIFS('تجربه‌گرها'!$B:$B,$A1110,'تجربه‌گرها'!$F:$F,Q$1)</f>
        <v>0</v>
      </c>
      <c r="R1110" s="242">
        <f>COUNTIFS('تجربه‌گرها'!$B:$B,$A1110,'تجربه‌گرها'!$F:$F,R$1)</f>
        <v>0</v>
      </c>
      <c r="S1110" s="242">
        <f>COUNTIFS('تجربه‌گرها'!$B:$B,$A1110,'تجربه‌گرها'!$F:$F,S$1)</f>
        <v>0</v>
      </c>
      <c r="T1110" s="242">
        <f>COUNTIFS('تجربه‌گرها'!$B:$B,$A1110,'تجربه‌گرها'!$F:$F,T$1)</f>
        <v>0</v>
      </c>
      <c r="U1110" s="242"/>
      <c r="V1110" s="242"/>
      <c r="W1110" s="242"/>
      <c r="X1110" s="242"/>
      <c r="Y1110" s="242"/>
      <c r="Z1110" s="242"/>
      <c r="AA1110" s="242"/>
      <c r="AB1110" s="242"/>
    </row>
    <row r="1111">
      <c r="A1111" s="244" t="s">
        <v>5749</v>
      </c>
      <c r="B1111" s="245" t="str">
        <f>VLOOKUP(A1111,'تجربه‌گرها'!B:C,2,FALSE())</f>
        <v>989100200852</v>
      </c>
      <c r="C1111" s="242"/>
      <c r="D1111" s="242">
        <f t="shared" si="1"/>
        <v>1</v>
      </c>
      <c r="E1111" s="242">
        <f>COUNTIFS('تجربه‌گرها'!$B:$B,$A1111,'تجربه‌گرها'!$F:$F,E$1)</f>
        <v>0</v>
      </c>
      <c r="F1111" s="242">
        <f>COUNTIFS('تجربه‌گرها'!$B:$B,$A1111,'تجربه‌گرها'!$F:$F,F$1)</f>
        <v>0</v>
      </c>
      <c r="G1111" s="242">
        <f>COUNTIFS('تجربه‌گرها'!$B:$B,$A1111,'تجربه‌گرها'!$F:$F,G$1)</f>
        <v>0</v>
      </c>
      <c r="H1111" s="242">
        <f>COUNTIFS('تجربه‌گرها'!$B:$B,$A1111,'تجربه‌گرها'!$F:$F,H$1)</f>
        <v>0</v>
      </c>
      <c r="I1111" s="242">
        <f>COUNTIFS('تجربه‌گرها'!$B:$B,$A1111,'تجربه‌گرها'!$F:$F,I$1)</f>
        <v>0</v>
      </c>
      <c r="J1111" s="242">
        <f>COUNTIFS('تجربه‌گرها'!$B:$B,$A1111,'تجربه‌گرها'!$F:$F,J$1)</f>
        <v>0</v>
      </c>
      <c r="K1111" s="242">
        <f>COUNTIFS('تجربه‌گرها'!$B:$B,$A1111,'تجربه‌گرها'!$F:$F,K$1)</f>
        <v>0</v>
      </c>
      <c r="L1111" s="242">
        <f>COUNTIFS('تجربه‌گرها'!$B:$B,$A1111,'تجربه‌گرها'!$F:$F,L$1)</f>
        <v>0</v>
      </c>
      <c r="M1111" s="242">
        <f>COUNTIFS('تجربه‌گرها'!$B:$B,$A1111,'تجربه‌گرها'!$F:$F,M$1)</f>
        <v>0</v>
      </c>
      <c r="N1111" s="242">
        <f>COUNTIFS('تجربه‌گرها'!$B:$B,$A1111,'تجربه‌گرها'!$F:$F,N$1)</f>
        <v>1</v>
      </c>
      <c r="O1111" s="242">
        <f>COUNTIFS('تجربه‌گرها'!$B:$B,$A1111,'تجربه‌گرها'!$F:$F,O$1)</f>
        <v>0</v>
      </c>
      <c r="P1111" s="242">
        <f>COUNTIFS('تجربه‌گرها'!$B:$B,$A1111,'تجربه‌گرها'!$F:$F,P$1)</f>
        <v>0</v>
      </c>
      <c r="Q1111" s="242">
        <f>COUNTIFS('تجربه‌گرها'!$B:$B,$A1111,'تجربه‌گرها'!$F:$F,Q$1)</f>
        <v>0</v>
      </c>
      <c r="R1111" s="242">
        <f>COUNTIFS('تجربه‌گرها'!$B:$B,$A1111,'تجربه‌گرها'!$F:$F,R$1)</f>
        <v>0</v>
      </c>
      <c r="S1111" s="242">
        <f>COUNTIFS('تجربه‌گرها'!$B:$B,$A1111,'تجربه‌گرها'!$F:$F,S$1)</f>
        <v>0</v>
      </c>
      <c r="T1111" s="242">
        <f>COUNTIFS('تجربه‌گرها'!$B:$B,$A1111,'تجربه‌گرها'!$F:$F,T$1)</f>
        <v>0</v>
      </c>
      <c r="U1111" s="242"/>
      <c r="V1111" s="242"/>
      <c r="W1111" s="242"/>
      <c r="X1111" s="242"/>
      <c r="Y1111" s="242"/>
      <c r="Z1111" s="242"/>
      <c r="AA1111" s="242"/>
      <c r="AB1111" s="242"/>
    </row>
    <row r="1112" hidden="1">
      <c r="A1112" s="244" t="s">
        <v>5752</v>
      </c>
      <c r="B1112" s="245" t="str">
        <f>VLOOKUP(A1112,'تجربه‌گرها'!B:C,2,FALSE())</f>
        <v>9108074959
989124307404</v>
      </c>
      <c r="C1112" s="242"/>
      <c r="D1112" s="242">
        <f t="shared" si="1"/>
        <v>1</v>
      </c>
      <c r="E1112" s="242">
        <f>COUNTIFS('تجربه‌گرها'!$B:$B,$A1112,'تجربه‌گرها'!$F:$F,E$1)</f>
        <v>0</v>
      </c>
      <c r="F1112" s="242">
        <f>COUNTIFS('تجربه‌گرها'!$B:$B,$A1112,'تجربه‌گرها'!$F:$F,F$1)</f>
        <v>0</v>
      </c>
      <c r="G1112" s="242">
        <f>COUNTIFS('تجربه‌گرها'!$B:$B,$A1112,'تجربه‌گرها'!$F:$F,G$1)</f>
        <v>0</v>
      </c>
      <c r="H1112" s="242">
        <f>COUNTIFS('تجربه‌گرها'!$B:$B,$A1112,'تجربه‌گرها'!$F:$F,H$1)</f>
        <v>0</v>
      </c>
      <c r="I1112" s="242">
        <f>COUNTIFS('تجربه‌گرها'!$B:$B,$A1112,'تجربه‌گرها'!$F:$F,I$1)</f>
        <v>0</v>
      </c>
      <c r="J1112" s="242">
        <f>COUNTIFS('تجربه‌گرها'!$B:$B,$A1112,'تجربه‌گرها'!$F:$F,J$1)</f>
        <v>0</v>
      </c>
      <c r="K1112" s="242">
        <f>COUNTIFS('تجربه‌گرها'!$B:$B,$A1112,'تجربه‌گرها'!$F:$F,K$1)</f>
        <v>0</v>
      </c>
      <c r="L1112" s="242">
        <f>COUNTIFS('تجربه‌گرها'!$B:$B,$A1112,'تجربه‌گرها'!$F:$F,L$1)</f>
        <v>0</v>
      </c>
      <c r="M1112" s="242">
        <f>COUNTIFS('تجربه‌گرها'!$B:$B,$A1112,'تجربه‌گرها'!$F:$F,M$1)</f>
        <v>0</v>
      </c>
      <c r="N1112" s="242">
        <f>COUNTIFS('تجربه‌گرها'!$B:$B,$A1112,'تجربه‌گرها'!$F:$F,N$1)</f>
        <v>1</v>
      </c>
      <c r="O1112" s="242">
        <f>COUNTIFS('تجربه‌گرها'!$B:$B,$A1112,'تجربه‌گرها'!$F:$F,O$1)</f>
        <v>0</v>
      </c>
      <c r="P1112" s="242">
        <f>COUNTIFS('تجربه‌گرها'!$B:$B,$A1112,'تجربه‌گرها'!$F:$F,P$1)</f>
        <v>0</v>
      </c>
      <c r="Q1112" s="242">
        <f>COUNTIFS('تجربه‌گرها'!$B:$B,$A1112,'تجربه‌گرها'!$F:$F,Q$1)</f>
        <v>0</v>
      </c>
      <c r="R1112" s="242">
        <f>COUNTIFS('تجربه‌گرها'!$B:$B,$A1112,'تجربه‌گرها'!$F:$F,R$1)</f>
        <v>0</v>
      </c>
      <c r="S1112" s="242">
        <f>COUNTIFS('تجربه‌گرها'!$B:$B,$A1112,'تجربه‌گرها'!$F:$F,S$1)</f>
        <v>0</v>
      </c>
      <c r="T1112" s="242">
        <f>COUNTIFS('تجربه‌گرها'!$B:$B,$A1112,'تجربه‌گرها'!$F:$F,T$1)</f>
        <v>0</v>
      </c>
      <c r="U1112" s="242"/>
      <c r="V1112" s="242"/>
      <c r="W1112" s="242"/>
      <c r="X1112" s="242"/>
      <c r="Y1112" s="242"/>
      <c r="Z1112" s="242"/>
      <c r="AA1112" s="242"/>
      <c r="AB1112" s="242"/>
    </row>
    <row r="1113" hidden="1">
      <c r="A1113" s="244" t="s">
        <v>5755</v>
      </c>
      <c r="B1113" s="245" t="str">
        <f>VLOOKUP(A1113,'تجربه‌گرها'!B:C,2,FALSE())</f>
        <v>9912808970</v>
      </c>
      <c r="C1113" s="242"/>
      <c r="D1113" s="242">
        <f t="shared" si="1"/>
        <v>1</v>
      </c>
      <c r="E1113" s="242">
        <f>COUNTIFS('تجربه‌گرها'!$B:$B,$A1113,'تجربه‌گرها'!$F:$F,E$1)</f>
        <v>0</v>
      </c>
      <c r="F1113" s="242">
        <f>COUNTIFS('تجربه‌گرها'!$B:$B,$A1113,'تجربه‌گرها'!$F:$F,F$1)</f>
        <v>0</v>
      </c>
      <c r="G1113" s="242">
        <f>COUNTIFS('تجربه‌گرها'!$B:$B,$A1113,'تجربه‌گرها'!$F:$F,G$1)</f>
        <v>0</v>
      </c>
      <c r="H1113" s="242">
        <f>COUNTIFS('تجربه‌گرها'!$B:$B,$A1113,'تجربه‌گرها'!$F:$F,H$1)</f>
        <v>0</v>
      </c>
      <c r="I1113" s="242">
        <f>COUNTIFS('تجربه‌گرها'!$B:$B,$A1113,'تجربه‌گرها'!$F:$F,I$1)</f>
        <v>0</v>
      </c>
      <c r="J1113" s="242">
        <f>COUNTIFS('تجربه‌گرها'!$B:$B,$A1113,'تجربه‌گرها'!$F:$F,J$1)</f>
        <v>0</v>
      </c>
      <c r="K1113" s="242">
        <f>COUNTIFS('تجربه‌گرها'!$B:$B,$A1113,'تجربه‌گرها'!$F:$F,K$1)</f>
        <v>0</v>
      </c>
      <c r="L1113" s="242">
        <f>COUNTIFS('تجربه‌گرها'!$B:$B,$A1113,'تجربه‌گرها'!$F:$F,L$1)</f>
        <v>0</v>
      </c>
      <c r="M1113" s="242">
        <f>COUNTIFS('تجربه‌گرها'!$B:$B,$A1113,'تجربه‌گرها'!$F:$F,M$1)</f>
        <v>0</v>
      </c>
      <c r="N1113" s="242">
        <f>COUNTIFS('تجربه‌گرها'!$B:$B,$A1113,'تجربه‌گرها'!$F:$F,N$1)</f>
        <v>1</v>
      </c>
      <c r="O1113" s="242">
        <f>COUNTIFS('تجربه‌گرها'!$B:$B,$A1113,'تجربه‌گرها'!$F:$F,O$1)</f>
        <v>0</v>
      </c>
      <c r="P1113" s="242">
        <f>COUNTIFS('تجربه‌گرها'!$B:$B,$A1113,'تجربه‌گرها'!$F:$F,P$1)</f>
        <v>0</v>
      </c>
      <c r="Q1113" s="242">
        <f>COUNTIFS('تجربه‌گرها'!$B:$B,$A1113,'تجربه‌گرها'!$F:$F,Q$1)</f>
        <v>0</v>
      </c>
      <c r="R1113" s="242">
        <f>COUNTIFS('تجربه‌گرها'!$B:$B,$A1113,'تجربه‌گرها'!$F:$F,R$1)</f>
        <v>0</v>
      </c>
      <c r="S1113" s="242">
        <f>COUNTIFS('تجربه‌گرها'!$B:$B,$A1113,'تجربه‌گرها'!$F:$F,S$1)</f>
        <v>0</v>
      </c>
      <c r="T1113" s="242">
        <f>COUNTIFS('تجربه‌گرها'!$B:$B,$A1113,'تجربه‌گرها'!$F:$F,T$1)</f>
        <v>0</v>
      </c>
      <c r="U1113" s="242"/>
      <c r="V1113" s="242"/>
      <c r="W1113" s="242"/>
      <c r="X1113" s="242"/>
      <c r="Y1113" s="242"/>
      <c r="Z1113" s="242"/>
      <c r="AA1113" s="242"/>
      <c r="AB1113" s="242"/>
    </row>
    <row r="1114" hidden="1">
      <c r="A1114" s="244" t="s">
        <v>5758</v>
      </c>
      <c r="B1114" s="245" t="str">
        <f>VLOOKUP(A1114,'تجربه‌گرها'!B:C,2,FALSE())</f>
        <v>9194151219</v>
      </c>
      <c r="C1114" s="242"/>
      <c r="D1114" s="242">
        <f t="shared" si="1"/>
        <v>1</v>
      </c>
      <c r="E1114" s="242">
        <f>COUNTIFS('تجربه‌گرها'!$B:$B,$A1114,'تجربه‌گرها'!$F:$F,E$1)</f>
        <v>0</v>
      </c>
      <c r="F1114" s="242">
        <f>COUNTIFS('تجربه‌گرها'!$B:$B,$A1114,'تجربه‌گرها'!$F:$F,F$1)</f>
        <v>0</v>
      </c>
      <c r="G1114" s="242">
        <f>COUNTIFS('تجربه‌گرها'!$B:$B,$A1114,'تجربه‌گرها'!$F:$F,G$1)</f>
        <v>0</v>
      </c>
      <c r="H1114" s="242">
        <f>COUNTIFS('تجربه‌گرها'!$B:$B,$A1114,'تجربه‌گرها'!$F:$F,H$1)</f>
        <v>0</v>
      </c>
      <c r="I1114" s="242">
        <f>COUNTIFS('تجربه‌گرها'!$B:$B,$A1114,'تجربه‌گرها'!$F:$F,I$1)</f>
        <v>0</v>
      </c>
      <c r="J1114" s="242">
        <f>COUNTIFS('تجربه‌گرها'!$B:$B,$A1114,'تجربه‌گرها'!$F:$F,J$1)</f>
        <v>0</v>
      </c>
      <c r="K1114" s="242">
        <f>COUNTIFS('تجربه‌گرها'!$B:$B,$A1114,'تجربه‌گرها'!$F:$F,K$1)</f>
        <v>0</v>
      </c>
      <c r="L1114" s="242">
        <f>COUNTIFS('تجربه‌گرها'!$B:$B,$A1114,'تجربه‌گرها'!$F:$F,L$1)</f>
        <v>0</v>
      </c>
      <c r="M1114" s="242">
        <f>COUNTIFS('تجربه‌گرها'!$B:$B,$A1114,'تجربه‌گرها'!$F:$F,M$1)</f>
        <v>0</v>
      </c>
      <c r="N1114" s="242">
        <f>COUNTIFS('تجربه‌گرها'!$B:$B,$A1114,'تجربه‌گرها'!$F:$F,N$1)</f>
        <v>1</v>
      </c>
      <c r="O1114" s="242">
        <f>COUNTIFS('تجربه‌گرها'!$B:$B,$A1114,'تجربه‌گرها'!$F:$F,O$1)</f>
        <v>0</v>
      </c>
      <c r="P1114" s="242">
        <f>COUNTIFS('تجربه‌گرها'!$B:$B,$A1114,'تجربه‌گرها'!$F:$F,P$1)</f>
        <v>0</v>
      </c>
      <c r="Q1114" s="242">
        <f>COUNTIFS('تجربه‌گرها'!$B:$B,$A1114,'تجربه‌گرها'!$F:$F,Q$1)</f>
        <v>0</v>
      </c>
      <c r="R1114" s="242">
        <f>COUNTIFS('تجربه‌گرها'!$B:$B,$A1114,'تجربه‌گرها'!$F:$F,R$1)</f>
        <v>0</v>
      </c>
      <c r="S1114" s="242">
        <f>COUNTIFS('تجربه‌گرها'!$B:$B,$A1114,'تجربه‌گرها'!$F:$F,S$1)</f>
        <v>0</v>
      </c>
      <c r="T1114" s="242">
        <f>COUNTIFS('تجربه‌گرها'!$B:$B,$A1114,'تجربه‌گرها'!$F:$F,T$1)</f>
        <v>0</v>
      </c>
      <c r="U1114" s="242"/>
      <c r="V1114" s="242"/>
      <c r="W1114" s="242"/>
      <c r="X1114" s="242"/>
      <c r="Y1114" s="242"/>
      <c r="Z1114" s="242"/>
      <c r="AA1114" s="242"/>
      <c r="AB1114" s="242"/>
    </row>
    <row r="1115" hidden="1">
      <c r="A1115" s="244" t="s">
        <v>5761</v>
      </c>
      <c r="B1115" s="245" t="str">
        <f>VLOOKUP(A1115,'تجربه‌گرها'!B:C,2,FALSE())</f>
        <v>9371090242</v>
      </c>
      <c r="C1115" s="242"/>
      <c r="D1115" s="242">
        <f t="shared" si="1"/>
        <v>1</v>
      </c>
      <c r="E1115" s="242">
        <f>COUNTIFS('تجربه‌گرها'!$B:$B,$A1115,'تجربه‌گرها'!$F:$F,E$1)</f>
        <v>0</v>
      </c>
      <c r="F1115" s="242">
        <f>COUNTIFS('تجربه‌گرها'!$B:$B,$A1115,'تجربه‌گرها'!$F:$F,F$1)</f>
        <v>0</v>
      </c>
      <c r="G1115" s="242">
        <f>COUNTIFS('تجربه‌گرها'!$B:$B,$A1115,'تجربه‌گرها'!$F:$F,G$1)</f>
        <v>0</v>
      </c>
      <c r="H1115" s="242">
        <f>COUNTIFS('تجربه‌گرها'!$B:$B,$A1115,'تجربه‌گرها'!$F:$F,H$1)</f>
        <v>0</v>
      </c>
      <c r="I1115" s="242">
        <f>COUNTIFS('تجربه‌گرها'!$B:$B,$A1115,'تجربه‌گرها'!$F:$F,I$1)</f>
        <v>0</v>
      </c>
      <c r="J1115" s="242">
        <f>COUNTIFS('تجربه‌گرها'!$B:$B,$A1115,'تجربه‌گرها'!$F:$F,J$1)</f>
        <v>0</v>
      </c>
      <c r="K1115" s="242">
        <f>COUNTIFS('تجربه‌گرها'!$B:$B,$A1115,'تجربه‌گرها'!$F:$F,K$1)</f>
        <v>0</v>
      </c>
      <c r="L1115" s="242">
        <f>COUNTIFS('تجربه‌گرها'!$B:$B,$A1115,'تجربه‌گرها'!$F:$F,L$1)</f>
        <v>0</v>
      </c>
      <c r="M1115" s="242">
        <f>COUNTIFS('تجربه‌گرها'!$B:$B,$A1115,'تجربه‌گرها'!$F:$F,M$1)</f>
        <v>0</v>
      </c>
      <c r="N1115" s="242">
        <f>COUNTIFS('تجربه‌گرها'!$B:$B,$A1115,'تجربه‌گرها'!$F:$F,N$1)</f>
        <v>1</v>
      </c>
      <c r="O1115" s="242">
        <f>COUNTIFS('تجربه‌گرها'!$B:$B,$A1115,'تجربه‌گرها'!$F:$F,O$1)</f>
        <v>0</v>
      </c>
      <c r="P1115" s="242">
        <f>COUNTIFS('تجربه‌گرها'!$B:$B,$A1115,'تجربه‌گرها'!$F:$F,P$1)</f>
        <v>0</v>
      </c>
      <c r="Q1115" s="242">
        <f>COUNTIFS('تجربه‌گرها'!$B:$B,$A1115,'تجربه‌گرها'!$F:$F,Q$1)</f>
        <v>0</v>
      </c>
      <c r="R1115" s="242">
        <f>COUNTIFS('تجربه‌گرها'!$B:$B,$A1115,'تجربه‌گرها'!$F:$F,R$1)</f>
        <v>0</v>
      </c>
      <c r="S1115" s="242">
        <f>COUNTIFS('تجربه‌گرها'!$B:$B,$A1115,'تجربه‌گرها'!$F:$F,S$1)</f>
        <v>0</v>
      </c>
      <c r="T1115" s="242">
        <f>COUNTIFS('تجربه‌گرها'!$B:$B,$A1115,'تجربه‌گرها'!$F:$F,T$1)</f>
        <v>0</v>
      </c>
      <c r="U1115" s="242"/>
      <c r="V1115" s="242"/>
      <c r="W1115" s="242"/>
      <c r="X1115" s="242"/>
      <c r="Y1115" s="242"/>
      <c r="Z1115" s="242"/>
      <c r="AA1115" s="242"/>
      <c r="AB1115" s="242"/>
    </row>
    <row r="1116" hidden="1">
      <c r="A1116" s="244" t="s">
        <v>5764</v>
      </c>
      <c r="B1116" s="245" t="str">
        <f>VLOOKUP(A1116,'تجربه‌گرها'!B:C,2,FALSE())</f>
        <v>9126197039</v>
      </c>
      <c r="C1116" s="242"/>
      <c r="D1116" s="242">
        <f t="shared" si="1"/>
        <v>1</v>
      </c>
      <c r="E1116" s="242">
        <f>COUNTIFS('تجربه‌گرها'!$B:$B,$A1116,'تجربه‌گرها'!$F:$F,E$1)</f>
        <v>0</v>
      </c>
      <c r="F1116" s="242">
        <f>COUNTIFS('تجربه‌گرها'!$B:$B,$A1116,'تجربه‌گرها'!$F:$F,F$1)</f>
        <v>0</v>
      </c>
      <c r="G1116" s="242">
        <f>COUNTIFS('تجربه‌گرها'!$B:$B,$A1116,'تجربه‌گرها'!$F:$F,G$1)</f>
        <v>0</v>
      </c>
      <c r="H1116" s="242">
        <f>COUNTIFS('تجربه‌گرها'!$B:$B,$A1116,'تجربه‌گرها'!$F:$F,H$1)</f>
        <v>0</v>
      </c>
      <c r="I1116" s="242">
        <f>COUNTIFS('تجربه‌گرها'!$B:$B,$A1116,'تجربه‌گرها'!$F:$F,I$1)</f>
        <v>0</v>
      </c>
      <c r="J1116" s="242">
        <f>COUNTIFS('تجربه‌گرها'!$B:$B,$A1116,'تجربه‌گرها'!$F:$F,J$1)</f>
        <v>0</v>
      </c>
      <c r="K1116" s="242">
        <f>COUNTIFS('تجربه‌گرها'!$B:$B,$A1116,'تجربه‌گرها'!$F:$F,K$1)</f>
        <v>0</v>
      </c>
      <c r="L1116" s="242">
        <f>COUNTIFS('تجربه‌گرها'!$B:$B,$A1116,'تجربه‌گرها'!$F:$F,L$1)</f>
        <v>0</v>
      </c>
      <c r="M1116" s="242">
        <f>COUNTIFS('تجربه‌گرها'!$B:$B,$A1116,'تجربه‌گرها'!$F:$F,M$1)</f>
        <v>0</v>
      </c>
      <c r="N1116" s="242">
        <f>COUNTIFS('تجربه‌گرها'!$B:$B,$A1116,'تجربه‌گرها'!$F:$F,N$1)</f>
        <v>1</v>
      </c>
      <c r="O1116" s="242">
        <f>COUNTIFS('تجربه‌گرها'!$B:$B,$A1116,'تجربه‌گرها'!$F:$F,O$1)</f>
        <v>0</v>
      </c>
      <c r="P1116" s="242">
        <f>COUNTIFS('تجربه‌گرها'!$B:$B,$A1116,'تجربه‌گرها'!$F:$F,P$1)</f>
        <v>0</v>
      </c>
      <c r="Q1116" s="242">
        <f>COUNTIFS('تجربه‌گرها'!$B:$B,$A1116,'تجربه‌گرها'!$F:$F,Q$1)</f>
        <v>0</v>
      </c>
      <c r="R1116" s="242">
        <f>COUNTIFS('تجربه‌گرها'!$B:$B,$A1116,'تجربه‌گرها'!$F:$F,R$1)</f>
        <v>0</v>
      </c>
      <c r="S1116" s="242">
        <f>COUNTIFS('تجربه‌گرها'!$B:$B,$A1116,'تجربه‌گرها'!$F:$F,S$1)</f>
        <v>0</v>
      </c>
      <c r="T1116" s="242">
        <f>COUNTIFS('تجربه‌گرها'!$B:$B,$A1116,'تجربه‌گرها'!$F:$F,T$1)</f>
        <v>0</v>
      </c>
      <c r="U1116" s="242"/>
      <c r="V1116" s="242"/>
      <c r="W1116" s="242"/>
      <c r="X1116" s="242"/>
      <c r="Y1116" s="242"/>
      <c r="Z1116" s="242"/>
      <c r="AA1116" s="242"/>
      <c r="AB1116" s="242"/>
    </row>
    <row r="1117" hidden="1">
      <c r="A1117" s="244" t="s">
        <v>5768</v>
      </c>
      <c r="B1117" s="245" t="str">
        <f>VLOOKUP(A1117,'تجربه‌گرها'!B:C,2,FALSE())</f>
        <v>9371414462</v>
      </c>
      <c r="C1117" s="242"/>
      <c r="D1117" s="242">
        <f t="shared" si="1"/>
        <v>1</v>
      </c>
      <c r="E1117" s="242">
        <f>COUNTIFS('تجربه‌گرها'!$B:$B,$A1117,'تجربه‌گرها'!$F:$F,E$1)</f>
        <v>0</v>
      </c>
      <c r="F1117" s="242">
        <f>COUNTIFS('تجربه‌گرها'!$B:$B,$A1117,'تجربه‌گرها'!$F:$F,F$1)</f>
        <v>0</v>
      </c>
      <c r="G1117" s="242">
        <f>COUNTIFS('تجربه‌گرها'!$B:$B,$A1117,'تجربه‌گرها'!$F:$F,G$1)</f>
        <v>0</v>
      </c>
      <c r="H1117" s="242">
        <f>COUNTIFS('تجربه‌گرها'!$B:$B,$A1117,'تجربه‌گرها'!$F:$F,H$1)</f>
        <v>0</v>
      </c>
      <c r="I1117" s="242">
        <f>COUNTIFS('تجربه‌گرها'!$B:$B,$A1117,'تجربه‌گرها'!$F:$F,I$1)</f>
        <v>0</v>
      </c>
      <c r="J1117" s="242">
        <f>COUNTIFS('تجربه‌گرها'!$B:$B,$A1117,'تجربه‌گرها'!$F:$F,J$1)</f>
        <v>0</v>
      </c>
      <c r="K1117" s="242">
        <f>COUNTIFS('تجربه‌گرها'!$B:$B,$A1117,'تجربه‌گرها'!$F:$F,K$1)</f>
        <v>0</v>
      </c>
      <c r="L1117" s="242">
        <f>COUNTIFS('تجربه‌گرها'!$B:$B,$A1117,'تجربه‌گرها'!$F:$F,L$1)</f>
        <v>0</v>
      </c>
      <c r="M1117" s="242">
        <f>COUNTIFS('تجربه‌گرها'!$B:$B,$A1117,'تجربه‌گرها'!$F:$F,M$1)</f>
        <v>0</v>
      </c>
      <c r="N1117" s="242">
        <f>COUNTIFS('تجربه‌گرها'!$B:$B,$A1117,'تجربه‌گرها'!$F:$F,N$1)</f>
        <v>1</v>
      </c>
      <c r="O1117" s="242">
        <f>COUNTIFS('تجربه‌گرها'!$B:$B,$A1117,'تجربه‌گرها'!$F:$F,O$1)</f>
        <v>0</v>
      </c>
      <c r="P1117" s="242">
        <f>COUNTIFS('تجربه‌گرها'!$B:$B,$A1117,'تجربه‌گرها'!$F:$F,P$1)</f>
        <v>0</v>
      </c>
      <c r="Q1117" s="242">
        <f>COUNTIFS('تجربه‌گرها'!$B:$B,$A1117,'تجربه‌گرها'!$F:$F,Q$1)</f>
        <v>0</v>
      </c>
      <c r="R1117" s="242">
        <f>COUNTIFS('تجربه‌گرها'!$B:$B,$A1117,'تجربه‌گرها'!$F:$F,R$1)</f>
        <v>0</v>
      </c>
      <c r="S1117" s="242">
        <f>COUNTIFS('تجربه‌گرها'!$B:$B,$A1117,'تجربه‌گرها'!$F:$F,S$1)</f>
        <v>0</v>
      </c>
      <c r="T1117" s="242">
        <f>COUNTIFS('تجربه‌گرها'!$B:$B,$A1117,'تجربه‌گرها'!$F:$F,T$1)</f>
        <v>0</v>
      </c>
      <c r="U1117" s="242"/>
      <c r="V1117" s="242"/>
      <c r="W1117" s="242"/>
      <c r="X1117" s="242"/>
      <c r="Y1117" s="242"/>
      <c r="Z1117" s="242"/>
      <c r="AA1117" s="242"/>
      <c r="AB1117" s="242"/>
    </row>
    <row r="1118" hidden="1">
      <c r="A1118" s="244" t="s">
        <v>5771</v>
      </c>
      <c r="B1118" s="245" t="str">
        <f>VLOOKUP(A1118,'تجربه‌گرها'!B:C,2,FALSE())</f>
        <v>989135488201</v>
      </c>
      <c r="C1118" s="242"/>
      <c r="D1118" s="242">
        <f t="shared" si="1"/>
        <v>2</v>
      </c>
      <c r="E1118" s="242">
        <f>COUNTIFS('تجربه‌گرها'!$B:$B,$A1118,'تجربه‌گرها'!$F:$F,E$1)</f>
        <v>0</v>
      </c>
      <c r="F1118" s="242">
        <f>COUNTIFS('تجربه‌گرها'!$B:$B,$A1118,'تجربه‌گرها'!$F:$F,F$1)</f>
        <v>0</v>
      </c>
      <c r="G1118" s="242">
        <f>COUNTIFS('تجربه‌گرها'!$B:$B,$A1118,'تجربه‌گرها'!$F:$F,G$1)</f>
        <v>0</v>
      </c>
      <c r="H1118" s="242">
        <f>COUNTIFS('تجربه‌گرها'!$B:$B,$A1118,'تجربه‌گرها'!$F:$F,H$1)</f>
        <v>0</v>
      </c>
      <c r="I1118" s="242">
        <f>COUNTIFS('تجربه‌گرها'!$B:$B,$A1118,'تجربه‌گرها'!$F:$F,I$1)</f>
        <v>0</v>
      </c>
      <c r="J1118" s="242">
        <f>COUNTIFS('تجربه‌گرها'!$B:$B,$A1118,'تجربه‌گرها'!$F:$F,J$1)</f>
        <v>0</v>
      </c>
      <c r="K1118" s="242">
        <f>COUNTIFS('تجربه‌گرها'!$B:$B,$A1118,'تجربه‌گرها'!$F:$F,K$1)</f>
        <v>0</v>
      </c>
      <c r="L1118" s="242">
        <f>COUNTIFS('تجربه‌گرها'!$B:$B,$A1118,'تجربه‌گرها'!$F:$F,L$1)</f>
        <v>0</v>
      </c>
      <c r="M1118" s="242">
        <f>COUNTIFS('تجربه‌گرها'!$B:$B,$A1118,'تجربه‌گرها'!$F:$F,M$1)</f>
        <v>0</v>
      </c>
      <c r="N1118" s="242">
        <f>COUNTIFS('تجربه‌گرها'!$B:$B,$A1118,'تجربه‌گرها'!$F:$F,N$1)</f>
        <v>1</v>
      </c>
      <c r="O1118" s="242">
        <f>COUNTIFS('تجربه‌گرها'!$B:$B,$A1118,'تجربه‌گرها'!$F:$F,O$1)</f>
        <v>0</v>
      </c>
      <c r="P1118" s="242">
        <f>COUNTIFS('تجربه‌گرها'!$B:$B,$A1118,'تجربه‌گرها'!$F:$F,P$1)</f>
        <v>1</v>
      </c>
      <c r="Q1118" s="242">
        <f>COUNTIFS('تجربه‌گرها'!$B:$B,$A1118,'تجربه‌گرها'!$F:$F,Q$1)</f>
        <v>0</v>
      </c>
      <c r="R1118" s="242">
        <f>COUNTIFS('تجربه‌گرها'!$B:$B,$A1118,'تجربه‌گرها'!$F:$F,R$1)</f>
        <v>0</v>
      </c>
      <c r="S1118" s="242">
        <f>COUNTIFS('تجربه‌گرها'!$B:$B,$A1118,'تجربه‌گرها'!$F:$F,S$1)</f>
        <v>0</v>
      </c>
      <c r="T1118" s="242">
        <f>COUNTIFS('تجربه‌گرها'!$B:$B,$A1118,'تجربه‌گرها'!$F:$F,T$1)</f>
        <v>0</v>
      </c>
      <c r="U1118" s="242"/>
      <c r="V1118" s="242"/>
      <c r="W1118" s="242"/>
      <c r="X1118" s="242"/>
      <c r="Y1118" s="242"/>
      <c r="Z1118" s="242"/>
      <c r="AA1118" s="242"/>
      <c r="AB1118" s="242"/>
    </row>
    <row r="1119" hidden="1">
      <c r="A1119" s="244" t="s">
        <v>5774</v>
      </c>
      <c r="B1119" s="245" t="str">
        <f>VLOOKUP(A1119,'تجربه‌گرها'!B:C,2,FALSE())</f>
        <v>989122484729</v>
      </c>
      <c r="C1119" s="242"/>
      <c r="D1119" s="242">
        <f t="shared" si="1"/>
        <v>1</v>
      </c>
      <c r="E1119" s="242">
        <f>COUNTIFS('تجربه‌گرها'!$B:$B,$A1119,'تجربه‌گرها'!$F:$F,E$1)</f>
        <v>0</v>
      </c>
      <c r="F1119" s="242">
        <f>COUNTIFS('تجربه‌گرها'!$B:$B,$A1119,'تجربه‌گرها'!$F:$F,F$1)</f>
        <v>0</v>
      </c>
      <c r="G1119" s="242">
        <f>COUNTIFS('تجربه‌گرها'!$B:$B,$A1119,'تجربه‌گرها'!$F:$F,G$1)</f>
        <v>0</v>
      </c>
      <c r="H1119" s="242">
        <f>COUNTIFS('تجربه‌گرها'!$B:$B,$A1119,'تجربه‌گرها'!$F:$F,H$1)</f>
        <v>0</v>
      </c>
      <c r="I1119" s="242">
        <f>COUNTIFS('تجربه‌گرها'!$B:$B,$A1119,'تجربه‌گرها'!$F:$F,I$1)</f>
        <v>0</v>
      </c>
      <c r="J1119" s="242">
        <f>COUNTIFS('تجربه‌گرها'!$B:$B,$A1119,'تجربه‌گرها'!$F:$F,J$1)</f>
        <v>0</v>
      </c>
      <c r="K1119" s="242">
        <f>COUNTIFS('تجربه‌گرها'!$B:$B,$A1119,'تجربه‌گرها'!$F:$F,K$1)</f>
        <v>0</v>
      </c>
      <c r="L1119" s="242">
        <f>COUNTIFS('تجربه‌گرها'!$B:$B,$A1119,'تجربه‌گرها'!$F:$F,L$1)</f>
        <v>0</v>
      </c>
      <c r="M1119" s="242">
        <f>COUNTIFS('تجربه‌گرها'!$B:$B,$A1119,'تجربه‌گرها'!$F:$F,M$1)</f>
        <v>0</v>
      </c>
      <c r="N1119" s="242">
        <f>COUNTIFS('تجربه‌گرها'!$B:$B,$A1119,'تجربه‌گرها'!$F:$F,N$1)</f>
        <v>1</v>
      </c>
      <c r="O1119" s="242">
        <f>COUNTIFS('تجربه‌گرها'!$B:$B,$A1119,'تجربه‌گرها'!$F:$F,O$1)</f>
        <v>0</v>
      </c>
      <c r="P1119" s="242">
        <f>COUNTIFS('تجربه‌گرها'!$B:$B,$A1119,'تجربه‌گرها'!$F:$F,P$1)</f>
        <v>0</v>
      </c>
      <c r="Q1119" s="242">
        <f>COUNTIFS('تجربه‌گرها'!$B:$B,$A1119,'تجربه‌گرها'!$F:$F,Q$1)</f>
        <v>0</v>
      </c>
      <c r="R1119" s="242">
        <f>COUNTIFS('تجربه‌گرها'!$B:$B,$A1119,'تجربه‌گرها'!$F:$F,R$1)</f>
        <v>0</v>
      </c>
      <c r="S1119" s="242">
        <f>COUNTIFS('تجربه‌گرها'!$B:$B,$A1119,'تجربه‌گرها'!$F:$F,S$1)</f>
        <v>0</v>
      </c>
      <c r="T1119" s="242">
        <f>COUNTIFS('تجربه‌گرها'!$B:$B,$A1119,'تجربه‌گرها'!$F:$F,T$1)</f>
        <v>0</v>
      </c>
      <c r="U1119" s="242"/>
      <c r="V1119" s="242"/>
      <c r="W1119" s="242"/>
      <c r="X1119" s="242"/>
      <c r="Y1119" s="242"/>
      <c r="Z1119" s="242"/>
      <c r="AA1119" s="242"/>
      <c r="AB1119" s="242"/>
    </row>
    <row r="1120" hidden="1">
      <c r="A1120" s="244" t="s">
        <v>5777</v>
      </c>
      <c r="B1120" s="245" t="str">
        <f>VLOOKUP(A1120,'تجربه‌گرها'!B:C,2,FALSE())</f>
        <v>9130256846</v>
      </c>
      <c r="C1120" s="242"/>
      <c r="D1120" s="242">
        <f t="shared" si="1"/>
        <v>1</v>
      </c>
      <c r="E1120" s="242">
        <f>COUNTIFS('تجربه‌گرها'!$B:$B,$A1120,'تجربه‌گرها'!$F:$F,E$1)</f>
        <v>0</v>
      </c>
      <c r="F1120" s="242">
        <f>COUNTIFS('تجربه‌گرها'!$B:$B,$A1120,'تجربه‌گرها'!$F:$F,F$1)</f>
        <v>0</v>
      </c>
      <c r="G1120" s="242">
        <f>COUNTIFS('تجربه‌گرها'!$B:$B,$A1120,'تجربه‌گرها'!$F:$F,G$1)</f>
        <v>0</v>
      </c>
      <c r="H1120" s="242">
        <f>COUNTIFS('تجربه‌گرها'!$B:$B,$A1120,'تجربه‌گرها'!$F:$F,H$1)</f>
        <v>0</v>
      </c>
      <c r="I1120" s="242">
        <f>COUNTIFS('تجربه‌گرها'!$B:$B,$A1120,'تجربه‌گرها'!$F:$F,I$1)</f>
        <v>0</v>
      </c>
      <c r="J1120" s="242">
        <f>COUNTIFS('تجربه‌گرها'!$B:$B,$A1120,'تجربه‌گرها'!$F:$F,J$1)</f>
        <v>0</v>
      </c>
      <c r="K1120" s="242">
        <f>COUNTIFS('تجربه‌گرها'!$B:$B,$A1120,'تجربه‌گرها'!$F:$F,K$1)</f>
        <v>0</v>
      </c>
      <c r="L1120" s="242">
        <f>COUNTIFS('تجربه‌گرها'!$B:$B,$A1120,'تجربه‌گرها'!$F:$F,L$1)</f>
        <v>0</v>
      </c>
      <c r="M1120" s="242">
        <f>COUNTIFS('تجربه‌گرها'!$B:$B,$A1120,'تجربه‌گرها'!$F:$F,M$1)</f>
        <v>0</v>
      </c>
      <c r="N1120" s="242">
        <f>COUNTIFS('تجربه‌گرها'!$B:$B,$A1120,'تجربه‌گرها'!$F:$F,N$1)</f>
        <v>1</v>
      </c>
      <c r="O1120" s="242">
        <f>COUNTIFS('تجربه‌گرها'!$B:$B,$A1120,'تجربه‌گرها'!$F:$F,O$1)</f>
        <v>0</v>
      </c>
      <c r="P1120" s="242">
        <f>COUNTIFS('تجربه‌گرها'!$B:$B,$A1120,'تجربه‌گرها'!$F:$F,P$1)</f>
        <v>0</v>
      </c>
      <c r="Q1120" s="242">
        <f>COUNTIFS('تجربه‌گرها'!$B:$B,$A1120,'تجربه‌گرها'!$F:$F,Q$1)</f>
        <v>0</v>
      </c>
      <c r="R1120" s="242">
        <f>COUNTIFS('تجربه‌گرها'!$B:$B,$A1120,'تجربه‌گرها'!$F:$F,R$1)</f>
        <v>0</v>
      </c>
      <c r="S1120" s="242">
        <f>COUNTIFS('تجربه‌گرها'!$B:$B,$A1120,'تجربه‌گرها'!$F:$F,S$1)</f>
        <v>0</v>
      </c>
      <c r="T1120" s="242">
        <f>COUNTIFS('تجربه‌گرها'!$B:$B,$A1120,'تجربه‌گرها'!$F:$F,T$1)</f>
        <v>0</v>
      </c>
      <c r="U1120" s="242"/>
      <c r="V1120" s="242"/>
      <c r="W1120" s="242"/>
      <c r="X1120" s="242"/>
      <c r="Y1120" s="242"/>
      <c r="Z1120" s="242"/>
      <c r="AA1120" s="242"/>
      <c r="AB1120" s="242"/>
    </row>
    <row r="1121" hidden="1">
      <c r="A1121" s="244" t="s">
        <v>90</v>
      </c>
      <c r="B1121" s="245" t="str">
        <f>VLOOKUP(A1121,'تجربه‌گرها'!B:C,2,FALSE())</f>
        <v>989103000558</v>
      </c>
      <c r="C1121" s="242"/>
      <c r="D1121" s="242">
        <f t="shared" si="1"/>
        <v>1</v>
      </c>
      <c r="E1121" s="242">
        <f>COUNTIFS('تجربه‌گرها'!$B:$B,$A1121,'تجربه‌گرها'!$F:$F,E$1)</f>
        <v>0</v>
      </c>
      <c r="F1121" s="242">
        <f>COUNTIFS('تجربه‌گرها'!$B:$B,$A1121,'تجربه‌گرها'!$F:$F,F$1)</f>
        <v>0</v>
      </c>
      <c r="G1121" s="242">
        <f>COUNTIFS('تجربه‌گرها'!$B:$B,$A1121,'تجربه‌گرها'!$F:$F,G$1)</f>
        <v>0</v>
      </c>
      <c r="H1121" s="242">
        <f>COUNTIFS('تجربه‌گرها'!$B:$B,$A1121,'تجربه‌گرها'!$F:$F,H$1)</f>
        <v>0</v>
      </c>
      <c r="I1121" s="242">
        <f>COUNTIFS('تجربه‌گرها'!$B:$B,$A1121,'تجربه‌گرها'!$F:$F,I$1)</f>
        <v>0</v>
      </c>
      <c r="J1121" s="242">
        <f>COUNTIFS('تجربه‌گرها'!$B:$B,$A1121,'تجربه‌گرها'!$F:$F,J$1)</f>
        <v>0</v>
      </c>
      <c r="K1121" s="242">
        <f>COUNTIFS('تجربه‌گرها'!$B:$B,$A1121,'تجربه‌گرها'!$F:$F,K$1)</f>
        <v>0</v>
      </c>
      <c r="L1121" s="242">
        <f>COUNTIFS('تجربه‌گرها'!$B:$B,$A1121,'تجربه‌گرها'!$F:$F,L$1)</f>
        <v>0</v>
      </c>
      <c r="M1121" s="242">
        <f>COUNTIFS('تجربه‌گرها'!$B:$B,$A1121,'تجربه‌گرها'!$F:$F,M$1)</f>
        <v>0</v>
      </c>
      <c r="N1121" s="242">
        <f>COUNTIFS('تجربه‌گرها'!$B:$B,$A1121,'تجربه‌گرها'!$F:$F,N$1)</f>
        <v>1</v>
      </c>
      <c r="O1121" s="242">
        <f>COUNTIFS('تجربه‌گرها'!$B:$B,$A1121,'تجربه‌گرها'!$F:$F,O$1)</f>
        <v>0</v>
      </c>
      <c r="P1121" s="242">
        <f>COUNTIFS('تجربه‌گرها'!$B:$B,$A1121,'تجربه‌گرها'!$F:$F,P$1)</f>
        <v>0</v>
      </c>
      <c r="Q1121" s="242">
        <f>COUNTIFS('تجربه‌گرها'!$B:$B,$A1121,'تجربه‌گرها'!$F:$F,Q$1)</f>
        <v>0</v>
      </c>
      <c r="R1121" s="242">
        <f>COUNTIFS('تجربه‌گرها'!$B:$B,$A1121,'تجربه‌گرها'!$F:$F,R$1)</f>
        <v>0</v>
      </c>
      <c r="S1121" s="242">
        <f>COUNTIFS('تجربه‌گرها'!$B:$B,$A1121,'تجربه‌گرها'!$F:$F,S$1)</f>
        <v>0</v>
      </c>
      <c r="T1121" s="242">
        <f>COUNTIFS('تجربه‌گرها'!$B:$B,$A1121,'تجربه‌گرها'!$F:$F,T$1)</f>
        <v>0</v>
      </c>
      <c r="U1121" s="242"/>
      <c r="V1121" s="242"/>
      <c r="W1121" s="242"/>
      <c r="X1121" s="242"/>
      <c r="Y1121" s="242"/>
      <c r="Z1121" s="242"/>
      <c r="AA1121" s="242"/>
      <c r="AB1121" s="242"/>
    </row>
    <row r="1122" hidden="1">
      <c r="A1122" s="244" t="s">
        <v>5780</v>
      </c>
      <c r="B1122" s="245" t="str">
        <f>VLOOKUP(A1122,'تجربه‌گرها'!B:C,2,FALSE())</f>
        <v>989126948520</v>
      </c>
      <c r="C1122" s="242"/>
      <c r="D1122" s="242">
        <f t="shared" si="1"/>
        <v>1</v>
      </c>
      <c r="E1122" s="242">
        <f>COUNTIFS('تجربه‌گرها'!$B:$B,$A1122,'تجربه‌گرها'!$F:$F,E$1)</f>
        <v>0</v>
      </c>
      <c r="F1122" s="242">
        <f>COUNTIFS('تجربه‌گرها'!$B:$B,$A1122,'تجربه‌گرها'!$F:$F,F$1)</f>
        <v>0</v>
      </c>
      <c r="G1122" s="242">
        <f>COUNTIFS('تجربه‌گرها'!$B:$B,$A1122,'تجربه‌گرها'!$F:$F,G$1)</f>
        <v>0</v>
      </c>
      <c r="H1122" s="242">
        <f>COUNTIFS('تجربه‌گرها'!$B:$B,$A1122,'تجربه‌گرها'!$F:$F,H$1)</f>
        <v>0</v>
      </c>
      <c r="I1122" s="242">
        <f>COUNTIFS('تجربه‌گرها'!$B:$B,$A1122,'تجربه‌گرها'!$F:$F,I$1)</f>
        <v>0</v>
      </c>
      <c r="J1122" s="242">
        <f>COUNTIFS('تجربه‌گرها'!$B:$B,$A1122,'تجربه‌گرها'!$F:$F,J$1)</f>
        <v>0</v>
      </c>
      <c r="K1122" s="242">
        <f>COUNTIFS('تجربه‌گرها'!$B:$B,$A1122,'تجربه‌گرها'!$F:$F,K$1)</f>
        <v>0</v>
      </c>
      <c r="L1122" s="242">
        <f>COUNTIFS('تجربه‌گرها'!$B:$B,$A1122,'تجربه‌گرها'!$F:$F,L$1)</f>
        <v>0</v>
      </c>
      <c r="M1122" s="242">
        <f>COUNTIFS('تجربه‌گرها'!$B:$B,$A1122,'تجربه‌گرها'!$F:$F,M$1)</f>
        <v>0</v>
      </c>
      <c r="N1122" s="242">
        <f>COUNTIFS('تجربه‌گرها'!$B:$B,$A1122,'تجربه‌گرها'!$F:$F,N$1)</f>
        <v>1</v>
      </c>
      <c r="O1122" s="242">
        <f>COUNTIFS('تجربه‌گرها'!$B:$B,$A1122,'تجربه‌گرها'!$F:$F,O$1)</f>
        <v>0</v>
      </c>
      <c r="P1122" s="242">
        <f>COUNTIFS('تجربه‌گرها'!$B:$B,$A1122,'تجربه‌گرها'!$F:$F,P$1)</f>
        <v>0</v>
      </c>
      <c r="Q1122" s="242">
        <f>COUNTIFS('تجربه‌گرها'!$B:$B,$A1122,'تجربه‌گرها'!$F:$F,Q$1)</f>
        <v>0</v>
      </c>
      <c r="R1122" s="242">
        <f>COUNTIFS('تجربه‌گرها'!$B:$B,$A1122,'تجربه‌گرها'!$F:$F,R$1)</f>
        <v>0</v>
      </c>
      <c r="S1122" s="242">
        <f>COUNTIFS('تجربه‌گرها'!$B:$B,$A1122,'تجربه‌گرها'!$F:$F,S$1)</f>
        <v>0</v>
      </c>
      <c r="T1122" s="242">
        <f>COUNTIFS('تجربه‌گرها'!$B:$B,$A1122,'تجربه‌گرها'!$F:$F,T$1)</f>
        <v>0</v>
      </c>
      <c r="U1122" s="242"/>
      <c r="V1122" s="242"/>
      <c r="W1122" s="242"/>
      <c r="X1122" s="242"/>
      <c r="Y1122" s="242"/>
      <c r="Z1122" s="242"/>
      <c r="AA1122" s="242"/>
      <c r="AB1122" s="242"/>
    </row>
    <row r="1123" hidden="1">
      <c r="A1123" s="244" t="s">
        <v>5783</v>
      </c>
      <c r="B1123" s="245" t="str">
        <f>VLOOKUP(A1123,'تجربه‌گرها'!B:C,2,FALSE())</f>
        <v>989132865814</v>
      </c>
      <c r="C1123" s="242"/>
      <c r="D1123" s="242">
        <f t="shared" si="1"/>
        <v>2</v>
      </c>
      <c r="E1123" s="242">
        <f>COUNTIFS('تجربه‌گرها'!$B:$B,$A1123,'تجربه‌گرها'!$F:$F,E$1)</f>
        <v>0</v>
      </c>
      <c r="F1123" s="242">
        <f>COUNTIFS('تجربه‌گرها'!$B:$B,$A1123,'تجربه‌گرها'!$F:$F,F$1)</f>
        <v>0</v>
      </c>
      <c r="G1123" s="242">
        <f>COUNTIFS('تجربه‌گرها'!$B:$B,$A1123,'تجربه‌گرها'!$F:$F,G$1)</f>
        <v>0</v>
      </c>
      <c r="H1123" s="242">
        <f>COUNTIFS('تجربه‌گرها'!$B:$B,$A1123,'تجربه‌گرها'!$F:$F,H$1)</f>
        <v>0</v>
      </c>
      <c r="I1123" s="242">
        <f>COUNTIFS('تجربه‌گرها'!$B:$B,$A1123,'تجربه‌گرها'!$F:$F,I$1)</f>
        <v>0</v>
      </c>
      <c r="J1123" s="242">
        <f>COUNTIFS('تجربه‌گرها'!$B:$B,$A1123,'تجربه‌گرها'!$F:$F,J$1)</f>
        <v>0</v>
      </c>
      <c r="K1123" s="242">
        <f>COUNTIFS('تجربه‌گرها'!$B:$B,$A1123,'تجربه‌گرها'!$F:$F,K$1)</f>
        <v>0</v>
      </c>
      <c r="L1123" s="242">
        <f>COUNTIFS('تجربه‌گرها'!$B:$B,$A1123,'تجربه‌گرها'!$F:$F,L$1)</f>
        <v>0</v>
      </c>
      <c r="M1123" s="242">
        <f>COUNTIFS('تجربه‌گرها'!$B:$B,$A1123,'تجربه‌گرها'!$F:$F,M$1)</f>
        <v>0</v>
      </c>
      <c r="N1123" s="242">
        <f>COUNTIFS('تجربه‌گرها'!$B:$B,$A1123,'تجربه‌گرها'!$F:$F,N$1)</f>
        <v>1</v>
      </c>
      <c r="O1123" s="242">
        <f>COUNTIFS('تجربه‌گرها'!$B:$B,$A1123,'تجربه‌گرها'!$F:$F,O$1)</f>
        <v>0</v>
      </c>
      <c r="P1123" s="242">
        <f>COUNTIFS('تجربه‌گرها'!$B:$B,$A1123,'تجربه‌گرها'!$F:$F,P$1)</f>
        <v>1</v>
      </c>
      <c r="Q1123" s="242">
        <f>COUNTIFS('تجربه‌گرها'!$B:$B,$A1123,'تجربه‌گرها'!$F:$F,Q$1)</f>
        <v>0</v>
      </c>
      <c r="R1123" s="242">
        <f>COUNTIFS('تجربه‌گرها'!$B:$B,$A1123,'تجربه‌گرها'!$F:$F,R$1)</f>
        <v>0</v>
      </c>
      <c r="S1123" s="242">
        <f>COUNTIFS('تجربه‌گرها'!$B:$B,$A1123,'تجربه‌گرها'!$F:$F,S$1)</f>
        <v>0</v>
      </c>
      <c r="T1123" s="242">
        <f>COUNTIFS('تجربه‌گرها'!$B:$B,$A1123,'تجربه‌گرها'!$F:$F,T$1)</f>
        <v>0</v>
      </c>
      <c r="U1123" s="242"/>
      <c r="V1123" s="242"/>
      <c r="W1123" s="242"/>
      <c r="X1123" s="242"/>
      <c r="Y1123" s="242"/>
      <c r="Z1123" s="242"/>
      <c r="AA1123" s="242"/>
      <c r="AB1123" s="242"/>
    </row>
    <row r="1124" hidden="1">
      <c r="A1124" s="244" t="s">
        <v>5785</v>
      </c>
      <c r="B1124" s="245" t="str">
        <f>VLOOKUP(A1124,'تجربه‌گرها'!B:C,2,FALSE())</f>
        <v>989196726228</v>
      </c>
      <c r="C1124" s="242"/>
      <c r="D1124" s="242">
        <f t="shared" si="1"/>
        <v>1</v>
      </c>
      <c r="E1124" s="242">
        <f>COUNTIFS('تجربه‌گرها'!$B:$B,$A1124,'تجربه‌گرها'!$F:$F,E$1)</f>
        <v>0</v>
      </c>
      <c r="F1124" s="242">
        <f>COUNTIFS('تجربه‌گرها'!$B:$B,$A1124,'تجربه‌گرها'!$F:$F,F$1)</f>
        <v>0</v>
      </c>
      <c r="G1124" s="242">
        <f>COUNTIFS('تجربه‌گرها'!$B:$B,$A1124,'تجربه‌گرها'!$F:$F,G$1)</f>
        <v>0</v>
      </c>
      <c r="H1124" s="242">
        <f>COUNTIFS('تجربه‌گرها'!$B:$B,$A1124,'تجربه‌گرها'!$F:$F,H$1)</f>
        <v>0</v>
      </c>
      <c r="I1124" s="242">
        <f>COUNTIFS('تجربه‌گرها'!$B:$B,$A1124,'تجربه‌گرها'!$F:$F,I$1)</f>
        <v>0</v>
      </c>
      <c r="J1124" s="242">
        <f>COUNTIFS('تجربه‌گرها'!$B:$B,$A1124,'تجربه‌گرها'!$F:$F,J$1)</f>
        <v>0</v>
      </c>
      <c r="K1124" s="242">
        <f>COUNTIFS('تجربه‌گرها'!$B:$B,$A1124,'تجربه‌گرها'!$F:$F,K$1)</f>
        <v>0</v>
      </c>
      <c r="L1124" s="242">
        <f>COUNTIFS('تجربه‌گرها'!$B:$B,$A1124,'تجربه‌گرها'!$F:$F,L$1)</f>
        <v>0</v>
      </c>
      <c r="M1124" s="242">
        <f>COUNTIFS('تجربه‌گرها'!$B:$B,$A1124,'تجربه‌گرها'!$F:$F,M$1)</f>
        <v>0</v>
      </c>
      <c r="N1124" s="242">
        <f>COUNTIFS('تجربه‌گرها'!$B:$B,$A1124,'تجربه‌گرها'!$F:$F,N$1)</f>
        <v>1</v>
      </c>
      <c r="O1124" s="242">
        <f>COUNTIFS('تجربه‌گرها'!$B:$B,$A1124,'تجربه‌گرها'!$F:$F,O$1)</f>
        <v>0</v>
      </c>
      <c r="P1124" s="242">
        <f>COUNTIFS('تجربه‌گرها'!$B:$B,$A1124,'تجربه‌گرها'!$F:$F,P$1)</f>
        <v>0</v>
      </c>
      <c r="Q1124" s="242">
        <f>COUNTIFS('تجربه‌گرها'!$B:$B,$A1124,'تجربه‌گرها'!$F:$F,Q$1)</f>
        <v>0</v>
      </c>
      <c r="R1124" s="242">
        <f>COUNTIFS('تجربه‌گرها'!$B:$B,$A1124,'تجربه‌گرها'!$F:$F,R$1)</f>
        <v>0</v>
      </c>
      <c r="S1124" s="242">
        <f>COUNTIFS('تجربه‌گرها'!$B:$B,$A1124,'تجربه‌گرها'!$F:$F,S$1)</f>
        <v>0</v>
      </c>
      <c r="T1124" s="242">
        <f>COUNTIFS('تجربه‌گرها'!$B:$B,$A1124,'تجربه‌گرها'!$F:$F,T$1)</f>
        <v>0</v>
      </c>
      <c r="U1124" s="242"/>
      <c r="V1124" s="242"/>
      <c r="W1124" s="242"/>
      <c r="X1124" s="242"/>
      <c r="Y1124" s="242"/>
      <c r="Z1124" s="242"/>
      <c r="AA1124" s="242"/>
      <c r="AB1124" s="242"/>
    </row>
    <row r="1125" hidden="1">
      <c r="A1125" s="244" t="s">
        <v>5787</v>
      </c>
      <c r="B1125" s="245" t="str">
        <f>VLOOKUP(A1125,'تجربه‌گرها'!B:C,2,FALSE())</f>
        <v>989123908940</v>
      </c>
      <c r="C1125" s="242"/>
      <c r="D1125" s="242">
        <f t="shared" si="1"/>
        <v>1</v>
      </c>
      <c r="E1125" s="242">
        <f>COUNTIFS('تجربه‌گرها'!$B:$B,$A1125,'تجربه‌گرها'!$F:$F,E$1)</f>
        <v>0</v>
      </c>
      <c r="F1125" s="242">
        <f>COUNTIFS('تجربه‌گرها'!$B:$B,$A1125,'تجربه‌گرها'!$F:$F,F$1)</f>
        <v>0</v>
      </c>
      <c r="G1125" s="242">
        <f>COUNTIFS('تجربه‌گرها'!$B:$B,$A1125,'تجربه‌گرها'!$F:$F,G$1)</f>
        <v>0</v>
      </c>
      <c r="H1125" s="242">
        <f>COUNTIFS('تجربه‌گرها'!$B:$B,$A1125,'تجربه‌گرها'!$F:$F,H$1)</f>
        <v>0</v>
      </c>
      <c r="I1125" s="242">
        <f>COUNTIFS('تجربه‌گرها'!$B:$B,$A1125,'تجربه‌گرها'!$F:$F,I$1)</f>
        <v>0</v>
      </c>
      <c r="J1125" s="242">
        <f>COUNTIFS('تجربه‌گرها'!$B:$B,$A1125,'تجربه‌گرها'!$F:$F,J$1)</f>
        <v>0</v>
      </c>
      <c r="K1125" s="242">
        <f>COUNTIFS('تجربه‌گرها'!$B:$B,$A1125,'تجربه‌گرها'!$F:$F,K$1)</f>
        <v>0</v>
      </c>
      <c r="L1125" s="242">
        <f>COUNTIFS('تجربه‌گرها'!$B:$B,$A1125,'تجربه‌گرها'!$F:$F,L$1)</f>
        <v>0</v>
      </c>
      <c r="M1125" s="242">
        <f>COUNTIFS('تجربه‌گرها'!$B:$B,$A1125,'تجربه‌گرها'!$F:$F,M$1)</f>
        <v>0</v>
      </c>
      <c r="N1125" s="242">
        <f>COUNTIFS('تجربه‌گرها'!$B:$B,$A1125,'تجربه‌گرها'!$F:$F,N$1)</f>
        <v>1</v>
      </c>
      <c r="O1125" s="242">
        <f>COUNTIFS('تجربه‌گرها'!$B:$B,$A1125,'تجربه‌گرها'!$F:$F,O$1)</f>
        <v>0</v>
      </c>
      <c r="P1125" s="242">
        <f>COUNTIFS('تجربه‌گرها'!$B:$B,$A1125,'تجربه‌گرها'!$F:$F,P$1)</f>
        <v>0</v>
      </c>
      <c r="Q1125" s="242">
        <f>COUNTIFS('تجربه‌گرها'!$B:$B,$A1125,'تجربه‌گرها'!$F:$F,Q$1)</f>
        <v>0</v>
      </c>
      <c r="R1125" s="242">
        <f>COUNTIFS('تجربه‌گرها'!$B:$B,$A1125,'تجربه‌گرها'!$F:$F,R$1)</f>
        <v>0</v>
      </c>
      <c r="S1125" s="242">
        <f>COUNTIFS('تجربه‌گرها'!$B:$B,$A1125,'تجربه‌گرها'!$F:$F,S$1)</f>
        <v>0</v>
      </c>
      <c r="T1125" s="242">
        <f>COUNTIFS('تجربه‌گرها'!$B:$B,$A1125,'تجربه‌گرها'!$F:$F,T$1)</f>
        <v>0</v>
      </c>
      <c r="U1125" s="242"/>
      <c r="V1125" s="242"/>
      <c r="W1125" s="242"/>
      <c r="X1125" s="242"/>
      <c r="Y1125" s="242"/>
      <c r="Z1125" s="242"/>
      <c r="AA1125" s="242"/>
      <c r="AB1125" s="242"/>
    </row>
    <row r="1126">
      <c r="A1126" s="244" t="s">
        <v>5790</v>
      </c>
      <c r="B1126" s="245" t="str">
        <f>VLOOKUP(A1126,'تجربه‌گرها'!B:C,2,FALSE())</f>
        <v>9102330291</v>
      </c>
      <c r="C1126" s="242"/>
      <c r="D1126" s="242">
        <f t="shared" si="1"/>
        <v>1</v>
      </c>
      <c r="E1126" s="242">
        <f>COUNTIFS('تجربه‌گرها'!$B:$B,$A1126,'تجربه‌گرها'!$F:$F,E$1)</f>
        <v>0</v>
      </c>
      <c r="F1126" s="242">
        <f>COUNTIFS('تجربه‌گرها'!$B:$B,$A1126,'تجربه‌گرها'!$F:$F,F$1)</f>
        <v>0</v>
      </c>
      <c r="G1126" s="242">
        <f>COUNTIFS('تجربه‌گرها'!$B:$B,$A1126,'تجربه‌گرها'!$F:$F,G$1)</f>
        <v>0</v>
      </c>
      <c r="H1126" s="242">
        <f>COUNTIFS('تجربه‌گرها'!$B:$B,$A1126,'تجربه‌گرها'!$F:$F,H$1)</f>
        <v>0</v>
      </c>
      <c r="I1126" s="242">
        <f>COUNTIFS('تجربه‌گرها'!$B:$B,$A1126,'تجربه‌گرها'!$F:$F,I$1)</f>
        <v>0</v>
      </c>
      <c r="J1126" s="242">
        <f>COUNTIFS('تجربه‌گرها'!$B:$B,$A1126,'تجربه‌گرها'!$F:$F,J$1)</f>
        <v>0</v>
      </c>
      <c r="K1126" s="242">
        <f>COUNTIFS('تجربه‌گرها'!$B:$B,$A1126,'تجربه‌گرها'!$F:$F,K$1)</f>
        <v>0</v>
      </c>
      <c r="L1126" s="242">
        <f>COUNTIFS('تجربه‌گرها'!$B:$B,$A1126,'تجربه‌گرها'!$F:$F,L$1)</f>
        <v>0</v>
      </c>
      <c r="M1126" s="242">
        <f>COUNTIFS('تجربه‌گرها'!$B:$B,$A1126,'تجربه‌گرها'!$F:$F,M$1)</f>
        <v>0</v>
      </c>
      <c r="N1126" s="242">
        <f>COUNTIFS('تجربه‌گرها'!$B:$B,$A1126,'تجربه‌گرها'!$F:$F,N$1)</f>
        <v>1</v>
      </c>
      <c r="O1126" s="242">
        <f>COUNTIFS('تجربه‌گرها'!$B:$B,$A1126,'تجربه‌گرها'!$F:$F,O$1)</f>
        <v>0</v>
      </c>
      <c r="P1126" s="242">
        <f>COUNTIFS('تجربه‌گرها'!$B:$B,$A1126,'تجربه‌گرها'!$F:$F,P$1)</f>
        <v>0</v>
      </c>
      <c r="Q1126" s="242">
        <f>COUNTIFS('تجربه‌گرها'!$B:$B,$A1126,'تجربه‌گرها'!$F:$F,Q$1)</f>
        <v>0</v>
      </c>
      <c r="R1126" s="242">
        <f>COUNTIFS('تجربه‌گرها'!$B:$B,$A1126,'تجربه‌گرها'!$F:$F,R$1)</f>
        <v>0</v>
      </c>
      <c r="S1126" s="242">
        <f>COUNTIFS('تجربه‌گرها'!$B:$B,$A1126,'تجربه‌گرها'!$F:$F,S$1)</f>
        <v>0</v>
      </c>
      <c r="T1126" s="242">
        <f>COUNTIFS('تجربه‌گرها'!$B:$B,$A1126,'تجربه‌گرها'!$F:$F,T$1)</f>
        <v>0</v>
      </c>
      <c r="U1126" s="242"/>
      <c r="V1126" s="242"/>
      <c r="W1126" s="242"/>
      <c r="X1126" s="242"/>
      <c r="Y1126" s="242"/>
      <c r="Z1126" s="242"/>
      <c r="AA1126" s="242"/>
      <c r="AB1126" s="242"/>
    </row>
    <row r="1127" hidden="1">
      <c r="A1127" s="244" t="s">
        <v>5793</v>
      </c>
      <c r="B1127" s="245" t="str">
        <f>VLOOKUP(A1127,'تجربه‌گرها'!B:C,2,FALSE())</f>
        <v>989126066435</v>
      </c>
      <c r="C1127" s="242"/>
      <c r="D1127" s="242">
        <f t="shared" si="1"/>
        <v>1</v>
      </c>
      <c r="E1127" s="242">
        <f>COUNTIFS('تجربه‌گرها'!$B:$B,$A1127,'تجربه‌گرها'!$F:$F,E$1)</f>
        <v>0</v>
      </c>
      <c r="F1127" s="242">
        <f>COUNTIFS('تجربه‌گرها'!$B:$B,$A1127,'تجربه‌گرها'!$F:$F,F$1)</f>
        <v>0</v>
      </c>
      <c r="G1127" s="242">
        <f>COUNTIFS('تجربه‌گرها'!$B:$B,$A1127,'تجربه‌گرها'!$F:$F,G$1)</f>
        <v>0</v>
      </c>
      <c r="H1127" s="242">
        <f>COUNTIFS('تجربه‌گرها'!$B:$B,$A1127,'تجربه‌گرها'!$F:$F,H$1)</f>
        <v>0</v>
      </c>
      <c r="I1127" s="242">
        <f>COUNTIFS('تجربه‌گرها'!$B:$B,$A1127,'تجربه‌گرها'!$F:$F,I$1)</f>
        <v>0</v>
      </c>
      <c r="J1127" s="242">
        <f>COUNTIFS('تجربه‌گرها'!$B:$B,$A1127,'تجربه‌گرها'!$F:$F,J$1)</f>
        <v>0</v>
      </c>
      <c r="K1127" s="242">
        <f>COUNTIFS('تجربه‌گرها'!$B:$B,$A1127,'تجربه‌گرها'!$F:$F,K$1)</f>
        <v>0</v>
      </c>
      <c r="L1127" s="242">
        <f>COUNTIFS('تجربه‌گرها'!$B:$B,$A1127,'تجربه‌گرها'!$F:$F,L$1)</f>
        <v>0</v>
      </c>
      <c r="M1127" s="242">
        <f>COUNTIFS('تجربه‌گرها'!$B:$B,$A1127,'تجربه‌گرها'!$F:$F,M$1)</f>
        <v>0</v>
      </c>
      <c r="N1127" s="242">
        <f>COUNTIFS('تجربه‌گرها'!$B:$B,$A1127,'تجربه‌گرها'!$F:$F,N$1)</f>
        <v>1</v>
      </c>
      <c r="O1127" s="242">
        <f>COUNTIFS('تجربه‌گرها'!$B:$B,$A1127,'تجربه‌گرها'!$F:$F,O$1)</f>
        <v>0</v>
      </c>
      <c r="P1127" s="242">
        <f>COUNTIFS('تجربه‌گرها'!$B:$B,$A1127,'تجربه‌گرها'!$F:$F,P$1)</f>
        <v>0</v>
      </c>
      <c r="Q1127" s="242">
        <f>COUNTIFS('تجربه‌گرها'!$B:$B,$A1127,'تجربه‌گرها'!$F:$F,Q$1)</f>
        <v>0</v>
      </c>
      <c r="R1127" s="242">
        <f>COUNTIFS('تجربه‌گرها'!$B:$B,$A1127,'تجربه‌گرها'!$F:$F,R$1)</f>
        <v>0</v>
      </c>
      <c r="S1127" s="242">
        <f>COUNTIFS('تجربه‌گرها'!$B:$B,$A1127,'تجربه‌گرها'!$F:$F,S$1)</f>
        <v>0</v>
      </c>
      <c r="T1127" s="242">
        <f>COUNTIFS('تجربه‌گرها'!$B:$B,$A1127,'تجربه‌گرها'!$F:$F,T$1)</f>
        <v>0</v>
      </c>
      <c r="U1127" s="242"/>
      <c r="V1127" s="242"/>
      <c r="W1127" s="242"/>
      <c r="X1127" s="242"/>
      <c r="Y1127" s="242"/>
      <c r="Z1127" s="242"/>
      <c r="AA1127" s="242"/>
      <c r="AB1127" s="242"/>
    </row>
    <row r="1128" hidden="1">
      <c r="A1128" s="244" t="s">
        <v>5795</v>
      </c>
      <c r="B1128" s="245" t="str">
        <f>VLOOKUP(A1128,'تجربه‌گرها'!B:C,2,FALSE())</f>
        <v>989352489824</v>
      </c>
      <c r="C1128" s="242"/>
      <c r="D1128" s="242">
        <f t="shared" si="1"/>
        <v>1</v>
      </c>
      <c r="E1128" s="242">
        <f>COUNTIFS('تجربه‌گرها'!$B:$B,$A1128,'تجربه‌گرها'!$F:$F,E$1)</f>
        <v>0</v>
      </c>
      <c r="F1128" s="242">
        <f>COUNTIFS('تجربه‌گرها'!$B:$B,$A1128,'تجربه‌گرها'!$F:$F,F$1)</f>
        <v>0</v>
      </c>
      <c r="G1128" s="242">
        <f>COUNTIFS('تجربه‌گرها'!$B:$B,$A1128,'تجربه‌گرها'!$F:$F,G$1)</f>
        <v>0</v>
      </c>
      <c r="H1128" s="242">
        <f>COUNTIFS('تجربه‌گرها'!$B:$B,$A1128,'تجربه‌گرها'!$F:$F,H$1)</f>
        <v>0</v>
      </c>
      <c r="I1128" s="242">
        <f>COUNTIFS('تجربه‌گرها'!$B:$B,$A1128,'تجربه‌گرها'!$F:$F,I$1)</f>
        <v>0</v>
      </c>
      <c r="J1128" s="242">
        <f>COUNTIFS('تجربه‌گرها'!$B:$B,$A1128,'تجربه‌گرها'!$F:$F,J$1)</f>
        <v>0</v>
      </c>
      <c r="K1128" s="242">
        <f>COUNTIFS('تجربه‌گرها'!$B:$B,$A1128,'تجربه‌گرها'!$F:$F,K$1)</f>
        <v>0</v>
      </c>
      <c r="L1128" s="242">
        <f>COUNTIFS('تجربه‌گرها'!$B:$B,$A1128,'تجربه‌گرها'!$F:$F,L$1)</f>
        <v>0</v>
      </c>
      <c r="M1128" s="242">
        <f>COUNTIFS('تجربه‌گرها'!$B:$B,$A1128,'تجربه‌گرها'!$F:$F,M$1)</f>
        <v>0</v>
      </c>
      <c r="N1128" s="242">
        <f>COUNTIFS('تجربه‌گرها'!$B:$B,$A1128,'تجربه‌گرها'!$F:$F,N$1)</f>
        <v>1</v>
      </c>
      <c r="O1128" s="242">
        <f>COUNTIFS('تجربه‌گرها'!$B:$B,$A1128,'تجربه‌گرها'!$F:$F,O$1)</f>
        <v>0</v>
      </c>
      <c r="P1128" s="242">
        <f>COUNTIFS('تجربه‌گرها'!$B:$B,$A1128,'تجربه‌گرها'!$F:$F,P$1)</f>
        <v>0</v>
      </c>
      <c r="Q1128" s="242">
        <f>COUNTIFS('تجربه‌گرها'!$B:$B,$A1128,'تجربه‌گرها'!$F:$F,Q$1)</f>
        <v>0</v>
      </c>
      <c r="R1128" s="242">
        <f>COUNTIFS('تجربه‌گرها'!$B:$B,$A1128,'تجربه‌گرها'!$F:$F,R$1)</f>
        <v>0</v>
      </c>
      <c r="S1128" s="242">
        <f>COUNTIFS('تجربه‌گرها'!$B:$B,$A1128,'تجربه‌گرها'!$F:$F,S$1)</f>
        <v>0</v>
      </c>
      <c r="T1128" s="242">
        <f>COUNTIFS('تجربه‌گرها'!$B:$B,$A1128,'تجربه‌گرها'!$F:$F,T$1)</f>
        <v>0</v>
      </c>
      <c r="U1128" s="242"/>
      <c r="V1128" s="242"/>
      <c r="W1128" s="242"/>
      <c r="X1128" s="242"/>
      <c r="Y1128" s="242"/>
      <c r="Z1128" s="242"/>
      <c r="AA1128" s="242"/>
      <c r="AB1128" s="242"/>
    </row>
    <row r="1129" hidden="1">
      <c r="A1129" s="244" t="s">
        <v>5798</v>
      </c>
      <c r="B1129" s="245" t="str">
        <f>VLOOKUP(A1129,'تجربه‌گرها'!B:C,2,FALSE())</f>
        <v>989919191746</v>
      </c>
      <c r="C1129" s="242"/>
      <c r="D1129" s="242">
        <f t="shared" si="1"/>
        <v>3</v>
      </c>
      <c r="E1129" s="242">
        <f>COUNTIFS('تجربه‌گرها'!$B:$B,$A1129,'تجربه‌گرها'!$F:$F,E$1)</f>
        <v>0</v>
      </c>
      <c r="F1129" s="242">
        <f>COUNTIFS('تجربه‌گرها'!$B:$B,$A1129,'تجربه‌گرها'!$F:$F,F$1)</f>
        <v>0</v>
      </c>
      <c r="G1129" s="242">
        <f>COUNTIFS('تجربه‌گرها'!$B:$B,$A1129,'تجربه‌گرها'!$F:$F,G$1)</f>
        <v>0</v>
      </c>
      <c r="H1129" s="242">
        <f>COUNTIFS('تجربه‌گرها'!$B:$B,$A1129,'تجربه‌گرها'!$F:$F,H$1)</f>
        <v>0</v>
      </c>
      <c r="I1129" s="242">
        <f>COUNTIFS('تجربه‌گرها'!$B:$B,$A1129,'تجربه‌گرها'!$F:$F,I$1)</f>
        <v>0</v>
      </c>
      <c r="J1129" s="242">
        <f>COUNTIFS('تجربه‌گرها'!$B:$B,$A1129,'تجربه‌گرها'!$F:$F,J$1)</f>
        <v>0</v>
      </c>
      <c r="K1129" s="242">
        <f>COUNTIFS('تجربه‌گرها'!$B:$B,$A1129,'تجربه‌گرها'!$F:$F,K$1)</f>
        <v>0</v>
      </c>
      <c r="L1129" s="242">
        <f>COUNTIFS('تجربه‌گرها'!$B:$B,$A1129,'تجربه‌گرها'!$F:$F,L$1)</f>
        <v>0</v>
      </c>
      <c r="M1129" s="242">
        <f>COUNTIFS('تجربه‌گرها'!$B:$B,$A1129,'تجربه‌گرها'!$F:$F,M$1)</f>
        <v>0</v>
      </c>
      <c r="N1129" s="242">
        <f>COUNTIFS('تجربه‌گرها'!$B:$B,$A1129,'تجربه‌گرها'!$F:$F,N$1)</f>
        <v>1</v>
      </c>
      <c r="O1129" s="242">
        <f>COUNTIFS('تجربه‌گرها'!$B:$B,$A1129,'تجربه‌گرها'!$F:$F,O$1)</f>
        <v>0</v>
      </c>
      <c r="P1129" s="242">
        <f>COUNTIFS('تجربه‌گرها'!$B:$B,$A1129,'تجربه‌گرها'!$F:$F,P$1)</f>
        <v>1</v>
      </c>
      <c r="Q1129" s="242">
        <f>COUNTIFS('تجربه‌گرها'!$B:$B,$A1129,'تجربه‌گرها'!$F:$F,Q$1)</f>
        <v>1</v>
      </c>
      <c r="R1129" s="242">
        <f>COUNTIFS('تجربه‌گرها'!$B:$B,$A1129,'تجربه‌گرها'!$F:$F,R$1)</f>
        <v>0</v>
      </c>
      <c r="S1129" s="242">
        <f>COUNTIFS('تجربه‌گرها'!$B:$B,$A1129,'تجربه‌گرها'!$F:$F,S$1)</f>
        <v>0</v>
      </c>
      <c r="T1129" s="242">
        <f>COUNTIFS('تجربه‌گرها'!$B:$B,$A1129,'تجربه‌گرها'!$F:$F,T$1)</f>
        <v>0</v>
      </c>
      <c r="U1129" s="242"/>
      <c r="V1129" s="242"/>
      <c r="W1129" s="242"/>
      <c r="X1129" s="242"/>
      <c r="Y1129" s="242"/>
      <c r="Z1129" s="242"/>
      <c r="AA1129" s="242"/>
      <c r="AB1129" s="242"/>
    </row>
    <row r="1130" hidden="1">
      <c r="A1130" s="244" t="s">
        <v>5800</v>
      </c>
      <c r="B1130" s="245" t="str">
        <f>VLOOKUP(A1130,'تجربه‌گرها'!B:C,2,FALSE())</f>
        <v>989128474714</v>
      </c>
      <c r="C1130" s="242"/>
      <c r="D1130" s="242">
        <f t="shared" si="1"/>
        <v>1</v>
      </c>
      <c r="E1130" s="242">
        <f>COUNTIFS('تجربه‌گرها'!$B:$B,$A1130,'تجربه‌گرها'!$F:$F,E$1)</f>
        <v>0</v>
      </c>
      <c r="F1130" s="242">
        <f>COUNTIFS('تجربه‌گرها'!$B:$B,$A1130,'تجربه‌گرها'!$F:$F,F$1)</f>
        <v>0</v>
      </c>
      <c r="G1130" s="242">
        <f>COUNTIFS('تجربه‌گرها'!$B:$B,$A1130,'تجربه‌گرها'!$F:$F,G$1)</f>
        <v>0</v>
      </c>
      <c r="H1130" s="242">
        <f>COUNTIFS('تجربه‌گرها'!$B:$B,$A1130,'تجربه‌گرها'!$F:$F,H$1)</f>
        <v>0</v>
      </c>
      <c r="I1130" s="242">
        <f>COUNTIFS('تجربه‌گرها'!$B:$B,$A1130,'تجربه‌گرها'!$F:$F,I$1)</f>
        <v>0</v>
      </c>
      <c r="J1130" s="242">
        <f>COUNTIFS('تجربه‌گرها'!$B:$B,$A1130,'تجربه‌گرها'!$F:$F,J$1)</f>
        <v>0</v>
      </c>
      <c r="K1130" s="242">
        <f>COUNTIFS('تجربه‌گرها'!$B:$B,$A1130,'تجربه‌گرها'!$F:$F,K$1)</f>
        <v>0</v>
      </c>
      <c r="L1130" s="242">
        <f>COUNTIFS('تجربه‌گرها'!$B:$B,$A1130,'تجربه‌گرها'!$F:$F,L$1)</f>
        <v>0</v>
      </c>
      <c r="M1130" s="242">
        <f>COUNTIFS('تجربه‌گرها'!$B:$B,$A1130,'تجربه‌گرها'!$F:$F,M$1)</f>
        <v>0</v>
      </c>
      <c r="N1130" s="242">
        <f>COUNTIFS('تجربه‌گرها'!$B:$B,$A1130,'تجربه‌گرها'!$F:$F,N$1)</f>
        <v>1</v>
      </c>
      <c r="O1130" s="242">
        <f>COUNTIFS('تجربه‌گرها'!$B:$B,$A1130,'تجربه‌گرها'!$F:$F,O$1)</f>
        <v>0</v>
      </c>
      <c r="P1130" s="242">
        <f>COUNTIFS('تجربه‌گرها'!$B:$B,$A1130,'تجربه‌گرها'!$F:$F,P$1)</f>
        <v>0</v>
      </c>
      <c r="Q1130" s="242">
        <f>COUNTIFS('تجربه‌گرها'!$B:$B,$A1130,'تجربه‌گرها'!$F:$F,Q$1)</f>
        <v>0</v>
      </c>
      <c r="R1130" s="242">
        <f>COUNTIFS('تجربه‌گرها'!$B:$B,$A1130,'تجربه‌گرها'!$F:$F,R$1)</f>
        <v>0</v>
      </c>
      <c r="S1130" s="242">
        <f>COUNTIFS('تجربه‌گرها'!$B:$B,$A1130,'تجربه‌گرها'!$F:$F,S$1)</f>
        <v>0</v>
      </c>
      <c r="T1130" s="242">
        <f>COUNTIFS('تجربه‌گرها'!$B:$B,$A1130,'تجربه‌گرها'!$F:$F,T$1)</f>
        <v>0</v>
      </c>
      <c r="U1130" s="242"/>
      <c r="V1130" s="242"/>
      <c r="W1130" s="242"/>
      <c r="X1130" s="242"/>
      <c r="Y1130" s="242"/>
      <c r="Z1130" s="242"/>
      <c r="AA1130" s="242"/>
      <c r="AB1130" s="242"/>
    </row>
    <row r="1131">
      <c r="A1131" s="244" t="s">
        <v>5802</v>
      </c>
      <c r="B1131" s="245" t="str">
        <f>VLOOKUP(A1131,'تجربه‌گرها'!B:C,2,FALSE())</f>
        <v>989121386329</v>
      </c>
      <c r="C1131" s="242"/>
      <c r="D1131" s="242">
        <f t="shared" si="1"/>
        <v>1</v>
      </c>
      <c r="E1131" s="242">
        <f>COUNTIFS('تجربه‌گرها'!$B:$B,$A1131,'تجربه‌گرها'!$F:$F,E$1)</f>
        <v>0</v>
      </c>
      <c r="F1131" s="242">
        <f>COUNTIFS('تجربه‌گرها'!$B:$B,$A1131,'تجربه‌گرها'!$F:$F,F$1)</f>
        <v>0</v>
      </c>
      <c r="G1131" s="242">
        <f>COUNTIFS('تجربه‌گرها'!$B:$B,$A1131,'تجربه‌گرها'!$F:$F,G$1)</f>
        <v>0</v>
      </c>
      <c r="H1131" s="242">
        <f>COUNTIFS('تجربه‌گرها'!$B:$B,$A1131,'تجربه‌گرها'!$F:$F,H$1)</f>
        <v>0</v>
      </c>
      <c r="I1131" s="242">
        <f>COUNTIFS('تجربه‌گرها'!$B:$B,$A1131,'تجربه‌گرها'!$F:$F,I$1)</f>
        <v>0</v>
      </c>
      <c r="J1131" s="242">
        <f>COUNTIFS('تجربه‌گرها'!$B:$B,$A1131,'تجربه‌گرها'!$F:$F,J$1)</f>
        <v>0</v>
      </c>
      <c r="K1131" s="242">
        <f>COUNTIFS('تجربه‌گرها'!$B:$B,$A1131,'تجربه‌گرها'!$F:$F,K$1)</f>
        <v>0</v>
      </c>
      <c r="L1131" s="242">
        <f>COUNTIFS('تجربه‌گرها'!$B:$B,$A1131,'تجربه‌گرها'!$F:$F,L$1)</f>
        <v>0</v>
      </c>
      <c r="M1131" s="242">
        <f>COUNTIFS('تجربه‌گرها'!$B:$B,$A1131,'تجربه‌گرها'!$F:$F,M$1)</f>
        <v>0</v>
      </c>
      <c r="N1131" s="242">
        <f>COUNTIFS('تجربه‌گرها'!$B:$B,$A1131,'تجربه‌گرها'!$F:$F,N$1)</f>
        <v>1</v>
      </c>
      <c r="O1131" s="242">
        <f>COUNTIFS('تجربه‌گرها'!$B:$B,$A1131,'تجربه‌گرها'!$F:$F,O$1)</f>
        <v>0</v>
      </c>
      <c r="P1131" s="242">
        <f>COUNTIFS('تجربه‌گرها'!$B:$B,$A1131,'تجربه‌گرها'!$F:$F,P$1)</f>
        <v>0</v>
      </c>
      <c r="Q1131" s="242">
        <f>COUNTIFS('تجربه‌گرها'!$B:$B,$A1131,'تجربه‌گرها'!$F:$F,Q$1)</f>
        <v>0</v>
      </c>
      <c r="R1131" s="242">
        <f>COUNTIFS('تجربه‌گرها'!$B:$B,$A1131,'تجربه‌گرها'!$F:$F,R$1)</f>
        <v>0</v>
      </c>
      <c r="S1131" s="242">
        <f>COUNTIFS('تجربه‌گرها'!$B:$B,$A1131,'تجربه‌گرها'!$F:$F,S$1)</f>
        <v>0</v>
      </c>
      <c r="T1131" s="242">
        <f>COUNTIFS('تجربه‌گرها'!$B:$B,$A1131,'تجربه‌گرها'!$F:$F,T$1)</f>
        <v>0</v>
      </c>
      <c r="U1131" s="242"/>
      <c r="V1131" s="242"/>
      <c r="W1131" s="242"/>
      <c r="X1131" s="242"/>
      <c r="Y1131" s="242"/>
      <c r="Z1131" s="242"/>
      <c r="AA1131" s="242"/>
      <c r="AB1131" s="242"/>
    </row>
    <row r="1132" hidden="1">
      <c r="A1132" s="244" t="s">
        <v>5804</v>
      </c>
      <c r="B1132" s="245" t="str">
        <f>VLOOKUP(A1132,'تجربه‌گرها'!B:C,2,FALSE())</f>
        <v>989133333558</v>
      </c>
      <c r="C1132" s="242"/>
      <c r="D1132" s="242">
        <f t="shared" si="1"/>
        <v>1</v>
      </c>
      <c r="E1132" s="242">
        <f>COUNTIFS('تجربه‌گرها'!$B:$B,$A1132,'تجربه‌گرها'!$F:$F,E$1)</f>
        <v>0</v>
      </c>
      <c r="F1132" s="242">
        <f>COUNTIFS('تجربه‌گرها'!$B:$B,$A1132,'تجربه‌گرها'!$F:$F,F$1)</f>
        <v>0</v>
      </c>
      <c r="G1132" s="242">
        <f>COUNTIFS('تجربه‌گرها'!$B:$B,$A1132,'تجربه‌گرها'!$F:$F,G$1)</f>
        <v>0</v>
      </c>
      <c r="H1132" s="242">
        <f>COUNTIFS('تجربه‌گرها'!$B:$B,$A1132,'تجربه‌گرها'!$F:$F,H$1)</f>
        <v>0</v>
      </c>
      <c r="I1132" s="242">
        <f>COUNTIFS('تجربه‌گرها'!$B:$B,$A1132,'تجربه‌گرها'!$F:$F,I$1)</f>
        <v>0</v>
      </c>
      <c r="J1132" s="242">
        <f>COUNTIFS('تجربه‌گرها'!$B:$B,$A1132,'تجربه‌گرها'!$F:$F,J$1)</f>
        <v>0</v>
      </c>
      <c r="K1132" s="242">
        <f>COUNTIFS('تجربه‌گرها'!$B:$B,$A1132,'تجربه‌گرها'!$F:$F,K$1)</f>
        <v>0</v>
      </c>
      <c r="L1132" s="242">
        <f>COUNTIFS('تجربه‌گرها'!$B:$B,$A1132,'تجربه‌گرها'!$F:$F,L$1)</f>
        <v>0</v>
      </c>
      <c r="M1132" s="242">
        <f>COUNTIFS('تجربه‌گرها'!$B:$B,$A1132,'تجربه‌گرها'!$F:$F,M$1)</f>
        <v>0</v>
      </c>
      <c r="N1132" s="242">
        <f>COUNTIFS('تجربه‌گرها'!$B:$B,$A1132,'تجربه‌گرها'!$F:$F,N$1)</f>
        <v>1</v>
      </c>
      <c r="O1132" s="242">
        <f>COUNTIFS('تجربه‌گرها'!$B:$B,$A1132,'تجربه‌گرها'!$F:$F,O$1)</f>
        <v>0</v>
      </c>
      <c r="P1132" s="242">
        <f>COUNTIFS('تجربه‌گرها'!$B:$B,$A1132,'تجربه‌گرها'!$F:$F,P$1)</f>
        <v>0</v>
      </c>
      <c r="Q1132" s="242">
        <f>COUNTIFS('تجربه‌گرها'!$B:$B,$A1132,'تجربه‌گرها'!$F:$F,Q$1)</f>
        <v>0</v>
      </c>
      <c r="R1132" s="242">
        <f>COUNTIFS('تجربه‌گرها'!$B:$B,$A1132,'تجربه‌گرها'!$F:$F,R$1)</f>
        <v>0</v>
      </c>
      <c r="S1132" s="242">
        <f>COUNTIFS('تجربه‌گرها'!$B:$B,$A1132,'تجربه‌گرها'!$F:$F,S$1)</f>
        <v>0</v>
      </c>
      <c r="T1132" s="242">
        <f>COUNTIFS('تجربه‌گرها'!$B:$B,$A1132,'تجربه‌گرها'!$F:$F,T$1)</f>
        <v>0</v>
      </c>
      <c r="U1132" s="242"/>
      <c r="V1132" s="242"/>
      <c r="W1132" s="242"/>
      <c r="X1132" s="242"/>
      <c r="Y1132" s="242"/>
      <c r="Z1132" s="242"/>
      <c r="AA1132" s="242"/>
      <c r="AB1132" s="242"/>
    </row>
    <row r="1133" hidden="1">
      <c r="A1133" s="244" t="s">
        <v>5807</v>
      </c>
      <c r="B1133" s="245" t="str">
        <f>VLOOKUP(A1133,'تجربه‌گرها'!B:C,2,FALSE())</f>
        <v>9122303296</v>
      </c>
      <c r="C1133" s="242"/>
      <c r="D1133" s="242">
        <f t="shared" si="1"/>
        <v>1</v>
      </c>
      <c r="E1133" s="242">
        <f>COUNTIFS('تجربه‌گرها'!$B:$B,$A1133,'تجربه‌گرها'!$F:$F,E$1)</f>
        <v>0</v>
      </c>
      <c r="F1133" s="242">
        <f>COUNTIFS('تجربه‌گرها'!$B:$B,$A1133,'تجربه‌گرها'!$F:$F,F$1)</f>
        <v>0</v>
      </c>
      <c r="G1133" s="242">
        <f>COUNTIFS('تجربه‌گرها'!$B:$B,$A1133,'تجربه‌گرها'!$F:$F,G$1)</f>
        <v>0</v>
      </c>
      <c r="H1133" s="242">
        <f>COUNTIFS('تجربه‌گرها'!$B:$B,$A1133,'تجربه‌گرها'!$F:$F,H$1)</f>
        <v>0</v>
      </c>
      <c r="I1133" s="242">
        <f>COUNTIFS('تجربه‌گرها'!$B:$B,$A1133,'تجربه‌گرها'!$F:$F,I$1)</f>
        <v>0</v>
      </c>
      <c r="J1133" s="242">
        <f>COUNTIFS('تجربه‌گرها'!$B:$B,$A1133,'تجربه‌گرها'!$F:$F,J$1)</f>
        <v>0</v>
      </c>
      <c r="K1133" s="242">
        <f>COUNTIFS('تجربه‌گرها'!$B:$B,$A1133,'تجربه‌گرها'!$F:$F,K$1)</f>
        <v>0</v>
      </c>
      <c r="L1133" s="242">
        <f>COUNTIFS('تجربه‌گرها'!$B:$B,$A1133,'تجربه‌گرها'!$F:$F,L$1)</f>
        <v>0</v>
      </c>
      <c r="M1133" s="242">
        <f>COUNTIFS('تجربه‌گرها'!$B:$B,$A1133,'تجربه‌گرها'!$F:$F,M$1)</f>
        <v>0</v>
      </c>
      <c r="N1133" s="242">
        <f>COUNTIFS('تجربه‌گرها'!$B:$B,$A1133,'تجربه‌گرها'!$F:$F,N$1)</f>
        <v>1</v>
      </c>
      <c r="O1133" s="242">
        <f>COUNTIFS('تجربه‌گرها'!$B:$B,$A1133,'تجربه‌گرها'!$F:$F,O$1)</f>
        <v>0</v>
      </c>
      <c r="P1133" s="242">
        <f>COUNTIFS('تجربه‌گرها'!$B:$B,$A1133,'تجربه‌گرها'!$F:$F,P$1)</f>
        <v>0</v>
      </c>
      <c r="Q1133" s="242">
        <f>COUNTIFS('تجربه‌گرها'!$B:$B,$A1133,'تجربه‌گرها'!$F:$F,Q$1)</f>
        <v>0</v>
      </c>
      <c r="R1133" s="242">
        <f>COUNTIFS('تجربه‌گرها'!$B:$B,$A1133,'تجربه‌گرها'!$F:$F,R$1)</f>
        <v>0</v>
      </c>
      <c r="S1133" s="242">
        <f>COUNTIFS('تجربه‌گرها'!$B:$B,$A1133,'تجربه‌گرها'!$F:$F,S$1)</f>
        <v>0</v>
      </c>
      <c r="T1133" s="242">
        <f>COUNTIFS('تجربه‌گرها'!$B:$B,$A1133,'تجربه‌گرها'!$F:$F,T$1)</f>
        <v>0</v>
      </c>
      <c r="U1133" s="242"/>
      <c r="V1133" s="242"/>
      <c r="W1133" s="242"/>
      <c r="X1133" s="242"/>
      <c r="Y1133" s="242"/>
      <c r="Z1133" s="242"/>
      <c r="AA1133" s="242"/>
      <c r="AB1133" s="242"/>
    </row>
    <row r="1134" hidden="1">
      <c r="A1134" s="244" t="s">
        <v>5810</v>
      </c>
      <c r="B1134" s="245" t="str">
        <f>VLOOKUP(A1134,'تجربه‌گرها'!B:C,2,FALSE())</f>
        <v>9129330513</v>
      </c>
      <c r="C1134" s="242"/>
      <c r="D1134" s="242">
        <f t="shared" si="1"/>
        <v>1</v>
      </c>
      <c r="E1134" s="242">
        <f>COUNTIFS('تجربه‌گرها'!$B:$B,$A1134,'تجربه‌گرها'!$F:$F,E$1)</f>
        <v>0</v>
      </c>
      <c r="F1134" s="242">
        <f>COUNTIFS('تجربه‌گرها'!$B:$B,$A1134,'تجربه‌گرها'!$F:$F,F$1)</f>
        <v>0</v>
      </c>
      <c r="G1134" s="242">
        <f>COUNTIFS('تجربه‌گرها'!$B:$B,$A1134,'تجربه‌گرها'!$F:$F,G$1)</f>
        <v>0</v>
      </c>
      <c r="H1134" s="242">
        <f>COUNTIFS('تجربه‌گرها'!$B:$B,$A1134,'تجربه‌گرها'!$F:$F,H$1)</f>
        <v>0</v>
      </c>
      <c r="I1134" s="242">
        <f>COUNTIFS('تجربه‌گرها'!$B:$B,$A1134,'تجربه‌گرها'!$F:$F,I$1)</f>
        <v>0</v>
      </c>
      <c r="J1134" s="242">
        <f>COUNTIFS('تجربه‌گرها'!$B:$B,$A1134,'تجربه‌گرها'!$F:$F,J$1)</f>
        <v>0</v>
      </c>
      <c r="K1134" s="242">
        <f>COUNTIFS('تجربه‌گرها'!$B:$B,$A1134,'تجربه‌گرها'!$F:$F,K$1)</f>
        <v>0</v>
      </c>
      <c r="L1134" s="242">
        <f>COUNTIFS('تجربه‌گرها'!$B:$B,$A1134,'تجربه‌گرها'!$F:$F,L$1)</f>
        <v>0</v>
      </c>
      <c r="M1134" s="242">
        <f>COUNTIFS('تجربه‌گرها'!$B:$B,$A1134,'تجربه‌گرها'!$F:$F,M$1)</f>
        <v>0</v>
      </c>
      <c r="N1134" s="242">
        <f>COUNTIFS('تجربه‌گرها'!$B:$B,$A1134,'تجربه‌گرها'!$F:$F,N$1)</f>
        <v>1</v>
      </c>
      <c r="O1134" s="242">
        <f>COUNTIFS('تجربه‌گرها'!$B:$B,$A1134,'تجربه‌گرها'!$F:$F,O$1)</f>
        <v>0</v>
      </c>
      <c r="P1134" s="242">
        <f>COUNTIFS('تجربه‌گرها'!$B:$B,$A1134,'تجربه‌گرها'!$F:$F,P$1)</f>
        <v>0</v>
      </c>
      <c r="Q1134" s="242">
        <f>COUNTIFS('تجربه‌گرها'!$B:$B,$A1134,'تجربه‌گرها'!$F:$F,Q$1)</f>
        <v>0</v>
      </c>
      <c r="R1134" s="242">
        <f>COUNTIFS('تجربه‌گرها'!$B:$B,$A1134,'تجربه‌گرها'!$F:$F,R$1)</f>
        <v>0</v>
      </c>
      <c r="S1134" s="242">
        <f>COUNTIFS('تجربه‌گرها'!$B:$B,$A1134,'تجربه‌گرها'!$F:$F,S$1)</f>
        <v>0</v>
      </c>
      <c r="T1134" s="242">
        <f>COUNTIFS('تجربه‌گرها'!$B:$B,$A1134,'تجربه‌گرها'!$F:$F,T$1)</f>
        <v>0</v>
      </c>
      <c r="U1134" s="242"/>
      <c r="V1134" s="242"/>
      <c r="W1134" s="242"/>
      <c r="X1134" s="242"/>
      <c r="Y1134" s="242"/>
      <c r="Z1134" s="242"/>
      <c r="AA1134" s="242"/>
      <c r="AB1134" s="242"/>
    </row>
    <row r="1135" hidden="1">
      <c r="A1135" s="244" t="s">
        <v>5812</v>
      </c>
      <c r="B1135" s="245" t="str">
        <f>VLOOKUP(A1135,'تجربه‌گرها'!B:C,2,FALSE())</f>
        <v>989122452433</v>
      </c>
      <c r="C1135" s="242"/>
      <c r="D1135" s="242">
        <f t="shared" si="1"/>
        <v>1</v>
      </c>
      <c r="E1135" s="242">
        <f>COUNTIFS('تجربه‌گرها'!$B:$B,$A1135,'تجربه‌گرها'!$F:$F,E$1)</f>
        <v>0</v>
      </c>
      <c r="F1135" s="242">
        <f>COUNTIFS('تجربه‌گرها'!$B:$B,$A1135,'تجربه‌گرها'!$F:$F,F$1)</f>
        <v>0</v>
      </c>
      <c r="G1135" s="242">
        <f>COUNTIFS('تجربه‌گرها'!$B:$B,$A1135,'تجربه‌گرها'!$F:$F,G$1)</f>
        <v>0</v>
      </c>
      <c r="H1135" s="242">
        <f>COUNTIFS('تجربه‌گرها'!$B:$B,$A1135,'تجربه‌گرها'!$F:$F,H$1)</f>
        <v>0</v>
      </c>
      <c r="I1135" s="242">
        <f>COUNTIFS('تجربه‌گرها'!$B:$B,$A1135,'تجربه‌گرها'!$F:$F,I$1)</f>
        <v>0</v>
      </c>
      <c r="J1135" s="242">
        <f>COUNTIFS('تجربه‌گرها'!$B:$B,$A1135,'تجربه‌گرها'!$F:$F,J$1)</f>
        <v>0</v>
      </c>
      <c r="K1135" s="242">
        <f>COUNTIFS('تجربه‌گرها'!$B:$B,$A1135,'تجربه‌گرها'!$F:$F,K$1)</f>
        <v>0</v>
      </c>
      <c r="L1135" s="242">
        <f>COUNTIFS('تجربه‌گرها'!$B:$B,$A1135,'تجربه‌گرها'!$F:$F,L$1)</f>
        <v>0</v>
      </c>
      <c r="M1135" s="242">
        <f>COUNTIFS('تجربه‌گرها'!$B:$B,$A1135,'تجربه‌گرها'!$F:$F,M$1)</f>
        <v>0</v>
      </c>
      <c r="N1135" s="242">
        <f>COUNTIFS('تجربه‌گرها'!$B:$B,$A1135,'تجربه‌گرها'!$F:$F,N$1)</f>
        <v>1</v>
      </c>
      <c r="O1135" s="242">
        <f>COUNTIFS('تجربه‌گرها'!$B:$B,$A1135,'تجربه‌گرها'!$F:$F,O$1)</f>
        <v>0</v>
      </c>
      <c r="P1135" s="242">
        <f>COUNTIFS('تجربه‌گرها'!$B:$B,$A1135,'تجربه‌گرها'!$F:$F,P$1)</f>
        <v>0</v>
      </c>
      <c r="Q1135" s="242">
        <f>COUNTIFS('تجربه‌گرها'!$B:$B,$A1135,'تجربه‌گرها'!$F:$F,Q$1)</f>
        <v>0</v>
      </c>
      <c r="R1135" s="242">
        <f>COUNTIFS('تجربه‌گرها'!$B:$B,$A1135,'تجربه‌گرها'!$F:$F,R$1)</f>
        <v>0</v>
      </c>
      <c r="S1135" s="242">
        <f>COUNTIFS('تجربه‌گرها'!$B:$B,$A1135,'تجربه‌گرها'!$F:$F,S$1)</f>
        <v>0</v>
      </c>
      <c r="T1135" s="242">
        <f>COUNTIFS('تجربه‌گرها'!$B:$B,$A1135,'تجربه‌گرها'!$F:$F,T$1)</f>
        <v>0</v>
      </c>
      <c r="U1135" s="242"/>
      <c r="V1135" s="242"/>
      <c r="W1135" s="242"/>
      <c r="X1135" s="242"/>
      <c r="Y1135" s="242"/>
      <c r="Z1135" s="242"/>
      <c r="AA1135" s="242"/>
      <c r="AB1135" s="242"/>
    </row>
    <row r="1136" hidden="1">
      <c r="A1136" s="244" t="s">
        <v>5815</v>
      </c>
      <c r="B1136" s="245" t="str">
        <f>VLOOKUP(A1136,'تجربه‌گرها'!B:C,2,FALSE())</f>
        <v>989102123515</v>
      </c>
      <c r="C1136" s="242"/>
      <c r="D1136" s="242">
        <f t="shared" si="1"/>
        <v>1</v>
      </c>
      <c r="E1136" s="242">
        <f>COUNTIFS('تجربه‌گرها'!$B:$B,$A1136,'تجربه‌گرها'!$F:$F,E$1)</f>
        <v>0</v>
      </c>
      <c r="F1136" s="242">
        <f>COUNTIFS('تجربه‌گرها'!$B:$B,$A1136,'تجربه‌گرها'!$F:$F,F$1)</f>
        <v>0</v>
      </c>
      <c r="G1136" s="242">
        <f>COUNTIFS('تجربه‌گرها'!$B:$B,$A1136,'تجربه‌گرها'!$F:$F,G$1)</f>
        <v>0</v>
      </c>
      <c r="H1136" s="242">
        <f>COUNTIFS('تجربه‌گرها'!$B:$B,$A1136,'تجربه‌گرها'!$F:$F,H$1)</f>
        <v>0</v>
      </c>
      <c r="I1136" s="242">
        <f>COUNTIFS('تجربه‌گرها'!$B:$B,$A1136,'تجربه‌گرها'!$F:$F,I$1)</f>
        <v>0</v>
      </c>
      <c r="J1136" s="242">
        <f>COUNTIFS('تجربه‌گرها'!$B:$B,$A1136,'تجربه‌گرها'!$F:$F,J$1)</f>
        <v>0</v>
      </c>
      <c r="K1136" s="242">
        <f>COUNTIFS('تجربه‌گرها'!$B:$B,$A1136,'تجربه‌گرها'!$F:$F,K$1)</f>
        <v>0</v>
      </c>
      <c r="L1136" s="242">
        <f>COUNTIFS('تجربه‌گرها'!$B:$B,$A1136,'تجربه‌گرها'!$F:$F,L$1)</f>
        <v>0</v>
      </c>
      <c r="M1136" s="242">
        <f>COUNTIFS('تجربه‌گرها'!$B:$B,$A1136,'تجربه‌گرها'!$F:$F,M$1)</f>
        <v>0</v>
      </c>
      <c r="N1136" s="242">
        <f>COUNTIFS('تجربه‌گرها'!$B:$B,$A1136,'تجربه‌گرها'!$F:$F,N$1)</f>
        <v>1</v>
      </c>
      <c r="O1136" s="242">
        <f>COUNTIFS('تجربه‌گرها'!$B:$B,$A1136,'تجربه‌گرها'!$F:$F,O$1)</f>
        <v>0</v>
      </c>
      <c r="P1136" s="242">
        <f>COUNTIFS('تجربه‌گرها'!$B:$B,$A1136,'تجربه‌گرها'!$F:$F,P$1)</f>
        <v>0</v>
      </c>
      <c r="Q1136" s="242">
        <f>COUNTIFS('تجربه‌گرها'!$B:$B,$A1136,'تجربه‌گرها'!$F:$F,Q$1)</f>
        <v>0</v>
      </c>
      <c r="R1136" s="242">
        <f>COUNTIFS('تجربه‌گرها'!$B:$B,$A1136,'تجربه‌گرها'!$F:$F,R$1)</f>
        <v>0</v>
      </c>
      <c r="S1136" s="242">
        <f>COUNTIFS('تجربه‌گرها'!$B:$B,$A1136,'تجربه‌گرها'!$F:$F,S$1)</f>
        <v>0</v>
      </c>
      <c r="T1136" s="242">
        <f>COUNTIFS('تجربه‌گرها'!$B:$B,$A1136,'تجربه‌گرها'!$F:$F,T$1)</f>
        <v>0</v>
      </c>
      <c r="U1136" s="242"/>
      <c r="V1136" s="242"/>
      <c r="W1136" s="242"/>
      <c r="X1136" s="242"/>
      <c r="Y1136" s="242"/>
      <c r="Z1136" s="242"/>
      <c r="AA1136" s="242"/>
      <c r="AB1136" s="242"/>
    </row>
    <row r="1137">
      <c r="A1137" s="244" t="s">
        <v>5817</v>
      </c>
      <c r="B1137" s="245" t="str">
        <f>VLOOKUP(A1137,'تجربه‌گرها'!B:C,2,FALSE())</f>
        <v>989129404655</v>
      </c>
      <c r="C1137" s="242"/>
      <c r="D1137" s="242">
        <f t="shared" si="1"/>
        <v>1</v>
      </c>
      <c r="E1137" s="242">
        <f>COUNTIFS('تجربه‌گرها'!$B:$B,$A1137,'تجربه‌گرها'!$F:$F,E$1)</f>
        <v>0</v>
      </c>
      <c r="F1137" s="242">
        <f>COUNTIFS('تجربه‌گرها'!$B:$B,$A1137,'تجربه‌گرها'!$F:$F,F$1)</f>
        <v>0</v>
      </c>
      <c r="G1137" s="242">
        <f>COUNTIFS('تجربه‌گرها'!$B:$B,$A1137,'تجربه‌گرها'!$F:$F,G$1)</f>
        <v>0</v>
      </c>
      <c r="H1137" s="242">
        <f>COUNTIFS('تجربه‌گرها'!$B:$B,$A1137,'تجربه‌گرها'!$F:$F,H$1)</f>
        <v>0</v>
      </c>
      <c r="I1137" s="242">
        <f>COUNTIFS('تجربه‌گرها'!$B:$B,$A1137,'تجربه‌گرها'!$F:$F,I$1)</f>
        <v>0</v>
      </c>
      <c r="J1137" s="242">
        <f>COUNTIFS('تجربه‌گرها'!$B:$B,$A1137,'تجربه‌گرها'!$F:$F,J$1)</f>
        <v>0</v>
      </c>
      <c r="K1137" s="242">
        <f>COUNTIFS('تجربه‌گرها'!$B:$B,$A1137,'تجربه‌گرها'!$F:$F,K$1)</f>
        <v>0</v>
      </c>
      <c r="L1137" s="242">
        <f>COUNTIFS('تجربه‌گرها'!$B:$B,$A1137,'تجربه‌گرها'!$F:$F,L$1)</f>
        <v>0</v>
      </c>
      <c r="M1137" s="242">
        <f>COUNTIFS('تجربه‌گرها'!$B:$B,$A1137,'تجربه‌گرها'!$F:$F,M$1)</f>
        <v>0</v>
      </c>
      <c r="N1137" s="242">
        <f>COUNTIFS('تجربه‌گرها'!$B:$B,$A1137,'تجربه‌گرها'!$F:$F,N$1)</f>
        <v>1</v>
      </c>
      <c r="O1137" s="242">
        <f>COUNTIFS('تجربه‌گرها'!$B:$B,$A1137,'تجربه‌گرها'!$F:$F,O$1)</f>
        <v>0</v>
      </c>
      <c r="P1137" s="242">
        <f>COUNTIFS('تجربه‌گرها'!$B:$B,$A1137,'تجربه‌گرها'!$F:$F,P$1)</f>
        <v>0</v>
      </c>
      <c r="Q1137" s="242">
        <f>COUNTIFS('تجربه‌گرها'!$B:$B,$A1137,'تجربه‌گرها'!$F:$F,Q$1)</f>
        <v>0</v>
      </c>
      <c r="R1137" s="242">
        <f>COUNTIFS('تجربه‌گرها'!$B:$B,$A1137,'تجربه‌گرها'!$F:$F,R$1)</f>
        <v>0</v>
      </c>
      <c r="S1137" s="242">
        <f>COUNTIFS('تجربه‌گرها'!$B:$B,$A1137,'تجربه‌گرها'!$F:$F,S$1)</f>
        <v>0</v>
      </c>
      <c r="T1137" s="242">
        <f>COUNTIFS('تجربه‌گرها'!$B:$B,$A1137,'تجربه‌گرها'!$F:$F,T$1)</f>
        <v>0</v>
      </c>
      <c r="U1137" s="242"/>
      <c r="V1137" s="242"/>
      <c r="W1137" s="242"/>
      <c r="X1137" s="242"/>
      <c r="Y1137" s="242"/>
      <c r="Z1137" s="242"/>
      <c r="AA1137" s="242"/>
      <c r="AB1137" s="242"/>
    </row>
    <row r="1138" hidden="1">
      <c r="A1138" s="244" t="s">
        <v>5820</v>
      </c>
      <c r="B1138" s="245" t="str">
        <f>VLOOKUP(A1138,'تجربه‌گرها'!B:C,2,FALSE())</f>
        <v>989131081961</v>
      </c>
      <c r="C1138" s="242"/>
      <c r="D1138" s="242">
        <f t="shared" si="1"/>
        <v>1</v>
      </c>
      <c r="E1138" s="242">
        <f>COUNTIFS('تجربه‌گرها'!$B:$B,$A1138,'تجربه‌گرها'!$F:$F,E$1)</f>
        <v>0</v>
      </c>
      <c r="F1138" s="242">
        <f>COUNTIFS('تجربه‌گرها'!$B:$B,$A1138,'تجربه‌گرها'!$F:$F,F$1)</f>
        <v>0</v>
      </c>
      <c r="G1138" s="242">
        <f>COUNTIFS('تجربه‌گرها'!$B:$B,$A1138,'تجربه‌گرها'!$F:$F,G$1)</f>
        <v>0</v>
      </c>
      <c r="H1138" s="242">
        <f>COUNTIFS('تجربه‌گرها'!$B:$B,$A1138,'تجربه‌گرها'!$F:$F,H$1)</f>
        <v>0</v>
      </c>
      <c r="I1138" s="242">
        <f>COUNTIFS('تجربه‌گرها'!$B:$B,$A1138,'تجربه‌گرها'!$F:$F,I$1)</f>
        <v>0</v>
      </c>
      <c r="J1138" s="242">
        <f>COUNTIFS('تجربه‌گرها'!$B:$B,$A1138,'تجربه‌گرها'!$F:$F,J$1)</f>
        <v>0</v>
      </c>
      <c r="K1138" s="242">
        <f>COUNTIFS('تجربه‌گرها'!$B:$B,$A1138,'تجربه‌گرها'!$F:$F,K$1)</f>
        <v>0</v>
      </c>
      <c r="L1138" s="242">
        <f>COUNTIFS('تجربه‌گرها'!$B:$B,$A1138,'تجربه‌گرها'!$F:$F,L$1)</f>
        <v>0</v>
      </c>
      <c r="M1138" s="242">
        <f>COUNTIFS('تجربه‌گرها'!$B:$B,$A1138,'تجربه‌گرها'!$F:$F,M$1)</f>
        <v>0</v>
      </c>
      <c r="N1138" s="242">
        <f>COUNTIFS('تجربه‌گرها'!$B:$B,$A1138,'تجربه‌گرها'!$F:$F,N$1)</f>
        <v>1</v>
      </c>
      <c r="O1138" s="242">
        <f>COUNTIFS('تجربه‌گرها'!$B:$B,$A1138,'تجربه‌گرها'!$F:$F,O$1)</f>
        <v>0</v>
      </c>
      <c r="P1138" s="242">
        <f>COUNTIFS('تجربه‌گرها'!$B:$B,$A1138,'تجربه‌گرها'!$F:$F,P$1)</f>
        <v>0</v>
      </c>
      <c r="Q1138" s="242">
        <f>COUNTIFS('تجربه‌گرها'!$B:$B,$A1138,'تجربه‌گرها'!$F:$F,Q$1)</f>
        <v>0</v>
      </c>
      <c r="R1138" s="242">
        <f>COUNTIFS('تجربه‌گرها'!$B:$B,$A1138,'تجربه‌گرها'!$F:$F,R$1)</f>
        <v>0</v>
      </c>
      <c r="S1138" s="242">
        <f>COUNTIFS('تجربه‌گرها'!$B:$B,$A1138,'تجربه‌گرها'!$F:$F,S$1)</f>
        <v>0</v>
      </c>
      <c r="T1138" s="242">
        <f>COUNTIFS('تجربه‌گرها'!$B:$B,$A1138,'تجربه‌گرها'!$F:$F,T$1)</f>
        <v>0</v>
      </c>
      <c r="U1138" s="242"/>
      <c r="V1138" s="242"/>
      <c r="W1138" s="242"/>
      <c r="X1138" s="242"/>
      <c r="Y1138" s="242"/>
      <c r="Z1138" s="242"/>
      <c r="AA1138" s="242"/>
      <c r="AB1138" s="242"/>
    </row>
    <row r="1139" hidden="1">
      <c r="A1139" s="244" t="s">
        <v>5822</v>
      </c>
      <c r="B1139" s="245" t="str">
        <f>VLOOKUP(A1139,'تجربه‌گرها'!B:C,2,FALSE())</f>
        <v>9123857801</v>
      </c>
      <c r="C1139" s="242"/>
      <c r="D1139" s="242">
        <f t="shared" si="1"/>
        <v>1</v>
      </c>
      <c r="E1139" s="242">
        <f>COUNTIFS('تجربه‌گرها'!$B:$B,$A1139,'تجربه‌گرها'!$F:$F,E$1)</f>
        <v>0</v>
      </c>
      <c r="F1139" s="242">
        <f>COUNTIFS('تجربه‌گرها'!$B:$B,$A1139,'تجربه‌گرها'!$F:$F,F$1)</f>
        <v>0</v>
      </c>
      <c r="G1139" s="242">
        <f>COUNTIFS('تجربه‌گرها'!$B:$B,$A1139,'تجربه‌گرها'!$F:$F,G$1)</f>
        <v>0</v>
      </c>
      <c r="H1139" s="242">
        <f>COUNTIFS('تجربه‌گرها'!$B:$B,$A1139,'تجربه‌گرها'!$F:$F,H$1)</f>
        <v>0</v>
      </c>
      <c r="I1139" s="242">
        <f>COUNTIFS('تجربه‌گرها'!$B:$B,$A1139,'تجربه‌گرها'!$F:$F,I$1)</f>
        <v>0</v>
      </c>
      <c r="J1139" s="242">
        <f>COUNTIFS('تجربه‌گرها'!$B:$B,$A1139,'تجربه‌گرها'!$F:$F,J$1)</f>
        <v>0</v>
      </c>
      <c r="K1139" s="242">
        <f>COUNTIFS('تجربه‌گرها'!$B:$B,$A1139,'تجربه‌گرها'!$F:$F,K$1)</f>
        <v>0</v>
      </c>
      <c r="L1139" s="242">
        <f>COUNTIFS('تجربه‌گرها'!$B:$B,$A1139,'تجربه‌گرها'!$F:$F,L$1)</f>
        <v>0</v>
      </c>
      <c r="M1139" s="242">
        <f>COUNTIFS('تجربه‌گرها'!$B:$B,$A1139,'تجربه‌گرها'!$F:$F,M$1)</f>
        <v>0</v>
      </c>
      <c r="N1139" s="242">
        <f>COUNTIFS('تجربه‌گرها'!$B:$B,$A1139,'تجربه‌گرها'!$F:$F,N$1)</f>
        <v>1</v>
      </c>
      <c r="O1139" s="242">
        <f>COUNTIFS('تجربه‌گرها'!$B:$B,$A1139,'تجربه‌گرها'!$F:$F,O$1)</f>
        <v>0</v>
      </c>
      <c r="P1139" s="242">
        <f>COUNTIFS('تجربه‌گرها'!$B:$B,$A1139,'تجربه‌گرها'!$F:$F,P$1)</f>
        <v>0</v>
      </c>
      <c r="Q1139" s="242">
        <f>COUNTIFS('تجربه‌گرها'!$B:$B,$A1139,'تجربه‌گرها'!$F:$F,Q$1)</f>
        <v>0</v>
      </c>
      <c r="R1139" s="242">
        <f>COUNTIFS('تجربه‌گرها'!$B:$B,$A1139,'تجربه‌گرها'!$F:$F,R$1)</f>
        <v>0</v>
      </c>
      <c r="S1139" s="242">
        <f>COUNTIFS('تجربه‌گرها'!$B:$B,$A1139,'تجربه‌گرها'!$F:$F,S$1)</f>
        <v>0</v>
      </c>
      <c r="T1139" s="242">
        <f>COUNTIFS('تجربه‌گرها'!$B:$B,$A1139,'تجربه‌گرها'!$F:$F,T$1)</f>
        <v>0</v>
      </c>
      <c r="U1139" s="242"/>
      <c r="V1139" s="242"/>
      <c r="W1139" s="242"/>
      <c r="X1139" s="242"/>
      <c r="Y1139" s="242"/>
      <c r="Z1139" s="242"/>
      <c r="AA1139" s="242"/>
      <c r="AB1139" s="242"/>
    </row>
    <row r="1140" hidden="1">
      <c r="A1140" s="244" t="s">
        <v>5824</v>
      </c>
      <c r="B1140" s="245" t="str">
        <f>VLOOKUP(A1140,'تجربه‌گرها'!B:C,2,FALSE())</f>
        <v>9128549022</v>
      </c>
      <c r="C1140" s="242"/>
      <c r="D1140" s="242">
        <f t="shared" si="1"/>
        <v>1</v>
      </c>
      <c r="E1140" s="242">
        <f>COUNTIFS('تجربه‌گرها'!$B:$B,$A1140,'تجربه‌گرها'!$F:$F,E$1)</f>
        <v>0</v>
      </c>
      <c r="F1140" s="242">
        <f>COUNTIFS('تجربه‌گرها'!$B:$B,$A1140,'تجربه‌گرها'!$F:$F,F$1)</f>
        <v>0</v>
      </c>
      <c r="G1140" s="242">
        <f>COUNTIFS('تجربه‌گرها'!$B:$B,$A1140,'تجربه‌گرها'!$F:$F,G$1)</f>
        <v>0</v>
      </c>
      <c r="H1140" s="242">
        <f>COUNTIFS('تجربه‌گرها'!$B:$B,$A1140,'تجربه‌گرها'!$F:$F,H$1)</f>
        <v>0</v>
      </c>
      <c r="I1140" s="242">
        <f>COUNTIFS('تجربه‌گرها'!$B:$B,$A1140,'تجربه‌گرها'!$F:$F,I$1)</f>
        <v>0</v>
      </c>
      <c r="J1140" s="242">
        <f>COUNTIFS('تجربه‌گرها'!$B:$B,$A1140,'تجربه‌گرها'!$F:$F,J$1)</f>
        <v>0</v>
      </c>
      <c r="K1140" s="242">
        <f>COUNTIFS('تجربه‌گرها'!$B:$B,$A1140,'تجربه‌گرها'!$F:$F,K$1)</f>
        <v>0</v>
      </c>
      <c r="L1140" s="242">
        <f>COUNTIFS('تجربه‌گرها'!$B:$B,$A1140,'تجربه‌گرها'!$F:$F,L$1)</f>
        <v>0</v>
      </c>
      <c r="M1140" s="242">
        <f>COUNTIFS('تجربه‌گرها'!$B:$B,$A1140,'تجربه‌گرها'!$F:$F,M$1)</f>
        <v>0</v>
      </c>
      <c r="N1140" s="242">
        <f>COUNTIFS('تجربه‌گرها'!$B:$B,$A1140,'تجربه‌گرها'!$F:$F,N$1)</f>
        <v>1</v>
      </c>
      <c r="O1140" s="242">
        <f>COUNTIFS('تجربه‌گرها'!$B:$B,$A1140,'تجربه‌گرها'!$F:$F,O$1)</f>
        <v>0</v>
      </c>
      <c r="P1140" s="242">
        <f>COUNTIFS('تجربه‌گرها'!$B:$B,$A1140,'تجربه‌گرها'!$F:$F,P$1)</f>
        <v>0</v>
      </c>
      <c r="Q1140" s="242">
        <f>COUNTIFS('تجربه‌گرها'!$B:$B,$A1140,'تجربه‌گرها'!$F:$F,Q$1)</f>
        <v>0</v>
      </c>
      <c r="R1140" s="242">
        <f>COUNTIFS('تجربه‌گرها'!$B:$B,$A1140,'تجربه‌گرها'!$F:$F,R$1)</f>
        <v>0</v>
      </c>
      <c r="S1140" s="242">
        <f>COUNTIFS('تجربه‌گرها'!$B:$B,$A1140,'تجربه‌گرها'!$F:$F,S$1)</f>
        <v>0</v>
      </c>
      <c r="T1140" s="242">
        <f>COUNTIFS('تجربه‌گرها'!$B:$B,$A1140,'تجربه‌گرها'!$F:$F,T$1)</f>
        <v>0</v>
      </c>
      <c r="U1140" s="242"/>
      <c r="V1140" s="242"/>
      <c r="W1140" s="242"/>
      <c r="X1140" s="242"/>
      <c r="Y1140" s="242"/>
      <c r="Z1140" s="242"/>
      <c r="AA1140" s="242"/>
      <c r="AB1140" s="242"/>
    </row>
    <row r="1141" hidden="1">
      <c r="A1141" s="244" t="s">
        <v>5826</v>
      </c>
      <c r="B1141" s="245" t="str">
        <f>VLOOKUP(A1141,'تجربه‌گرها'!B:C,2,FALSE())</f>
        <v>989123370623</v>
      </c>
      <c r="C1141" s="242"/>
      <c r="D1141" s="242">
        <f t="shared" si="1"/>
        <v>1</v>
      </c>
      <c r="E1141" s="242">
        <f>COUNTIFS('تجربه‌گرها'!$B:$B,$A1141,'تجربه‌گرها'!$F:$F,E$1)</f>
        <v>0</v>
      </c>
      <c r="F1141" s="242">
        <f>COUNTIFS('تجربه‌گرها'!$B:$B,$A1141,'تجربه‌گرها'!$F:$F,F$1)</f>
        <v>0</v>
      </c>
      <c r="G1141" s="242">
        <f>COUNTIFS('تجربه‌گرها'!$B:$B,$A1141,'تجربه‌گرها'!$F:$F,G$1)</f>
        <v>0</v>
      </c>
      <c r="H1141" s="242">
        <f>COUNTIFS('تجربه‌گرها'!$B:$B,$A1141,'تجربه‌گرها'!$F:$F,H$1)</f>
        <v>0</v>
      </c>
      <c r="I1141" s="242">
        <f>COUNTIFS('تجربه‌گرها'!$B:$B,$A1141,'تجربه‌گرها'!$F:$F,I$1)</f>
        <v>0</v>
      </c>
      <c r="J1141" s="242">
        <f>COUNTIFS('تجربه‌گرها'!$B:$B,$A1141,'تجربه‌گرها'!$F:$F,J$1)</f>
        <v>0</v>
      </c>
      <c r="K1141" s="242">
        <f>COUNTIFS('تجربه‌گرها'!$B:$B,$A1141,'تجربه‌گرها'!$F:$F,K$1)</f>
        <v>0</v>
      </c>
      <c r="L1141" s="242">
        <f>COUNTIFS('تجربه‌گرها'!$B:$B,$A1141,'تجربه‌گرها'!$F:$F,L$1)</f>
        <v>0</v>
      </c>
      <c r="M1141" s="242">
        <f>COUNTIFS('تجربه‌گرها'!$B:$B,$A1141,'تجربه‌گرها'!$F:$F,M$1)</f>
        <v>0</v>
      </c>
      <c r="N1141" s="242">
        <f>COUNTIFS('تجربه‌گرها'!$B:$B,$A1141,'تجربه‌گرها'!$F:$F,N$1)</f>
        <v>1</v>
      </c>
      <c r="O1141" s="242">
        <f>COUNTIFS('تجربه‌گرها'!$B:$B,$A1141,'تجربه‌گرها'!$F:$F,O$1)</f>
        <v>0</v>
      </c>
      <c r="P1141" s="242">
        <f>COUNTIFS('تجربه‌گرها'!$B:$B,$A1141,'تجربه‌گرها'!$F:$F,P$1)</f>
        <v>0</v>
      </c>
      <c r="Q1141" s="242">
        <f>COUNTIFS('تجربه‌گرها'!$B:$B,$A1141,'تجربه‌گرها'!$F:$F,Q$1)</f>
        <v>0</v>
      </c>
      <c r="R1141" s="242">
        <f>COUNTIFS('تجربه‌گرها'!$B:$B,$A1141,'تجربه‌گرها'!$F:$F,R$1)</f>
        <v>0</v>
      </c>
      <c r="S1141" s="242">
        <f>COUNTIFS('تجربه‌گرها'!$B:$B,$A1141,'تجربه‌گرها'!$F:$F,S$1)</f>
        <v>0</v>
      </c>
      <c r="T1141" s="242">
        <f>COUNTIFS('تجربه‌گرها'!$B:$B,$A1141,'تجربه‌گرها'!$F:$F,T$1)</f>
        <v>0</v>
      </c>
      <c r="U1141" s="242"/>
      <c r="V1141" s="242"/>
      <c r="W1141" s="242"/>
      <c r="X1141" s="242"/>
      <c r="Y1141" s="242"/>
      <c r="Z1141" s="242"/>
      <c r="AA1141" s="242"/>
      <c r="AB1141" s="242"/>
    </row>
    <row r="1142" hidden="1">
      <c r="A1142" s="244" t="s">
        <v>5829</v>
      </c>
      <c r="B1142" s="245" t="str">
        <f>VLOOKUP(A1142,'تجربه‌گرها'!B:C,2,FALSE())</f>
        <v>9158783325</v>
      </c>
      <c r="C1142" s="242"/>
      <c r="D1142" s="242">
        <f t="shared" si="1"/>
        <v>1</v>
      </c>
      <c r="E1142" s="242">
        <f>COUNTIFS('تجربه‌گرها'!$B:$B,$A1142,'تجربه‌گرها'!$F:$F,E$1)</f>
        <v>0</v>
      </c>
      <c r="F1142" s="242">
        <f>COUNTIFS('تجربه‌گرها'!$B:$B,$A1142,'تجربه‌گرها'!$F:$F,F$1)</f>
        <v>0</v>
      </c>
      <c r="G1142" s="242">
        <f>COUNTIFS('تجربه‌گرها'!$B:$B,$A1142,'تجربه‌گرها'!$F:$F,G$1)</f>
        <v>0</v>
      </c>
      <c r="H1142" s="242">
        <f>COUNTIFS('تجربه‌گرها'!$B:$B,$A1142,'تجربه‌گرها'!$F:$F,H$1)</f>
        <v>0</v>
      </c>
      <c r="I1142" s="242">
        <f>COUNTIFS('تجربه‌گرها'!$B:$B,$A1142,'تجربه‌گرها'!$F:$F,I$1)</f>
        <v>0</v>
      </c>
      <c r="J1142" s="242">
        <f>COUNTIFS('تجربه‌گرها'!$B:$B,$A1142,'تجربه‌گرها'!$F:$F,J$1)</f>
        <v>0</v>
      </c>
      <c r="K1142" s="242">
        <f>COUNTIFS('تجربه‌گرها'!$B:$B,$A1142,'تجربه‌گرها'!$F:$F,K$1)</f>
        <v>0</v>
      </c>
      <c r="L1142" s="242">
        <f>COUNTIFS('تجربه‌گرها'!$B:$B,$A1142,'تجربه‌گرها'!$F:$F,L$1)</f>
        <v>0</v>
      </c>
      <c r="M1142" s="242">
        <f>COUNTIFS('تجربه‌گرها'!$B:$B,$A1142,'تجربه‌گرها'!$F:$F,M$1)</f>
        <v>0</v>
      </c>
      <c r="N1142" s="242">
        <f>COUNTIFS('تجربه‌گرها'!$B:$B,$A1142,'تجربه‌گرها'!$F:$F,N$1)</f>
        <v>1</v>
      </c>
      <c r="O1142" s="242">
        <f>COUNTIFS('تجربه‌گرها'!$B:$B,$A1142,'تجربه‌گرها'!$F:$F,O$1)</f>
        <v>0</v>
      </c>
      <c r="P1142" s="242">
        <f>COUNTIFS('تجربه‌گرها'!$B:$B,$A1142,'تجربه‌گرها'!$F:$F,P$1)</f>
        <v>0</v>
      </c>
      <c r="Q1142" s="242">
        <f>COUNTIFS('تجربه‌گرها'!$B:$B,$A1142,'تجربه‌گرها'!$F:$F,Q$1)</f>
        <v>0</v>
      </c>
      <c r="R1142" s="242">
        <f>COUNTIFS('تجربه‌گرها'!$B:$B,$A1142,'تجربه‌گرها'!$F:$F,R$1)</f>
        <v>0</v>
      </c>
      <c r="S1142" s="242">
        <f>COUNTIFS('تجربه‌گرها'!$B:$B,$A1142,'تجربه‌گرها'!$F:$F,S$1)</f>
        <v>0</v>
      </c>
      <c r="T1142" s="242">
        <f>COUNTIFS('تجربه‌گرها'!$B:$B,$A1142,'تجربه‌گرها'!$F:$F,T$1)</f>
        <v>0</v>
      </c>
      <c r="U1142" s="242"/>
      <c r="V1142" s="242"/>
      <c r="W1142" s="242"/>
      <c r="X1142" s="242"/>
      <c r="Y1142" s="242"/>
      <c r="Z1142" s="242"/>
      <c r="AA1142" s="242"/>
      <c r="AB1142" s="242"/>
    </row>
    <row r="1143" hidden="1">
      <c r="A1143" s="244" t="s">
        <v>5833</v>
      </c>
      <c r="B1143" s="245" t="str">
        <f>VLOOKUP(A1143,'تجربه‌گرها'!B:C,2,FALSE())</f>
        <v>9358646096</v>
      </c>
      <c r="C1143" s="242"/>
      <c r="D1143" s="242">
        <f t="shared" si="1"/>
        <v>1</v>
      </c>
      <c r="E1143" s="242">
        <f>COUNTIFS('تجربه‌گرها'!$B:$B,$A1143,'تجربه‌گرها'!$F:$F,E$1)</f>
        <v>0</v>
      </c>
      <c r="F1143" s="242">
        <f>COUNTIFS('تجربه‌گرها'!$B:$B,$A1143,'تجربه‌گرها'!$F:$F,F$1)</f>
        <v>0</v>
      </c>
      <c r="G1143" s="242">
        <f>COUNTIFS('تجربه‌گرها'!$B:$B,$A1143,'تجربه‌گرها'!$F:$F,G$1)</f>
        <v>0</v>
      </c>
      <c r="H1143" s="242">
        <f>COUNTIFS('تجربه‌گرها'!$B:$B,$A1143,'تجربه‌گرها'!$F:$F,H$1)</f>
        <v>0</v>
      </c>
      <c r="I1143" s="242">
        <f>COUNTIFS('تجربه‌گرها'!$B:$B,$A1143,'تجربه‌گرها'!$F:$F,I$1)</f>
        <v>0</v>
      </c>
      <c r="J1143" s="242">
        <f>COUNTIFS('تجربه‌گرها'!$B:$B,$A1143,'تجربه‌گرها'!$F:$F,J$1)</f>
        <v>0</v>
      </c>
      <c r="K1143" s="242">
        <f>COUNTIFS('تجربه‌گرها'!$B:$B,$A1143,'تجربه‌گرها'!$F:$F,K$1)</f>
        <v>0</v>
      </c>
      <c r="L1143" s="242">
        <f>COUNTIFS('تجربه‌گرها'!$B:$B,$A1143,'تجربه‌گرها'!$F:$F,L$1)</f>
        <v>0</v>
      </c>
      <c r="M1143" s="242">
        <f>COUNTIFS('تجربه‌گرها'!$B:$B,$A1143,'تجربه‌گرها'!$F:$F,M$1)</f>
        <v>0</v>
      </c>
      <c r="N1143" s="242">
        <f>COUNTIFS('تجربه‌گرها'!$B:$B,$A1143,'تجربه‌گرها'!$F:$F,N$1)</f>
        <v>1</v>
      </c>
      <c r="O1143" s="242">
        <f>COUNTIFS('تجربه‌گرها'!$B:$B,$A1143,'تجربه‌گرها'!$F:$F,O$1)</f>
        <v>0</v>
      </c>
      <c r="P1143" s="242">
        <f>COUNTIFS('تجربه‌گرها'!$B:$B,$A1143,'تجربه‌گرها'!$F:$F,P$1)</f>
        <v>0</v>
      </c>
      <c r="Q1143" s="242">
        <f>COUNTIFS('تجربه‌گرها'!$B:$B,$A1143,'تجربه‌گرها'!$F:$F,Q$1)</f>
        <v>0</v>
      </c>
      <c r="R1143" s="242">
        <f>COUNTIFS('تجربه‌گرها'!$B:$B,$A1143,'تجربه‌گرها'!$F:$F,R$1)</f>
        <v>0</v>
      </c>
      <c r="S1143" s="242">
        <f>COUNTIFS('تجربه‌گرها'!$B:$B,$A1143,'تجربه‌گرها'!$F:$F,S$1)</f>
        <v>0</v>
      </c>
      <c r="T1143" s="242">
        <f>COUNTIFS('تجربه‌گرها'!$B:$B,$A1143,'تجربه‌گرها'!$F:$F,T$1)</f>
        <v>0</v>
      </c>
      <c r="U1143" s="242"/>
      <c r="V1143" s="242"/>
      <c r="W1143" s="242"/>
      <c r="X1143" s="242"/>
      <c r="Y1143" s="242"/>
      <c r="Z1143" s="242"/>
      <c r="AA1143" s="242"/>
      <c r="AB1143" s="242"/>
    </row>
    <row r="1144" hidden="1">
      <c r="A1144" s="244" t="s">
        <v>5836</v>
      </c>
      <c r="B1144" s="245" t="str">
        <f>VLOOKUP(A1144,'تجربه‌گرها'!B:C,2,FALSE())</f>
        <v>9155583008</v>
      </c>
      <c r="C1144" s="242"/>
      <c r="D1144" s="242">
        <f t="shared" si="1"/>
        <v>1</v>
      </c>
      <c r="E1144" s="242">
        <f>COUNTIFS('تجربه‌گرها'!$B:$B,$A1144,'تجربه‌گرها'!$F:$F,E$1)</f>
        <v>0</v>
      </c>
      <c r="F1144" s="242">
        <f>COUNTIFS('تجربه‌گرها'!$B:$B,$A1144,'تجربه‌گرها'!$F:$F,F$1)</f>
        <v>0</v>
      </c>
      <c r="G1144" s="242">
        <f>COUNTIFS('تجربه‌گرها'!$B:$B,$A1144,'تجربه‌گرها'!$F:$F,G$1)</f>
        <v>0</v>
      </c>
      <c r="H1144" s="242">
        <f>COUNTIFS('تجربه‌گرها'!$B:$B,$A1144,'تجربه‌گرها'!$F:$F,H$1)</f>
        <v>0</v>
      </c>
      <c r="I1144" s="242">
        <f>COUNTIFS('تجربه‌گرها'!$B:$B,$A1144,'تجربه‌گرها'!$F:$F,I$1)</f>
        <v>0</v>
      </c>
      <c r="J1144" s="242">
        <f>COUNTIFS('تجربه‌گرها'!$B:$B,$A1144,'تجربه‌گرها'!$F:$F,J$1)</f>
        <v>0</v>
      </c>
      <c r="K1144" s="242">
        <f>COUNTIFS('تجربه‌گرها'!$B:$B,$A1144,'تجربه‌گرها'!$F:$F,K$1)</f>
        <v>0</v>
      </c>
      <c r="L1144" s="242">
        <f>COUNTIFS('تجربه‌گرها'!$B:$B,$A1144,'تجربه‌گرها'!$F:$F,L$1)</f>
        <v>0</v>
      </c>
      <c r="M1144" s="242">
        <f>COUNTIFS('تجربه‌گرها'!$B:$B,$A1144,'تجربه‌گرها'!$F:$F,M$1)</f>
        <v>0</v>
      </c>
      <c r="N1144" s="242">
        <f>COUNTIFS('تجربه‌گرها'!$B:$B,$A1144,'تجربه‌گرها'!$F:$F,N$1)</f>
        <v>1</v>
      </c>
      <c r="O1144" s="242">
        <f>COUNTIFS('تجربه‌گرها'!$B:$B,$A1144,'تجربه‌گرها'!$F:$F,O$1)</f>
        <v>0</v>
      </c>
      <c r="P1144" s="242">
        <f>COUNTIFS('تجربه‌گرها'!$B:$B,$A1144,'تجربه‌گرها'!$F:$F,P$1)</f>
        <v>0</v>
      </c>
      <c r="Q1144" s="242">
        <f>COUNTIFS('تجربه‌گرها'!$B:$B,$A1144,'تجربه‌گرها'!$F:$F,Q$1)</f>
        <v>0</v>
      </c>
      <c r="R1144" s="242">
        <f>COUNTIFS('تجربه‌گرها'!$B:$B,$A1144,'تجربه‌گرها'!$F:$F,R$1)</f>
        <v>0</v>
      </c>
      <c r="S1144" s="242">
        <f>COUNTIFS('تجربه‌گرها'!$B:$B,$A1144,'تجربه‌گرها'!$F:$F,S$1)</f>
        <v>0</v>
      </c>
      <c r="T1144" s="242">
        <f>COUNTIFS('تجربه‌گرها'!$B:$B,$A1144,'تجربه‌گرها'!$F:$F,T$1)</f>
        <v>0</v>
      </c>
      <c r="U1144" s="242"/>
      <c r="V1144" s="242"/>
      <c r="W1144" s="242"/>
      <c r="X1144" s="242"/>
      <c r="Y1144" s="242"/>
      <c r="Z1144" s="242"/>
      <c r="AA1144" s="242"/>
      <c r="AB1144" s="242"/>
    </row>
    <row r="1145" hidden="1">
      <c r="A1145" s="244" t="s">
        <v>5838</v>
      </c>
      <c r="B1145" s="245" t="str">
        <f>VLOOKUP(A1145,'تجربه‌گرها'!B:C,2,FALSE())</f>
        <v>9127186540</v>
      </c>
      <c r="C1145" s="242"/>
      <c r="D1145" s="242">
        <f t="shared" si="1"/>
        <v>1</v>
      </c>
      <c r="E1145" s="242">
        <f>COUNTIFS('تجربه‌گرها'!$B:$B,$A1145,'تجربه‌گرها'!$F:$F,E$1)</f>
        <v>0</v>
      </c>
      <c r="F1145" s="242">
        <f>COUNTIFS('تجربه‌گرها'!$B:$B,$A1145,'تجربه‌گرها'!$F:$F,F$1)</f>
        <v>0</v>
      </c>
      <c r="G1145" s="242">
        <f>COUNTIFS('تجربه‌گرها'!$B:$B,$A1145,'تجربه‌گرها'!$F:$F,G$1)</f>
        <v>0</v>
      </c>
      <c r="H1145" s="242">
        <f>COUNTIFS('تجربه‌گرها'!$B:$B,$A1145,'تجربه‌گرها'!$F:$F,H$1)</f>
        <v>0</v>
      </c>
      <c r="I1145" s="242">
        <f>COUNTIFS('تجربه‌گرها'!$B:$B,$A1145,'تجربه‌گرها'!$F:$F,I$1)</f>
        <v>0</v>
      </c>
      <c r="J1145" s="242">
        <f>COUNTIFS('تجربه‌گرها'!$B:$B,$A1145,'تجربه‌گرها'!$F:$F,J$1)</f>
        <v>0</v>
      </c>
      <c r="K1145" s="242">
        <f>COUNTIFS('تجربه‌گرها'!$B:$B,$A1145,'تجربه‌گرها'!$F:$F,K$1)</f>
        <v>0</v>
      </c>
      <c r="L1145" s="242">
        <f>COUNTIFS('تجربه‌گرها'!$B:$B,$A1145,'تجربه‌گرها'!$F:$F,L$1)</f>
        <v>0</v>
      </c>
      <c r="M1145" s="242">
        <f>COUNTIFS('تجربه‌گرها'!$B:$B,$A1145,'تجربه‌گرها'!$F:$F,M$1)</f>
        <v>0</v>
      </c>
      <c r="N1145" s="242">
        <f>COUNTIFS('تجربه‌گرها'!$B:$B,$A1145,'تجربه‌گرها'!$F:$F,N$1)</f>
        <v>1</v>
      </c>
      <c r="O1145" s="242">
        <f>COUNTIFS('تجربه‌گرها'!$B:$B,$A1145,'تجربه‌گرها'!$F:$F,O$1)</f>
        <v>0</v>
      </c>
      <c r="P1145" s="242">
        <f>COUNTIFS('تجربه‌گرها'!$B:$B,$A1145,'تجربه‌گرها'!$F:$F,P$1)</f>
        <v>0</v>
      </c>
      <c r="Q1145" s="242">
        <f>COUNTIFS('تجربه‌گرها'!$B:$B,$A1145,'تجربه‌گرها'!$F:$F,Q$1)</f>
        <v>0</v>
      </c>
      <c r="R1145" s="242">
        <f>COUNTIFS('تجربه‌گرها'!$B:$B,$A1145,'تجربه‌گرها'!$F:$F,R$1)</f>
        <v>0</v>
      </c>
      <c r="S1145" s="242">
        <f>COUNTIFS('تجربه‌گرها'!$B:$B,$A1145,'تجربه‌گرها'!$F:$F,S$1)</f>
        <v>0</v>
      </c>
      <c r="T1145" s="242">
        <f>COUNTIFS('تجربه‌گرها'!$B:$B,$A1145,'تجربه‌گرها'!$F:$F,T$1)</f>
        <v>0</v>
      </c>
      <c r="U1145" s="242"/>
      <c r="V1145" s="242"/>
      <c r="W1145" s="242"/>
      <c r="X1145" s="242"/>
      <c r="Y1145" s="242"/>
      <c r="Z1145" s="242"/>
      <c r="AA1145" s="242"/>
      <c r="AB1145" s="242"/>
    </row>
    <row r="1146" hidden="1">
      <c r="A1146" s="244" t="s">
        <v>5841</v>
      </c>
      <c r="B1146" s="245" t="str">
        <f>VLOOKUP(A1146,'تجربه‌گرها'!B:C,2,FALSE())</f>
        <v>9122356326</v>
      </c>
      <c r="C1146" s="242"/>
      <c r="D1146" s="242">
        <f t="shared" si="1"/>
        <v>1</v>
      </c>
      <c r="E1146" s="242">
        <f>COUNTIFS('تجربه‌گرها'!$B:$B,$A1146,'تجربه‌گرها'!$F:$F,E$1)</f>
        <v>0</v>
      </c>
      <c r="F1146" s="242">
        <f>COUNTIFS('تجربه‌گرها'!$B:$B,$A1146,'تجربه‌گرها'!$F:$F,F$1)</f>
        <v>0</v>
      </c>
      <c r="G1146" s="242">
        <f>COUNTIFS('تجربه‌گرها'!$B:$B,$A1146,'تجربه‌گرها'!$F:$F,G$1)</f>
        <v>0</v>
      </c>
      <c r="H1146" s="242">
        <f>COUNTIFS('تجربه‌گرها'!$B:$B,$A1146,'تجربه‌گرها'!$F:$F,H$1)</f>
        <v>0</v>
      </c>
      <c r="I1146" s="242">
        <f>COUNTIFS('تجربه‌گرها'!$B:$B,$A1146,'تجربه‌گرها'!$F:$F,I$1)</f>
        <v>0</v>
      </c>
      <c r="J1146" s="242">
        <f>COUNTIFS('تجربه‌گرها'!$B:$B,$A1146,'تجربه‌گرها'!$F:$F,J$1)</f>
        <v>0</v>
      </c>
      <c r="K1146" s="242">
        <f>COUNTIFS('تجربه‌گرها'!$B:$B,$A1146,'تجربه‌گرها'!$F:$F,K$1)</f>
        <v>0</v>
      </c>
      <c r="L1146" s="242">
        <f>COUNTIFS('تجربه‌گرها'!$B:$B,$A1146,'تجربه‌گرها'!$F:$F,L$1)</f>
        <v>0</v>
      </c>
      <c r="M1146" s="242">
        <f>COUNTIFS('تجربه‌گرها'!$B:$B,$A1146,'تجربه‌گرها'!$F:$F,M$1)</f>
        <v>0</v>
      </c>
      <c r="N1146" s="242">
        <f>COUNTIFS('تجربه‌گرها'!$B:$B,$A1146,'تجربه‌گرها'!$F:$F,N$1)</f>
        <v>1</v>
      </c>
      <c r="O1146" s="242">
        <f>COUNTIFS('تجربه‌گرها'!$B:$B,$A1146,'تجربه‌گرها'!$F:$F,O$1)</f>
        <v>0</v>
      </c>
      <c r="P1146" s="242">
        <f>COUNTIFS('تجربه‌گرها'!$B:$B,$A1146,'تجربه‌گرها'!$F:$F,P$1)</f>
        <v>0</v>
      </c>
      <c r="Q1146" s="242">
        <f>COUNTIFS('تجربه‌گرها'!$B:$B,$A1146,'تجربه‌گرها'!$F:$F,Q$1)</f>
        <v>0</v>
      </c>
      <c r="R1146" s="242">
        <f>COUNTIFS('تجربه‌گرها'!$B:$B,$A1146,'تجربه‌گرها'!$F:$F,R$1)</f>
        <v>0</v>
      </c>
      <c r="S1146" s="242">
        <f>COUNTIFS('تجربه‌گرها'!$B:$B,$A1146,'تجربه‌گرها'!$F:$F,S$1)</f>
        <v>0</v>
      </c>
      <c r="T1146" s="242">
        <f>COUNTIFS('تجربه‌گرها'!$B:$B,$A1146,'تجربه‌گرها'!$F:$F,T$1)</f>
        <v>0</v>
      </c>
      <c r="U1146" s="242"/>
      <c r="V1146" s="242"/>
      <c r="W1146" s="242"/>
      <c r="X1146" s="242"/>
      <c r="Y1146" s="242"/>
      <c r="Z1146" s="242"/>
      <c r="AA1146" s="242"/>
      <c r="AB1146" s="242"/>
    </row>
    <row r="1147" hidden="1">
      <c r="A1147" s="244" t="s">
        <v>5845</v>
      </c>
      <c r="B1147" s="245" t="str">
        <f>VLOOKUP(A1147,'تجربه‌گرها'!B:C,2,FALSE())</f>
        <v>989131138622</v>
      </c>
      <c r="C1147" s="242"/>
      <c r="D1147" s="242">
        <f t="shared" si="1"/>
        <v>1</v>
      </c>
      <c r="E1147" s="242">
        <f>COUNTIFS('تجربه‌گرها'!$B:$B,$A1147,'تجربه‌گرها'!$F:$F,E$1)</f>
        <v>0</v>
      </c>
      <c r="F1147" s="242">
        <f>COUNTIFS('تجربه‌گرها'!$B:$B,$A1147,'تجربه‌گرها'!$F:$F,F$1)</f>
        <v>0</v>
      </c>
      <c r="G1147" s="242">
        <f>COUNTIFS('تجربه‌گرها'!$B:$B,$A1147,'تجربه‌گرها'!$F:$F,G$1)</f>
        <v>0</v>
      </c>
      <c r="H1147" s="242">
        <f>COUNTIFS('تجربه‌گرها'!$B:$B,$A1147,'تجربه‌گرها'!$F:$F,H$1)</f>
        <v>0</v>
      </c>
      <c r="I1147" s="242">
        <f>COUNTIFS('تجربه‌گرها'!$B:$B,$A1147,'تجربه‌گرها'!$F:$F,I$1)</f>
        <v>0</v>
      </c>
      <c r="J1147" s="242">
        <f>COUNTIFS('تجربه‌گرها'!$B:$B,$A1147,'تجربه‌گرها'!$F:$F,J$1)</f>
        <v>0</v>
      </c>
      <c r="K1147" s="242">
        <f>COUNTIFS('تجربه‌گرها'!$B:$B,$A1147,'تجربه‌گرها'!$F:$F,K$1)</f>
        <v>0</v>
      </c>
      <c r="L1147" s="242">
        <f>COUNTIFS('تجربه‌گرها'!$B:$B,$A1147,'تجربه‌گرها'!$F:$F,L$1)</f>
        <v>0</v>
      </c>
      <c r="M1147" s="242">
        <f>COUNTIFS('تجربه‌گرها'!$B:$B,$A1147,'تجربه‌گرها'!$F:$F,M$1)</f>
        <v>0</v>
      </c>
      <c r="N1147" s="242">
        <f>COUNTIFS('تجربه‌گرها'!$B:$B,$A1147,'تجربه‌گرها'!$F:$F,N$1)</f>
        <v>1</v>
      </c>
      <c r="O1147" s="242">
        <f>COUNTIFS('تجربه‌گرها'!$B:$B,$A1147,'تجربه‌گرها'!$F:$F,O$1)</f>
        <v>0</v>
      </c>
      <c r="P1147" s="242">
        <f>COUNTIFS('تجربه‌گرها'!$B:$B,$A1147,'تجربه‌گرها'!$F:$F,P$1)</f>
        <v>0</v>
      </c>
      <c r="Q1147" s="242">
        <f>COUNTIFS('تجربه‌گرها'!$B:$B,$A1147,'تجربه‌گرها'!$F:$F,Q$1)</f>
        <v>0</v>
      </c>
      <c r="R1147" s="242">
        <f>COUNTIFS('تجربه‌گرها'!$B:$B,$A1147,'تجربه‌گرها'!$F:$F,R$1)</f>
        <v>0</v>
      </c>
      <c r="S1147" s="242">
        <f>COUNTIFS('تجربه‌گرها'!$B:$B,$A1147,'تجربه‌گرها'!$F:$F,S$1)</f>
        <v>0</v>
      </c>
      <c r="T1147" s="242">
        <f>COUNTIFS('تجربه‌گرها'!$B:$B,$A1147,'تجربه‌گرها'!$F:$F,T$1)</f>
        <v>0</v>
      </c>
      <c r="U1147" s="242"/>
      <c r="V1147" s="242"/>
      <c r="W1147" s="242"/>
      <c r="X1147" s="242"/>
      <c r="Y1147" s="242"/>
      <c r="Z1147" s="242"/>
      <c r="AA1147" s="242"/>
      <c r="AB1147" s="242"/>
    </row>
    <row r="1148" hidden="1">
      <c r="A1148" s="244" t="s">
        <v>5849</v>
      </c>
      <c r="B1148" s="245" t="str">
        <f>VLOOKUP(A1148,'تجربه‌گرها'!B:C,2,FALSE())</f>
        <v>989120665671</v>
      </c>
      <c r="C1148" s="242"/>
      <c r="D1148" s="242">
        <f t="shared" si="1"/>
        <v>2</v>
      </c>
      <c r="E1148" s="242">
        <f>COUNTIFS('تجربه‌گرها'!$B:$B,$A1148,'تجربه‌گرها'!$F:$F,E$1)</f>
        <v>0</v>
      </c>
      <c r="F1148" s="242">
        <f>COUNTIFS('تجربه‌گرها'!$B:$B,$A1148,'تجربه‌گرها'!$F:$F,F$1)</f>
        <v>0</v>
      </c>
      <c r="G1148" s="242">
        <f>COUNTIFS('تجربه‌گرها'!$B:$B,$A1148,'تجربه‌گرها'!$F:$F,G$1)</f>
        <v>0</v>
      </c>
      <c r="H1148" s="242">
        <f>COUNTIFS('تجربه‌گرها'!$B:$B,$A1148,'تجربه‌گرها'!$F:$F,H$1)</f>
        <v>0</v>
      </c>
      <c r="I1148" s="242">
        <f>COUNTIFS('تجربه‌گرها'!$B:$B,$A1148,'تجربه‌گرها'!$F:$F,I$1)</f>
        <v>0</v>
      </c>
      <c r="J1148" s="242">
        <f>COUNTIFS('تجربه‌گرها'!$B:$B,$A1148,'تجربه‌گرها'!$F:$F,J$1)</f>
        <v>0</v>
      </c>
      <c r="K1148" s="242">
        <f>COUNTIFS('تجربه‌گرها'!$B:$B,$A1148,'تجربه‌گرها'!$F:$F,K$1)</f>
        <v>0</v>
      </c>
      <c r="L1148" s="242">
        <f>COUNTIFS('تجربه‌گرها'!$B:$B,$A1148,'تجربه‌گرها'!$F:$F,L$1)</f>
        <v>0</v>
      </c>
      <c r="M1148" s="242">
        <f>COUNTIFS('تجربه‌گرها'!$B:$B,$A1148,'تجربه‌گرها'!$F:$F,M$1)</f>
        <v>0</v>
      </c>
      <c r="N1148" s="242">
        <f>COUNTIFS('تجربه‌گرها'!$B:$B,$A1148,'تجربه‌گرها'!$F:$F,N$1)</f>
        <v>1</v>
      </c>
      <c r="O1148" s="242">
        <f>COUNTIFS('تجربه‌گرها'!$B:$B,$A1148,'تجربه‌گرها'!$F:$F,O$1)</f>
        <v>0</v>
      </c>
      <c r="P1148" s="242">
        <f>COUNTIFS('تجربه‌گرها'!$B:$B,$A1148,'تجربه‌گرها'!$F:$F,P$1)</f>
        <v>1</v>
      </c>
      <c r="Q1148" s="242">
        <f>COUNTIFS('تجربه‌گرها'!$B:$B,$A1148,'تجربه‌گرها'!$F:$F,Q$1)</f>
        <v>0</v>
      </c>
      <c r="R1148" s="242">
        <f>COUNTIFS('تجربه‌گرها'!$B:$B,$A1148,'تجربه‌گرها'!$F:$F,R$1)</f>
        <v>0</v>
      </c>
      <c r="S1148" s="242">
        <f>COUNTIFS('تجربه‌گرها'!$B:$B,$A1148,'تجربه‌گرها'!$F:$F,S$1)</f>
        <v>0</v>
      </c>
      <c r="T1148" s="242">
        <f>COUNTIFS('تجربه‌گرها'!$B:$B,$A1148,'تجربه‌گرها'!$F:$F,T$1)</f>
        <v>0</v>
      </c>
      <c r="U1148" s="242"/>
      <c r="V1148" s="242"/>
      <c r="W1148" s="242"/>
      <c r="X1148" s="242"/>
      <c r="Y1148" s="242"/>
      <c r="Z1148" s="242"/>
      <c r="AA1148" s="242"/>
      <c r="AB1148" s="242"/>
    </row>
    <row r="1149" hidden="1">
      <c r="A1149" s="244" t="s">
        <v>5853</v>
      </c>
      <c r="B1149" s="245" t="str">
        <f>VLOOKUP(A1149,'تجربه‌گرها'!B:C,2,FALSE())</f>
        <v>989046288828</v>
      </c>
      <c r="C1149" s="242"/>
      <c r="D1149" s="242">
        <f t="shared" si="1"/>
        <v>1</v>
      </c>
      <c r="E1149" s="242">
        <f>COUNTIFS('تجربه‌گرها'!$B:$B,$A1149,'تجربه‌گرها'!$F:$F,E$1)</f>
        <v>0</v>
      </c>
      <c r="F1149" s="242">
        <f>COUNTIFS('تجربه‌گرها'!$B:$B,$A1149,'تجربه‌گرها'!$F:$F,F$1)</f>
        <v>0</v>
      </c>
      <c r="G1149" s="242">
        <f>COUNTIFS('تجربه‌گرها'!$B:$B,$A1149,'تجربه‌گرها'!$F:$F,G$1)</f>
        <v>0</v>
      </c>
      <c r="H1149" s="242">
        <f>COUNTIFS('تجربه‌گرها'!$B:$B,$A1149,'تجربه‌گرها'!$F:$F,H$1)</f>
        <v>0</v>
      </c>
      <c r="I1149" s="242">
        <f>COUNTIFS('تجربه‌گرها'!$B:$B,$A1149,'تجربه‌گرها'!$F:$F,I$1)</f>
        <v>0</v>
      </c>
      <c r="J1149" s="242">
        <f>COUNTIFS('تجربه‌گرها'!$B:$B,$A1149,'تجربه‌گرها'!$F:$F,J$1)</f>
        <v>0</v>
      </c>
      <c r="K1149" s="242">
        <f>COUNTIFS('تجربه‌گرها'!$B:$B,$A1149,'تجربه‌گرها'!$F:$F,K$1)</f>
        <v>0</v>
      </c>
      <c r="L1149" s="242">
        <f>COUNTIFS('تجربه‌گرها'!$B:$B,$A1149,'تجربه‌گرها'!$F:$F,L$1)</f>
        <v>0</v>
      </c>
      <c r="M1149" s="242">
        <f>COUNTIFS('تجربه‌گرها'!$B:$B,$A1149,'تجربه‌گرها'!$F:$F,M$1)</f>
        <v>0</v>
      </c>
      <c r="N1149" s="242">
        <f>COUNTIFS('تجربه‌گرها'!$B:$B,$A1149,'تجربه‌گرها'!$F:$F,N$1)</f>
        <v>1</v>
      </c>
      <c r="O1149" s="242">
        <f>COUNTIFS('تجربه‌گرها'!$B:$B,$A1149,'تجربه‌گرها'!$F:$F,O$1)</f>
        <v>0</v>
      </c>
      <c r="P1149" s="242">
        <f>COUNTIFS('تجربه‌گرها'!$B:$B,$A1149,'تجربه‌گرها'!$F:$F,P$1)</f>
        <v>0</v>
      </c>
      <c r="Q1149" s="242">
        <f>COUNTIFS('تجربه‌گرها'!$B:$B,$A1149,'تجربه‌گرها'!$F:$F,Q$1)</f>
        <v>0</v>
      </c>
      <c r="R1149" s="242">
        <f>COUNTIFS('تجربه‌گرها'!$B:$B,$A1149,'تجربه‌گرها'!$F:$F,R$1)</f>
        <v>0</v>
      </c>
      <c r="S1149" s="242">
        <f>COUNTIFS('تجربه‌گرها'!$B:$B,$A1149,'تجربه‌گرها'!$F:$F,S$1)</f>
        <v>0</v>
      </c>
      <c r="T1149" s="242">
        <f>COUNTIFS('تجربه‌گرها'!$B:$B,$A1149,'تجربه‌گرها'!$F:$F,T$1)</f>
        <v>0</v>
      </c>
      <c r="U1149" s="242"/>
      <c r="V1149" s="242"/>
      <c r="W1149" s="242"/>
      <c r="X1149" s="242"/>
      <c r="Y1149" s="242"/>
      <c r="Z1149" s="242"/>
      <c r="AA1149" s="242"/>
      <c r="AB1149" s="242"/>
    </row>
    <row r="1150" hidden="1">
      <c r="A1150" s="244" t="s">
        <v>5856</v>
      </c>
      <c r="B1150" s="245" t="str">
        <f>VLOOKUP(A1150,'تجربه‌گرها'!B:C,2,FALSE())</f>
        <v>989191445429</v>
      </c>
      <c r="C1150" s="242"/>
      <c r="D1150" s="242">
        <f t="shared" si="1"/>
        <v>2</v>
      </c>
      <c r="E1150" s="242">
        <f>COUNTIFS('تجربه‌گرها'!$B:$B,$A1150,'تجربه‌گرها'!$F:$F,E$1)</f>
        <v>0</v>
      </c>
      <c r="F1150" s="242">
        <f>COUNTIFS('تجربه‌گرها'!$B:$B,$A1150,'تجربه‌گرها'!$F:$F,F$1)</f>
        <v>0</v>
      </c>
      <c r="G1150" s="242">
        <f>COUNTIFS('تجربه‌گرها'!$B:$B,$A1150,'تجربه‌گرها'!$F:$F,G$1)</f>
        <v>0</v>
      </c>
      <c r="H1150" s="242">
        <f>COUNTIFS('تجربه‌گرها'!$B:$B,$A1150,'تجربه‌گرها'!$F:$F,H$1)</f>
        <v>0</v>
      </c>
      <c r="I1150" s="242">
        <f>COUNTIFS('تجربه‌گرها'!$B:$B,$A1150,'تجربه‌گرها'!$F:$F,I$1)</f>
        <v>0</v>
      </c>
      <c r="J1150" s="242">
        <f>COUNTIFS('تجربه‌گرها'!$B:$B,$A1150,'تجربه‌گرها'!$F:$F,J$1)</f>
        <v>0</v>
      </c>
      <c r="K1150" s="242">
        <f>COUNTIFS('تجربه‌گرها'!$B:$B,$A1150,'تجربه‌گرها'!$F:$F,K$1)</f>
        <v>0</v>
      </c>
      <c r="L1150" s="242">
        <f>COUNTIFS('تجربه‌گرها'!$B:$B,$A1150,'تجربه‌گرها'!$F:$F,L$1)</f>
        <v>0</v>
      </c>
      <c r="M1150" s="242">
        <f>COUNTIFS('تجربه‌گرها'!$B:$B,$A1150,'تجربه‌گرها'!$F:$F,M$1)</f>
        <v>0</v>
      </c>
      <c r="N1150" s="242">
        <f>COUNTIFS('تجربه‌گرها'!$B:$B,$A1150,'تجربه‌گرها'!$F:$F,N$1)</f>
        <v>1</v>
      </c>
      <c r="O1150" s="242">
        <f>COUNTIFS('تجربه‌گرها'!$B:$B,$A1150,'تجربه‌گرها'!$F:$F,O$1)</f>
        <v>0</v>
      </c>
      <c r="P1150" s="242">
        <f>COUNTIFS('تجربه‌گرها'!$B:$B,$A1150,'تجربه‌گرها'!$F:$F,P$1)</f>
        <v>0</v>
      </c>
      <c r="Q1150" s="242">
        <f>COUNTIFS('تجربه‌گرها'!$B:$B,$A1150,'تجربه‌گرها'!$F:$F,Q$1)</f>
        <v>1</v>
      </c>
      <c r="R1150" s="242">
        <f>COUNTIFS('تجربه‌گرها'!$B:$B,$A1150,'تجربه‌گرها'!$F:$F,R$1)</f>
        <v>0</v>
      </c>
      <c r="S1150" s="242">
        <f>COUNTIFS('تجربه‌گرها'!$B:$B,$A1150,'تجربه‌گرها'!$F:$F,S$1)</f>
        <v>0</v>
      </c>
      <c r="T1150" s="242">
        <f>COUNTIFS('تجربه‌گرها'!$B:$B,$A1150,'تجربه‌گرها'!$F:$F,T$1)</f>
        <v>0</v>
      </c>
      <c r="U1150" s="242"/>
      <c r="V1150" s="242"/>
      <c r="W1150" s="242"/>
      <c r="X1150" s="242"/>
      <c r="Y1150" s="242"/>
      <c r="Z1150" s="242"/>
      <c r="AA1150" s="242"/>
      <c r="AB1150" s="242"/>
    </row>
    <row r="1151" hidden="1">
      <c r="A1151" s="244" t="s">
        <v>5858</v>
      </c>
      <c r="B1151" s="245" t="str">
        <f>VLOOKUP(A1151,'تجربه‌گرها'!B:C,2,FALSE())</f>
        <v>989121435900</v>
      </c>
      <c r="C1151" s="242"/>
      <c r="D1151" s="242">
        <f t="shared" si="1"/>
        <v>1</v>
      </c>
      <c r="E1151" s="242">
        <f>COUNTIFS('تجربه‌گرها'!$B:$B,$A1151,'تجربه‌گرها'!$F:$F,E$1)</f>
        <v>0</v>
      </c>
      <c r="F1151" s="242">
        <f>COUNTIFS('تجربه‌گرها'!$B:$B,$A1151,'تجربه‌گرها'!$F:$F,F$1)</f>
        <v>0</v>
      </c>
      <c r="G1151" s="242">
        <f>COUNTIFS('تجربه‌گرها'!$B:$B,$A1151,'تجربه‌گرها'!$F:$F,G$1)</f>
        <v>0</v>
      </c>
      <c r="H1151" s="242">
        <f>COUNTIFS('تجربه‌گرها'!$B:$B,$A1151,'تجربه‌گرها'!$F:$F,H$1)</f>
        <v>0</v>
      </c>
      <c r="I1151" s="242">
        <f>COUNTIFS('تجربه‌گرها'!$B:$B,$A1151,'تجربه‌گرها'!$F:$F,I$1)</f>
        <v>0</v>
      </c>
      <c r="J1151" s="242">
        <f>COUNTIFS('تجربه‌گرها'!$B:$B,$A1151,'تجربه‌گرها'!$F:$F,J$1)</f>
        <v>0</v>
      </c>
      <c r="K1151" s="242">
        <f>COUNTIFS('تجربه‌گرها'!$B:$B,$A1151,'تجربه‌گرها'!$F:$F,K$1)</f>
        <v>0</v>
      </c>
      <c r="L1151" s="242">
        <f>COUNTIFS('تجربه‌گرها'!$B:$B,$A1151,'تجربه‌گرها'!$F:$F,L$1)</f>
        <v>0</v>
      </c>
      <c r="M1151" s="242">
        <f>COUNTIFS('تجربه‌گرها'!$B:$B,$A1151,'تجربه‌گرها'!$F:$F,M$1)</f>
        <v>0</v>
      </c>
      <c r="N1151" s="242">
        <f>COUNTIFS('تجربه‌گرها'!$B:$B,$A1151,'تجربه‌گرها'!$F:$F,N$1)</f>
        <v>1</v>
      </c>
      <c r="O1151" s="242">
        <f>COUNTIFS('تجربه‌گرها'!$B:$B,$A1151,'تجربه‌گرها'!$F:$F,O$1)</f>
        <v>0</v>
      </c>
      <c r="P1151" s="242">
        <f>COUNTIFS('تجربه‌گرها'!$B:$B,$A1151,'تجربه‌گرها'!$F:$F,P$1)</f>
        <v>0</v>
      </c>
      <c r="Q1151" s="242">
        <f>COUNTIFS('تجربه‌گرها'!$B:$B,$A1151,'تجربه‌گرها'!$F:$F,Q$1)</f>
        <v>0</v>
      </c>
      <c r="R1151" s="242">
        <f>COUNTIFS('تجربه‌گرها'!$B:$B,$A1151,'تجربه‌گرها'!$F:$F,R$1)</f>
        <v>0</v>
      </c>
      <c r="S1151" s="242">
        <f>COUNTIFS('تجربه‌گرها'!$B:$B,$A1151,'تجربه‌گرها'!$F:$F,S$1)</f>
        <v>0</v>
      </c>
      <c r="T1151" s="242">
        <f>COUNTIFS('تجربه‌گرها'!$B:$B,$A1151,'تجربه‌گرها'!$F:$F,T$1)</f>
        <v>0</v>
      </c>
      <c r="U1151" s="242"/>
      <c r="V1151" s="242"/>
      <c r="W1151" s="242"/>
      <c r="X1151" s="242"/>
      <c r="Y1151" s="242"/>
      <c r="Z1151" s="242"/>
      <c r="AA1151" s="242"/>
      <c r="AB1151" s="242"/>
    </row>
    <row r="1152" hidden="1">
      <c r="A1152" s="244" t="s">
        <v>5860</v>
      </c>
      <c r="B1152" s="245" t="str">
        <f>VLOOKUP(A1152,'تجربه‌گرها'!B:C,2,FALSE())</f>
        <v>9120561757</v>
      </c>
      <c r="C1152" s="242"/>
      <c r="D1152" s="242">
        <f t="shared" si="1"/>
        <v>1</v>
      </c>
      <c r="E1152" s="242">
        <f>COUNTIFS('تجربه‌گرها'!$B:$B,$A1152,'تجربه‌گرها'!$F:$F,E$1)</f>
        <v>0</v>
      </c>
      <c r="F1152" s="242">
        <f>COUNTIFS('تجربه‌گرها'!$B:$B,$A1152,'تجربه‌گرها'!$F:$F,F$1)</f>
        <v>0</v>
      </c>
      <c r="G1152" s="242">
        <f>COUNTIFS('تجربه‌گرها'!$B:$B,$A1152,'تجربه‌گرها'!$F:$F,G$1)</f>
        <v>0</v>
      </c>
      <c r="H1152" s="242">
        <f>COUNTIFS('تجربه‌گرها'!$B:$B,$A1152,'تجربه‌گرها'!$F:$F,H$1)</f>
        <v>0</v>
      </c>
      <c r="I1152" s="242">
        <f>COUNTIFS('تجربه‌گرها'!$B:$B,$A1152,'تجربه‌گرها'!$F:$F,I$1)</f>
        <v>0</v>
      </c>
      <c r="J1152" s="242">
        <f>COUNTIFS('تجربه‌گرها'!$B:$B,$A1152,'تجربه‌گرها'!$F:$F,J$1)</f>
        <v>0</v>
      </c>
      <c r="K1152" s="242">
        <f>COUNTIFS('تجربه‌گرها'!$B:$B,$A1152,'تجربه‌گرها'!$F:$F,K$1)</f>
        <v>0</v>
      </c>
      <c r="L1152" s="242">
        <f>COUNTIFS('تجربه‌گرها'!$B:$B,$A1152,'تجربه‌گرها'!$F:$F,L$1)</f>
        <v>0</v>
      </c>
      <c r="M1152" s="242">
        <f>COUNTIFS('تجربه‌گرها'!$B:$B,$A1152,'تجربه‌گرها'!$F:$F,M$1)</f>
        <v>0</v>
      </c>
      <c r="N1152" s="242">
        <f>COUNTIFS('تجربه‌گرها'!$B:$B,$A1152,'تجربه‌گرها'!$F:$F,N$1)</f>
        <v>1</v>
      </c>
      <c r="O1152" s="242">
        <f>COUNTIFS('تجربه‌گرها'!$B:$B,$A1152,'تجربه‌گرها'!$F:$F,O$1)</f>
        <v>0</v>
      </c>
      <c r="P1152" s="242">
        <f>COUNTIFS('تجربه‌گرها'!$B:$B,$A1152,'تجربه‌گرها'!$F:$F,P$1)</f>
        <v>0</v>
      </c>
      <c r="Q1152" s="242">
        <f>COUNTIFS('تجربه‌گرها'!$B:$B,$A1152,'تجربه‌گرها'!$F:$F,Q$1)</f>
        <v>0</v>
      </c>
      <c r="R1152" s="242">
        <f>COUNTIFS('تجربه‌گرها'!$B:$B,$A1152,'تجربه‌گرها'!$F:$F,R$1)</f>
        <v>0</v>
      </c>
      <c r="S1152" s="242">
        <f>COUNTIFS('تجربه‌گرها'!$B:$B,$A1152,'تجربه‌گرها'!$F:$F,S$1)</f>
        <v>0</v>
      </c>
      <c r="T1152" s="242">
        <f>COUNTIFS('تجربه‌گرها'!$B:$B,$A1152,'تجربه‌گرها'!$F:$F,T$1)</f>
        <v>0</v>
      </c>
      <c r="U1152" s="242"/>
      <c r="V1152" s="242"/>
      <c r="W1152" s="242"/>
      <c r="X1152" s="242"/>
      <c r="Y1152" s="242"/>
      <c r="Z1152" s="242"/>
      <c r="AA1152" s="242"/>
      <c r="AB1152" s="242"/>
    </row>
    <row r="1153" hidden="1">
      <c r="A1153" s="244" t="s">
        <v>5863</v>
      </c>
      <c r="B1153" s="245" t="str">
        <f>VLOOKUP(A1153,'تجربه‌گرها'!B:C,2,FALSE())</f>
        <v>9122835106</v>
      </c>
      <c r="C1153" s="242"/>
      <c r="D1153" s="242">
        <f t="shared" si="1"/>
        <v>1</v>
      </c>
      <c r="E1153" s="242">
        <f>COUNTIFS('تجربه‌گرها'!$B:$B,$A1153,'تجربه‌گرها'!$F:$F,E$1)</f>
        <v>0</v>
      </c>
      <c r="F1153" s="242">
        <f>COUNTIFS('تجربه‌گرها'!$B:$B,$A1153,'تجربه‌گرها'!$F:$F,F$1)</f>
        <v>0</v>
      </c>
      <c r="G1153" s="242">
        <f>COUNTIFS('تجربه‌گرها'!$B:$B,$A1153,'تجربه‌گرها'!$F:$F,G$1)</f>
        <v>0</v>
      </c>
      <c r="H1153" s="242">
        <f>COUNTIFS('تجربه‌گرها'!$B:$B,$A1153,'تجربه‌گرها'!$F:$F,H$1)</f>
        <v>0</v>
      </c>
      <c r="I1153" s="242">
        <f>COUNTIFS('تجربه‌گرها'!$B:$B,$A1153,'تجربه‌گرها'!$F:$F,I$1)</f>
        <v>0</v>
      </c>
      <c r="J1153" s="242">
        <f>COUNTIFS('تجربه‌گرها'!$B:$B,$A1153,'تجربه‌گرها'!$F:$F,J$1)</f>
        <v>0</v>
      </c>
      <c r="K1153" s="242">
        <f>COUNTIFS('تجربه‌گرها'!$B:$B,$A1153,'تجربه‌گرها'!$F:$F,K$1)</f>
        <v>0</v>
      </c>
      <c r="L1153" s="242">
        <f>COUNTIFS('تجربه‌گرها'!$B:$B,$A1153,'تجربه‌گرها'!$F:$F,L$1)</f>
        <v>0</v>
      </c>
      <c r="M1153" s="242">
        <f>COUNTIFS('تجربه‌گرها'!$B:$B,$A1153,'تجربه‌گرها'!$F:$F,M$1)</f>
        <v>0</v>
      </c>
      <c r="N1153" s="242">
        <f>COUNTIFS('تجربه‌گرها'!$B:$B,$A1153,'تجربه‌گرها'!$F:$F,N$1)</f>
        <v>1</v>
      </c>
      <c r="O1153" s="242">
        <f>COUNTIFS('تجربه‌گرها'!$B:$B,$A1153,'تجربه‌گرها'!$F:$F,O$1)</f>
        <v>0</v>
      </c>
      <c r="P1153" s="242">
        <f>COUNTIFS('تجربه‌گرها'!$B:$B,$A1153,'تجربه‌گرها'!$F:$F,P$1)</f>
        <v>0</v>
      </c>
      <c r="Q1153" s="242">
        <f>COUNTIFS('تجربه‌گرها'!$B:$B,$A1153,'تجربه‌گرها'!$F:$F,Q$1)</f>
        <v>0</v>
      </c>
      <c r="R1153" s="242">
        <f>COUNTIFS('تجربه‌گرها'!$B:$B,$A1153,'تجربه‌گرها'!$F:$F,R$1)</f>
        <v>0</v>
      </c>
      <c r="S1153" s="242">
        <f>COUNTIFS('تجربه‌گرها'!$B:$B,$A1153,'تجربه‌گرها'!$F:$F,S$1)</f>
        <v>0</v>
      </c>
      <c r="T1153" s="242">
        <f>COUNTIFS('تجربه‌گرها'!$B:$B,$A1153,'تجربه‌گرها'!$F:$F,T$1)</f>
        <v>0</v>
      </c>
      <c r="U1153" s="242"/>
      <c r="V1153" s="242"/>
      <c r="W1153" s="242"/>
      <c r="X1153" s="242"/>
      <c r="Y1153" s="242"/>
      <c r="Z1153" s="242"/>
      <c r="AA1153" s="242"/>
      <c r="AB1153" s="242"/>
    </row>
    <row r="1154" hidden="1">
      <c r="A1154" s="244" t="s">
        <v>5865</v>
      </c>
      <c r="B1154" s="245" t="str">
        <f>VLOOKUP(A1154,'تجربه‌گرها'!B:C,2,FALSE())</f>
        <v>989134556550</v>
      </c>
      <c r="C1154" s="242"/>
      <c r="D1154" s="242">
        <f t="shared" si="1"/>
        <v>1</v>
      </c>
      <c r="E1154" s="242">
        <f>COUNTIFS('تجربه‌گرها'!$B:$B,$A1154,'تجربه‌گرها'!$F:$F,E$1)</f>
        <v>0</v>
      </c>
      <c r="F1154" s="242">
        <f>COUNTIFS('تجربه‌گرها'!$B:$B,$A1154,'تجربه‌گرها'!$F:$F,F$1)</f>
        <v>0</v>
      </c>
      <c r="G1154" s="242">
        <f>COUNTIFS('تجربه‌گرها'!$B:$B,$A1154,'تجربه‌گرها'!$F:$F,G$1)</f>
        <v>0</v>
      </c>
      <c r="H1154" s="242">
        <f>COUNTIFS('تجربه‌گرها'!$B:$B,$A1154,'تجربه‌گرها'!$F:$F,H$1)</f>
        <v>0</v>
      </c>
      <c r="I1154" s="242">
        <f>COUNTIFS('تجربه‌گرها'!$B:$B,$A1154,'تجربه‌گرها'!$F:$F,I$1)</f>
        <v>0</v>
      </c>
      <c r="J1154" s="242">
        <f>COUNTIFS('تجربه‌گرها'!$B:$B,$A1154,'تجربه‌گرها'!$F:$F,J$1)</f>
        <v>0</v>
      </c>
      <c r="K1154" s="242">
        <f>COUNTIFS('تجربه‌گرها'!$B:$B,$A1154,'تجربه‌گرها'!$F:$F,K$1)</f>
        <v>0</v>
      </c>
      <c r="L1154" s="242">
        <f>COUNTIFS('تجربه‌گرها'!$B:$B,$A1154,'تجربه‌گرها'!$F:$F,L$1)</f>
        <v>0</v>
      </c>
      <c r="M1154" s="242">
        <f>COUNTIFS('تجربه‌گرها'!$B:$B,$A1154,'تجربه‌گرها'!$F:$F,M$1)</f>
        <v>0</v>
      </c>
      <c r="N1154" s="242">
        <f>COUNTIFS('تجربه‌گرها'!$B:$B,$A1154,'تجربه‌گرها'!$F:$F,N$1)</f>
        <v>1</v>
      </c>
      <c r="O1154" s="242">
        <f>COUNTIFS('تجربه‌گرها'!$B:$B,$A1154,'تجربه‌گرها'!$F:$F,O$1)</f>
        <v>0</v>
      </c>
      <c r="P1154" s="242">
        <f>COUNTIFS('تجربه‌گرها'!$B:$B,$A1154,'تجربه‌گرها'!$F:$F,P$1)</f>
        <v>0</v>
      </c>
      <c r="Q1154" s="242">
        <f>COUNTIFS('تجربه‌گرها'!$B:$B,$A1154,'تجربه‌گرها'!$F:$F,Q$1)</f>
        <v>0</v>
      </c>
      <c r="R1154" s="242">
        <f>COUNTIFS('تجربه‌گرها'!$B:$B,$A1154,'تجربه‌گرها'!$F:$F,R$1)</f>
        <v>0</v>
      </c>
      <c r="S1154" s="242">
        <f>COUNTIFS('تجربه‌گرها'!$B:$B,$A1154,'تجربه‌گرها'!$F:$F,S$1)</f>
        <v>0</v>
      </c>
      <c r="T1154" s="242">
        <f>COUNTIFS('تجربه‌گرها'!$B:$B,$A1154,'تجربه‌گرها'!$F:$F,T$1)</f>
        <v>0</v>
      </c>
      <c r="U1154" s="242"/>
      <c r="V1154" s="242"/>
      <c r="W1154" s="242"/>
      <c r="X1154" s="242"/>
      <c r="Y1154" s="242"/>
      <c r="Z1154" s="242"/>
      <c r="AA1154" s="242"/>
      <c r="AB1154" s="242"/>
    </row>
    <row r="1155" hidden="1">
      <c r="A1155" s="244" t="s">
        <v>5867</v>
      </c>
      <c r="B1155" s="245" t="str">
        <f>VLOOKUP(A1155,'تجربه‌گرها'!B:C,2,FALSE())</f>
        <v>982632222504</v>
      </c>
      <c r="C1155" s="242"/>
      <c r="D1155" s="242">
        <f t="shared" si="1"/>
        <v>1</v>
      </c>
      <c r="E1155" s="242">
        <f>COUNTIFS('تجربه‌گرها'!$B:$B,$A1155,'تجربه‌گرها'!$F:$F,E$1)</f>
        <v>0</v>
      </c>
      <c r="F1155" s="242">
        <f>COUNTIFS('تجربه‌گرها'!$B:$B,$A1155,'تجربه‌گرها'!$F:$F,F$1)</f>
        <v>0</v>
      </c>
      <c r="G1155" s="242">
        <f>COUNTIFS('تجربه‌گرها'!$B:$B,$A1155,'تجربه‌گرها'!$F:$F,G$1)</f>
        <v>0</v>
      </c>
      <c r="H1155" s="242">
        <f>COUNTIFS('تجربه‌گرها'!$B:$B,$A1155,'تجربه‌گرها'!$F:$F,H$1)</f>
        <v>0</v>
      </c>
      <c r="I1155" s="242">
        <f>COUNTIFS('تجربه‌گرها'!$B:$B,$A1155,'تجربه‌گرها'!$F:$F,I$1)</f>
        <v>0</v>
      </c>
      <c r="J1155" s="242">
        <f>COUNTIFS('تجربه‌گرها'!$B:$B,$A1155,'تجربه‌گرها'!$F:$F,J$1)</f>
        <v>0</v>
      </c>
      <c r="K1155" s="242">
        <f>COUNTIFS('تجربه‌گرها'!$B:$B,$A1155,'تجربه‌گرها'!$F:$F,K$1)</f>
        <v>0</v>
      </c>
      <c r="L1155" s="242">
        <f>COUNTIFS('تجربه‌گرها'!$B:$B,$A1155,'تجربه‌گرها'!$F:$F,L$1)</f>
        <v>0</v>
      </c>
      <c r="M1155" s="242">
        <f>COUNTIFS('تجربه‌گرها'!$B:$B,$A1155,'تجربه‌گرها'!$F:$F,M$1)</f>
        <v>0</v>
      </c>
      <c r="N1155" s="242">
        <f>COUNTIFS('تجربه‌گرها'!$B:$B,$A1155,'تجربه‌گرها'!$F:$F,N$1)</f>
        <v>1</v>
      </c>
      <c r="O1155" s="242">
        <f>COUNTIFS('تجربه‌گرها'!$B:$B,$A1155,'تجربه‌گرها'!$F:$F,O$1)</f>
        <v>0</v>
      </c>
      <c r="P1155" s="242">
        <f>COUNTIFS('تجربه‌گرها'!$B:$B,$A1155,'تجربه‌گرها'!$F:$F,P$1)</f>
        <v>0</v>
      </c>
      <c r="Q1155" s="242">
        <f>COUNTIFS('تجربه‌گرها'!$B:$B,$A1155,'تجربه‌گرها'!$F:$F,Q$1)</f>
        <v>0</v>
      </c>
      <c r="R1155" s="242">
        <f>COUNTIFS('تجربه‌گرها'!$B:$B,$A1155,'تجربه‌گرها'!$F:$F,R$1)</f>
        <v>0</v>
      </c>
      <c r="S1155" s="242">
        <f>COUNTIFS('تجربه‌گرها'!$B:$B,$A1155,'تجربه‌گرها'!$F:$F,S$1)</f>
        <v>0</v>
      </c>
      <c r="T1155" s="242">
        <f>COUNTIFS('تجربه‌گرها'!$B:$B,$A1155,'تجربه‌گرها'!$F:$F,T$1)</f>
        <v>0</v>
      </c>
      <c r="U1155" s="242"/>
      <c r="V1155" s="242"/>
      <c r="W1155" s="242"/>
      <c r="X1155" s="242"/>
      <c r="Y1155" s="242"/>
      <c r="Z1155" s="242"/>
      <c r="AA1155" s="242"/>
      <c r="AB1155" s="242"/>
    </row>
    <row r="1156">
      <c r="A1156" s="244" t="s">
        <v>5870</v>
      </c>
      <c r="B1156" s="245" t="str">
        <f>VLOOKUP(A1156,'تجربه‌گرها'!B:C,2,FALSE())</f>
        <v>989148994632</v>
      </c>
      <c r="C1156" s="242"/>
      <c r="D1156" s="242">
        <f t="shared" si="1"/>
        <v>1</v>
      </c>
      <c r="E1156" s="242">
        <f>COUNTIFS('تجربه‌گرها'!$B:$B,$A1156,'تجربه‌گرها'!$F:$F,E$1)</f>
        <v>0</v>
      </c>
      <c r="F1156" s="242">
        <f>COUNTIFS('تجربه‌گرها'!$B:$B,$A1156,'تجربه‌گرها'!$F:$F,F$1)</f>
        <v>0</v>
      </c>
      <c r="G1156" s="242">
        <f>COUNTIFS('تجربه‌گرها'!$B:$B,$A1156,'تجربه‌گرها'!$F:$F,G$1)</f>
        <v>0</v>
      </c>
      <c r="H1156" s="242">
        <f>COUNTIFS('تجربه‌گرها'!$B:$B,$A1156,'تجربه‌گرها'!$F:$F,H$1)</f>
        <v>0</v>
      </c>
      <c r="I1156" s="242">
        <f>COUNTIFS('تجربه‌گرها'!$B:$B,$A1156,'تجربه‌گرها'!$F:$F,I$1)</f>
        <v>0</v>
      </c>
      <c r="J1156" s="242">
        <f>COUNTIFS('تجربه‌گرها'!$B:$B,$A1156,'تجربه‌گرها'!$F:$F,J$1)</f>
        <v>0</v>
      </c>
      <c r="K1156" s="242">
        <f>COUNTIFS('تجربه‌گرها'!$B:$B,$A1156,'تجربه‌گرها'!$F:$F,K$1)</f>
        <v>0</v>
      </c>
      <c r="L1156" s="242">
        <f>COUNTIFS('تجربه‌گرها'!$B:$B,$A1156,'تجربه‌گرها'!$F:$F,L$1)</f>
        <v>0</v>
      </c>
      <c r="M1156" s="242">
        <f>COUNTIFS('تجربه‌گرها'!$B:$B,$A1156,'تجربه‌گرها'!$F:$F,M$1)</f>
        <v>0</v>
      </c>
      <c r="N1156" s="242">
        <f>COUNTIFS('تجربه‌گرها'!$B:$B,$A1156,'تجربه‌گرها'!$F:$F,N$1)</f>
        <v>1</v>
      </c>
      <c r="O1156" s="242">
        <f>COUNTIFS('تجربه‌گرها'!$B:$B,$A1156,'تجربه‌گرها'!$F:$F,O$1)</f>
        <v>0</v>
      </c>
      <c r="P1156" s="242">
        <f>COUNTIFS('تجربه‌گرها'!$B:$B,$A1156,'تجربه‌گرها'!$F:$F,P$1)</f>
        <v>0</v>
      </c>
      <c r="Q1156" s="242">
        <f>COUNTIFS('تجربه‌گرها'!$B:$B,$A1156,'تجربه‌گرها'!$F:$F,Q$1)</f>
        <v>0</v>
      </c>
      <c r="R1156" s="242">
        <f>COUNTIFS('تجربه‌گرها'!$B:$B,$A1156,'تجربه‌گرها'!$F:$F,R$1)</f>
        <v>0</v>
      </c>
      <c r="S1156" s="242">
        <f>COUNTIFS('تجربه‌گرها'!$B:$B,$A1156,'تجربه‌گرها'!$F:$F,S$1)</f>
        <v>0</v>
      </c>
      <c r="T1156" s="242">
        <f>COUNTIFS('تجربه‌گرها'!$B:$B,$A1156,'تجربه‌گرها'!$F:$F,T$1)</f>
        <v>0</v>
      </c>
      <c r="U1156" s="242"/>
      <c r="V1156" s="242"/>
      <c r="W1156" s="242"/>
      <c r="X1156" s="242"/>
      <c r="Y1156" s="242"/>
      <c r="Z1156" s="242"/>
      <c r="AA1156" s="242"/>
      <c r="AB1156" s="242"/>
    </row>
    <row r="1157" hidden="1">
      <c r="A1157" s="244" t="s">
        <v>5873</v>
      </c>
      <c r="B1157" s="245" t="str">
        <f>VLOOKUP(A1157,'تجربه‌گرها'!B:C,2,FALSE())</f>
        <v>989128505062</v>
      </c>
      <c r="C1157" s="242"/>
      <c r="D1157" s="242">
        <f t="shared" si="1"/>
        <v>1</v>
      </c>
      <c r="E1157" s="242">
        <f>COUNTIFS('تجربه‌گرها'!$B:$B,$A1157,'تجربه‌گرها'!$F:$F,E$1)</f>
        <v>0</v>
      </c>
      <c r="F1157" s="242">
        <f>COUNTIFS('تجربه‌گرها'!$B:$B,$A1157,'تجربه‌گرها'!$F:$F,F$1)</f>
        <v>0</v>
      </c>
      <c r="G1157" s="242">
        <f>COUNTIFS('تجربه‌گرها'!$B:$B,$A1157,'تجربه‌گرها'!$F:$F,G$1)</f>
        <v>0</v>
      </c>
      <c r="H1157" s="242">
        <f>COUNTIFS('تجربه‌گرها'!$B:$B,$A1157,'تجربه‌گرها'!$F:$F,H$1)</f>
        <v>0</v>
      </c>
      <c r="I1157" s="242">
        <f>COUNTIFS('تجربه‌گرها'!$B:$B,$A1157,'تجربه‌گرها'!$F:$F,I$1)</f>
        <v>0</v>
      </c>
      <c r="J1157" s="242">
        <f>COUNTIFS('تجربه‌گرها'!$B:$B,$A1157,'تجربه‌گرها'!$F:$F,J$1)</f>
        <v>0</v>
      </c>
      <c r="K1157" s="242">
        <f>COUNTIFS('تجربه‌گرها'!$B:$B,$A1157,'تجربه‌گرها'!$F:$F,K$1)</f>
        <v>0</v>
      </c>
      <c r="L1157" s="242">
        <f>COUNTIFS('تجربه‌گرها'!$B:$B,$A1157,'تجربه‌گرها'!$F:$F,L$1)</f>
        <v>0</v>
      </c>
      <c r="M1157" s="242">
        <f>COUNTIFS('تجربه‌گرها'!$B:$B,$A1157,'تجربه‌گرها'!$F:$F,M$1)</f>
        <v>0</v>
      </c>
      <c r="N1157" s="242">
        <f>COUNTIFS('تجربه‌گرها'!$B:$B,$A1157,'تجربه‌گرها'!$F:$F,N$1)</f>
        <v>1</v>
      </c>
      <c r="O1157" s="242">
        <f>COUNTIFS('تجربه‌گرها'!$B:$B,$A1157,'تجربه‌گرها'!$F:$F,O$1)</f>
        <v>0</v>
      </c>
      <c r="P1157" s="242">
        <f>COUNTIFS('تجربه‌گرها'!$B:$B,$A1157,'تجربه‌گرها'!$F:$F,P$1)</f>
        <v>0</v>
      </c>
      <c r="Q1157" s="242">
        <f>COUNTIFS('تجربه‌گرها'!$B:$B,$A1157,'تجربه‌گرها'!$F:$F,Q$1)</f>
        <v>0</v>
      </c>
      <c r="R1157" s="242">
        <f>COUNTIFS('تجربه‌گرها'!$B:$B,$A1157,'تجربه‌گرها'!$F:$F,R$1)</f>
        <v>0</v>
      </c>
      <c r="S1157" s="242">
        <f>COUNTIFS('تجربه‌گرها'!$B:$B,$A1157,'تجربه‌گرها'!$F:$F,S$1)</f>
        <v>0</v>
      </c>
      <c r="T1157" s="242">
        <f>COUNTIFS('تجربه‌گرها'!$B:$B,$A1157,'تجربه‌گرها'!$F:$F,T$1)</f>
        <v>0</v>
      </c>
      <c r="U1157" s="242"/>
      <c r="V1157" s="242"/>
      <c r="W1157" s="242"/>
      <c r="X1157" s="242"/>
      <c r="Y1157" s="242"/>
      <c r="Z1157" s="242"/>
      <c r="AA1157" s="242"/>
      <c r="AB1157" s="242"/>
    </row>
    <row r="1158">
      <c r="A1158" s="244" t="s">
        <v>5876</v>
      </c>
      <c r="B1158" s="245" t="str">
        <f>VLOOKUP(A1158,'تجربه‌گرها'!B:C,2,FALSE())</f>
        <v>989126261105</v>
      </c>
      <c r="C1158" s="242"/>
      <c r="D1158" s="242">
        <f t="shared" si="1"/>
        <v>1</v>
      </c>
      <c r="E1158" s="242">
        <f>COUNTIFS('تجربه‌گرها'!$B:$B,$A1158,'تجربه‌گرها'!$F:$F,E$1)</f>
        <v>0</v>
      </c>
      <c r="F1158" s="242">
        <f>COUNTIFS('تجربه‌گرها'!$B:$B,$A1158,'تجربه‌گرها'!$F:$F,F$1)</f>
        <v>0</v>
      </c>
      <c r="G1158" s="242">
        <f>COUNTIFS('تجربه‌گرها'!$B:$B,$A1158,'تجربه‌گرها'!$F:$F,G$1)</f>
        <v>0</v>
      </c>
      <c r="H1158" s="242">
        <f>COUNTIFS('تجربه‌گرها'!$B:$B,$A1158,'تجربه‌گرها'!$F:$F,H$1)</f>
        <v>0</v>
      </c>
      <c r="I1158" s="242">
        <f>COUNTIFS('تجربه‌گرها'!$B:$B,$A1158,'تجربه‌گرها'!$F:$F,I$1)</f>
        <v>0</v>
      </c>
      <c r="J1158" s="242">
        <f>COUNTIFS('تجربه‌گرها'!$B:$B,$A1158,'تجربه‌گرها'!$F:$F,J$1)</f>
        <v>0</v>
      </c>
      <c r="K1158" s="242">
        <f>COUNTIFS('تجربه‌گرها'!$B:$B,$A1158,'تجربه‌گرها'!$F:$F,K$1)</f>
        <v>0</v>
      </c>
      <c r="L1158" s="242">
        <f>COUNTIFS('تجربه‌گرها'!$B:$B,$A1158,'تجربه‌گرها'!$F:$F,L$1)</f>
        <v>0</v>
      </c>
      <c r="M1158" s="242">
        <f>COUNTIFS('تجربه‌گرها'!$B:$B,$A1158,'تجربه‌گرها'!$F:$F,M$1)</f>
        <v>0</v>
      </c>
      <c r="N1158" s="242">
        <f>COUNTIFS('تجربه‌گرها'!$B:$B,$A1158,'تجربه‌گرها'!$F:$F,N$1)</f>
        <v>1</v>
      </c>
      <c r="O1158" s="242">
        <f>COUNTIFS('تجربه‌گرها'!$B:$B,$A1158,'تجربه‌گرها'!$F:$F,O$1)</f>
        <v>0</v>
      </c>
      <c r="P1158" s="242">
        <f>COUNTIFS('تجربه‌گرها'!$B:$B,$A1158,'تجربه‌گرها'!$F:$F,P$1)</f>
        <v>0</v>
      </c>
      <c r="Q1158" s="242">
        <f>COUNTIFS('تجربه‌گرها'!$B:$B,$A1158,'تجربه‌گرها'!$F:$F,Q$1)</f>
        <v>0</v>
      </c>
      <c r="R1158" s="242">
        <f>COUNTIFS('تجربه‌گرها'!$B:$B,$A1158,'تجربه‌گرها'!$F:$F,R$1)</f>
        <v>0</v>
      </c>
      <c r="S1158" s="242">
        <f>COUNTIFS('تجربه‌گرها'!$B:$B,$A1158,'تجربه‌گرها'!$F:$F,S$1)</f>
        <v>0</v>
      </c>
      <c r="T1158" s="242">
        <f>COUNTIFS('تجربه‌گرها'!$B:$B,$A1158,'تجربه‌گرها'!$F:$F,T$1)</f>
        <v>0</v>
      </c>
      <c r="U1158" s="242"/>
      <c r="V1158" s="242"/>
      <c r="W1158" s="242"/>
      <c r="X1158" s="242"/>
      <c r="Y1158" s="242"/>
      <c r="Z1158" s="242"/>
      <c r="AA1158" s="242"/>
      <c r="AB1158" s="242"/>
    </row>
    <row r="1159" hidden="1">
      <c r="A1159" s="244" t="s">
        <v>5879</v>
      </c>
      <c r="B1159" s="245" t="str">
        <f>VLOOKUP(A1159,'تجربه‌گرها'!B:C,2,FALSE())</f>
        <v>989107788767</v>
      </c>
      <c r="C1159" s="242"/>
      <c r="D1159" s="242">
        <f t="shared" si="1"/>
        <v>1</v>
      </c>
      <c r="E1159" s="242">
        <f>COUNTIFS('تجربه‌گرها'!$B:$B,$A1159,'تجربه‌گرها'!$F:$F,E$1)</f>
        <v>0</v>
      </c>
      <c r="F1159" s="242">
        <f>COUNTIFS('تجربه‌گرها'!$B:$B,$A1159,'تجربه‌گرها'!$F:$F,F$1)</f>
        <v>0</v>
      </c>
      <c r="G1159" s="242">
        <f>COUNTIFS('تجربه‌گرها'!$B:$B,$A1159,'تجربه‌گرها'!$F:$F,G$1)</f>
        <v>0</v>
      </c>
      <c r="H1159" s="242">
        <f>COUNTIFS('تجربه‌گرها'!$B:$B,$A1159,'تجربه‌گرها'!$F:$F,H$1)</f>
        <v>0</v>
      </c>
      <c r="I1159" s="242">
        <f>COUNTIFS('تجربه‌گرها'!$B:$B,$A1159,'تجربه‌گرها'!$F:$F,I$1)</f>
        <v>0</v>
      </c>
      <c r="J1159" s="242">
        <f>COUNTIFS('تجربه‌گرها'!$B:$B,$A1159,'تجربه‌گرها'!$F:$F,J$1)</f>
        <v>0</v>
      </c>
      <c r="K1159" s="242">
        <f>COUNTIFS('تجربه‌گرها'!$B:$B,$A1159,'تجربه‌گرها'!$F:$F,K$1)</f>
        <v>0</v>
      </c>
      <c r="L1159" s="242">
        <f>COUNTIFS('تجربه‌گرها'!$B:$B,$A1159,'تجربه‌گرها'!$F:$F,L$1)</f>
        <v>0</v>
      </c>
      <c r="M1159" s="242">
        <f>COUNTIFS('تجربه‌گرها'!$B:$B,$A1159,'تجربه‌گرها'!$F:$F,M$1)</f>
        <v>0</v>
      </c>
      <c r="N1159" s="242">
        <f>COUNTIFS('تجربه‌گرها'!$B:$B,$A1159,'تجربه‌گرها'!$F:$F,N$1)</f>
        <v>1</v>
      </c>
      <c r="O1159" s="242">
        <f>COUNTIFS('تجربه‌گرها'!$B:$B,$A1159,'تجربه‌گرها'!$F:$F,O$1)</f>
        <v>0</v>
      </c>
      <c r="P1159" s="242">
        <f>COUNTIFS('تجربه‌گرها'!$B:$B,$A1159,'تجربه‌گرها'!$F:$F,P$1)</f>
        <v>0</v>
      </c>
      <c r="Q1159" s="242">
        <f>COUNTIFS('تجربه‌گرها'!$B:$B,$A1159,'تجربه‌گرها'!$F:$F,Q$1)</f>
        <v>0</v>
      </c>
      <c r="R1159" s="242">
        <f>COUNTIFS('تجربه‌گرها'!$B:$B,$A1159,'تجربه‌گرها'!$F:$F,R$1)</f>
        <v>0</v>
      </c>
      <c r="S1159" s="242">
        <f>COUNTIFS('تجربه‌گرها'!$B:$B,$A1159,'تجربه‌گرها'!$F:$F,S$1)</f>
        <v>0</v>
      </c>
      <c r="T1159" s="242">
        <f>COUNTIFS('تجربه‌گرها'!$B:$B,$A1159,'تجربه‌گرها'!$F:$F,T$1)</f>
        <v>0</v>
      </c>
      <c r="U1159" s="242"/>
      <c r="V1159" s="242"/>
      <c r="W1159" s="242"/>
      <c r="X1159" s="242"/>
      <c r="Y1159" s="242"/>
      <c r="Z1159" s="242"/>
      <c r="AA1159" s="242"/>
      <c r="AB1159" s="242"/>
    </row>
    <row r="1160" hidden="1">
      <c r="A1160" s="244" t="s">
        <v>5881</v>
      </c>
      <c r="B1160" s="245" t="str">
        <f>VLOOKUP(A1160,'تجربه‌گرها'!B:C,2,FALSE())</f>
        <v>989361134762</v>
      </c>
      <c r="C1160" s="242"/>
      <c r="D1160" s="242">
        <f t="shared" si="1"/>
        <v>1</v>
      </c>
      <c r="E1160" s="242">
        <f>COUNTIFS('تجربه‌گرها'!$B:$B,$A1160,'تجربه‌گرها'!$F:$F,E$1)</f>
        <v>0</v>
      </c>
      <c r="F1160" s="242">
        <f>COUNTIFS('تجربه‌گرها'!$B:$B,$A1160,'تجربه‌گرها'!$F:$F,F$1)</f>
        <v>0</v>
      </c>
      <c r="G1160" s="242">
        <f>COUNTIFS('تجربه‌گرها'!$B:$B,$A1160,'تجربه‌گرها'!$F:$F,G$1)</f>
        <v>0</v>
      </c>
      <c r="H1160" s="242">
        <f>COUNTIFS('تجربه‌گرها'!$B:$B,$A1160,'تجربه‌گرها'!$F:$F,H$1)</f>
        <v>0</v>
      </c>
      <c r="I1160" s="242">
        <f>COUNTIFS('تجربه‌گرها'!$B:$B,$A1160,'تجربه‌گرها'!$F:$F,I$1)</f>
        <v>0</v>
      </c>
      <c r="J1160" s="242">
        <f>COUNTIFS('تجربه‌گرها'!$B:$B,$A1160,'تجربه‌گرها'!$F:$F,J$1)</f>
        <v>0</v>
      </c>
      <c r="K1160" s="242">
        <f>COUNTIFS('تجربه‌گرها'!$B:$B,$A1160,'تجربه‌گرها'!$F:$F,K$1)</f>
        <v>0</v>
      </c>
      <c r="L1160" s="242">
        <f>COUNTIFS('تجربه‌گرها'!$B:$B,$A1160,'تجربه‌گرها'!$F:$F,L$1)</f>
        <v>0</v>
      </c>
      <c r="M1160" s="242">
        <f>COUNTIFS('تجربه‌گرها'!$B:$B,$A1160,'تجربه‌گرها'!$F:$F,M$1)</f>
        <v>0</v>
      </c>
      <c r="N1160" s="242">
        <f>COUNTIFS('تجربه‌گرها'!$B:$B,$A1160,'تجربه‌گرها'!$F:$F,N$1)</f>
        <v>1</v>
      </c>
      <c r="O1160" s="242">
        <f>COUNTIFS('تجربه‌گرها'!$B:$B,$A1160,'تجربه‌گرها'!$F:$F,O$1)</f>
        <v>0</v>
      </c>
      <c r="P1160" s="242">
        <f>COUNTIFS('تجربه‌گرها'!$B:$B,$A1160,'تجربه‌گرها'!$F:$F,P$1)</f>
        <v>0</v>
      </c>
      <c r="Q1160" s="242">
        <f>COUNTIFS('تجربه‌گرها'!$B:$B,$A1160,'تجربه‌گرها'!$F:$F,Q$1)</f>
        <v>0</v>
      </c>
      <c r="R1160" s="242">
        <f>COUNTIFS('تجربه‌گرها'!$B:$B,$A1160,'تجربه‌گرها'!$F:$F,R$1)</f>
        <v>0</v>
      </c>
      <c r="S1160" s="242">
        <f>COUNTIFS('تجربه‌گرها'!$B:$B,$A1160,'تجربه‌گرها'!$F:$F,S$1)</f>
        <v>0</v>
      </c>
      <c r="T1160" s="242">
        <f>COUNTIFS('تجربه‌گرها'!$B:$B,$A1160,'تجربه‌گرها'!$F:$F,T$1)</f>
        <v>0</v>
      </c>
      <c r="U1160" s="242"/>
      <c r="V1160" s="242"/>
      <c r="W1160" s="242"/>
      <c r="X1160" s="242"/>
      <c r="Y1160" s="242"/>
      <c r="Z1160" s="242"/>
      <c r="AA1160" s="242"/>
      <c r="AB1160" s="242"/>
    </row>
    <row r="1161" hidden="1">
      <c r="A1161" s="244" t="s">
        <v>5883</v>
      </c>
      <c r="B1161" s="245" t="str">
        <f>VLOOKUP(A1161,'تجربه‌گرها'!B:C,2,FALSE())</f>
        <v>989122842909</v>
      </c>
      <c r="C1161" s="242"/>
      <c r="D1161" s="242">
        <f t="shared" si="1"/>
        <v>1</v>
      </c>
      <c r="E1161" s="242">
        <f>COUNTIFS('تجربه‌گرها'!$B:$B,$A1161,'تجربه‌گرها'!$F:$F,E$1)</f>
        <v>0</v>
      </c>
      <c r="F1161" s="242">
        <f>COUNTIFS('تجربه‌گرها'!$B:$B,$A1161,'تجربه‌گرها'!$F:$F,F$1)</f>
        <v>0</v>
      </c>
      <c r="G1161" s="242">
        <f>COUNTIFS('تجربه‌گرها'!$B:$B,$A1161,'تجربه‌گرها'!$F:$F,G$1)</f>
        <v>0</v>
      </c>
      <c r="H1161" s="242">
        <f>COUNTIFS('تجربه‌گرها'!$B:$B,$A1161,'تجربه‌گرها'!$F:$F,H$1)</f>
        <v>0</v>
      </c>
      <c r="I1161" s="242">
        <f>COUNTIFS('تجربه‌گرها'!$B:$B,$A1161,'تجربه‌گرها'!$F:$F,I$1)</f>
        <v>0</v>
      </c>
      <c r="J1161" s="242">
        <f>COUNTIFS('تجربه‌گرها'!$B:$B,$A1161,'تجربه‌گرها'!$F:$F,J$1)</f>
        <v>0</v>
      </c>
      <c r="K1161" s="242">
        <f>COUNTIFS('تجربه‌گرها'!$B:$B,$A1161,'تجربه‌گرها'!$F:$F,K$1)</f>
        <v>0</v>
      </c>
      <c r="L1161" s="242">
        <f>COUNTIFS('تجربه‌گرها'!$B:$B,$A1161,'تجربه‌گرها'!$F:$F,L$1)</f>
        <v>0</v>
      </c>
      <c r="M1161" s="242">
        <f>COUNTIFS('تجربه‌گرها'!$B:$B,$A1161,'تجربه‌گرها'!$F:$F,M$1)</f>
        <v>0</v>
      </c>
      <c r="N1161" s="242">
        <f>COUNTIFS('تجربه‌گرها'!$B:$B,$A1161,'تجربه‌گرها'!$F:$F,N$1)</f>
        <v>1</v>
      </c>
      <c r="O1161" s="242">
        <f>COUNTIFS('تجربه‌گرها'!$B:$B,$A1161,'تجربه‌گرها'!$F:$F,O$1)</f>
        <v>0</v>
      </c>
      <c r="P1161" s="242">
        <f>COUNTIFS('تجربه‌گرها'!$B:$B,$A1161,'تجربه‌گرها'!$F:$F,P$1)</f>
        <v>0</v>
      </c>
      <c r="Q1161" s="242">
        <f>COUNTIFS('تجربه‌گرها'!$B:$B,$A1161,'تجربه‌گرها'!$F:$F,Q$1)</f>
        <v>0</v>
      </c>
      <c r="R1161" s="242">
        <f>COUNTIFS('تجربه‌گرها'!$B:$B,$A1161,'تجربه‌گرها'!$F:$F,R$1)</f>
        <v>0</v>
      </c>
      <c r="S1161" s="242">
        <f>COUNTIFS('تجربه‌گرها'!$B:$B,$A1161,'تجربه‌گرها'!$F:$F,S$1)</f>
        <v>0</v>
      </c>
      <c r="T1161" s="242">
        <f>COUNTIFS('تجربه‌گرها'!$B:$B,$A1161,'تجربه‌گرها'!$F:$F,T$1)</f>
        <v>0</v>
      </c>
      <c r="U1161" s="242"/>
      <c r="V1161" s="242"/>
      <c r="W1161" s="242"/>
      <c r="X1161" s="242"/>
      <c r="Y1161" s="242"/>
      <c r="Z1161" s="242"/>
      <c r="AA1161" s="242"/>
      <c r="AB1161" s="242"/>
    </row>
    <row r="1162" hidden="1">
      <c r="A1162" s="244" t="s">
        <v>5885</v>
      </c>
      <c r="B1162" s="245" t="str">
        <f>VLOOKUP(A1162,'تجربه‌گرها'!B:C,2,FALSE())</f>
        <v>989121225362</v>
      </c>
      <c r="C1162" s="242"/>
      <c r="D1162" s="242">
        <f t="shared" si="1"/>
        <v>1</v>
      </c>
      <c r="E1162" s="242">
        <f>COUNTIFS('تجربه‌گرها'!$B:$B,$A1162,'تجربه‌گرها'!$F:$F,E$1)</f>
        <v>0</v>
      </c>
      <c r="F1162" s="242">
        <f>COUNTIFS('تجربه‌گرها'!$B:$B,$A1162,'تجربه‌گرها'!$F:$F,F$1)</f>
        <v>0</v>
      </c>
      <c r="G1162" s="242">
        <f>COUNTIFS('تجربه‌گرها'!$B:$B,$A1162,'تجربه‌گرها'!$F:$F,G$1)</f>
        <v>0</v>
      </c>
      <c r="H1162" s="242">
        <f>COUNTIFS('تجربه‌گرها'!$B:$B,$A1162,'تجربه‌گرها'!$F:$F,H$1)</f>
        <v>0</v>
      </c>
      <c r="I1162" s="242">
        <f>COUNTIFS('تجربه‌گرها'!$B:$B,$A1162,'تجربه‌گرها'!$F:$F,I$1)</f>
        <v>0</v>
      </c>
      <c r="J1162" s="242">
        <f>COUNTIFS('تجربه‌گرها'!$B:$B,$A1162,'تجربه‌گرها'!$F:$F,J$1)</f>
        <v>0</v>
      </c>
      <c r="K1162" s="242">
        <f>COUNTIFS('تجربه‌گرها'!$B:$B,$A1162,'تجربه‌گرها'!$F:$F,K$1)</f>
        <v>0</v>
      </c>
      <c r="L1162" s="242">
        <f>COUNTIFS('تجربه‌گرها'!$B:$B,$A1162,'تجربه‌گرها'!$F:$F,L$1)</f>
        <v>0</v>
      </c>
      <c r="M1162" s="242">
        <f>COUNTIFS('تجربه‌گرها'!$B:$B,$A1162,'تجربه‌گرها'!$F:$F,M$1)</f>
        <v>0</v>
      </c>
      <c r="N1162" s="242">
        <f>COUNTIFS('تجربه‌گرها'!$B:$B,$A1162,'تجربه‌گرها'!$F:$F,N$1)</f>
        <v>1</v>
      </c>
      <c r="O1162" s="242">
        <f>COUNTIFS('تجربه‌گرها'!$B:$B,$A1162,'تجربه‌گرها'!$F:$F,O$1)</f>
        <v>0</v>
      </c>
      <c r="P1162" s="242">
        <f>COUNTIFS('تجربه‌گرها'!$B:$B,$A1162,'تجربه‌گرها'!$F:$F,P$1)</f>
        <v>0</v>
      </c>
      <c r="Q1162" s="242">
        <f>COUNTIFS('تجربه‌گرها'!$B:$B,$A1162,'تجربه‌گرها'!$F:$F,Q$1)</f>
        <v>0</v>
      </c>
      <c r="R1162" s="242">
        <f>COUNTIFS('تجربه‌گرها'!$B:$B,$A1162,'تجربه‌گرها'!$F:$F,R$1)</f>
        <v>0</v>
      </c>
      <c r="S1162" s="242">
        <f>COUNTIFS('تجربه‌گرها'!$B:$B,$A1162,'تجربه‌گرها'!$F:$F,S$1)</f>
        <v>0</v>
      </c>
      <c r="T1162" s="242">
        <f>COUNTIFS('تجربه‌گرها'!$B:$B,$A1162,'تجربه‌گرها'!$F:$F,T$1)</f>
        <v>0</v>
      </c>
      <c r="U1162" s="242"/>
      <c r="V1162" s="242"/>
      <c r="W1162" s="242"/>
      <c r="X1162" s="242"/>
      <c r="Y1162" s="242"/>
      <c r="Z1162" s="242"/>
      <c r="AA1162" s="242"/>
      <c r="AB1162" s="242"/>
    </row>
    <row r="1163" hidden="1">
      <c r="A1163" s="244" t="s">
        <v>5888</v>
      </c>
      <c r="B1163" s="245" t="str">
        <f>VLOOKUP(A1163,'تجربه‌گرها'!B:C,2,FALSE())</f>
        <v>989038651446</v>
      </c>
      <c r="C1163" s="242"/>
      <c r="D1163" s="242">
        <f t="shared" si="1"/>
        <v>1</v>
      </c>
      <c r="E1163" s="242">
        <f>COUNTIFS('تجربه‌گرها'!$B:$B,$A1163,'تجربه‌گرها'!$F:$F,E$1)</f>
        <v>0</v>
      </c>
      <c r="F1163" s="242">
        <f>COUNTIFS('تجربه‌گرها'!$B:$B,$A1163,'تجربه‌گرها'!$F:$F,F$1)</f>
        <v>0</v>
      </c>
      <c r="G1163" s="242">
        <f>COUNTIFS('تجربه‌گرها'!$B:$B,$A1163,'تجربه‌گرها'!$F:$F,G$1)</f>
        <v>0</v>
      </c>
      <c r="H1163" s="242">
        <f>COUNTIFS('تجربه‌گرها'!$B:$B,$A1163,'تجربه‌گرها'!$F:$F,H$1)</f>
        <v>0</v>
      </c>
      <c r="I1163" s="242">
        <f>COUNTIFS('تجربه‌گرها'!$B:$B,$A1163,'تجربه‌گرها'!$F:$F,I$1)</f>
        <v>0</v>
      </c>
      <c r="J1163" s="242">
        <f>COUNTIFS('تجربه‌گرها'!$B:$B,$A1163,'تجربه‌گرها'!$F:$F,J$1)</f>
        <v>0</v>
      </c>
      <c r="K1163" s="242">
        <f>COUNTIFS('تجربه‌گرها'!$B:$B,$A1163,'تجربه‌گرها'!$F:$F,K$1)</f>
        <v>0</v>
      </c>
      <c r="L1163" s="242">
        <f>COUNTIFS('تجربه‌گرها'!$B:$B,$A1163,'تجربه‌گرها'!$F:$F,L$1)</f>
        <v>0</v>
      </c>
      <c r="M1163" s="242">
        <f>COUNTIFS('تجربه‌گرها'!$B:$B,$A1163,'تجربه‌گرها'!$F:$F,M$1)</f>
        <v>0</v>
      </c>
      <c r="N1163" s="242">
        <f>COUNTIFS('تجربه‌گرها'!$B:$B,$A1163,'تجربه‌گرها'!$F:$F,N$1)</f>
        <v>1</v>
      </c>
      <c r="O1163" s="242">
        <f>COUNTIFS('تجربه‌گرها'!$B:$B,$A1163,'تجربه‌گرها'!$F:$F,O$1)</f>
        <v>0</v>
      </c>
      <c r="P1163" s="242">
        <f>COUNTIFS('تجربه‌گرها'!$B:$B,$A1163,'تجربه‌گرها'!$F:$F,P$1)</f>
        <v>0</v>
      </c>
      <c r="Q1163" s="242">
        <f>COUNTIFS('تجربه‌گرها'!$B:$B,$A1163,'تجربه‌گرها'!$F:$F,Q$1)</f>
        <v>0</v>
      </c>
      <c r="R1163" s="242">
        <f>COUNTIFS('تجربه‌گرها'!$B:$B,$A1163,'تجربه‌گرها'!$F:$F,R$1)</f>
        <v>0</v>
      </c>
      <c r="S1163" s="242">
        <f>COUNTIFS('تجربه‌گرها'!$B:$B,$A1163,'تجربه‌گرها'!$F:$F,S$1)</f>
        <v>0</v>
      </c>
      <c r="T1163" s="242">
        <f>COUNTIFS('تجربه‌گرها'!$B:$B,$A1163,'تجربه‌گرها'!$F:$F,T$1)</f>
        <v>0</v>
      </c>
      <c r="U1163" s="242"/>
      <c r="V1163" s="242"/>
      <c r="W1163" s="242"/>
      <c r="X1163" s="242"/>
      <c r="Y1163" s="242"/>
      <c r="Z1163" s="242"/>
      <c r="AA1163" s="242"/>
      <c r="AB1163" s="242"/>
    </row>
    <row r="1164" hidden="1">
      <c r="A1164" s="244" t="s">
        <v>5891</v>
      </c>
      <c r="B1164" s="245" t="str">
        <f>VLOOKUP(A1164,'تجربه‌گرها'!B:C,2,FALSE())</f>
        <v>989121131743</v>
      </c>
      <c r="C1164" s="242"/>
      <c r="D1164" s="242">
        <f t="shared" si="1"/>
        <v>1</v>
      </c>
      <c r="E1164" s="242">
        <f>COUNTIFS('تجربه‌گرها'!$B:$B,$A1164,'تجربه‌گرها'!$F:$F,E$1)</f>
        <v>0</v>
      </c>
      <c r="F1164" s="242">
        <f>COUNTIFS('تجربه‌گرها'!$B:$B,$A1164,'تجربه‌گرها'!$F:$F,F$1)</f>
        <v>0</v>
      </c>
      <c r="G1164" s="242">
        <f>COUNTIFS('تجربه‌گرها'!$B:$B,$A1164,'تجربه‌گرها'!$F:$F,G$1)</f>
        <v>0</v>
      </c>
      <c r="H1164" s="242">
        <f>COUNTIFS('تجربه‌گرها'!$B:$B,$A1164,'تجربه‌گرها'!$F:$F,H$1)</f>
        <v>0</v>
      </c>
      <c r="I1164" s="242">
        <f>COUNTIFS('تجربه‌گرها'!$B:$B,$A1164,'تجربه‌گرها'!$F:$F,I$1)</f>
        <v>0</v>
      </c>
      <c r="J1164" s="242">
        <f>COUNTIFS('تجربه‌گرها'!$B:$B,$A1164,'تجربه‌گرها'!$F:$F,J$1)</f>
        <v>0</v>
      </c>
      <c r="K1164" s="242">
        <f>COUNTIFS('تجربه‌گرها'!$B:$B,$A1164,'تجربه‌گرها'!$F:$F,K$1)</f>
        <v>0</v>
      </c>
      <c r="L1164" s="242">
        <f>COUNTIFS('تجربه‌گرها'!$B:$B,$A1164,'تجربه‌گرها'!$F:$F,L$1)</f>
        <v>0</v>
      </c>
      <c r="M1164" s="242">
        <f>COUNTIFS('تجربه‌گرها'!$B:$B,$A1164,'تجربه‌گرها'!$F:$F,M$1)</f>
        <v>0</v>
      </c>
      <c r="N1164" s="242">
        <f>COUNTIFS('تجربه‌گرها'!$B:$B,$A1164,'تجربه‌گرها'!$F:$F,N$1)</f>
        <v>1</v>
      </c>
      <c r="O1164" s="242">
        <f>COUNTIFS('تجربه‌گرها'!$B:$B,$A1164,'تجربه‌گرها'!$F:$F,O$1)</f>
        <v>0</v>
      </c>
      <c r="P1164" s="242">
        <f>COUNTIFS('تجربه‌گرها'!$B:$B,$A1164,'تجربه‌گرها'!$F:$F,P$1)</f>
        <v>0</v>
      </c>
      <c r="Q1164" s="242">
        <f>COUNTIFS('تجربه‌گرها'!$B:$B,$A1164,'تجربه‌گرها'!$F:$F,Q$1)</f>
        <v>0</v>
      </c>
      <c r="R1164" s="242">
        <f>COUNTIFS('تجربه‌گرها'!$B:$B,$A1164,'تجربه‌گرها'!$F:$F,R$1)</f>
        <v>0</v>
      </c>
      <c r="S1164" s="242">
        <f>COUNTIFS('تجربه‌گرها'!$B:$B,$A1164,'تجربه‌گرها'!$F:$F,S$1)</f>
        <v>0</v>
      </c>
      <c r="T1164" s="242">
        <f>COUNTIFS('تجربه‌گرها'!$B:$B,$A1164,'تجربه‌گرها'!$F:$F,T$1)</f>
        <v>0</v>
      </c>
      <c r="U1164" s="242"/>
      <c r="V1164" s="242"/>
      <c r="W1164" s="242"/>
      <c r="X1164" s="242"/>
      <c r="Y1164" s="242"/>
      <c r="Z1164" s="242"/>
      <c r="AA1164" s="242"/>
      <c r="AB1164" s="242"/>
    </row>
    <row r="1165" hidden="1">
      <c r="A1165" s="244" t="s">
        <v>5894</v>
      </c>
      <c r="B1165" s="245" t="str">
        <f>VLOOKUP(A1165,'تجربه‌گرها'!B:C,2,FALSE())</f>
        <v>9123370623</v>
      </c>
      <c r="C1165" s="242"/>
      <c r="D1165" s="242">
        <f t="shared" si="1"/>
        <v>1</v>
      </c>
      <c r="E1165" s="242">
        <f>COUNTIFS('تجربه‌گرها'!$B:$B,$A1165,'تجربه‌گرها'!$F:$F,E$1)</f>
        <v>0</v>
      </c>
      <c r="F1165" s="242">
        <f>COUNTIFS('تجربه‌گرها'!$B:$B,$A1165,'تجربه‌گرها'!$F:$F,F$1)</f>
        <v>0</v>
      </c>
      <c r="G1165" s="242">
        <f>COUNTIFS('تجربه‌گرها'!$B:$B,$A1165,'تجربه‌گرها'!$F:$F,G$1)</f>
        <v>0</v>
      </c>
      <c r="H1165" s="242">
        <f>COUNTIFS('تجربه‌گرها'!$B:$B,$A1165,'تجربه‌گرها'!$F:$F,H$1)</f>
        <v>0</v>
      </c>
      <c r="I1165" s="242">
        <f>COUNTIFS('تجربه‌گرها'!$B:$B,$A1165,'تجربه‌گرها'!$F:$F,I$1)</f>
        <v>0</v>
      </c>
      <c r="J1165" s="242">
        <f>COUNTIFS('تجربه‌گرها'!$B:$B,$A1165,'تجربه‌گرها'!$F:$F,J$1)</f>
        <v>0</v>
      </c>
      <c r="K1165" s="242">
        <f>COUNTIFS('تجربه‌گرها'!$B:$B,$A1165,'تجربه‌گرها'!$F:$F,K$1)</f>
        <v>0</v>
      </c>
      <c r="L1165" s="242">
        <f>COUNTIFS('تجربه‌گرها'!$B:$B,$A1165,'تجربه‌گرها'!$F:$F,L$1)</f>
        <v>0</v>
      </c>
      <c r="M1165" s="242">
        <f>COUNTIFS('تجربه‌گرها'!$B:$B,$A1165,'تجربه‌گرها'!$F:$F,M$1)</f>
        <v>0</v>
      </c>
      <c r="N1165" s="242">
        <f>COUNTIFS('تجربه‌گرها'!$B:$B,$A1165,'تجربه‌گرها'!$F:$F,N$1)</f>
        <v>1</v>
      </c>
      <c r="O1165" s="242">
        <f>COUNTIFS('تجربه‌گرها'!$B:$B,$A1165,'تجربه‌گرها'!$F:$F,O$1)</f>
        <v>0</v>
      </c>
      <c r="P1165" s="242">
        <f>COUNTIFS('تجربه‌گرها'!$B:$B,$A1165,'تجربه‌گرها'!$F:$F,P$1)</f>
        <v>0</v>
      </c>
      <c r="Q1165" s="242">
        <f>COUNTIFS('تجربه‌گرها'!$B:$B,$A1165,'تجربه‌گرها'!$F:$F,Q$1)</f>
        <v>0</v>
      </c>
      <c r="R1165" s="242">
        <f>COUNTIFS('تجربه‌گرها'!$B:$B,$A1165,'تجربه‌گرها'!$F:$F,R$1)</f>
        <v>0</v>
      </c>
      <c r="S1165" s="242">
        <f>COUNTIFS('تجربه‌گرها'!$B:$B,$A1165,'تجربه‌گرها'!$F:$F,S$1)</f>
        <v>0</v>
      </c>
      <c r="T1165" s="242">
        <f>COUNTIFS('تجربه‌گرها'!$B:$B,$A1165,'تجربه‌گرها'!$F:$F,T$1)</f>
        <v>0</v>
      </c>
      <c r="U1165" s="242"/>
      <c r="V1165" s="242"/>
      <c r="W1165" s="242"/>
      <c r="X1165" s="242"/>
      <c r="Y1165" s="242"/>
      <c r="Z1165" s="242"/>
      <c r="AA1165" s="242"/>
      <c r="AB1165" s="242"/>
    </row>
    <row r="1166" hidden="1">
      <c r="A1166" s="244" t="s">
        <v>5897</v>
      </c>
      <c r="B1166" s="245" t="str">
        <f>VLOOKUP(A1166,'تجربه‌گرها'!B:C,2,FALSE())</f>
        <v>989125132000</v>
      </c>
      <c r="C1166" s="242"/>
      <c r="D1166" s="242">
        <f t="shared" si="1"/>
        <v>1</v>
      </c>
      <c r="E1166" s="242">
        <f>COUNTIFS('تجربه‌گرها'!$B:$B,$A1166,'تجربه‌گرها'!$F:$F,E$1)</f>
        <v>0</v>
      </c>
      <c r="F1166" s="242">
        <f>COUNTIFS('تجربه‌گرها'!$B:$B,$A1166,'تجربه‌گرها'!$F:$F,F$1)</f>
        <v>0</v>
      </c>
      <c r="G1166" s="242">
        <f>COUNTIFS('تجربه‌گرها'!$B:$B,$A1166,'تجربه‌گرها'!$F:$F,G$1)</f>
        <v>0</v>
      </c>
      <c r="H1166" s="242">
        <f>COUNTIFS('تجربه‌گرها'!$B:$B,$A1166,'تجربه‌گرها'!$F:$F,H$1)</f>
        <v>0</v>
      </c>
      <c r="I1166" s="242">
        <f>COUNTIFS('تجربه‌گرها'!$B:$B,$A1166,'تجربه‌گرها'!$F:$F,I$1)</f>
        <v>0</v>
      </c>
      <c r="J1166" s="242">
        <f>COUNTIFS('تجربه‌گرها'!$B:$B,$A1166,'تجربه‌گرها'!$F:$F,J$1)</f>
        <v>0</v>
      </c>
      <c r="K1166" s="242">
        <f>COUNTIFS('تجربه‌گرها'!$B:$B,$A1166,'تجربه‌گرها'!$F:$F,K$1)</f>
        <v>0</v>
      </c>
      <c r="L1166" s="242">
        <f>COUNTIFS('تجربه‌گرها'!$B:$B,$A1166,'تجربه‌گرها'!$F:$F,L$1)</f>
        <v>0</v>
      </c>
      <c r="M1166" s="242">
        <f>COUNTIFS('تجربه‌گرها'!$B:$B,$A1166,'تجربه‌گرها'!$F:$F,M$1)</f>
        <v>0</v>
      </c>
      <c r="N1166" s="242">
        <f>COUNTIFS('تجربه‌گرها'!$B:$B,$A1166,'تجربه‌گرها'!$F:$F,N$1)</f>
        <v>1</v>
      </c>
      <c r="O1166" s="242">
        <f>COUNTIFS('تجربه‌گرها'!$B:$B,$A1166,'تجربه‌گرها'!$F:$F,O$1)</f>
        <v>0</v>
      </c>
      <c r="P1166" s="242">
        <f>COUNTIFS('تجربه‌گرها'!$B:$B,$A1166,'تجربه‌گرها'!$F:$F,P$1)</f>
        <v>0</v>
      </c>
      <c r="Q1166" s="242">
        <f>COUNTIFS('تجربه‌گرها'!$B:$B,$A1166,'تجربه‌گرها'!$F:$F,Q$1)</f>
        <v>0</v>
      </c>
      <c r="R1166" s="242">
        <f>COUNTIFS('تجربه‌گرها'!$B:$B,$A1166,'تجربه‌گرها'!$F:$F,R$1)</f>
        <v>0</v>
      </c>
      <c r="S1166" s="242">
        <f>COUNTIFS('تجربه‌گرها'!$B:$B,$A1166,'تجربه‌گرها'!$F:$F,S$1)</f>
        <v>0</v>
      </c>
      <c r="T1166" s="242">
        <f>COUNTIFS('تجربه‌گرها'!$B:$B,$A1166,'تجربه‌گرها'!$F:$F,T$1)</f>
        <v>0</v>
      </c>
      <c r="U1166" s="242"/>
      <c r="V1166" s="242"/>
      <c r="W1166" s="242"/>
      <c r="X1166" s="242"/>
      <c r="Y1166" s="242"/>
      <c r="Z1166" s="242"/>
      <c r="AA1166" s="242"/>
      <c r="AB1166" s="242"/>
    </row>
    <row r="1167" hidden="1">
      <c r="A1167" s="244" t="s">
        <v>5901</v>
      </c>
      <c r="B1167" s="245" t="str">
        <f>VLOOKUP(A1167,'تجربه‌گرها'!B:C,2,FALSE())</f>
        <v>9126201654</v>
      </c>
      <c r="C1167" s="242"/>
      <c r="D1167" s="242">
        <f t="shared" si="1"/>
        <v>1</v>
      </c>
      <c r="E1167" s="242">
        <f>COUNTIFS('تجربه‌گرها'!$B:$B,$A1167,'تجربه‌گرها'!$F:$F,E$1)</f>
        <v>0</v>
      </c>
      <c r="F1167" s="242">
        <f>COUNTIFS('تجربه‌گرها'!$B:$B,$A1167,'تجربه‌گرها'!$F:$F,F$1)</f>
        <v>0</v>
      </c>
      <c r="G1167" s="242">
        <f>COUNTIFS('تجربه‌گرها'!$B:$B,$A1167,'تجربه‌گرها'!$F:$F,G$1)</f>
        <v>0</v>
      </c>
      <c r="H1167" s="242">
        <f>COUNTIFS('تجربه‌گرها'!$B:$B,$A1167,'تجربه‌گرها'!$F:$F,H$1)</f>
        <v>0</v>
      </c>
      <c r="I1167" s="242">
        <f>COUNTIFS('تجربه‌گرها'!$B:$B,$A1167,'تجربه‌گرها'!$F:$F,I$1)</f>
        <v>0</v>
      </c>
      <c r="J1167" s="242">
        <f>COUNTIFS('تجربه‌گرها'!$B:$B,$A1167,'تجربه‌گرها'!$F:$F,J$1)</f>
        <v>0</v>
      </c>
      <c r="K1167" s="242">
        <f>COUNTIFS('تجربه‌گرها'!$B:$B,$A1167,'تجربه‌گرها'!$F:$F,K$1)</f>
        <v>0</v>
      </c>
      <c r="L1167" s="242">
        <f>COUNTIFS('تجربه‌گرها'!$B:$B,$A1167,'تجربه‌گرها'!$F:$F,L$1)</f>
        <v>0</v>
      </c>
      <c r="M1167" s="242">
        <f>COUNTIFS('تجربه‌گرها'!$B:$B,$A1167,'تجربه‌گرها'!$F:$F,M$1)</f>
        <v>0</v>
      </c>
      <c r="N1167" s="242">
        <f>COUNTIFS('تجربه‌گرها'!$B:$B,$A1167,'تجربه‌گرها'!$F:$F,N$1)</f>
        <v>1</v>
      </c>
      <c r="O1167" s="242">
        <f>COUNTIFS('تجربه‌گرها'!$B:$B,$A1167,'تجربه‌گرها'!$F:$F,O$1)</f>
        <v>0</v>
      </c>
      <c r="P1167" s="242">
        <f>COUNTIFS('تجربه‌گرها'!$B:$B,$A1167,'تجربه‌گرها'!$F:$F,P$1)</f>
        <v>0</v>
      </c>
      <c r="Q1167" s="242">
        <f>COUNTIFS('تجربه‌گرها'!$B:$B,$A1167,'تجربه‌گرها'!$F:$F,Q$1)</f>
        <v>0</v>
      </c>
      <c r="R1167" s="242">
        <f>COUNTIFS('تجربه‌گرها'!$B:$B,$A1167,'تجربه‌گرها'!$F:$F,R$1)</f>
        <v>0</v>
      </c>
      <c r="S1167" s="242">
        <f>COUNTIFS('تجربه‌گرها'!$B:$B,$A1167,'تجربه‌گرها'!$F:$F,S$1)</f>
        <v>0</v>
      </c>
      <c r="T1167" s="242">
        <f>COUNTIFS('تجربه‌گرها'!$B:$B,$A1167,'تجربه‌گرها'!$F:$F,T$1)</f>
        <v>0</v>
      </c>
      <c r="U1167" s="242"/>
      <c r="V1167" s="242"/>
      <c r="W1167" s="242"/>
      <c r="X1167" s="242"/>
      <c r="Y1167" s="242"/>
      <c r="Z1167" s="242"/>
      <c r="AA1167" s="242"/>
      <c r="AB1167" s="242"/>
    </row>
    <row r="1168" hidden="1">
      <c r="A1168" s="244" t="s">
        <v>5905</v>
      </c>
      <c r="B1168" s="245" t="str">
        <f>VLOOKUP(A1168,'تجربه‌گرها'!B:C,2,FALSE())</f>
        <v/>
      </c>
      <c r="C1168" s="242"/>
      <c r="D1168" s="242">
        <f t="shared" si="1"/>
        <v>1</v>
      </c>
      <c r="E1168" s="242">
        <f>COUNTIFS('تجربه‌گرها'!$B:$B,$A1168,'تجربه‌گرها'!$F:$F,E$1)</f>
        <v>0</v>
      </c>
      <c r="F1168" s="242">
        <f>COUNTIFS('تجربه‌گرها'!$B:$B,$A1168,'تجربه‌گرها'!$F:$F,F$1)</f>
        <v>0</v>
      </c>
      <c r="G1168" s="242">
        <f>COUNTIFS('تجربه‌گرها'!$B:$B,$A1168,'تجربه‌گرها'!$F:$F,G$1)</f>
        <v>0</v>
      </c>
      <c r="H1168" s="242">
        <f>COUNTIFS('تجربه‌گرها'!$B:$B,$A1168,'تجربه‌گرها'!$F:$F,H$1)</f>
        <v>0</v>
      </c>
      <c r="I1168" s="242">
        <f>COUNTIFS('تجربه‌گرها'!$B:$B,$A1168,'تجربه‌گرها'!$F:$F,I$1)</f>
        <v>0</v>
      </c>
      <c r="J1168" s="242">
        <f>COUNTIFS('تجربه‌گرها'!$B:$B,$A1168,'تجربه‌گرها'!$F:$F,J$1)</f>
        <v>0</v>
      </c>
      <c r="K1168" s="242">
        <f>COUNTIFS('تجربه‌گرها'!$B:$B,$A1168,'تجربه‌گرها'!$F:$F,K$1)</f>
        <v>0</v>
      </c>
      <c r="L1168" s="242">
        <f>COUNTIFS('تجربه‌گرها'!$B:$B,$A1168,'تجربه‌گرها'!$F:$F,L$1)</f>
        <v>0</v>
      </c>
      <c r="M1168" s="242">
        <f>COUNTIFS('تجربه‌گرها'!$B:$B,$A1168,'تجربه‌گرها'!$F:$F,M$1)</f>
        <v>0</v>
      </c>
      <c r="N1168" s="242">
        <f>COUNTIFS('تجربه‌گرها'!$B:$B,$A1168,'تجربه‌گرها'!$F:$F,N$1)</f>
        <v>1</v>
      </c>
      <c r="O1168" s="242">
        <f>COUNTIFS('تجربه‌گرها'!$B:$B,$A1168,'تجربه‌گرها'!$F:$F,O$1)</f>
        <v>0</v>
      </c>
      <c r="P1168" s="242">
        <f>COUNTIFS('تجربه‌گرها'!$B:$B,$A1168,'تجربه‌گرها'!$F:$F,P$1)</f>
        <v>0</v>
      </c>
      <c r="Q1168" s="242">
        <f>COUNTIFS('تجربه‌گرها'!$B:$B,$A1168,'تجربه‌گرها'!$F:$F,Q$1)</f>
        <v>0</v>
      </c>
      <c r="R1168" s="242">
        <f>COUNTIFS('تجربه‌گرها'!$B:$B,$A1168,'تجربه‌گرها'!$F:$F,R$1)</f>
        <v>0</v>
      </c>
      <c r="S1168" s="242">
        <f>COUNTIFS('تجربه‌گرها'!$B:$B,$A1168,'تجربه‌گرها'!$F:$F,S$1)</f>
        <v>0</v>
      </c>
      <c r="T1168" s="242">
        <f>COUNTIFS('تجربه‌گرها'!$B:$B,$A1168,'تجربه‌گرها'!$F:$F,T$1)</f>
        <v>0</v>
      </c>
      <c r="U1168" s="242"/>
      <c r="V1168" s="242"/>
      <c r="W1168" s="242"/>
      <c r="X1168" s="242"/>
      <c r="Y1168" s="242"/>
      <c r="Z1168" s="242"/>
      <c r="AA1168" s="242"/>
      <c r="AB1168" s="242"/>
    </row>
    <row r="1169" hidden="1">
      <c r="A1169" s="244" t="s">
        <v>5906</v>
      </c>
      <c r="B1169" s="245" t="str">
        <f>VLOOKUP(A1169,'تجربه‌گرها'!B:C,2,FALSE())</f>
        <v>989127761219</v>
      </c>
      <c r="C1169" s="242"/>
      <c r="D1169" s="242">
        <f t="shared" si="1"/>
        <v>1</v>
      </c>
      <c r="E1169" s="242">
        <f>COUNTIFS('تجربه‌گرها'!$B:$B,$A1169,'تجربه‌گرها'!$F:$F,E$1)</f>
        <v>0</v>
      </c>
      <c r="F1169" s="242">
        <f>COUNTIFS('تجربه‌گرها'!$B:$B,$A1169,'تجربه‌گرها'!$F:$F,F$1)</f>
        <v>0</v>
      </c>
      <c r="G1169" s="242">
        <f>COUNTIFS('تجربه‌گرها'!$B:$B,$A1169,'تجربه‌گرها'!$F:$F,G$1)</f>
        <v>0</v>
      </c>
      <c r="H1169" s="242">
        <f>COUNTIFS('تجربه‌گرها'!$B:$B,$A1169,'تجربه‌گرها'!$F:$F,H$1)</f>
        <v>0</v>
      </c>
      <c r="I1169" s="242">
        <f>COUNTIFS('تجربه‌گرها'!$B:$B,$A1169,'تجربه‌گرها'!$F:$F,I$1)</f>
        <v>0</v>
      </c>
      <c r="J1169" s="242">
        <f>COUNTIFS('تجربه‌گرها'!$B:$B,$A1169,'تجربه‌گرها'!$F:$F,J$1)</f>
        <v>0</v>
      </c>
      <c r="K1169" s="242">
        <f>COUNTIFS('تجربه‌گرها'!$B:$B,$A1169,'تجربه‌گرها'!$F:$F,K$1)</f>
        <v>0</v>
      </c>
      <c r="L1169" s="242">
        <f>COUNTIFS('تجربه‌گرها'!$B:$B,$A1169,'تجربه‌گرها'!$F:$F,L$1)</f>
        <v>0</v>
      </c>
      <c r="M1169" s="242">
        <f>COUNTIFS('تجربه‌گرها'!$B:$B,$A1169,'تجربه‌گرها'!$F:$F,M$1)</f>
        <v>0</v>
      </c>
      <c r="N1169" s="242">
        <f>COUNTIFS('تجربه‌گرها'!$B:$B,$A1169,'تجربه‌گرها'!$F:$F,N$1)</f>
        <v>1</v>
      </c>
      <c r="O1169" s="242">
        <f>COUNTIFS('تجربه‌گرها'!$B:$B,$A1169,'تجربه‌گرها'!$F:$F,O$1)</f>
        <v>0</v>
      </c>
      <c r="P1169" s="242">
        <f>COUNTIFS('تجربه‌گرها'!$B:$B,$A1169,'تجربه‌گرها'!$F:$F,P$1)</f>
        <v>0</v>
      </c>
      <c r="Q1169" s="242">
        <f>COUNTIFS('تجربه‌گرها'!$B:$B,$A1169,'تجربه‌گرها'!$F:$F,Q$1)</f>
        <v>0</v>
      </c>
      <c r="R1169" s="242">
        <f>COUNTIFS('تجربه‌گرها'!$B:$B,$A1169,'تجربه‌گرها'!$F:$F,R$1)</f>
        <v>0</v>
      </c>
      <c r="S1169" s="242">
        <f>COUNTIFS('تجربه‌گرها'!$B:$B,$A1169,'تجربه‌گرها'!$F:$F,S$1)</f>
        <v>0</v>
      </c>
      <c r="T1169" s="242">
        <f>COUNTIFS('تجربه‌گرها'!$B:$B,$A1169,'تجربه‌گرها'!$F:$F,T$1)</f>
        <v>0</v>
      </c>
      <c r="U1169" s="242"/>
      <c r="V1169" s="242"/>
      <c r="W1169" s="242"/>
      <c r="X1169" s="242"/>
      <c r="Y1169" s="242"/>
      <c r="Z1169" s="242"/>
      <c r="AA1169" s="242"/>
      <c r="AB1169" s="242"/>
    </row>
    <row r="1170" hidden="1">
      <c r="A1170" s="244" t="s">
        <v>5908</v>
      </c>
      <c r="B1170" s="245" t="str">
        <f>VLOOKUP(A1170,'تجربه‌گرها'!B:C,2,FALSE())</f>
        <v>9124753107</v>
      </c>
      <c r="C1170" s="242"/>
      <c r="D1170" s="242">
        <f t="shared" si="1"/>
        <v>1</v>
      </c>
      <c r="E1170" s="242">
        <f>COUNTIFS('تجربه‌گرها'!$B:$B,$A1170,'تجربه‌گرها'!$F:$F,E$1)</f>
        <v>0</v>
      </c>
      <c r="F1170" s="242">
        <f>COUNTIFS('تجربه‌گرها'!$B:$B,$A1170,'تجربه‌گرها'!$F:$F,F$1)</f>
        <v>0</v>
      </c>
      <c r="G1170" s="242">
        <f>COUNTIFS('تجربه‌گرها'!$B:$B,$A1170,'تجربه‌گرها'!$F:$F,G$1)</f>
        <v>0</v>
      </c>
      <c r="H1170" s="242">
        <f>COUNTIFS('تجربه‌گرها'!$B:$B,$A1170,'تجربه‌گرها'!$F:$F,H$1)</f>
        <v>0</v>
      </c>
      <c r="I1170" s="242">
        <f>COUNTIFS('تجربه‌گرها'!$B:$B,$A1170,'تجربه‌گرها'!$F:$F,I$1)</f>
        <v>0</v>
      </c>
      <c r="J1170" s="242">
        <f>COUNTIFS('تجربه‌گرها'!$B:$B,$A1170,'تجربه‌گرها'!$F:$F,J$1)</f>
        <v>0</v>
      </c>
      <c r="K1170" s="242">
        <f>COUNTIFS('تجربه‌گرها'!$B:$B,$A1170,'تجربه‌گرها'!$F:$F,K$1)</f>
        <v>0</v>
      </c>
      <c r="L1170" s="242">
        <f>COUNTIFS('تجربه‌گرها'!$B:$B,$A1170,'تجربه‌گرها'!$F:$F,L$1)</f>
        <v>0</v>
      </c>
      <c r="M1170" s="242">
        <f>COUNTIFS('تجربه‌گرها'!$B:$B,$A1170,'تجربه‌گرها'!$F:$F,M$1)</f>
        <v>0</v>
      </c>
      <c r="N1170" s="242">
        <f>COUNTIFS('تجربه‌گرها'!$B:$B,$A1170,'تجربه‌گرها'!$F:$F,N$1)</f>
        <v>1</v>
      </c>
      <c r="O1170" s="242">
        <f>COUNTIFS('تجربه‌گرها'!$B:$B,$A1170,'تجربه‌گرها'!$F:$F,O$1)</f>
        <v>0</v>
      </c>
      <c r="P1170" s="242">
        <f>COUNTIFS('تجربه‌گرها'!$B:$B,$A1170,'تجربه‌گرها'!$F:$F,P$1)</f>
        <v>0</v>
      </c>
      <c r="Q1170" s="242">
        <f>COUNTIFS('تجربه‌گرها'!$B:$B,$A1170,'تجربه‌گرها'!$F:$F,Q$1)</f>
        <v>0</v>
      </c>
      <c r="R1170" s="242">
        <f>COUNTIFS('تجربه‌گرها'!$B:$B,$A1170,'تجربه‌گرها'!$F:$F,R$1)</f>
        <v>0</v>
      </c>
      <c r="S1170" s="242">
        <f>COUNTIFS('تجربه‌گرها'!$B:$B,$A1170,'تجربه‌گرها'!$F:$F,S$1)</f>
        <v>0</v>
      </c>
      <c r="T1170" s="242">
        <f>COUNTIFS('تجربه‌گرها'!$B:$B,$A1170,'تجربه‌گرها'!$F:$F,T$1)</f>
        <v>0</v>
      </c>
      <c r="U1170" s="242"/>
      <c r="V1170" s="242"/>
      <c r="W1170" s="242"/>
      <c r="X1170" s="242"/>
      <c r="Y1170" s="242"/>
      <c r="Z1170" s="242"/>
      <c r="AA1170" s="242"/>
      <c r="AB1170" s="242"/>
    </row>
    <row r="1171" hidden="1">
      <c r="A1171" s="244" t="s">
        <v>5910</v>
      </c>
      <c r="B1171" s="245" t="str">
        <f>VLOOKUP(A1171,'تجربه‌گرها'!B:C,2,FALSE())</f>
        <v>989122593771</v>
      </c>
      <c r="C1171" s="242"/>
      <c r="D1171" s="242">
        <f t="shared" si="1"/>
        <v>1</v>
      </c>
      <c r="E1171" s="242">
        <f>COUNTIFS('تجربه‌گرها'!$B:$B,$A1171,'تجربه‌گرها'!$F:$F,E$1)</f>
        <v>0</v>
      </c>
      <c r="F1171" s="242">
        <f>COUNTIFS('تجربه‌گرها'!$B:$B,$A1171,'تجربه‌گرها'!$F:$F,F$1)</f>
        <v>0</v>
      </c>
      <c r="G1171" s="242">
        <f>COUNTIFS('تجربه‌گرها'!$B:$B,$A1171,'تجربه‌گرها'!$F:$F,G$1)</f>
        <v>0</v>
      </c>
      <c r="H1171" s="242">
        <f>COUNTIFS('تجربه‌گرها'!$B:$B,$A1171,'تجربه‌گرها'!$F:$F,H$1)</f>
        <v>0</v>
      </c>
      <c r="I1171" s="242">
        <f>COUNTIFS('تجربه‌گرها'!$B:$B,$A1171,'تجربه‌گرها'!$F:$F,I$1)</f>
        <v>0</v>
      </c>
      <c r="J1171" s="242">
        <f>COUNTIFS('تجربه‌گرها'!$B:$B,$A1171,'تجربه‌گرها'!$F:$F,J$1)</f>
        <v>0</v>
      </c>
      <c r="K1171" s="242">
        <f>COUNTIFS('تجربه‌گرها'!$B:$B,$A1171,'تجربه‌گرها'!$F:$F,K$1)</f>
        <v>0</v>
      </c>
      <c r="L1171" s="242">
        <f>COUNTIFS('تجربه‌گرها'!$B:$B,$A1171,'تجربه‌گرها'!$F:$F,L$1)</f>
        <v>0</v>
      </c>
      <c r="M1171" s="242">
        <f>COUNTIFS('تجربه‌گرها'!$B:$B,$A1171,'تجربه‌گرها'!$F:$F,M$1)</f>
        <v>0</v>
      </c>
      <c r="N1171" s="242">
        <f>COUNTIFS('تجربه‌گرها'!$B:$B,$A1171,'تجربه‌گرها'!$F:$F,N$1)</f>
        <v>1</v>
      </c>
      <c r="O1171" s="242">
        <f>COUNTIFS('تجربه‌گرها'!$B:$B,$A1171,'تجربه‌گرها'!$F:$F,O$1)</f>
        <v>0</v>
      </c>
      <c r="P1171" s="242">
        <f>COUNTIFS('تجربه‌گرها'!$B:$B,$A1171,'تجربه‌گرها'!$F:$F,P$1)</f>
        <v>0</v>
      </c>
      <c r="Q1171" s="242">
        <f>COUNTIFS('تجربه‌گرها'!$B:$B,$A1171,'تجربه‌گرها'!$F:$F,Q$1)</f>
        <v>0</v>
      </c>
      <c r="R1171" s="242">
        <f>COUNTIFS('تجربه‌گرها'!$B:$B,$A1171,'تجربه‌گرها'!$F:$F,R$1)</f>
        <v>0</v>
      </c>
      <c r="S1171" s="242">
        <f>COUNTIFS('تجربه‌گرها'!$B:$B,$A1171,'تجربه‌گرها'!$F:$F,S$1)</f>
        <v>0</v>
      </c>
      <c r="T1171" s="242">
        <f>COUNTIFS('تجربه‌گرها'!$B:$B,$A1171,'تجربه‌گرها'!$F:$F,T$1)</f>
        <v>0</v>
      </c>
      <c r="U1171" s="242"/>
      <c r="V1171" s="242"/>
      <c r="W1171" s="242"/>
      <c r="X1171" s="242"/>
      <c r="Y1171" s="242"/>
      <c r="Z1171" s="242"/>
      <c r="AA1171" s="242"/>
      <c r="AB1171" s="242"/>
    </row>
    <row r="1172" hidden="1">
      <c r="A1172" s="244" t="s">
        <v>5912</v>
      </c>
      <c r="B1172" s="245" t="str">
        <f>VLOOKUP(A1172,'تجربه‌گرها'!B:C,2,FALSE())</f>
        <v>989102116535</v>
      </c>
      <c r="C1172" s="242"/>
      <c r="D1172" s="242">
        <f t="shared" si="1"/>
        <v>1</v>
      </c>
      <c r="E1172" s="242">
        <f>COUNTIFS('تجربه‌گرها'!$B:$B,$A1172,'تجربه‌گرها'!$F:$F,E$1)</f>
        <v>0</v>
      </c>
      <c r="F1172" s="242">
        <f>COUNTIFS('تجربه‌گرها'!$B:$B,$A1172,'تجربه‌گرها'!$F:$F,F$1)</f>
        <v>0</v>
      </c>
      <c r="G1172" s="242">
        <f>COUNTIFS('تجربه‌گرها'!$B:$B,$A1172,'تجربه‌گرها'!$F:$F,G$1)</f>
        <v>0</v>
      </c>
      <c r="H1172" s="242">
        <f>COUNTIFS('تجربه‌گرها'!$B:$B,$A1172,'تجربه‌گرها'!$F:$F,H$1)</f>
        <v>0</v>
      </c>
      <c r="I1172" s="242">
        <f>COUNTIFS('تجربه‌گرها'!$B:$B,$A1172,'تجربه‌گرها'!$F:$F,I$1)</f>
        <v>0</v>
      </c>
      <c r="J1172" s="242">
        <f>COUNTIFS('تجربه‌گرها'!$B:$B,$A1172,'تجربه‌گرها'!$F:$F,J$1)</f>
        <v>0</v>
      </c>
      <c r="K1172" s="242">
        <f>COUNTIFS('تجربه‌گرها'!$B:$B,$A1172,'تجربه‌گرها'!$F:$F,K$1)</f>
        <v>0</v>
      </c>
      <c r="L1172" s="242">
        <f>COUNTIFS('تجربه‌گرها'!$B:$B,$A1172,'تجربه‌گرها'!$F:$F,L$1)</f>
        <v>0</v>
      </c>
      <c r="M1172" s="242">
        <f>COUNTIFS('تجربه‌گرها'!$B:$B,$A1172,'تجربه‌گرها'!$F:$F,M$1)</f>
        <v>0</v>
      </c>
      <c r="N1172" s="242">
        <f>COUNTIFS('تجربه‌گرها'!$B:$B,$A1172,'تجربه‌گرها'!$F:$F,N$1)</f>
        <v>1</v>
      </c>
      <c r="O1172" s="242">
        <f>COUNTIFS('تجربه‌گرها'!$B:$B,$A1172,'تجربه‌گرها'!$F:$F,O$1)</f>
        <v>0</v>
      </c>
      <c r="P1172" s="242">
        <f>COUNTIFS('تجربه‌گرها'!$B:$B,$A1172,'تجربه‌گرها'!$F:$F,P$1)</f>
        <v>0</v>
      </c>
      <c r="Q1172" s="242">
        <f>COUNTIFS('تجربه‌گرها'!$B:$B,$A1172,'تجربه‌گرها'!$F:$F,Q$1)</f>
        <v>0</v>
      </c>
      <c r="R1172" s="242">
        <f>COUNTIFS('تجربه‌گرها'!$B:$B,$A1172,'تجربه‌گرها'!$F:$F,R$1)</f>
        <v>0</v>
      </c>
      <c r="S1172" s="242">
        <f>COUNTIFS('تجربه‌گرها'!$B:$B,$A1172,'تجربه‌گرها'!$F:$F,S$1)</f>
        <v>0</v>
      </c>
      <c r="T1172" s="242">
        <f>COUNTIFS('تجربه‌گرها'!$B:$B,$A1172,'تجربه‌گرها'!$F:$F,T$1)</f>
        <v>0</v>
      </c>
      <c r="U1172" s="242"/>
      <c r="V1172" s="242"/>
      <c r="W1172" s="242"/>
      <c r="X1172" s="242"/>
      <c r="Y1172" s="242"/>
      <c r="Z1172" s="242"/>
      <c r="AA1172" s="242"/>
      <c r="AB1172" s="242"/>
    </row>
    <row r="1173" hidden="1">
      <c r="A1173" s="244" t="s">
        <v>5915</v>
      </c>
      <c r="B1173" s="245" t="str">
        <f>VLOOKUP(A1173,'تجربه‌گرها'!B:C,2,FALSE())</f>
        <v>989179701121</v>
      </c>
      <c r="C1173" s="242"/>
      <c r="D1173" s="242">
        <f t="shared" si="1"/>
        <v>1</v>
      </c>
      <c r="E1173" s="242">
        <f>COUNTIFS('تجربه‌گرها'!$B:$B,$A1173,'تجربه‌گرها'!$F:$F,E$1)</f>
        <v>0</v>
      </c>
      <c r="F1173" s="242">
        <f>COUNTIFS('تجربه‌گرها'!$B:$B,$A1173,'تجربه‌گرها'!$F:$F,F$1)</f>
        <v>0</v>
      </c>
      <c r="G1173" s="242">
        <f>COUNTIFS('تجربه‌گرها'!$B:$B,$A1173,'تجربه‌گرها'!$F:$F,G$1)</f>
        <v>0</v>
      </c>
      <c r="H1173" s="242">
        <f>COUNTIFS('تجربه‌گرها'!$B:$B,$A1173,'تجربه‌گرها'!$F:$F,H$1)</f>
        <v>0</v>
      </c>
      <c r="I1173" s="242">
        <f>COUNTIFS('تجربه‌گرها'!$B:$B,$A1173,'تجربه‌گرها'!$F:$F,I$1)</f>
        <v>0</v>
      </c>
      <c r="J1173" s="242">
        <f>COUNTIFS('تجربه‌گرها'!$B:$B,$A1173,'تجربه‌گرها'!$F:$F,J$1)</f>
        <v>0</v>
      </c>
      <c r="K1173" s="242">
        <f>COUNTIFS('تجربه‌گرها'!$B:$B,$A1173,'تجربه‌گرها'!$F:$F,K$1)</f>
        <v>0</v>
      </c>
      <c r="L1173" s="242">
        <f>COUNTIFS('تجربه‌گرها'!$B:$B,$A1173,'تجربه‌گرها'!$F:$F,L$1)</f>
        <v>0</v>
      </c>
      <c r="M1173" s="242">
        <f>COUNTIFS('تجربه‌گرها'!$B:$B,$A1173,'تجربه‌گرها'!$F:$F,M$1)</f>
        <v>0</v>
      </c>
      <c r="N1173" s="242">
        <f>COUNTIFS('تجربه‌گرها'!$B:$B,$A1173,'تجربه‌گرها'!$F:$F,N$1)</f>
        <v>1</v>
      </c>
      <c r="O1173" s="242">
        <f>COUNTIFS('تجربه‌گرها'!$B:$B,$A1173,'تجربه‌گرها'!$F:$F,O$1)</f>
        <v>0</v>
      </c>
      <c r="P1173" s="242">
        <f>COUNTIFS('تجربه‌گرها'!$B:$B,$A1173,'تجربه‌گرها'!$F:$F,P$1)</f>
        <v>0</v>
      </c>
      <c r="Q1173" s="242">
        <f>COUNTIFS('تجربه‌گرها'!$B:$B,$A1173,'تجربه‌گرها'!$F:$F,Q$1)</f>
        <v>0</v>
      </c>
      <c r="R1173" s="242">
        <f>COUNTIFS('تجربه‌گرها'!$B:$B,$A1173,'تجربه‌گرها'!$F:$F,R$1)</f>
        <v>0</v>
      </c>
      <c r="S1173" s="242">
        <f>COUNTIFS('تجربه‌گرها'!$B:$B,$A1173,'تجربه‌گرها'!$F:$F,S$1)</f>
        <v>0</v>
      </c>
      <c r="T1173" s="242">
        <f>COUNTIFS('تجربه‌گرها'!$B:$B,$A1173,'تجربه‌گرها'!$F:$F,T$1)</f>
        <v>0</v>
      </c>
      <c r="U1173" s="242"/>
      <c r="V1173" s="242"/>
      <c r="W1173" s="242"/>
      <c r="X1173" s="242"/>
      <c r="Y1173" s="242"/>
      <c r="Z1173" s="242"/>
      <c r="AA1173" s="242"/>
      <c r="AB1173" s="242"/>
    </row>
    <row r="1174" hidden="1">
      <c r="A1174" s="244" t="s">
        <v>5917</v>
      </c>
      <c r="B1174" s="245" t="str">
        <f>VLOOKUP(A1174,'تجربه‌گرها'!B:C,2,FALSE())</f>
        <v>989122973985</v>
      </c>
      <c r="C1174" s="242"/>
      <c r="D1174" s="242">
        <f t="shared" si="1"/>
        <v>1</v>
      </c>
      <c r="E1174" s="242">
        <f>COUNTIFS('تجربه‌گرها'!$B:$B,$A1174,'تجربه‌گرها'!$F:$F,E$1)</f>
        <v>0</v>
      </c>
      <c r="F1174" s="242">
        <f>COUNTIFS('تجربه‌گرها'!$B:$B,$A1174,'تجربه‌گرها'!$F:$F,F$1)</f>
        <v>0</v>
      </c>
      <c r="G1174" s="242">
        <f>COUNTIFS('تجربه‌گرها'!$B:$B,$A1174,'تجربه‌گرها'!$F:$F,G$1)</f>
        <v>0</v>
      </c>
      <c r="H1174" s="242">
        <f>COUNTIFS('تجربه‌گرها'!$B:$B,$A1174,'تجربه‌گرها'!$F:$F,H$1)</f>
        <v>0</v>
      </c>
      <c r="I1174" s="242">
        <f>COUNTIFS('تجربه‌گرها'!$B:$B,$A1174,'تجربه‌گرها'!$F:$F,I$1)</f>
        <v>0</v>
      </c>
      <c r="J1174" s="242">
        <f>COUNTIFS('تجربه‌گرها'!$B:$B,$A1174,'تجربه‌گرها'!$F:$F,J$1)</f>
        <v>0</v>
      </c>
      <c r="K1174" s="242">
        <f>COUNTIFS('تجربه‌گرها'!$B:$B,$A1174,'تجربه‌گرها'!$F:$F,K$1)</f>
        <v>0</v>
      </c>
      <c r="L1174" s="242">
        <f>COUNTIFS('تجربه‌گرها'!$B:$B,$A1174,'تجربه‌گرها'!$F:$F,L$1)</f>
        <v>0</v>
      </c>
      <c r="M1174" s="242">
        <f>COUNTIFS('تجربه‌گرها'!$B:$B,$A1174,'تجربه‌گرها'!$F:$F,M$1)</f>
        <v>0</v>
      </c>
      <c r="N1174" s="242">
        <f>COUNTIFS('تجربه‌گرها'!$B:$B,$A1174,'تجربه‌گرها'!$F:$F,N$1)</f>
        <v>1</v>
      </c>
      <c r="O1174" s="242">
        <f>COUNTIFS('تجربه‌گرها'!$B:$B,$A1174,'تجربه‌گرها'!$F:$F,O$1)</f>
        <v>0</v>
      </c>
      <c r="P1174" s="242">
        <f>COUNTIFS('تجربه‌گرها'!$B:$B,$A1174,'تجربه‌گرها'!$F:$F,P$1)</f>
        <v>0</v>
      </c>
      <c r="Q1174" s="242">
        <f>COUNTIFS('تجربه‌گرها'!$B:$B,$A1174,'تجربه‌گرها'!$F:$F,Q$1)</f>
        <v>0</v>
      </c>
      <c r="R1174" s="242">
        <f>COUNTIFS('تجربه‌گرها'!$B:$B,$A1174,'تجربه‌گرها'!$F:$F,R$1)</f>
        <v>0</v>
      </c>
      <c r="S1174" s="242">
        <f>COUNTIFS('تجربه‌گرها'!$B:$B,$A1174,'تجربه‌گرها'!$F:$F,S$1)</f>
        <v>0</v>
      </c>
      <c r="T1174" s="242">
        <f>COUNTIFS('تجربه‌گرها'!$B:$B,$A1174,'تجربه‌گرها'!$F:$F,T$1)</f>
        <v>0</v>
      </c>
      <c r="U1174" s="242"/>
      <c r="V1174" s="242"/>
      <c r="W1174" s="242"/>
      <c r="X1174" s="242"/>
      <c r="Y1174" s="242"/>
      <c r="Z1174" s="242"/>
      <c r="AA1174" s="242"/>
      <c r="AB1174" s="242"/>
    </row>
    <row r="1175" hidden="1">
      <c r="A1175" s="244" t="s">
        <v>5920</v>
      </c>
      <c r="B1175" s="245" t="str">
        <f>VLOOKUP(A1175,'تجربه‌گرها'!B:C,2,FALSE())</f>
        <v>989135737073</v>
      </c>
      <c r="C1175" s="242"/>
      <c r="D1175" s="242">
        <f t="shared" si="1"/>
        <v>2</v>
      </c>
      <c r="E1175" s="242">
        <f>COUNTIFS('تجربه‌گرها'!$B:$B,$A1175,'تجربه‌گرها'!$F:$F,E$1)</f>
        <v>0</v>
      </c>
      <c r="F1175" s="242">
        <f>COUNTIFS('تجربه‌گرها'!$B:$B,$A1175,'تجربه‌گرها'!$F:$F,F$1)</f>
        <v>0</v>
      </c>
      <c r="G1175" s="242">
        <f>COUNTIFS('تجربه‌گرها'!$B:$B,$A1175,'تجربه‌گرها'!$F:$F,G$1)</f>
        <v>0</v>
      </c>
      <c r="H1175" s="242">
        <f>COUNTIFS('تجربه‌گرها'!$B:$B,$A1175,'تجربه‌گرها'!$F:$F,H$1)</f>
        <v>0</v>
      </c>
      <c r="I1175" s="242">
        <f>COUNTIFS('تجربه‌گرها'!$B:$B,$A1175,'تجربه‌گرها'!$F:$F,I$1)</f>
        <v>0</v>
      </c>
      <c r="J1175" s="242">
        <f>COUNTIFS('تجربه‌گرها'!$B:$B,$A1175,'تجربه‌گرها'!$F:$F,J$1)</f>
        <v>0</v>
      </c>
      <c r="K1175" s="242">
        <f>COUNTIFS('تجربه‌گرها'!$B:$B,$A1175,'تجربه‌گرها'!$F:$F,K$1)</f>
        <v>0</v>
      </c>
      <c r="L1175" s="242">
        <f>COUNTIFS('تجربه‌گرها'!$B:$B,$A1175,'تجربه‌گرها'!$F:$F,L$1)</f>
        <v>0</v>
      </c>
      <c r="M1175" s="242">
        <f>COUNTIFS('تجربه‌گرها'!$B:$B,$A1175,'تجربه‌گرها'!$F:$F,M$1)</f>
        <v>0</v>
      </c>
      <c r="N1175" s="242">
        <f>COUNTIFS('تجربه‌گرها'!$B:$B,$A1175,'تجربه‌گرها'!$F:$F,N$1)</f>
        <v>1</v>
      </c>
      <c r="O1175" s="242">
        <f>COUNTIFS('تجربه‌گرها'!$B:$B,$A1175,'تجربه‌گرها'!$F:$F,O$1)</f>
        <v>0</v>
      </c>
      <c r="P1175" s="242">
        <f>COUNTIFS('تجربه‌گرها'!$B:$B,$A1175,'تجربه‌گرها'!$F:$F,P$1)</f>
        <v>1</v>
      </c>
      <c r="Q1175" s="242">
        <f>COUNTIFS('تجربه‌گرها'!$B:$B,$A1175,'تجربه‌گرها'!$F:$F,Q$1)</f>
        <v>0</v>
      </c>
      <c r="R1175" s="242">
        <f>COUNTIFS('تجربه‌گرها'!$B:$B,$A1175,'تجربه‌گرها'!$F:$F,R$1)</f>
        <v>0</v>
      </c>
      <c r="S1175" s="242">
        <f>COUNTIFS('تجربه‌گرها'!$B:$B,$A1175,'تجربه‌گرها'!$F:$F,S$1)</f>
        <v>0</v>
      </c>
      <c r="T1175" s="242">
        <f>COUNTIFS('تجربه‌گرها'!$B:$B,$A1175,'تجربه‌گرها'!$F:$F,T$1)</f>
        <v>0</v>
      </c>
      <c r="U1175" s="242"/>
      <c r="V1175" s="242"/>
      <c r="W1175" s="242"/>
      <c r="X1175" s="242"/>
      <c r="Y1175" s="242"/>
      <c r="Z1175" s="242"/>
      <c r="AA1175" s="242"/>
      <c r="AB1175" s="242"/>
    </row>
    <row r="1176" hidden="1">
      <c r="A1176" s="244" t="s">
        <v>5922</v>
      </c>
      <c r="B1176" s="245" t="str">
        <f>VLOOKUP(A1176,'تجربه‌گرها'!B:C,2,FALSE())</f>
        <v>989120630920</v>
      </c>
      <c r="C1176" s="242"/>
      <c r="D1176" s="242">
        <f t="shared" si="1"/>
        <v>1</v>
      </c>
      <c r="E1176" s="242">
        <f>COUNTIFS('تجربه‌گرها'!$B:$B,$A1176,'تجربه‌گرها'!$F:$F,E$1)</f>
        <v>0</v>
      </c>
      <c r="F1176" s="242">
        <f>COUNTIFS('تجربه‌گرها'!$B:$B,$A1176,'تجربه‌گرها'!$F:$F,F$1)</f>
        <v>0</v>
      </c>
      <c r="G1176" s="242">
        <f>COUNTIFS('تجربه‌گرها'!$B:$B,$A1176,'تجربه‌گرها'!$F:$F,G$1)</f>
        <v>0</v>
      </c>
      <c r="H1176" s="242">
        <f>COUNTIFS('تجربه‌گرها'!$B:$B,$A1176,'تجربه‌گرها'!$F:$F,H$1)</f>
        <v>0</v>
      </c>
      <c r="I1176" s="242">
        <f>COUNTIFS('تجربه‌گرها'!$B:$B,$A1176,'تجربه‌گرها'!$F:$F,I$1)</f>
        <v>0</v>
      </c>
      <c r="J1176" s="242">
        <f>COUNTIFS('تجربه‌گرها'!$B:$B,$A1176,'تجربه‌گرها'!$F:$F,J$1)</f>
        <v>0</v>
      </c>
      <c r="K1176" s="242">
        <f>COUNTIFS('تجربه‌گرها'!$B:$B,$A1176,'تجربه‌گرها'!$F:$F,K$1)</f>
        <v>0</v>
      </c>
      <c r="L1176" s="242">
        <f>COUNTIFS('تجربه‌گرها'!$B:$B,$A1176,'تجربه‌گرها'!$F:$F,L$1)</f>
        <v>0</v>
      </c>
      <c r="M1176" s="242">
        <f>COUNTIFS('تجربه‌گرها'!$B:$B,$A1176,'تجربه‌گرها'!$F:$F,M$1)</f>
        <v>0</v>
      </c>
      <c r="N1176" s="242">
        <f>COUNTIFS('تجربه‌گرها'!$B:$B,$A1176,'تجربه‌گرها'!$F:$F,N$1)</f>
        <v>1</v>
      </c>
      <c r="O1176" s="242">
        <f>COUNTIFS('تجربه‌گرها'!$B:$B,$A1176,'تجربه‌گرها'!$F:$F,O$1)</f>
        <v>0</v>
      </c>
      <c r="P1176" s="242">
        <f>COUNTIFS('تجربه‌گرها'!$B:$B,$A1176,'تجربه‌گرها'!$F:$F,P$1)</f>
        <v>0</v>
      </c>
      <c r="Q1176" s="242">
        <f>COUNTIFS('تجربه‌گرها'!$B:$B,$A1176,'تجربه‌گرها'!$F:$F,Q$1)</f>
        <v>0</v>
      </c>
      <c r="R1176" s="242">
        <f>COUNTIFS('تجربه‌گرها'!$B:$B,$A1176,'تجربه‌گرها'!$F:$F,R$1)</f>
        <v>0</v>
      </c>
      <c r="S1176" s="242">
        <f>COUNTIFS('تجربه‌گرها'!$B:$B,$A1176,'تجربه‌گرها'!$F:$F,S$1)</f>
        <v>0</v>
      </c>
      <c r="T1176" s="242">
        <f>COUNTIFS('تجربه‌گرها'!$B:$B,$A1176,'تجربه‌گرها'!$F:$F,T$1)</f>
        <v>0</v>
      </c>
      <c r="U1176" s="242"/>
      <c r="V1176" s="242"/>
      <c r="W1176" s="242"/>
      <c r="X1176" s="242"/>
      <c r="Y1176" s="242"/>
      <c r="Z1176" s="242"/>
      <c r="AA1176" s="242"/>
      <c r="AB1176" s="242"/>
    </row>
    <row r="1177" hidden="1">
      <c r="A1177" s="244" t="s">
        <v>5925</v>
      </c>
      <c r="B1177" s="245" t="str">
        <f>VLOOKUP(A1177,'تجربه‌گرها'!B:C,2,FALSE())</f>
        <v>989389397272</v>
      </c>
      <c r="C1177" s="242"/>
      <c r="D1177" s="242">
        <f t="shared" si="1"/>
        <v>1</v>
      </c>
      <c r="E1177" s="242">
        <f>COUNTIFS('تجربه‌گرها'!$B:$B,$A1177,'تجربه‌گرها'!$F:$F,E$1)</f>
        <v>0</v>
      </c>
      <c r="F1177" s="242">
        <f>COUNTIFS('تجربه‌گرها'!$B:$B,$A1177,'تجربه‌گرها'!$F:$F,F$1)</f>
        <v>0</v>
      </c>
      <c r="G1177" s="242">
        <f>COUNTIFS('تجربه‌گرها'!$B:$B,$A1177,'تجربه‌گرها'!$F:$F,G$1)</f>
        <v>0</v>
      </c>
      <c r="H1177" s="242">
        <f>COUNTIFS('تجربه‌گرها'!$B:$B,$A1177,'تجربه‌گرها'!$F:$F,H$1)</f>
        <v>0</v>
      </c>
      <c r="I1177" s="242">
        <f>COUNTIFS('تجربه‌گرها'!$B:$B,$A1177,'تجربه‌گرها'!$F:$F,I$1)</f>
        <v>0</v>
      </c>
      <c r="J1177" s="242">
        <f>COUNTIFS('تجربه‌گرها'!$B:$B,$A1177,'تجربه‌گرها'!$F:$F,J$1)</f>
        <v>0</v>
      </c>
      <c r="K1177" s="242">
        <f>COUNTIFS('تجربه‌گرها'!$B:$B,$A1177,'تجربه‌گرها'!$F:$F,K$1)</f>
        <v>0</v>
      </c>
      <c r="L1177" s="242">
        <f>COUNTIFS('تجربه‌گرها'!$B:$B,$A1177,'تجربه‌گرها'!$F:$F,L$1)</f>
        <v>0</v>
      </c>
      <c r="M1177" s="242">
        <f>COUNTIFS('تجربه‌گرها'!$B:$B,$A1177,'تجربه‌گرها'!$F:$F,M$1)</f>
        <v>0</v>
      </c>
      <c r="N1177" s="242">
        <f>COUNTIFS('تجربه‌گرها'!$B:$B,$A1177,'تجربه‌گرها'!$F:$F,N$1)</f>
        <v>1</v>
      </c>
      <c r="O1177" s="242">
        <f>COUNTIFS('تجربه‌گرها'!$B:$B,$A1177,'تجربه‌گرها'!$F:$F,O$1)</f>
        <v>0</v>
      </c>
      <c r="P1177" s="242">
        <f>COUNTIFS('تجربه‌گرها'!$B:$B,$A1177,'تجربه‌گرها'!$F:$F,P$1)</f>
        <v>0</v>
      </c>
      <c r="Q1177" s="242">
        <f>COUNTIFS('تجربه‌گرها'!$B:$B,$A1177,'تجربه‌گرها'!$F:$F,Q$1)</f>
        <v>0</v>
      </c>
      <c r="R1177" s="242">
        <f>COUNTIFS('تجربه‌گرها'!$B:$B,$A1177,'تجربه‌گرها'!$F:$F,R$1)</f>
        <v>0</v>
      </c>
      <c r="S1177" s="242">
        <f>COUNTIFS('تجربه‌گرها'!$B:$B,$A1177,'تجربه‌گرها'!$F:$F,S$1)</f>
        <v>0</v>
      </c>
      <c r="T1177" s="242">
        <f>COUNTIFS('تجربه‌گرها'!$B:$B,$A1177,'تجربه‌گرها'!$F:$F,T$1)</f>
        <v>0</v>
      </c>
      <c r="U1177" s="242"/>
      <c r="V1177" s="242"/>
      <c r="W1177" s="242"/>
      <c r="X1177" s="242"/>
      <c r="Y1177" s="242"/>
      <c r="Z1177" s="242"/>
      <c r="AA1177" s="242"/>
      <c r="AB1177" s="242"/>
    </row>
    <row r="1178" hidden="1">
      <c r="A1178" s="244" t="s">
        <v>5927</v>
      </c>
      <c r="B1178" s="245" t="str">
        <f>VLOOKUP(A1178,'تجربه‌گرها'!B:C,2,FALSE())</f>
        <v>989196071835</v>
      </c>
      <c r="C1178" s="242"/>
      <c r="D1178" s="242">
        <f t="shared" si="1"/>
        <v>1</v>
      </c>
      <c r="E1178" s="242">
        <f>COUNTIFS('تجربه‌گرها'!$B:$B,$A1178,'تجربه‌گرها'!$F:$F,E$1)</f>
        <v>0</v>
      </c>
      <c r="F1178" s="242">
        <f>COUNTIFS('تجربه‌گرها'!$B:$B,$A1178,'تجربه‌گرها'!$F:$F,F$1)</f>
        <v>0</v>
      </c>
      <c r="G1178" s="242">
        <f>COUNTIFS('تجربه‌گرها'!$B:$B,$A1178,'تجربه‌گرها'!$F:$F,G$1)</f>
        <v>0</v>
      </c>
      <c r="H1178" s="242">
        <f>COUNTIFS('تجربه‌گرها'!$B:$B,$A1178,'تجربه‌گرها'!$F:$F,H$1)</f>
        <v>0</v>
      </c>
      <c r="I1178" s="242">
        <f>COUNTIFS('تجربه‌گرها'!$B:$B,$A1178,'تجربه‌گرها'!$F:$F,I$1)</f>
        <v>0</v>
      </c>
      <c r="J1178" s="242">
        <f>COUNTIFS('تجربه‌گرها'!$B:$B,$A1178,'تجربه‌گرها'!$F:$F,J$1)</f>
        <v>0</v>
      </c>
      <c r="K1178" s="242">
        <f>COUNTIFS('تجربه‌گرها'!$B:$B,$A1178,'تجربه‌گرها'!$F:$F,K$1)</f>
        <v>0</v>
      </c>
      <c r="L1178" s="242">
        <f>COUNTIFS('تجربه‌گرها'!$B:$B,$A1178,'تجربه‌گرها'!$F:$F,L$1)</f>
        <v>0</v>
      </c>
      <c r="M1178" s="242">
        <f>COUNTIFS('تجربه‌گرها'!$B:$B,$A1178,'تجربه‌گرها'!$F:$F,M$1)</f>
        <v>0</v>
      </c>
      <c r="N1178" s="242">
        <f>COUNTIFS('تجربه‌گرها'!$B:$B,$A1178,'تجربه‌گرها'!$F:$F,N$1)</f>
        <v>1</v>
      </c>
      <c r="O1178" s="242">
        <f>COUNTIFS('تجربه‌گرها'!$B:$B,$A1178,'تجربه‌گرها'!$F:$F,O$1)</f>
        <v>0</v>
      </c>
      <c r="P1178" s="242">
        <f>COUNTIFS('تجربه‌گرها'!$B:$B,$A1178,'تجربه‌گرها'!$F:$F,P$1)</f>
        <v>0</v>
      </c>
      <c r="Q1178" s="242">
        <f>COUNTIFS('تجربه‌گرها'!$B:$B,$A1178,'تجربه‌گرها'!$F:$F,Q$1)</f>
        <v>0</v>
      </c>
      <c r="R1178" s="242">
        <f>COUNTIFS('تجربه‌گرها'!$B:$B,$A1178,'تجربه‌گرها'!$F:$F,R$1)</f>
        <v>0</v>
      </c>
      <c r="S1178" s="242">
        <f>COUNTIFS('تجربه‌گرها'!$B:$B,$A1178,'تجربه‌گرها'!$F:$F,S$1)</f>
        <v>0</v>
      </c>
      <c r="T1178" s="242">
        <f>COUNTIFS('تجربه‌گرها'!$B:$B,$A1178,'تجربه‌گرها'!$F:$F,T$1)</f>
        <v>0</v>
      </c>
      <c r="U1178" s="242"/>
      <c r="V1178" s="242"/>
      <c r="W1178" s="242"/>
      <c r="X1178" s="242"/>
      <c r="Y1178" s="242"/>
      <c r="Z1178" s="242"/>
      <c r="AA1178" s="242"/>
      <c r="AB1178" s="242"/>
    </row>
    <row r="1179" hidden="1">
      <c r="A1179" s="244" t="s">
        <v>5929</v>
      </c>
      <c r="B1179" s="245" t="str">
        <f>VLOOKUP(A1179,'تجربه‌گرها'!B:C,2,FALSE())</f>
        <v>9151415445</v>
      </c>
      <c r="C1179" s="242"/>
      <c r="D1179" s="242">
        <f t="shared" si="1"/>
        <v>1</v>
      </c>
      <c r="E1179" s="242">
        <f>COUNTIFS('تجربه‌گرها'!$B:$B,$A1179,'تجربه‌گرها'!$F:$F,E$1)</f>
        <v>0</v>
      </c>
      <c r="F1179" s="242">
        <f>COUNTIFS('تجربه‌گرها'!$B:$B,$A1179,'تجربه‌گرها'!$F:$F,F$1)</f>
        <v>0</v>
      </c>
      <c r="G1179" s="242">
        <f>COUNTIFS('تجربه‌گرها'!$B:$B,$A1179,'تجربه‌گرها'!$F:$F,G$1)</f>
        <v>0</v>
      </c>
      <c r="H1179" s="242">
        <f>COUNTIFS('تجربه‌گرها'!$B:$B,$A1179,'تجربه‌گرها'!$F:$F,H$1)</f>
        <v>0</v>
      </c>
      <c r="I1179" s="242">
        <f>COUNTIFS('تجربه‌گرها'!$B:$B,$A1179,'تجربه‌گرها'!$F:$F,I$1)</f>
        <v>0</v>
      </c>
      <c r="J1179" s="242">
        <f>COUNTIFS('تجربه‌گرها'!$B:$B,$A1179,'تجربه‌گرها'!$F:$F,J$1)</f>
        <v>0</v>
      </c>
      <c r="K1179" s="242">
        <f>COUNTIFS('تجربه‌گرها'!$B:$B,$A1179,'تجربه‌گرها'!$F:$F,K$1)</f>
        <v>0</v>
      </c>
      <c r="L1179" s="242">
        <f>COUNTIFS('تجربه‌گرها'!$B:$B,$A1179,'تجربه‌گرها'!$F:$F,L$1)</f>
        <v>0</v>
      </c>
      <c r="M1179" s="242">
        <f>COUNTIFS('تجربه‌گرها'!$B:$B,$A1179,'تجربه‌گرها'!$F:$F,M$1)</f>
        <v>0</v>
      </c>
      <c r="N1179" s="242">
        <f>COUNTIFS('تجربه‌گرها'!$B:$B,$A1179,'تجربه‌گرها'!$F:$F,N$1)</f>
        <v>0</v>
      </c>
      <c r="O1179" s="242">
        <f>COUNTIFS('تجربه‌گرها'!$B:$B,$A1179,'تجربه‌گرها'!$F:$F,O$1)</f>
        <v>1</v>
      </c>
      <c r="P1179" s="242">
        <f>COUNTIFS('تجربه‌گرها'!$B:$B,$A1179,'تجربه‌گرها'!$F:$F,P$1)</f>
        <v>0</v>
      </c>
      <c r="Q1179" s="242">
        <f>COUNTIFS('تجربه‌گرها'!$B:$B,$A1179,'تجربه‌گرها'!$F:$F,Q$1)</f>
        <v>0</v>
      </c>
      <c r="R1179" s="242">
        <f>COUNTIFS('تجربه‌گرها'!$B:$B,$A1179,'تجربه‌گرها'!$F:$F,R$1)</f>
        <v>0</v>
      </c>
      <c r="S1179" s="242">
        <f>COUNTIFS('تجربه‌گرها'!$B:$B,$A1179,'تجربه‌گرها'!$F:$F,S$1)</f>
        <v>0</v>
      </c>
      <c r="T1179" s="242">
        <f>COUNTIFS('تجربه‌گرها'!$B:$B,$A1179,'تجربه‌گرها'!$F:$F,T$1)</f>
        <v>0</v>
      </c>
      <c r="U1179" s="242"/>
      <c r="V1179" s="242"/>
      <c r="W1179" s="242"/>
      <c r="X1179" s="242"/>
      <c r="Y1179" s="242"/>
      <c r="Z1179" s="242"/>
      <c r="AA1179" s="242"/>
      <c r="AB1179" s="242"/>
    </row>
    <row r="1180" hidden="1">
      <c r="A1180" s="244" t="s">
        <v>5933</v>
      </c>
      <c r="B1180" s="245" t="str">
        <f>VLOOKUP(A1180,'تجربه‌گرها'!B:C,2,FALSE())</f>
        <v>۹۱۲۰۲۶۹۰۱۶</v>
      </c>
      <c r="C1180" s="242"/>
      <c r="D1180" s="242">
        <f t="shared" si="1"/>
        <v>1</v>
      </c>
      <c r="E1180" s="242">
        <f>COUNTIFS('تجربه‌گرها'!$B:$B,$A1180,'تجربه‌گرها'!$F:$F,E$1)</f>
        <v>0</v>
      </c>
      <c r="F1180" s="242">
        <f>COUNTIFS('تجربه‌گرها'!$B:$B,$A1180,'تجربه‌گرها'!$F:$F,F$1)</f>
        <v>0</v>
      </c>
      <c r="G1180" s="242">
        <f>COUNTIFS('تجربه‌گرها'!$B:$B,$A1180,'تجربه‌گرها'!$F:$F,G$1)</f>
        <v>0</v>
      </c>
      <c r="H1180" s="242">
        <f>COUNTIFS('تجربه‌گرها'!$B:$B,$A1180,'تجربه‌گرها'!$F:$F,H$1)</f>
        <v>0</v>
      </c>
      <c r="I1180" s="242">
        <f>COUNTIFS('تجربه‌گرها'!$B:$B,$A1180,'تجربه‌گرها'!$F:$F,I$1)</f>
        <v>0</v>
      </c>
      <c r="J1180" s="242">
        <f>COUNTIFS('تجربه‌گرها'!$B:$B,$A1180,'تجربه‌گرها'!$F:$F,J$1)</f>
        <v>0</v>
      </c>
      <c r="K1180" s="242">
        <f>COUNTIFS('تجربه‌گرها'!$B:$B,$A1180,'تجربه‌گرها'!$F:$F,K$1)</f>
        <v>0</v>
      </c>
      <c r="L1180" s="242">
        <f>COUNTIFS('تجربه‌گرها'!$B:$B,$A1180,'تجربه‌گرها'!$F:$F,L$1)</f>
        <v>0</v>
      </c>
      <c r="M1180" s="242">
        <f>COUNTIFS('تجربه‌گرها'!$B:$B,$A1180,'تجربه‌گرها'!$F:$F,M$1)</f>
        <v>0</v>
      </c>
      <c r="N1180" s="242">
        <f>COUNTIFS('تجربه‌گرها'!$B:$B,$A1180,'تجربه‌گرها'!$F:$F,N$1)</f>
        <v>0</v>
      </c>
      <c r="O1180" s="242">
        <f>COUNTIFS('تجربه‌گرها'!$B:$B,$A1180,'تجربه‌گرها'!$F:$F,O$1)</f>
        <v>1</v>
      </c>
      <c r="P1180" s="242">
        <f>COUNTIFS('تجربه‌گرها'!$B:$B,$A1180,'تجربه‌گرها'!$F:$F,P$1)</f>
        <v>0</v>
      </c>
      <c r="Q1180" s="242">
        <f>COUNTIFS('تجربه‌گرها'!$B:$B,$A1180,'تجربه‌گرها'!$F:$F,Q$1)</f>
        <v>0</v>
      </c>
      <c r="R1180" s="242">
        <f>COUNTIFS('تجربه‌گرها'!$B:$B,$A1180,'تجربه‌گرها'!$F:$F,R$1)</f>
        <v>0</v>
      </c>
      <c r="S1180" s="242">
        <f>COUNTIFS('تجربه‌گرها'!$B:$B,$A1180,'تجربه‌گرها'!$F:$F,S$1)</f>
        <v>0</v>
      </c>
      <c r="T1180" s="242">
        <f>COUNTIFS('تجربه‌گرها'!$B:$B,$A1180,'تجربه‌گرها'!$F:$F,T$1)</f>
        <v>0</v>
      </c>
      <c r="U1180" s="242"/>
      <c r="V1180" s="242"/>
      <c r="W1180" s="242"/>
      <c r="X1180" s="242"/>
      <c r="Y1180" s="242"/>
      <c r="Z1180" s="242"/>
      <c r="AA1180" s="242"/>
      <c r="AB1180" s="242"/>
    </row>
    <row r="1181" hidden="1">
      <c r="A1181" s="244" t="s">
        <v>5937</v>
      </c>
      <c r="B1181" s="245" t="str">
        <f>VLOOKUP(A1181,'تجربه‌گرها'!B:C,2,FALSE())</f>
        <v>9126337937</v>
      </c>
      <c r="C1181" s="242"/>
      <c r="D1181" s="242">
        <f t="shared" si="1"/>
        <v>1</v>
      </c>
      <c r="E1181" s="242">
        <f>COUNTIFS('تجربه‌گرها'!$B:$B,$A1181,'تجربه‌گرها'!$F:$F,E$1)</f>
        <v>0</v>
      </c>
      <c r="F1181" s="242">
        <f>COUNTIFS('تجربه‌گرها'!$B:$B,$A1181,'تجربه‌گرها'!$F:$F,F$1)</f>
        <v>0</v>
      </c>
      <c r="G1181" s="242">
        <f>COUNTIFS('تجربه‌گرها'!$B:$B,$A1181,'تجربه‌گرها'!$F:$F,G$1)</f>
        <v>0</v>
      </c>
      <c r="H1181" s="242">
        <f>COUNTIFS('تجربه‌گرها'!$B:$B,$A1181,'تجربه‌گرها'!$F:$F,H$1)</f>
        <v>0</v>
      </c>
      <c r="I1181" s="242">
        <f>COUNTIFS('تجربه‌گرها'!$B:$B,$A1181,'تجربه‌گرها'!$F:$F,I$1)</f>
        <v>0</v>
      </c>
      <c r="J1181" s="242">
        <f>COUNTIFS('تجربه‌گرها'!$B:$B,$A1181,'تجربه‌گرها'!$F:$F,J$1)</f>
        <v>0</v>
      </c>
      <c r="K1181" s="242">
        <f>COUNTIFS('تجربه‌گرها'!$B:$B,$A1181,'تجربه‌گرها'!$F:$F,K$1)</f>
        <v>0</v>
      </c>
      <c r="L1181" s="242">
        <f>COUNTIFS('تجربه‌گرها'!$B:$B,$A1181,'تجربه‌گرها'!$F:$F,L$1)</f>
        <v>0</v>
      </c>
      <c r="M1181" s="242">
        <f>COUNTIFS('تجربه‌گرها'!$B:$B,$A1181,'تجربه‌گرها'!$F:$F,M$1)</f>
        <v>0</v>
      </c>
      <c r="N1181" s="242">
        <f>COUNTIFS('تجربه‌گرها'!$B:$B,$A1181,'تجربه‌گرها'!$F:$F,N$1)</f>
        <v>0</v>
      </c>
      <c r="O1181" s="242">
        <f>COUNTIFS('تجربه‌گرها'!$B:$B,$A1181,'تجربه‌گرها'!$F:$F,O$1)</f>
        <v>1</v>
      </c>
      <c r="P1181" s="242">
        <f>COUNTIFS('تجربه‌گرها'!$B:$B,$A1181,'تجربه‌گرها'!$F:$F,P$1)</f>
        <v>0</v>
      </c>
      <c r="Q1181" s="242">
        <f>COUNTIFS('تجربه‌گرها'!$B:$B,$A1181,'تجربه‌گرها'!$F:$F,Q$1)</f>
        <v>0</v>
      </c>
      <c r="R1181" s="242">
        <f>COUNTIFS('تجربه‌گرها'!$B:$B,$A1181,'تجربه‌گرها'!$F:$F,R$1)</f>
        <v>0</v>
      </c>
      <c r="S1181" s="242">
        <f>COUNTIFS('تجربه‌گرها'!$B:$B,$A1181,'تجربه‌گرها'!$F:$F,S$1)</f>
        <v>0</v>
      </c>
      <c r="T1181" s="242">
        <f>COUNTIFS('تجربه‌گرها'!$B:$B,$A1181,'تجربه‌گرها'!$F:$F,T$1)</f>
        <v>0</v>
      </c>
      <c r="U1181" s="242"/>
      <c r="V1181" s="242"/>
      <c r="W1181" s="242"/>
      <c r="X1181" s="242"/>
      <c r="Y1181" s="242"/>
      <c r="Z1181" s="242"/>
      <c r="AA1181" s="242"/>
      <c r="AB1181" s="242"/>
    </row>
    <row r="1182" hidden="1">
      <c r="A1182" s="244" t="s">
        <v>5940</v>
      </c>
      <c r="B1182" s="245" t="str">
        <f>VLOOKUP(A1182,'تجربه‌گرها'!B:C,2,FALSE())</f>
        <v>9356336678</v>
      </c>
      <c r="C1182" s="242"/>
      <c r="D1182" s="242">
        <f t="shared" si="1"/>
        <v>1</v>
      </c>
      <c r="E1182" s="242">
        <f>COUNTIFS('تجربه‌گرها'!$B:$B,$A1182,'تجربه‌گرها'!$F:$F,E$1)</f>
        <v>0</v>
      </c>
      <c r="F1182" s="242">
        <f>COUNTIFS('تجربه‌گرها'!$B:$B,$A1182,'تجربه‌گرها'!$F:$F,F$1)</f>
        <v>0</v>
      </c>
      <c r="G1182" s="242">
        <f>COUNTIFS('تجربه‌گرها'!$B:$B,$A1182,'تجربه‌گرها'!$F:$F,G$1)</f>
        <v>0</v>
      </c>
      <c r="H1182" s="242">
        <f>COUNTIFS('تجربه‌گرها'!$B:$B,$A1182,'تجربه‌گرها'!$F:$F,H$1)</f>
        <v>0</v>
      </c>
      <c r="I1182" s="242">
        <f>COUNTIFS('تجربه‌گرها'!$B:$B,$A1182,'تجربه‌گرها'!$F:$F,I$1)</f>
        <v>0</v>
      </c>
      <c r="J1182" s="242">
        <f>COUNTIFS('تجربه‌گرها'!$B:$B,$A1182,'تجربه‌گرها'!$F:$F,J$1)</f>
        <v>0</v>
      </c>
      <c r="K1182" s="242">
        <f>COUNTIFS('تجربه‌گرها'!$B:$B,$A1182,'تجربه‌گرها'!$F:$F,K$1)</f>
        <v>0</v>
      </c>
      <c r="L1182" s="242">
        <f>COUNTIFS('تجربه‌گرها'!$B:$B,$A1182,'تجربه‌گرها'!$F:$F,L$1)</f>
        <v>0</v>
      </c>
      <c r="M1182" s="242">
        <f>COUNTIFS('تجربه‌گرها'!$B:$B,$A1182,'تجربه‌گرها'!$F:$F,M$1)</f>
        <v>0</v>
      </c>
      <c r="N1182" s="242">
        <f>COUNTIFS('تجربه‌گرها'!$B:$B,$A1182,'تجربه‌گرها'!$F:$F,N$1)</f>
        <v>0</v>
      </c>
      <c r="O1182" s="242">
        <f>COUNTIFS('تجربه‌گرها'!$B:$B,$A1182,'تجربه‌گرها'!$F:$F,O$1)</f>
        <v>1</v>
      </c>
      <c r="P1182" s="242">
        <f>COUNTIFS('تجربه‌گرها'!$B:$B,$A1182,'تجربه‌گرها'!$F:$F,P$1)</f>
        <v>0</v>
      </c>
      <c r="Q1182" s="242">
        <f>COUNTIFS('تجربه‌گرها'!$B:$B,$A1182,'تجربه‌گرها'!$F:$F,Q$1)</f>
        <v>0</v>
      </c>
      <c r="R1182" s="242">
        <f>COUNTIFS('تجربه‌گرها'!$B:$B,$A1182,'تجربه‌گرها'!$F:$F,R$1)</f>
        <v>0</v>
      </c>
      <c r="S1182" s="242">
        <f>COUNTIFS('تجربه‌گرها'!$B:$B,$A1182,'تجربه‌گرها'!$F:$F,S$1)</f>
        <v>0</v>
      </c>
      <c r="T1182" s="242">
        <f>COUNTIFS('تجربه‌گرها'!$B:$B,$A1182,'تجربه‌گرها'!$F:$F,T$1)</f>
        <v>0</v>
      </c>
      <c r="U1182" s="242"/>
      <c r="V1182" s="242"/>
      <c r="W1182" s="242"/>
      <c r="X1182" s="242"/>
      <c r="Y1182" s="242"/>
      <c r="Z1182" s="242"/>
      <c r="AA1182" s="242"/>
      <c r="AB1182" s="242"/>
    </row>
    <row r="1183">
      <c r="A1183" s="244" t="s">
        <v>5943</v>
      </c>
      <c r="B1183" s="245" t="str">
        <f>VLOOKUP(A1183,'تجربه‌گرها'!B:C,2,FALSE())</f>
        <v>9365727065</v>
      </c>
      <c r="C1183" s="242"/>
      <c r="D1183" s="242">
        <f t="shared" si="1"/>
        <v>1</v>
      </c>
      <c r="E1183" s="242">
        <f>COUNTIFS('تجربه‌گرها'!$B:$B,$A1183,'تجربه‌گرها'!$F:$F,E$1)</f>
        <v>0</v>
      </c>
      <c r="F1183" s="242">
        <f>COUNTIFS('تجربه‌گرها'!$B:$B,$A1183,'تجربه‌گرها'!$F:$F,F$1)</f>
        <v>0</v>
      </c>
      <c r="G1183" s="242">
        <f>COUNTIFS('تجربه‌گرها'!$B:$B,$A1183,'تجربه‌گرها'!$F:$F,G$1)</f>
        <v>0</v>
      </c>
      <c r="H1183" s="242">
        <f>COUNTIFS('تجربه‌گرها'!$B:$B,$A1183,'تجربه‌گرها'!$F:$F,H$1)</f>
        <v>0</v>
      </c>
      <c r="I1183" s="242">
        <f>COUNTIFS('تجربه‌گرها'!$B:$B,$A1183,'تجربه‌گرها'!$F:$F,I$1)</f>
        <v>0</v>
      </c>
      <c r="J1183" s="242">
        <f>COUNTIFS('تجربه‌گرها'!$B:$B,$A1183,'تجربه‌گرها'!$F:$F,J$1)</f>
        <v>0</v>
      </c>
      <c r="K1183" s="242">
        <f>COUNTIFS('تجربه‌گرها'!$B:$B,$A1183,'تجربه‌گرها'!$F:$F,K$1)</f>
        <v>0</v>
      </c>
      <c r="L1183" s="242">
        <f>COUNTIFS('تجربه‌گرها'!$B:$B,$A1183,'تجربه‌گرها'!$F:$F,L$1)</f>
        <v>0</v>
      </c>
      <c r="M1183" s="242">
        <f>COUNTIFS('تجربه‌گرها'!$B:$B,$A1183,'تجربه‌گرها'!$F:$F,M$1)</f>
        <v>0</v>
      </c>
      <c r="N1183" s="242">
        <f>COUNTIFS('تجربه‌گرها'!$B:$B,$A1183,'تجربه‌گرها'!$F:$F,N$1)</f>
        <v>0</v>
      </c>
      <c r="O1183" s="242">
        <f>COUNTIFS('تجربه‌گرها'!$B:$B,$A1183,'تجربه‌گرها'!$F:$F,O$1)</f>
        <v>1</v>
      </c>
      <c r="P1183" s="242">
        <f>COUNTIFS('تجربه‌گرها'!$B:$B,$A1183,'تجربه‌گرها'!$F:$F,P$1)</f>
        <v>0</v>
      </c>
      <c r="Q1183" s="242">
        <f>COUNTIFS('تجربه‌گرها'!$B:$B,$A1183,'تجربه‌گرها'!$F:$F,Q$1)</f>
        <v>0</v>
      </c>
      <c r="R1183" s="242">
        <f>COUNTIFS('تجربه‌گرها'!$B:$B,$A1183,'تجربه‌گرها'!$F:$F,R$1)</f>
        <v>0</v>
      </c>
      <c r="S1183" s="242">
        <f>COUNTIFS('تجربه‌گرها'!$B:$B,$A1183,'تجربه‌گرها'!$F:$F,S$1)</f>
        <v>0</v>
      </c>
      <c r="T1183" s="242">
        <f>COUNTIFS('تجربه‌گرها'!$B:$B,$A1183,'تجربه‌گرها'!$F:$F,T$1)</f>
        <v>0</v>
      </c>
      <c r="U1183" s="242"/>
      <c r="V1183" s="242"/>
      <c r="W1183" s="242"/>
      <c r="X1183" s="242"/>
      <c r="Y1183" s="242"/>
      <c r="Z1183" s="242"/>
      <c r="AA1183" s="242"/>
      <c r="AB1183" s="242"/>
    </row>
    <row r="1184" hidden="1">
      <c r="A1184" s="244" t="s">
        <v>5946</v>
      </c>
      <c r="B1184" s="245" t="str">
        <f>VLOOKUP(A1184,'تجربه‌گرها'!B:C,2,FALSE())</f>
        <v>9232502874</v>
      </c>
      <c r="C1184" s="242"/>
      <c r="D1184" s="242">
        <f t="shared" si="1"/>
        <v>1</v>
      </c>
      <c r="E1184" s="242">
        <f>COUNTIFS('تجربه‌گرها'!$B:$B,$A1184,'تجربه‌گرها'!$F:$F,E$1)</f>
        <v>0</v>
      </c>
      <c r="F1184" s="242">
        <f>COUNTIFS('تجربه‌گرها'!$B:$B,$A1184,'تجربه‌گرها'!$F:$F,F$1)</f>
        <v>0</v>
      </c>
      <c r="G1184" s="242">
        <f>COUNTIFS('تجربه‌گرها'!$B:$B,$A1184,'تجربه‌گرها'!$F:$F,G$1)</f>
        <v>0</v>
      </c>
      <c r="H1184" s="242">
        <f>COUNTIFS('تجربه‌گرها'!$B:$B,$A1184,'تجربه‌گرها'!$F:$F,H$1)</f>
        <v>0</v>
      </c>
      <c r="I1184" s="242">
        <f>COUNTIFS('تجربه‌گرها'!$B:$B,$A1184,'تجربه‌گرها'!$F:$F,I$1)</f>
        <v>0</v>
      </c>
      <c r="J1184" s="242">
        <f>COUNTIFS('تجربه‌گرها'!$B:$B,$A1184,'تجربه‌گرها'!$F:$F,J$1)</f>
        <v>0</v>
      </c>
      <c r="K1184" s="242">
        <f>COUNTIFS('تجربه‌گرها'!$B:$B,$A1184,'تجربه‌گرها'!$F:$F,K$1)</f>
        <v>0</v>
      </c>
      <c r="L1184" s="242">
        <f>COUNTIFS('تجربه‌گرها'!$B:$B,$A1184,'تجربه‌گرها'!$F:$F,L$1)</f>
        <v>0</v>
      </c>
      <c r="M1184" s="242">
        <f>COUNTIFS('تجربه‌گرها'!$B:$B,$A1184,'تجربه‌گرها'!$F:$F,M$1)</f>
        <v>0</v>
      </c>
      <c r="N1184" s="242">
        <f>COUNTIFS('تجربه‌گرها'!$B:$B,$A1184,'تجربه‌گرها'!$F:$F,N$1)</f>
        <v>0</v>
      </c>
      <c r="O1184" s="242">
        <f>COUNTIFS('تجربه‌گرها'!$B:$B,$A1184,'تجربه‌گرها'!$F:$F,O$1)</f>
        <v>1</v>
      </c>
      <c r="P1184" s="242">
        <f>COUNTIFS('تجربه‌گرها'!$B:$B,$A1184,'تجربه‌گرها'!$F:$F,P$1)</f>
        <v>0</v>
      </c>
      <c r="Q1184" s="242">
        <f>COUNTIFS('تجربه‌گرها'!$B:$B,$A1184,'تجربه‌گرها'!$F:$F,Q$1)</f>
        <v>0</v>
      </c>
      <c r="R1184" s="242">
        <f>COUNTIFS('تجربه‌گرها'!$B:$B,$A1184,'تجربه‌گرها'!$F:$F,R$1)</f>
        <v>0</v>
      </c>
      <c r="S1184" s="242">
        <f>COUNTIFS('تجربه‌گرها'!$B:$B,$A1184,'تجربه‌گرها'!$F:$F,S$1)</f>
        <v>0</v>
      </c>
      <c r="T1184" s="242">
        <f>COUNTIFS('تجربه‌گرها'!$B:$B,$A1184,'تجربه‌گرها'!$F:$F,T$1)</f>
        <v>0</v>
      </c>
      <c r="U1184" s="242"/>
      <c r="V1184" s="242"/>
      <c r="W1184" s="242"/>
      <c r="X1184" s="242"/>
      <c r="Y1184" s="242"/>
      <c r="Z1184" s="242"/>
      <c r="AA1184" s="242"/>
      <c r="AB1184" s="242"/>
    </row>
    <row r="1185" hidden="1">
      <c r="A1185" s="244" t="s">
        <v>5949</v>
      </c>
      <c r="B1185" s="245" t="str">
        <f>VLOOKUP(A1185,'تجربه‌گرها'!B:C,2,FALSE())</f>
        <v>9124485682</v>
      </c>
      <c r="C1185" s="242"/>
      <c r="D1185" s="242">
        <f t="shared" si="1"/>
        <v>1</v>
      </c>
      <c r="E1185" s="242">
        <f>COUNTIFS('تجربه‌گرها'!$B:$B,$A1185,'تجربه‌گرها'!$F:$F,E$1)</f>
        <v>0</v>
      </c>
      <c r="F1185" s="242">
        <f>COUNTIFS('تجربه‌گرها'!$B:$B,$A1185,'تجربه‌گرها'!$F:$F,F$1)</f>
        <v>0</v>
      </c>
      <c r="G1185" s="242">
        <f>COUNTIFS('تجربه‌گرها'!$B:$B,$A1185,'تجربه‌گرها'!$F:$F,G$1)</f>
        <v>0</v>
      </c>
      <c r="H1185" s="242">
        <f>COUNTIFS('تجربه‌گرها'!$B:$B,$A1185,'تجربه‌گرها'!$F:$F,H$1)</f>
        <v>0</v>
      </c>
      <c r="I1185" s="242">
        <f>COUNTIFS('تجربه‌گرها'!$B:$B,$A1185,'تجربه‌گرها'!$F:$F,I$1)</f>
        <v>0</v>
      </c>
      <c r="J1185" s="242">
        <f>COUNTIFS('تجربه‌گرها'!$B:$B,$A1185,'تجربه‌گرها'!$F:$F,J$1)</f>
        <v>0</v>
      </c>
      <c r="K1185" s="242">
        <f>COUNTIFS('تجربه‌گرها'!$B:$B,$A1185,'تجربه‌گرها'!$F:$F,K$1)</f>
        <v>0</v>
      </c>
      <c r="L1185" s="242">
        <f>COUNTIFS('تجربه‌گرها'!$B:$B,$A1185,'تجربه‌گرها'!$F:$F,L$1)</f>
        <v>0</v>
      </c>
      <c r="M1185" s="242">
        <f>COUNTIFS('تجربه‌گرها'!$B:$B,$A1185,'تجربه‌گرها'!$F:$F,M$1)</f>
        <v>0</v>
      </c>
      <c r="N1185" s="242">
        <f>COUNTIFS('تجربه‌گرها'!$B:$B,$A1185,'تجربه‌گرها'!$F:$F,N$1)</f>
        <v>0</v>
      </c>
      <c r="O1185" s="242">
        <f>COUNTIFS('تجربه‌گرها'!$B:$B,$A1185,'تجربه‌گرها'!$F:$F,O$1)</f>
        <v>1</v>
      </c>
      <c r="P1185" s="242">
        <f>COUNTIFS('تجربه‌گرها'!$B:$B,$A1185,'تجربه‌گرها'!$F:$F,P$1)</f>
        <v>0</v>
      </c>
      <c r="Q1185" s="242">
        <f>COUNTIFS('تجربه‌گرها'!$B:$B,$A1185,'تجربه‌گرها'!$F:$F,Q$1)</f>
        <v>0</v>
      </c>
      <c r="R1185" s="242">
        <f>COUNTIFS('تجربه‌گرها'!$B:$B,$A1185,'تجربه‌گرها'!$F:$F,R$1)</f>
        <v>0</v>
      </c>
      <c r="S1185" s="242">
        <f>COUNTIFS('تجربه‌گرها'!$B:$B,$A1185,'تجربه‌گرها'!$F:$F,S$1)</f>
        <v>0</v>
      </c>
      <c r="T1185" s="242">
        <f>COUNTIFS('تجربه‌گرها'!$B:$B,$A1185,'تجربه‌گرها'!$F:$F,T$1)</f>
        <v>0</v>
      </c>
      <c r="U1185" s="242"/>
      <c r="V1185" s="242"/>
      <c r="W1185" s="242"/>
      <c r="X1185" s="242"/>
      <c r="Y1185" s="242"/>
      <c r="Z1185" s="242"/>
      <c r="AA1185" s="242"/>
      <c r="AB1185" s="242"/>
    </row>
    <row r="1186" hidden="1">
      <c r="A1186" s="244" t="s">
        <v>5953</v>
      </c>
      <c r="B1186" s="245" t="str">
        <f>VLOOKUP(A1186,'تجربه‌گرها'!B:C,2,FALSE())</f>
        <v>9926904002</v>
      </c>
      <c r="C1186" s="242"/>
      <c r="D1186" s="242">
        <f t="shared" si="1"/>
        <v>1</v>
      </c>
      <c r="E1186" s="242">
        <f>COUNTIFS('تجربه‌گرها'!$B:$B,$A1186,'تجربه‌گرها'!$F:$F,E$1)</f>
        <v>0</v>
      </c>
      <c r="F1186" s="242">
        <f>COUNTIFS('تجربه‌گرها'!$B:$B,$A1186,'تجربه‌گرها'!$F:$F,F$1)</f>
        <v>0</v>
      </c>
      <c r="G1186" s="242">
        <f>COUNTIFS('تجربه‌گرها'!$B:$B,$A1186,'تجربه‌گرها'!$F:$F,G$1)</f>
        <v>0</v>
      </c>
      <c r="H1186" s="242">
        <f>COUNTIFS('تجربه‌گرها'!$B:$B,$A1186,'تجربه‌گرها'!$F:$F,H$1)</f>
        <v>0</v>
      </c>
      <c r="I1186" s="242">
        <f>COUNTIFS('تجربه‌گرها'!$B:$B,$A1186,'تجربه‌گرها'!$F:$F,I$1)</f>
        <v>0</v>
      </c>
      <c r="J1186" s="242">
        <f>COUNTIFS('تجربه‌گرها'!$B:$B,$A1186,'تجربه‌گرها'!$F:$F,J$1)</f>
        <v>0</v>
      </c>
      <c r="K1186" s="242">
        <f>COUNTIFS('تجربه‌گرها'!$B:$B,$A1186,'تجربه‌گرها'!$F:$F,K$1)</f>
        <v>0</v>
      </c>
      <c r="L1186" s="242">
        <f>COUNTIFS('تجربه‌گرها'!$B:$B,$A1186,'تجربه‌گرها'!$F:$F,L$1)</f>
        <v>0</v>
      </c>
      <c r="M1186" s="242">
        <f>COUNTIFS('تجربه‌گرها'!$B:$B,$A1186,'تجربه‌گرها'!$F:$F,M$1)</f>
        <v>0</v>
      </c>
      <c r="N1186" s="242">
        <f>COUNTIFS('تجربه‌گرها'!$B:$B,$A1186,'تجربه‌گرها'!$F:$F,N$1)</f>
        <v>0</v>
      </c>
      <c r="O1186" s="242">
        <f>COUNTIFS('تجربه‌گرها'!$B:$B,$A1186,'تجربه‌گرها'!$F:$F,O$1)</f>
        <v>1</v>
      </c>
      <c r="P1186" s="242">
        <f>COUNTIFS('تجربه‌گرها'!$B:$B,$A1186,'تجربه‌گرها'!$F:$F,P$1)</f>
        <v>0</v>
      </c>
      <c r="Q1186" s="242">
        <f>COUNTIFS('تجربه‌گرها'!$B:$B,$A1186,'تجربه‌گرها'!$F:$F,Q$1)</f>
        <v>0</v>
      </c>
      <c r="R1186" s="242">
        <f>COUNTIFS('تجربه‌گرها'!$B:$B,$A1186,'تجربه‌گرها'!$F:$F,R$1)</f>
        <v>0</v>
      </c>
      <c r="S1186" s="242">
        <f>COUNTIFS('تجربه‌گرها'!$B:$B,$A1186,'تجربه‌گرها'!$F:$F,S$1)</f>
        <v>0</v>
      </c>
      <c r="T1186" s="242">
        <f>COUNTIFS('تجربه‌گرها'!$B:$B,$A1186,'تجربه‌گرها'!$F:$F,T$1)</f>
        <v>0</v>
      </c>
      <c r="U1186" s="242"/>
      <c r="V1186" s="242"/>
      <c r="W1186" s="242"/>
      <c r="X1186" s="242"/>
      <c r="Y1186" s="242"/>
      <c r="Z1186" s="242"/>
      <c r="AA1186" s="242"/>
      <c r="AB1186" s="242"/>
    </row>
    <row r="1187" hidden="1">
      <c r="A1187" s="244" t="s">
        <v>5956</v>
      </c>
      <c r="B1187" s="245" t="str">
        <f>VLOOKUP(A1187,'تجربه‌گرها'!B:C,2,FALSE())</f>
        <v>۰۹۱۹۵۸۵۸۳۴۵</v>
      </c>
      <c r="C1187" s="242"/>
      <c r="D1187" s="242">
        <f t="shared" si="1"/>
        <v>1</v>
      </c>
      <c r="E1187" s="242">
        <f>COUNTIFS('تجربه‌گرها'!$B:$B,$A1187,'تجربه‌گرها'!$F:$F,E$1)</f>
        <v>0</v>
      </c>
      <c r="F1187" s="242">
        <f>COUNTIFS('تجربه‌گرها'!$B:$B,$A1187,'تجربه‌گرها'!$F:$F,F$1)</f>
        <v>0</v>
      </c>
      <c r="G1187" s="242">
        <f>COUNTIFS('تجربه‌گرها'!$B:$B,$A1187,'تجربه‌گرها'!$F:$F,G$1)</f>
        <v>0</v>
      </c>
      <c r="H1187" s="242">
        <f>COUNTIFS('تجربه‌گرها'!$B:$B,$A1187,'تجربه‌گرها'!$F:$F,H$1)</f>
        <v>0</v>
      </c>
      <c r="I1187" s="242">
        <f>COUNTIFS('تجربه‌گرها'!$B:$B,$A1187,'تجربه‌گرها'!$F:$F,I$1)</f>
        <v>0</v>
      </c>
      <c r="J1187" s="242">
        <f>COUNTIFS('تجربه‌گرها'!$B:$B,$A1187,'تجربه‌گرها'!$F:$F,J$1)</f>
        <v>0</v>
      </c>
      <c r="K1187" s="242">
        <f>COUNTIFS('تجربه‌گرها'!$B:$B,$A1187,'تجربه‌گرها'!$F:$F,K$1)</f>
        <v>0</v>
      </c>
      <c r="L1187" s="242">
        <f>COUNTIFS('تجربه‌گرها'!$B:$B,$A1187,'تجربه‌گرها'!$F:$F,L$1)</f>
        <v>0</v>
      </c>
      <c r="M1187" s="242">
        <f>COUNTIFS('تجربه‌گرها'!$B:$B,$A1187,'تجربه‌گرها'!$F:$F,M$1)</f>
        <v>0</v>
      </c>
      <c r="N1187" s="242">
        <f>COUNTIFS('تجربه‌گرها'!$B:$B,$A1187,'تجربه‌گرها'!$F:$F,N$1)</f>
        <v>0</v>
      </c>
      <c r="O1187" s="242">
        <f>COUNTIFS('تجربه‌گرها'!$B:$B,$A1187,'تجربه‌گرها'!$F:$F,O$1)</f>
        <v>1</v>
      </c>
      <c r="P1187" s="242">
        <f>COUNTIFS('تجربه‌گرها'!$B:$B,$A1187,'تجربه‌گرها'!$F:$F,P$1)</f>
        <v>0</v>
      </c>
      <c r="Q1187" s="242">
        <f>COUNTIFS('تجربه‌گرها'!$B:$B,$A1187,'تجربه‌گرها'!$F:$F,Q$1)</f>
        <v>0</v>
      </c>
      <c r="R1187" s="242">
        <f>COUNTIFS('تجربه‌گرها'!$B:$B,$A1187,'تجربه‌گرها'!$F:$F,R$1)</f>
        <v>0</v>
      </c>
      <c r="S1187" s="242">
        <f>COUNTIFS('تجربه‌گرها'!$B:$B,$A1187,'تجربه‌گرها'!$F:$F,S$1)</f>
        <v>0</v>
      </c>
      <c r="T1187" s="242">
        <f>COUNTIFS('تجربه‌گرها'!$B:$B,$A1187,'تجربه‌گرها'!$F:$F,T$1)</f>
        <v>0</v>
      </c>
      <c r="U1187" s="242"/>
      <c r="V1187" s="242"/>
      <c r="W1187" s="242"/>
      <c r="X1187" s="242"/>
      <c r="Y1187" s="242"/>
      <c r="Z1187" s="242"/>
      <c r="AA1187" s="242"/>
      <c r="AB1187" s="242"/>
    </row>
    <row r="1188" hidden="1">
      <c r="A1188" s="244" t="s">
        <v>5958</v>
      </c>
      <c r="B1188" s="245" t="str">
        <f>VLOOKUP(A1188,'تجربه‌گرها'!B:C,2,FALSE())</f>
        <v>9364668090</v>
      </c>
      <c r="C1188" s="242"/>
      <c r="D1188" s="242">
        <f t="shared" si="1"/>
        <v>1</v>
      </c>
      <c r="E1188" s="242">
        <f>COUNTIFS('تجربه‌گرها'!$B:$B,$A1188,'تجربه‌گرها'!$F:$F,E$1)</f>
        <v>0</v>
      </c>
      <c r="F1188" s="242">
        <f>COUNTIFS('تجربه‌گرها'!$B:$B,$A1188,'تجربه‌گرها'!$F:$F,F$1)</f>
        <v>0</v>
      </c>
      <c r="G1188" s="242">
        <f>COUNTIFS('تجربه‌گرها'!$B:$B,$A1188,'تجربه‌گرها'!$F:$F,G$1)</f>
        <v>0</v>
      </c>
      <c r="H1188" s="242">
        <f>COUNTIFS('تجربه‌گرها'!$B:$B,$A1188,'تجربه‌گرها'!$F:$F,H$1)</f>
        <v>0</v>
      </c>
      <c r="I1188" s="242">
        <f>COUNTIFS('تجربه‌گرها'!$B:$B,$A1188,'تجربه‌گرها'!$F:$F,I$1)</f>
        <v>0</v>
      </c>
      <c r="J1188" s="242">
        <f>COUNTIFS('تجربه‌گرها'!$B:$B,$A1188,'تجربه‌گرها'!$F:$F,J$1)</f>
        <v>0</v>
      </c>
      <c r="K1188" s="242">
        <f>COUNTIFS('تجربه‌گرها'!$B:$B,$A1188,'تجربه‌گرها'!$F:$F,K$1)</f>
        <v>0</v>
      </c>
      <c r="L1188" s="242">
        <f>COUNTIFS('تجربه‌گرها'!$B:$B,$A1188,'تجربه‌گرها'!$F:$F,L$1)</f>
        <v>0</v>
      </c>
      <c r="M1188" s="242">
        <f>COUNTIFS('تجربه‌گرها'!$B:$B,$A1188,'تجربه‌گرها'!$F:$F,M$1)</f>
        <v>0</v>
      </c>
      <c r="N1188" s="242">
        <f>COUNTIFS('تجربه‌گرها'!$B:$B,$A1188,'تجربه‌گرها'!$F:$F,N$1)</f>
        <v>0</v>
      </c>
      <c r="O1188" s="242">
        <f>COUNTIFS('تجربه‌گرها'!$B:$B,$A1188,'تجربه‌گرها'!$F:$F,O$1)</f>
        <v>1</v>
      </c>
      <c r="P1188" s="242">
        <f>COUNTIFS('تجربه‌گرها'!$B:$B,$A1188,'تجربه‌گرها'!$F:$F,P$1)</f>
        <v>0</v>
      </c>
      <c r="Q1188" s="242">
        <f>COUNTIFS('تجربه‌گرها'!$B:$B,$A1188,'تجربه‌گرها'!$F:$F,Q$1)</f>
        <v>0</v>
      </c>
      <c r="R1188" s="242">
        <f>COUNTIFS('تجربه‌گرها'!$B:$B,$A1188,'تجربه‌گرها'!$F:$F,R$1)</f>
        <v>0</v>
      </c>
      <c r="S1188" s="242">
        <f>COUNTIFS('تجربه‌گرها'!$B:$B,$A1188,'تجربه‌گرها'!$F:$F,S$1)</f>
        <v>0</v>
      </c>
      <c r="T1188" s="242">
        <f>COUNTIFS('تجربه‌گرها'!$B:$B,$A1188,'تجربه‌گرها'!$F:$F,T$1)</f>
        <v>0</v>
      </c>
      <c r="U1188" s="242"/>
      <c r="V1188" s="242"/>
      <c r="W1188" s="242"/>
      <c r="X1188" s="242"/>
      <c r="Y1188" s="242"/>
      <c r="Z1188" s="242"/>
      <c r="AA1188" s="242"/>
      <c r="AB1188" s="242"/>
    </row>
    <row r="1189" hidden="1">
      <c r="A1189" s="244" t="s">
        <v>5960</v>
      </c>
      <c r="B1189" s="245" t="str">
        <f>VLOOKUP(A1189,'تجربه‌گرها'!B:C,2,FALSE())</f>
        <v>9365811313</v>
      </c>
      <c r="C1189" s="242"/>
      <c r="D1189" s="242">
        <f t="shared" si="1"/>
        <v>1</v>
      </c>
      <c r="E1189" s="242">
        <f>COUNTIFS('تجربه‌گرها'!$B:$B,$A1189,'تجربه‌گرها'!$F:$F,E$1)</f>
        <v>0</v>
      </c>
      <c r="F1189" s="242">
        <f>COUNTIFS('تجربه‌گرها'!$B:$B,$A1189,'تجربه‌گرها'!$F:$F,F$1)</f>
        <v>0</v>
      </c>
      <c r="G1189" s="242">
        <f>COUNTIFS('تجربه‌گرها'!$B:$B,$A1189,'تجربه‌گرها'!$F:$F,G$1)</f>
        <v>0</v>
      </c>
      <c r="H1189" s="242">
        <f>COUNTIFS('تجربه‌گرها'!$B:$B,$A1189,'تجربه‌گرها'!$F:$F,H$1)</f>
        <v>0</v>
      </c>
      <c r="I1189" s="242">
        <f>COUNTIFS('تجربه‌گرها'!$B:$B,$A1189,'تجربه‌گرها'!$F:$F,I$1)</f>
        <v>0</v>
      </c>
      <c r="J1189" s="242">
        <f>COUNTIFS('تجربه‌گرها'!$B:$B,$A1189,'تجربه‌گرها'!$F:$F,J$1)</f>
        <v>0</v>
      </c>
      <c r="K1189" s="242">
        <f>COUNTIFS('تجربه‌گرها'!$B:$B,$A1189,'تجربه‌گرها'!$F:$F,K$1)</f>
        <v>0</v>
      </c>
      <c r="L1189" s="242">
        <f>COUNTIFS('تجربه‌گرها'!$B:$B,$A1189,'تجربه‌گرها'!$F:$F,L$1)</f>
        <v>0</v>
      </c>
      <c r="M1189" s="242">
        <f>COUNTIFS('تجربه‌گرها'!$B:$B,$A1189,'تجربه‌گرها'!$F:$F,M$1)</f>
        <v>0</v>
      </c>
      <c r="N1189" s="242">
        <f>COUNTIFS('تجربه‌گرها'!$B:$B,$A1189,'تجربه‌گرها'!$F:$F,N$1)</f>
        <v>0</v>
      </c>
      <c r="O1189" s="242">
        <f>COUNTIFS('تجربه‌گرها'!$B:$B,$A1189,'تجربه‌گرها'!$F:$F,O$1)</f>
        <v>1</v>
      </c>
      <c r="P1189" s="242">
        <f>COUNTIFS('تجربه‌گرها'!$B:$B,$A1189,'تجربه‌گرها'!$F:$F,P$1)</f>
        <v>0</v>
      </c>
      <c r="Q1189" s="242">
        <f>COUNTIFS('تجربه‌گرها'!$B:$B,$A1189,'تجربه‌گرها'!$F:$F,Q$1)</f>
        <v>0</v>
      </c>
      <c r="R1189" s="242">
        <f>COUNTIFS('تجربه‌گرها'!$B:$B,$A1189,'تجربه‌گرها'!$F:$F,R$1)</f>
        <v>0</v>
      </c>
      <c r="S1189" s="242">
        <f>COUNTIFS('تجربه‌گرها'!$B:$B,$A1189,'تجربه‌گرها'!$F:$F,S$1)</f>
        <v>0</v>
      </c>
      <c r="T1189" s="242">
        <f>COUNTIFS('تجربه‌گرها'!$B:$B,$A1189,'تجربه‌گرها'!$F:$F,T$1)</f>
        <v>0</v>
      </c>
      <c r="U1189" s="242"/>
      <c r="V1189" s="242"/>
      <c r="W1189" s="242"/>
      <c r="X1189" s="242"/>
      <c r="Y1189" s="242"/>
      <c r="Z1189" s="242"/>
      <c r="AA1189" s="242"/>
      <c r="AB1189" s="242"/>
    </row>
    <row r="1190" hidden="1">
      <c r="A1190" s="244" t="s">
        <v>5963</v>
      </c>
      <c r="B1190" s="245" t="str">
        <f>VLOOKUP(A1190,'تجربه‌گرها'!B:C,2,FALSE())</f>
        <v>9058938339</v>
      </c>
      <c r="C1190" s="242"/>
      <c r="D1190" s="242">
        <f t="shared" si="1"/>
        <v>1</v>
      </c>
      <c r="E1190" s="242">
        <f>COUNTIFS('تجربه‌گرها'!$B:$B,$A1190,'تجربه‌گرها'!$F:$F,E$1)</f>
        <v>0</v>
      </c>
      <c r="F1190" s="242">
        <f>COUNTIFS('تجربه‌گرها'!$B:$B,$A1190,'تجربه‌گرها'!$F:$F,F$1)</f>
        <v>0</v>
      </c>
      <c r="G1190" s="242">
        <f>COUNTIFS('تجربه‌گرها'!$B:$B,$A1190,'تجربه‌گرها'!$F:$F,G$1)</f>
        <v>0</v>
      </c>
      <c r="H1190" s="242">
        <f>COUNTIFS('تجربه‌گرها'!$B:$B,$A1190,'تجربه‌گرها'!$F:$F,H$1)</f>
        <v>0</v>
      </c>
      <c r="I1190" s="242">
        <f>COUNTIFS('تجربه‌گرها'!$B:$B,$A1190,'تجربه‌گرها'!$F:$F,I$1)</f>
        <v>0</v>
      </c>
      <c r="J1190" s="242">
        <f>COUNTIFS('تجربه‌گرها'!$B:$B,$A1190,'تجربه‌گرها'!$F:$F,J$1)</f>
        <v>0</v>
      </c>
      <c r="K1190" s="242">
        <f>COUNTIFS('تجربه‌گرها'!$B:$B,$A1190,'تجربه‌گرها'!$F:$F,K$1)</f>
        <v>0</v>
      </c>
      <c r="L1190" s="242">
        <f>COUNTIFS('تجربه‌گرها'!$B:$B,$A1190,'تجربه‌گرها'!$F:$F,L$1)</f>
        <v>0</v>
      </c>
      <c r="M1190" s="242">
        <f>COUNTIFS('تجربه‌گرها'!$B:$B,$A1190,'تجربه‌گرها'!$F:$F,M$1)</f>
        <v>0</v>
      </c>
      <c r="N1190" s="242">
        <f>COUNTIFS('تجربه‌گرها'!$B:$B,$A1190,'تجربه‌گرها'!$F:$F,N$1)</f>
        <v>0</v>
      </c>
      <c r="O1190" s="242">
        <f>COUNTIFS('تجربه‌گرها'!$B:$B,$A1190,'تجربه‌گرها'!$F:$F,O$1)</f>
        <v>1</v>
      </c>
      <c r="P1190" s="242">
        <f>COUNTIFS('تجربه‌گرها'!$B:$B,$A1190,'تجربه‌گرها'!$F:$F,P$1)</f>
        <v>0</v>
      </c>
      <c r="Q1190" s="242">
        <f>COUNTIFS('تجربه‌گرها'!$B:$B,$A1190,'تجربه‌گرها'!$F:$F,Q$1)</f>
        <v>0</v>
      </c>
      <c r="R1190" s="242">
        <f>COUNTIFS('تجربه‌گرها'!$B:$B,$A1190,'تجربه‌گرها'!$F:$F,R$1)</f>
        <v>0</v>
      </c>
      <c r="S1190" s="242">
        <f>COUNTIFS('تجربه‌گرها'!$B:$B,$A1190,'تجربه‌گرها'!$F:$F,S$1)</f>
        <v>0</v>
      </c>
      <c r="T1190" s="242">
        <f>COUNTIFS('تجربه‌گرها'!$B:$B,$A1190,'تجربه‌گرها'!$F:$F,T$1)</f>
        <v>0</v>
      </c>
      <c r="U1190" s="242"/>
      <c r="V1190" s="242"/>
      <c r="W1190" s="242"/>
      <c r="X1190" s="242"/>
      <c r="Y1190" s="242"/>
      <c r="Z1190" s="242"/>
      <c r="AA1190" s="242"/>
      <c r="AB1190" s="242"/>
    </row>
    <row r="1191" hidden="1">
      <c r="A1191" s="244" t="s">
        <v>5966</v>
      </c>
      <c r="B1191" s="245" t="str">
        <f>VLOOKUP(A1191,'تجربه‌گرها'!B:C,2,FALSE())</f>
        <v>۰۹۱۲۷۰۳۱۰۰۸</v>
      </c>
      <c r="C1191" s="242"/>
      <c r="D1191" s="242">
        <f t="shared" si="1"/>
        <v>3</v>
      </c>
      <c r="E1191" s="242">
        <f>COUNTIFS('تجربه‌گرها'!$B:$B,$A1191,'تجربه‌گرها'!$F:$F,E$1)</f>
        <v>0</v>
      </c>
      <c r="F1191" s="242">
        <f>COUNTIFS('تجربه‌گرها'!$B:$B,$A1191,'تجربه‌گرها'!$F:$F,F$1)</f>
        <v>0</v>
      </c>
      <c r="G1191" s="242">
        <f>COUNTIFS('تجربه‌گرها'!$B:$B,$A1191,'تجربه‌گرها'!$F:$F,G$1)</f>
        <v>0</v>
      </c>
      <c r="H1191" s="242">
        <f>COUNTIFS('تجربه‌گرها'!$B:$B,$A1191,'تجربه‌گرها'!$F:$F,H$1)</f>
        <v>0</v>
      </c>
      <c r="I1191" s="242">
        <f>COUNTIFS('تجربه‌گرها'!$B:$B,$A1191,'تجربه‌گرها'!$F:$F,I$1)</f>
        <v>0</v>
      </c>
      <c r="J1191" s="242">
        <f>COUNTIFS('تجربه‌گرها'!$B:$B,$A1191,'تجربه‌گرها'!$F:$F,J$1)</f>
        <v>0</v>
      </c>
      <c r="K1191" s="242">
        <f>COUNTIFS('تجربه‌گرها'!$B:$B,$A1191,'تجربه‌گرها'!$F:$F,K$1)</f>
        <v>0</v>
      </c>
      <c r="L1191" s="242">
        <f>COUNTIFS('تجربه‌گرها'!$B:$B,$A1191,'تجربه‌گرها'!$F:$F,L$1)</f>
        <v>0</v>
      </c>
      <c r="M1191" s="242">
        <f>COUNTIFS('تجربه‌گرها'!$B:$B,$A1191,'تجربه‌گرها'!$F:$F,M$1)</f>
        <v>0</v>
      </c>
      <c r="N1191" s="242">
        <f>COUNTIFS('تجربه‌گرها'!$B:$B,$A1191,'تجربه‌گرها'!$F:$F,N$1)</f>
        <v>0</v>
      </c>
      <c r="O1191" s="242">
        <f>COUNTIFS('تجربه‌گرها'!$B:$B,$A1191,'تجربه‌گرها'!$F:$F,O$1)</f>
        <v>1</v>
      </c>
      <c r="P1191" s="242">
        <f>COUNTIFS('تجربه‌گرها'!$B:$B,$A1191,'تجربه‌گرها'!$F:$F,P$1)</f>
        <v>0</v>
      </c>
      <c r="Q1191" s="242">
        <f>COUNTIFS('تجربه‌گرها'!$B:$B,$A1191,'تجربه‌گرها'!$F:$F,Q$1)</f>
        <v>0</v>
      </c>
      <c r="R1191" s="242">
        <f>COUNTIFS('تجربه‌گرها'!$B:$B,$A1191,'تجربه‌گرها'!$F:$F,R$1)</f>
        <v>1</v>
      </c>
      <c r="S1191" s="242">
        <f>COUNTIFS('تجربه‌گرها'!$B:$B,$A1191,'تجربه‌گرها'!$F:$F,S$1)</f>
        <v>0</v>
      </c>
      <c r="T1191" s="242">
        <f>COUNTIFS('تجربه‌گرها'!$B:$B,$A1191,'تجربه‌گرها'!$F:$F,T$1)</f>
        <v>1</v>
      </c>
      <c r="U1191" s="242"/>
      <c r="V1191" s="242"/>
      <c r="W1191" s="242"/>
      <c r="X1191" s="242"/>
      <c r="Y1191" s="242"/>
      <c r="Z1191" s="242"/>
      <c r="AA1191" s="242"/>
      <c r="AB1191" s="242"/>
    </row>
    <row r="1192" hidden="1">
      <c r="A1192" s="244" t="s">
        <v>5969</v>
      </c>
      <c r="B1192" s="245" t="str">
        <f>VLOOKUP(A1192,'تجربه‌گرها'!B:C,2,FALSE())</f>
        <v>۰۹۱۲۳۰۴۸۷۴۸</v>
      </c>
      <c r="C1192" s="242"/>
      <c r="D1192" s="242">
        <f t="shared" si="1"/>
        <v>1</v>
      </c>
      <c r="E1192" s="242">
        <f>COUNTIFS('تجربه‌گرها'!$B:$B,$A1192,'تجربه‌گرها'!$F:$F,E$1)</f>
        <v>0</v>
      </c>
      <c r="F1192" s="242">
        <f>COUNTIFS('تجربه‌گرها'!$B:$B,$A1192,'تجربه‌گرها'!$F:$F,F$1)</f>
        <v>0</v>
      </c>
      <c r="G1192" s="242">
        <f>COUNTIFS('تجربه‌گرها'!$B:$B,$A1192,'تجربه‌گرها'!$F:$F,G$1)</f>
        <v>0</v>
      </c>
      <c r="H1192" s="242">
        <f>COUNTIFS('تجربه‌گرها'!$B:$B,$A1192,'تجربه‌گرها'!$F:$F,H$1)</f>
        <v>0</v>
      </c>
      <c r="I1192" s="242">
        <f>COUNTIFS('تجربه‌گرها'!$B:$B,$A1192,'تجربه‌گرها'!$F:$F,I$1)</f>
        <v>0</v>
      </c>
      <c r="J1192" s="242">
        <f>COUNTIFS('تجربه‌گرها'!$B:$B,$A1192,'تجربه‌گرها'!$F:$F,J$1)</f>
        <v>0</v>
      </c>
      <c r="K1192" s="242">
        <f>COUNTIFS('تجربه‌گرها'!$B:$B,$A1192,'تجربه‌گرها'!$F:$F,K$1)</f>
        <v>0</v>
      </c>
      <c r="L1192" s="242">
        <f>COUNTIFS('تجربه‌گرها'!$B:$B,$A1192,'تجربه‌گرها'!$F:$F,L$1)</f>
        <v>0</v>
      </c>
      <c r="M1192" s="242">
        <f>COUNTIFS('تجربه‌گرها'!$B:$B,$A1192,'تجربه‌گرها'!$F:$F,M$1)</f>
        <v>0</v>
      </c>
      <c r="N1192" s="242">
        <f>COUNTIFS('تجربه‌گرها'!$B:$B,$A1192,'تجربه‌گرها'!$F:$F,N$1)</f>
        <v>0</v>
      </c>
      <c r="O1192" s="242">
        <f>COUNTIFS('تجربه‌گرها'!$B:$B,$A1192,'تجربه‌گرها'!$F:$F,O$1)</f>
        <v>1</v>
      </c>
      <c r="P1192" s="242">
        <f>COUNTIFS('تجربه‌گرها'!$B:$B,$A1192,'تجربه‌گرها'!$F:$F,P$1)</f>
        <v>0</v>
      </c>
      <c r="Q1192" s="242">
        <f>COUNTIFS('تجربه‌گرها'!$B:$B,$A1192,'تجربه‌گرها'!$F:$F,Q$1)</f>
        <v>0</v>
      </c>
      <c r="R1192" s="242">
        <f>COUNTIFS('تجربه‌گرها'!$B:$B,$A1192,'تجربه‌گرها'!$F:$F,R$1)</f>
        <v>0</v>
      </c>
      <c r="S1192" s="242">
        <f>COUNTIFS('تجربه‌گرها'!$B:$B,$A1192,'تجربه‌گرها'!$F:$F,S$1)</f>
        <v>0</v>
      </c>
      <c r="T1192" s="242">
        <f>COUNTIFS('تجربه‌گرها'!$B:$B,$A1192,'تجربه‌گرها'!$F:$F,T$1)</f>
        <v>0</v>
      </c>
      <c r="U1192" s="242"/>
      <c r="V1192" s="242"/>
      <c r="W1192" s="242"/>
      <c r="X1192" s="242"/>
      <c r="Y1192" s="242"/>
      <c r="Z1192" s="242"/>
      <c r="AA1192" s="242"/>
      <c r="AB1192" s="242"/>
    </row>
    <row r="1193" hidden="1">
      <c r="A1193" s="244" t="s">
        <v>5972</v>
      </c>
      <c r="B1193" s="245" t="str">
        <f>VLOOKUP(A1193,'تجربه‌گرها'!B:C,2,FALSE())</f>
        <v/>
      </c>
      <c r="C1193" s="242"/>
      <c r="D1193" s="242">
        <f t="shared" si="1"/>
        <v>1</v>
      </c>
      <c r="E1193" s="242">
        <f>COUNTIFS('تجربه‌گرها'!$B:$B,$A1193,'تجربه‌گرها'!$F:$F,E$1)</f>
        <v>0</v>
      </c>
      <c r="F1193" s="242">
        <f>COUNTIFS('تجربه‌گرها'!$B:$B,$A1193,'تجربه‌گرها'!$F:$F,F$1)</f>
        <v>0</v>
      </c>
      <c r="G1193" s="242">
        <f>COUNTIFS('تجربه‌گرها'!$B:$B,$A1193,'تجربه‌گرها'!$F:$F,G$1)</f>
        <v>0</v>
      </c>
      <c r="H1193" s="242">
        <f>COUNTIFS('تجربه‌گرها'!$B:$B,$A1193,'تجربه‌گرها'!$F:$F,H$1)</f>
        <v>0</v>
      </c>
      <c r="I1193" s="242">
        <f>COUNTIFS('تجربه‌گرها'!$B:$B,$A1193,'تجربه‌گرها'!$F:$F,I$1)</f>
        <v>0</v>
      </c>
      <c r="J1193" s="242">
        <f>COUNTIFS('تجربه‌گرها'!$B:$B,$A1193,'تجربه‌گرها'!$F:$F,J$1)</f>
        <v>0</v>
      </c>
      <c r="K1193" s="242">
        <f>COUNTIFS('تجربه‌گرها'!$B:$B,$A1193,'تجربه‌گرها'!$F:$F,K$1)</f>
        <v>0</v>
      </c>
      <c r="L1193" s="242">
        <f>COUNTIFS('تجربه‌گرها'!$B:$B,$A1193,'تجربه‌گرها'!$F:$F,L$1)</f>
        <v>0</v>
      </c>
      <c r="M1193" s="242">
        <f>COUNTIFS('تجربه‌گرها'!$B:$B,$A1193,'تجربه‌گرها'!$F:$F,M$1)</f>
        <v>0</v>
      </c>
      <c r="N1193" s="242">
        <f>COUNTIFS('تجربه‌گرها'!$B:$B,$A1193,'تجربه‌گرها'!$F:$F,N$1)</f>
        <v>0</v>
      </c>
      <c r="O1193" s="242">
        <f>COUNTIFS('تجربه‌گرها'!$B:$B,$A1193,'تجربه‌گرها'!$F:$F,O$1)</f>
        <v>1</v>
      </c>
      <c r="P1193" s="242">
        <f>COUNTIFS('تجربه‌گرها'!$B:$B,$A1193,'تجربه‌گرها'!$F:$F,P$1)</f>
        <v>0</v>
      </c>
      <c r="Q1193" s="242">
        <f>COUNTIFS('تجربه‌گرها'!$B:$B,$A1193,'تجربه‌گرها'!$F:$F,Q$1)</f>
        <v>0</v>
      </c>
      <c r="R1193" s="242">
        <f>COUNTIFS('تجربه‌گرها'!$B:$B,$A1193,'تجربه‌گرها'!$F:$F,R$1)</f>
        <v>0</v>
      </c>
      <c r="S1193" s="242">
        <f>COUNTIFS('تجربه‌گرها'!$B:$B,$A1193,'تجربه‌گرها'!$F:$F,S$1)</f>
        <v>0</v>
      </c>
      <c r="T1193" s="242">
        <f>COUNTIFS('تجربه‌گرها'!$B:$B,$A1193,'تجربه‌گرها'!$F:$F,T$1)</f>
        <v>0</v>
      </c>
      <c r="U1193" s="242"/>
      <c r="V1193" s="242"/>
      <c r="W1193" s="242"/>
      <c r="X1193" s="242"/>
      <c r="Y1193" s="242"/>
      <c r="Z1193" s="242"/>
      <c r="AA1193" s="242"/>
      <c r="AB1193" s="242"/>
    </row>
    <row r="1194" hidden="1">
      <c r="A1194" s="244" t="s">
        <v>5975</v>
      </c>
      <c r="B1194" s="245" t="str">
        <f>VLOOKUP(A1194,'تجربه‌گرها'!B:C,2,FALSE())</f>
        <v>9103000566</v>
      </c>
      <c r="C1194" s="242"/>
      <c r="D1194" s="242">
        <f t="shared" si="1"/>
        <v>1</v>
      </c>
      <c r="E1194" s="242">
        <f>COUNTIFS('تجربه‌گرها'!$B:$B,$A1194,'تجربه‌گرها'!$F:$F,E$1)</f>
        <v>0</v>
      </c>
      <c r="F1194" s="242">
        <f>COUNTIFS('تجربه‌گرها'!$B:$B,$A1194,'تجربه‌گرها'!$F:$F,F$1)</f>
        <v>0</v>
      </c>
      <c r="G1194" s="242">
        <f>COUNTIFS('تجربه‌گرها'!$B:$B,$A1194,'تجربه‌گرها'!$F:$F,G$1)</f>
        <v>0</v>
      </c>
      <c r="H1194" s="242">
        <f>COUNTIFS('تجربه‌گرها'!$B:$B,$A1194,'تجربه‌گرها'!$F:$F,H$1)</f>
        <v>0</v>
      </c>
      <c r="I1194" s="242">
        <f>COUNTIFS('تجربه‌گرها'!$B:$B,$A1194,'تجربه‌گرها'!$F:$F,I$1)</f>
        <v>0</v>
      </c>
      <c r="J1194" s="242">
        <f>COUNTIFS('تجربه‌گرها'!$B:$B,$A1194,'تجربه‌گرها'!$F:$F,J$1)</f>
        <v>0</v>
      </c>
      <c r="K1194" s="242">
        <f>COUNTIFS('تجربه‌گرها'!$B:$B,$A1194,'تجربه‌گرها'!$F:$F,K$1)</f>
        <v>0</v>
      </c>
      <c r="L1194" s="242">
        <f>COUNTIFS('تجربه‌گرها'!$B:$B,$A1194,'تجربه‌گرها'!$F:$F,L$1)</f>
        <v>0</v>
      </c>
      <c r="M1194" s="242">
        <f>COUNTIFS('تجربه‌گرها'!$B:$B,$A1194,'تجربه‌گرها'!$F:$F,M$1)</f>
        <v>0</v>
      </c>
      <c r="N1194" s="242">
        <f>COUNTIFS('تجربه‌گرها'!$B:$B,$A1194,'تجربه‌گرها'!$F:$F,N$1)</f>
        <v>0</v>
      </c>
      <c r="O1194" s="242">
        <f>COUNTIFS('تجربه‌گرها'!$B:$B,$A1194,'تجربه‌گرها'!$F:$F,O$1)</f>
        <v>1</v>
      </c>
      <c r="P1194" s="242">
        <f>COUNTIFS('تجربه‌گرها'!$B:$B,$A1194,'تجربه‌گرها'!$F:$F,P$1)</f>
        <v>0</v>
      </c>
      <c r="Q1194" s="242">
        <f>COUNTIFS('تجربه‌گرها'!$B:$B,$A1194,'تجربه‌گرها'!$F:$F,Q$1)</f>
        <v>0</v>
      </c>
      <c r="R1194" s="242">
        <f>COUNTIFS('تجربه‌گرها'!$B:$B,$A1194,'تجربه‌گرها'!$F:$F,R$1)</f>
        <v>0</v>
      </c>
      <c r="S1194" s="242">
        <f>COUNTIFS('تجربه‌گرها'!$B:$B,$A1194,'تجربه‌گرها'!$F:$F,S$1)</f>
        <v>0</v>
      </c>
      <c r="T1194" s="242">
        <f>COUNTIFS('تجربه‌گرها'!$B:$B,$A1194,'تجربه‌گرها'!$F:$F,T$1)</f>
        <v>0</v>
      </c>
      <c r="U1194" s="242"/>
      <c r="V1194" s="242"/>
      <c r="W1194" s="242"/>
      <c r="X1194" s="242"/>
      <c r="Y1194" s="242"/>
      <c r="Z1194" s="242"/>
      <c r="AA1194" s="242"/>
      <c r="AB1194" s="242"/>
    </row>
    <row r="1195" hidden="1">
      <c r="A1195" s="244" t="s">
        <v>5977</v>
      </c>
      <c r="B1195" s="245" t="str">
        <f>VLOOKUP(A1195,'تجربه‌گرها'!B:C,2,FALSE())</f>
        <v>9155437274</v>
      </c>
      <c r="C1195" s="242"/>
      <c r="D1195" s="242">
        <f t="shared" si="1"/>
        <v>1</v>
      </c>
      <c r="E1195" s="242">
        <f>COUNTIFS('تجربه‌گرها'!$B:$B,$A1195,'تجربه‌گرها'!$F:$F,E$1)</f>
        <v>0</v>
      </c>
      <c r="F1195" s="242">
        <f>COUNTIFS('تجربه‌گرها'!$B:$B,$A1195,'تجربه‌گرها'!$F:$F,F$1)</f>
        <v>0</v>
      </c>
      <c r="G1195" s="242">
        <f>COUNTIFS('تجربه‌گرها'!$B:$B,$A1195,'تجربه‌گرها'!$F:$F,G$1)</f>
        <v>0</v>
      </c>
      <c r="H1195" s="242">
        <f>COUNTIFS('تجربه‌گرها'!$B:$B,$A1195,'تجربه‌گرها'!$F:$F,H$1)</f>
        <v>0</v>
      </c>
      <c r="I1195" s="242">
        <f>COUNTIFS('تجربه‌گرها'!$B:$B,$A1195,'تجربه‌گرها'!$F:$F,I$1)</f>
        <v>0</v>
      </c>
      <c r="J1195" s="242">
        <f>COUNTIFS('تجربه‌گرها'!$B:$B,$A1195,'تجربه‌گرها'!$F:$F,J$1)</f>
        <v>0</v>
      </c>
      <c r="K1195" s="242">
        <f>COUNTIFS('تجربه‌گرها'!$B:$B,$A1195,'تجربه‌گرها'!$F:$F,K$1)</f>
        <v>0</v>
      </c>
      <c r="L1195" s="242">
        <f>COUNTIFS('تجربه‌گرها'!$B:$B,$A1195,'تجربه‌گرها'!$F:$F,L$1)</f>
        <v>0</v>
      </c>
      <c r="M1195" s="242">
        <f>COUNTIFS('تجربه‌گرها'!$B:$B,$A1195,'تجربه‌گرها'!$F:$F,M$1)</f>
        <v>0</v>
      </c>
      <c r="N1195" s="242">
        <f>COUNTIFS('تجربه‌گرها'!$B:$B,$A1195,'تجربه‌گرها'!$F:$F,N$1)</f>
        <v>0</v>
      </c>
      <c r="O1195" s="242">
        <f>COUNTIFS('تجربه‌گرها'!$B:$B,$A1195,'تجربه‌گرها'!$F:$F,O$1)</f>
        <v>1</v>
      </c>
      <c r="P1195" s="242">
        <f>COUNTIFS('تجربه‌گرها'!$B:$B,$A1195,'تجربه‌گرها'!$F:$F,P$1)</f>
        <v>0</v>
      </c>
      <c r="Q1195" s="242">
        <f>COUNTIFS('تجربه‌گرها'!$B:$B,$A1195,'تجربه‌گرها'!$F:$F,Q$1)</f>
        <v>0</v>
      </c>
      <c r="R1195" s="242">
        <f>COUNTIFS('تجربه‌گرها'!$B:$B,$A1195,'تجربه‌گرها'!$F:$F,R$1)</f>
        <v>0</v>
      </c>
      <c r="S1195" s="242">
        <f>COUNTIFS('تجربه‌گرها'!$B:$B,$A1195,'تجربه‌گرها'!$F:$F,S$1)</f>
        <v>0</v>
      </c>
      <c r="T1195" s="242">
        <f>COUNTIFS('تجربه‌گرها'!$B:$B,$A1195,'تجربه‌گرها'!$F:$F,T$1)</f>
        <v>0</v>
      </c>
      <c r="U1195" s="242"/>
      <c r="V1195" s="242"/>
      <c r="W1195" s="242"/>
      <c r="X1195" s="242"/>
      <c r="Y1195" s="242"/>
      <c r="Z1195" s="242"/>
      <c r="AA1195" s="242"/>
      <c r="AB1195" s="242"/>
    </row>
    <row r="1196" hidden="1">
      <c r="A1196" s="244" t="s">
        <v>5980</v>
      </c>
      <c r="B1196" s="245" t="str">
        <f>VLOOKUP(A1196,'تجربه‌گرها'!B:C,2,FALSE())</f>
        <v>9395020476</v>
      </c>
      <c r="C1196" s="242"/>
      <c r="D1196" s="242">
        <f t="shared" si="1"/>
        <v>1</v>
      </c>
      <c r="E1196" s="242">
        <f>COUNTIFS('تجربه‌گرها'!$B:$B,$A1196,'تجربه‌گرها'!$F:$F,E$1)</f>
        <v>0</v>
      </c>
      <c r="F1196" s="242">
        <f>COUNTIFS('تجربه‌گرها'!$B:$B,$A1196,'تجربه‌گرها'!$F:$F,F$1)</f>
        <v>0</v>
      </c>
      <c r="G1196" s="242">
        <f>COUNTIFS('تجربه‌گرها'!$B:$B,$A1196,'تجربه‌گرها'!$F:$F,G$1)</f>
        <v>0</v>
      </c>
      <c r="H1196" s="242">
        <f>COUNTIFS('تجربه‌گرها'!$B:$B,$A1196,'تجربه‌گرها'!$F:$F,H$1)</f>
        <v>0</v>
      </c>
      <c r="I1196" s="242">
        <f>COUNTIFS('تجربه‌گرها'!$B:$B,$A1196,'تجربه‌گرها'!$F:$F,I$1)</f>
        <v>0</v>
      </c>
      <c r="J1196" s="242">
        <f>COUNTIFS('تجربه‌گرها'!$B:$B,$A1196,'تجربه‌گرها'!$F:$F,J$1)</f>
        <v>0</v>
      </c>
      <c r="K1196" s="242">
        <f>COUNTIFS('تجربه‌گرها'!$B:$B,$A1196,'تجربه‌گرها'!$F:$F,K$1)</f>
        <v>0</v>
      </c>
      <c r="L1196" s="242">
        <f>COUNTIFS('تجربه‌گرها'!$B:$B,$A1196,'تجربه‌گرها'!$F:$F,L$1)</f>
        <v>0</v>
      </c>
      <c r="M1196" s="242">
        <f>COUNTIFS('تجربه‌گرها'!$B:$B,$A1196,'تجربه‌گرها'!$F:$F,M$1)</f>
        <v>0</v>
      </c>
      <c r="N1196" s="242">
        <f>COUNTIFS('تجربه‌گرها'!$B:$B,$A1196,'تجربه‌گرها'!$F:$F,N$1)</f>
        <v>0</v>
      </c>
      <c r="O1196" s="242">
        <f>COUNTIFS('تجربه‌گرها'!$B:$B,$A1196,'تجربه‌گرها'!$F:$F,O$1)</f>
        <v>1</v>
      </c>
      <c r="P1196" s="242">
        <f>COUNTIFS('تجربه‌گرها'!$B:$B,$A1196,'تجربه‌گرها'!$F:$F,P$1)</f>
        <v>0</v>
      </c>
      <c r="Q1196" s="242">
        <f>COUNTIFS('تجربه‌گرها'!$B:$B,$A1196,'تجربه‌گرها'!$F:$F,Q$1)</f>
        <v>0</v>
      </c>
      <c r="R1196" s="242">
        <f>COUNTIFS('تجربه‌گرها'!$B:$B,$A1196,'تجربه‌گرها'!$F:$F,R$1)</f>
        <v>0</v>
      </c>
      <c r="S1196" s="242">
        <f>COUNTIFS('تجربه‌گرها'!$B:$B,$A1196,'تجربه‌گرها'!$F:$F,S$1)</f>
        <v>0</v>
      </c>
      <c r="T1196" s="242">
        <f>COUNTIFS('تجربه‌گرها'!$B:$B,$A1196,'تجربه‌گرها'!$F:$F,T$1)</f>
        <v>0</v>
      </c>
      <c r="U1196" s="242"/>
      <c r="V1196" s="242"/>
      <c r="W1196" s="242"/>
      <c r="X1196" s="242"/>
      <c r="Y1196" s="242"/>
      <c r="Z1196" s="242"/>
      <c r="AA1196" s="242"/>
      <c r="AB1196" s="242"/>
    </row>
    <row r="1197" hidden="1">
      <c r="A1197" s="244" t="s">
        <v>5982</v>
      </c>
      <c r="B1197" s="245" t="str">
        <f>VLOOKUP(A1197,'تجربه‌گرها'!B:C,2,FALSE())</f>
        <v>9171123429</v>
      </c>
      <c r="C1197" s="242"/>
      <c r="D1197" s="242">
        <f t="shared" si="1"/>
        <v>1</v>
      </c>
      <c r="E1197" s="242">
        <f>COUNTIFS('تجربه‌گرها'!$B:$B,$A1197,'تجربه‌گرها'!$F:$F,E$1)</f>
        <v>0</v>
      </c>
      <c r="F1197" s="242">
        <f>COUNTIFS('تجربه‌گرها'!$B:$B,$A1197,'تجربه‌گرها'!$F:$F,F$1)</f>
        <v>0</v>
      </c>
      <c r="G1197" s="242">
        <f>COUNTIFS('تجربه‌گرها'!$B:$B,$A1197,'تجربه‌گرها'!$F:$F,G$1)</f>
        <v>0</v>
      </c>
      <c r="H1197" s="242">
        <f>COUNTIFS('تجربه‌گرها'!$B:$B,$A1197,'تجربه‌گرها'!$F:$F,H$1)</f>
        <v>0</v>
      </c>
      <c r="I1197" s="242">
        <f>COUNTIFS('تجربه‌گرها'!$B:$B,$A1197,'تجربه‌گرها'!$F:$F,I$1)</f>
        <v>0</v>
      </c>
      <c r="J1197" s="242">
        <f>COUNTIFS('تجربه‌گرها'!$B:$B,$A1197,'تجربه‌گرها'!$F:$F,J$1)</f>
        <v>0</v>
      </c>
      <c r="K1197" s="242">
        <f>COUNTIFS('تجربه‌گرها'!$B:$B,$A1197,'تجربه‌گرها'!$F:$F,K$1)</f>
        <v>0</v>
      </c>
      <c r="L1197" s="242">
        <f>COUNTIFS('تجربه‌گرها'!$B:$B,$A1197,'تجربه‌گرها'!$F:$F,L$1)</f>
        <v>0</v>
      </c>
      <c r="M1197" s="242">
        <f>COUNTIFS('تجربه‌گرها'!$B:$B,$A1197,'تجربه‌گرها'!$F:$F,M$1)</f>
        <v>0</v>
      </c>
      <c r="N1197" s="242">
        <f>COUNTIFS('تجربه‌گرها'!$B:$B,$A1197,'تجربه‌گرها'!$F:$F,N$1)</f>
        <v>0</v>
      </c>
      <c r="O1197" s="242">
        <f>COUNTIFS('تجربه‌گرها'!$B:$B,$A1197,'تجربه‌گرها'!$F:$F,O$1)</f>
        <v>1</v>
      </c>
      <c r="P1197" s="242">
        <f>COUNTIFS('تجربه‌گرها'!$B:$B,$A1197,'تجربه‌گرها'!$F:$F,P$1)</f>
        <v>0</v>
      </c>
      <c r="Q1197" s="242">
        <f>COUNTIFS('تجربه‌گرها'!$B:$B,$A1197,'تجربه‌گرها'!$F:$F,Q$1)</f>
        <v>0</v>
      </c>
      <c r="R1197" s="242">
        <f>COUNTIFS('تجربه‌گرها'!$B:$B,$A1197,'تجربه‌گرها'!$F:$F,R$1)</f>
        <v>0</v>
      </c>
      <c r="S1197" s="242">
        <f>COUNTIFS('تجربه‌گرها'!$B:$B,$A1197,'تجربه‌گرها'!$F:$F,S$1)</f>
        <v>0</v>
      </c>
      <c r="T1197" s="242">
        <f>COUNTIFS('تجربه‌گرها'!$B:$B,$A1197,'تجربه‌گرها'!$F:$F,T$1)</f>
        <v>0</v>
      </c>
      <c r="U1197" s="242"/>
      <c r="V1197" s="242"/>
      <c r="W1197" s="242"/>
      <c r="X1197" s="242"/>
      <c r="Y1197" s="242"/>
      <c r="Z1197" s="242"/>
      <c r="AA1197" s="242"/>
      <c r="AB1197" s="242"/>
    </row>
    <row r="1198" hidden="1">
      <c r="A1198" s="244" t="s">
        <v>5985</v>
      </c>
      <c r="B1198" s="245" t="str">
        <f>VLOOKUP(A1198,'تجربه‌گرها'!B:C,2,FALSE())</f>
        <v>9360816001</v>
      </c>
      <c r="C1198" s="242"/>
      <c r="D1198" s="242">
        <f t="shared" si="1"/>
        <v>1</v>
      </c>
      <c r="E1198" s="242">
        <f>COUNTIFS('تجربه‌گرها'!$B:$B,$A1198,'تجربه‌گرها'!$F:$F,E$1)</f>
        <v>0</v>
      </c>
      <c r="F1198" s="242">
        <f>COUNTIFS('تجربه‌گرها'!$B:$B,$A1198,'تجربه‌گرها'!$F:$F,F$1)</f>
        <v>0</v>
      </c>
      <c r="G1198" s="242">
        <f>COUNTIFS('تجربه‌گرها'!$B:$B,$A1198,'تجربه‌گرها'!$F:$F,G$1)</f>
        <v>0</v>
      </c>
      <c r="H1198" s="242">
        <f>COUNTIFS('تجربه‌گرها'!$B:$B,$A1198,'تجربه‌گرها'!$F:$F,H$1)</f>
        <v>0</v>
      </c>
      <c r="I1198" s="242">
        <f>COUNTIFS('تجربه‌گرها'!$B:$B,$A1198,'تجربه‌گرها'!$F:$F,I$1)</f>
        <v>0</v>
      </c>
      <c r="J1198" s="242">
        <f>COUNTIFS('تجربه‌گرها'!$B:$B,$A1198,'تجربه‌گرها'!$F:$F,J$1)</f>
        <v>0</v>
      </c>
      <c r="K1198" s="242">
        <f>COUNTIFS('تجربه‌گرها'!$B:$B,$A1198,'تجربه‌گرها'!$F:$F,K$1)</f>
        <v>0</v>
      </c>
      <c r="L1198" s="242">
        <f>COUNTIFS('تجربه‌گرها'!$B:$B,$A1198,'تجربه‌گرها'!$F:$F,L$1)</f>
        <v>0</v>
      </c>
      <c r="M1198" s="242">
        <f>COUNTIFS('تجربه‌گرها'!$B:$B,$A1198,'تجربه‌گرها'!$F:$F,M$1)</f>
        <v>0</v>
      </c>
      <c r="N1198" s="242">
        <f>COUNTIFS('تجربه‌گرها'!$B:$B,$A1198,'تجربه‌گرها'!$F:$F,N$1)</f>
        <v>0</v>
      </c>
      <c r="O1198" s="242">
        <f>COUNTIFS('تجربه‌گرها'!$B:$B,$A1198,'تجربه‌گرها'!$F:$F,O$1)</f>
        <v>1</v>
      </c>
      <c r="P1198" s="242">
        <f>COUNTIFS('تجربه‌گرها'!$B:$B,$A1198,'تجربه‌گرها'!$F:$F,P$1)</f>
        <v>0</v>
      </c>
      <c r="Q1198" s="242">
        <f>COUNTIFS('تجربه‌گرها'!$B:$B,$A1198,'تجربه‌گرها'!$F:$F,Q$1)</f>
        <v>0</v>
      </c>
      <c r="R1198" s="242">
        <f>COUNTIFS('تجربه‌گرها'!$B:$B,$A1198,'تجربه‌گرها'!$F:$F,R$1)</f>
        <v>0</v>
      </c>
      <c r="S1198" s="242">
        <f>COUNTIFS('تجربه‌گرها'!$B:$B,$A1198,'تجربه‌گرها'!$F:$F,S$1)</f>
        <v>0</v>
      </c>
      <c r="T1198" s="242">
        <f>COUNTIFS('تجربه‌گرها'!$B:$B,$A1198,'تجربه‌گرها'!$F:$F,T$1)</f>
        <v>0</v>
      </c>
      <c r="U1198" s="242"/>
      <c r="V1198" s="242"/>
      <c r="W1198" s="242"/>
      <c r="X1198" s="242"/>
      <c r="Y1198" s="242"/>
      <c r="Z1198" s="242"/>
      <c r="AA1198" s="242"/>
      <c r="AB1198" s="242"/>
    </row>
    <row r="1199">
      <c r="A1199" s="244" t="s">
        <v>5989</v>
      </c>
      <c r="B1199" s="245" t="str">
        <f>VLOOKUP(A1199,'تجربه‌گرها'!B:C,2,FALSE())</f>
        <v>9305146908</v>
      </c>
      <c r="C1199" s="242"/>
      <c r="D1199" s="242">
        <f t="shared" si="1"/>
        <v>1</v>
      </c>
      <c r="E1199" s="242">
        <f>COUNTIFS('تجربه‌گرها'!$B:$B,$A1199,'تجربه‌گرها'!$F:$F,E$1)</f>
        <v>0</v>
      </c>
      <c r="F1199" s="242">
        <f>COUNTIFS('تجربه‌گرها'!$B:$B,$A1199,'تجربه‌گرها'!$F:$F,F$1)</f>
        <v>0</v>
      </c>
      <c r="G1199" s="242">
        <f>COUNTIFS('تجربه‌گرها'!$B:$B,$A1199,'تجربه‌گرها'!$F:$F,G$1)</f>
        <v>0</v>
      </c>
      <c r="H1199" s="242">
        <f>COUNTIFS('تجربه‌گرها'!$B:$B,$A1199,'تجربه‌گرها'!$F:$F,H$1)</f>
        <v>0</v>
      </c>
      <c r="I1199" s="242">
        <f>COUNTIFS('تجربه‌گرها'!$B:$B,$A1199,'تجربه‌گرها'!$F:$F,I$1)</f>
        <v>0</v>
      </c>
      <c r="J1199" s="242">
        <f>COUNTIFS('تجربه‌گرها'!$B:$B,$A1199,'تجربه‌گرها'!$F:$F,J$1)</f>
        <v>0</v>
      </c>
      <c r="K1199" s="242">
        <f>COUNTIFS('تجربه‌گرها'!$B:$B,$A1199,'تجربه‌گرها'!$F:$F,K$1)</f>
        <v>0</v>
      </c>
      <c r="L1199" s="242">
        <f>COUNTIFS('تجربه‌گرها'!$B:$B,$A1199,'تجربه‌گرها'!$F:$F,L$1)</f>
        <v>0</v>
      </c>
      <c r="M1199" s="242">
        <f>COUNTIFS('تجربه‌گرها'!$B:$B,$A1199,'تجربه‌گرها'!$F:$F,M$1)</f>
        <v>0</v>
      </c>
      <c r="N1199" s="242">
        <f>COUNTIFS('تجربه‌گرها'!$B:$B,$A1199,'تجربه‌گرها'!$F:$F,N$1)</f>
        <v>0</v>
      </c>
      <c r="O1199" s="242">
        <f>COUNTIFS('تجربه‌گرها'!$B:$B,$A1199,'تجربه‌گرها'!$F:$F,O$1)</f>
        <v>1</v>
      </c>
      <c r="P1199" s="242">
        <f>COUNTIFS('تجربه‌گرها'!$B:$B,$A1199,'تجربه‌گرها'!$F:$F,P$1)</f>
        <v>0</v>
      </c>
      <c r="Q1199" s="242">
        <f>COUNTIFS('تجربه‌گرها'!$B:$B,$A1199,'تجربه‌گرها'!$F:$F,Q$1)</f>
        <v>0</v>
      </c>
      <c r="R1199" s="242">
        <f>COUNTIFS('تجربه‌گرها'!$B:$B,$A1199,'تجربه‌گرها'!$F:$F,R$1)</f>
        <v>0</v>
      </c>
      <c r="S1199" s="242">
        <f>COUNTIFS('تجربه‌گرها'!$B:$B,$A1199,'تجربه‌گرها'!$F:$F,S$1)</f>
        <v>0</v>
      </c>
      <c r="T1199" s="242">
        <f>COUNTIFS('تجربه‌گرها'!$B:$B,$A1199,'تجربه‌گرها'!$F:$F,T$1)</f>
        <v>0</v>
      </c>
      <c r="U1199" s="242"/>
      <c r="V1199" s="242"/>
      <c r="W1199" s="242"/>
      <c r="X1199" s="242"/>
      <c r="Y1199" s="242"/>
      <c r="Z1199" s="242"/>
      <c r="AA1199" s="242"/>
      <c r="AB1199" s="242"/>
    </row>
    <row r="1200" hidden="1">
      <c r="A1200" s="244" t="s">
        <v>5991</v>
      </c>
      <c r="B1200" s="245" t="str">
        <f>VLOOKUP(A1200,'تجربه‌گرها'!B:C,2,FALSE())</f>
        <v>9216954012</v>
      </c>
      <c r="C1200" s="242"/>
      <c r="D1200" s="242">
        <f t="shared" si="1"/>
        <v>1</v>
      </c>
      <c r="E1200" s="242">
        <f>COUNTIFS('تجربه‌گرها'!$B:$B,$A1200,'تجربه‌گرها'!$F:$F,E$1)</f>
        <v>0</v>
      </c>
      <c r="F1200" s="242">
        <f>COUNTIFS('تجربه‌گرها'!$B:$B,$A1200,'تجربه‌گرها'!$F:$F,F$1)</f>
        <v>0</v>
      </c>
      <c r="G1200" s="242">
        <f>COUNTIFS('تجربه‌گرها'!$B:$B,$A1200,'تجربه‌گرها'!$F:$F,G$1)</f>
        <v>0</v>
      </c>
      <c r="H1200" s="242">
        <f>COUNTIFS('تجربه‌گرها'!$B:$B,$A1200,'تجربه‌گرها'!$F:$F,H$1)</f>
        <v>0</v>
      </c>
      <c r="I1200" s="242">
        <f>COUNTIFS('تجربه‌گرها'!$B:$B,$A1200,'تجربه‌گرها'!$F:$F,I$1)</f>
        <v>0</v>
      </c>
      <c r="J1200" s="242">
        <f>COUNTIFS('تجربه‌گرها'!$B:$B,$A1200,'تجربه‌گرها'!$F:$F,J$1)</f>
        <v>0</v>
      </c>
      <c r="K1200" s="242">
        <f>COUNTIFS('تجربه‌گرها'!$B:$B,$A1200,'تجربه‌گرها'!$F:$F,K$1)</f>
        <v>0</v>
      </c>
      <c r="L1200" s="242">
        <f>COUNTIFS('تجربه‌گرها'!$B:$B,$A1200,'تجربه‌گرها'!$F:$F,L$1)</f>
        <v>0</v>
      </c>
      <c r="M1200" s="242">
        <f>COUNTIFS('تجربه‌گرها'!$B:$B,$A1200,'تجربه‌گرها'!$F:$F,M$1)</f>
        <v>0</v>
      </c>
      <c r="N1200" s="242">
        <f>COUNTIFS('تجربه‌گرها'!$B:$B,$A1200,'تجربه‌گرها'!$F:$F,N$1)</f>
        <v>0</v>
      </c>
      <c r="O1200" s="242">
        <f>COUNTIFS('تجربه‌گرها'!$B:$B,$A1200,'تجربه‌گرها'!$F:$F,O$1)</f>
        <v>1</v>
      </c>
      <c r="P1200" s="242">
        <f>COUNTIFS('تجربه‌گرها'!$B:$B,$A1200,'تجربه‌گرها'!$F:$F,P$1)</f>
        <v>0</v>
      </c>
      <c r="Q1200" s="242">
        <f>COUNTIFS('تجربه‌گرها'!$B:$B,$A1200,'تجربه‌گرها'!$F:$F,Q$1)</f>
        <v>0</v>
      </c>
      <c r="R1200" s="242">
        <f>COUNTIFS('تجربه‌گرها'!$B:$B,$A1200,'تجربه‌گرها'!$F:$F,R$1)</f>
        <v>0</v>
      </c>
      <c r="S1200" s="242">
        <f>COUNTIFS('تجربه‌گرها'!$B:$B,$A1200,'تجربه‌گرها'!$F:$F,S$1)</f>
        <v>0</v>
      </c>
      <c r="T1200" s="242">
        <f>COUNTIFS('تجربه‌گرها'!$B:$B,$A1200,'تجربه‌گرها'!$F:$F,T$1)</f>
        <v>0</v>
      </c>
      <c r="U1200" s="242"/>
      <c r="V1200" s="242"/>
      <c r="W1200" s="242"/>
      <c r="X1200" s="242"/>
      <c r="Y1200" s="242"/>
      <c r="Z1200" s="242"/>
      <c r="AA1200" s="242"/>
      <c r="AB1200" s="242"/>
    </row>
    <row r="1201" hidden="1">
      <c r="A1201" s="244" t="s">
        <v>5994</v>
      </c>
      <c r="B1201" s="245" t="str">
        <f>VLOOKUP(A1201,'تجربه‌گرها'!B:C,2,FALSE())</f>
        <v>9120652693</v>
      </c>
      <c r="C1201" s="242"/>
      <c r="D1201" s="242">
        <f t="shared" si="1"/>
        <v>1</v>
      </c>
      <c r="E1201" s="242">
        <f>COUNTIFS('تجربه‌گرها'!$B:$B,$A1201,'تجربه‌گرها'!$F:$F,E$1)</f>
        <v>0</v>
      </c>
      <c r="F1201" s="242">
        <f>COUNTIFS('تجربه‌گرها'!$B:$B,$A1201,'تجربه‌گرها'!$F:$F,F$1)</f>
        <v>0</v>
      </c>
      <c r="G1201" s="242">
        <f>COUNTIFS('تجربه‌گرها'!$B:$B,$A1201,'تجربه‌گرها'!$F:$F,G$1)</f>
        <v>0</v>
      </c>
      <c r="H1201" s="242">
        <f>COUNTIFS('تجربه‌گرها'!$B:$B,$A1201,'تجربه‌گرها'!$F:$F,H$1)</f>
        <v>0</v>
      </c>
      <c r="I1201" s="242">
        <f>COUNTIFS('تجربه‌گرها'!$B:$B,$A1201,'تجربه‌گرها'!$F:$F,I$1)</f>
        <v>0</v>
      </c>
      <c r="J1201" s="242">
        <f>COUNTIFS('تجربه‌گرها'!$B:$B,$A1201,'تجربه‌گرها'!$F:$F,J$1)</f>
        <v>0</v>
      </c>
      <c r="K1201" s="242">
        <f>COUNTIFS('تجربه‌گرها'!$B:$B,$A1201,'تجربه‌گرها'!$F:$F,K$1)</f>
        <v>0</v>
      </c>
      <c r="L1201" s="242">
        <f>COUNTIFS('تجربه‌گرها'!$B:$B,$A1201,'تجربه‌گرها'!$F:$F,L$1)</f>
        <v>0</v>
      </c>
      <c r="M1201" s="242">
        <f>COUNTIFS('تجربه‌گرها'!$B:$B,$A1201,'تجربه‌گرها'!$F:$F,M$1)</f>
        <v>0</v>
      </c>
      <c r="N1201" s="242">
        <f>COUNTIFS('تجربه‌گرها'!$B:$B,$A1201,'تجربه‌گرها'!$F:$F,N$1)</f>
        <v>0</v>
      </c>
      <c r="O1201" s="242">
        <f>COUNTIFS('تجربه‌گرها'!$B:$B,$A1201,'تجربه‌گرها'!$F:$F,O$1)</f>
        <v>1</v>
      </c>
      <c r="P1201" s="242">
        <f>COUNTIFS('تجربه‌گرها'!$B:$B,$A1201,'تجربه‌گرها'!$F:$F,P$1)</f>
        <v>0</v>
      </c>
      <c r="Q1201" s="242">
        <f>COUNTIFS('تجربه‌گرها'!$B:$B,$A1201,'تجربه‌گرها'!$F:$F,Q$1)</f>
        <v>0</v>
      </c>
      <c r="R1201" s="242">
        <f>COUNTIFS('تجربه‌گرها'!$B:$B,$A1201,'تجربه‌گرها'!$F:$F,R$1)</f>
        <v>0</v>
      </c>
      <c r="S1201" s="242">
        <f>COUNTIFS('تجربه‌گرها'!$B:$B,$A1201,'تجربه‌گرها'!$F:$F,S$1)</f>
        <v>0</v>
      </c>
      <c r="T1201" s="242">
        <f>COUNTIFS('تجربه‌گرها'!$B:$B,$A1201,'تجربه‌گرها'!$F:$F,T$1)</f>
        <v>0</v>
      </c>
      <c r="U1201" s="242"/>
      <c r="V1201" s="242"/>
      <c r="W1201" s="242"/>
      <c r="X1201" s="242"/>
      <c r="Y1201" s="242"/>
      <c r="Z1201" s="242"/>
      <c r="AA1201" s="242"/>
      <c r="AB1201" s="242"/>
    </row>
    <row r="1202" hidden="1">
      <c r="A1202" s="244" t="s">
        <v>5997</v>
      </c>
      <c r="B1202" s="245" t="str">
        <f>VLOOKUP(A1202,'تجربه‌گرها'!B:C,2,FALSE())</f>
        <v>9931428407</v>
      </c>
      <c r="C1202" s="242"/>
      <c r="D1202" s="242">
        <f t="shared" si="1"/>
        <v>1</v>
      </c>
      <c r="E1202" s="242">
        <f>COUNTIFS('تجربه‌گرها'!$B:$B,$A1202,'تجربه‌گرها'!$F:$F,E$1)</f>
        <v>0</v>
      </c>
      <c r="F1202" s="242">
        <f>COUNTIFS('تجربه‌گرها'!$B:$B,$A1202,'تجربه‌گرها'!$F:$F,F$1)</f>
        <v>0</v>
      </c>
      <c r="G1202" s="242">
        <f>COUNTIFS('تجربه‌گرها'!$B:$B,$A1202,'تجربه‌گرها'!$F:$F,G$1)</f>
        <v>0</v>
      </c>
      <c r="H1202" s="242">
        <f>COUNTIFS('تجربه‌گرها'!$B:$B,$A1202,'تجربه‌گرها'!$F:$F,H$1)</f>
        <v>0</v>
      </c>
      <c r="I1202" s="242">
        <f>COUNTIFS('تجربه‌گرها'!$B:$B,$A1202,'تجربه‌گرها'!$F:$F,I$1)</f>
        <v>0</v>
      </c>
      <c r="J1202" s="242">
        <f>COUNTIFS('تجربه‌گرها'!$B:$B,$A1202,'تجربه‌گرها'!$F:$F,J$1)</f>
        <v>0</v>
      </c>
      <c r="K1202" s="242">
        <f>COUNTIFS('تجربه‌گرها'!$B:$B,$A1202,'تجربه‌گرها'!$F:$F,K$1)</f>
        <v>0</v>
      </c>
      <c r="L1202" s="242">
        <f>COUNTIFS('تجربه‌گرها'!$B:$B,$A1202,'تجربه‌گرها'!$F:$F,L$1)</f>
        <v>0</v>
      </c>
      <c r="M1202" s="242">
        <f>COUNTIFS('تجربه‌گرها'!$B:$B,$A1202,'تجربه‌گرها'!$F:$F,M$1)</f>
        <v>0</v>
      </c>
      <c r="N1202" s="242">
        <f>COUNTIFS('تجربه‌گرها'!$B:$B,$A1202,'تجربه‌گرها'!$F:$F,N$1)</f>
        <v>0</v>
      </c>
      <c r="O1202" s="242">
        <f>COUNTIFS('تجربه‌گرها'!$B:$B,$A1202,'تجربه‌گرها'!$F:$F,O$1)</f>
        <v>1</v>
      </c>
      <c r="P1202" s="242">
        <f>COUNTIFS('تجربه‌گرها'!$B:$B,$A1202,'تجربه‌گرها'!$F:$F,P$1)</f>
        <v>0</v>
      </c>
      <c r="Q1202" s="242">
        <f>COUNTIFS('تجربه‌گرها'!$B:$B,$A1202,'تجربه‌گرها'!$F:$F,Q$1)</f>
        <v>0</v>
      </c>
      <c r="R1202" s="242">
        <f>COUNTIFS('تجربه‌گرها'!$B:$B,$A1202,'تجربه‌گرها'!$F:$F,R$1)</f>
        <v>0</v>
      </c>
      <c r="S1202" s="242">
        <f>COUNTIFS('تجربه‌گرها'!$B:$B,$A1202,'تجربه‌گرها'!$F:$F,S$1)</f>
        <v>0</v>
      </c>
      <c r="T1202" s="242">
        <f>COUNTIFS('تجربه‌گرها'!$B:$B,$A1202,'تجربه‌گرها'!$F:$F,T$1)</f>
        <v>0</v>
      </c>
      <c r="U1202" s="242"/>
      <c r="V1202" s="242"/>
      <c r="W1202" s="242"/>
      <c r="X1202" s="242"/>
      <c r="Y1202" s="242"/>
      <c r="Z1202" s="242"/>
      <c r="AA1202" s="242"/>
      <c r="AB1202" s="242"/>
    </row>
    <row r="1203" hidden="1">
      <c r="A1203" s="244" t="s">
        <v>6001</v>
      </c>
      <c r="B1203" s="245" t="str">
        <f>VLOOKUP(A1203,'تجربه‌گرها'!B:C,2,FALSE())</f>
        <v>9124431175</v>
      </c>
      <c r="C1203" s="242"/>
      <c r="D1203" s="242">
        <f t="shared" si="1"/>
        <v>1</v>
      </c>
      <c r="E1203" s="242">
        <f>COUNTIFS('تجربه‌گرها'!$B:$B,$A1203,'تجربه‌گرها'!$F:$F,E$1)</f>
        <v>0</v>
      </c>
      <c r="F1203" s="242">
        <f>COUNTIFS('تجربه‌گرها'!$B:$B,$A1203,'تجربه‌گرها'!$F:$F,F$1)</f>
        <v>0</v>
      </c>
      <c r="G1203" s="242">
        <f>COUNTIFS('تجربه‌گرها'!$B:$B,$A1203,'تجربه‌گرها'!$F:$F,G$1)</f>
        <v>0</v>
      </c>
      <c r="H1203" s="242">
        <f>COUNTIFS('تجربه‌گرها'!$B:$B,$A1203,'تجربه‌گرها'!$F:$F,H$1)</f>
        <v>0</v>
      </c>
      <c r="I1203" s="242">
        <f>COUNTIFS('تجربه‌گرها'!$B:$B,$A1203,'تجربه‌گرها'!$F:$F,I$1)</f>
        <v>0</v>
      </c>
      <c r="J1203" s="242">
        <f>COUNTIFS('تجربه‌گرها'!$B:$B,$A1203,'تجربه‌گرها'!$F:$F,J$1)</f>
        <v>0</v>
      </c>
      <c r="K1203" s="242">
        <f>COUNTIFS('تجربه‌گرها'!$B:$B,$A1203,'تجربه‌گرها'!$F:$F,K$1)</f>
        <v>0</v>
      </c>
      <c r="L1203" s="242">
        <f>COUNTIFS('تجربه‌گرها'!$B:$B,$A1203,'تجربه‌گرها'!$F:$F,L$1)</f>
        <v>0</v>
      </c>
      <c r="M1203" s="242">
        <f>COUNTIFS('تجربه‌گرها'!$B:$B,$A1203,'تجربه‌گرها'!$F:$F,M$1)</f>
        <v>0</v>
      </c>
      <c r="N1203" s="242">
        <f>COUNTIFS('تجربه‌گرها'!$B:$B,$A1203,'تجربه‌گرها'!$F:$F,N$1)</f>
        <v>0</v>
      </c>
      <c r="O1203" s="242">
        <f>COUNTIFS('تجربه‌گرها'!$B:$B,$A1203,'تجربه‌گرها'!$F:$F,O$1)</f>
        <v>1</v>
      </c>
      <c r="P1203" s="242">
        <f>COUNTIFS('تجربه‌گرها'!$B:$B,$A1203,'تجربه‌گرها'!$F:$F,P$1)</f>
        <v>0</v>
      </c>
      <c r="Q1203" s="242">
        <f>COUNTIFS('تجربه‌گرها'!$B:$B,$A1203,'تجربه‌گرها'!$F:$F,Q$1)</f>
        <v>0</v>
      </c>
      <c r="R1203" s="242">
        <f>COUNTIFS('تجربه‌گرها'!$B:$B,$A1203,'تجربه‌گرها'!$F:$F,R$1)</f>
        <v>0</v>
      </c>
      <c r="S1203" s="242">
        <f>COUNTIFS('تجربه‌گرها'!$B:$B,$A1203,'تجربه‌گرها'!$F:$F,S$1)</f>
        <v>0</v>
      </c>
      <c r="T1203" s="242">
        <f>COUNTIFS('تجربه‌گرها'!$B:$B,$A1203,'تجربه‌گرها'!$F:$F,T$1)</f>
        <v>0</v>
      </c>
      <c r="U1203" s="242"/>
      <c r="V1203" s="242"/>
      <c r="W1203" s="242"/>
      <c r="X1203" s="242"/>
      <c r="Y1203" s="242"/>
      <c r="Z1203" s="242"/>
      <c r="AA1203" s="242"/>
      <c r="AB1203" s="242"/>
    </row>
    <row r="1204" hidden="1">
      <c r="A1204" s="244" t="s">
        <v>6004</v>
      </c>
      <c r="B1204" s="245" t="str">
        <f>VLOOKUP(A1204,'تجربه‌گرها'!B:C,2,FALSE())</f>
        <v>9126597091</v>
      </c>
      <c r="C1204" s="242"/>
      <c r="D1204" s="242">
        <f t="shared" si="1"/>
        <v>1</v>
      </c>
      <c r="E1204" s="242">
        <f>COUNTIFS('تجربه‌گرها'!$B:$B,$A1204,'تجربه‌گرها'!$F:$F,E$1)</f>
        <v>0</v>
      </c>
      <c r="F1204" s="242">
        <f>COUNTIFS('تجربه‌گرها'!$B:$B,$A1204,'تجربه‌گرها'!$F:$F,F$1)</f>
        <v>0</v>
      </c>
      <c r="G1204" s="242">
        <f>COUNTIFS('تجربه‌گرها'!$B:$B,$A1204,'تجربه‌گرها'!$F:$F,G$1)</f>
        <v>0</v>
      </c>
      <c r="H1204" s="242">
        <f>COUNTIFS('تجربه‌گرها'!$B:$B,$A1204,'تجربه‌گرها'!$F:$F,H$1)</f>
        <v>0</v>
      </c>
      <c r="I1204" s="242">
        <f>COUNTIFS('تجربه‌گرها'!$B:$B,$A1204,'تجربه‌گرها'!$F:$F,I$1)</f>
        <v>0</v>
      </c>
      <c r="J1204" s="242">
        <f>COUNTIFS('تجربه‌گرها'!$B:$B,$A1204,'تجربه‌گرها'!$F:$F,J$1)</f>
        <v>0</v>
      </c>
      <c r="K1204" s="242">
        <f>COUNTIFS('تجربه‌گرها'!$B:$B,$A1204,'تجربه‌گرها'!$F:$F,K$1)</f>
        <v>0</v>
      </c>
      <c r="L1204" s="242">
        <f>COUNTIFS('تجربه‌گرها'!$B:$B,$A1204,'تجربه‌گرها'!$F:$F,L$1)</f>
        <v>0</v>
      </c>
      <c r="M1204" s="242">
        <f>COUNTIFS('تجربه‌گرها'!$B:$B,$A1204,'تجربه‌گرها'!$F:$F,M$1)</f>
        <v>0</v>
      </c>
      <c r="N1204" s="242">
        <f>COUNTIFS('تجربه‌گرها'!$B:$B,$A1204,'تجربه‌گرها'!$F:$F,N$1)</f>
        <v>0</v>
      </c>
      <c r="O1204" s="242">
        <f>COUNTIFS('تجربه‌گرها'!$B:$B,$A1204,'تجربه‌گرها'!$F:$F,O$1)</f>
        <v>1</v>
      </c>
      <c r="P1204" s="242">
        <f>COUNTIFS('تجربه‌گرها'!$B:$B,$A1204,'تجربه‌گرها'!$F:$F,P$1)</f>
        <v>0</v>
      </c>
      <c r="Q1204" s="242">
        <f>COUNTIFS('تجربه‌گرها'!$B:$B,$A1204,'تجربه‌گرها'!$F:$F,Q$1)</f>
        <v>0</v>
      </c>
      <c r="R1204" s="242">
        <f>COUNTIFS('تجربه‌گرها'!$B:$B,$A1204,'تجربه‌گرها'!$F:$F,R$1)</f>
        <v>0</v>
      </c>
      <c r="S1204" s="242">
        <f>COUNTIFS('تجربه‌گرها'!$B:$B,$A1204,'تجربه‌گرها'!$F:$F,S$1)</f>
        <v>0</v>
      </c>
      <c r="T1204" s="242">
        <f>COUNTIFS('تجربه‌گرها'!$B:$B,$A1204,'تجربه‌گرها'!$F:$F,T$1)</f>
        <v>0</v>
      </c>
      <c r="U1204" s="242"/>
      <c r="V1204" s="242"/>
      <c r="W1204" s="242"/>
      <c r="X1204" s="242"/>
      <c r="Y1204" s="242"/>
      <c r="Z1204" s="242"/>
      <c r="AA1204" s="242"/>
      <c r="AB1204" s="242"/>
    </row>
    <row r="1205" hidden="1">
      <c r="A1205" s="244" t="s">
        <v>6006</v>
      </c>
      <c r="B1205" s="245" t="str">
        <f>VLOOKUP(A1205,'تجربه‌گرها'!B:C,2,FALSE())</f>
        <v>۹۱۵۵۴۵۹۵۲۰</v>
      </c>
      <c r="C1205" s="242"/>
      <c r="D1205" s="242">
        <f t="shared" si="1"/>
        <v>1</v>
      </c>
      <c r="E1205" s="242">
        <f>COUNTIFS('تجربه‌گرها'!$B:$B,$A1205,'تجربه‌گرها'!$F:$F,E$1)</f>
        <v>0</v>
      </c>
      <c r="F1205" s="242">
        <f>COUNTIFS('تجربه‌گرها'!$B:$B,$A1205,'تجربه‌گرها'!$F:$F,F$1)</f>
        <v>0</v>
      </c>
      <c r="G1205" s="242">
        <f>COUNTIFS('تجربه‌گرها'!$B:$B,$A1205,'تجربه‌گرها'!$F:$F,G$1)</f>
        <v>0</v>
      </c>
      <c r="H1205" s="242">
        <f>COUNTIFS('تجربه‌گرها'!$B:$B,$A1205,'تجربه‌گرها'!$F:$F,H$1)</f>
        <v>0</v>
      </c>
      <c r="I1205" s="242">
        <f>COUNTIFS('تجربه‌گرها'!$B:$B,$A1205,'تجربه‌گرها'!$F:$F,I$1)</f>
        <v>0</v>
      </c>
      <c r="J1205" s="242">
        <f>COUNTIFS('تجربه‌گرها'!$B:$B,$A1205,'تجربه‌گرها'!$F:$F,J$1)</f>
        <v>0</v>
      </c>
      <c r="K1205" s="242">
        <f>COUNTIFS('تجربه‌گرها'!$B:$B,$A1205,'تجربه‌گرها'!$F:$F,K$1)</f>
        <v>0</v>
      </c>
      <c r="L1205" s="242">
        <f>COUNTIFS('تجربه‌گرها'!$B:$B,$A1205,'تجربه‌گرها'!$F:$F,L$1)</f>
        <v>0</v>
      </c>
      <c r="M1205" s="242">
        <f>COUNTIFS('تجربه‌گرها'!$B:$B,$A1205,'تجربه‌گرها'!$F:$F,M$1)</f>
        <v>0</v>
      </c>
      <c r="N1205" s="242">
        <f>COUNTIFS('تجربه‌گرها'!$B:$B,$A1205,'تجربه‌گرها'!$F:$F,N$1)</f>
        <v>0</v>
      </c>
      <c r="O1205" s="242">
        <f>COUNTIFS('تجربه‌گرها'!$B:$B,$A1205,'تجربه‌گرها'!$F:$F,O$1)</f>
        <v>1</v>
      </c>
      <c r="P1205" s="242">
        <f>COUNTIFS('تجربه‌گرها'!$B:$B,$A1205,'تجربه‌گرها'!$F:$F,P$1)</f>
        <v>0</v>
      </c>
      <c r="Q1205" s="242">
        <f>COUNTIFS('تجربه‌گرها'!$B:$B,$A1205,'تجربه‌گرها'!$F:$F,Q$1)</f>
        <v>0</v>
      </c>
      <c r="R1205" s="242">
        <f>COUNTIFS('تجربه‌گرها'!$B:$B,$A1205,'تجربه‌گرها'!$F:$F,R$1)</f>
        <v>0</v>
      </c>
      <c r="S1205" s="242">
        <f>COUNTIFS('تجربه‌گرها'!$B:$B,$A1205,'تجربه‌گرها'!$F:$F,S$1)</f>
        <v>0</v>
      </c>
      <c r="T1205" s="242">
        <f>COUNTIFS('تجربه‌گرها'!$B:$B,$A1205,'تجربه‌گرها'!$F:$F,T$1)</f>
        <v>0</v>
      </c>
      <c r="U1205" s="242"/>
      <c r="V1205" s="242"/>
      <c r="W1205" s="242"/>
      <c r="X1205" s="242"/>
      <c r="Y1205" s="242"/>
      <c r="Z1205" s="242"/>
      <c r="AA1205" s="242"/>
      <c r="AB1205" s="242"/>
    </row>
    <row r="1206" hidden="1">
      <c r="A1206" s="244" t="s">
        <v>6009</v>
      </c>
      <c r="B1206" s="245" t="str">
        <f>VLOOKUP(A1206,'تجربه‌گرها'!B:C,2,FALSE())</f>
        <v>9153404396</v>
      </c>
      <c r="C1206" s="242"/>
      <c r="D1206" s="242">
        <f t="shared" si="1"/>
        <v>1</v>
      </c>
      <c r="E1206" s="242">
        <f>COUNTIFS('تجربه‌گرها'!$B:$B,$A1206,'تجربه‌گرها'!$F:$F,E$1)</f>
        <v>0</v>
      </c>
      <c r="F1206" s="242">
        <f>COUNTIFS('تجربه‌گرها'!$B:$B,$A1206,'تجربه‌گرها'!$F:$F,F$1)</f>
        <v>0</v>
      </c>
      <c r="G1206" s="242">
        <f>COUNTIFS('تجربه‌گرها'!$B:$B,$A1206,'تجربه‌گرها'!$F:$F,G$1)</f>
        <v>0</v>
      </c>
      <c r="H1206" s="242">
        <f>COUNTIFS('تجربه‌گرها'!$B:$B,$A1206,'تجربه‌گرها'!$F:$F,H$1)</f>
        <v>0</v>
      </c>
      <c r="I1206" s="242">
        <f>COUNTIFS('تجربه‌گرها'!$B:$B,$A1206,'تجربه‌گرها'!$F:$F,I$1)</f>
        <v>0</v>
      </c>
      <c r="J1206" s="242">
        <f>COUNTIFS('تجربه‌گرها'!$B:$B,$A1206,'تجربه‌گرها'!$F:$F,J$1)</f>
        <v>0</v>
      </c>
      <c r="K1206" s="242">
        <f>COUNTIFS('تجربه‌گرها'!$B:$B,$A1206,'تجربه‌گرها'!$F:$F,K$1)</f>
        <v>0</v>
      </c>
      <c r="L1206" s="242">
        <f>COUNTIFS('تجربه‌گرها'!$B:$B,$A1206,'تجربه‌گرها'!$F:$F,L$1)</f>
        <v>0</v>
      </c>
      <c r="M1206" s="242">
        <f>COUNTIFS('تجربه‌گرها'!$B:$B,$A1206,'تجربه‌گرها'!$F:$F,M$1)</f>
        <v>0</v>
      </c>
      <c r="N1206" s="242">
        <f>COUNTIFS('تجربه‌گرها'!$B:$B,$A1206,'تجربه‌گرها'!$F:$F,N$1)</f>
        <v>0</v>
      </c>
      <c r="O1206" s="242">
        <f>COUNTIFS('تجربه‌گرها'!$B:$B,$A1206,'تجربه‌گرها'!$F:$F,O$1)</f>
        <v>1</v>
      </c>
      <c r="P1206" s="242">
        <f>COUNTIFS('تجربه‌گرها'!$B:$B,$A1206,'تجربه‌گرها'!$F:$F,P$1)</f>
        <v>0</v>
      </c>
      <c r="Q1206" s="242">
        <f>COUNTIFS('تجربه‌گرها'!$B:$B,$A1206,'تجربه‌گرها'!$F:$F,Q$1)</f>
        <v>0</v>
      </c>
      <c r="R1206" s="242">
        <f>COUNTIFS('تجربه‌گرها'!$B:$B,$A1206,'تجربه‌گرها'!$F:$F,R$1)</f>
        <v>0</v>
      </c>
      <c r="S1206" s="242">
        <f>COUNTIFS('تجربه‌گرها'!$B:$B,$A1206,'تجربه‌گرها'!$F:$F,S$1)</f>
        <v>0</v>
      </c>
      <c r="T1206" s="242">
        <f>COUNTIFS('تجربه‌گرها'!$B:$B,$A1206,'تجربه‌گرها'!$F:$F,T$1)</f>
        <v>0</v>
      </c>
      <c r="U1206" s="242"/>
      <c r="V1206" s="242"/>
      <c r="W1206" s="242"/>
      <c r="X1206" s="242"/>
      <c r="Y1206" s="242"/>
      <c r="Z1206" s="242"/>
      <c r="AA1206" s="242"/>
      <c r="AB1206" s="242"/>
    </row>
    <row r="1207" hidden="1">
      <c r="A1207" s="244" t="s">
        <v>6012</v>
      </c>
      <c r="B1207" s="245" t="str">
        <f>VLOOKUP(A1207,'تجربه‌گرها'!B:C,2,FALSE())</f>
        <v>9126036839</v>
      </c>
      <c r="C1207" s="242"/>
      <c r="D1207" s="242">
        <f t="shared" si="1"/>
        <v>1</v>
      </c>
      <c r="E1207" s="242">
        <f>COUNTIFS('تجربه‌گرها'!$B:$B,$A1207,'تجربه‌گرها'!$F:$F,E$1)</f>
        <v>0</v>
      </c>
      <c r="F1207" s="242">
        <f>COUNTIFS('تجربه‌گرها'!$B:$B,$A1207,'تجربه‌گرها'!$F:$F,F$1)</f>
        <v>0</v>
      </c>
      <c r="G1207" s="242">
        <f>COUNTIFS('تجربه‌گرها'!$B:$B,$A1207,'تجربه‌گرها'!$F:$F,G$1)</f>
        <v>0</v>
      </c>
      <c r="H1207" s="242">
        <f>COUNTIFS('تجربه‌گرها'!$B:$B,$A1207,'تجربه‌گرها'!$F:$F,H$1)</f>
        <v>0</v>
      </c>
      <c r="I1207" s="242">
        <f>COUNTIFS('تجربه‌گرها'!$B:$B,$A1207,'تجربه‌گرها'!$F:$F,I$1)</f>
        <v>0</v>
      </c>
      <c r="J1207" s="242">
        <f>COUNTIFS('تجربه‌گرها'!$B:$B,$A1207,'تجربه‌گرها'!$F:$F,J$1)</f>
        <v>0</v>
      </c>
      <c r="K1207" s="242">
        <f>COUNTIFS('تجربه‌گرها'!$B:$B,$A1207,'تجربه‌گرها'!$F:$F,K$1)</f>
        <v>0</v>
      </c>
      <c r="L1207" s="242">
        <f>COUNTIFS('تجربه‌گرها'!$B:$B,$A1207,'تجربه‌گرها'!$F:$F,L$1)</f>
        <v>0</v>
      </c>
      <c r="M1207" s="242">
        <f>COUNTIFS('تجربه‌گرها'!$B:$B,$A1207,'تجربه‌گرها'!$F:$F,M$1)</f>
        <v>0</v>
      </c>
      <c r="N1207" s="242">
        <f>COUNTIFS('تجربه‌گرها'!$B:$B,$A1207,'تجربه‌گرها'!$F:$F,N$1)</f>
        <v>0</v>
      </c>
      <c r="O1207" s="242">
        <f>COUNTIFS('تجربه‌گرها'!$B:$B,$A1207,'تجربه‌گرها'!$F:$F,O$1)</f>
        <v>1</v>
      </c>
      <c r="P1207" s="242">
        <f>COUNTIFS('تجربه‌گرها'!$B:$B,$A1207,'تجربه‌گرها'!$F:$F,P$1)</f>
        <v>0</v>
      </c>
      <c r="Q1207" s="242">
        <f>COUNTIFS('تجربه‌گرها'!$B:$B,$A1207,'تجربه‌گرها'!$F:$F,Q$1)</f>
        <v>0</v>
      </c>
      <c r="R1207" s="242">
        <f>COUNTIFS('تجربه‌گرها'!$B:$B,$A1207,'تجربه‌گرها'!$F:$F,R$1)</f>
        <v>0</v>
      </c>
      <c r="S1207" s="242">
        <f>COUNTIFS('تجربه‌گرها'!$B:$B,$A1207,'تجربه‌گرها'!$F:$F,S$1)</f>
        <v>0</v>
      </c>
      <c r="T1207" s="242">
        <f>COUNTIFS('تجربه‌گرها'!$B:$B,$A1207,'تجربه‌گرها'!$F:$F,T$1)</f>
        <v>0</v>
      </c>
      <c r="U1207" s="242"/>
      <c r="V1207" s="242"/>
      <c r="W1207" s="242"/>
      <c r="X1207" s="242"/>
      <c r="Y1207" s="242"/>
      <c r="Z1207" s="242"/>
      <c r="AA1207" s="242"/>
      <c r="AB1207" s="242"/>
    </row>
    <row r="1208" hidden="1">
      <c r="A1208" s="244" t="s">
        <v>6015</v>
      </c>
      <c r="B1208" s="245" t="str">
        <f>VLOOKUP(A1208,'تجربه‌گرها'!B:C,2,FALSE())</f>
        <v>9120282072</v>
      </c>
      <c r="C1208" s="242"/>
      <c r="D1208" s="242">
        <f t="shared" si="1"/>
        <v>1</v>
      </c>
      <c r="E1208" s="242">
        <f>COUNTIFS('تجربه‌گرها'!$B:$B,$A1208,'تجربه‌گرها'!$F:$F,E$1)</f>
        <v>0</v>
      </c>
      <c r="F1208" s="242">
        <f>COUNTIFS('تجربه‌گرها'!$B:$B,$A1208,'تجربه‌گرها'!$F:$F,F$1)</f>
        <v>0</v>
      </c>
      <c r="G1208" s="242">
        <f>COUNTIFS('تجربه‌گرها'!$B:$B,$A1208,'تجربه‌گرها'!$F:$F,G$1)</f>
        <v>0</v>
      </c>
      <c r="H1208" s="242">
        <f>COUNTIFS('تجربه‌گرها'!$B:$B,$A1208,'تجربه‌گرها'!$F:$F,H$1)</f>
        <v>0</v>
      </c>
      <c r="I1208" s="242">
        <f>COUNTIFS('تجربه‌گرها'!$B:$B,$A1208,'تجربه‌گرها'!$F:$F,I$1)</f>
        <v>0</v>
      </c>
      <c r="J1208" s="242">
        <f>COUNTIFS('تجربه‌گرها'!$B:$B,$A1208,'تجربه‌گرها'!$F:$F,J$1)</f>
        <v>0</v>
      </c>
      <c r="K1208" s="242">
        <f>COUNTIFS('تجربه‌گرها'!$B:$B,$A1208,'تجربه‌گرها'!$F:$F,K$1)</f>
        <v>0</v>
      </c>
      <c r="L1208" s="242">
        <f>COUNTIFS('تجربه‌گرها'!$B:$B,$A1208,'تجربه‌گرها'!$F:$F,L$1)</f>
        <v>0</v>
      </c>
      <c r="M1208" s="242">
        <f>COUNTIFS('تجربه‌گرها'!$B:$B,$A1208,'تجربه‌گرها'!$F:$F,M$1)</f>
        <v>0</v>
      </c>
      <c r="N1208" s="242">
        <f>COUNTIFS('تجربه‌گرها'!$B:$B,$A1208,'تجربه‌گرها'!$F:$F,N$1)</f>
        <v>0</v>
      </c>
      <c r="O1208" s="242">
        <f>COUNTIFS('تجربه‌گرها'!$B:$B,$A1208,'تجربه‌گرها'!$F:$F,O$1)</f>
        <v>1</v>
      </c>
      <c r="P1208" s="242">
        <f>COUNTIFS('تجربه‌گرها'!$B:$B,$A1208,'تجربه‌گرها'!$F:$F,P$1)</f>
        <v>0</v>
      </c>
      <c r="Q1208" s="242">
        <f>COUNTIFS('تجربه‌گرها'!$B:$B,$A1208,'تجربه‌گرها'!$F:$F,Q$1)</f>
        <v>0</v>
      </c>
      <c r="R1208" s="242">
        <f>COUNTIFS('تجربه‌گرها'!$B:$B,$A1208,'تجربه‌گرها'!$F:$F,R$1)</f>
        <v>0</v>
      </c>
      <c r="S1208" s="242">
        <f>COUNTIFS('تجربه‌گرها'!$B:$B,$A1208,'تجربه‌گرها'!$F:$F,S$1)</f>
        <v>0</v>
      </c>
      <c r="T1208" s="242">
        <f>COUNTIFS('تجربه‌گرها'!$B:$B,$A1208,'تجربه‌گرها'!$F:$F,T$1)</f>
        <v>0</v>
      </c>
      <c r="U1208" s="242"/>
      <c r="V1208" s="242"/>
      <c r="W1208" s="242"/>
      <c r="X1208" s="242"/>
      <c r="Y1208" s="242"/>
      <c r="Z1208" s="242"/>
      <c r="AA1208" s="242"/>
      <c r="AB1208" s="242"/>
    </row>
    <row r="1209" hidden="1">
      <c r="A1209" s="244" t="s">
        <v>6017</v>
      </c>
      <c r="B1209" s="245" t="str">
        <f>VLOOKUP(A1209,'تجربه‌گرها'!B:C,2,FALSE())</f>
        <v>9159587472</v>
      </c>
      <c r="C1209" s="242"/>
      <c r="D1209" s="242">
        <f t="shared" si="1"/>
        <v>1</v>
      </c>
      <c r="E1209" s="242">
        <f>COUNTIFS('تجربه‌گرها'!$B:$B,$A1209,'تجربه‌گرها'!$F:$F,E$1)</f>
        <v>0</v>
      </c>
      <c r="F1209" s="242">
        <f>COUNTIFS('تجربه‌گرها'!$B:$B,$A1209,'تجربه‌گرها'!$F:$F,F$1)</f>
        <v>0</v>
      </c>
      <c r="G1209" s="242">
        <f>COUNTIFS('تجربه‌گرها'!$B:$B,$A1209,'تجربه‌گرها'!$F:$F,G$1)</f>
        <v>0</v>
      </c>
      <c r="H1209" s="242">
        <f>COUNTIFS('تجربه‌گرها'!$B:$B,$A1209,'تجربه‌گرها'!$F:$F,H$1)</f>
        <v>0</v>
      </c>
      <c r="I1209" s="242">
        <f>COUNTIFS('تجربه‌گرها'!$B:$B,$A1209,'تجربه‌گرها'!$F:$F,I$1)</f>
        <v>0</v>
      </c>
      <c r="J1209" s="242">
        <f>COUNTIFS('تجربه‌گرها'!$B:$B,$A1209,'تجربه‌گرها'!$F:$F,J$1)</f>
        <v>0</v>
      </c>
      <c r="K1209" s="242">
        <f>COUNTIFS('تجربه‌گرها'!$B:$B,$A1209,'تجربه‌گرها'!$F:$F,K$1)</f>
        <v>0</v>
      </c>
      <c r="L1209" s="242">
        <f>COUNTIFS('تجربه‌گرها'!$B:$B,$A1209,'تجربه‌گرها'!$F:$F,L$1)</f>
        <v>0</v>
      </c>
      <c r="M1209" s="242">
        <f>COUNTIFS('تجربه‌گرها'!$B:$B,$A1209,'تجربه‌گرها'!$F:$F,M$1)</f>
        <v>0</v>
      </c>
      <c r="N1209" s="242">
        <f>COUNTIFS('تجربه‌گرها'!$B:$B,$A1209,'تجربه‌گرها'!$F:$F,N$1)</f>
        <v>0</v>
      </c>
      <c r="O1209" s="242">
        <f>COUNTIFS('تجربه‌گرها'!$B:$B,$A1209,'تجربه‌گرها'!$F:$F,O$1)</f>
        <v>1</v>
      </c>
      <c r="P1209" s="242">
        <f>COUNTIFS('تجربه‌گرها'!$B:$B,$A1209,'تجربه‌گرها'!$F:$F,P$1)</f>
        <v>0</v>
      </c>
      <c r="Q1209" s="242">
        <f>COUNTIFS('تجربه‌گرها'!$B:$B,$A1209,'تجربه‌گرها'!$F:$F,Q$1)</f>
        <v>0</v>
      </c>
      <c r="R1209" s="242">
        <f>COUNTIFS('تجربه‌گرها'!$B:$B,$A1209,'تجربه‌گرها'!$F:$F,R$1)</f>
        <v>0</v>
      </c>
      <c r="S1209" s="242">
        <f>COUNTIFS('تجربه‌گرها'!$B:$B,$A1209,'تجربه‌گرها'!$F:$F,S$1)</f>
        <v>0</v>
      </c>
      <c r="T1209" s="242">
        <f>COUNTIFS('تجربه‌گرها'!$B:$B,$A1209,'تجربه‌گرها'!$F:$F,T$1)</f>
        <v>0</v>
      </c>
      <c r="U1209" s="242"/>
      <c r="V1209" s="242"/>
      <c r="W1209" s="242"/>
      <c r="X1209" s="242"/>
      <c r="Y1209" s="242"/>
      <c r="Z1209" s="242"/>
      <c r="AA1209" s="242"/>
      <c r="AB1209" s="242"/>
    </row>
    <row r="1210" hidden="1">
      <c r="A1210" s="244" t="s">
        <v>6021</v>
      </c>
      <c r="B1210" s="245" t="str">
        <f>VLOOKUP(A1210,'تجربه‌گرها'!B:C,2,FALSE())</f>
        <v>۰۹۱۲۱۲۴۴۲۷۶</v>
      </c>
      <c r="C1210" s="242"/>
      <c r="D1210" s="242">
        <f t="shared" si="1"/>
        <v>1</v>
      </c>
      <c r="E1210" s="242">
        <f>COUNTIFS('تجربه‌گرها'!$B:$B,$A1210,'تجربه‌گرها'!$F:$F,E$1)</f>
        <v>0</v>
      </c>
      <c r="F1210" s="242">
        <f>COUNTIFS('تجربه‌گرها'!$B:$B,$A1210,'تجربه‌گرها'!$F:$F,F$1)</f>
        <v>0</v>
      </c>
      <c r="G1210" s="242">
        <f>COUNTIFS('تجربه‌گرها'!$B:$B,$A1210,'تجربه‌گرها'!$F:$F,G$1)</f>
        <v>0</v>
      </c>
      <c r="H1210" s="242">
        <f>COUNTIFS('تجربه‌گرها'!$B:$B,$A1210,'تجربه‌گرها'!$F:$F,H$1)</f>
        <v>0</v>
      </c>
      <c r="I1210" s="242">
        <f>COUNTIFS('تجربه‌گرها'!$B:$B,$A1210,'تجربه‌گرها'!$F:$F,I$1)</f>
        <v>0</v>
      </c>
      <c r="J1210" s="242">
        <f>COUNTIFS('تجربه‌گرها'!$B:$B,$A1210,'تجربه‌گرها'!$F:$F,J$1)</f>
        <v>0</v>
      </c>
      <c r="K1210" s="242">
        <f>COUNTIFS('تجربه‌گرها'!$B:$B,$A1210,'تجربه‌گرها'!$F:$F,K$1)</f>
        <v>0</v>
      </c>
      <c r="L1210" s="242">
        <f>COUNTIFS('تجربه‌گرها'!$B:$B,$A1210,'تجربه‌گرها'!$F:$F,L$1)</f>
        <v>0</v>
      </c>
      <c r="M1210" s="242">
        <f>COUNTIFS('تجربه‌گرها'!$B:$B,$A1210,'تجربه‌گرها'!$F:$F,M$1)</f>
        <v>0</v>
      </c>
      <c r="N1210" s="242">
        <f>COUNTIFS('تجربه‌گرها'!$B:$B,$A1210,'تجربه‌گرها'!$F:$F,N$1)</f>
        <v>0</v>
      </c>
      <c r="O1210" s="242">
        <f>COUNTIFS('تجربه‌گرها'!$B:$B,$A1210,'تجربه‌گرها'!$F:$F,O$1)</f>
        <v>1</v>
      </c>
      <c r="P1210" s="242">
        <f>COUNTIFS('تجربه‌گرها'!$B:$B,$A1210,'تجربه‌گرها'!$F:$F,P$1)</f>
        <v>0</v>
      </c>
      <c r="Q1210" s="242">
        <f>COUNTIFS('تجربه‌گرها'!$B:$B,$A1210,'تجربه‌گرها'!$F:$F,Q$1)</f>
        <v>0</v>
      </c>
      <c r="R1210" s="242">
        <f>COUNTIFS('تجربه‌گرها'!$B:$B,$A1210,'تجربه‌گرها'!$F:$F,R$1)</f>
        <v>0</v>
      </c>
      <c r="S1210" s="242">
        <f>COUNTIFS('تجربه‌گرها'!$B:$B,$A1210,'تجربه‌گرها'!$F:$F,S$1)</f>
        <v>0</v>
      </c>
      <c r="T1210" s="242">
        <f>COUNTIFS('تجربه‌گرها'!$B:$B,$A1210,'تجربه‌گرها'!$F:$F,T$1)</f>
        <v>0</v>
      </c>
      <c r="U1210" s="242"/>
      <c r="V1210" s="242"/>
      <c r="W1210" s="242"/>
      <c r="X1210" s="242"/>
      <c r="Y1210" s="242"/>
      <c r="Z1210" s="242"/>
      <c r="AA1210" s="242"/>
      <c r="AB1210" s="242"/>
    </row>
    <row r="1211" hidden="1">
      <c r="A1211" s="244" t="s">
        <v>6024</v>
      </c>
      <c r="B1211" s="245" t="str">
        <f>VLOOKUP(A1211,'تجربه‌گرها'!B:C,2,FALSE())</f>
        <v>۰۹۱۸۸۵۸۳۶۶۰</v>
      </c>
      <c r="C1211" s="242"/>
      <c r="D1211" s="242">
        <f t="shared" si="1"/>
        <v>1</v>
      </c>
      <c r="E1211" s="242">
        <f>COUNTIFS('تجربه‌گرها'!$B:$B,$A1211,'تجربه‌گرها'!$F:$F,E$1)</f>
        <v>0</v>
      </c>
      <c r="F1211" s="242">
        <f>COUNTIFS('تجربه‌گرها'!$B:$B,$A1211,'تجربه‌گرها'!$F:$F,F$1)</f>
        <v>0</v>
      </c>
      <c r="G1211" s="242">
        <f>COUNTIFS('تجربه‌گرها'!$B:$B,$A1211,'تجربه‌گرها'!$F:$F,G$1)</f>
        <v>0</v>
      </c>
      <c r="H1211" s="242">
        <f>COUNTIFS('تجربه‌گرها'!$B:$B,$A1211,'تجربه‌گرها'!$F:$F,H$1)</f>
        <v>0</v>
      </c>
      <c r="I1211" s="242">
        <f>COUNTIFS('تجربه‌گرها'!$B:$B,$A1211,'تجربه‌گرها'!$F:$F,I$1)</f>
        <v>0</v>
      </c>
      <c r="J1211" s="242">
        <f>COUNTIFS('تجربه‌گرها'!$B:$B,$A1211,'تجربه‌گرها'!$F:$F,J$1)</f>
        <v>0</v>
      </c>
      <c r="K1211" s="242">
        <f>COUNTIFS('تجربه‌گرها'!$B:$B,$A1211,'تجربه‌گرها'!$F:$F,K$1)</f>
        <v>0</v>
      </c>
      <c r="L1211" s="242">
        <f>COUNTIFS('تجربه‌گرها'!$B:$B,$A1211,'تجربه‌گرها'!$F:$F,L$1)</f>
        <v>0</v>
      </c>
      <c r="M1211" s="242">
        <f>COUNTIFS('تجربه‌گرها'!$B:$B,$A1211,'تجربه‌گرها'!$F:$F,M$1)</f>
        <v>0</v>
      </c>
      <c r="N1211" s="242">
        <f>COUNTIFS('تجربه‌گرها'!$B:$B,$A1211,'تجربه‌گرها'!$F:$F,N$1)</f>
        <v>0</v>
      </c>
      <c r="O1211" s="242">
        <f>COUNTIFS('تجربه‌گرها'!$B:$B,$A1211,'تجربه‌گرها'!$F:$F,O$1)</f>
        <v>1</v>
      </c>
      <c r="P1211" s="242">
        <f>COUNTIFS('تجربه‌گرها'!$B:$B,$A1211,'تجربه‌گرها'!$F:$F,P$1)</f>
        <v>0</v>
      </c>
      <c r="Q1211" s="242">
        <f>COUNTIFS('تجربه‌گرها'!$B:$B,$A1211,'تجربه‌گرها'!$F:$F,Q$1)</f>
        <v>0</v>
      </c>
      <c r="R1211" s="242">
        <f>COUNTIFS('تجربه‌گرها'!$B:$B,$A1211,'تجربه‌گرها'!$F:$F,R$1)</f>
        <v>0</v>
      </c>
      <c r="S1211" s="242">
        <f>COUNTIFS('تجربه‌گرها'!$B:$B,$A1211,'تجربه‌گرها'!$F:$F,S$1)</f>
        <v>0</v>
      </c>
      <c r="T1211" s="242">
        <f>COUNTIFS('تجربه‌گرها'!$B:$B,$A1211,'تجربه‌گرها'!$F:$F,T$1)</f>
        <v>0</v>
      </c>
      <c r="U1211" s="242"/>
      <c r="V1211" s="242"/>
      <c r="W1211" s="242"/>
      <c r="X1211" s="242"/>
      <c r="Y1211" s="242"/>
      <c r="Z1211" s="242"/>
      <c r="AA1211" s="242"/>
      <c r="AB1211" s="242"/>
    </row>
    <row r="1212" hidden="1">
      <c r="A1212" s="244" t="s">
        <v>6027</v>
      </c>
      <c r="B1212" s="245" t="str">
        <f>VLOOKUP(A1212,'تجربه‌گرها'!B:C,2,FALSE())</f>
        <v>9378206785</v>
      </c>
      <c r="C1212" s="242"/>
      <c r="D1212" s="242">
        <f t="shared" si="1"/>
        <v>1</v>
      </c>
      <c r="E1212" s="242">
        <f>COUNTIFS('تجربه‌گرها'!$B:$B,$A1212,'تجربه‌گرها'!$F:$F,E$1)</f>
        <v>0</v>
      </c>
      <c r="F1212" s="242">
        <f>COUNTIFS('تجربه‌گرها'!$B:$B,$A1212,'تجربه‌گرها'!$F:$F,F$1)</f>
        <v>0</v>
      </c>
      <c r="G1212" s="242">
        <f>COUNTIFS('تجربه‌گرها'!$B:$B,$A1212,'تجربه‌گرها'!$F:$F,G$1)</f>
        <v>0</v>
      </c>
      <c r="H1212" s="242">
        <f>COUNTIFS('تجربه‌گرها'!$B:$B,$A1212,'تجربه‌گرها'!$F:$F,H$1)</f>
        <v>0</v>
      </c>
      <c r="I1212" s="242">
        <f>COUNTIFS('تجربه‌گرها'!$B:$B,$A1212,'تجربه‌گرها'!$F:$F,I$1)</f>
        <v>0</v>
      </c>
      <c r="J1212" s="242">
        <f>COUNTIFS('تجربه‌گرها'!$B:$B,$A1212,'تجربه‌گرها'!$F:$F,J$1)</f>
        <v>0</v>
      </c>
      <c r="K1212" s="242">
        <f>COUNTIFS('تجربه‌گرها'!$B:$B,$A1212,'تجربه‌گرها'!$F:$F,K$1)</f>
        <v>0</v>
      </c>
      <c r="L1212" s="242">
        <f>COUNTIFS('تجربه‌گرها'!$B:$B,$A1212,'تجربه‌گرها'!$F:$F,L$1)</f>
        <v>0</v>
      </c>
      <c r="M1212" s="242">
        <f>COUNTIFS('تجربه‌گرها'!$B:$B,$A1212,'تجربه‌گرها'!$F:$F,M$1)</f>
        <v>0</v>
      </c>
      <c r="N1212" s="242">
        <f>COUNTIFS('تجربه‌گرها'!$B:$B,$A1212,'تجربه‌گرها'!$F:$F,N$1)</f>
        <v>0</v>
      </c>
      <c r="O1212" s="242">
        <f>COUNTIFS('تجربه‌گرها'!$B:$B,$A1212,'تجربه‌گرها'!$F:$F,O$1)</f>
        <v>1</v>
      </c>
      <c r="P1212" s="242">
        <f>COUNTIFS('تجربه‌گرها'!$B:$B,$A1212,'تجربه‌گرها'!$F:$F,P$1)</f>
        <v>0</v>
      </c>
      <c r="Q1212" s="242">
        <f>COUNTIFS('تجربه‌گرها'!$B:$B,$A1212,'تجربه‌گرها'!$F:$F,Q$1)</f>
        <v>0</v>
      </c>
      <c r="R1212" s="242">
        <f>COUNTIFS('تجربه‌گرها'!$B:$B,$A1212,'تجربه‌گرها'!$F:$F,R$1)</f>
        <v>0</v>
      </c>
      <c r="S1212" s="242">
        <f>COUNTIFS('تجربه‌گرها'!$B:$B,$A1212,'تجربه‌گرها'!$F:$F,S$1)</f>
        <v>0</v>
      </c>
      <c r="T1212" s="242">
        <f>COUNTIFS('تجربه‌گرها'!$B:$B,$A1212,'تجربه‌گرها'!$F:$F,T$1)</f>
        <v>0</v>
      </c>
      <c r="U1212" s="242"/>
      <c r="V1212" s="242"/>
      <c r="W1212" s="242"/>
      <c r="X1212" s="242"/>
      <c r="Y1212" s="242"/>
      <c r="Z1212" s="242"/>
      <c r="AA1212" s="242"/>
      <c r="AB1212" s="242"/>
    </row>
    <row r="1213" hidden="1">
      <c r="A1213" s="244" t="s">
        <v>6030</v>
      </c>
      <c r="B1213" s="245" t="str">
        <f>VLOOKUP(A1213,'تجربه‌گرها'!B:C,2,FALSE())</f>
        <v/>
      </c>
      <c r="C1213" s="242"/>
      <c r="D1213" s="242">
        <f t="shared" si="1"/>
        <v>1</v>
      </c>
      <c r="E1213" s="242">
        <f>COUNTIFS('تجربه‌گرها'!$B:$B,$A1213,'تجربه‌گرها'!$F:$F,E$1)</f>
        <v>0</v>
      </c>
      <c r="F1213" s="242">
        <f>COUNTIFS('تجربه‌گرها'!$B:$B,$A1213,'تجربه‌گرها'!$F:$F,F$1)</f>
        <v>0</v>
      </c>
      <c r="G1213" s="242">
        <f>COUNTIFS('تجربه‌گرها'!$B:$B,$A1213,'تجربه‌گرها'!$F:$F,G$1)</f>
        <v>0</v>
      </c>
      <c r="H1213" s="242">
        <f>COUNTIFS('تجربه‌گرها'!$B:$B,$A1213,'تجربه‌گرها'!$F:$F,H$1)</f>
        <v>0</v>
      </c>
      <c r="I1213" s="242">
        <f>COUNTIFS('تجربه‌گرها'!$B:$B,$A1213,'تجربه‌گرها'!$F:$F,I$1)</f>
        <v>0</v>
      </c>
      <c r="J1213" s="242">
        <f>COUNTIFS('تجربه‌گرها'!$B:$B,$A1213,'تجربه‌گرها'!$F:$F,J$1)</f>
        <v>0</v>
      </c>
      <c r="K1213" s="242">
        <f>COUNTIFS('تجربه‌گرها'!$B:$B,$A1213,'تجربه‌گرها'!$F:$F,K$1)</f>
        <v>0</v>
      </c>
      <c r="L1213" s="242">
        <f>COUNTIFS('تجربه‌گرها'!$B:$B,$A1213,'تجربه‌گرها'!$F:$F,L$1)</f>
        <v>0</v>
      </c>
      <c r="M1213" s="242">
        <f>COUNTIFS('تجربه‌گرها'!$B:$B,$A1213,'تجربه‌گرها'!$F:$F,M$1)</f>
        <v>0</v>
      </c>
      <c r="N1213" s="242">
        <f>COUNTIFS('تجربه‌گرها'!$B:$B,$A1213,'تجربه‌گرها'!$F:$F,N$1)</f>
        <v>0</v>
      </c>
      <c r="O1213" s="242">
        <f>COUNTIFS('تجربه‌گرها'!$B:$B,$A1213,'تجربه‌گرها'!$F:$F,O$1)</f>
        <v>1</v>
      </c>
      <c r="P1213" s="242">
        <f>COUNTIFS('تجربه‌گرها'!$B:$B,$A1213,'تجربه‌گرها'!$F:$F,P$1)</f>
        <v>0</v>
      </c>
      <c r="Q1213" s="242">
        <f>COUNTIFS('تجربه‌گرها'!$B:$B,$A1213,'تجربه‌گرها'!$F:$F,Q$1)</f>
        <v>0</v>
      </c>
      <c r="R1213" s="242">
        <f>COUNTIFS('تجربه‌گرها'!$B:$B,$A1213,'تجربه‌گرها'!$F:$F,R$1)</f>
        <v>0</v>
      </c>
      <c r="S1213" s="242">
        <f>COUNTIFS('تجربه‌گرها'!$B:$B,$A1213,'تجربه‌گرها'!$F:$F,S$1)</f>
        <v>0</v>
      </c>
      <c r="T1213" s="242">
        <f>COUNTIFS('تجربه‌گرها'!$B:$B,$A1213,'تجربه‌گرها'!$F:$F,T$1)</f>
        <v>0</v>
      </c>
      <c r="U1213" s="242"/>
      <c r="V1213" s="242"/>
      <c r="W1213" s="242"/>
      <c r="X1213" s="242"/>
      <c r="Y1213" s="242"/>
      <c r="Z1213" s="242"/>
      <c r="AA1213" s="242"/>
      <c r="AB1213" s="242"/>
    </row>
    <row r="1214" hidden="1">
      <c r="A1214" s="244" t="s">
        <v>6033</v>
      </c>
      <c r="B1214" s="245" t="str">
        <f>VLOOKUP(A1214,'تجربه‌گرها'!B:C,2,FALSE())</f>
        <v>9191403895</v>
      </c>
      <c r="C1214" s="242"/>
      <c r="D1214" s="242">
        <f t="shared" si="1"/>
        <v>1</v>
      </c>
      <c r="E1214" s="242">
        <f>COUNTIFS('تجربه‌گرها'!$B:$B,$A1214,'تجربه‌گرها'!$F:$F,E$1)</f>
        <v>0</v>
      </c>
      <c r="F1214" s="242">
        <f>COUNTIFS('تجربه‌گرها'!$B:$B,$A1214,'تجربه‌گرها'!$F:$F,F$1)</f>
        <v>0</v>
      </c>
      <c r="G1214" s="242">
        <f>COUNTIFS('تجربه‌گرها'!$B:$B,$A1214,'تجربه‌گرها'!$F:$F,G$1)</f>
        <v>0</v>
      </c>
      <c r="H1214" s="242">
        <f>COUNTIFS('تجربه‌گرها'!$B:$B,$A1214,'تجربه‌گرها'!$F:$F,H$1)</f>
        <v>0</v>
      </c>
      <c r="I1214" s="242">
        <f>COUNTIFS('تجربه‌گرها'!$B:$B,$A1214,'تجربه‌گرها'!$F:$F,I$1)</f>
        <v>0</v>
      </c>
      <c r="J1214" s="242">
        <f>COUNTIFS('تجربه‌گرها'!$B:$B,$A1214,'تجربه‌گرها'!$F:$F,J$1)</f>
        <v>0</v>
      </c>
      <c r="K1214" s="242">
        <f>COUNTIFS('تجربه‌گرها'!$B:$B,$A1214,'تجربه‌گرها'!$F:$F,K$1)</f>
        <v>0</v>
      </c>
      <c r="L1214" s="242">
        <f>COUNTIFS('تجربه‌گرها'!$B:$B,$A1214,'تجربه‌گرها'!$F:$F,L$1)</f>
        <v>0</v>
      </c>
      <c r="M1214" s="242">
        <f>COUNTIFS('تجربه‌گرها'!$B:$B,$A1214,'تجربه‌گرها'!$F:$F,M$1)</f>
        <v>0</v>
      </c>
      <c r="N1214" s="242">
        <f>COUNTIFS('تجربه‌گرها'!$B:$B,$A1214,'تجربه‌گرها'!$F:$F,N$1)</f>
        <v>0</v>
      </c>
      <c r="O1214" s="242">
        <f>COUNTIFS('تجربه‌گرها'!$B:$B,$A1214,'تجربه‌گرها'!$F:$F,O$1)</f>
        <v>1</v>
      </c>
      <c r="P1214" s="242">
        <f>COUNTIFS('تجربه‌گرها'!$B:$B,$A1214,'تجربه‌گرها'!$F:$F,P$1)</f>
        <v>0</v>
      </c>
      <c r="Q1214" s="242">
        <f>COUNTIFS('تجربه‌گرها'!$B:$B,$A1214,'تجربه‌گرها'!$F:$F,Q$1)</f>
        <v>0</v>
      </c>
      <c r="R1214" s="242">
        <f>COUNTIFS('تجربه‌گرها'!$B:$B,$A1214,'تجربه‌گرها'!$F:$F,R$1)</f>
        <v>0</v>
      </c>
      <c r="S1214" s="242">
        <f>COUNTIFS('تجربه‌گرها'!$B:$B,$A1214,'تجربه‌گرها'!$F:$F,S$1)</f>
        <v>0</v>
      </c>
      <c r="T1214" s="242">
        <f>COUNTIFS('تجربه‌گرها'!$B:$B,$A1214,'تجربه‌گرها'!$F:$F,T$1)</f>
        <v>0</v>
      </c>
      <c r="U1214" s="242"/>
      <c r="V1214" s="242"/>
      <c r="W1214" s="242"/>
      <c r="X1214" s="242"/>
      <c r="Y1214" s="242"/>
      <c r="Z1214" s="242"/>
      <c r="AA1214" s="242"/>
      <c r="AB1214" s="242"/>
    </row>
    <row r="1215" hidden="1">
      <c r="A1215" s="244" t="s">
        <v>6036</v>
      </c>
      <c r="B1215" s="245" t="str">
        <f>VLOOKUP(A1215,'تجربه‌گرها'!B:C,2,FALSE())</f>
        <v>9136387240</v>
      </c>
      <c r="C1215" s="242"/>
      <c r="D1215" s="242">
        <f t="shared" si="1"/>
        <v>1</v>
      </c>
      <c r="E1215" s="242">
        <f>COUNTIFS('تجربه‌گرها'!$B:$B,$A1215,'تجربه‌گرها'!$F:$F,E$1)</f>
        <v>0</v>
      </c>
      <c r="F1215" s="242">
        <f>COUNTIFS('تجربه‌گرها'!$B:$B,$A1215,'تجربه‌گرها'!$F:$F,F$1)</f>
        <v>0</v>
      </c>
      <c r="G1215" s="242">
        <f>COUNTIFS('تجربه‌گرها'!$B:$B,$A1215,'تجربه‌گرها'!$F:$F,G$1)</f>
        <v>0</v>
      </c>
      <c r="H1215" s="242">
        <f>COUNTIFS('تجربه‌گرها'!$B:$B,$A1215,'تجربه‌گرها'!$F:$F,H$1)</f>
        <v>0</v>
      </c>
      <c r="I1215" s="242">
        <f>COUNTIFS('تجربه‌گرها'!$B:$B,$A1215,'تجربه‌گرها'!$F:$F,I$1)</f>
        <v>0</v>
      </c>
      <c r="J1215" s="242">
        <f>COUNTIFS('تجربه‌گرها'!$B:$B,$A1215,'تجربه‌گرها'!$F:$F,J$1)</f>
        <v>0</v>
      </c>
      <c r="K1215" s="242">
        <f>COUNTIFS('تجربه‌گرها'!$B:$B,$A1215,'تجربه‌گرها'!$F:$F,K$1)</f>
        <v>0</v>
      </c>
      <c r="L1215" s="242">
        <f>COUNTIFS('تجربه‌گرها'!$B:$B,$A1215,'تجربه‌گرها'!$F:$F,L$1)</f>
        <v>0</v>
      </c>
      <c r="M1215" s="242">
        <f>COUNTIFS('تجربه‌گرها'!$B:$B,$A1215,'تجربه‌گرها'!$F:$F,M$1)</f>
        <v>0</v>
      </c>
      <c r="N1215" s="242">
        <f>COUNTIFS('تجربه‌گرها'!$B:$B,$A1215,'تجربه‌گرها'!$F:$F,N$1)</f>
        <v>0</v>
      </c>
      <c r="O1215" s="242">
        <f>COUNTIFS('تجربه‌گرها'!$B:$B,$A1215,'تجربه‌گرها'!$F:$F,O$1)</f>
        <v>1</v>
      </c>
      <c r="P1215" s="242">
        <f>COUNTIFS('تجربه‌گرها'!$B:$B,$A1215,'تجربه‌گرها'!$F:$F,P$1)</f>
        <v>0</v>
      </c>
      <c r="Q1215" s="242">
        <f>COUNTIFS('تجربه‌گرها'!$B:$B,$A1215,'تجربه‌گرها'!$F:$F,Q$1)</f>
        <v>0</v>
      </c>
      <c r="R1215" s="242">
        <f>COUNTIFS('تجربه‌گرها'!$B:$B,$A1215,'تجربه‌گرها'!$F:$F,R$1)</f>
        <v>0</v>
      </c>
      <c r="S1215" s="242">
        <f>COUNTIFS('تجربه‌گرها'!$B:$B,$A1215,'تجربه‌گرها'!$F:$F,S$1)</f>
        <v>0</v>
      </c>
      <c r="T1215" s="242">
        <f>COUNTIFS('تجربه‌گرها'!$B:$B,$A1215,'تجربه‌گرها'!$F:$F,T$1)</f>
        <v>0</v>
      </c>
      <c r="U1215" s="242"/>
      <c r="V1215" s="242"/>
      <c r="W1215" s="242"/>
      <c r="X1215" s="242"/>
      <c r="Y1215" s="242"/>
      <c r="Z1215" s="242"/>
      <c r="AA1215" s="242"/>
      <c r="AB1215" s="242"/>
    </row>
    <row r="1216" hidden="1">
      <c r="A1216" s="244" t="s">
        <v>6039</v>
      </c>
      <c r="B1216" s="245" t="str">
        <f>VLOOKUP(A1216,'تجربه‌گرها'!B:C,2,FALSE())</f>
        <v>9925322822</v>
      </c>
      <c r="C1216" s="242"/>
      <c r="D1216" s="242">
        <f t="shared" si="1"/>
        <v>1</v>
      </c>
      <c r="E1216" s="242">
        <f>COUNTIFS('تجربه‌گرها'!$B:$B,$A1216,'تجربه‌گرها'!$F:$F,E$1)</f>
        <v>0</v>
      </c>
      <c r="F1216" s="242">
        <f>COUNTIFS('تجربه‌گرها'!$B:$B,$A1216,'تجربه‌گرها'!$F:$F,F$1)</f>
        <v>0</v>
      </c>
      <c r="G1216" s="242">
        <f>COUNTIFS('تجربه‌گرها'!$B:$B,$A1216,'تجربه‌گرها'!$F:$F,G$1)</f>
        <v>0</v>
      </c>
      <c r="H1216" s="242">
        <f>COUNTIFS('تجربه‌گرها'!$B:$B,$A1216,'تجربه‌گرها'!$F:$F,H$1)</f>
        <v>0</v>
      </c>
      <c r="I1216" s="242">
        <f>COUNTIFS('تجربه‌گرها'!$B:$B,$A1216,'تجربه‌گرها'!$F:$F,I$1)</f>
        <v>0</v>
      </c>
      <c r="J1216" s="242">
        <f>COUNTIFS('تجربه‌گرها'!$B:$B,$A1216,'تجربه‌گرها'!$F:$F,J$1)</f>
        <v>0</v>
      </c>
      <c r="K1216" s="242">
        <f>COUNTIFS('تجربه‌گرها'!$B:$B,$A1216,'تجربه‌گرها'!$F:$F,K$1)</f>
        <v>0</v>
      </c>
      <c r="L1216" s="242">
        <f>COUNTIFS('تجربه‌گرها'!$B:$B,$A1216,'تجربه‌گرها'!$F:$F,L$1)</f>
        <v>0</v>
      </c>
      <c r="M1216" s="242">
        <f>COUNTIFS('تجربه‌گرها'!$B:$B,$A1216,'تجربه‌گرها'!$F:$F,M$1)</f>
        <v>0</v>
      </c>
      <c r="N1216" s="242">
        <f>COUNTIFS('تجربه‌گرها'!$B:$B,$A1216,'تجربه‌گرها'!$F:$F,N$1)</f>
        <v>0</v>
      </c>
      <c r="O1216" s="242">
        <f>COUNTIFS('تجربه‌گرها'!$B:$B,$A1216,'تجربه‌گرها'!$F:$F,O$1)</f>
        <v>1</v>
      </c>
      <c r="P1216" s="242">
        <f>COUNTIFS('تجربه‌گرها'!$B:$B,$A1216,'تجربه‌گرها'!$F:$F,P$1)</f>
        <v>0</v>
      </c>
      <c r="Q1216" s="242">
        <f>COUNTIFS('تجربه‌گرها'!$B:$B,$A1216,'تجربه‌گرها'!$F:$F,Q$1)</f>
        <v>0</v>
      </c>
      <c r="R1216" s="242">
        <f>COUNTIFS('تجربه‌گرها'!$B:$B,$A1216,'تجربه‌گرها'!$F:$F,R$1)</f>
        <v>0</v>
      </c>
      <c r="S1216" s="242">
        <f>COUNTIFS('تجربه‌گرها'!$B:$B,$A1216,'تجربه‌گرها'!$F:$F,S$1)</f>
        <v>0</v>
      </c>
      <c r="T1216" s="242">
        <f>COUNTIFS('تجربه‌گرها'!$B:$B,$A1216,'تجربه‌گرها'!$F:$F,T$1)</f>
        <v>0</v>
      </c>
      <c r="U1216" s="242"/>
      <c r="V1216" s="242"/>
      <c r="W1216" s="242"/>
      <c r="X1216" s="242"/>
      <c r="Y1216" s="242"/>
      <c r="Z1216" s="242"/>
      <c r="AA1216" s="242"/>
      <c r="AB1216" s="242"/>
    </row>
    <row r="1217" hidden="1">
      <c r="A1217" s="244" t="s">
        <v>6043</v>
      </c>
      <c r="B1217" s="245" t="str">
        <f>VLOOKUP(A1217,'تجربه‌گرها'!B:C,2,FALSE())</f>
        <v>9150020211</v>
      </c>
      <c r="C1217" s="242"/>
      <c r="D1217" s="242">
        <f t="shared" si="1"/>
        <v>1</v>
      </c>
      <c r="E1217" s="242">
        <f>COUNTIFS('تجربه‌گرها'!$B:$B,$A1217,'تجربه‌گرها'!$F:$F,E$1)</f>
        <v>0</v>
      </c>
      <c r="F1217" s="242">
        <f>COUNTIFS('تجربه‌گرها'!$B:$B,$A1217,'تجربه‌گرها'!$F:$F,F$1)</f>
        <v>0</v>
      </c>
      <c r="G1217" s="242">
        <f>COUNTIFS('تجربه‌گرها'!$B:$B,$A1217,'تجربه‌گرها'!$F:$F,G$1)</f>
        <v>0</v>
      </c>
      <c r="H1217" s="242">
        <f>COUNTIFS('تجربه‌گرها'!$B:$B,$A1217,'تجربه‌گرها'!$F:$F,H$1)</f>
        <v>0</v>
      </c>
      <c r="I1217" s="242">
        <f>COUNTIFS('تجربه‌گرها'!$B:$B,$A1217,'تجربه‌گرها'!$F:$F,I$1)</f>
        <v>0</v>
      </c>
      <c r="J1217" s="242">
        <f>COUNTIFS('تجربه‌گرها'!$B:$B,$A1217,'تجربه‌گرها'!$F:$F,J$1)</f>
        <v>0</v>
      </c>
      <c r="K1217" s="242">
        <f>COUNTIFS('تجربه‌گرها'!$B:$B,$A1217,'تجربه‌گرها'!$F:$F,K$1)</f>
        <v>0</v>
      </c>
      <c r="L1217" s="242">
        <f>COUNTIFS('تجربه‌گرها'!$B:$B,$A1217,'تجربه‌گرها'!$F:$F,L$1)</f>
        <v>0</v>
      </c>
      <c r="M1217" s="242">
        <f>COUNTIFS('تجربه‌گرها'!$B:$B,$A1217,'تجربه‌گرها'!$F:$F,M$1)</f>
        <v>0</v>
      </c>
      <c r="N1217" s="242">
        <f>COUNTIFS('تجربه‌گرها'!$B:$B,$A1217,'تجربه‌گرها'!$F:$F,N$1)</f>
        <v>0</v>
      </c>
      <c r="O1217" s="242">
        <f>COUNTIFS('تجربه‌گرها'!$B:$B,$A1217,'تجربه‌گرها'!$F:$F,O$1)</f>
        <v>1</v>
      </c>
      <c r="P1217" s="242">
        <f>COUNTIFS('تجربه‌گرها'!$B:$B,$A1217,'تجربه‌گرها'!$F:$F,P$1)</f>
        <v>0</v>
      </c>
      <c r="Q1217" s="242">
        <f>COUNTIFS('تجربه‌گرها'!$B:$B,$A1217,'تجربه‌گرها'!$F:$F,Q$1)</f>
        <v>0</v>
      </c>
      <c r="R1217" s="242">
        <f>COUNTIFS('تجربه‌گرها'!$B:$B,$A1217,'تجربه‌گرها'!$F:$F,R$1)</f>
        <v>0</v>
      </c>
      <c r="S1217" s="242">
        <f>COUNTIFS('تجربه‌گرها'!$B:$B,$A1217,'تجربه‌گرها'!$F:$F,S$1)</f>
        <v>0</v>
      </c>
      <c r="T1217" s="242">
        <f>COUNTIFS('تجربه‌گرها'!$B:$B,$A1217,'تجربه‌گرها'!$F:$F,T$1)</f>
        <v>0</v>
      </c>
      <c r="U1217" s="242"/>
      <c r="V1217" s="242"/>
      <c r="W1217" s="242"/>
      <c r="X1217" s="242"/>
      <c r="Y1217" s="242"/>
      <c r="Z1217" s="242"/>
      <c r="AA1217" s="242"/>
      <c r="AB1217" s="242"/>
    </row>
    <row r="1218" hidden="1">
      <c r="A1218" s="244" t="s">
        <v>6047</v>
      </c>
      <c r="B1218" s="245" t="str">
        <f>VLOOKUP(A1218,'تجربه‌گرها'!B:C,2,FALSE())</f>
        <v>۰۹۱۱۴۲۲۶۶۲۶</v>
      </c>
      <c r="C1218" s="242"/>
      <c r="D1218" s="242">
        <f t="shared" si="1"/>
        <v>1</v>
      </c>
      <c r="E1218" s="242">
        <f>COUNTIFS('تجربه‌گرها'!$B:$B,$A1218,'تجربه‌گرها'!$F:$F,E$1)</f>
        <v>0</v>
      </c>
      <c r="F1218" s="242">
        <f>COUNTIFS('تجربه‌گرها'!$B:$B,$A1218,'تجربه‌گرها'!$F:$F,F$1)</f>
        <v>0</v>
      </c>
      <c r="G1218" s="242">
        <f>COUNTIFS('تجربه‌گرها'!$B:$B,$A1218,'تجربه‌گرها'!$F:$F,G$1)</f>
        <v>0</v>
      </c>
      <c r="H1218" s="242">
        <f>COUNTIFS('تجربه‌گرها'!$B:$B,$A1218,'تجربه‌گرها'!$F:$F,H$1)</f>
        <v>0</v>
      </c>
      <c r="I1218" s="242">
        <f>COUNTIFS('تجربه‌گرها'!$B:$B,$A1218,'تجربه‌گرها'!$F:$F,I$1)</f>
        <v>0</v>
      </c>
      <c r="J1218" s="242">
        <f>COUNTIFS('تجربه‌گرها'!$B:$B,$A1218,'تجربه‌گرها'!$F:$F,J$1)</f>
        <v>0</v>
      </c>
      <c r="K1218" s="242">
        <f>COUNTIFS('تجربه‌گرها'!$B:$B,$A1218,'تجربه‌گرها'!$F:$F,K$1)</f>
        <v>0</v>
      </c>
      <c r="L1218" s="242">
        <f>COUNTIFS('تجربه‌گرها'!$B:$B,$A1218,'تجربه‌گرها'!$F:$F,L$1)</f>
        <v>0</v>
      </c>
      <c r="M1218" s="242">
        <f>COUNTIFS('تجربه‌گرها'!$B:$B,$A1218,'تجربه‌گرها'!$F:$F,M$1)</f>
        <v>0</v>
      </c>
      <c r="N1218" s="242">
        <f>COUNTIFS('تجربه‌گرها'!$B:$B,$A1218,'تجربه‌گرها'!$F:$F,N$1)</f>
        <v>0</v>
      </c>
      <c r="O1218" s="242">
        <f>COUNTIFS('تجربه‌گرها'!$B:$B,$A1218,'تجربه‌گرها'!$F:$F,O$1)</f>
        <v>1</v>
      </c>
      <c r="P1218" s="242">
        <f>COUNTIFS('تجربه‌گرها'!$B:$B,$A1218,'تجربه‌گرها'!$F:$F,P$1)</f>
        <v>0</v>
      </c>
      <c r="Q1218" s="242">
        <f>COUNTIFS('تجربه‌گرها'!$B:$B,$A1218,'تجربه‌گرها'!$F:$F,Q$1)</f>
        <v>0</v>
      </c>
      <c r="R1218" s="242">
        <f>COUNTIFS('تجربه‌گرها'!$B:$B,$A1218,'تجربه‌گرها'!$F:$F,R$1)</f>
        <v>0</v>
      </c>
      <c r="S1218" s="242">
        <f>COUNTIFS('تجربه‌گرها'!$B:$B,$A1218,'تجربه‌گرها'!$F:$F,S$1)</f>
        <v>0</v>
      </c>
      <c r="T1218" s="242">
        <f>COUNTIFS('تجربه‌گرها'!$B:$B,$A1218,'تجربه‌گرها'!$F:$F,T$1)</f>
        <v>0</v>
      </c>
      <c r="U1218" s="242"/>
      <c r="V1218" s="242"/>
      <c r="W1218" s="242"/>
      <c r="X1218" s="242"/>
      <c r="Y1218" s="242"/>
      <c r="Z1218" s="242"/>
      <c r="AA1218" s="242"/>
      <c r="AB1218" s="242"/>
    </row>
    <row r="1219" hidden="1">
      <c r="A1219" s="244" t="s">
        <v>6050</v>
      </c>
      <c r="B1219" s="245" t="str">
        <f>VLOOKUP(A1219,'تجربه‌گرها'!B:C,2,FALSE())</f>
        <v>9120031301</v>
      </c>
      <c r="C1219" s="242"/>
      <c r="D1219" s="242">
        <f t="shared" si="1"/>
        <v>1</v>
      </c>
      <c r="E1219" s="242">
        <f>COUNTIFS('تجربه‌گرها'!$B:$B,$A1219,'تجربه‌گرها'!$F:$F,E$1)</f>
        <v>0</v>
      </c>
      <c r="F1219" s="242">
        <f>COUNTIFS('تجربه‌گرها'!$B:$B,$A1219,'تجربه‌گرها'!$F:$F,F$1)</f>
        <v>0</v>
      </c>
      <c r="G1219" s="242">
        <f>COUNTIFS('تجربه‌گرها'!$B:$B,$A1219,'تجربه‌گرها'!$F:$F,G$1)</f>
        <v>0</v>
      </c>
      <c r="H1219" s="242">
        <f>COUNTIFS('تجربه‌گرها'!$B:$B,$A1219,'تجربه‌گرها'!$F:$F,H$1)</f>
        <v>0</v>
      </c>
      <c r="I1219" s="242">
        <f>COUNTIFS('تجربه‌گرها'!$B:$B,$A1219,'تجربه‌گرها'!$F:$F,I$1)</f>
        <v>0</v>
      </c>
      <c r="J1219" s="242">
        <f>COUNTIFS('تجربه‌گرها'!$B:$B,$A1219,'تجربه‌گرها'!$F:$F,J$1)</f>
        <v>0</v>
      </c>
      <c r="K1219" s="242">
        <f>COUNTIFS('تجربه‌گرها'!$B:$B,$A1219,'تجربه‌گرها'!$F:$F,K$1)</f>
        <v>0</v>
      </c>
      <c r="L1219" s="242">
        <f>COUNTIFS('تجربه‌گرها'!$B:$B,$A1219,'تجربه‌گرها'!$F:$F,L$1)</f>
        <v>0</v>
      </c>
      <c r="M1219" s="242">
        <f>COUNTIFS('تجربه‌گرها'!$B:$B,$A1219,'تجربه‌گرها'!$F:$F,M$1)</f>
        <v>0</v>
      </c>
      <c r="N1219" s="242">
        <f>COUNTIFS('تجربه‌گرها'!$B:$B,$A1219,'تجربه‌گرها'!$F:$F,N$1)</f>
        <v>0</v>
      </c>
      <c r="O1219" s="242">
        <f>COUNTIFS('تجربه‌گرها'!$B:$B,$A1219,'تجربه‌گرها'!$F:$F,O$1)</f>
        <v>1</v>
      </c>
      <c r="P1219" s="242">
        <f>COUNTIFS('تجربه‌گرها'!$B:$B,$A1219,'تجربه‌گرها'!$F:$F,P$1)</f>
        <v>0</v>
      </c>
      <c r="Q1219" s="242">
        <f>COUNTIFS('تجربه‌گرها'!$B:$B,$A1219,'تجربه‌گرها'!$F:$F,Q$1)</f>
        <v>0</v>
      </c>
      <c r="R1219" s="242">
        <f>COUNTIFS('تجربه‌گرها'!$B:$B,$A1219,'تجربه‌گرها'!$F:$F,R$1)</f>
        <v>0</v>
      </c>
      <c r="S1219" s="242">
        <f>COUNTIFS('تجربه‌گرها'!$B:$B,$A1219,'تجربه‌گرها'!$F:$F,S$1)</f>
        <v>0</v>
      </c>
      <c r="T1219" s="242">
        <f>COUNTIFS('تجربه‌گرها'!$B:$B,$A1219,'تجربه‌گرها'!$F:$F,T$1)</f>
        <v>0</v>
      </c>
      <c r="U1219" s="242"/>
      <c r="V1219" s="242"/>
      <c r="W1219" s="242"/>
      <c r="X1219" s="242"/>
      <c r="Y1219" s="242"/>
      <c r="Z1219" s="242"/>
      <c r="AA1219" s="242"/>
      <c r="AB1219" s="242"/>
    </row>
    <row r="1220" hidden="1">
      <c r="A1220" s="244" t="s">
        <v>6052</v>
      </c>
      <c r="B1220" s="245" t="str">
        <f>VLOOKUP(A1220,'تجربه‌گرها'!B:C,2,FALSE())</f>
        <v>9120031201</v>
      </c>
      <c r="C1220" s="242"/>
      <c r="D1220" s="242">
        <f t="shared" si="1"/>
        <v>1</v>
      </c>
      <c r="E1220" s="242">
        <f>COUNTIFS('تجربه‌گرها'!$B:$B,$A1220,'تجربه‌گرها'!$F:$F,E$1)</f>
        <v>0</v>
      </c>
      <c r="F1220" s="242">
        <f>COUNTIFS('تجربه‌گرها'!$B:$B,$A1220,'تجربه‌گرها'!$F:$F,F$1)</f>
        <v>0</v>
      </c>
      <c r="G1220" s="242">
        <f>COUNTIFS('تجربه‌گرها'!$B:$B,$A1220,'تجربه‌گرها'!$F:$F,G$1)</f>
        <v>0</v>
      </c>
      <c r="H1220" s="242">
        <f>COUNTIFS('تجربه‌گرها'!$B:$B,$A1220,'تجربه‌گرها'!$F:$F,H$1)</f>
        <v>0</v>
      </c>
      <c r="I1220" s="242">
        <f>COUNTIFS('تجربه‌گرها'!$B:$B,$A1220,'تجربه‌گرها'!$F:$F,I$1)</f>
        <v>0</v>
      </c>
      <c r="J1220" s="242">
        <f>COUNTIFS('تجربه‌گرها'!$B:$B,$A1220,'تجربه‌گرها'!$F:$F,J$1)</f>
        <v>0</v>
      </c>
      <c r="K1220" s="242">
        <f>COUNTIFS('تجربه‌گرها'!$B:$B,$A1220,'تجربه‌گرها'!$F:$F,K$1)</f>
        <v>0</v>
      </c>
      <c r="L1220" s="242">
        <f>COUNTIFS('تجربه‌گرها'!$B:$B,$A1220,'تجربه‌گرها'!$F:$F,L$1)</f>
        <v>0</v>
      </c>
      <c r="M1220" s="242">
        <f>COUNTIFS('تجربه‌گرها'!$B:$B,$A1220,'تجربه‌گرها'!$F:$F,M$1)</f>
        <v>0</v>
      </c>
      <c r="N1220" s="242">
        <f>COUNTIFS('تجربه‌گرها'!$B:$B,$A1220,'تجربه‌گرها'!$F:$F,N$1)</f>
        <v>0</v>
      </c>
      <c r="O1220" s="242">
        <f>COUNTIFS('تجربه‌گرها'!$B:$B,$A1220,'تجربه‌گرها'!$F:$F,O$1)</f>
        <v>1</v>
      </c>
      <c r="P1220" s="242">
        <f>COUNTIFS('تجربه‌گرها'!$B:$B,$A1220,'تجربه‌گرها'!$F:$F,P$1)</f>
        <v>0</v>
      </c>
      <c r="Q1220" s="242">
        <f>COUNTIFS('تجربه‌گرها'!$B:$B,$A1220,'تجربه‌گرها'!$F:$F,Q$1)</f>
        <v>0</v>
      </c>
      <c r="R1220" s="242">
        <f>COUNTIFS('تجربه‌گرها'!$B:$B,$A1220,'تجربه‌گرها'!$F:$F,R$1)</f>
        <v>0</v>
      </c>
      <c r="S1220" s="242">
        <f>COUNTIFS('تجربه‌گرها'!$B:$B,$A1220,'تجربه‌گرها'!$F:$F,S$1)</f>
        <v>0</v>
      </c>
      <c r="T1220" s="242">
        <f>COUNTIFS('تجربه‌گرها'!$B:$B,$A1220,'تجربه‌گرها'!$F:$F,T$1)</f>
        <v>0</v>
      </c>
      <c r="U1220" s="242"/>
      <c r="V1220" s="242"/>
      <c r="W1220" s="242"/>
      <c r="X1220" s="242"/>
      <c r="Y1220" s="242"/>
      <c r="Z1220" s="242"/>
      <c r="AA1220" s="242"/>
      <c r="AB1220" s="242"/>
    </row>
    <row r="1221" hidden="1">
      <c r="A1221" s="244" t="s">
        <v>6055</v>
      </c>
      <c r="B1221" s="245" t="str">
        <f>VLOOKUP(A1221,'تجربه‌گرها'!B:C,2,FALSE())</f>
        <v>۰۹۳۸۹۳۸۰۶۵۴</v>
      </c>
      <c r="C1221" s="242"/>
      <c r="D1221" s="242">
        <f t="shared" si="1"/>
        <v>1</v>
      </c>
      <c r="E1221" s="242">
        <f>COUNTIFS('تجربه‌گرها'!$B:$B,$A1221,'تجربه‌گرها'!$F:$F,E$1)</f>
        <v>0</v>
      </c>
      <c r="F1221" s="242">
        <f>COUNTIFS('تجربه‌گرها'!$B:$B,$A1221,'تجربه‌گرها'!$F:$F,F$1)</f>
        <v>0</v>
      </c>
      <c r="G1221" s="242">
        <f>COUNTIFS('تجربه‌گرها'!$B:$B,$A1221,'تجربه‌گرها'!$F:$F,G$1)</f>
        <v>0</v>
      </c>
      <c r="H1221" s="242">
        <f>COUNTIFS('تجربه‌گرها'!$B:$B,$A1221,'تجربه‌گرها'!$F:$F,H$1)</f>
        <v>0</v>
      </c>
      <c r="I1221" s="242">
        <f>COUNTIFS('تجربه‌گرها'!$B:$B,$A1221,'تجربه‌گرها'!$F:$F,I$1)</f>
        <v>0</v>
      </c>
      <c r="J1221" s="242">
        <f>COUNTIFS('تجربه‌گرها'!$B:$B,$A1221,'تجربه‌گرها'!$F:$F,J$1)</f>
        <v>0</v>
      </c>
      <c r="K1221" s="242">
        <f>COUNTIFS('تجربه‌گرها'!$B:$B,$A1221,'تجربه‌گرها'!$F:$F,K$1)</f>
        <v>0</v>
      </c>
      <c r="L1221" s="242">
        <f>COUNTIFS('تجربه‌گرها'!$B:$B,$A1221,'تجربه‌گرها'!$F:$F,L$1)</f>
        <v>0</v>
      </c>
      <c r="M1221" s="242">
        <f>COUNTIFS('تجربه‌گرها'!$B:$B,$A1221,'تجربه‌گرها'!$F:$F,M$1)</f>
        <v>0</v>
      </c>
      <c r="N1221" s="242">
        <f>COUNTIFS('تجربه‌گرها'!$B:$B,$A1221,'تجربه‌گرها'!$F:$F,N$1)</f>
        <v>0</v>
      </c>
      <c r="O1221" s="242">
        <f>COUNTIFS('تجربه‌گرها'!$B:$B,$A1221,'تجربه‌گرها'!$F:$F,O$1)</f>
        <v>1</v>
      </c>
      <c r="P1221" s="242">
        <f>COUNTIFS('تجربه‌گرها'!$B:$B,$A1221,'تجربه‌گرها'!$F:$F,P$1)</f>
        <v>0</v>
      </c>
      <c r="Q1221" s="242">
        <f>COUNTIFS('تجربه‌گرها'!$B:$B,$A1221,'تجربه‌گرها'!$F:$F,Q$1)</f>
        <v>0</v>
      </c>
      <c r="R1221" s="242">
        <f>COUNTIFS('تجربه‌گرها'!$B:$B,$A1221,'تجربه‌گرها'!$F:$F,R$1)</f>
        <v>0</v>
      </c>
      <c r="S1221" s="242">
        <f>COUNTIFS('تجربه‌گرها'!$B:$B,$A1221,'تجربه‌گرها'!$F:$F,S$1)</f>
        <v>0</v>
      </c>
      <c r="T1221" s="242">
        <f>COUNTIFS('تجربه‌گرها'!$B:$B,$A1221,'تجربه‌گرها'!$F:$F,T$1)</f>
        <v>0</v>
      </c>
      <c r="U1221" s="242"/>
      <c r="V1221" s="242"/>
      <c r="W1221" s="242"/>
      <c r="X1221" s="242"/>
      <c r="Y1221" s="242"/>
      <c r="Z1221" s="242"/>
      <c r="AA1221" s="242"/>
      <c r="AB1221" s="242"/>
    </row>
    <row r="1222" hidden="1">
      <c r="A1222" s="244" t="s">
        <v>6057</v>
      </c>
      <c r="B1222" s="245" t="str">
        <f>VLOOKUP(A1222,'تجربه‌گرها'!B:C,2,FALSE())</f>
        <v>9128438310</v>
      </c>
      <c r="C1222" s="242"/>
      <c r="D1222" s="242">
        <f t="shared" si="1"/>
        <v>1</v>
      </c>
      <c r="E1222" s="242">
        <f>COUNTIFS('تجربه‌گرها'!$B:$B,$A1222,'تجربه‌گرها'!$F:$F,E$1)</f>
        <v>0</v>
      </c>
      <c r="F1222" s="242">
        <f>COUNTIFS('تجربه‌گرها'!$B:$B,$A1222,'تجربه‌گرها'!$F:$F,F$1)</f>
        <v>0</v>
      </c>
      <c r="G1222" s="242">
        <f>COUNTIFS('تجربه‌گرها'!$B:$B,$A1222,'تجربه‌گرها'!$F:$F,G$1)</f>
        <v>0</v>
      </c>
      <c r="H1222" s="242">
        <f>COUNTIFS('تجربه‌گرها'!$B:$B,$A1222,'تجربه‌گرها'!$F:$F,H$1)</f>
        <v>0</v>
      </c>
      <c r="I1222" s="242">
        <f>COUNTIFS('تجربه‌گرها'!$B:$B,$A1222,'تجربه‌گرها'!$F:$F,I$1)</f>
        <v>0</v>
      </c>
      <c r="J1222" s="242">
        <f>COUNTIFS('تجربه‌گرها'!$B:$B,$A1222,'تجربه‌گرها'!$F:$F,J$1)</f>
        <v>0</v>
      </c>
      <c r="K1222" s="242">
        <f>COUNTIFS('تجربه‌گرها'!$B:$B,$A1222,'تجربه‌گرها'!$F:$F,K$1)</f>
        <v>0</v>
      </c>
      <c r="L1222" s="242">
        <f>COUNTIFS('تجربه‌گرها'!$B:$B,$A1222,'تجربه‌گرها'!$F:$F,L$1)</f>
        <v>0</v>
      </c>
      <c r="M1222" s="242">
        <f>COUNTIFS('تجربه‌گرها'!$B:$B,$A1222,'تجربه‌گرها'!$F:$F,M$1)</f>
        <v>0</v>
      </c>
      <c r="N1222" s="242">
        <f>COUNTIFS('تجربه‌گرها'!$B:$B,$A1222,'تجربه‌گرها'!$F:$F,N$1)</f>
        <v>0</v>
      </c>
      <c r="O1222" s="242">
        <f>COUNTIFS('تجربه‌گرها'!$B:$B,$A1222,'تجربه‌گرها'!$F:$F,O$1)</f>
        <v>1</v>
      </c>
      <c r="P1222" s="242">
        <f>COUNTIFS('تجربه‌گرها'!$B:$B,$A1222,'تجربه‌گرها'!$F:$F,P$1)</f>
        <v>0</v>
      </c>
      <c r="Q1222" s="242">
        <f>COUNTIFS('تجربه‌گرها'!$B:$B,$A1222,'تجربه‌گرها'!$F:$F,Q$1)</f>
        <v>0</v>
      </c>
      <c r="R1222" s="242">
        <f>COUNTIFS('تجربه‌گرها'!$B:$B,$A1222,'تجربه‌گرها'!$F:$F,R$1)</f>
        <v>0</v>
      </c>
      <c r="S1222" s="242">
        <f>COUNTIFS('تجربه‌گرها'!$B:$B,$A1222,'تجربه‌گرها'!$F:$F,S$1)</f>
        <v>0</v>
      </c>
      <c r="T1222" s="242">
        <f>COUNTIFS('تجربه‌گرها'!$B:$B,$A1222,'تجربه‌گرها'!$F:$F,T$1)</f>
        <v>0</v>
      </c>
      <c r="U1222" s="242"/>
      <c r="V1222" s="242"/>
      <c r="W1222" s="242"/>
      <c r="X1222" s="242"/>
      <c r="Y1222" s="242"/>
      <c r="Z1222" s="242"/>
      <c r="AA1222" s="242"/>
      <c r="AB1222" s="242"/>
    </row>
    <row r="1223" hidden="1">
      <c r="A1223" s="244" t="s">
        <v>6060</v>
      </c>
      <c r="B1223" s="245" t="str">
        <f>VLOOKUP(A1223,'تجربه‌گرها'!B:C,2,FALSE())</f>
        <v>9149695001</v>
      </c>
      <c r="C1223" s="242"/>
      <c r="D1223" s="242">
        <f t="shared" si="1"/>
        <v>1</v>
      </c>
      <c r="E1223" s="242">
        <f>COUNTIFS('تجربه‌گرها'!$B:$B,$A1223,'تجربه‌گرها'!$F:$F,E$1)</f>
        <v>0</v>
      </c>
      <c r="F1223" s="242">
        <f>COUNTIFS('تجربه‌گرها'!$B:$B,$A1223,'تجربه‌گرها'!$F:$F,F$1)</f>
        <v>0</v>
      </c>
      <c r="G1223" s="242">
        <f>COUNTIFS('تجربه‌گرها'!$B:$B,$A1223,'تجربه‌گرها'!$F:$F,G$1)</f>
        <v>0</v>
      </c>
      <c r="H1223" s="242">
        <f>COUNTIFS('تجربه‌گرها'!$B:$B,$A1223,'تجربه‌گرها'!$F:$F,H$1)</f>
        <v>0</v>
      </c>
      <c r="I1223" s="242">
        <f>COUNTIFS('تجربه‌گرها'!$B:$B,$A1223,'تجربه‌گرها'!$F:$F,I$1)</f>
        <v>0</v>
      </c>
      <c r="J1223" s="242">
        <f>COUNTIFS('تجربه‌گرها'!$B:$B,$A1223,'تجربه‌گرها'!$F:$F,J$1)</f>
        <v>0</v>
      </c>
      <c r="K1223" s="242">
        <f>COUNTIFS('تجربه‌گرها'!$B:$B,$A1223,'تجربه‌گرها'!$F:$F,K$1)</f>
        <v>0</v>
      </c>
      <c r="L1223" s="242">
        <f>COUNTIFS('تجربه‌گرها'!$B:$B,$A1223,'تجربه‌گرها'!$F:$F,L$1)</f>
        <v>0</v>
      </c>
      <c r="M1223" s="242">
        <f>COUNTIFS('تجربه‌گرها'!$B:$B,$A1223,'تجربه‌گرها'!$F:$F,M$1)</f>
        <v>0</v>
      </c>
      <c r="N1223" s="242">
        <f>COUNTIFS('تجربه‌گرها'!$B:$B,$A1223,'تجربه‌گرها'!$F:$F,N$1)</f>
        <v>0</v>
      </c>
      <c r="O1223" s="242">
        <f>COUNTIFS('تجربه‌گرها'!$B:$B,$A1223,'تجربه‌گرها'!$F:$F,O$1)</f>
        <v>1</v>
      </c>
      <c r="P1223" s="242">
        <f>COUNTIFS('تجربه‌گرها'!$B:$B,$A1223,'تجربه‌گرها'!$F:$F,P$1)</f>
        <v>0</v>
      </c>
      <c r="Q1223" s="242">
        <f>COUNTIFS('تجربه‌گرها'!$B:$B,$A1223,'تجربه‌گرها'!$F:$F,Q$1)</f>
        <v>0</v>
      </c>
      <c r="R1223" s="242">
        <f>COUNTIFS('تجربه‌گرها'!$B:$B,$A1223,'تجربه‌گرها'!$F:$F,R$1)</f>
        <v>0</v>
      </c>
      <c r="S1223" s="242">
        <f>COUNTIFS('تجربه‌گرها'!$B:$B,$A1223,'تجربه‌گرها'!$F:$F,S$1)</f>
        <v>0</v>
      </c>
      <c r="T1223" s="242">
        <f>COUNTIFS('تجربه‌گرها'!$B:$B,$A1223,'تجربه‌گرها'!$F:$F,T$1)</f>
        <v>0</v>
      </c>
      <c r="U1223" s="242"/>
      <c r="V1223" s="242"/>
      <c r="W1223" s="242"/>
      <c r="X1223" s="242"/>
      <c r="Y1223" s="242"/>
      <c r="Z1223" s="242"/>
      <c r="AA1223" s="242"/>
      <c r="AB1223" s="242"/>
    </row>
    <row r="1224" hidden="1">
      <c r="A1224" s="244" t="s">
        <v>6063</v>
      </c>
      <c r="B1224" s="245" t="str">
        <f>VLOOKUP(A1224,'تجربه‌گرها'!B:C,2,FALSE())</f>
        <v>9192043192</v>
      </c>
      <c r="C1224" s="242"/>
      <c r="D1224" s="242">
        <f t="shared" si="1"/>
        <v>1</v>
      </c>
      <c r="E1224" s="242">
        <f>COUNTIFS('تجربه‌گرها'!$B:$B,$A1224,'تجربه‌گرها'!$F:$F,E$1)</f>
        <v>0</v>
      </c>
      <c r="F1224" s="242">
        <f>COUNTIFS('تجربه‌گرها'!$B:$B,$A1224,'تجربه‌گرها'!$F:$F,F$1)</f>
        <v>0</v>
      </c>
      <c r="G1224" s="242">
        <f>COUNTIFS('تجربه‌گرها'!$B:$B,$A1224,'تجربه‌گرها'!$F:$F,G$1)</f>
        <v>0</v>
      </c>
      <c r="H1224" s="242">
        <f>COUNTIFS('تجربه‌گرها'!$B:$B,$A1224,'تجربه‌گرها'!$F:$F,H$1)</f>
        <v>0</v>
      </c>
      <c r="I1224" s="242">
        <f>COUNTIFS('تجربه‌گرها'!$B:$B,$A1224,'تجربه‌گرها'!$F:$F,I$1)</f>
        <v>0</v>
      </c>
      <c r="J1224" s="242">
        <f>COUNTIFS('تجربه‌گرها'!$B:$B,$A1224,'تجربه‌گرها'!$F:$F,J$1)</f>
        <v>0</v>
      </c>
      <c r="K1224" s="242">
        <f>COUNTIFS('تجربه‌گرها'!$B:$B,$A1224,'تجربه‌گرها'!$F:$F,K$1)</f>
        <v>0</v>
      </c>
      <c r="L1224" s="242">
        <f>COUNTIFS('تجربه‌گرها'!$B:$B,$A1224,'تجربه‌گرها'!$F:$F,L$1)</f>
        <v>0</v>
      </c>
      <c r="M1224" s="242">
        <f>COUNTIFS('تجربه‌گرها'!$B:$B,$A1224,'تجربه‌گرها'!$F:$F,M$1)</f>
        <v>0</v>
      </c>
      <c r="N1224" s="242">
        <f>COUNTIFS('تجربه‌گرها'!$B:$B,$A1224,'تجربه‌گرها'!$F:$F,N$1)</f>
        <v>0</v>
      </c>
      <c r="O1224" s="242">
        <f>COUNTIFS('تجربه‌گرها'!$B:$B,$A1224,'تجربه‌گرها'!$F:$F,O$1)</f>
        <v>0</v>
      </c>
      <c r="P1224" s="242">
        <f>COUNTIFS('تجربه‌گرها'!$B:$B,$A1224,'تجربه‌گرها'!$F:$F,P$1)</f>
        <v>1</v>
      </c>
      <c r="Q1224" s="242">
        <f>COUNTIFS('تجربه‌گرها'!$B:$B,$A1224,'تجربه‌گرها'!$F:$F,Q$1)</f>
        <v>0</v>
      </c>
      <c r="R1224" s="242">
        <f>COUNTIFS('تجربه‌گرها'!$B:$B,$A1224,'تجربه‌گرها'!$F:$F,R$1)</f>
        <v>0</v>
      </c>
      <c r="S1224" s="242">
        <f>COUNTIFS('تجربه‌گرها'!$B:$B,$A1224,'تجربه‌گرها'!$F:$F,S$1)</f>
        <v>0</v>
      </c>
      <c r="T1224" s="242">
        <f>COUNTIFS('تجربه‌گرها'!$B:$B,$A1224,'تجربه‌گرها'!$F:$F,T$1)</f>
        <v>0</v>
      </c>
      <c r="U1224" s="242"/>
      <c r="V1224" s="242"/>
      <c r="W1224" s="242"/>
      <c r="X1224" s="242"/>
      <c r="Y1224" s="242"/>
      <c r="Z1224" s="242"/>
      <c r="AA1224" s="242"/>
      <c r="AB1224" s="242"/>
    </row>
    <row r="1225" hidden="1">
      <c r="A1225" s="244" t="s">
        <v>6068</v>
      </c>
      <c r="B1225" s="245" t="str">
        <f>VLOOKUP(A1225,'تجربه‌گرها'!B:C,2,FALSE())</f>
        <v>9151024047</v>
      </c>
      <c r="C1225" s="242"/>
      <c r="D1225" s="242">
        <f t="shared" si="1"/>
        <v>1</v>
      </c>
      <c r="E1225" s="242">
        <f>COUNTIFS('تجربه‌گرها'!$B:$B,$A1225,'تجربه‌گرها'!$F:$F,E$1)</f>
        <v>0</v>
      </c>
      <c r="F1225" s="242">
        <f>COUNTIFS('تجربه‌گرها'!$B:$B,$A1225,'تجربه‌گرها'!$F:$F,F$1)</f>
        <v>0</v>
      </c>
      <c r="G1225" s="242">
        <f>COUNTIFS('تجربه‌گرها'!$B:$B,$A1225,'تجربه‌گرها'!$F:$F,G$1)</f>
        <v>0</v>
      </c>
      <c r="H1225" s="242">
        <f>COUNTIFS('تجربه‌گرها'!$B:$B,$A1225,'تجربه‌گرها'!$F:$F,H$1)</f>
        <v>0</v>
      </c>
      <c r="I1225" s="242">
        <f>COUNTIFS('تجربه‌گرها'!$B:$B,$A1225,'تجربه‌گرها'!$F:$F,I$1)</f>
        <v>0</v>
      </c>
      <c r="J1225" s="242">
        <f>COUNTIFS('تجربه‌گرها'!$B:$B,$A1225,'تجربه‌گرها'!$F:$F,J$1)</f>
        <v>0</v>
      </c>
      <c r="K1225" s="242">
        <f>COUNTIFS('تجربه‌گرها'!$B:$B,$A1225,'تجربه‌گرها'!$F:$F,K$1)</f>
        <v>0</v>
      </c>
      <c r="L1225" s="242">
        <f>COUNTIFS('تجربه‌گرها'!$B:$B,$A1225,'تجربه‌گرها'!$F:$F,L$1)</f>
        <v>0</v>
      </c>
      <c r="M1225" s="242">
        <f>COUNTIFS('تجربه‌گرها'!$B:$B,$A1225,'تجربه‌گرها'!$F:$F,M$1)</f>
        <v>0</v>
      </c>
      <c r="N1225" s="242">
        <f>COUNTIFS('تجربه‌گرها'!$B:$B,$A1225,'تجربه‌گرها'!$F:$F,N$1)</f>
        <v>0</v>
      </c>
      <c r="O1225" s="242">
        <f>COUNTIFS('تجربه‌گرها'!$B:$B,$A1225,'تجربه‌گرها'!$F:$F,O$1)</f>
        <v>0</v>
      </c>
      <c r="P1225" s="242">
        <f>COUNTIFS('تجربه‌گرها'!$B:$B,$A1225,'تجربه‌گرها'!$F:$F,P$1)</f>
        <v>1</v>
      </c>
      <c r="Q1225" s="242">
        <f>COUNTIFS('تجربه‌گرها'!$B:$B,$A1225,'تجربه‌گرها'!$F:$F,Q$1)</f>
        <v>0</v>
      </c>
      <c r="R1225" s="242">
        <f>COUNTIFS('تجربه‌گرها'!$B:$B,$A1225,'تجربه‌گرها'!$F:$F,R$1)</f>
        <v>0</v>
      </c>
      <c r="S1225" s="242">
        <f>COUNTIFS('تجربه‌گرها'!$B:$B,$A1225,'تجربه‌گرها'!$F:$F,S$1)</f>
        <v>0</v>
      </c>
      <c r="T1225" s="242">
        <f>COUNTIFS('تجربه‌گرها'!$B:$B,$A1225,'تجربه‌گرها'!$F:$F,T$1)</f>
        <v>0</v>
      </c>
      <c r="U1225" s="242"/>
      <c r="V1225" s="242"/>
      <c r="W1225" s="242"/>
      <c r="X1225" s="242"/>
      <c r="Y1225" s="242"/>
      <c r="Z1225" s="242"/>
      <c r="AA1225" s="242"/>
      <c r="AB1225" s="242"/>
    </row>
    <row r="1226" hidden="1">
      <c r="A1226" s="244" t="s">
        <v>6070</v>
      </c>
      <c r="B1226" s="245" t="str">
        <f>VLOOKUP(A1226,'تجربه‌گرها'!B:C,2,FALSE())</f>
        <v>۰۹۱۵۹۳۵۶۷۴۷</v>
      </c>
      <c r="C1226" s="242"/>
      <c r="D1226" s="242">
        <f t="shared" si="1"/>
        <v>1</v>
      </c>
      <c r="E1226" s="242">
        <f>COUNTIFS('تجربه‌گرها'!$B:$B,$A1226,'تجربه‌گرها'!$F:$F,E$1)</f>
        <v>0</v>
      </c>
      <c r="F1226" s="242">
        <f>COUNTIFS('تجربه‌گرها'!$B:$B,$A1226,'تجربه‌گرها'!$F:$F,F$1)</f>
        <v>0</v>
      </c>
      <c r="G1226" s="242">
        <f>COUNTIFS('تجربه‌گرها'!$B:$B,$A1226,'تجربه‌گرها'!$F:$F,G$1)</f>
        <v>0</v>
      </c>
      <c r="H1226" s="242">
        <f>COUNTIFS('تجربه‌گرها'!$B:$B,$A1226,'تجربه‌گرها'!$F:$F,H$1)</f>
        <v>0</v>
      </c>
      <c r="I1226" s="242">
        <f>COUNTIFS('تجربه‌گرها'!$B:$B,$A1226,'تجربه‌گرها'!$F:$F,I$1)</f>
        <v>0</v>
      </c>
      <c r="J1226" s="242">
        <f>COUNTIFS('تجربه‌گرها'!$B:$B,$A1226,'تجربه‌گرها'!$F:$F,J$1)</f>
        <v>0</v>
      </c>
      <c r="K1226" s="242">
        <f>COUNTIFS('تجربه‌گرها'!$B:$B,$A1226,'تجربه‌گرها'!$F:$F,K$1)</f>
        <v>0</v>
      </c>
      <c r="L1226" s="242">
        <f>COUNTIFS('تجربه‌گرها'!$B:$B,$A1226,'تجربه‌گرها'!$F:$F,L$1)</f>
        <v>0</v>
      </c>
      <c r="M1226" s="242">
        <f>COUNTIFS('تجربه‌گرها'!$B:$B,$A1226,'تجربه‌گرها'!$F:$F,M$1)</f>
        <v>0</v>
      </c>
      <c r="N1226" s="242">
        <f>COUNTIFS('تجربه‌گرها'!$B:$B,$A1226,'تجربه‌گرها'!$F:$F,N$1)</f>
        <v>0</v>
      </c>
      <c r="O1226" s="242">
        <f>COUNTIFS('تجربه‌گرها'!$B:$B,$A1226,'تجربه‌گرها'!$F:$F,O$1)</f>
        <v>0</v>
      </c>
      <c r="P1226" s="242">
        <f>COUNTIFS('تجربه‌گرها'!$B:$B,$A1226,'تجربه‌گرها'!$F:$F,P$1)</f>
        <v>1</v>
      </c>
      <c r="Q1226" s="242">
        <f>COUNTIFS('تجربه‌گرها'!$B:$B,$A1226,'تجربه‌گرها'!$F:$F,Q$1)</f>
        <v>0</v>
      </c>
      <c r="R1226" s="242">
        <f>COUNTIFS('تجربه‌گرها'!$B:$B,$A1226,'تجربه‌گرها'!$F:$F,R$1)</f>
        <v>0</v>
      </c>
      <c r="S1226" s="242">
        <f>COUNTIFS('تجربه‌گرها'!$B:$B,$A1226,'تجربه‌گرها'!$F:$F,S$1)</f>
        <v>0</v>
      </c>
      <c r="T1226" s="242">
        <f>COUNTIFS('تجربه‌گرها'!$B:$B,$A1226,'تجربه‌گرها'!$F:$F,T$1)</f>
        <v>0</v>
      </c>
      <c r="U1226" s="242"/>
      <c r="V1226" s="242"/>
      <c r="W1226" s="242"/>
      <c r="X1226" s="242"/>
      <c r="Y1226" s="242"/>
      <c r="Z1226" s="242"/>
      <c r="AA1226" s="242"/>
      <c r="AB1226" s="242"/>
    </row>
    <row r="1227" hidden="1">
      <c r="A1227" s="244" t="s">
        <v>6076</v>
      </c>
      <c r="B1227" s="245" t="str">
        <f>VLOOKUP(A1227,'تجربه‌گرها'!B:C,2,FALSE())</f>
        <v>9122472476</v>
      </c>
      <c r="C1227" s="242"/>
      <c r="D1227" s="242">
        <f t="shared" si="1"/>
        <v>1</v>
      </c>
      <c r="E1227" s="242">
        <f>COUNTIFS('تجربه‌گرها'!$B:$B,$A1227,'تجربه‌گرها'!$F:$F,E$1)</f>
        <v>0</v>
      </c>
      <c r="F1227" s="242">
        <f>COUNTIFS('تجربه‌گرها'!$B:$B,$A1227,'تجربه‌گرها'!$F:$F,F$1)</f>
        <v>0</v>
      </c>
      <c r="G1227" s="242">
        <f>COUNTIFS('تجربه‌گرها'!$B:$B,$A1227,'تجربه‌گرها'!$F:$F,G$1)</f>
        <v>0</v>
      </c>
      <c r="H1227" s="242">
        <f>COUNTIFS('تجربه‌گرها'!$B:$B,$A1227,'تجربه‌گرها'!$F:$F,H$1)</f>
        <v>0</v>
      </c>
      <c r="I1227" s="242">
        <f>COUNTIFS('تجربه‌گرها'!$B:$B,$A1227,'تجربه‌گرها'!$F:$F,I$1)</f>
        <v>0</v>
      </c>
      <c r="J1227" s="242">
        <f>COUNTIFS('تجربه‌گرها'!$B:$B,$A1227,'تجربه‌گرها'!$F:$F,J$1)</f>
        <v>0</v>
      </c>
      <c r="K1227" s="242">
        <f>COUNTIFS('تجربه‌گرها'!$B:$B,$A1227,'تجربه‌گرها'!$F:$F,K$1)</f>
        <v>0</v>
      </c>
      <c r="L1227" s="242">
        <f>COUNTIFS('تجربه‌گرها'!$B:$B,$A1227,'تجربه‌گرها'!$F:$F,L$1)</f>
        <v>0</v>
      </c>
      <c r="M1227" s="242">
        <f>COUNTIFS('تجربه‌گرها'!$B:$B,$A1227,'تجربه‌گرها'!$F:$F,M$1)</f>
        <v>0</v>
      </c>
      <c r="N1227" s="242">
        <f>COUNTIFS('تجربه‌گرها'!$B:$B,$A1227,'تجربه‌گرها'!$F:$F,N$1)</f>
        <v>0</v>
      </c>
      <c r="O1227" s="242">
        <f>COUNTIFS('تجربه‌گرها'!$B:$B,$A1227,'تجربه‌گرها'!$F:$F,O$1)</f>
        <v>0</v>
      </c>
      <c r="P1227" s="242">
        <f>COUNTIFS('تجربه‌گرها'!$B:$B,$A1227,'تجربه‌گرها'!$F:$F,P$1)</f>
        <v>1</v>
      </c>
      <c r="Q1227" s="242">
        <f>COUNTIFS('تجربه‌گرها'!$B:$B,$A1227,'تجربه‌گرها'!$F:$F,Q$1)</f>
        <v>0</v>
      </c>
      <c r="R1227" s="242">
        <f>COUNTIFS('تجربه‌گرها'!$B:$B,$A1227,'تجربه‌گرها'!$F:$F,R$1)</f>
        <v>0</v>
      </c>
      <c r="S1227" s="242">
        <f>COUNTIFS('تجربه‌گرها'!$B:$B,$A1227,'تجربه‌گرها'!$F:$F,S$1)</f>
        <v>0</v>
      </c>
      <c r="T1227" s="242">
        <f>COUNTIFS('تجربه‌گرها'!$B:$B,$A1227,'تجربه‌گرها'!$F:$F,T$1)</f>
        <v>0</v>
      </c>
      <c r="U1227" s="242"/>
      <c r="V1227" s="242"/>
      <c r="W1227" s="242"/>
      <c r="X1227" s="242"/>
      <c r="Y1227" s="242"/>
      <c r="Z1227" s="242"/>
      <c r="AA1227" s="242"/>
      <c r="AB1227" s="242"/>
    </row>
    <row r="1228" hidden="1">
      <c r="A1228" s="244" t="s">
        <v>6080</v>
      </c>
      <c r="B1228" s="245" t="str">
        <f>VLOOKUP(A1228,'تجربه‌گرها'!B:C,2,FALSE())</f>
        <v>۹۱۹۴۴۲۳۰۶۲</v>
      </c>
      <c r="C1228" s="242"/>
      <c r="D1228" s="242">
        <f t="shared" si="1"/>
        <v>1</v>
      </c>
      <c r="E1228" s="242">
        <f>COUNTIFS('تجربه‌گرها'!$B:$B,$A1228,'تجربه‌گرها'!$F:$F,E$1)</f>
        <v>0</v>
      </c>
      <c r="F1228" s="242">
        <f>COUNTIFS('تجربه‌گرها'!$B:$B,$A1228,'تجربه‌گرها'!$F:$F,F$1)</f>
        <v>0</v>
      </c>
      <c r="G1228" s="242">
        <f>COUNTIFS('تجربه‌گرها'!$B:$B,$A1228,'تجربه‌گرها'!$F:$F,G$1)</f>
        <v>0</v>
      </c>
      <c r="H1228" s="242">
        <f>COUNTIFS('تجربه‌گرها'!$B:$B,$A1228,'تجربه‌گرها'!$F:$F,H$1)</f>
        <v>0</v>
      </c>
      <c r="I1228" s="242">
        <f>COUNTIFS('تجربه‌گرها'!$B:$B,$A1228,'تجربه‌گرها'!$F:$F,I$1)</f>
        <v>0</v>
      </c>
      <c r="J1228" s="242">
        <f>COUNTIFS('تجربه‌گرها'!$B:$B,$A1228,'تجربه‌گرها'!$F:$F,J$1)</f>
        <v>0</v>
      </c>
      <c r="K1228" s="242">
        <f>COUNTIFS('تجربه‌گرها'!$B:$B,$A1228,'تجربه‌گرها'!$F:$F,K$1)</f>
        <v>0</v>
      </c>
      <c r="L1228" s="242">
        <f>COUNTIFS('تجربه‌گرها'!$B:$B,$A1228,'تجربه‌گرها'!$F:$F,L$1)</f>
        <v>0</v>
      </c>
      <c r="M1228" s="242">
        <f>COUNTIFS('تجربه‌گرها'!$B:$B,$A1228,'تجربه‌گرها'!$F:$F,M$1)</f>
        <v>0</v>
      </c>
      <c r="N1228" s="242">
        <f>COUNTIFS('تجربه‌گرها'!$B:$B,$A1228,'تجربه‌گرها'!$F:$F,N$1)</f>
        <v>0</v>
      </c>
      <c r="O1228" s="242">
        <f>COUNTIFS('تجربه‌گرها'!$B:$B,$A1228,'تجربه‌گرها'!$F:$F,O$1)</f>
        <v>0</v>
      </c>
      <c r="P1228" s="242">
        <f>COUNTIFS('تجربه‌گرها'!$B:$B,$A1228,'تجربه‌گرها'!$F:$F,P$1)</f>
        <v>1</v>
      </c>
      <c r="Q1228" s="242">
        <f>COUNTIFS('تجربه‌گرها'!$B:$B,$A1228,'تجربه‌گرها'!$F:$F,Q$1)</f>
        <v>0</v>
      </c>
      <c r="R1228" s="242">
        <f>COUNTIFS('تجربه‌گرها'!$B:$B,$A1228,'تجربه‌گرها'!$F:$F,R$1)</f>
        <v>0</v>
      </c>
      <c r="S1228" s="242">
        <f>COUNTIFS('تجربه‌گرها'!$B:$B,$A1228,'تجربه‌گرها'!$F:$F,S$1)</f>
        <v>0</v>
      </c>
      <c r="T1228" s="242">
        <f>COUNTIFS('تجربه‌گرها'!$B:$B,$A1228,'تجربه‌گرها'!$F:$F,T$1)</f>
        <v>0</v>
      </c>
      <c r="U1228" s="242"/>
      <c r="V1228" s="242"/>
      <c r="W1228" s="242"/>
      <c r="X1228" s="242"/>
      <c r="Y1228" s="242"/>
      <c r="Z1228" s="242"/>
      <c r="AA1228" s="242"/>
      <c r="AB1228" s="242"/>
    </row>
    <row r="1229" hidden="1">
      <c r="A1229" s="244" t="s">
        <v>6083</v>
      </c>
      <c r="B1229" s="245" t="str">
        <f>VLOOKUP(A1229,'تجربه‌گرها'!B:C,2,FALSE())</f>
        <v>۹۱۲۲۵۰۱۸۵۰</v>
      </c>
      <c r="C1229" s="242"/>
      <c r="D1229" s="242">
        <f t="shared" si="1"/>
        <v>1</v>
      </c>
      <c r="E1229" s="242">
        <f>COUNTIFS('تجربه‌گرها'!$B:$B,$A1229,'تجربه‌گرها'!$F:$F,E$1)</f>
        <v>0</v>
      </c>
      <c r="F1229" s="242">
        <f>COUNTIFS('تجربه‌گرها'!$B:$B,$A1229,'تجربه‌گرها'!$F:$F,F$1)</f>
        <v>0</v>
      </c>
      <c r="G1229" s="242">
        <f>COUNTIFS('تجربه‌گرها'!$B:$B,$A1229,'تجربه‌گرها'!$F:$F,G$1)</f>
        <v>0</v>
      </c>
      <c r="H1229" s="242">
        <f>COUNTIFS('تجربه‌گرها'!$B:$B,$A1229,'تجربه‌گرها'!$F:$F,H$1)</f>
        <v>0</v>
      </c>
      <c r="I1229" s="242">
        <f>COUNTIFS('تجربه‌گرها'!$B:$B,$A1229,'تجربه‌گرها'!$F:$F,I$1)</f>
        <v>0</v>
      </c>
      <c r="J1229" s="242">
        <f>COUNTIFS('تجربه‌گرها'!$B:$B,$A1229,'تجربه‌گرها'!$F:$F,J$1)</f>
        <v>0</v>
      </c>
      <c r="K1229" s="242">
        <f>COUNTIFS('تجربه‌گرها'!$B:$B,$A1229,'تجربه‌گرها'!$F:$F,K$1)</f>
        <v>0</v>
      </c>
      <c r="L1229" s="242">
        <f>COUNTIFS('تجربه‌گرها'!$B:$B,$A1229,'تجربه‌گرها'!$F:$F,L$1)</f>
        <v>0</v>
      </c>
      <c r="M1229" s="242">
        <f>COUNTIFS('تجربه‌گرها'!$B:$B,$A1229,'تجربه‌گرها'!$F:$F,M$1)</f>
        <v>0</v>
      </c>
      <c r="N1229" s="242">
        <f>COUNTIFS('تجربه‌گرها'!$B:$B,$A1229,'تجربه‌گرها'!$F:$F,N$1)</f>
        <v>0</v>
      </c>
      <c r="O1229" s="242">
        <f>COUNTIFS('تجربه‌گرها'!$B:$B,$A1229,'تجربه‌گرها'!$F:$F,O$1)</f>
        <v>0</v>
      </c>
      <c r="P1229" s="242">
        <f>COUNTIFS('تجربه‌گرها'!$B:$B,$A1229,'تجربه‌گرها'!$F:$F,P$1)</f>
        <v>1</v>
      </c>
      <c r="Q1229" s="242">
        <f>COUNTIFS('تجربه‌گرها'!$B:$B,$A1229,'تجربه‌گرها'!$F:$F,Q$1)</f>
        <v>0</v>
      </c>
      <c r="R1229" s="242">
        <f>COUNTIFS('تجربه‌گرها'!$B:$B,$A1229,'تجربه‌گرها'!$F:$F,R$1)</f>
        <v>0</v>
      </c>
      <c r="S1229" s="242">
        <f>COUNTIFS('تجربه‌گرها'!$B:$B,$A1229,'تجربه‌گرها'!$F:$F,S$1)</f>
        <v>0</v>
      </c>
      <c r="T1229" s="242">
        <f>COUNTIFS('تجربه‌گرها'!$B:$B,$A1229,'تجربه‌گرها'!$F:$F,T$1)</f>
        <v>0</v>
      </c>
      <c r="U1229" s="242"/>
      <c r="V1229" s="242"/>
      <c r="W1229" s="242"/>
      <c r="X1229" s="242"/>
      <c r="Y1229" s="242"/>
      <c r="Z1229" s="242"/>
      <c r="AA1229" s="242"/>
      <c r="AB1229" s="242"/>
    </row>
    <row r="1230" hidden="1">
      <c r="A1230" s="244" t="s">
        <v>6087</v>
      </c>
      <c r="B1230" s="245" t="str">
        <f>VLOOKUP(A1230,'تجربه‌گرها'!B:C,2,FALSE())</f>
        <v>۰۹۰۵۶۵۰۶۵۴۰</v>
      </c>
      <c r="C1230" s="242"/>
      <c r="D1230" s="242">
        <f t="shared" si="1"/>
        <v>1</v>
      </c>
      <c r="E1230" s="242">
        <f>COUNTIFS('تجربه‌گرها'!$B:$B,$A1230,'تجربه‌گرها'!$F:$F,E$1)</f>
        <v>0</v>
      </c>
      <c r="F1230" s="242">
        <f>COUNTIFS('تجربه‌گرها'!$B:$B,$A1230,'تجربه‌گرها'!$F:$F,F$1)</f>
        <v>0</v>
      </c>
      <c r="G1230" s="242">
        <f>COUNTIFS('تجربه‌گرها'!$B:$B,$A1230,'تجربه‌گرها'!$F:$F,G$1)</f>
        <v>0</v>
      </c>
      <c r="H1230" s="242">
        <f>COUNTIFS('تجربه‌گرها'!$B:$B,$A1230,'تجربه‌گرها'!$F:$F,H$1)</f>
        <v>0</v>
      </c>
      <c r="I1230" s="242">
        <f>COUNTIFS('تجربه‌گرها'!$B:$B,$A1230,'تجربه‌گرها'!$F:$F,I$1)</f>
        <v>0</v>
      </c>
      <c r="J1230" s="242">
        <f>COUNTIFS('تجربه‌گرها'!$B:$B,$A1230,'تجربه‌گرها'!$F:$F,J$1)</f>
        <v>0</v>
      </c>
      <c r="K1230" s="242">
        <f>COUNTIFS('تجربه‌گرها'!$B:$B,$A1230,'تجربه‌گرها'!$F:$F,K$1)</f>
        <v>0</v>
      </c>
      <c r="L1230" s="242">
        <f>COUNTIFS('تجربه‌گرها'!$B:$B,$A1230,'تجربه‌گرها'!$F:$F,L$1)</f>
        <v>0</v>
      </c>
      <c r="M1230" s="242">
        <f>COUNTIFS('تجربه‌گرها'!$B:$B,$A1230,'تجربه‌گرها'!$F:$F,M$1)</f>
        <v>0</v>
      </c>
      <c r="N1230" s="242">
        <f>COUNTIFS('تجربه‌گرها'!$B:$B,$A1230,'تجربه‌گرها'!$F:$F,N$1)</f>
        <v>0</v>
      </c>
      <c r="O1230" s="242">
        <f>COUNTIFS('تجربه‌گرها'!$B:$B,$A1230,'تجربه‌گرها'!$F:$F,O$1)</f>
        <v>0</v>
      </c>
      <c r="P1230" s="242">
        <f>COUNTIFS('تجربه‌گرها'!$B:$B,$A1230,'تجربه‌گرها'!$F:$F,P$1)</f>
        <v>1</v>
      </c>
      <c r="Q1230" s="242">
        <f>COUNTIFS('تجربه‌گرها'!$B:$B,$A1230,'تجربه‌گرها'!$F:$F,Q$1)</f>
        <v>0</v>
      </c>
      <c r="R1230" s="242">
        <f>COUNTIFS('تجربه‌گرها'!$B:$B,$A1230,'تجربه‌گرها'!$F:$F,R$1)</f>
        <v>0</v>
      </c>
      <c r="S1230" s="242">
        <f>COUNTIFS('تجربه‌گرها'!$B:$B,$A1230,'تجربه‌گرها'!$F:$F,S$1)</f>
        <v>0</v>
      </c>
      <c r="T1230" s="242">
        <f>COUNTIFS('تجربه‌گرها'!$B:$B,$A1230,'تجربه‌گرها'!$F:$F,T$1)</f>
        <v>0</v>
      </c>
      <c r="U1230" s="242"/>
      <c r="V1230" s="242"/>
      <c r="W1230" s="242"/>
      <c r="X1230" s="242"/>
      <c r="Y1230" s="242"/>
      <c r="Z1230" s="242"/>
      <c r="AA1230" s="242"/>
      <c r="AB1230" s="242"/>
    </row>
    <row r="1231" hidden="1">
      <c r="A1231" s="244" t="s">
        <v>6091</v>
      </c>
      <c r="B1231" s="245" t="str">
        <f>VLOOKUP(A1231,'تجربه‌گرها'!B:C,2,FALSE())</f>
        <v>۰۹۳۹۲۵۳۲۷۵۳</v>
      </c>
      <c r="C1231" s="242"/>
      <c r="D1231" s="242">
        <f t="shared" si="1"/>
        <v>1</v>
      </c>
      <c r="E1231" s="242">
        <f>COUNTIFS('تجربه‌گرها'!$B:$B,$A1231,'تجربه‌گرها'!$F:$F,E$1)</f>
        <v>0</v>
      </c>
      <c r="F1231" s="242">
        <f>COUNTIFS('تجربه‌گرها'!$B:$B,$A1231,'تجربه‌گرها'!$F:$F,F$1)</f>
        <v>0</v>
      </c>
      <c r="G1231" s="242">
        <f>COUNTIFS('تجربه‌گرها'!$B:$B,$A1231,'تجربه‌گرها'!$F:$F,G$1)</f>
        <v>0</v>
      </c>
      <c r="H1231" s="242">
        <f>COUNTIFS('تجربه‌گرها'!$B:$B,$A1231,'تجربه‌گرها'!$F:$F,H$1)</f>
        <v>0</v>
      </c>
      <c r="I1231" s="242">
        <f>COUNTIFS('تجربه‌گرها'!$B:$B,$A1231,'تجربه‌گرها'!$F:$F,I$1)</f>
        <v>0</v>
      </c>
      <c r="J1231" s="242">
        <f>COUNTIFS('تجربه‌گرها'!$B:$B,$A1231,'تجربه‌گرها'!$F:$F,J$1)</f>
        <v>0</v>
      </c>
      <c r="K1231" s="242">
        <f>COUNTIFS('تجربه‌گرها'!$B:$B,$A1231,'تجربه‌گرها'!$F:$F,K$1)</f>
        <v>0</v>
      </c>
      <c r="L1231" s="242">
        <f>COUNTIFS('تجربه‌گرها'!$B:$B,$A1231,'تجربه‌گرها'!$F:$F,L$1)</f>
        <v>0</v>
      </c>
      <c r="M1231" s="242">
        <f>COUNTIFS('تجربه‌گرها'!$B:$B,$A1231,'تجربه‌گرها'!$F:$F,M$1)</f>
        <v>0</v>
      </c>
      <c r="N1231" s="242">
        <f>COUNTIFS('تجربه‌گرها'!$B:$B,$A1231,'تجربه‌گرها'!$F:$F,N$1)</f>
        <v>0</v>
      </c>
      <c r="O1231" s="242">
        <f>COUNTIFS('تجربه‌گرها'!$B:$B,$A1231,'تجربه‌گرها'!$F:$F,O$1)</f>
        <v>0</v>
      </c>
      <c r="P1231" s="242">
        <f>COUNTIFS('تجربه‌گرها'!$B:$B,$A1231,'تجربه‌گرها'!$F:$F,P$1)</f>
        <v>1</v>
      </c>
      <c r="Q1231" s="242">
        <f>COUNTIFS('تجربه‌گرها'!$B:$B,$A1231,'تجربه‌گرها'!$F:$F,Q$1)</f>
        <v>0</v>
      </c>
      <c r="R1231" s="242">
        <f>COUNTIFS('تجربه‌گرها'!$B:$B,$A1231,'تجربه‌گرها'!$F:$F,R$1)</f>
        <v>0</v>
      </c>
      <c r="S1231" s="242">
        <f>COUNTIFS('تجربه‌گرها'!$B:$B,$A1231,'تجربه‌گرها'!$F:$F,S$1)</f>
        <v>0</v>
      </c>
      <c r="T1231" s="242">
        <f>COUNTIFS('تجربه‌گرها'!$B:$B,$A1231,'تجربه‌گرها'!$F:$F,T$1)</f>
        <v>0</v>
      </c>
      <c r="U1231" s="242"/>
      <c r="V1231" s="242"/>
      <c r="W1231" s="242"/>
      <c r="X1231" s="242"/>
      <c r="Y1231" s="242"/>
      <c r="Z1231" s="242"/>
      <c r="AA1231" s="242"/>
      <c r="AB1231" s="242"/>
    </row>
    <row r="1232" hidden="1">
      <c r="A1232" s="244" t="s">
        <v>6094</v>
      </c>
      <c r="B1232" s="245" t="str">
        <f>VLOOKUP(A1232,'تجربه‌گرها'!B:C,2,FALSE())</f>
        <v>۹۱۲۵۹۸۴۸۶۶</v>
      </c>
      <c r="C1232" s="242"/>
      <c r="D1232" s="242">
        <f t="shared" si="1"/>
        <v>1</v>
      </c>
      <c r="E1232" s="242">
        <f>COUNTIFS('تجربه‌گرها'!$B:$B,$A1232,'تجربه‌گرها'!$F:$F,E$1)</f>
        <v>0</v>
      </c>
      <c r="F1232" s="242">
        <f>COUNTIFS('تجربه‌گرها'!$B:$B,$A1232,'تجربه‌گرها'!$F:$F,F$1)</f>
        <v>0</v>
      </c>
      <c r="G1232" s="242">
        <f>COUNTIFS('تجربه‌گرها'!$B:$B,$A1232,'تجربه‌گرها'!$F:$F,G$1)</f>
        <v>0</v>
      </c>
      <c r="H1232" s="242">
        <f>COUNTIFS('تجربه‌گرها'!$B:$B,$A1232,'تجربه‌گرها'!$F:$F,H$1)</f>
        <v>0</v>
      </c>
      <c r="I1232" s="242">
        <f>COUNTIFS('تجربه‌گرها'!$B:$B,$A1232,'تجربه‌گرها'!$F:$F,I$1)</f>
        <v>0</v>
      </c>
      <c r="J1232" s="242">
        <f>COUNTIFS('تجربه‌گرها'!$B:$B,$A1232,'تجربه‌گرها'!$F:$F,J$1)</f>
        <v>0</v>
      </c>
      <c r="K1232" s="242">
        <f>COUNTIFS('تجربه‌گرها'!$B:$B,$A1232,'تجربه‌گرها'!$F:$F,K$1)</f>
        <v>0</v>
      </c>
      <c r="L1232" s="242">
        <f>COUNTIFS('تجربه‌گرها'!$B:$B,$A1232,'تجربه‌گرها'!$F:$F,L$1)</f>
        <v>0</v>
      </c>
      <c r="M1232" s="242">
        <f>COUNTIFS('تجربه‌گرها'!$B:$B,$A1232,'تجربه‌گرها'!$F:$F,M$1)</f>
        <v>0</v>
      </c>
      <c r="N1232" s="242">
        <f>COUNTIFS('تجربه‌گرها'!$B:$B,$A1232,'تجربه‌گرها'!$F:$F,N$1)</f>
        <v>0</v>
      </c>
      <c r="O1232" s="242">
        <f>COUNTIFS('تجربه‌گرها'!$B:$B,$A1232,'تجربه‌گرها'!$F:$F,O$1)</f>
        <v>0</v>
      </c>
      <c r="P1232" s="242">
        <f>COUNTIFS('تجربه‌گرها'!$B:$B,$A1232,'تجربه‌گرها'!$F:$F,P$1)</f>
        <v>1</v>
      </c>
      <c r="Q1232" s="242">
        <f>COUNTIFS('تجربه‌گرها'!$B:$B,$A1232,'تجربه‌گرها'!$F:$F,Q$1)</f>
        <v>0</v>
      </c>
      <c r="R1232" s="242">
        <f>COUNTIFS('تجربه‌گرها'!$B:$B,$A1232,'تجربه‌گرها'!$F:$F,R$1)</f>
        <v>0</v>
      </c>
      <c r="S1232" s="242">
        <f>COUNTIFS('تجربه‌گرها'!$B:$B,$A1232,'تجربه‌گرها'!$F:$F,S$1)</f>
        <v>0</v>
      </c>
      <c r="T1232" s="242">
        <f>COUNTIFS('تجربه‌گرها'!$B:$B,$A1232,'تجربه‌گرها'!$F:$F,T$1)</f>
        <v>0</v>
      </c>
      <c r="U1232" s="242"/>
      <c r="V1232" s="242"/>
      <c r="W1232" s="242"/>
      <c r="X1232" s="242"/>
      <c r="Y1232" s="242"/>
      <c r="Z1232" s="242"/>
      <c r="AA1232" s="242"/>
      <c r="AB1232" s="242"/>
    </row>
    <row r="1233" hidden="1">
      <c r="A1233" s="244" t="s">
        <v>6097</v>
      </c>
      <c r="B1233" s="245" t="str">
        <f>VLOOKUP(A1233,'تجربه‌گرها'!B:C,2,FALSE())</f>
        <v>۰۹۱۲۹۵۶۳۳۵۳</v>
      </c>
      <c r="C1233" s="242"/>
      <c r="D1233" s="242">
        <f t="shared" si="1"/>
        <v>1</v>
      </c>
      <c r="E1233" s="242">
        <f>COUNTIFS('تجربه‌گرها'!$B:$B,$A1233,'تجربه‌گرها'!$F:$F,E$1)</f>
        <v>0</v>
      </c>
      <c r="F1233" s="242">
        <f>COUNTIFS('تجربه‌گرها'!$B:$B,$A1233,'تجربه‌گرها'!$F:$F,F$1)</f>
        <v>0</v>
      </c>
      <c r="G1233" s="242">
        <f>COUNTIFS('تجربه‌گرها'!$B:$B,$A1233,'تجربه‌گرها'!$F:$F,G$1)</f>
        <v>0</v>
      </c>
      <c r="H1233" s="242">
        <f>COUNTIFS('تجربه‌گرها'!$B:$B,$A1233,'تجربه‌گرها'!$F:$F,H$1)</f>
        <v>0</v>
      </c>
      <c r="I1233" s="242">
        <f>COUNTIFS('تجربه‌گرها'!$B:$B,$A1233,'تجربه‌گرها'!$F:$F,I$1)</f>
        <v>0</v>
      </c>
      <c r="J1233" s="242">
        <f>COUNTIFS('تجربه‌گرها'!$B:$B,$A1233,'تجربه‌گرها'!$F:$F,J$1)</f>
        <v>0</v>
      </c>
      <c r="K1233" s="242">
        <f>COUNTIFS('تجربه‌گرها'!$B:$B,$A1233,'تجربه‌گرها'!$F:$F,K$1)</f>
        <v>0</v>
      </c>
      <c r="L1233" s="242">
        <f>COUNTIFS('تجربه‌گرها'!$B:$B,$A1233,'تجربه‌گرها'!$F:$F,L$1)</f>
        <v>0</v>
      </c>
      <c r="M1233" s="242">
        <f>COUNTIFS('تجربه‌گرها'!$B:$B,$A1233,'تجربه‌گرها'!$F:$F,M$1)</f>
        <v>0</v>
      </c>
      <c r="N1233" s="242">
        <f>COUNTIFS('تجربه‌گرها'!$B:$B,$A1233,'تجربه‌گرها'!$F:$F,N$1)</f>
        <v>0</v>
      </c>
      <c r="O1233" s="242">
        <f>COUNTIFS('تجربه‌گرها'!$B:$B,$A1233,'تجربه‌گرها'!$F:$F,O$1)</f>
        <v>0</v>
      </c>
      <c r="P1233" s="242">
        <f>COUNTIFS('تجربه‌گرها'!$B:$B,$A1233,'تجربه‌گرها'!$F:$F,P$1)</f>
        <v>1</v>
      </c>
      <c r="Q1233" s="242">
        <f>COUNTIFS('تجربه‌گرها'!$B:$B,$A1233,'تجربه‌گرها'!$F:$F,Q$1)</f>
        <v>0</v>
      </c>
      <c r="R1233" s="242">
        <f>COUNTIFS('تجربه‌گرها'!$B:$B,$A1233,'تجربه‌گرها'!$F:$F,R$1)</f>
        <v>0</v>
      </c>
      <c r="S1233" s="242">
        <f>COUNTIFS('تجربه‌گرها'!$B:$B,$A1233,'تجربه‌گرها'!$F:$F,S$1)</f>
        <v>0</v>
      </c>
      <c r="T1233" s="242">
        <f>COUNTIFS('تجربه‌گرها'!$B:$B,$A1233,'تجربه‌گرها'!$F:$F,T$1)</f>
        <v>0</v>
      </c>
      <c r="U1233" s="242"/>
      <c r="V1233" s="242"/>
      <c r="W1233" s="242"/>
      <c r="X1233" s="242"/>
      <c r="Y1233" s="242"/>
      <c r="Z1233" s="242"/>
      <c r="AA1233" s="242"/>
      <c r="AB1233" s="242"/>
    </row>
    <row r="1234" hidden="1">
      <c r="A1234" s="244" t="s">
        <v>6101</v>
      </c>
      <c r="B1234" s="245" t="str">
        <f>VLOOKUP(A1234,'تجربه‌گرها'!B:C,2,FALSE())</f>
        <v>۰۹۱۲۹۱۰۶۳۴۸</v>
      </c>
      <c r="C1234" s="242"/>
      <c r="D1234" s="242">
        <f t="shared" si="1"/>
        <v>1</v>
      </c>
      <c r="E1234" s="242">
        <f>COUNTIFS('تجربه‌گرها'!$B:$B,$A1234,'تجربه‌گرها'!$F:$F,E$1)</f>
        <v>0</v>
      </c>
      <c r="F1234" s="242">
        <f>COUNTIFS('تجربه‌گرها'!$B:$B,$A1234,'تجربه‌گرها'!$F:$F,F$1)</f>
        <v>0</v>
      </c>
      <c r="G1234" s="242">
        <f>COUNTIFS('تجربه‌گرها'!$B:$B,$A1234,'تجربه‌گرها'!$F:$F,G$1)</f>
        <v>0</v>
      </c>
      <c r="H1234" s="242">
        <f>COUNTIFS('تجربه‌گرها'!$B:$B,$A1234,'تجربه‌گرها'!$F:$F,H$1)</f>
        <v>0</v>
      </c>
      <c r="I1234" s="242">
        <f>COUNTIFS('تجربه‌گرها'!$B:$B,$A1234,'تجربه‌گرها'!$F:$F,I$1)</f>
        <v>0</v>
      </c>
      <c r="J1234" s="242">
        <f>COUNTIFS('تجربه‌گرها'!$B:$B,$A1234,'تجربه‌گرها'!$F:$F,J$1)</f>
        <v>0</v>
      </c>
      <c r="K1234" s="242">
        <f>COUNTIFS('تجربه‌گرها'!$B:$B,$A1234,'تجربه‌گرها'!$F:$F,K$1)</f>
        <v>0</v>
      </c>
      <c r="L1234" s="242">
        <f>COUNTIFS('تجربه‌گرها'!$B:$B,$A1234,'تجربه‌گرها'!$F:$F,L$1)</f>
        <v>0</v>
      </c>
      <c r="M1234" s="242">
        <f>COUNTIFS('تجربه‌گرها'!$B:$B,$A1234,'تجربه‌گرها'!$F:$F,M$1)</f>
        <v>0</v>
      </c>
      <c r="N1234" s="242">
        <f>COUNTIFS('تجربه‌گرها'!$B:$B,$A1234,'تجربه‌گرها'!$F:$F,N$1)</f>
        <v>0</v>
      </c>
      <c r="O1234" s="242">
        <f>COUNTIFS('تجربه‌گرها'!$B:$B,$A1234,'تجربه‌گرها'!$F:$F,O$1)</f>
        <v>0</v>
      </c>
      <c r="P1234" s="242">
        <f>COUNTIFS('تجربه‌گرها'!$B:$B,$A1234,'تجربه‌گرها'!$F:$F,P$1)</f>
        <v>1</v>
      </c>
      <c r="Q1234" s="242">
        <f>COUNTIFS('تجربه‌گرها'!$B:$B,$A1234,'تجربه‌گرها'!$F:$F,Q$1)</f>
        <v>0</v>
      </c>
      <c r="R1234" s="242">
        <f>COUNTIFS('تجربه‌گرها'!$B:$B,$A1234,'تجربه‌گرها'!$F:$F,R$1)</f>
        <v>0</v>
      </c>
      <c r="S1234" s="242">
        <f>COUNTIFS('تجربه‌گرها'!$B:$B,$A1234,'تجربه‌گرها'!$F:$F,S$1)</f>
        <v>0</v>
      </c>
      <c r="T1234" s="242">
        <f>COUNTIFS('تجربه‌گرها'!$B:$B,$A1234,'تجربه‌گرها'!$F:$F,T$1)</f>
        <v>0</v>
      </c>
      <c r="U1234" s="242"/>
      <c r="V1234" s="242"/>
      <c r="W1234" s="242"/>
      <c r="X1234" s="242"/>
      <c r="Y1234" s="242"/>
      <c r="Z1234" s="242"/>
      <c r="AA1234" s="242"/>
      <c r="AB1234" s="242"/>
    </row>
    <row r="1235" hidden="1">
      <c r="A1235" s="244" t="s">
        <v>6106</v>
      </c>
      <c r="B1235" s="245" t="str">
        <f>VLOOKUP(A1235,'تجربه‌گرها'!B:C,2,FALSE())</f>
        <v>۰۹۰۱۰۶۹۳۳۲۳</v>
      </c>
      <c r="C1235" s="242"/>
      <c r="D1235" s="242">
        <f t="shared" si="1"/>
        <v>1</v>
      </c>
      <c r="E1235" s="242">
        <f>COUNTIFS('تجربه‌گرها'!$B:$B,$A1235,'تجربه‌گرها'!$F:$F,E$1)</f>
        <v>0</v>
      </c>
      <c r="F1235" s="242">
        <f>COUNTIFS('تجربه‌گرها'!$B:$B,$A1235,'تجربه‌گرها'!$F:$F,F$1)</f>
        <v>0</v>
      </c>
      <c r="G1235" s="242">
        <f>COUNTIFS('تجربه‌گرها'!$B:$B,$A1235,'تجربه‌گرها'!$F:$F,G$1)</f>
        <v>0</v>
      </c>
      <c r="H1235" s="242">
        <f>COUNTIFS('تجربه‌گرها'!$B:$B,$A1235,'تجربه‌گرها'!$F:$F,H$1)</f>
        <v>0</v>
      </c>
      <c r="I1235" s="242">
        <f>COUNTIFS('تجربه‌گرها'!$B:$B,$A1235,'تجربه‌گرها'!$F:$F,I$1)</f>
        <v>0</v>
      </c>
      <c r="J1235" s="242">
        <f>COUNTIFS('تجربه‌گرها'!$B:$B,$A1235,'تجربه‌گرها'!$F:$F,J$1)</f>
        <v>0</v>
      </c>
      <c r="K1235" s="242">
        <f>COUNTIFS('تجربه‌گرها'!$B:$B,$A1235,'تجربه‌گرها'!$F:$F,K$1)</f>
        <v>0</v>
      </c>
      <c r="L1235" s="242">
        <f>COUNTIFS('تجربه‌گرها'!$B:$B,$A1235,'تجربه‌گرها'!$F:$F,L$1)</f>
        <v>0</v>
      </c>
      <c r="M1235" s="242">
        <f>COUNTIFS('تجربه‌گرها'!$B:$B,$A1235,'تجربه‌گرها'!$F:$F,M$1)</f>
        <v>0</v>
      </c>
      <c r="N1235" s="242">
        <f>COUNTIFS('تجربه‌گرها'!$B:$B,$A1235,'تجربه‌گرها'!$F:$F,N$1)</f>
        <v>0</v>
      </c>
      <c r="O1235" s="242">
        <f>COUNTIFS('تجربه‌گرها'!$B:$B,$A1235,'تجربه‌گرها'!$F:$F,O$1)</f>
        <v>0</v>
      </c>
      <c r="P1235" s="242">
        <f>COUNTIFS('تجربه‌گرها'!$B:$B,$A1235,'تجربه‌گرها'!$F:$F,P$1)</f>
        <v>1</v>
      </c>
      <c r="Q1235" s="242">
        <f>COUNTIFS('تجربه‌گرها'!$B:$B,$A1235,'تجربه‌گرها'!$F:$F,Q$1)</f>
        <v>0</v>
      </c>
      <c r="R1235" s="242">
        <f>COUNTIFS('تجربه‌گرها'!$B:$B,$A1235,'تجربه‌گرها'!$F:$F,R$1)</f>
        <v>0</v>
      </c>
      <c r="S1235" s="242">
        <f>COUNTIFS('تجربه‌گرها'!$B:$B,$A1235,'تجربه‌گرها'!$F:$F,S$1)</f>
        <v>0</v>
      </c>
      <c r="T1235" s="242">
        <f>COUNTIFS('تجربه‌گرها'!$B:$B,$A1235,'تجربه‌گرها'!$F:$F,T$1)</f>
        <v>0</v>
      </c>
      <c r="U1235" s="242"/>
      <c r="V1235" s="242"/>
      <c r="W1235" s="242"/>
      <c r="X1235" s="242"/>
      <c r="Y1235" s="242"/>
      <c r="Z1235" s="242"/>
      <c r="AA1235" s="242"/>
      <c r="AB1235" s="242"/>
    </row>
    <row r="1236" hidden="1">
      <c r="A1236" s="244" t="s">
        <v>6110</v>
      </c>
      <c r="B1236" s="245" t="str">
        <f>VLOOKUP(A1236,'تجربه‌گرها'!B:C,2,FALSE())</f>
        <v>۰۹۳۰۲۹۳۲۰۳۳</v>
      </c>
      <c r="C1236" s="242"/>
      <c r="D1236" s="242">
        <f t="shared" si="1"/>
        <v>1</v>
      </c>
      <c r="E1236" s="242">
        <f>COUNTIFS('تجربه‌گرها'!$B:$B,$A1236,'تجربه‌گرها'!$F:$F,E$1)</f>
        <v>0</v>
      </c>
      <c r="F1236" s="242">
        <f>COUNTIFS('تجربه‌گرها'!$B:$B,$A1236,'تجربه‌گرها'!$F:$F,F$1)</f>
        <v>0</v>
      </c>
      <c r="G1236" s="242">
        <f>COUNTIFS('تجربه‌گرها'!$B:$B,$A1236,'تجربه‌گرها'!$F:$F,G$1)</f>
        <v>0</v>
      </c>
      <c r="H1236" s="242">
        <f>COUNTIFS('تجربه‌گرها'!$B:$B,$A1236,'تجربه‌گرها'!$F:$F,H$1)</f>
        <v>0</v>
      </c>
      <c r="I1236" s="242">
        <f>COUNTIFS('تجربه‌گرها'!$B:$B,$A1236,'تجربه‌گرها'!$F:$F,I$1)</f>
        <v>0</v>
      </c>
      <c r="J1236" s="242">
        <f>COUNTIFS('تجربه‌گرها'!$B:$B,$A1236,'تجربه‌گرها'!$F:$F,J$1)</f>
        <v>0</v>
      </c>
      <c r="K1236" s="242">
        <f>COUNTIFS('تجربه‌گرها'!$B:$B,$A1236,'تجربه‌گرها'!$F:$F,K$1)</f>
        <v>0</v>
      </c>
      <c r="L1236" s="242">
        <f>COUNTIFS('تجربه‌گرها'!$B:$B,$A1236,'تجربه‌گرها'!$F:$F,L$1)</f>
        <v>0</v>
      </c>
      <c r="M1236" s="242">
        <f>COUNTIFS('تجربه‌گرها'!$B:$B,$A1236,'تجربه‌گرها'!$F:$F,M$1)</f>
        <v>0</v>
      </c>
      <c r="N1236" s="242">
        <f>COUNTIFS('تجربه‌گرها'!$B:$B,$A1236,'تجربه‌گرها'!$F:$F,N$1)</f>
        <v>0</v>
      </c>
      <c r="O1236" s="242">
        <f>COUNTIFS('تجربه‌گرها'!$B:$B,$A1236,'تجربه‌گرها'!$F:$F,O$1)</f>
        <v>0</v>
      </c>
      <c r="P1236" s="242">
        <f>COUNTIFS('تجربه‌گرها'!$B:$B,$A1236,'تجربه‌گرها'!$F:$F,P$1)</f>
        <v>1</v>
      </c>
      <c r="Q1236" s="242">
        <f>COUNTIFS('تجربه‌گرها'!$B:$B,$A1236,'تجربه‌گرها'!$F:$F,Q$1)</f>
        <v>0</v>
      </c>
      <c r="R1236" s="242">
        <f>COUNTIFS('تجربه‌گرها'!$B:$B,$A1236,'تجربه‌گرها'!$F:$F,R$1)</f>
        <v>0</v>
      </c>
      <c r="S1236" s="242">
        <f>COUNTIFS('تجربه‌گرها'!$B:$B,$A1236,'تجربه‌گرها'!$F:$F,S$1)</f>
        <v>0</v>
      </c>
      <c r="T1236" s="242">
        <f>COUNTIFS('تجربه‌گرها'!$B:$B,$A1236,'تجربه‌گرها'!$F:$F,T$1)</f>
        <v>0</v>
      </c>
      <c r="U1236" s="242"/>
      <c r="V1236" s="242"/>
      <c r="W1236" s="242"/>
      <c r="X1236" s="242"/>
      <c r="Y1236" s="242"/>
      <c r="Z1236" s="242"/>
      <c r="AA1236" s="242"/>
      <c r="AB1236" s="242"/>
    </row>
    <row r="1237" hidden="1">
      <c r="A1237" s="244" t="s">
        <v>6114</v>
      </c>
      <c r="B1237" s="245" t="str">
        <f>VLOOKUP(A1237,'تجربه‌گرها'!B:C,2,FALSE())</f>
        <v>۰۹۱۹۵۰۶۱۲۹۰</v>
      </c>
      <c r="C1237" s="242"/>
      <c r="D1237" s="242">
        <f t="shared" si="1"/>
        <v>1</v>
      </c>
      <c r="E1237" s="242">
        <f>COUNTIFS('تجربه‌گرها'!$B:$B,$A1237,'تجربه‌گرها'!$F:$F,E$1)</f>
        <v>0</v>
      </c>
      <c r="F1237" s="242">
        <f>COUNTIFS('تجربه‌گرها'!$B:$B,$A1237,'تجربه‌گرها'!$F:$F,F$1)</f>
        <v>0</v>
      </c>
      <c r="G1237" s="242">
        <f>COUNTIFS('تجربه‌گرها'!$B:$B,$A1237,'تجربه‌گرها'!$F:$F,G$1)</f>
        <v>0</v>
      </c>
      <c r="H1237" s="242">
        <f>COUNTIFS('تجربه‌گرها'!$B:$B,$A1237,'تجربه‌گرها'!$F:$F,H$1)</f>
        <v>0</v>
      </c>
      <c r="I1237" s="242">
        <f>COUNTIFS('تجربه‌گرها'!$B:$B,$A1237,'تجربه‌گرها'!$F:$F,I$1)</f>
        <v>0</v>
      </c>
      <c r="J1237" s="242">
        <f>COUNTIFS('تجربه‌گرها'!$B:$B,$A1237,'تجربه‌گرها'!$F:$F,J$1)</f>
        <v>0</v>
      </c>
      <c r="K1237" s="242">
        <f>COUNTIFS('تجربه‌گرها'!$B:$B,$A1237,'تجربه‌گرها'!$F:$F,K$1)</f>
        <v>0</v>
      </c>
      <c r="L1237" s="242">
        <f>COUNTIFS('تجربه‌گرها'!$B:$B,$A1237,'تجربه‌گرها'!$F:$F,L$1)</f>
        <v>0</v>
      </c>
      <c r="M1237" s="242">
        <f>COUNTIFS('تجربه‌گرها'!$B:$B,$A1237,'تجربه‌گرها'!$F:$F,M$1)</f>
        <v>0</v>
      </c>
      <c r="N1237" s="242">
        <f>COUNTIFS('تجربه‌گرها'!$B:$B,$A1237,'تجربه‌گرها'!$F:$F,N$1)</f>
        <v>0</v>
      </c>
      <c r="O1237" s="242">
        <f>COUNTIFS('تجربه‌گرها'!$B:$B,$A1237,'تجربه‌گرها'!$F:$F,O$1)</f>
        <v>0</v>
      </c>
      <c r="P1237" s="242">
        <f>COUNTIFS('تجربه‌گرها'!$B:$B,$A1237,'تجربه‌گرها'!$F:$F,P$1)</f>
        <v>1</v>
      </c>
      <c r="Q1237" s="242">
        <f>COUNTIFS('تجربه‌گرها'!$B:$B,$A1237,'تجربه‌گرها'!$F:$F,Q$1)</f>
        <v>0</v>
      </c>
      <c r="R1237" s="242">
        <f>COUNTIFS('تجربه‌گرها'!$B:$B,$A1237,'تجربه‌گرها'!$F:$F,R$1)</f>
        <v>0</v>
      </c>
      <c r="S1237" s="242">
        <f>COUNTIFS('تجربه‌گرها'!$B:$B,$A1237,'تجربه‌گرها'!$F:$F,S$1)</f>
        <v>0</v>
      </c>
      <c r="T1237" s="242">
        <f>COUNTIFS('تجربه‌گرها'!$B:$B,$A1237,'تجربه‌گرها'!$F:$F,T$1)</f>
        <v>0</v>
      </c>
      <c r="U1237" s="242"/>
      <c r="V1237" s="242"/>
      <c r="W1237" s="242"/>
      <c r="X1237" s="242"/>
      <c r="Y1237" s="242"/>
      <c r="Z1237" s="242"/>
      <c r="AA1237" s="242"/>
      <c r="AB1237" s="242"/>
    </row>
    <row r="1238" hidden="1">
      <c r="A1238" s="244" t="s">
        <v>6119</v>
      </c>
      <c r="B1238" s="245" t="str">
        <f>VLOOKUP(A1238,'تجربه‌گرها'!B:C,2,FALSE())</f>
        <v>۰۹۱۲۳۳۳۵۷۲۳</v>
      </c>
      <c r="C1238" s="242"/>
      <c r="D1238" s="242">
        <f t="shared" si="1"/>
        <v>1</v>
      </c>
      <c r="E1238" s="242">
        <f>COUNTIFS('تجربه‌گرها'!$B:$B,$A1238,'تجربه‌گرها'!$F:$F,E$1)</f>
        <v>0</v>
      </c>
      <c r="F1238" s="242">
        <f>COUNTIFS('تجربه‌گرها'!$B:$B,$A1238,'تجربه‌گرها'!$F:$F,F$1)</f>
        <v>0</v>
      </c>
      <c r="G1238" s="242">
        <f>COUNTIFS('تجربه‌گرها'!$B:$B,$A1238,'تجربه‌گرها'!$F:$F,G$1)</f>
        <v>0</v>
      </c>
      <c r="H1238" s="242">
        <f>COUNTIFS('تجربه‌گرها'!$B:$B,$A1238,'تجربه‌گرها'!$F:$F,H$1)</f>
        <v>0</v>
      </c>
      <c r="I1238" s="242">
        <f>COUNTIFS('تجربه‌گرها'!$B:$B,$A1238,'تجربه‌گرها'!$F:$F,I$1)</f>
        <v>0</v>
      </c>
      <c r="J1238" s="242">
        <f>COUNTIFS('تجربه‌گرها'!$B:$B,$A1238,'تجربه‌گرها'!$F:$F,J$1)</f>
        <v>0</v>
      </c>
      <c r="K1238" s="242">
        <f>COUNTIFS('تجربه‌گرها'!$B:$B,$A1238,'تجربه‌گرها'!$F:$F,K$1)</f>
        <v>0</v>
      </c>
      <c r="L1238" s="242">
        <f>COUNTIFS('تجربه‌گرها'!$B:$B,$A1238,'تجربه‌گرها'!$F:$F,L$1)</f>
        <v>0</v>
      </c>
      <c r="M1238" s="242">
        <f>COUNTIFS('تجربه‌گرها'!$B:$B,$A1238,'تجربه‌گرها'!$F:$F,M$1)</f>
        <v>0</v>
      </c>
      <c r="N1238" s="242">
        <f>COUNTIFS('تجربه‌گرها'!$B:$B,$A1238,'تجربه‌گرها'!$F:$F,N$1)</f>
        <v>0</v>
      </c>
      <c r="O1238" s="242">
        <f>COUNTIFS('تجربه‌گرها'!$B:$B,$A1238,'تجربه‌گرها'!$F:$F,O$1)</f>
        <v>0</v>
      </c>
      <c r="P1238" s="242">
        <f>COUNTIFS('تجربه‌گرها'!$B:$B,$A1238,'تجربه‌گرها'!$F:$F,P$1)</f>
        <v>1</v>
      </c>
      <c r="Q1238" s="242">
        <f>COUNTIFS('تجربه‌گرها'!$B:$B,$A1238,'تجربه‌گرها'!$F:$F,Q$1)</f>
        <v>0</v>
      </c>
      <c r="R1238" s="242">
        <f>COUNTIFS('تجربه‌گرها'!$B:$B,$A1238,'تجربه‌گرها'!$F:$F,R$1)</f>
        <v>0</v>
      </c>
      <c r="S1238" s="242">
        <f>COUNTIFS('تجربه‌گرها'!$B:$B,$A1238,'تجربه‌گرها'!$F:$F,S$1)</f>
        <v>0</v>
      </c>
      <c r="T1238" s="242">
        <f>COUNTIFS('تجربه‌گرها'!$B:$B,$A1238,'تجربه‌گرها'!$F:$F,T$1)</f>
        <v>0</v>
      </c>
      <c r="U1238" s="242"/>
      <c r="V1238" s="242"/>
      <c r="W1238" s="242"/>
      <c r="X1238" s="242"/>
      <c r="Y1238" s="242"/>
      <c r="Z1238" s="242"/>
      <c r="AA1238" s="242"/>
      <c r="AB1238" s="242"/>
    </row>
    <row r="1239" hidden="1">
      <c r="A1239" s="244" t="s">
        <v>6123</v>
      </c>
      <c r="B1239" s="245" t="str">
        <f>VLOOKUP(A1239,'تجربه‌گرها'!B:C,2,FALSE())</f>
        <v>۰۹۳۵۷۲۵۸۰۱۸</v>
      </c>
      <c r="C1239" s="242"/>
      <c r="D1239" s="242">
        <f t="shared" si="1"/>
        <v>1</v>
      </c>
      <c r="E1239" s="242">
        <f>COUNTIFS('تجربه‌گرها'!$B:$B,$A1239,'تجربه‌گرها'!$F:$F,E$1)</f>
        <v>0</v>
      </c>
      <c r="F1239" s="242">
        <f>COUNTIFS('تجربه‌گرها'!$B:$B,$A1239,'تجربه‌گرها'!$F:$F,F$1)</f>
        <v>0</v>
      </c>
      <c r="G1239" s="242">
        <f>COUNTIFS('تجربه‌گرها'!$B:$B,$A1239,'تجربه‌گرها'!$F:$F,G$1)</f>
        <v>0</v>
      </c>
      <c r="H1239" s="242">
        <f>COUNTIFS('تجربه‌گرها'!$B:$B,$A1239,'تجربه‌گرها'!$F:$F,H$1)</f>
        <v>0</v>
      </c>
      <c r="I1239" s="242">
        <f>COUNTIFS('تجربه‌گرها'!$B:$B,$A1239,'تجربه‌گرها'!$F:$F,I$1)</f>
        <v>0</v>
      </c>
      <c r="J1239" s="242">
        <f>COUNTIFS('تجربه‌گرها'!$B:$B,$A1239,'تجربه‌گرها'!$F:$F,J$1)</f>
        <v>0</v>
      </c>
      <c r="K1239" s="242">
        <f>COUNTIFS('تجربه‌گرها'!$B:$B,$A1239,'تجربه‌گرها'!$F:$F,K$1)</f>
        <v>0</v>
      </c>
      <c r="L1239" s="242">
        <f>COUNTIFS('تجربه‌گرها'!$B:$B,$A1239,'تجربه‌گرها'!$F:$F,L$1)</f>
        <v>0</v>
      </c>
      <c r="M1239" s="242">
        <f>COUNTIFS('تجربه‌گرها'!$B:$B,$A1239,'تجربه‌گرها'!$F:$F,M$1)</f>
        <v>0</v>
      </c>
      <c r="N1239" s="242">
        <f>COUNTIFS('تجربه‌گرها'!$B:$B,$A1239,'تجربه‌گرها'!$F:$F,N$1)</f>
        <v>0</v>
      </c>
      <c r="O1239" s="242">
        <f>COUNTIFS('تجربه‌گرها'!$B:$B,$A1239,'تجربه‌گرها'!$F:$F,O$1)</f>
        <v>0</v>
      </c>
      <c r="P1239" s="242">
        <f>COUNTIFS('تجربه‌گرها'!$B:$B,$A1239,'تجربه‌گرها'!$F:$F,P$1)</f>
        <v>1</v>
      </c>
      <c r="Q1239" s="242">
        <f>COUNTIFS('تجربه‌گرها'!$B:$B,$A1239,'تجربه‌گرها'!$F:$F,Q$1)</f>
        <v>0</v>
      </c>
      <c r="R1239" s="242">
        <f>COUNTIFS('تجربه‌گرها'!$B:$B,$A1239,'تجربه‌گرها'!$F:$F,R$1)</f>
        <v>0</v>
      </c>
      <c r="S1239" s="242">
        <f>COUNTIFS('تجربه‌گرها'!$B:$B,$A1239,'تجربه‌گرها'!$F:$F,S$1)</f>
        <v>0</v>
      </c>
      <c r="T1239" s="242">
        <f>COUNTIFS('تجربه‌گرها'!$B:$B,$A1239,'تجربه‌گرها'!$F:$F,T$1)</f>
        <v>0</v>
      </c>
      <c r="U1239" s="242"/>
      <c r="V1239" s="242"/>
      <c r="W1239" s="242"/>
      <c r="X1239" s="242"/>
      <c r="Y1239" s="242"/>
      <c r="Z1239" s="242"/>
      <c r="AA1239" s="242"/>
      <c r="AB1239" s="242"/>
    </row>
    <row r="1240" hidden="1">
      <c r="A1240" s="244" t="s">
        <v>6126</v>
      </c>
      <c r="B1240" s="245" t="str">
        <f>VLOOKUP(A1240,'تجربه‌گرها'!B:C,2,FALSE())</f>
        <v>۰۹۱۲۱۶۳۳۴۲۳</v>
      </c>
      <c r="C1240" s="242"/>
      <c r="D1240" s="242">
        <f t="shared" si="1"/>
        <v>3</v>
      </c>
      <c r="E1240" s="242">
        <f>COUNTIFS('تجربه‌گرها'!$B:$B,$A1240,'تجربه‌گرها'!$F:$F,E$1)</f>
        <v>0</v>
      </c>
      <c r="F1240" s="242">
        <f>COUNTIFS('تجربه‌گرها'!$B:$B,$A1240,'تجربه‌گرها'!$F:$F,F$1)</f>
        <v>0</v>
      </c>
      <c r="G1240" s="242">
        <f>COUNTIFS('تجربه‌گرها'!$B:$B,$A1240,'تجربه‌گرها'!$F:$F,G$1)</f>
        <v>0</v>
      </c>
      <c r="H1240" s="242">
        <f>COUNTIFS('تجربه‌گرها'!$B:$B,$A1240,'تجربه‌گرها'!$F:$F,H$1)</f>
        <v>0</v>
      </c>
      <c r="I1240" s="242">
        <f>COUNTIFS('تجربه‌گرها'!$B:$B,$A1240,'تجربه‌گرها'!$F:$F,I$1)</f>
        <v>0</v>
      </c>
      <c r="J1240" s="242">
        <f>COUNTIFS('تجربه‌گرها'!$B:$B,$A1240,'تجربه‌گرها'!$F:$F,J$1)</f>
        <v>0</v>
      </c>
      <c r="K1240" s="242">
        <f>COUNTIFS('تجربه‌گرها'!$B:$B,$A1240,'تجربه‌گرها'!$F:$F,K$1)</f>
        <v>0</v>
      </c>
      <c r="L1240" s="242">
        <f>COUNTIFS('تجربه‌گرها'!$B:$B,$A1240,'تجربه‌گرها'!$F:$F,L$1)</f>
        <v>0</v>
      </c>
      <c r="M1240" s="242">
        <f>COUNTIFS('تجربه‌گرها'!$B:$B,$A1240,'تجربه‌گرها'!$F:$F,M$1)</f>
        <v>0</v>
      </c>
      <c r="N1240" s="242">
        <f>COUNTIFS('تجربه‌گرها'!$B:$B,$A1240,'تجربه‌گرها'!$F:$F,N$1)</f>
        <v>0</v>
      </c>
      <c r="O1240" s="242">
        <f>COUNTIFS('تجربه‌گرها'!$B:$B,$A1240,'تجربه‌گرها'!$F:$F,O$1)</f>
        <v>0</v>
      </c>
      <c r="P1240" s="242">
        <f>COUNTIFS('تجربه‌گرها'!$B:$B,$A1240,'تجربه‌گرها'!$F:$F,P$1)</f>
        <v>1</v>
      </c>
      <c r="Q1240" s="242">
        <f>COUNTIFS('تجربه‌گرها'!$B:$B,$A1240,'تجربه‌گرها'!$F:$F,Q$1)</f>
        <v>1</v>
      </c>
      <c r="R1240" s="242">
        <f>COUNTIFS('تجربه‌گرها'!$B:$B,$A1240,'تجربه‌گرها'!$F:$F,R$1)</f>
        <v>0</v>
      </c>
      <c r="S1240" s="242">
        <f>COUNTIFS('تجربه‌گرها'!$B:$B,$A1240,'تجربه‌گرها'!$F:$F,S$1)</f>
        <v>0</v>
      </c>
      <c r="T1240" s="242">
        <f>COUNTIFS('تجربه‌گرها'!$B:$B,$A1240,'تجربه‌گرها'!$F:$F,T$1)</f>
        <v>1</v>
      </c>
      <c r="U1240" s="242"/>
      <c r="V1240" s="242"/>
      <c r="W1240" s="242"/>
      <c r="X1240" s="242"/>
      <c r="Y1240" s="242"/>
      <c r="Z1240" s="242"/>
      <c r="AA1240" s="242"/>
      <c r="AB1240" s="242"/>
    </row>
    <row r="1241" hidden="1">
      <c r="A1241" s="244" t="s">
        <v>6131</v>
      </c>
      <c r="B1241" s="245" t="str">
        <f>VLOOKUP(A1241,'تجربه‌گرها'!B:C,2,FALSE())</f>
        <v>۰۹۱۲۳۶۴۵۰۵۳</v>
      </c>
      <c r="C1241" s="242"/>
      <c r="D1241" s="242">
        <f t="shared" si="1"/>
        <v>1</v>
      </c>
      <c r="E1241" s="242">
        <f>COUNTIFS('تجربه‌گرها'!$B:$B,$A1241,'تجربه‌گرها'!$F:$F,E$1)</f>
        <v>0</v>
      </c>
      <c r="F1241" s="242">
        <f>COUNTIFS('تجربه‌گرها'!$B:$B,$A1241,'تجربه‌گرها'!$F:$F,F$1)</f>
        <v>0</v>
      </c>
      <c r="G1241" s="242">
        <f>COUNTIFS('تجربه‌گرها'!$B:$B,$A1241,'تجربه‌گرها'!$F:$F,G$1)</f>
        <v>0</v>
      </c>
      <c r="H1241" s="242">
        <f>COUNTIFS('تجربه‌گرها'!$B:$B,$A1241,'تجربه‌گرها'!$F:$F,H$1)</f>
        <v>0</v>
      </c>
      <c r="I1241" s="242">
        <f>COUNTIFS('تجربه‌گرها'!$B:$B,$A1241,'تجربه‌گرها'!$F:$F,I$1)</f>
        <v>0</v>
      </c>
      <c r="J1241" s="242">
        <f>COUNTIFS('تجربه‌گرها'!$B:$B,$A1241,'تجربه‌گرها'!$F:$F,J$1)</f>
        <v>0</v>
      </c>
      <c r="K1241" s="242">
        <f>COUNTIFS('تجربه‌گرها'!$B:$B,$A1241,'تجربه‌گرها'!$F:$F,K$1)</f>
        <v>0</v>
      </c>
      <c r="L1241" s="242">
        <f>COUNTIFS('تجربه‌گرها'!$B:$B,$A1241,'تجربه‌گرها'!$F:$F,L$1)</f>
        <v>0</v>
      </c>
      <c r="M1241" s="242">
        <f>COUNTIFS('تجربه‌گرها'!$B:$B,$A1241,'تجربه‌گرها'!$F:$F,M$1)</f>
        <v>0</v>
      </c>
      <c r="N1241" s="242">
        <f>COUNTIFS('تجربه‌گرها'!$B:$B,$A1241,'تجربه‌گرها'!$F:$F,N$1)</f>
        <v>0</v>
      </c>
      <c r="O1241" s="242">
        <f>COUNTIFS('تجربه‌گرها'!$B:$B,$A1241,'تجربه‌گرها'!$F:$F,O$1)</f>
        <v>0</v>
      </c>
      <c r="P1241" s="242">
        <f>COUNTIFS('تجربه‌گرها'!$B:$B,$A1241,'تجربه‌گرها'!$F:$F,P$1)</f>
        <v>1</v>
      </c>
      <c r="Q1241" s="242">
        <f>COUNTIFS('تجربه‌گرها'!$B:$B,$A1241,'تجربه‌گرها'!$F:$F,Q$1)</f>
        <v>0</v>
      </c>
      <c r="R1241" s="242">
        <f>COUNTIFS('تجربه‌گرها'!$B:$B,$A1241,'تجربه‌گرها'!$F:$F,R$1)</f>
        <v>0</v>
      </c>
      <c r="S1241" s="242">
        <f>COUNTIFS('تجربه‌گرها'!$B:$B,$A1241,'تجربه‌گرها'!$F:$F,S$1)</f>
        <v>0</v>
      </c>
      <c r="T1241" s="242">
        <f>COUNTIFS('تجربه‌گرها'!$B:$B,$A1241,'تجربه‌گرها'!$F:$F,T$1)</f>
        <v>0</v>
      </c>
      <c r="U1241" s="242"/>
      <c r="V1241" s="242"/>
      <c r="W1241" s="242"/>
      <c r="X1241" s="242"/>
      <c r="Y1241" s="242"/>
      <c r="Z1241" s="242"/>
      <c r="AA1241" s="242"/>
      <c r="AB1241" s="242"/>
    </row>
    <row r="1242" hidden="1">
      <c r="A1242" s="244" t="s">
        <v>6133</v>
      </c>
      <c r="B1242" s="245" t="str">
        <f>VLOOKUP(A1242,'تجربه‌گرها'!B:C,2,FALSE())</f>
        <v>۰۹۱۲۲۷۲۰۳۵۱</v>
      </c>
      <c r="C1242" s="242"/>
      <c r="D1242" s="242">
        <f t="shared" si="1"/>
        <v>1</v>
      </c>
      <c r="E1242" s="242">
        <f>COUNTIFS('تجربه‌گرها'!$B:$B,$A1242,'تجربه‌گرها'!$F:$F,E$1)</f>
        <v>0</v>
      </c>
      <c r="F1242" s="242">
        <f>COUNTIFS('تجربه‌گرها'!$B:$B,$A1242,'تجربه‌گرها'!$F:$F,F$1)</f>
        <v>0</v>
      </c>
      <c r="G1242" s="242">
        <f>COUNTIFS('تجربه‌گرها'!$B:$B,$A1242,'تجربه‌گرها'!$F:$F,G$1)</f>
        <v>0</v>
      </c>
      <c r="H1242" s="242">
        <f>COUNTIFS('تجربه‌گرها'!$B:$B,$A1242,'تجربه‌گرها'!$F:$F,H$1)</f>
        <v>0</v>
      </c>
      <c r="I1242" s="242">
        <f>COUNTIFS('تجربه‌گرها'!$B:$B,$A1242,'تجربه‌گرها'!$F:$F,I$1)</f>
        <v>0</v>
      </c>
      <c r="J1242" s="242">
        <f>COUNTIFS('تجربه‌گرها'!$B:$B,$A1242,'تجربه‌گرها'!$F:$F,J$1)</f>
        <v>0</v>
      </c>
      <c r="K1242" s="242">
        <f>COUNTIFS('تجربه‌گرها'!$B:$B,$A1242,'تجربه‌گرها'!$F:$F,K$1)</f>
        <v>0</v>
      </c>
      <c r="L1242" s="242">
        <f>COUNTIFS('تجربه‌گرها'!$B:$B,$A1242,'تجربه‌گرها'!$F:$F,L$1)</f>
        <v>0</v>
      </c>
      <c r="M1242" s="242">
        <f>COUNTIFS('تجربه‌گرها'!$B:$B,$A1242,'تجربه‌گرها'!$F:$F,M$1)</f>
        <v>0</v>
      </c>
      <c r="N1242" s="242">
        <f>COUNTIFS('تجربه‌گرها'!$B:$B,$A1242,'تجربه‌گرها'!$F:$F,N$1)</f>
        <v>0</v>
      </c>
      <c r="O1242" s="242">
        <f>COUNTIFS('تجربه‌گرها'!$B:$B,$A1242,'تجربه‌گرها'!$F:$F,O$1)</f>
        <v>0</v>
      </c>
      <c r="P1242" s="242">
        <f>COUNTIFS('تجربه‌گرها'!$B:$B,$A1242,'تجربه‌گرها'!$F:$F,P$1)</f>
        <v>1</v>
      </c>
      <c r="Q1242" s="242">
        <f>COUNTIFS('تجربه‌گرها'!$B:$B,$A1242,'تجربه‌گرها'!$F:$F,Q$1)</f>
        <v>0</v>
      </c>
      <c r="R1242" s="242">
        <f>COUNTIFS('تجربه‌گرها'!$B:$B,$A1242,'تجربه‌گرها'!$F:$F,R$1)</f>
        <v>0</v>
      </c>
      <c r="S1242" s="242">
        <f>COUNTIFS('تجربه‌گرها'!$B:$B,$A1242,'تجربه‌گرها'!$F:$F,S$1)</f>
        <v>0</v>
      </c>
      <c r="T1242" s="242">
        <f>COUNTIFS('تجربه‌گرها'!$B:$B,$A1242,'تجربه‌گرها'!$F:$F,T$1)</f>
        <v>0</v>
      </c>
      <c r="U1242" s="242"/>
      <c r="V1242" s="242"/>
      <c r="W1242" s="242"/>
      <c r="X1242" s="242"/>
      <c r="Y1242" s="242"/>
      <c r="Z1242" s="242"/>
      <c r="AA1242" s="242"/>
      <c r="AB1242" s="242"/>
    </row>
    <row r="1243" hidden="1">
      <c r="A1243" s="244" t="s">
        <v>6138</v>
      </c>
      <c r="B1243" s="245" t="str">
        <f>VLOOKUP(A1243,'تجربه‌گرها'!B:C,2,FALSE())</f>
        <v>۰۹۱۲۲۰۴۲۸۷۹</v>
      </c>
      <c r="C1243" s="242"/>
      <c r="D1243" s="242">
        <f t="shared" si="1"/>
        <v>1</v>
      </c>
      <c r="E1243" s="242">
        <f>COUNTIFS('تجربه‌گرها'!$B:$B,$A1243,'تجربه‌گرها'!$F:$F,E$1)</f>
        <v>0</v>
      </c>
      <c r="F1243" s="242">
        <f>COUNTIFS('تجربه‌گرها'!$B:$B,$A1243,'تجربه‌گرها'!$F:$F,F$1)</f>
        <v>0</v>
      </c>
      <c r="G1243" s="242">
        <f>COUNTIFS('تجربه‌گرها'!$B:$B,$A1243,'تجربه‌گرها'!$F:$F,G$1)</f>
        <v>0</v>
      </c>
      <c r="H1243" s="242">
        <f>COUNTIFS('تجربه‌گرها'!$B:$B,$A1243,'تجربه‌گرها'!$F:$F,H$1)</f>
        <v>0</v>
      </c>
      <c r="I1243" s="242">
        <f>COUNTIFS('تجربه‌گرها'!$B:$B,$A1243,'تجربه‌گرها'!$F:$F,I$1)</f>
        <v>0</v>
      </c>
      <c r="J1243" s="242">
        <f>COUNTIFS('تجربه‌گرها'!$B:$B,$A1243,'تجربه‌گرها'!$F:$F,J$1)</f>
        <v>0</v>
      </c>
      <c r="K1243" s="242">
        <f>COUNTIFS('تجربه‌گرها'!$B:$B,$A1243,'تجربه‌گرها'!$F:$F,K$1)</f>
        <v>0</v>
      </c>
      <c r="L1243" s="242">
        <f>COUNTIFS('تجربه‌گرها'!$B:$B,$A1243,'تجربه‌گرها'!$F:$F,L$1)</f>
        <v>0</v>
      </c>
      <c r="M1243" s="242">
        <f>COUNTIFS('تجربه‌گرها'!$B:$B,$A1243,'تجربه‌گرها'!$F:$F,M$1)</f>
        <v>0</v>
      </c>
      <c r="N1243" s="242">
        <f>COUNTIFS('تجربه‌گرها'!$B:$B,$A1243,'تجربه‌گرها'!$F:$F,N$1)</f>
        <v>0</v>
      </c>
      <c r="O1243" s="242">
        <f>COUNTIFS('تجربه‌گرها'!$B:$B,$A1243,'تجربه‌گرها'!$F:$F,O$1)</f>
        <v>0</v>
      </c>
      <c r="P1243" s="242">
        <f>COUNTIFS('تجربه‌گرها'!$B:$B,$A1243,'تجربه‌گرها'!$F:$F,P$1)</f>
        <v>1</v>
      </c>
      <c r="Q1243" s="242">
        <f>COUNTIFS('تجربه‌گرها'!$B:$B,$A1243,'تجربه‌گرها'!$F:$F,Q$1)</f>
        <v>0</v>
      </c>
      <c r="R1243" s="242">
        <f>COUNTIFS('تجربه‌گرها'!$B:$B,$A1243,'تجربه‌گرها'!$F:$F,R$1)</f>
        <v>0</v>
      </c>
      <c r="S1243" s="242">
        <f>COUNTIFS('تجربه‌گرها'!$B:$B,$A1243,'تجربه‌گرها'!$F:$F,S$1)</f>
        <v>0</v>
      </c>
      <c r="T1243" s="242">
        <f>COUNTIFS('تجربه‌گرها'!$B:$B,$A1243,'تجربه‌گرها'!$F:$F,T$1)</f>
        <v>0</v>
      </c>
      <c r="U1243" s="242"/>
      <c r="V1243" s="242"/>
      <c r="W1243" s="242"/>
      <c r="X1243" s="242"/>
      <c r="Y1243" s="242"/>
      <c r="Z1243" s="242"/>
      <c r="AA1243" s="242"/>
      <c r="AB1243" s="242"/>
    </row>
    <row r="1244" hidden="1">
      <c r="A1244" s="244" t="s">
        <v>6142</v>
      </c>
      <c r="B1244" s="245" t="str">
        <f>VLOOKUP(A1244,'تجربه‌گرها'!B:C,2,FALSE())</f>
        <v>۰۹۱۲۰۳۴۸۳۸۹</v>
      </c>
      <c r="C1244" s="242"/>
      <c r="D1244" s="242">
        <f t="shared" si="1"/>
        <v>1</v>
      </c>
      <c r="E1244" s="242">
        <f>COUNTIFS('تجربه‌گرها'!$B:$B,$A1244,'تجربه‌گرها'!$F:$F,E$1)</f>
        <v>0</v>
      </c>
      <c r="F1244" s="242">
        <f>COUNTIFS('تجربه‌گرها'!$B:$B,$A1244,'تجربه‌گرها'!$F:$F,F$1)</f>
        <v>0</v>
      </c>
      <c r="G1244" s="242">
        <f>COUNTIFS('تجربه‌گرها'!$B:$B,$A1244,'تجربه‌گرها'!$F:$F,G$1)</f>
        <v>0</v>
      </c>
      <c r="H1244" s="242">
        <f>COUNTIFS('تجربه‌گرها'!$B:$B,$A1244,'تجربه‌گرها'!$F:$F,H$1)</f>
        <v>0</v>
      </c>
      <c r="I1244" s="242">
        <f>COUNTIFS('تجربه‌گرها'!$B:$B,$A1244,'تجربه‌گرها'!$F:$F,I$1)</f>
        <v>0</v>
      </c>
      <c r="J1244" s="242">
        <f>COUNTIFS('تجربه‌گرها'!$B:$B,$A1244,'تجربه‌گرها'!$F:$F,J$1)</f>
        <v>0</v>
      </c>
      <c r="K1244" s="242">
        <f>COUNTIFS('تجربه‌گرها'!$B:$B,$A1244,'تجربه‌گرها'!$F:$F,K$1)</f>
        <v>0</v>
      </c>
      <c r="L1244" s="242">
        <f>COUNTIFS('تجربه‌گرها'!$B:$B,$A1244,'تجربه‌گرها'!$F:$F,L$1)</f>
        <v>0</v>
      </c>
      <c r="M1244" s="242">
        <f>COUNTIFS('تجربه‌گرها'!$B:$B,$A1244,'تجربه‌گرها'!$F:$F,M$1)</f>
        <v>0</v>
      </c>
      <c r="N1244" s="242">
        <f>COUNTIFS('تجربه‌گرها'!$B:$B,$A1244,'تجربه‌گرها'!$F:$F,N$1)</f>
        <v>0</v>
      </c>
      <c r="O1244" s="242">
        <f>COUNTIFS('تجربه‌گرها'!$B:$B,$A1244,'تجربه‌گرها'!$F:$F,O$1)</f>
        <v>0</v>
      </c>
      <c r="P1244" s="242">
        <f>COUNTIFS('تجربه‌گرها'!$B:$B,$A1244,'تجربه‌گرها'!$F:$F,P$1)</f>
        <v>1</v>
      </c>
      <c r="Q1244" s="242">
        <f>COUNTIFS('تجربه‌گرها'!$B:$B,$A1244,'تجربه‌گرها'!$F:$F,Q$1)</f>
        <v>0</v>
      </c>
      <c r="R1244" s="242">
        <f>COUNTIFS('تجربه‌گرها'!$B:$B,$A1244,'تجربه‌گرها'!$F:$F,R$1)</f>
        <v>0</v>
      </c>
      <c r="S1244" s="242">
        <f>COUNTIFS('تجربه‌گرها'!$B:$B,$A1244,'تجربه‌گرها'!$F:$F,S$1)</f>
        <v>0</v>
      </c>
      <c r="T1244" s="242">
        <f>COUNTIFS('تجربه‌گرها'!$B:$B,$A1244,'تجربه‌گرها'!$F:$F,T$1)</f>
        <v>0</v>
      </c>
      <c r="U1244" s="242"/>
      <c r="V1244" s="242"/>
      <c r="W1244" s="242"/>
      <c r="X1244" s="242"/>
      <c r="Y1244" s="242"/>
      <c r="Z1244" s="242"/>
      <c r="AA1244" s="242"/>
      <c r="AB1244" s="242"/>
    </row>
    <row r="1245" hidden="1">
      <c r="A1245" s="244" t="s">
        <v>6145</v>
      </c>
      <c r="B1245" s="245" t="str">
        <f>VLOOKUP(A1245,'تجربه‌گرها'!B:C,2,FALSE())</f>
        <v>۰۹۱۲۶۸۳۹۳۷۴</v>
      </c>
      <c r="C1245" s="242"/>
      <c r="D1245" s="242">
        <f t="shared" si="1"/>
        <v>1</v>
      </c>
      <c r="E1245" s="242">
        <f>COUNTIFS('تجربه‌گرها'!$B:$B,$A1245,'تجربه‌گرها'!$F:$F,E$1)</f>
        <v>0</v>
      </c>
      <c r="F1245" s="242">
        <f>COUNTIFS('تجربه‌گرها'!$B:$B,$A1245,'تجربه‌گرها'!$F:$F,F$1)</f>
        <v>0</v>
      </c>
      <c r="G1245" s="242">
        <f>COUNTIFS('تجربه‌گرها'!$B:$B,$A1245,'تجربه‌گرها'!$F:$F,G$1)</f>
        <v>0</v>
      </c>
      <c r="H1245" s="242">
        <f>COUNTIFS('تجربه‌گرها'!$B:$B,$A1245,'تجربه‌گرها'!$F:$F,H$1)</f>
        <v>0</v>
      </c>
      <c r="I1245" s="242">
        <f>COUNTIFS('تجربه‌گرها'!$B:$B,$A1245,'تجربه‌گرها'!$F:$F,I$1)</f>
        <v>0</v>
      </c>
      <c r="J1245" s="242">
        <f>COUNTIFS('تجربه‌گرها'!$B:$B,$A1245,'تجربه‌گرها'!$F:$F,J$1)</f>
        <v>0</v>
      </c>
      <c r="K1245" s="242">
        <f>COUNTIFS('تجربه‌گرها'!$B:$B,$A1245,'تجربه‌گرها'!$F:$F,K$1)</f>
        <v>0</v>
      </c>
      <c r="L1245" s="242">
        <f>COUNTIFS('تجربه‌گرها'!$B:$B,$A1245,'تجربه‌گرها'!$F:$F,L$1)</f>
        <v>0</v>
      </c>
      <c r="M1245" s="242">
        <f>COUNTIFS('تجربه‌گرها'!$B:$B,$A1245,'تجربه‌گرها'!$F:$F,M$1)</f>
        <v>0</v>
      </c>
      <c r="N1245" s="242">
        <f>COUNTIFS('تجربه‌گرها'!$B:$B,$A1245,'تجربه‌گرها'!$F:$F,N$1)</f>
        <v>0</v>
      </c>
      <c r="O1245" s="242">
        <f>COUNTIFS('تجربه‌گرها'!$B:$B,$A1245,'تجربه‌گرها'!$F:$F,O$1)</f>
        <v>0</v>
      </c>
      <c r="P1245" s="242">
        <f>COUNTIFS('تجربه‌گرها'!$B:$B,$A1245,'تجربه‌گرها'!$F:$F,P$1)</f>
        <v>1</v>
      </c>
      <c r="Q1245" s="242">
        <f>COUNTIFS('تجربه‌گرها'!$B:$B,$A1245,'تجربه‌گرها'!$F:$F,Q$1)</f>
        <v>0</v>
      </c>
      <c r="R1245" s="242">
        <f>COUNTIFS('تجربه‌گرها'!$B:$B,$A1245,'تجربه‌گرها'!$F:$F,R$1)</f>
        <v>0</v>
      </c>
      <c r="S1245" s="242">
        <f>COUNTIFS('تجربه‌گرها'!$B:$B,$A1245,'تجربه‌گرها'!$F:$F,S$1)</f>
        <v>0</v>
      </c>
      <c r="T1245" s="242">
        <f>COUNTIFS('تجربه‌گرها'!$B:$B,$A1245,'تجربه‌گرها'!$F:$F,T$1)</f>
        <v>0</v>
      </c>
      <c r="U1245" s="242"/>
      <c r="V1245" s="242"/>
      <c r="W1245" s="242"/>
      <c r="X1245" s="242"/>
      <c r="Y1245" s="242"/>
      <c r="Z1245" s="242"/>
      <c r="AA1245" s="242"/>
      <c r="AB1245" s="242"/>
    </row>
    <row r="1246" hidden="1">
      <c r="A1246" s="244" t="s">
        <v>6148</v>
      </c>
      <c r="B1246" s="245" t="str">
        <f>VLOOKUP(A1246,'تجربه‌گرها'!B:C,2,FALSE())</f>
        <v/>
      </c>
      <c r="C1246" s="242"/>
      <c r="D1246" s="242">
        <f t="shared" si="1"/>
        <v>1</v>
      </c>
      <c r="E1246" s="242">
        <f>COUNTIFS('تجربه‌گرها'!$B:$B,$A1246,'تجربه‌گرها'!$F:$F,E$1)</f>
        <v>0</v>
      </c>
      <c r="F1246" s="242">
        <f>COUNTIFS('تجربه‌گرها'!$B:$B,$A1246,'تجربه‌گرها'!$F:$F,F$1)</f>
        <v>0</v>
      </c>
      <c r="G1246" s="242">
        <f>COUNTIFS('تجربه‌گرها'!$B:$B,$A1246,'تجربه‌گرها'!$F:$F,G$1)</f>
        <v>0</v>
      </c>
      <c r="H1246" s="242">
        <f>COUNTIFS('تجربه‌گرها'!$B:$B,$A1246,'تجربه‌گرها'!$F:$F,H$1)</f>
        <v>0</v>
      </c>
      <c r="I1246" s="242">
        <f>COUNTIFS('تجربه‌گرها'!$B:$B,$A1246,'تجربه‌گرها'!$F:$F,I$1)</f>
        <v>0</v>
      </c>
      <c r="J1246" s="242">
        <f>COUNTIFS('تجربه‌گرها'!$B:$B,$A1246,'تجربه‌گرها'!$F:$F,J$1)</f>
        <v>0</v>
      </c>
      <c r="K1246" s="242">
        <f>COUNTIFS('تجربه‌گرها'!$B:$B,$A1246,'تجربه‌گرها'!$F:$F,K$1)</f>
        <v>0</v>
      </c>
      <c r="L1246" s="242">
        <f>COUNTIFS('تجربه‌گرها'!$B:$B,$A1246,'تجربه‌گرها'!$F:$F,L$1)</f>
        <v>0</v>
      </c>
      <c r="M1246" s="242">
        <f>COUNTIFS('تجربه‌گرها'!$B:$B,$A1246,'تجربه‌گرها'!$F:$F,M$1)</f>
        <v>0</v>
      </c>
      <c r="N1246" s="242">
        <f>COUNTIFS('تجربه‌گرها'!$B:$B,$A1246,'تجربه‌گرها'!$F:$F,N$1)</f>
        <v>0</v>
      </c>
      <c r="O1246" s="242">
        <f>COUNTIFS('تجربه‌گرها'!$B:$B,$A1246,'تجربه‌گرها'!$F:$F,O$1)</f>
        <v>0</v>
      </c>
      <c r="P1246" s="242">
        <f>COUNTIFS('تجربه‌گرها'!$B:$B,$A1246,'تجربه‌گرها'!$F:$F,P$1)</f>
        <v>1</v>
      </c>
      <c r="Q1246" s="242">
        <f>COUNTIFS('تجربه‌گرها'!$B:$B,$A1246,'تجربه‌گرها'!$F:$F,Q$1)</f>
        <v>0</v>
      </c>
      <c r="R1246" s="242">
        <f>COUNTIFS('تجربه‌گرها'!$B:$B,$A1246,'تجربه‌گرها'!$F:$F,R$1)</f>
        <v>0</v>
      </c>
      <c r="S1246" s="242">
        <f>COUNTIFS('تجربه‌گرها'!$B:$B,$A1246,'تجربه‌گرها'!$F:$F,S$1)</f>
        <v>0</v>
      </c>
      <c r="T1246" s="242">
        <f>COUNTIFS('تجربه‌گرها'!$B:$B,$A1246,'تجربه‌گرها'!$F:$F,T$1)</f>
        <v>0</v>
      </c>
      <c r="U1246" s="242"/>
      <c r="V1246" s="242"/>
      <c r="W1246" s="242"/>
      <c r="X1246" s="242"/>
      <c r="Y1246" s="242"/>
      <c r="Z1246" s="242"/>
      <c r="AA1246" s="242"/>
      <c r="AB1246" s="242"/>
    </row>
    <row r="1247" hidden="1">
      <c r="A1247" s="244" t="s">
        <v>6150</v>
      </c>
      <c r="B1247" s="245" t="str">
        <f>VLOOKUP(A1247,'تجربه‌گرها'!B:C,2,FALSE())</f>
        <v>9122112548</v>
      </c>
      <c r="C1247" s="242"/>
      <c r="D1247" s="242">
        <f t="shared" si="1"/>
        <v>1</v>
      </c>
      <c r="E1247" s="242">
        <f>COUNTIFS('تجربه‌گرها'!$B:$B,$A1247,'تجربه‌گرها'!$F:$F,E$1)</f>
        <v>0</v>
      </c>
      <c r="F1247" s="242">
        <f>COUNTIFS('تجربه‌گرها'!$B:$B,$A1247,'تجربه‌گرها'!$F:$F,F$1)</f>
        <v>0</v>
      </c>
      <c r="G1247" s="242">
        <f>COUNTIFS('تجربه‌گرها'!$B:$B,$A1247,'تجربه‌گرها'!$F:$F,G$1)</f>
        <v>0</v>
      </c>
      <c r="H1247" s="242">
        <f>COUNTIFS('تجربه‌گرها'!$B:$B,$A1247,'تجربه‌گرها'!$F:$F,H$1)</f>
        <v>0</v>
      </c>
      <c r="I1247" s="242">
        <f>COUNTIFS('تجربه‌گرها'!$B:$B,$A1247,'تجربه‌گرها'!$F:$F,I$1)</f>
        <v>0</v>
      </c>
      <c r="J1247" s="242">
        <f>COUNTIFS('تجربه‌گرها'!$B:$B,$A1247,'تجربه‌گرها'!$F:$F,J$1)</f>
        <v>0</v>
      </c>
      <c r="K1247" s="242">
        <f>COUNTIFS('تجربه‌گرها'!$B:$B,$A1247,'تجربه‌گرها'!$F:$F,K$1)</f>
        <v>0</v>
      </c>
      <c r="L1247" s="242">
        <f>COUNTIFS('تجربه‌گرها'!$B:$B,$A1247,'تجربه‌گرها'!$F:$F,L$1)</f>
        <v>0</v>
      </c>
      <c r="M1247" s="242">
        <f>COUNTIFS('تجربه‌گرها'!$B:$B,$A1247,'تجربه‌گرها'!$F:$F,M$1)</f>
        <v>0</v>
      </c>
      <c r="N1247" s="242">
        <f>COUNTIFS('تجربه‌گرها'!$B:$B,$A1247,'تجربه‌گرها'!$F:$F,N$1)</f>
        <v>0</v>
      </c>
      <c r="O1247" s="242">
        <f>COUNTIFS('تجربه‌گرها'!$B:$B,$A1247,'تجربه‌گرها'!$F:$F,O$1)</f>
        <v>0</v>
      </c>
      <c r="P1247" s="242">
        <f>COUNTIFS('تجربه‌گرها'!$B:$B,$A1247,'تجربه‌گرها'!$F:$F,P$1)</f>
        <v>1</v>
      </c>
      <c r="Q1247" s="242">
        <f>COUNTIFS('تجربه‌گرها'!$B:$B,$A1247,'تجربه‌گرها'!$F:$F,Q$1)</f>
        <v>0</v>
      </c>
      <c r="R1247" s="242">
        <f>COUNTIFS('تجربه‌گرها'!$B:$B,$A1247,'تجربه‌گرها'!$F:$F,R$1)</f>
        <v>0</v>
      </c>
      <c r="S1247" s="242">
        <f>COUNTIFS('تجربه‌گرها'!$B:$B,$A1247,'تجربه‌گرها'!$F:$F,S$1)</f>
        <v>0</v>
      </c>
      <c r="T1247" s="242">
        <f>COUNTIFS('تجربه‌گرها'!$B:$B,$A1247,'تجربه‌گرها'!$F:$F,T$1)</f>
        <v>0</v>
      </c>
      <c r="U1247" s="242"/>
      <c r="V1247" s="242"/>
      <c r="W1247" s="242"/>
      <c r="X1247" s="242"/>
      <c r="Y1247" s="242"/>
      <c r="Z1247" s="242"/>
      <c r="AA1247" s="242"/>
      <c r="AB1247" s="242"/>
    </row>
    <row r="1248">
      <c r="A1248" s="244" t="s">
        <v>6154</v>
      </c>
      <c r="B1248" s="245" t="str">
        <f>VLOOKUP(A1248,'تجربه‌گرها'!B:C,2,FALSE())</f>
        <v>۰۹۰۱۱۹۶۶۰۵۵</v>
      </c>
      <c r="C1248" s="242"/>
      <c r="D1248" s="242">
        <f t="shared" si="1"/>
        <v>1</v>
      </c>
      <c r="E1248" s="242">
        <f>COUNTIFS('تجربه‌گرها'!$B:$B,$A1248,'تجربه‌گرها'!$F:$F,E$1)</f>
        <v>0</v>
      </c>
      <c r="F1248" s="242">
        <f>COUNTIFS('تجربه‌گرها'!$B:$B,$A1248,'تجربه‌گرها'!$F:$F,F$1)</f>
        <v>0</v>
      </c>
      <c r="G1248" s="242">
        <f>COUNTIFS('تجربه‌گرها'!$B:$B,$A1248,'تجربه‌گرها'!$F:$F,G$1)</f>
        <v>0</v>
      </c>
      <c r="H1248" s="242">
        <f>COUNTIFS('تجربه‌گرها'!$B:$B,$A1248,'تجربه‌گرها'!$F:$F,H$1)</f>
        <v>0</v>
      </c>
      <c r="I1248" s="242">
        <f>COUNTIFS('تجربه‌گرها'!$B:$B,$A1248,'تجربه‌گرها'!$F:$F,I$1)</f>
        <v>0</v>
      </c>
      <c r="J1248" s="242">
        <f>COUNTIFS('تجربه‌گرها'!$B:$B,$A1248,'تجربه‌گرها'!$F:$F,J$1)</f>
        <v>0</v>
      </c>
      <c r="K1248" s="242">
        <f>COUNTIFS('تجربه‌گرها'!$B:$B,$A1248,'تجربه‌گرها'!$F:$F,K$1)</f>
        <v>0</v>
      </c>
      <c r="L1248" s="242">
        <f>COUNTIFS('تجربه‌گرها'!$B:$B,$A1248,'تجربه‌گرها'!$F:$F,L$1)</f>
        <v>0</v>
      </c>
      <c r="M1248" s="242">
        <f>COUNTIFS('تجربه‌گرها'!$B:$B,$A1248,'تجربه‌گرها'!$F:$F,M$1)</f>
        <v>0</v>
      </c>
      <c r="N1248" s="242">
        <f>COUNTIFS('تجربه‌گرها'!$B:$B,$A1248,'تجربه‌گرها'!$F:$F,N$1)</f>
        <v>0</v>
      </c>
      <c r="O1248" s="242">
        <f>COUNTIFS('تجربه‌گرها'!$B:$B,$A1248,'تجربه‌گرها'!$F:$F,O$1)</f>
        <v>0</v>
      </c>
      <c r="P1248" s="242">
        <f>COUNTIFS('تجربه‌گرها'!$B:$B,$A1248,'تجربه‌گرها'!$F:$F,P$1)</f>
        <v>1</v>
      </c>
      <c r="Q1248" s="242">
        <f>COUNTIFS('تجربه‌گرها'!$B:$B,$A1248,'تجربه‌گرها'!$F:$F,Q$1)</f>
        <v>0</v>
      </c>
      <c r="R1248" s="242">
        <f>COUNTIFS('تجربه‌گرها'!$B:$B,$A1248,'تجربه‌گرها'!$F:$F,R$1)</f>
        <v>0</v>
      </c>
      <c r="S1248" s="242">
        <f>COUNTIFS('تجربه‌گرها'!$B:$B,$A1248,'تجربه‌گرها'!$F:$F,S$1)</f>
        <v>0</v>
      </c>
      <c r="T1248" s="242">
        <f>COUNTIFS('تجربه‌گرها'!$B:$B,$A1248,'تجربه‌گرها'!$F:$F,T$1)</f>
        <v>0</v>
      </c>
      <c r="U1248" s="242"/>
      <c r="V1248" s="242"/>
      <c r="W1248" s="242"/>
      <c r="X1248" s="242"/>
      <c r="Y1248" s="242"/>
      <c r="Z1248" s="242"/>
      <c r="AA1248" s="242"/>
      <c r="AB1248" s="242"/>
    </row>
    <row r="1249" hidden="1">
      <c r="A1249" s="244" t="s">
        <v>6157</v>
      </c>
      <c r="B1249" s="245" t="str">
        <f>VLOOKUP(A1249,'تجربه‌گرها'!B:C,2,FALSE())</f>
        <v>۰۹۱۲۷۳۳۱۲۴۴</v>
      </c>
      <c r="C1249" s="242"/>
      <c r="D1249" s="242">
        <f t="shared" si="1"/>
        <v>1</v>
      </c>
      <c r="E1249" s="242">
        <f>COUNTIFS('تجربه‌گرها'!$B:$B,$A1249,'تجربه‌گرها'!$F:$F,E$1)</f>
        <v>0</v>
      </c>
      <c r="F1249" s="242">
        <f>COUNTIFS('تجربه‌گرها'!$B:$B,$A1249,'تجربه‌گرها'!$F:$F,F$1)</f>
        <v>0</v>
      </c>
      <c r="G1249" s="242">
        <f>COUNTIFS('تجربه‌گرها'!$B:$B,$A1249,'تجربه‌گرها'!$F:$F,G$1)</f>
        <v>0</v>
      </c>
      <c r="H1249" s="242">
        <f>COUNTIFS('تجربه‌گرها'!$B:$B,$A1249,'تجربه‌گرها'!$F:$F,H$1)</f>
        <v>0</v>
      </c>
      <c r="I1249" s="242">
        <f>COUNTIFS('تجربه‌گرها'!$B:$B,$A1249,'تجربه‌گرها'!$F:$F,I$1)</f>
        <v>0</v>
      </c>
      <c r="J1249" s="242">
        <f>COUNTIFS('تجربه‌گرها'!$B:$B,$A1249,'تجربه‌گرها'!$F:$F,J$1)</f>
        <v>0</v>
      </c>
      <c r="K1249" s="242">
        <f>COUNTIFS('تجربه‌گرها'!$B:$B,$A1249,'تجربه‌گرها'!$F:$F,K$1)</f>
        <v>0</v>
      </c>
      <c r="L1249" s="242">
        <f>COUNTIFS('تجربه‌گرها'!$B:$B,$A1249,'تجربه‌گرها'!$F:$F,L$1)</f>
        <v>0</v>
      </c>
      <c r="M1249" s="242">
        <f>COUNTIFS('تجربه‌گرها'!$B:$B,$A1249,'تجربه‌گرها'!$F:$F,M$1)</f>
        <v>0</v>
      </c>
      <c r="N1249" s="242">
        <f>COUNTIFS('تجربه‌گرها'!$B:$B,$A1249,'تجربه‌گرها'!$F:$F,N$1)</f>
        <v>0</v>
      </c>
      <c r="O1249" s="242">
        <f>COUNTIFS('تجربه‌گرها'!$B:$B,$A1249,'تجربه‌گرها'!$F:$F,O$1)</f>
        <v>0</v>
      </c>
      <c r="P1249" s="242">
        <f>COUNTIFS('تجربه‌گرها'!$B:$B,$A1249,'تجربه‌گرها'!$F:$F,P$1)</f>
        <v>1</v>
      </c>
      <c r="Q1249" s="242">
        <f>COUNTIFS('تجربه‌گرها'!$B:$B,$A1249,'تجربه‌گرها'!$F:$F,Q$1)</f>
        <v>0</v>
      </c>
      <c r="R1249" s="242">
        <f>COUNTIFS('تجربه‌گرها'!$B:$B,$A1249,'تجربه‌گرها'!$F:$F,R$1)</f>
        <v>0</v>
      </c>
      <c r="S1249" s="242">
        <f>COUNTIFS('تجربه‌گرها'!$B:$B,$A1249,'تجربه‌گرها'!$F:$F,S$1)</f>
        <v>0</v>
      </c>
      <c r="T1249" s="242">
        <f>COUNTIFS('تجربه‌گرها'!$B:$B,$A1249,'تجربه‌گرها'!$F:$F,T$1)</f>
        <v>0</v>
      </c>
      <c r="U1249" s="242"/>
      <c r="V1249" s="242"/>
      <c r="W1249" s="242"/>
      <c r="X1249" s="242"/>
      <c r="Y1249" s="242"/>
      <c r="Z1249" s="242"/>
      <c r="AA1249" s="242"/>
      <c r="AB1249" s="242"/>
    </row>
    <row r="1250" hidden="1">
      <c r="A1250" s="244" t="s">
        <v>6159</v>
      </c>
      <c r="B1250" s="245" t="str">
        <f>VLOOKUP(A1250,'تجربه‌گرها'!B:C,2,FALSE())</f>
        <v>۰۹۳۶۳۱۰۹۶۲۴</v>
      </c>
      <c r="C1250" s="242"/>
      <c r="D1250" s="242">
        <f t="shared" si="1"/>
        <v>1</v>
      </c>
      <c r="E1250" s="242">
        <f>COUNTIFS('تجربه‌گرها'!$B:$B,$A1250,'تجربه‌گرها'!$F:$F,E$1)</f>
        <v>0</v>
      </c>
      <c r="F1250" s="242">
        <f>COUNTIFS('تجربه‌گرها'!$B:$B,$A1250,'تجربه‌گرها'!$F:$F,F$1)</f>
        <v>0</v>
      </c>
      <c r="G1250" s="242">
        <f>COUNTIFS('تجربه‌گرها'!$B:$B,$A1250,'تجربه‌گرها'!$F:$F,G$1)</f>
        <v>0</v>
      </c>
      <c r="H1250" s="242">
        <f>COUNTIFS('تجربه‌گرها'!$B:$B,$A1250,'تجربه‌گرها'!$F:$F,H$1)</f>
        <v>0</v>
      </c>
      <c r="I1250" s="242">
        <f>COUNTIFS('تجربه‌گرها'!$B:$B,$A1250,'تجربه‌گرها'!$F:$F,I$1)</f>
        <v>0</v>
      </c>
      <c r="J1250" s="242">
        <f>COUNTIFS('تجربه‌گرها'!$B:$B,$A1250,'تجربه‌گرها'!$F:$F,J$1)</f>
        <v>0</v>
      </c>
      <c r="K1250" s="242">
        <f>COUNTIFS('تجربه‌گرها'!$B:$B,$A1250,'تجربه‌گرها'!$F:$F,K$1)</f>
        <v>0</v>
      </c>
      <c r="L1250" s="242">
        <f>COUNTIFS('تجربه‌گرها'!$B:$B,$A1250,'تجربه‌گرها'!$F:$F,L$1)</f>
        <v>0</v>
      </c>
      <c r="M1250" s="242">
        <f>COUNTIFS('تجربه‌گرها'!$B:$B,$A1250,'تجربه‌گرها'!$F:$F,M$1)</f>
        <v>0</v>
      </c>
      <c r="N1250" s="242">
        <f>COUNTIFS('تجربه‌گرها'!$B:$B,$A1250,'تجربه‌گرها'!$F:$F,N$1)</f>
        <v>0</v>
      </c>
      <c r="O1250" s="242">
        <f>COUNTIFS('تجربه‌گرها'!$B:$B,$A1250,'تجربه‌گرها'!$F:$F,O$1)</f>
        <v>0</v>
      </c>
      <c r="P1250" s="242">
        <f>COUNTIFS('تجربه‌گرها'!$B:$B,$A1250,'تجربه‌گرها'!$F:$F,P$1)</f>
        <v>1</v>
      </c>
      <c r="Q1250" s="242">
        <f>COUNTIFS('تجربه‌گرها'!$B:$B,$A1250,'تجربه‌گرها'!$F:$F,Q$1)</f>
        <v>0</v>
      </c>
      <c r="R1250" s="242">
        <f>COUNTIFS('تجربه‌گرها'!$B:$B,$A1250,'تجربه‌گرها'!$F:$F,R$1)</f>
        <v>0</v>
      </c>
      <c r="S1250" s="242">
        <f>COUNTIFS('تجربه‌گرها'!$B:$B,$A1250,'تجربه‌گرها'!$F:$F,S$1)</f>
        <v>0</v>
      </c>
      <c r="T1250" s="242">
        <f>COUNTIFS('تجربه‌گرها'!$B:$B,$A1250,'تجربه‌گرها'!$F:$F,T$1)</f>
        <v>0</v>
      </c>
      <c r="U1250" s="242"/>
      <c r="V1250" s="242"/>
      <c r="W1250" s="242"/>
      <c r="X1250" s="242"/>
      <c r="Y1250" s="242"/>
      <c r="Z1250" s="242"/>
      <c r="AA1250" s="242"/>
      <c r="AB1250" s="242"/>
    </row>
    <row r="1251" hidden="1">
      <c r="A1251" s="244" t="s">
        <v>6162</v>
      </c>
      <c r="B1251" s="245" t="str">
        <f>VLOOKUP(A1251,'تجربه‌گرها'!B:C,2,FALSE())</f>
        <v>۰۹۳۸۳۲۰۸۸۴۲</v>
      </c>
      <c r="C1251" s="242"/>
      <c r="D1251" s="242">
        <f t="shared" si="1"/>
        <v>1</v>
      </c>
      <c r="E1251" s="242">
        <f>COUNTIFS('تجربه‌گرها'!$B:$B,$A1251,'تجربه‌گرها'!$F:$F,E$1)</f>
        <v>0</v>
      </c>
      <c r="F1251" s="242">
        <f>COUNTIFS('تجربه‌گرها'!$B:$B,$A1251,'تجربه‌گرها'!$F:$F,F$1)</f>
        <v>0</v>
      </c>
      <c r="G1251" s="242">
        <f>COUNTIFS('تجربه‌گرها'!$B:$B,$A1251,'تجربه‌گرها'!$F:$F,G$1)</f>
        <v>0</v>
      </c>
      <c r="H1251" s="242">
        <f>COUNTIFS('تجربه‌گرها'!$B:$B,$A1251,'تجربه‌گرها'!$F:$F,H$1)</f>
        <v>0</v>
      </c>
      <c r="I1251" s="242">
        <f>COUNTIFS('تجربه‌گرها'!$B:$B,$A1251,'تجربه‌گرها'!$F:$F,I$1)</f>
        <v>0</v>
      </c>
      <c r="J1251" s="242">
        <f>COUNTIFS('تجربه‌گرها'!$B:$B,$A1251,'تجربه‌گرها'!$F:$F,J$1)</f>
        <v>0</v>
      </c>
      <c r="K1251" s="242">
        <f>COUNTIFS('تجربه‌گرها'!$B:$B,$A1251,'تجربه‌گرها'!$F:$F,K$1)</f>
        <v>0</v>
      </c>
      <c r="L1251" s="242">
        <f>COUNTIFS('تجربه‌گرها'!$B:$B,$A1251,'تجربه‌گرها'!$F:$F,L$1)</f>
        <v>0</v>
      </c>
      <c r="M1251" s="242">
        <f>COUNTIFS('تجربه‌گرها'!$B:$B,$A1251,'تجربه‌گرها'!$F:$F,M$1)</f>
        <v>0</v>
      </c>
      <c r="N1251" s="242">
        <f>COUNTIFS('تجربه‌گرها'!$B:$B,$A1251,'تجربه‌گرها'!$F:$F,N$1)</f>
        <v>0</v>
      </c>
      <c r="O1251" s="242">
        <f>COUNTIFS('تجربه‌گرها'!$B:$B,$A1251,'تجربه‌گرها'!$F:$F,O$1)</f>
        <v>0</v>
      </c>
      <c r="P1251" s="242">
        <f>COUNTIFS('تجربه‌گرها'!$B:$B,$A1251,'تجربه‌گرها'!$F:$F,P$1)</f>
        <v>1</v>
      </c>
      <c r="Q1251" s="242">
        <f>COUNTIFS('تجربه‌گرها'!$B:$B,$A1251,'تجربه‌گرها'!$F:$F,Q$1)</f>
        <v>0</v>
      </c>
      <c r="R1251" s="242">
        <f>COUNTIFS('تجربه‌گرها'!$B:$B,$A1251,'تجربه‌گرها'!$F:$F,R$1)</f>
        <v>0</v>
      </c>
      <c r="S1251" s="242">
        <f>COUNTIFS('تجربه‌گرها'!$B:$B,$A1251,'تجربه‌گرها'!$F:$F,S$1)</f>
        <v>0</v>
      </c>
      <c r="T1251" s="242">
        <f>COUNTIFS('تجربه‌گرها'!$B:$B,$A1251,'تجربه‌گرها'!$F:$F,T$1)</f>
        <v>0</v>
      </c>
      <c r="U1251" s="242"/>
      <c r="V1251" s="242"/>
      <c r="W1251" s="242"/>
      <c r="X1251" s="242"/>
      <c r="Y1251" s="242"/>
      <c r="Z1251" s="242"/>
      <c r="AA1251" s="242"/>
      <c r="AB1251" s="242"/>
    </row>
    <row r="1252" hidden="1">
      <c r="A1252" s="244" t="s">
        <v>6166</v>
      </c>
      <c r="B1252" s="245" t="str">
        <f>VLOOKUP(A1252,'تجربه‌گرها'!B:C,2,FALSE())</f>
        <v>۰۹۳۶۴۹۸۵۸۶۰</v>
      </c>
      <c r="C1252" s="242"/>
      <c r="D1252" s="242">
        <f t="shared" si="1"/>
        <v>1</v>
      </c>
      <c r="E1252" s="242">
        <f>COUNTIFS('تجربه‌گرها'!$B:$B,$A1252,'تجربه‌گرها'!$F:$F,E$1)</f>
        <v>0</v>
      </c>
      <c r="F1252" s="242">
        <f>COUNTIFS('تجربه‌گرها'!$B:$B,$A1252,'تجربه‌گرها'!$F:$F,F$1)</f>
        <v>0</v>
      </c>
      <c r="G1252" s="242">
        <f>COUNTIFS('تجربه‌گرها'!$B:$B,$A1252,'تجربه‌گرها'!$F:$F,G$1)</f>
        <v>0</v>
      </c>
      <c r="H1252" s="242">
        <f>COUNTIFS('تجربه‌گرها'!$B:$B,$A1252,'تجربه‌گرها'!$F:$F,H$1)</f>
        <v>0</v>
      </c>
      <c r="I1252" s="242">
        <f>COUNTIFS('تجربه‌گرها'!$B:$B,$A1252,'تجربه‌گرها'!$F:$F,I$1)</f>
        <v>0</v>
      </c>
      <c r="J1252" s="242">
        <f>COUNTIFS('تجربه‌گرها'!$B:$B,$A1252,'تجربه‌گرها'!$F:$F,J$1)</f>
        <v>0</v>
      </c>
      <c r="K1252" s="242">
        <f>COUNTIFS('تجربه‌گرها'!$B:$B,$A1252,'تجربه‌گرها'!$F:$F,K$1)</f>
        <v>0</v>
      </c>
      <c r="L1252" s="242">
        <f>COUNTIFS('تجربه‌گرها'!$B:$B,$A1252,'تجربه‌گرها'!$F:$F,L$1)</f>
        <v>0</v>
      </c>
      <c r="M1252" s="242">
        <f>COUNTIFS('تجربه‌گرها'!$B:$B,$A1252,'تجربه‌گرها'!$F:$F,M$1)</f>
        <v>0</v>
      </c>
      <c r="N1252" s="242">
        <f>COUNTIFS('تجربه‌گرها'!$B:$B,$A1252,'تجربه‌گرها'!$F:$F,N$1)</f>
        <v>0</v>
      </c>
      <c r="O1252" s="242">
        <f>COUNTIFS('تجربه‌گرها'!$B:$B,$A1252,'تجربه‌گرها'!$F:$F,O$1)</f>
        <v>0</v>
      </c>
      <c r="P1252" s="242">
        <f>COUNTIFS('تجربه‌گرها'!$B:$B,$A1252,'تجربه‌گرها'!$F:$F,P$1)</f>
        <v>1</v>
      </c>
      <c r="Q1252" s="242">
        <f>COUNTIFS('تجربه‌گرها'!$B:$B,$A1252,'تجربه‌گرها'!$F:$F,Q$1)</f>
        <v>0</v>
      </c>
      <c r="R1252" s="242">
        <f>COUNTIFS('تجربه‌گرها'!$B:$B,$A1252,'تجربه‌گرها'!$F:$F,R$1)</f>
        <v>0</v>
      </c>
      <c r="S1252" s="242">
        <f>COUNTIFS('تجربه‌گرها'!$B:$B,$A1252,'تجربه‌گرها'!$F:$F,S$1)</f>
        <v>0</v>
      </c>
      <c r="T1252" s="242">
        <f>COUNTIFS('تجربه‌گرها'!$B:$B,$A1252,'تجربه‌گرها'!$F:$F,T$1)</f>
        <v>0</v>
      </c>
      <c r="U1252" s="242"/>
      <c r="V1252" s="242"/>
      <c r="W1252" s="242"/>
      <c r="X1252" s="242"/>
      <c r="Y1252" s="242"/>
      <c r="Z1252" s="242"/>
      <c r="AA1252" s="242"/>
      <c r="AB1252" s="242"/>
    </row>
    <row r="1253" hidden="1">
      <c r="A1253" s="244" t="s">
        <v>6171</v>
      </c>
      <c r="B1253" s="245" t="str">
        <f>VLOOKUP(A1253,'تجربه‌گرها'!B:C,2,FALSE())</f>
        <v>9216045140</v>
      </c>
      <c r="C1253" s="242"/>
      <c r="D1253" s="242">
        <f t="shared" si="1"/>
        <v>1</v>
      </c>
      <c r="E1253" s="242">
        <f>COUNTIFS('تجربه‌گرها'!$B:$B,$A1253,'تجربه‌گرها'!$F:$F,E$1)</f>
        <v>0</v>
      </c>
      <c r="F1253" s="242">
        <f>COUNTIFS('تجربه‌گرها'!$B:$B,$A1253,'تجربه‌گرها'!$F:$F,F$1)</f>
        <v>0</v>
      </c>
      <c r="G1253" s="242">
        <f>COUNTIFS('تجربه‌گرها'!$B:$B,$A1253,'تجربه‌گرها'!$F:$F,G$1)</f>
        <v>0</v>
      </c>
      <c r="H1253" s="242">
        <f>COUNTIFS('تجربه‌گرها'!$B:$B,$A1253,'تجربه‌گرها'!$F:$F,H$1)</f>
        <v>0</v>
      </c>
      <c r="I1253" s="242">
        <f>COUNTIFS('تجربه‌گرها'!$B:$B,$A1253,'تجربه‌گرها'!$F:$F,I$1)</f>
        <v>0</v>
      </c>
      <c r="J1253" s="242">
        <f>COUNTIFS('تجربه‌گرها'!$B:$B,$A1253,'تجربه‌گرها'!$F:$F,J$1)</f>
        <v>0</v>
      </c>
      <c r="K1253" s="242">
        <f>COUNTIFS('تجربه‌گرها'!$B:$B,$A1253,'تجربه‌گرها'!$F:$F,K$1)</f>
        <v>0</v>
      </c>
      <c r="L1253" s="242">
        <f>COUNTIFS('تجربه‌گرها'!$B:$B,$A1253,'تجربه‌گرها'!$F:$F,L$1)</f>
        <v>0</v>
      </c>
      <c r="M1253" s="242">
        <f>COUNTIFS('تجربه‌گرها'!$B:$B,$A1253,'تجربه‌گرها'!$F:$F,M$1)</f>
        <v>0</v>
      </c>
      <c r="N1253" s="242">
        <f>COUNTIFS('تجربه‌گرها'!$B:$B,$A1253,'تجربه‌گرها'!$F:$F,N$1)</f>
        <v>0</v>
      </c>
      <c r="O1253" s="242">
        <f>COUNTIFS('تجربه‌گرها'!$B:$B,$A1253,'تجربه‌گرها'!$F:$F,O$1)</f>
        <v>0</v>
      </c>
      <c r="P1253" s="242">
        <f>COUNTIFS('تجربه‌گرها'!$B:$B,$A1253,'تجربه‌گرها'!$F:$F,P$1)</f>
        <v>1</v>
      </c>
      <c r="Q1253" s="242">
        <f>COUNTIFS('تجربه‌گرها'!$B:$B,$A1253,'تجربه‌گرها'!$F:$F,Q$1)</f>
        <v>0</v>
      </c>
      <c r="R1253" s="242">
        <f>COUNTIFS('تجربه‌گرها'!$B:$B,$A1253,'تجربه‌گرها'!$F:$F,R$1)</f>
        <v>0</v>
      </c>
      <c r="S1253" s="242">
        <f>COUNTIFS('تجربه‌گرها'!$B:$B,$A1253,'تجربه‌گرها'!$F:$F,S$1)</f>
        <v>0</v>
      </c>
      <c r="T1253" s="242">
        <f>COUNTIFS('تجربه‌گرها'!$B:$B,$A1253,'تجربه‌گرها'!$F:$F,T$1)</f>
        <v>0</v>
      </c>
      <c r="U1253" s="242"/>
      <c r="V1253" s="242"/>
      <c r="W1253" s="242"/>
      <c r="X1253" s="242"/>
      <c r="Y1253" s="242"/>
      <c r="Z1253" s="242"/>
      <c r="AA1253" s="242"/>
      <c r="AB1253" s="242"/>
    </row>
    <row r="1254" hidden="1">
      <c r="A1254" s="244" t="s">
        <v>6172</v>
      </c>
      <c r="B1254" s="245" t="str">
        <f>VLOOKUP(A1254,'تجربه‌گرها'!B:C,2,FALSE())</f>
        <v>9225440574</v>
      </c>
      <c r="C1254" s="242"/>
      <c r="D1254" s="242">
        <f t="shared" si="1"/>
        <v>1</v>
      </c>
      <c r="E1254" s="242">
        <f>COUNTIFS('تجربه‌گرها'!$B:$B,$A1254,'تجربه‌گرها'!$F:$F,E$1)</f>
        <v>0</v>
      </c>
      <c r="F1254" s="242">
        <f>COUNTIFS('تجربه‌گرها'!$B:$B,$A1254,'تجربه‌گرها'!$F:$F,F$1)</f>
        <v>0</v>
      </c>
      <c r="G1254" s="242">
        <f>COUNTIFS('تجربه‌گرها'!$B:$B,$A1254,'تجربه‌گرها'!$F:$F,G$1)</f>
        <v>0</v>
      </c>
      <c r="H1254" s="242">
        <f>COUNTIFS('تجربه‌گرها'!$B:$B,$A1254,'تجربه‌گرها'!$F:$F,H$1)</f>
        <v>0</v>
      </c>
      <c r="I1254" s="242">
        <f>COUNTIFS('تجربه‌گرها'!$B:$B,$A1254,'تجربه‌گرها'!$F:$F,I$1)</f>
        <v>0</v>
      </c>
      <c r="J1254" s="242">
        <f>COUNTIFS('تجربه‌گرها'!$B:$B,$A1254,'تجربه‌گرها'!$F:$F,J$1)</f>
        <v>0</v>
      </c>
      <c r="K1254" s="242">
        <f>COUNTIFS('تجربه‌گرها'!$B:$B,$A1254,'تجربه‌گرها'!$F:$F,K$1)</f>
        <v>0</v>
      </c>
      <c r="L1254" s="242">
        <f>COUNTIFS('تجربه‌گرها'!$B:$B,$A1254,'تجربه‌گرها'!$F:$F,L$1)</f>
        <v>0</v>
      </c>
      <c r="M1254" s="242">
        <f>COUNTIFS('تجربه‌گرها'!$B:$B,$A1254,'تجربه‌گرها'!$F:$F,M$1)</f>
        <v>0</v>
      </c>
      <c r="N1254" s="242">
        <f>COUNTIFS('تجربه‌گرها'!$B:$B,$A1254,'تجربه‌گرها'!$F:$F,N$1)</f>
        <v>0</v>
      </c>
      <c r="O1254" s="242">
        <f>COUNTIFS('تجربه‌گرها'!$B:$B,$A1254,'تجربه‌گرها'!$F:$F,O$1)</f>
        <v>0</v>
      </c>
      <c r="P1254" s="242">
        <f>COUNTIFS('تجربه‌گرها'!$B:$B,$A1254,'تجربه‌گرها'!$F:$F,P$1)</f>
        <v>1</v>
      </c>
      <c r="Q1254" s="242">
        <f>COUNTIFS('تجربه‌گرها'!$B:$B,$A1254,'تجربه‌گرها'!$F:$F,Q$1)</f>
        <v>0</v>
      </c>
      <c r="R1254" s="242">
        <f>COUNTIFS('تجربه‌گرها'!$B:$B,$A1254,'تجربه‌گرها'!$F:$F,R$1)</f>
        <v>0</v>
      </c>
      <c r="S1254" s="242">
        <f>COUNTIFS('تجربه‌گرها'!$B:$B,$A1254,'تجربه‌گرها'!$F:$F,S$1)</f>
        <v>0</v>
      </c>
      <c r="T1254" s="242">
        <f>COUNTIFS('تجربه‌گرها'!$B:$B,$A1254,'تجربه‌گرها'!$F:$F,T$1)</f>
        <v>0</v>
      </c>
      <c r="U1254" s="242"/>
      <c r="V1254" s="242"/>
      <c r="W1254" s="242"/>
      <c r="X1254" s="242"/>
      <c r="Y1254" s="242"/>
      <c r="Z1254" s="242"/>
      <c r="AA1254" s="242"/>
      <c r="AB1254" s="242"/>
    </row>
    <row r="1255" hidden="1">
      <c r="A1255" s="244" t="s">
        <v>6175</v>
      </c>
      <c r="B1255" s="245" t="str">
        <f>VLOOKUP(A1255,'تجربه‌گرها'!B:C,2,FALSE())</f>
        <v>9377333546</v>
      </c>
      <c r="C1255" s="242"/>
      <c r="D1255" s="242">
        <f t="shared" si="1"/>
        <v>1</v>
      </c>
      <c r="E1255" s="242">
        <f>COUNTIFS('تجربه‌گرها'!$B:$B,$A1255,'تجربه‌گرها'!$F:$F,E$1)</f>
        <v>0</v>
      </c>
      <c r="F1255" s="242">
        <f>COUNTIFS('تجربه‌گرها'!$B:$B,$A1255,'تجربه‌گرها'!$F:$F,F$1)</f>
        <v>0</v>
      </c>
      <c r="G1255" s="242">
        <f>COUNTIFS('تجربه‌گرها'!$B:$B,$A1255,'تجربه‌گرها'!$F:$F,G$1)</f>
        <v>0</v>
      </c>
      <c r="H1255" s="242">
        <f>COUNTIFS('تجربه‌گرها'!$B:$B,$A1255,'تجربه‌گرها'!$F:$F,H$1)</f>
        <v>0</v>
      </c>
      <c r="I1255" s="242">
        <f>COUNTIFS('تجربه‌گرها'!$B:$B,$A1255,'تجربه‌گرها'!$F:$F,I$1)</f>
        <v>0</v>
      </c>
      <c r="J1255" s="242">
        <f>COUNTIFS('تجربه‌گرها'!$B:$B,$A1255,'تجربه‌گرها'!$F:$F,J$1)</f>
        <v>0</v>
      </c>
      <c r="K1255" s="242">
        <f>COUNTIFS('تجربه‌گرها'!$B:$B,$A1255,'تجربه‌گرها'!$F:$F,K$1)</f>
        <v>0</v>
      </c>
      <c r="L1255" s="242">
        <f>COUNTIFS('تجربه‌گرها'!$B:$B,$A1255,'تجربه‌گرها'!$F:$F,L$1)</f>
        <v>0</v>
      </c>
      <c r="M1255" s="242">
        <f>COUNTIFS('تجربه‌گرها'!$B:$B,$A1255,'تجربه‌گرها'!$F:$F,M$1)</f>
        <v>0</v>
      </c>
      <c r="N1255" s="242">
        <f>COUNTIFS('تجربه‌گرها'!$B:$B,$A1255,'تجربه‌گرها'!$F:$F,N$1)</f>
        <v>0</v>
      </c>
      <c r="O1255" s="242">
        <f>COUNTIFS('تجربه‌گرها'!$B:$B,$A1255,'تجربه‌گرها'!$F:$F,O$1)</f>
        <v>0</v>
      </c>
      <c r="P1255" s="242">
        <f>COUNTIFS('تجربه‌گرها'!$B:$B,$A1255,'تجربه‌گرها'!$F:$F,P$1)</f>
        <v>1</v>
      </c>
      <c r="Q1255" s="242">
        <f>COUNTIFS('تجربه‌گرها'!$B:$B,$A1255,'تجربه‌گرها'!$F:$F,Q$1)</f>
        <v>0</v>
      </c>
      <c r="R1255" s="242">
        <f>COUNTIFS('تجربه‌گرها'!$B:$B,$A1255,'تجربه‌گرها'!$F:$F,R$1)</f>
        <v>0</v>
      </c>
      <c r="S1255" s="242">
        <f>COUNTIFS('تجربه‌گرها'!$B:$B,$A1255,'تجربه‌گرها'!$F:$F,S$1)</f>
        <v>0</v>
      </c>
      <c r="T1255" s="242">
        <f>COUNTIFS('تجربه‌گرها'!$B:$B,$A1255,'تجربه‌گرها'!$F:$F,T$1)</f>
        <v>0</v>
      </c>
      <c r="U1255" s="242"/>
      <c r="V1255" s="242"/>
      <c r="W1255" s="242"/>
      <c r="X1255" s="242"/>
      <c r="Y1255" s="242"/>
      <c r="Z1255" s="242"/>
      <c r="AA1255" s="242"/>
      <c r="AB1255" s="242"/>
    </row>
    <row r="1256" hidden="1">
      <c r="A1256" s="244" t="s">
        <v>6178</v>
      </c>
      <c r="B1256" s="245" t="str">
        <f>VLOOKUP(A1256,'تجربه‌گرها'!B:C,2,FALSE())</f>
        <v>9363733923</v>
      </c>
      <c r="C1256" s="242"/>
      <c r="D1256" s="242">
        <f t="shared" si="1"/>
        <v>1</v>
      </c>
      <c r="E1256" s="242">
        <f>COUNTIFS('تجربه‌گرها'!$B:$B,$A1256,'تجربه‌گرها'!$F:$F,E$1)</f>
        <v>0</v>
      </c>
      <c r="F1256" s="242">
        <f>COUNTIFS('تجربه‌گرها'!$B:$B,$A1256,'تجربه‌گرها'!$F:$F,F$1)</f>
        <v>0</v>
      </c>
      <c r="G1256" s="242">
        <f>COUNTIFS('تجربه‌گرها'!$B:$B,$A1256,'تجربه‌گرها'!$F:$F,G$1)</f>
        <v>0</v>
      </c>
      <c r="H1256" s="242">
        <f>COUNTIFS('تجربه‌گرها'!$B:$B,$A1256,'تجربه‌گرها'!$F:$F,H$1)</f>
        <v>0</v>
      </c>
      <c r="I1256" s="242">
        <f>COUNTIFS('تجربه‌گرها'!$B:$B,$A1256,'تجربه‌گرها'!$F:$F,I$1)</f>
        <v>0</v>
      </c>
      <c r="J1256" s="242">
        <f>COUNTIFS('تجربه‌گرها'!$B:$B,$A1256,'تجربه‌گرها'!$F:$F,J$1)</f>
        <v>0</v>
      </c>
      <c r="K1256" s="242">
        <f>COUNTIFS('تجربه‌گرها'!$B:$B,$A1256,'تجربه‌گرها'!$F:$F,K$1)</f>
        <v>0</v>
      </c>
      <c r="L1256" s="242">
        <f>COUNTIFS('تجربه‌گرها'!$B:$B,$A1256,'تجربه‌گرها'!$F:$F,L$1)</f>
        <v>0</v>
      </c>
      <c r="M1256" s="242">
        <f>COUNTIFS('تجربه‌گرها'!$B:$B,$A1256,'تجربه‌گرها'!$F:$F,M$1)</f>
        <v>0</v>
      </c>
      <c r="N1256" s="242">
        <f>COUNTIFS('تجربه‌گرها'!$B:$B,$A1256,'تجربه‌گرها'!$F:$F,N$1)</f>
        <v>0</v>
      </c>
      <c r="O1256" s="242">
        <f>COUNTIFS('تجربه‌گرها'!$B:$B,$A1256,'تجربه‌گرها'!$F:$F,O$1)</f>
        <v>0</v>
      </c>
      <c r="P1256" s="242">
        <f>COUNTIFS('تجربه‌گرها'!$B:$B,$A1256,'تجربه‌گرها'!$F:$F,P$1)</f>
        <v>1</v>
      </c>
      <c r="Q1256" s="242">
        <f>COUNTIFS('تجربه‌گرها'!$B:$B,$A1256,'تجربه‌گرها'!$F:$F,Q$1)</f>
        <v>0</v>
      </c>
      <c r="R1256" s="242">
        <f>COUNTIFS('تجربه‌گرها'!$B:$B,$A1256,'تجربه‌گرها'!$F:$F,R$1)</f>
        <v>0</v>
      </c>
      <c r="S1256" s="242">
        <f>COUNTIFS('تجربه‌گرها'!$B:$B,$A1256,'تجربه‌گرها'!$F:$F,S$1)</f>
        <v>0</v>
      </c>
      <c r="T1256" s="242">
        <f>COUNTIFS('تجربه‌گرها'!$B:$B,$A1256,'تجربه‌گرها'!$F:$F,T$1)</f>
        <v>0</v>
      </c>
      <c r="U1256" s="242"/>
      <c r="V1256" s="242"/>
      <c r="W1256" s="242"/>
      <c r="X1256" s="242"/>
      <c r="Y1256" s="242"/>
      <c r="Z1256" s="242"/>
      <c r="AA1256" s="242"/>
      <c r="AB1256" s="242"/>
    </row>
    <row r="1257" hidden="1">
      <c r="A1257" s="244" t="s">
        <v>6180</v>
      </c>
      <c r="B1257" s="245" t="str">
        <f>VLOOKUP(A1257,'تجربه‌گرها'!B:C,2,FALSE())</f>
        <v>9128949610</v>
      </c>
      <c r="C1257" s="242"/>
      <c r="D1257" s="242">
        <f t="shared" si="1"/>
        <v>1</v>
      </c>
      <c r="E1257" s="242">
        <f>COUNTIFS('تجربه‌گرها'!$B:$B,$A1257,'تجربه‌گرها'!$F:$F,E$1)</f>
        <v>0</v>
      </c>
      <c r="F1257" s="242">
        <f>COUNTIFS('تجربه‌گرها'!$B:$B,$A1257,'تجربه‌گرها'!$F:$F,F$1)</f>
        <v>0</v>
      </c>
      <c r="G1257" s="242">
        <f>COUNTIFS('تجربه‌گرها'!$B:$B,$A1257,'تجربه‌گرها'!$F:$F,G$1)</f>
        <v>0</v>
      </c>
      <c r="H1257" s="242">
        <f>COUNTIFS('تجربه‌گرها'!$B:$B,$A1257,'تجربه‌گرها'!$F:$F,H$1)</f>
        <v>0</v>
      </c>
      <c r="I1257" s="242">
        <f>COUNTIFS('تجربه‌گرها'!$B:$B,$A1257,'تجربه‌گرها'!$F:$F,I$1)</f>
        <v>0</v>
      </c>
      <c r="J1257" s="242">
        <f>COUNTIFS('تجربه‌گرها'!$B:$B,$A1257,'تجربه‌گرها'!$F:$F,J$1)</f>
        <v>0</v>
      </c>
      <c r="K1257" s="242">
        <f>COUNTIFS('تجربه‌گرها'!$B:$B,$A1257,'تجربه‌گرها'!$F:$F,K$1)</f>
        <v>0</v>
      </c>
      <c r="L1257" s="242">
        <f>COUNTIFS('تجربه‌گرها'!$B:$B,$A1257,'تجربه‌گرها'!$F:$F,L$1)</f>
        <v>0</v>
      </c>
      <c r="M1257" s="242">
        <f>COUNTIFS('تجربه‌گرها'!$B:$B,$A1257,'تجربه‌گرها'!$F:$F,M$1)</f>
        <v>0</v>
      </c>
      <c r="N1257" s="242">
        <f>COUNTIFS('تجربه‌گرها'!$B:$B,$A1257,'تجربه‌گرها'!$F:$F,N$1)</f>
        <v>0</v>
      </c>
      <c r="O1257" s="242">
        <f>COUNTIFS('تجربه‌گرها'!$B:$B,$A1257,'تجربه‌گرها'!$F:$F,O$1)</f>
        <v>0</v>
      </c>
      <c r="P1257" s="242">
        <f>COUNTIFS('تجربه‌گرها'!$B:$B,$A1257,'تجربه‌گرها'!$F:$F,P$1)</f>
        <v>1</v>
      </c>
      <c r="Q1257" s="242">
        <f>COUNTIFS('تجربه‌گرها'!$B:$B,$A1257,'تجربه‌گرها'!$F:$F,Q$1)</f>
        <v>0</v>
      </c>
      <c r="R1257" s="242">
        <f>COUNTIFS('تجربه‌گرها'!$B:$B,$A1257,'تجربه‌گرها'!$F:$F,R$1)</f>
        <v>0</v>
      </c>
      <c r="S1257" s="242">
        <f>COUNTIFS('تجربه‌گرها'!$B:$B,$A1257,'تجربه‌گرها'!$F:$F,S$1)</f>
        <v>0</v>
      </c>
      <c r="T1257" s="242">
        <f>COUNTIFS('تجربه‌گرها'!$B:$B,$A1257,'تجربه‌گرها'!$F:$F,T$1)</f>
        <v>0</v>
      </c>
      <c r="U1257" s="242"/>
      <c r="V1257" s="242"/>
      <c r="W1257" s="242"/>
      <c r="X1257" s="242"/>
      <c r="Y1257" s="242"/>
      <c r="Z1257" s="242"/>
      <c r="AA1257" s="242"/>
      <c r="AB1257" s="242"/>
    </row>
    <row r="1258" hidden="1">
      <c r="A1258" s="244" t="s">
        <v>6182</v>
      </c>
      <c r="B1258" s="245" t="str">
        <f>VLOOKUP(A1258,'تجربه‌گرها'!B:C,2,FALSE())</f>
        <v>9392808102</v>
      </c>
      <c r="C1258" s="242"/>
      <c r="D1258" s="242">
        <f t="shared" si="1"/>
        <v>1</v>
      </c>
      <c r="E1258" s="242">
        <f>COUNTIFS('تجربه‌گرها'!$B:$B,$A1258,'تجربه‌گرها'!$F:$F,E$1)</f>
        <v>0</v>
      </c>
      <c r="F1258" s="242">
        <f>COUNTIFS('تجربه‌گرها'!$B:$B,$A1258,'تجربه‌گرها'!$F:$F,F$1)</f>
        <v>0</v>
      </c>
      <c r="G1258" s="242">
        <f>COUNTIFS('تجربه‌گرها'!$B:$B,$A1258,'تجربه‌گرها'!$F:$F,G$1)</f>
        <v>0</v>
      </c>
      <c r="H1258" s="242">
        <f>COUNTIFS('تجربه‌گرها'!$B:$B,$A1258,'تجربه‌گرها'!$F:$F,H$1)</f>
        <v>0</v>
      </c>
      <c r="I1258" s="242">
        <f>COUNTIFS('تجربه‌گرها'!$B:$B,$A1258,'تجربه‌گرها'!$F:$F,I$1)</f>
        <v>0</v>
      </c>
      <c r="J1258" s="242">
        <f>COUNTIFS('تجربه‌گرها'!$B:$B,$A1258,'تجربه‌گرها'!$F:$F,J$1)</f>
        <v>0</v>
      </c>
      <c r="K1258" s="242">
        <f>COUNTIFS('تجربه‌گرها'!$B:$B,$A1258,'تجربه‌گرها'!$F:$F,K$1)</f>
        <v>0</v>
      </c>
      <c r="L1258" s="242">
        <f>COUNTIFS('تجربه‌گرها'!$B:$B,$A1258,'تجربه‌گرها'!$F:$F,L$1)</f>
        <v>0</v>
      </c>
      <c r="M1258" s="242">
        <f>COUNTIFS('تجربه‌گرها'!$B:$B,$A1258,'تجربه‌گرها'!$F:$F,M$1)</f>
        <v>0</v>
      </c>
      <c r="N1258" s="242">
        <f>COUNTIFS('تجربه‌گرها'!$B:$B,$A1258,'تجربه‌گرها'!$F:$F,N$1)</f>
        <v>0</v>
      </c>
      <c r="O1258" s="242">
        <f>COUNTIFS('تجربه‌گرها'!$B:$B,$A1258,'تجربه‌گرها'!$F:$F,O$1)</f>
        <v>0</v>
      </c>
      <c r="P1258" s="242">
        <f>COUNTIFS('تجربه‌گرها'!$B:$B,$A1258,'تجربه‌گرها'!$F:$F,P$1)</f>
        <v>1</v>
      </c>
      <c r="Q1258" s="242">
        <f>COUNTIFS('تجربه‌گرها'!$B:$B,$A1258,'تجربه‌گرها'!$F:$F,Q$1)</f>
        <v>0</v>
      </c>
      <c r="R1258" s="242">
        <f>COUNTIFS('تجربه‌گرها'!$B:$B,$A1258,'تجربه‌گرها'!$F:$F,R$1)</f>
        <v>0</v>
      </c>
      <c r="S1258" s="242">
        <f>COUNTIFS('تجربه‌گرها'!$B:$B,$A1258,'تجربه‌گرها'!$F:$F,S$1)</f>
        <v>0</v>
      </c>
      <c r="T1258" s="242">
        <f>COUNTIFS('تجربه‌گرها'!$B:$B,$A1258,'تجربه‌گرها'!$F:$F,T$1)</f>
        <v>0</v>
      </c>
      <c r="U1258" s="242"/>
      <c r="V1258" s="242"/>
      <c r="W1258" s="242"/>
      <c r="X1258" s="242"/>
      <c r="Y1258" s="242"/>
      <c r="Z1258" s="242"/>
      <c r="AA1258" s="242"/>
      <c r="AB1258" s="242"/>
    </row>
    <row r="1259" hidden="1">
      <c r="A1259" s="244" t="s">
        <v>6184</v>
      </c>
      <c r="B1259" s="245" t="str">
        <f>VLOOKUP(A1259,'تجربه‌گرها'!B:C,2,FALSE())</f>
        <v>9102705955</v>
      </c>
      <c r="C1259" s="242"/>
      <c r="D1259" s="242">
        <f t="shared" si="1"/>
        <v>1</v>
      </c>
      <c r="E1259" s="242">
        <f>COUNTIFS('تجربه‌گرها'!$B:$B,$A1259,'تجربه‌گرها'!$F:$F,E$1)</f>
        <v>0</v>
      </c>
      <c r="F1259" s="242">
        <f>COUNTIFS('تجربه‌گرها'!$B:$B,$A1259,'تجربه‌گرها'!$F:$F,F$1)</f>
        <v>0</v>
      </c>
      <c r="G1259" s="242">
        <f>COUNTIFS('تجربه‌گرها'!$B:$B,$A1259,'تجربه‌گرها'!$F:$F,G$1)</f>
        <v>0</v>
      </c>
      <c r="H1259" s="242">
        <f>COUNTIFS('تجربه‌گرها'!$B:$B,$A1259,'تجربه‌گرها'!$F:$F,H$1)</f>
        <v>0</v>
      </c>
      <c r="I1259" s="242">
        <f>COUNTIFS('تجربه‌گرها'!$B:$B,$A1259,'تجربه‌گرها'!$F:$F,I$1)</f>
        <v>0</v>
      </c>
      <c r="J1259" s="242">
        <f>COUNTIFS('تجربه‌گرها'!$B:$B,$A1259,'تجربه‌گرها'!$F:$F,J$1)</f>
        <v>0</v>
      </c>
      <c r="K1259" s="242">
        <f>COUNTIFS('تجربه‌گرها'!$B:$B,$A1259,'تجربه‌گرها'!$F:$F,K$1)</f>
        <v>0</v>
      </c>
      <c r="L1259" s="242">
        <f>COUNTIFS('تجربه‌گرها'!$B:$B,$A1259,'تجربه‌گرها'!$F:$F,L$1)</f>
        <v>0</v>
      </c>
      <c r="M1259" s="242">
        <f>COUNTIFS('تجربه‌گرها'!$B:$B,$A1259,'تجربه‌گرها'!$F:$F,M$1)</f>
        <v>0</v>
      </c>
      <c r="N1259" s="242">
        <f>COUNTIFS('تجربه‌گرها'!$B:$B,$A1259,'تجربه‌گرها'!$F:$F,N$1)</f>
        <v>0</v>
      </c>
      <c r="O1259" s="242">
        <f>COUNTIFS('تجربه‌گرها'!$B:$B,$A1259,'تجربه‌گرها'!$F:$F,O$1)</f>
        <v>0</v>
      </c>
      <c r="P1259" s="242">
        <f>COUNTIFS('تجربه‌گرها'!$B:$B,$A1259,'تجربه‌گرها'!$F:$F,P$1)</f>
        <v>1</v>
      </c>
      <c r="Q1259" s="242">
        <f>COUNTIFS('تجربه‌گرها'!$B:$B,$A1259,'تجربه‌گرها'!$F:$F,Q$1)</f>
        <v>0</v>
      </c>
      <c r="R1259" s="242">
        <f>COUNTIFS('تجربه‌گرها'!$B:$B,$A1259,'تجربه‌گرها'!$F:$F,R$1)</f>
        <v>0</v>
      </c>
      <c r="S1259" s="242">
        <f>COUNTIFS('تجربه‌گرها'!$B:$B,$A1259,'تجربه‌گرها'!$F:$F,S$1)</f>
        <v>0</v>
      </c>
      <c r="T1259" s="242">
        <f>COUNTIFS('تجربه‌گرها'!$B:$B,$A1259,'تجربه‌گرها'!$F:$F,T$1)</f>
        <v>0</v>
      </c>
      <c r="U1259" s="242"/>
      <c r="V1259" s="242"/>
      <c r="W1259" s="242"/>
      <c r="X1259" s="242"/>
      <c r="Y1259" s="242"/>
      <c r="Z1259" s="242"/>
      <c r="AA1259" s="242"/>
      <c r="AB1259" s="242"/>
    </row>
    <row r="1260" hidden="1">
      <c r="A1260" s="244" t="s">
        <v>6186</v>
      </c>
      <c r="B1260" s="245" t="str">
        <f>VLOOKUP(A1260,'تجربه‌گرها'!B:C,2,FALSE())</f>
        <v>9210112150</v>
      </c>
      <c r="C1260" s="242"/>
      <c r="D1260" s="242">
        <f t="shared" si="1"/>
        <v>1</v>
      </c>
      <c r="E1260" s="242">
        <f>COUNTIFS('تجربه‌گرها'!$B:$B,$A1260,'تجربه‌گرها'!$F:$F,E$1)</f>
        <v>0</v>
      </c>
      <c r="F1260" s="242">
        <f>COUNTIFS('تجربه‌گرها'!$B:$B,$A1260,'تجربه‌گرها'!$F:$F,F$1)</f>
        <v>0</v>
      </c>
      <c r="G1260" s="242">
        <f>COUNTIFS('تجربه‌گرها'!$B:$B,$A1260,'تجربه‌گرها'!$F:$F,G$1)</f>
        <v>0</v>
      </c>
      <c r="H1260" s="242">
        <f>COUNTIFS('تجربه‌گرها'!$B:$B,$A1260,'تجربه‌گرها'!$F:$F,H$1)</f>
        <v>0</v>
      </c>
      <c r="I1260" s="242">
        <f>COUNTIFS('تجربه‌گرها'!$B:$B,$A1260,'تجربه‌گرها'!$F:$F,I$1)</f>
        <v>0</v>
      </c>
      <c r="J1260" s="242">
        <f>COUNTIFS('تجربه‌گرها'!$B:$B,$A1260,'تجربه‌گرها'!$F:$F,J$1)</f>
        <v>0</v>
      </c>
      <c r="K1260" s="242">
        <f>COUNTIFS('تجربه‌گرها'!$B:$B,$A1260,'تجربه‌گرها'!$F:$F,K$1)</f>
        <v>0</v>
      </c>
      <c r="L1260" s="242">
        <f>COUNTIFS('تجربه‌گرها'!$B:$B,$A1260,'تجربه‌گرها'!$F:$F,L$1)</f>
        <v>0</v>
      </c>
      <c r="M1260" s="242">
        <f>COUNTIFS('تجربه‌گرها'!$B:$B,$A1260,'تجربه‌گرها'!$F:$F,M$1)</f>
        <v>0</v>
      </c>
      <c r="N1260" s="242">
        <f>COUNTIFS('تجربه‌گرها'!$B:$B,$A1260,'تجربه‌گرها'!$F:$F,N$1)</f>
        <v>0</v>
      </c>
      <c r="O1260" s="242">
        <f>COUNTIFS('تجربه‌گرها'!$B:$B,$A1260,'تجربه‌گرها'!$F:$F,O$1)</f>
        <v>0</v>
      </c>
      <c r="P1260" s="242">
        <f>COUNTIFS('تجربه‌گرها'!$B:$B,$A1260,'تجربه‌گرها'!$F:$F,P$1)</f>
        <v>1</v>
      </c>
      <c r="Q1260" s="242">
        <f>COUNTIFS('تجربه‌گرها'!$B:$B,$A1260,'تجربه‌گرها'!$F:$F,Q$1)</f>
        <v>0</v>
      </c>
      <c r="R1260" s="242">
        <f>COUNTIFS('تجربه‌گرها'!$B:$B,$A1260,'تجربه‌گرها'!$F:$F,R$1)</f>
        <v>0</v>
      </c>
      <c r="S1260" s="242">
        <f>COUNTIFS('تجربه‌گرها'!$B:$B,$A1260,'تجربه‌گرها'!$F:$F,S$1)</f>
        <v>0</v>
      </c>
      <c r="T1260" s="242">
        <f>COUNTIFS('تجربه‌گرها'!$B:$B,$A1260,'تجربه‌گرها'!$F:$F,T$1)</f>
        <v>0</v>
      </c>
      <c r="U1260" s="242"/>
      <c r="V1260" s="242"/>
      <c r="W1260" s="242"/>
      <c r="X1260" s="242"/>
      <c r="Y1260" s="242"/>
      <c r="Z1260" s="242"/>
      <c r="AA1260" s="242"/>
      <c r="AB1260" s="242"/>
    </row>
    <row r="1261" hidden="1">
      <c r="A1261" s="244" t="s">
        <v>6188</v>
      </c>
      <c r="B1261" s="245" t="str">
        <f>VLOOKUP(A1261,'تجربه‌گرها'!B:C,2,FALSE())</f>
        <v>9302573489</v>
      </c>
      <c r="C1261" s="242"/>
      <c r="D1261" s="242">
        <f t="shared" si="1"/>
        <v>1</v>
      </c>
      <c r="E1261" s="242">
        <f>COUNTIFS('تجربه‌گرها'!$B:$B,$A1261,'تجربه‌گرها'!$F:$F,E$1)</f>
        <v>0</v>
      </c>
      <c r="F1261" s="242">
        <f>COUNTIFS('تجربه‌گرها'!$B:$B,$A1261,'تجربه‌گرها'!$F:$F,F$1)</f>
        <v>0</v>
      </c>
      <c r="G1261" s="242">
        <f>COUNTIFS('تجربه‌گرها'!$B:$B,$A1261,'تجربه‌گرها'!$F:$F,G$1)</f>
        <v>0</v>
      </c>
      <c r="H1261" s="242">
        <f>COUNTIFS('تجربه‌گرها'!$B:$B,$A1261,'تجربه‌گرها'!$F:$F,H$1)</f>
        <v>0</v>
      </c>
      <c r="I1261" s="242">
        <f>COUNTIFS('تجربه‌گرها'!$B:$B,$A1261,'تجربه‌گرها'!$F:$F,I$1)</f>
        <v>0</v>
      </c>
      <c r="J1261" s="242">
        <f>COUNTIFS('تجربه‌گرها'!$B:$B,$A1261,'تجربه‌گرها'!$F:$F,J$1)</f>
        <v>0</v>
      </c>
      <c r="K1261" s="242">
        <f>COUNTIFS('تجربه‌گرها'!$B:$B,$A1261,'تجربه‌گرها'!$F:$F,K$1)</f>
        <v>0</v>
      </c>
      <c r="L1261" s="242">
        <f>COUNTIFS('تجربه‌گرها'!$B:$B,$A1261,'تجربه‌گرها'!$F:$F,L$1)</f>
        <v>0</v>
      </c>
      <c r="M1261" s="242">
        <f>COUNTIFS('تجربه‌گرها'!$B:$B,$A1261,'تجربه‌گرها'!$F:$F,M$1)</f>
        <v>0</v>
      </c>
      <c r="N1261" s="242">
        <f>COUNTIFS('تجربه‌گرها'!$B:$B,$A1261,'تجربه‌گرها'!$F:$F,N$1)</f>
        <v>0</v>
      </c>
      <c r="O1261" s="242">
        <f>COUNTIFS('تجربه‌گرها'!$B:$B,$A1261,'تجربه‌گرها'!$F:$F,O$1)</f>
        <v>0</v>
      </c>
      <c r="P1261" s="242">
        <f>COUNTIFS('تجربه‌گرها'!$B:$B,$A1261,'تجربه‌گرها'!$F:$F,P$1)</f>
        <v>1</v>
      </c>
      <c r="Q1261" s="242">
        <f>COUNTIFS('تجربه‌گرها'!$B:$B,$A1261,'تجربه‌گرها'!$F:$F,Q$1)</f>
        <v>0</v>
      </c>
      <c r="R1261" s="242">
        <f>COUNTIFS('تجربه‌گرها'!$B:$B,$A1261,'تجربه‌گرها'!$F:$F,R$1)</f>
        <v>0</v>
      </c>
      <c r="S1261" s="242">
        <f>COUNTIFS('تجربه‌گرها'!$B:$B,$A1261,'تجربه‌گرها'!$F:$F,S$1)</f>
        <v>0</v>
      </c>
      <c r="T1261" s="242">
        <f>COUNTIFS('تجربه‌گرها'!$B:$B,$A1261,'تجربه‌گرها'!$F:$F,T$1)</f>
        <v>0</v>
      </c>
      <c r="U1261" s="242"/>
      <c r="V1261" s="242"/>
      <c r="W1261" s="242"/>
      <c r="X1261" s="242"/>
      <c r="Y1261" s="242"/>
      <c r="Z1261" s="242"/>
      <c r="AA1261" s="242"/>
      <c r="AB1261" s="242"/>
    </row>
    <row r="1262" hidden="1">
      <c r="A1262" s="244" t="s">
        <v>6191</v>
      </c>
      <c r="B1262" s="245" t="str">
        <f>VLOOKUP(A1262,'تجربه‌گرها'!B:C,2,FALSE())</f>
        <v>9107843118</v>
      </c>
      <c r="C1262" s="242"/>
      <c r="D1262" s="242">
        <f t="shared" si="1"/>
        <v>1</v>
      </c>
      <c r="E1262" s="242">
        <f>COUNTIFS('تجربه‌گرها'!$B:$B,$A1262,'تجربه‌گرها'!$F:$F,E$1)</f>
        <v>0</v>
      </c>
      <c r="F1262" s="242">
        <f>COUNTIFS('تجربه‌گرها'!$B:$B,$A1262,'تجربه‌گرها'!$F:$F,F$1)</f>
        <v>0</v>
      </c>
      <c r="G1262" s="242">
        <f>COUNTIFS('تجربه‌گرها'!$B:$B,$A1262,'تجربه‌گرها'!$F:$F,G$1)</f>
        <v>0</v>
      </c>
      <c r="H1262" s="242">
        <f>COUNTIFS('تجربه‌گرها'!$B:$B,$A1262,'تجربه‌گرها'!$F:$F,H$1)</f>
        <v>0</v>
      </c>
      <c r="I1262" s="242">
        <f>COUNTIFS('تجربه‌گرها'!$B:$B,$A1262,'تجربه‌گرها'!$F:$F,I$1)</f>
        <v>0</v>
      </c>
      <c r="J1262" s="242">
        <f>COUNTIFS('تجربه‌گرها'!$B:$B,$A1262,'تجربه‌گرها'!$F:$F,J$1)</f>
        <v>0</v>
      </c>
      <c r="K1262" s="242">
        <f>COUNTIFS('تجربه‌گرها'!$B:$B,$A1262,'تجربه‌گرها'!$F:$F,K$1)</f>
        <v>0</v>
      </c>
      <c r="L1262" s="242">
        <f>COUNTIFS('تجربه‌گرها'!$B:$B,$A1262,'تجربه‌گرها'!$F:$F,L$1)</f>
        <v>0</v>
      </c>
      <c r="M1262" s="242">
        <f>COUNTIFS('تجربه‌گرها'!$B:$B,$A1262,'تجربه‌گرها'!$F:$F,M$1)</f>
        <v>0</v>
      </c>
      <c r="N1262" s="242">
        <f>COUNTIFS('تجربه‌گرها'!$B:$B,$A1262,'تجربه‌گرها'!$F:$F,N$1)</f>
        <v>0</v>
      </c>
      <c r="O1262" s="242">
        <f>COUNTIFS('تجربه‌گرها'!$B:$B,$A1262,'تجربه‌گرها'!$F:$F,O$1)</f>
        <v>0</v>
      </c>
      <c r="P1262" s="242">
        <f>COUNTIFS('تجربه‌گرها'!$B:$B,$A1262,'تجربه‌گرها'!$F:$F,P$1)</f>
        <v>1</v>
      </c>
      <c r="Q1262" s="242">
        <f>COUNTIFS('تجربه‌گرها'!$B:$B,$A1262,'تجربه‌گرها'!$F:$F,Q$1)</f>
        <v>0</v>
      </c>
      <c r="R1262" s="242">
        <f>COUNTIFS('تجربه‌گرها'!$B:$B,$A1262,'تجربه‌گرها'!$F:$F,R$1)</f>
        <v>0</v>
      </c>
      <c r="S1262" s="242">
        <f>COUNTIFS('تجربه‌گرها'!$B:$B,$A1262,'تجربه‌گرها'!$F:$F,S$1)</f>
        <v>0</v>
      </c>
      <c r="T1262" s="242">
        <f>COUNTIFS('تجربه‌گرها'!$B:$B,$A1262,'تجربه‌گرها'!$F:$F,T$1)</f>
        <v>0</v>
      </c>
      <c r="U1262" s="242"/>
      <c r="V1262" s="242"/>
      <c r="W1262" s="242"/>
      <c r="X1262" s="242"/>
      <c r="Y1262" s="242"/>
      <c r="Z1262" s="242"/>
      <c r="AA1262" s="242"/>
      <c r="AB1262" s="242"/>
    </row>
    <row r="1263" hidden="1">
      <c r="A1263" s="244" t="s">
        <v>6193</v>
      </c>
      <c r="B1263" s="245" t="str">
        <f>VLOOKUP(A1263,'تجربه‌گرها'!B:C,2,FALSE())</f>
        <v>9118806670</v>
      </c>
      <c r="C1263" s="242"/>
      <c r="D1263" s="242">
        <f t="shared" si="1"/>
        <v>1</v>
      </c>
      <c r="E1263" s="242">
        <f>COUNTIFS('تجربه‌گرها'!$B:$B,$A1263,'تجربه‌گرها'!$F:$F,E$1)</f>
        <v>0</v>
      </c>
      <c r="F1263" s="242">
        <f>COUNTIFS('تجربه‌گرها'!$B:$B,$A1263,'تجربه‌گرها'!$F:$F,F$1)</f>
        <v>0</v>
      </c>
      <c r="G1263" s="242">
        <f>COUNTIFS('تجربه‌گرها'!$B:$B,$A1263,'تجربه‌گرها'!$F:$F,G$1)</f>
        <v>0</v>
      </c>
      <c r="H1263" s="242">
        <f>COUNTIFS('تجربه‌گرها'!$B:$B,$A1263,'تجربه‌گرها'!$F:$F,H$1)</f>
        <v>0</v>
      </c>
      <c r="I1263" s="242">
        <f>COUNTIFS('تجربه‌گرها'!$B:$B,$A1263,'تجربه‌گرها'!$F:$F,I$1)</f>
        <v>0</v>
      </c>
      <c r="J1263" s="242">
        <f>COUNTIFS('تجربه‌گرها'!$B:$B,$A1263,'تجربه‌گرها'!$F:$F,J$1)</f>
        <v>0</v>
      </c>
      <c r="K1263" s="242">
        <f>COUNTIFS('تجربه‌گرها'!$B:$B,$A1263,'تجربه‌گرها'!$F:$F,K$1)</f>
        <v>0</v>
      </c>
      <c r="L1263" s="242">
        <f>COUNTIFS('تجربه‌گرها'!$B:$B,$A1263,'تجربه‌گرها'!$F:$F,L$1)</f>
        <v>0</v>
      </c>
      <c r="M1263" s="242">
        <f>COUNTIFS('تجربه‌گرها'!$B:$B,$A1263,'تجربه‌گرها'!$F:$F,M$1)</f>
        <v>0</v>
      </c>
      <c r="N1263" s="242">
        <f>COUNTIFS('تجربه‌گرها'!$B:$B,$A1263,'تجربه‌گرها'!$F:$F,N$1)</f>
        <v>0</v>
      </c>
      <c r="O1263" s="242">
        <f>COUNTIFS('تجربه‌گرها'!$B:$B,$A1263,'تجربه‌گرها'!$F:$F,O$1)</f>
        <v>0</v>
      </c>
      <c r="P1263" s="242">
        <f>COUNTIFS('تجربه‌گرها'!$B:$B,$A1263,'تجربه‌گرها'!$F:$F,P$1)</f>
        <v>1</v>
      </c>
      <c r="Q1263" s="242">
        <f>COUNTIFS('تجربه‌گرها'!$B:$B,$A1263,'تجربه‌گرها'!$F:$F,Q$1)</f>
        <v>0</v>
      </c>
      <c r="R1263" s="242">
        <f>COUNTIFS('تجربه‌گرها'!$B:$B,$A1263,'تجربه‌گرها'!$F:$F,R$1)</f>
        <v>0</v>
      </c>
      <c r="S1263" s="242">
        <f>COUNTIFS('تجربه‌گرها'!$B:$B,$A1263,'تجربه‌گرها'!$F:$F,S$1)</f>
        <v>0</v>
      </c>
      <c r="T1263" s="242">
        <f>COUNTIFS('تجربه‌گرها'!$B:$B,$A1263,'تجربه‌گرها'!$F:$F,T$1)</f>
        <v>0</v>
      </c>
      <c r="U1263" s="242"/>
      <c r="V1263" s="242"/>
      <c r="W1263" s="242"/>
      <c r="X1263" s="242"/>
      <c r="Y1263" s="242"/>
      <c r="Z1263" s="242"/>
      <c r="AA1263" s="242"/>
      <c r="AB1263" s="242"/>
    </row>
    <row r="1264" hidden="1">
      <c r="A1264" s="244" t="s">
        <v>6195</v>
      </c>
      <c r="B1264" s="245" t="str">
        <f>VLOOKUP(A1264,'تجربه‌گرها'!B:C,2,FALSE())</f>
        <v>9912502800</v>
      </c>
      <c r="C1264" s="242"/>
      <c r="D1264" s="242">
        <f t="shared" si="1"/>
        <v>1</v>
      </c>
      <c r="E1264" s="242">
        <f>COUNTIFS('تجربه‌گرها'!$B:$B,$A1264,'تجربه‌گرها'!$F:$F,E$1)</f>
        <v>0</v>
      </c>
      <c r="F1264" s="242">
        <f>COUNTIFS('تجربه‌گرها'!$B:$B,$A1264,'تجربه‌گرها'!$F:$F,F$1)</f>
        <v>0</v>
      </c>
      <c r="G1264" s="242">
        <f>COUNTIFS('تجربه‌گرها'!$B:$B,$A1264,'تجربه‌گرها'!$F:$F,G$1)</f>
        <v>0</v>
      </c>
      <c r="H1264" s="242">
        <f>COUNTIFS('تجربه‌گرها'!$B:$B,$A1264,'تجربه‌گرها'!$F:$F,H$1)</f>
        <v>0</v>
      </c>
      <c r="I1264" s="242">
        <f>COUNTIFS('تجربه‌گرها'!$B:$B,$A1264,'تجربه‌گرها'!$F:$F,I$1)</f>
        <v>0</v>
      </c>
      <c r="J1264" s="242">
        <f>COUNTIFS('تجربه‌گرها'!$B:$B,$A1264,'تجربه‌گرها'!$F:$F,J$1)</f>
        <v>0</v>
      </c>
      <c r="K1264" s="242">
        <f>COUNTIFS('تجربه‌گرها'!$B:$B,$A1264,'تجربه‌گرها'!$F:$F,K$1)</f>
        <v>0</v>
      </c>
      <c r="L1264" s="242">
        <f>COUNTIFS('تجربه‌گرها'!$B:$B,$A1264,'تجربه‌گرها'!$F:$F,L$1)</f>
        <v>0</v>
      </c>
      <c r="M1264" s="242">
        <f>COUNTIFS('تجربه‌گرها'!$B:$B,$A1264,'تجربه‌گرها'!$F:$F,M$1)</f>
        <v>0</v>
      </c>
      <c r="N1264" s="242">
        <f>COUNTIFS('تجربه‌گرها'!$B:$B,$A1264,'تجربه‌گرها'!$F:$F,N$1)</f>
        <v>0</v>
      </c>
      <c r="O1264" s="242">
        <f>COUNTIFS('تجربه‌گرها'!$B:$B,$A1264,'تجربه‌گرها'!$F:$F,O$1)</f>
        <v>0</v>
      </c>
      <c r="P1264" s="242">
        <f>COUNTIFS('تجربه‌گرها'!$B:$B,$A1264,'تجربه‌گرها'!$F:$F,P$1)</f>
        <v>1</v>
      </c>
      <c r="Q1264" s="242">
        <f>COUNTIFS('تجربه‌گرها'!$B:$B,$A1264,'تجربه‌گرها'!$F:$F,Q$1)</f>
        <v>0</v>
      </c>
      <c r="R1264" s="242">
        <f>COUNTIFS('تجربه‌گرها'!$B:$B,$A1264,'تجربه‌گرها'!$F:$F,R$1)</f>
        <v>0</v>
      </c>
      <c r="S1264" s="242">
        <f>COUNTIFS('تجربه‌گرها'!$B:$B,$A1264,'تجربه‌گرها'!$F:$F,S$1)</f>
        <v>0</v>
      </c>
      <c r="T1264" s="242">
        <f>COUNTIFS('تجربه‌گرها'!$B:$B,$A1264,'تجربه‌گرها'!$F:$F,T$1)</f>
        <v>0</v>
      </c>
      <c r="U1264" s="242"/>
      <c r="V1264" s="242"/>
      <c r="W1264" s="242"/>
      <c r="X1264" s="242"/>
      <c r="Y1264" s="242"/>
      <c r="Z1264" s="242"/>
      <c r="AA1264" s="242"/>
      <c r="AB1264" s="242"/>
    </row>
    <row r="1265" hidden="1">
      <c r="A1265" s="244" t="s">
        <v>6199</v>
      </c>
      <c r="B1265" s="245" t="str">
        <f>VLOOKUP(A1265,'تجربه‌گرها'!B:C,2,FALSE())</f>
        <v>9382625024</v>
      </c>
      <c r="C1265" s="242"/>
      <c r="D1265" s="242">
        <f t="shared" si="1"/>
        <v>1</v>
      </c>
      <c r="E1265" s="242">
        <f>COUNTIFS('تجربه‌گرها'!$B:$B,$A1265,'تجربه‌گرها'!$F:$F,E$1)</f>
        <v>0</v>
      </c>
      <c r="F1265" s="242">
        <f>COUNTIFS('تجربه‌گرها'!$B:$B,$A1265,'تجربه‌گرها'!$F:$F,F$1)</f>
        <v>0</v>
      </c>
      <c r="G1265" s="242">
        <f>COUNTIFS('تجربه‌گرها'!$B:$B,$A1265,'تجربه‌گرها'!$F:$F,G$1)</f>
        <v>0</v>
      </c>
      <c r="H1265" s="242">
        <f>COUNTIFS('تجربه‌گرها'!$B:$B,$A1265,'تجربه‌گرها'!$F:$F,H$1)</f>
        <v>0</v>
      </c>
      <c r="I1265" s="242">
        <f>COUNTIFS('تجربه‌گرها'!$B:$B,$A1265,'تجربه‌گرها'!$F:$F,I$1)</f>
        <v>0</v>
      </c>
      <c r="J1265" s="242">
        <f>COUNTIFS('تجربه‌گرها'!$B:$B,$A1265,'تجربه‌گرها'!$F:$F,J$1)</f>
        <v>0</v>
      </c>
      <c r="K1265" s="242">
        <f>COUNTIFS('تجربه‌گرها'!$B:$B,$A1265,'تجربه‌گرها'!$F:$F,K$1)</f>
        <v>0</v>
      </c>
      <c r="L1265" s="242">
        <f>COUNTIFS('تجربه‌گرها'!$B:$B,$A1265,'تجربه‌گرها'!$F:$F,L$1)</f>
        <v>0</v>
      </c>
      <c r="M1265" s="242">
        <f>COUNTIFS('تجربه‌گرها'!$B:$B,$A1265,'تجربه‌گرها'!$F:$F,M$1)</f>
        <v>0</v>
      </c>
      <c r="N1265" s="242">
        <f>COUNTIFS('تجربه‌گرها'!$B:$B,$A1265,'تجربه‌گرها'!$F:$F,N$1)</f>
        <v>0</v>
      </c>
      <c r="O1265" s="242">
        <f>COUNTIFS('تجربه‌گرها'!$B:$B,$A1265,'تجربه‌گرها'!$F:$F,O$1)</f>
        <v>0</v>
      </c>
      <c r="P1265" s="242">
        <f>COUNTIFS('تجربه‌گرها'!$B:$B,$A1265,'تجربه‌گرها'!$F:$F,P$1)</f>
        <v>1</v>
      </c>
      <c r="Q1265" s="242">
        <f>COUNTIFS('تجربه‌گرها'!$B:$B,$A1265,'تجربه‌گرها'!$F:$F,Q$1)</f>
        <v>0</v>
      </c>
      <c r="R1265" s="242">
        <f>COUNTIFS('تجربه‌گرها'!$B:$B,$A1265,'تجربه‌گرها'!$F:$F,R$1)</f>
        <v>0</v>
      </c>
      <c r="S1265" s="242">
        <f>COUNTIFS('تجربه‌گرها'!$B:$B,$A1265,'تجربه‌گرها'!$F:$F,S$1)</f>
        <v>0</v>
      </c>
      <c r="T1265" s="242">
        <f>COUNTIFS('تجربه‌گرها'!$B:$B,$A1265,'تجربه‌گرها'!$F:$F,T$1)</f>
        <v>0</v>
      </c>
      <c r="U1265" s="242"/>
      <c r="V1265" s="242"/>
      <c r="W1265" s="242"/>
      <c r="X1265" s="242"/>
      <c r="Y1265" s="242"/>
      <c r="Z1265" s="242"/>
      <c r="AA1265" s="242"/>
      <c r="AB1265" s="242"/>
    </row>
    <row r="1266" hidden="1">
      <c r="A1266" s="244" t="s">
        <v>6204</v>
      </c>
      <c r="B1266" s="245" t="str">
        <f>VLOOKUP(A1266,'تجربه‌گرها'!B:C,2,FALSE())</f>
        <v>۰۹۱۹۶۸۲۸۹۴۹</v>
      </c>
      <c r="C1266" s="242"/>
      <c r="D1266" s="242">
        <f t="shared" si="1"/>
        <v>1</v>
      </c>
      <c r="E1266" s="242">
        <f>COUNTIFS('تجربه‌گرها'!$B:$B,$A1266,'تجربه‌گرها'!$F:$F,E$1)</f>
        <v>0</v>
      </c>
      <c r="F1266" s="242">
        <f>COUNTIFS('تجربه‌گرها'!$B:$B,$A1266,'تجربه‌گرها'!$F:$F,F$1)</f>
        <v>0</v>
      </c>
      <c r="G1266" s="242">
        <f>COUNTIFS('تجربه‌گرها'!$B:$B,$A1266,'تجربه‌گرها'!$F:$F,G$1)</f>
        <v>0</v>
      </c>
      <c r="H1266" s="242">
        <f>COUNTIFS('تجربه‌گرها'!$B:$B,$A1266,'تجربه‌گرها'!$F:$F,H$1)</f>
        <v>0</v>
      </c>
      <c r="I1266" s="242">
        <f>COUNTIFS('تجربه‌گرها'!$B:$B,$A1266,'تجربه‌گرها'!$F:$F,I$1)</f>
        <v>0</v>
      </c>
      <c r="J1266" s="242">
        <f>COUNTIFS('تجربه‌گرها'!$B:$B,$A1266,'تجربه‌گرها'!$F:$F,J$1)</f>
        <v>0</v>
      </c>
      <c r="K1266" s="242">
        <f>COUNTIFS('تجربه‌گرها'!$B:$B,$A1266,'تجربه‌گرها'!$F:$F,K$1)</f>
        <v>0</v>
      </c>
      <c r="L1266" s="242">
        <f>COUNTIFS('تجربه‌گرها'!$B:$B,$A1266,'تجربه‌گرها'!$F:$F,L$1)</f>
        <v>0</v>
      </c>
      <c r="M1266" s="242">
        <f>COUNTIFS('تجربه‌گرها'!$B:$B,$A1266,'تجربه‌گرها'!$F:$F,M$1)</f>
        <v>0</v>
      </c>
      <c r="N1266" s="242">
        <f>COUNTIFS('تجربه‌گرها'!$B:$B,$A1266,'تجربه‌گرها'!$F:$F,N$1)</f>
        <v>0</v>
      </c>
      <c r="O1266" s="242">
        <f>COUNTIFS('تجربه‌گرها'!$B:$B,$A1266,'تجربه‌گرها'!$F:$F,O$1)</f>
        <v>0</v>
      </c>
      <c r="P1266" s="242">
        <f>COUNTIFS('تجربه‌گرها'!$B:$B,$A1266,'تجربه‌گرها'!$F:$F,P$1)</f>
        <v>1</v>
      </c>
      <c r="Q1266" s="242">
        <f>COUNTIFS('تجربه‌گرها'!$B:$B,$A1266,'تجربه‌گرها'!$F:$F,Q$1)</f>
        <v>0</v>
      </c>
      <c r="R1266" s="242">
        <f>COUNTIFS('تجربه‌گرها'!$B:$B,$A1266,'تجربه‌گرها'!$F:$F,R$1)</f>
        <v>0</v>
      </c>
      <c r="S1266" s="242">
        <f>COUNTIFS('تجربه‌گرها'!$B:$B,$A1266,'تجربه‌گرها'!$F:$F,S$1)</f>
        <v>0</v>
      </c>
      <c r="T1266" s="242">
        <f>COUNTIFS('تجربه‌گرها'!$B:$B,$A1266,'تجربه‌گرها'!$F:$F,T$1)</f>
        <v>0</v>
      </c>
      <c r="U1266" s="242"/>
      <c r="V1266" s="242"/>
      <c r="W1266" s="242"/>
      <c r="X1266" s="242"/>
      <c r="Y1266" s="242"/>
      <c r="Z1266" s="242"/>
      <c r="AA1266" s="242"/>
      <c r="AB1266" s="242"/>
    </row>
    <row r="1267" hidden="1">
      <c r="A1267" s="244" t="s">
        <v>6208</v>
      </c>
      <c r="B1267" s="245" t="str">
        <f>VLOOKUP(A1267,'تجربه‌گرها'!B:C,2,FALSE())</f>
        <v>۰۹۲۲۳۹۴۴۹۶۷</v>
      </c>
      <c r="C1267" s="242"/>
      <c r="D1267" s="242">
        <f t="shared" si="1"/>
        <v>1</v>
      </c>
      <c r="E1267" s="242">
        <f>COUNTIFS('تجربه‌گرها'!$B:$B,$A1267,'تجربه‌گرها'!$F:$F,E$1)</f>
        <v>0</v>
      </c>
      <c r="F1267" s="242">
        <f>COUNTIFS('تجربه‌گرها'!$B:$B,$A1267,'تجربه‌گرها'!$F:$F,F$1)</f>
        <v>0</v>
      </c>
      <c r="G1267" s="242">
        <f>COUNTIFS('تجربه‌گرها'!$B:$B,$A1267,'تجربه‌گرها'!$F:$F,G$1)</f>
        <v>0</v>
      </c>
      <c r="H1267" s="242">
        <f>COUNTIFS('تجربه‌گرها'!$B:$B,$A1267,'تجربه‌گرها'!$F:$F,H$1)</f>
        <v>0</v>
      </c>
      <c r="I1267" s="242">
        <f>COUNTIFS('تجربه‌گرها'!$B:$B,$A1267,'تجربه‌گرها'!$F:$F,I$1)</f>
        <v>0</v>
      </c>
      <c r="J1267" s="242">
        <f>COUNTIFS('تجربه‌گرها'!$B:$B,$A1267,'تجربه‌گرها'!$F:$F,J$1)</f>
        <v>0</v>
      </c>
      <c r="K1267" s="242">
        <f>COUNTIFS('تجربه‌گرها'!$B:$B,$A1267,'تجربه‌گرها'!$F:$F,K$1)</f>
        <v>0</v>
      </c>
      <c r="L1267" s="242">
        <f>COUNTIFS('تجربه‌گرها'!$B:$B,$A1267,'تجربه‌گرها'!$F:$F,L$1)</f>
        <v>0</v>
      </c>
      <c r="M1267" s="242">
        <f>COUNTIFS('تجربه‌گرها'!$B:$B,$A1267,'تجربه‌گرها'!$F:$F,M$1)</f>
        <v>0</v>
      </c>
      <c r="N1267" s="242">
        <f>COUNTIFS('تجربه‌گرها'!$B:$B,$A1267,'تجربه‌گرها'!$F:$F,N$1)</f>
        <v>0</v>
      </c>
      <c r="O1267" s="242">
        <f>COUNTIFS('تجربه‌گرها'!$B:$B,$A1267,'تجربه‌گرها'!$F:$F,O$1)</f>
        <v>0</v>
      </c>
      <c r="P1267" s="242">
        <f>COUNTIFS('تجربه‌گرها'!$B:$B,$A1267,'تجربه‌گرها'!$F:$F,P$1)</f>
        <v>1</v>
      </c>
      <c r="Q1267" s="242">
        <f>COUNTIFS('تجربه‌گرها'!$B:$B,$A1267,'تجربه‌گرها'!$F:$F,Q$1)</f>
        <v>0</v>
      </c>
      <c r="R1267" s="242">
        <f>COUNTIFS('تجربه‌گرها'!$B:$B,$A1267,'تجربه‌گرها'!$F:$F,R$1)</f>
        <v>0</v>
      </c>
      <c r="S1267" s="242">
        <f>COUNTIFS('تجربه‌گرها'!$B:$B,$A1267,'تجربه‌گرها'!$F:$F,S$1)</f>
        <v>0</v>
      </c>
      <c r="T1267" s="242">
        <f>COUNTIFS('تجربه‌گرها'!$B:$B,$A1267,'تجربه‌گرها'!$F:$F,T$1)</f>
        <v>0</v>
      </c>
      <c r="U1267" s="242"/>
      <c r="V1267" s="242"/>
      <c r="W1267" s="242"/>
      <c r="X1267" s="242"/>
      <c r="Y1267" s="242"/>
      <c r="Z1267" s="242"/>
      <c r="AA1267" s="242"/>
      <c r="AB1267" s="242"/>
    </row>
    <row r="1268" hidden="1">
      <c r="A1268" s="244" t="s">
        <v>6214</v>
      </c>
      <c r="B1268" s="245" t="str">
        <f>VLOOKUP(A1268,'تجربه‌گرها'!B:C,2,FALSE())</f>
        <v>۰۹۱۲۳۴۷۰۷۱۱
9359338520</v>
      </c>
      <c r="C1268" s="242"/>
      <c r="D1268" s="242">
        <f t="shared" si="1"/>
        <v>2</v>
      </c>
      <c r="E1268" s="242">
        <f>COUNTIFS('تجربه‌گرها'!$B:$B,$A1268,'تجربه‌گرها'!$F:$F,E$1)</f>
        <v>0</v>
      </c>
      <c r="F1268" s="242">
        <f>COUNTIFS('تجربه‌گرها'!$B:$B,$A1268,'تجربه‌گرها'!$F:$F,F$1)</f>
        <v>0</v>
      </c>
      <c r="G1268" s="242">
        <f>COUNTIFS('تجربه‌گرها'!$B:$B,$A1268,'تجربه‌گرها'!$F:$F,G$1)</f>
        <v>0</v>
      </c>
      <c r="H1268" s="242">
        <f>COUNTIFS('تجربه‌گرها'!$B:$B,$A1268,'تجربه‌گرها'!$F:$F,H$1)</f>
        <v>0</v>
      </c>
      <c r="I1268" s="242">
        <f>COUNTIFS('تجربه‌گرها'!$B:$B,$A1268,'تجربه‌گرها'!$F:$F,I$1)</f>
        <v>0</v>
      </c>
      <c r="J1268" s="242">
        <f>COUNTIFS('تجربه‌گرها'!$B:$B,$A1268,'تجربه‌گرها'!$F:$F,J$1)</f>
        <v>0</v>
      </c>
      <c r="K1268" s="242">
        <f>COUNTIFS('تجربه‌گرها'!$B:$B,$A1268,'تجربه‌گرها'!$F:$F,K$1)</f>
        <v>0</v>
      </c>
      <c r="L1268" s="242">
        <f>COUNTIFS('تجربه‌گرها'!$B:$B,$A1268,'تجربه‌گرها'!$F:$F,L$1)</f>
        <v>0</v>
      </c>
      <c r="M1268" s="242">
        <f>COUNTIFS('تجربه‌گرها'!$B:$B,$A1268,'تجربه‌گرها'!$F:$F,M$1)</f>
        <v>0</v>
      </c>
      <c r="N1268" s="242">
        <f>COUNTIFS('تجربه‌گرها'!$B:$B,$A1268,'تجربه‌گرها'!$F:$F,N$1)</f>
        <v>0</v>
      </c>
      <c r="O1268" s="242">
        <f>COUNTIFS('تجربه‌گرها'!$B:$B,$A1268,'تجربه‌گرها'!$F:$F,O$1)</f>
        <v>0</v>
      </c>
      <c r="P1268" s="242">
        <f>COUNTIFS('تجربه‌گرها'!$B:$B,$A1268,'تجربه‌گرها'!$F:$F,P$1)</f>
        <v>1</v>
      </c>
      <c r="Q1268" s="242">
        <f>COUNTIFS('تجربه‌گرها'!$B:$B,$A1268,'تجربه‌گرها'!$F:$F,Q$1)</f>
        <v>1</v>
      </c>
      <c r="R1268" s="242">
        <f>COUNTIFS('تجربه‌گرها'!$B:$B,$A1268,'تجربه‌گرها'!$F:$F,R$1)</f>
        <v>0</v>
      </c>
      <c r="S1268" s="242">
        <f>COUNTIFS('تجربه‌گرها'!$B:$B,$A1268,'تجربه‌گرها'!$F:$F,S$1)</f>
        <v>0</v>
      </c>
      <c r="T1268" s="242">
        <f>COUNTIFS('تجربه‌گرها'!$B:$B,$A1268,'تجربه‌گرها'!$F:$F,T$1)</f>
        <v>0</v>
      </c>
      <c r="U1268" s="242"/>
      <c r="V1268" s="242"/>
      <c r="W1268" s="242"/>
      <c r="X1268" s="242"/>
      <c r="Y1268" s="242"/>
      <c r="Z1268" s="242"/>
      <c r="AA1268" s="242"/>
      <c r="AB1268" s="242"/>
    </row>
    <row r="1269" hidden="1">
      <c r="A1269" s="244" t="s">
        <v>6218</v>
      </c>
      <c r="B1269" s="245" t="str">
        <f>VLOOKUP(A1269,'تجربه‌گرها'!B:C,2,FALSE())</f>
        <v>۰۹۳۰۶۴۳۰۸۲۸</v>
      </c>
      <c r="C1269" s="242"/>
      <c r="D1269" s="242">
        <f t="shared" si="1"/>
        <v>1</v>
      </c>
      <c r="E1269" s="242">
        <f>COUNTIFS('تجربه‌گرها'!$B:$B,$A1269,'تجربه‌گرها'!$F:$F,E$1)</f>
        <v>0</v>
      </c>
      <c r="F1269" s="242">
        <f>COUNTIFS('تجربه‌گرها'!$B:$B,$A1269,'تجربه‌گرها'!$F:$F,F$1)</f>
        <v>0</v>
      </c>
      <c r="G1269" s="242">
        <f>COUNTIFS('تجربه‌گرها'!$B:$B,$A1269,'تجربه‌گرها'!$F:$F,G$1)</f>
        <v>0</v>
      </c>
      <c r="H1269" s="242">
        <f>COUNTIFS('تجربه‌گرها'!$B:$B,$A1269,'تجربه‌گرها'!$F:$F,H$1)</f>
        <v>0</v>
      </c>
      <c r="I1269" s="242">
        <f>COUNTIFS('تجربه‌گرها'!$B:$B,$A1269,'تجربه‌گرها'!$F:$F,I$1)</f>
        <v>0</v>
      </c>
      <c r="J1269" s="242">
        <f>COUNTIFS('تجربه‌گرها'!$B:$B,$A1269,'تجربه‌گرها'!$F:$F,J$1)</f>
        <v>0</v>
      </c>
      <c r="K1269" s="242">
        <f>COUNTIFS('تجربه‌گرها'!$B:$B,$A1269,'تجربه‌گرها'!$F:$F,K$1)</f>
        <v>0</v>
      </c>
      <c r="L1269" s="242">
        <f>COUNTIFS('تجربه‌گرها'!$B:$B,$A1269,'تجربه‌گرها'!$F:$F,L$1)</f>
        <v>0</v>
      </c>
      <c r="M1269" s="242">
        <f>COUNTIFS('تجربه‌گرها'!$B:$B,$A1269,'تجربه‌گرها'!$F:$F,M$1)</f>
        <v>0</v>
      </c>
      <c r="N1269" s="242">
        <f>COUNTIFS('تجربه‌گرها'!$B:$B,$A1269,'تجربه‌گرها'!$F:$F,N$1)</f>
        <v>0</v>
      </c>
      <c r="O1269" s="242">
        <f>COUNTIFS('تجربه‌گرها'!$B:$B,$A1269,'تجربه‌گرها'!$F:$F,O$1)</f>
        <v>0</v>
      </c>
      <c r="P1269" s="242">
        <f>COUNTIFS('تجربه‌گرها'!$B:$B,$A1269,'تجربه‌گرها'!$F:$F,P$1)</f>
        <v>1</v>
      </c>
      <c r="Q1269" s="242">
        <f>COUNTIFS('تجربه‌گرها'!$B:$B,$A1269,'تجربه‌گرها'!$F:$F,Q$1)</f>
        <v>0</v>
      </c>
      <c r="R1269" s="242">
        <f>COUNTIFS('تجربه‌گرها'!$B:$B,$A1269,'تجربه‌گرها'!$F:$F,R$1)</f>
        <v>0</v>
      </c>
      <c r="S1269" s="242">
        <f>COUNTIFS('تجربه‌گرها'!$B:$B,$A1269,'تجربه‌گرها'!$F:$F,S$1)</f>
        <v>0</v>
      </c>
      <c r="T1269" s="242">
        <f>COUNTIFS('تجربه‌گرها'!$B:$B,$A1269,'تجربه‌گرها'!$F:$F,T$1)</f>
        <v>0</v>
      </c>
      <c r="U1269" s="242"/>
      <c r="V1269" s="242"/>
      <c r="W1269" s="242"/>
      <c r="X1269" s="242"/>
      <c r="Y1269" s="242"/>
      <c r="Z1269" s="242"/>
      <c r="AA1269" s="242"/>
      <c r="AB1269" s="242"/>
    </row>
    <row r="1270" hidden="1">
      <c r="A1270" s="244" t="s">
        <v>6221</v>
      </c>
      <c r="B1270" s="245" t="str">
        <f>VLOOKUP(A1270,'تجربه‌گرها'!B:C,2,FALSE())</f>
        <v>۰۹۳۹۵۴۷۲۰۰۴</v>
      </c>
      <c r="C1270" s="242"/>
      <c r="D1270" s="242">
        <f t="shared" si="1"/>
        <v>1</v>
      </c>
      <c r="E1270" s="242">
        <f>COUNTIFS('تجربه‌گرها'!$B:$B,$A1270,'تجربه‌گرها'!$F:$F,E$1)</f>
        <v>0</v>
      </c>
      <c r="F1270" s="242">
        <f>COUNTIFS('تجربه‌گرها'!$B:$B,$A1270,'تجربه‌گرها'!$F:$F,F$1)</f>
        <v>0</v>
      </c>
      <c r="G1270" s="242">
        <f>COUNTIFS('تجربه‌گرها'!$B:$B,$A1270,'تجربه‌گرها'!$F:$F,G$1)</f>
        <v>0</v>
      </c>
      <c r="H1270" s="242">
        <f>COUNTIFS('تجربه‌گرها'!$B:$B,$A1270,'تجربه‌گرها'!$F:$F,H$1)</f>
        <v>0</v>
      </c>
      <c r="I1270" s="242">
        <f>COUNTIFS('تجربه‌گرها'!$B:$B,$A1270,'تجربه‌گرها'!$F:$F,I$1)</f>
        <v>0</v>
      </c>
      <c r="J1270" s="242">
        <f>COUNTIFS('تجربه‌گرها'!$B:$B,$A1270,'تجربه‌گرها'!$F:$F,J$1)</f>
        <v>0</v>
      </c>
      <c r="K1270" s="242">
        <f>COUNTIFS('تجربه‌گرها'!$B:$B,$A1270,'تجربه‌گرها'!$F:$F,K$1)</f>
        <v>0</v>
      </c>
      <c r="L1270" s="242">
        <f>COUNTIFS('تجربه‌گرها'!$B:$B,$A1270,'تجربه‌گرها'!$F:$F,L$1)</f>
        <v>0</v>
      </c>
      <c r="M1270" s="242">
        <f>COUNTIFS('تجربه‌گرها'!$B:$B,$A1270,'تجربه‌گرها'!$F:$F,M$1)</f>
        <v>0</v>
      </c>
      <c r="N1270" s="242">
        <f>COUNTIFS('تجربه‌گرها'!$B:$B,$A1270,'تجربه‌گرها'!$F:$F,N$1)</f>
        <v>0</v>
      </c>
      <c r="O1270" s="242">
        <f>COUNTIFS('تجربه‌گرها'!$B:$B,$A1270,'تجربه‌گرها'!$F:$F,O$1)</f>
        <v>0</v>
      </c>
      <c r="P1270" s="242">
        <f>COUNTIFS('تجربه‌گرها'!$B:$B,$A1270,'تجربه‌گرها'!$F:$F,P$1)</f>
        <v>1</v>
      </c>
      <c r="Q1270" s="242">
        <f>COUNTIFS('تجربه‌گرها'!$B:$B,$A1270,'تجربه‌گرها'!$F:$F,Q$1)</f>
        <v>0</v>
      </c>
      <c r="R1270" s="242">
        <f>COUNTIFS('تجربه‌گرها'!$B:$B,$A1270,'تجربه‌گرها'!$F:$F,R$1)</f>
        <v>0</v>
      </c>
      <c r="S1270" s="242">
        <f>COUNTIFS('تجربه‌گرها'!$B:$B,$A1270,'تجربه‌گرها'!$F:$F,S$1)</f>
        <v>0</v>
      </c>
      <c r="T1270" s="242">
        <f>COUNTIFS('تجربه‌گرها'!$B:$B,$A1270,'تجربه‌گرها'!$F:$F,T$1)</f>
        <v>0</v>
      </c>
      <c r="U1270" s="242"/>
      <c r="V1270" s="242"/>
      <c r="W1270" s="242"/>
      <c r="X1270" s="242"/>
      <c r="Y1270" s="242"/>
      <c r="Z1270" s="242"/>
      <c r="AA1270" s="242"/>
      <c r="AB1270" s="242"/>
    </row>
    <row r="1271" hidden="1">
      <c r="A1271" s="244" t="s">
        <v>6224</v>
      </c>
      <c r="B1271" s="245" t="str">
        <f>VLOOKUP(A1271,'تجربه‌گرها'!B:C,2,FALSE())</f>
        <v>۰۹۱۲۲۲۰۸۹۴۰</v>
      </c>
      <c r="C1271" s="242"/>
      <c r="D1271" s="242">
        <f t="shared" si="1"/>
        <v>1</v>
      </c>
      <c r="E1271" s="242">
        <f>COUNTIFS('تجربه‌گرها'!$B:$B,$A1271,'تجربه‌گرها'!$F:$F,E$1)</f>
        <v>0</v>
      </c>
      <c r="F1271" s="242">
        <f>COUNTIFS('تجربه‌گرها'!$B:$B,$A1271,'تجربه‌گرها'!$F:$F,F$1)</f>
        <v>0</v>
      </c>
      <c r="G1271" s="242">
        <f>COUNTIFS('تجربه‌گرها'!$B:$B,$A1271,'تجربه‌گرها'!$F:$F,G$1)</f>
        <v>0</v>
      </c>
      <c r="H1271" s="242">
        <f>COUNTIFS('تجربه‌گرها'!$B:$B,$A1271,'تجربه‌گرها'!$F:$F,H$1)</f>
        <v>0</v>
      </c>
      <c r="I1271" s="242">
        <f>COUNTIFS('تجربه‌گرها'!$B:$B,$A1271,'تجربه‌گرها'!$F:$F,I$1)</f>
        <v>0</v>
      </c>
      <c r="J1271" s="242">
        <f>COUNTIFS('تجربه‌گرها'!$B:$B,$A1271,'تجربه‌گرها'!$F:$F,J$1)</f>
        <v>0</v>
      </c>
      <c r="K1271" s="242">
        <f>COUNTIFS('تجربه‌گرها'!$B:$B,$A1271,'تجربه‌گرها'!$F:$F,K$1)</f>
        <v>0</v>
      </c>
      <c r="L1271" s="242">
        <f>COUNTIFS('تجربه‌گرها'!$B:$B,$A1271,'تجربه‌گرها'!$F:$F,L$1)</f>
        <v>0</v>
      </c>
      <c r="M1271" s="242">
        <f>COUNTIFS('تجربه‌گرها'!$B:$B,$A1271,'تجربه‌گرها'!$F:$F,M$1)</f>
        <v>0</v>
      </c>
      <c r="N1271" s="242">
        <f>COUNTIFS('تجربه‌گرها'!$B:$B,$A1271,'تجربه‌گرها'!$F:$F,N$1)</f>
        <v>0</v>
      </c>
      <c r="O1271" s="242">
        <f>COUNTIFS('تجربه‌گرها'!$B:$B,$A1271,'تجربه‌گرها'!$F:$F,O$1)</f>
        <v>0</v>
      </c>
      <c r="P1271" s="242">
        <f>COUNTIFS('تجربه‌گرها'!$B:$B,$A1271,'تجربه‌گرها'!$F:$F,P$1)</f>
        <v>1</v>
      </c>
      <c r="Q1271" s="242">
        <f>COUNTIFS('تجربه‌گرها'!$B:$B,$A1271,'تجربه‌گرها'!$F:$F,Q$1)</f>
        <v>0</v>
      </c>
      <c r="R1271" s="242">
        <f>COUNTIFS('تجربه‌گرها'!$B:$B,$A1271,'تجربه‌گرها'!$F:$F,R$1)</f>
        <v>0</v>
      </c>
      <c r="S1271" s="242">
        <f>COUNTIFS('تجربه‌گرها'!$B:$B,$A1271,'تجربه‌گرها'!$F:$F,S$1)</f>
        <v>0</v>
      </c>
      <c r="T1271" s="242">
        <f>COUNTIFS('تجربه‌گرها'!$B:$B,$A1271,'تجربه‌گرها'!$F:$F,T$1)</f>
        <v>0</v>
      </c>
      <c r="U1271" s="242"/>
      <c r="V1271" s="242"/>
      <c r="W1271" s="242"/>
      <c r="X1271" s="242"/>
      <c r="Y1271" s="242"/>
      <c r="Z1271" s="242"/>
      <c r="AA1271" s="242"/>
      <c r="AB1271" s="242"/>
    </row>
    <row r="1272" hidden="1">
      <c r="A1272" s="244" t="s">
        <v>6228</v>
      </c>
      <c r="B1272" s="245" t="str">
        <f>VLOOKUP(A1272,'تجربه‌گرها'!B:C,2,FALSE())</f>
        <v>۰۹۳۶۶۰۳۴۲۸۳</v>
      </c>
      <c r="C1272" s="242"/>
      <c r="D1272" s="242">
        <f t="shared" si="1"/>
        <v>1</v>
      </c>
      <c r="E1272" s="242">
        <f>COUNTIFS('تجربه‌گرها'!$B:$B,$A1272,'تجربه‌گرها'!$F:$F,E$1)</f>
        <v>0</v>
      </c>
      <c r="F1272" s="242">
        <f>COUNTIFS('تجربه‌گرها'!$B:$B,$A1272,'تجربه‌گرها'!$F:$F,F$1)</f>
        <v>0</v>
      </c>
      <c r="G1272" s="242">
        <f>COUNTIFS('تجربه‌گرها'!$B:$B,$A1272,'تجربه‌گرها'!$F:$F,G$1)</f>
        <v>0</v>
      </c>
      <c r="H1272" s="242">
        <f>COUNTIFS('تجربه‌گرها'!$B:$B,$A1272,'تجربه‌گرها'!$F:$F,H$1)</f>
        <v>0</v>
      </c>
      <c r="I1272" s="242">
        <f>COUNTIFS('تجربه‌گرها'!$B:$B,$A1272,'تجربه‌گرها'!$F:$F,I$1)</f>
        <v>0</v>
      </c>
      <c r="J1272" s="242">
        <f>COUNTIFS('تجربه‌گرها'!$B:$B,$A1272,'تجربه‌گرها'!$F:$F,J$1)</f>
        <v>0</v>
      </c>
      <c r="K1272" s="242">
        <f>COUNTIFS('تجربه‌گرها'!$B:$B,$A1272,'تجربه‌گرها'!$F:$F,K$1)</f>
        <v>0</v>
      </c>
      <c r="L1272" s="242">
        <f>COUNTIFS('تجربه‌گرها'!$B:$B,$A1272,'تجربه‌گرها'!$F:$F,L$1)</f>
        <v>0</v>
      </c>
      <c r="M1272" s="242">
        <f>COUNTIFS('تجربه‌گرها'!$B:$B,$A1272,'تجربه‌گرها'!$F:$F,M$1)</f>
        <v>0</v>
      </c>
      <c r="N1272" s="242">
        <f>COUNTIFS('تجربه‌گرها'!$B:$B,$A1272,'تجربه‌گرها'!$F:$F,N$1)</f>
        <v>0</v>
      </c>
      <c r="O1272" s="242">
        <f>COUNTIFS('تجربه‌گرها'!$B:$B,$A1272,'تجربه‌گرها'!$F:$F,O$1)</f>
        <v>0</v>
      </c>
      <c r="P1272" s="242">
        <f>COUNTIFS('تجربه‌گرها'!$B:$B,$A1272,'تجربه‌گرها'!$F:$F,P$1)</f>
        <v>1</v>
      </c>
      <c r="Q1272" s="242">
        <f>COUNTIFS('تجربه‌گرها'!$B:$B,$A1272,'تجربه‌گرها'!$F:$F,Q$1)</f>
        <v>0</v>
      </c>
      <c r="R1272" s="242">
        <f>COUNTIFS('تجربه‌گرها'!$B:$B,$A1272,'تجربه‌گرها'!$F:$F,R$1)</f>
        <v>0</v>
      </c>
      <c r="S1272" s="242">
        <f>COUNTIFS('تجربه‌گرها'!$B:$B,$A1272,'تجربه‌گرها'!$F:$F,S$1)</f>
        <v>0</v>
      </c>
      <c r="T1272" s="242">
        <f>COUNTIFS('تجربه‌گرها'!$B:$B,$A1272,'تجربه‌گرها'!$F:$F,T$1)</f>
        <v>0</v>
      </c>
      <c r="U1272" s="242"/>
      <c r="V1272" s="242"/>
      <c r="W1272" s="242"/>
      <c r="X1272" s="242"/>
      <c r="Y1272" s="242"/>
      <c r="Z1272" s="242"/>
      <c r="AA1272" s="242"/>
      <c r="AB1272" s="242"/>
    </row>
    <row r="1273" hidden="1">
      <c r="A1273" s="244" t="s">
        <v>6232</v>
      </c>
      <c r="B1273" s="245" t="str">
        <f>VLOOKUP(A1273,'تجربه‌گرها'!B:C,2,FALSE())</f>
        <v>۰۹۱۲۷۱۱۸۳۶۴</v>
      </c>
      <c r="C1273" s="242"/>
      <c r="D1273" s="242">
        <f t="shared" si="1"/>
        <v>1</v>
      </c>
      <c r="E1273" s="242">
        <f>COUNTIFS('تجربه‌گرها'!$B:$B,$A1273,'تجربه‌گرها'!$F:$F,E$1)</f>
        <v>0</v>
      </c>
      <c r="F1273" s="242">
        <f>COUNTIFS('تجربه‌گرها'!$B:$B,$A1273,'تجربه‌گرها'!$F:$F,F$1)</f>
        <v>0</v>
      </c>
      <c r="G1273" s="242">
        <f>COUNTIFS('تجربه‌گرها'!$B:$B,$A1273,'تجربه‌گرها'!$F:$F,G$1)</f>
        <v>0</v>
      </c>
      <c r="H1273" s="242">
        <f>COUNTIFS('تجربه‌گرها'!$B:$B,$A1273,'تجربه‌گرها'!$F:$F,H$1)</f>
        <v>0</v>
      </c>
      <c r="I1273" s="242">
        <f>COUNTIFS('تجربه‌گرها'!$B:$B,$A1273,'تجربه‌گرها'!$F:$F,I$1)</f>
        <v>0</v>
      </c>
      <c r="J1273" s="242">
        <f>COUNTIFS('تجربه‌گرها'!$B:$B,$A1273,'تجربه‌گرها'!$F:$F,J$1)</f>
        <v>0</v>
      </c>
      <c r="K1273" s="242">
        <f>COUNTIFS('تجربه‌گرها'!$B:$B,$A1273,'تجربه‌گرها'!$F:$F,K$1)</f>
        <v>0</v>
      </c>
      <c r="L1273" s="242">
        <f>COUNTIFS('تجربه‌گرها'!$B:$B,$A1273,'تجربه‌گرها'!$F:$F,L$1)</f>
        <v>0</v>
      </c>
      <c r="M1273" s="242">
        <f>COUNTIFS('تجربه‌گرها'!$B:$B,$A1273,'تجربه‌گرها'!$F:$F,M$1)</f>
        <v>0</v>
      </c>
      <c r="N1273" s="242">
        <f>COUNTIFS('تجربه‌گرها'!$B:$B,$A1273,'تجربه‌گرها'!$F:$F,N$1)</f>
        <v>0</v>
      </c>
      <c r="O1273" s="242">
        <f>COUNTIFS('تجربه‌گرها'!$B:$B,$A1273,'تجربه‌گرها'!$F:$F,O$1)</f>
        <v>0</v>
      </c>
      <c r="P1273" s="242">
        <f>COUNTIFS('تجربه‌گرها'!$B:$B,$A1273,'تجربه‌گرها'!$F:$F,P$1)</f>
        <v>1</v>
      </c>
      <c r="Q1273" s="242">
        <f>COUNTIFS('تجربه‌گرها'!$B:$B,$A1273,'تجربه‌گرها'!$F:$F,Q$1)</f>
        <v>0</v>
      </c>
      <c r="R1273" s="242">
        <f>COUNTIFS('تجربه‌گرها'!$B:$B,$A1273,'تجربه‌گرها'!$F:$F,R$1)</f>
        <v>0</v>
      </c>
      <c r="S1273" s="242">
        <f>COUNTIFS('تجربه‌گرها'!$B:$B,$A1273,'تجربه‌گرها'!$F:$F,S$1)</f>
        <v>0</v>
      </c>
      <c r="T1273" s="242">
        <f>COUNTIFS('تجربه‌گرها'!$B:$B,$A1273,'تجربه‌گرها'!$F:$F,T$1)</f>
        <v>0</v>
      </c>
      <c r="U1273" s="242"/>
      <c r="V1273" s="242"/>
      <c r="W1273" s="242"/>
      <c r="X1273" s="242"/>
      <c r="Y1273" s="242"/>
      <c r="Z1273" s="242"/>
      <c r="AA1273" s="242"/>
      <c r="AB1273" s="242"/>
    </row>
    <row r="1274" hidden="1">
      <c r="A1274" s="244" t="s">
        <v>6236</v>
      </c>
      <c r="B1274" s="245" t="str">
        <f>VLOOKUP(A1274,'تجربه‌گرها'!B:C,2,FALSE())</f>
        <v>۰۹۲۲۴۴۲۸۶۴۲</v>
      </c>
      <c r="C1274" s="242"/>
      <c r="D1274" s="242">
        <f t="shared" si="1"/>
        <v>1</v>
      </c>
      <c r="E1274" s="242">
        <f>COUNTIFS('تجربه‌گرها'!$B:$B,$A1274,'تجربه‌گرها'!$F:$F,E$1)</f>
        <v>0</v>
      </c>
      <c r="F1274" s="242">
        <f>COUNTIFS('تجربه‌گرها'!$B:$B,$A1274,'تجربه‌گرها'!$F:$F,F$1)</f>
        <v>0</v>
      </c>
      <c r="G1274" s="242">
        <f>COUNTIFS('تجربه‌گرها'!$B:$B,$A1274,'تجربه‌گرها'!$F:$F,G$1)</f>
        <v>0</v>
      </c>
      <c r="H1274" s="242">
        <f>COUNTIFS('تجربه‌گرها'!$B:$B,$A1274,'تجربه‌گرها'!$F:$F,H$1)</f>
        <v>0</v>
      </c>
      <c r="I1274" s="242">
        <f>COUNTIFS('تجربه‌گرها'!$B:$B,$A1274,'تجربه‌گرها'!$F:$F,I$1)</f>
        <v>0</v>
      </c>
      <c r="J1274" s="242">
        <f>COUNTIFS('تجربه‌گرها'!$B:$B,$A1274,'تجربه‌گرها'!$F:$F,J$1)</f>
        <v>0</v>
      </c>
      <c r="K1274" s="242">
        <f>COUNTIFS('تجربه‌گرها'!$B:$B,$A1274,'تجربه‌گرها'!$F:$F,K$1)</f>
        <v>0</v>
      </c>
      <c r="L1274" s="242">
        <f>COUNTIFS('تجربه‌گرها'!$B:$B,$A1274,'تجربه‌گرها'!$F:$F,L$1)</f>
        <v>0</v>
      </c>
      <c r="M1274" s="242">
        <f>COUNTIFS('تجربه‌گرها'!$B:$B,$A1274,'تجربه‌گرها'!$F:$F,M$1)</f>
        <v>0</v>
      </c>
      <c r="N1274" s="242">
        <f>COUNTIFS('تجربه‌گرها'!$B:$B,$A1274,'تجربه‌گرها'!$F:$F,N$1)</f>
        <v>0</v>
      </c>
      <c r="O1274" s="242">
        <f>COUNTIFS('تجربه‌گرها'!$B:$B,$A1274,'تجربه‌گرها'!$F:$F,O$1)</f>
        <v>0</v>
      </c>
      <c r="P1274" s="242">
        <f>COUNTIFS('تجربه‌گرها'!$B:$B,$A1274,'تجربه‌گرها'!$F:$F,P$1)</f>
        <v>1</v>
      </c>
      <c r="Q1274" s="242">
        <f>COUNTIFS('تجربه‌گرها'!$B:$B,$A1274,'تجربه‌گرها'!$F:$F,Q$1)</f>
        <v>0</v>
      </c>
      <c r="R1274" s="242">
        <f>COUNTIFS('تجربه‌گرها'!$B:$B,$A1274,'تجربه‌گرها'!$F:$F,R$1)</f>
        <v>0</v>
      </c>
      <c r="S1274" s="242">
        <f>COUNTIFS('تجربه‌گرها'!$B:$B,$A1274,'تجربه‌گرها'!$F:$F,S$1)</f>
        <v>0</v>
      </c>
      <c r="T1274" s="242">
        <f>COUNTIFS('تجربه‌گرها'!$B:$B,$A1274,'تجربه‌گرها'!$F:$F,T$1)</f>
        <v>0</v>
      </c>
      <c r="U1274" s="242"/>
      <c r="V1274" s="242"/>
      <c r="W1274" s="242"/>
      <c r="X1274" s="242"/>
      <c r="Y1274" s="242"/>
      <c r="Z1274" s="242"/>
      <c r="AA1274" s="242"/>
      <c r="AB1274" s="242"/>
    </row>
    <row r="1275" hidden="1">
      <c r="A1275" s="244" t="s">
        <v>6239</v>
      </c>
      <c r="B1275" s="245" t="str">
        <f>VLOOKUP(A1275,'تجربه‌گرها'!B:C,2,FALSE())</f>
        <v>۰۹۱۹۷۲۰۹۱۳۳</v>
      </c>
      <c r="C1275" s="242"/>
      <c r="D1275" s="242">
        <f t="shared" si="1"/>
        <v>1</v>
      </c>
      <c r="E1275" s="242">
        <f>COUNTIFS('تجربه‌گرها'!$B:$B,$A1275,'تجربه‌گرها'!$F:$F,E$1)</f>
        <v>0</v>
      </c>
      <c r="F1275" s="242">
        <f>COUNTIFS('تجربه‌گرها'!$B:$B,$A1275,'تجربه‌گرها'!$F:$F,F$1)</f>
        <v>0</v>
      </c>
      <c r="G1275" s="242">
        <f>COUNTIFS('تجربه‌گرها'!$B:$B,$A1275,'تجربه‌گرها'!$F:$F,G$1)</f>
        <v>0</v>
      </c>
      <c r="H1275" s="242">
        <f>COUNTIFS('تجربه‌گرها'!$B:$B,$A1275,'تجربه‌گرها'!$F:$F,H$1)</f>
        <v>0</v>
      </c>
      <c r="I1275" s="242">
        <f>COUNTIFS('تجربه‌گرها'!$B:$B,$A1275,'تجربه‌گرها'!$F:$F,I$1)</f>
        <v>0</v>
      </c>
      <c r="J1275" s="242">
        <f>COUNTIFS('تجربه‌گرها'!$B:$B,$A1275,'تجربه‌گرها'!$F:$F,J$1)</f>
        <v>0</v>
      </c>
      <c r="K1275" s="242">
        <f>COUNTIFS('تجربه‌گرها'!$B:$B,$A1275,'تجربه‌گرها'!$F:$F,K$1)</f>
        <v>0</v>
      </c>
      <c r="L1275" s="242">
        <f>COUNTIFS('تجربه‌گرها'!$B:$B,$A1275,'تجربه‌گرها'!$F:$F,L$1)</f>
        <v>0</v>
      </c>
      <c r="M1275" s="242">
        <f>COUNTIFS('تجربه‌گرها'!$B:$B,$A1275,'تجربه‌گرها'!$F:$F,M$1)</f>
        <v>0</v>
      </c>
      <c r="N1275" s="242">
        <f>COUNTIFS('تجربه‌گرها'!$B:$B,$A1275,'تجربه‌گرها'!$F:$F,N$1)</f>
        <v>0</v>
      </c>
      <c r="O1275" s="242">
        <f>COUNTIFS('تجربه‌گرها'!$B:$B,$A1275,'تجربه‌گرها'!$F:$F,O$1)</f>
        <v>0</v>
      </c>
      <c r="P1275" s="242">
        <f>COUNTIFS('تجربه‌گرها'!$B:$B,$A1275,'تجربه‌گرها'!$F:$F,P$1)</f>
        <v>1</v>
      </c>
      <c r="Q1275" s="242">
        <f>COUNTIFS('تجربه‌گرها'!$B:$B,$A1275,'تجربه‌گرها'!$F:$F,Q$1)</f>
        <v>0</v>
      </c>
      <c r="R1275" s="242">
        <f>COUNTIFS('تجربه‌گرها'!$B:$B,$A1275,'تجربه‌گرها'!$F:$F,R$1)</f>
        <v>0</v>
      </c>
      <c r="S1275" s="242">
        <f>COUNTIFS('تجربه‌گرها'!$B:$B,$A1275,'تجربه‌گرها'!$F:$F,S$1)</f>
        <v>0</v>
      </c>
      <c r="T1275" s="242">
        <f>COUNTIFS('تجربه‌گرها'!$B:$B,$A1275,'تجربه‌گرها'!$F:$F,T$1)</f>
        <v>0</v>
      </c>
      <c r="U1275" s="242"/>
      <c r="V1275" s="242"/>
      <c r="W1275" s="242"/>
      <c r="X1275" s="242"/>
      <c r="Y1275" s="242"/>
      <c r="Z1275" s="242"/>
      <c r="AA1275" s="242"/>
      <c r="AB1275" s="242"/>
    </row>
    <row r="1276">
      <c r="A1276" s="244" t="s">
        <v>6242</v>
      </c>
      <c r="B1276" s="245" t="str">
        <f>VLOOKUP(A1276,'تجربه‌گرها'!B:C,2,FALSE())</f>
        <v>۰۹۳۸۱۶۴۷۰۸۴</v>
      </c>
      <c r="C1276" s="242"/>
      <c r="D1276" s="242">
        <f t="shared" si="1"/>
        <v>1</v>
      </c>
      <c r="E1276" s="242">
        <f>COUNTIFS('تجربه‌گرها'!$B:$B,$A1276,'تجربه‌گرها'!$F:$F,E$1)</f>
        <v>0</v>
      </c>
      <c r="F1276" s="242">
        <f>COUNTIFS('تجربه‌گرها'!$B:$B,$A1276,'تجربه‌گرها'!$F:$F,F$1)</f>
        <v>0</v>
      </c>
      <c r="G1276" s="242">
        <f>COUNTIFS('تجربه‌گرها'!$B:$B,$A1276,'تجربه‌گرها'!$F:$F,G$1)</f>
        <v>0</v>
      </c>
      <c r="H1276" s="242">
        <f>COUNTIFS('تجربه‌گرها'!$B:$B,$A1276,'تجربه‌گرها'!$F:$F,H$1)</f>
        <v>0</v>
      </c>
      <c r="I1276" s="242">
        <f>COUNTIFS('تجربه‌گرها'!$B:$B,$A1276,'تجربه‌گرها'!$F:$F,I$1)</f>
        <v>0</v>
      </c>
      <c r="J1276" s="242">
        <f>COUNTIFS('تجربه‌گرها'!$B:$B,$A1276,'تجربه‌گرها'!$F:$F,J$1)</f>
        <v>0</v>
      </c>
      <c r="K1276" s="242">
        <f>COUNTIFS('تجربه‌گرها'!$B:$B,$A1276,'تجربه‌گرها'!$F:$F,K$1)</f>
        <v>0</v>
      </c>
      <c r="L1276" s="242">
        <f>COUNTIFS('تجربه‌گرها'!$B:$B,$A1276,'تجربه‌گرها'!$F:$F,L$1)</f>
        <v>0</v>
      </c>
      <c r="M1276" s="242">
        <f>COUNTIFS('تجربه‌گرها'!$B:$B,$A1276,'تجربه‌گرها'!$F:$F,M$1)</f>
        <v>0</v>
      </c>
      <c r="N1276" s="242">
        <f>COUNTIFS('تجربه‌گرها'!$B:$B,$A1276,'تجربه‌گرها'!$F:$F,N$1)</f>
        <v>0</v>
      </c>
      <c r="O1276" s="242">
        <f>COUNTIFS('تجربه‌گرها'!$B:$B,$A1276,'تجربه‌گرها'!$F:$F,O$1)</f>
        <v>0</v>
      </c>
      <c r="P1276" s="242">
        <f>COUNTIFS('تجربه‌گرها'!$B:$B,$A1276,'تجربه‌گرها'!$F:$F,P$1)</f>
        <v>1</v>
      </c>
      <c r="Q1276" s="242">
        <f>COUNTIFS('تجربه‌گرها'!$B:$B,$A1276,'تجربه‌گرها'!$F:$F,Q$1)</f>
        <v>0</v>
      </c>
      <c r="R1276" s="242">
        <f>COUNTIFS('تجربه‌گرها'!$B:$B,$A1276,'تجربه‌گرها'!$F:$F,R$1)</f>
        <v>0</v>
      </c>
      <c r="S1276" s="242">
        <f>COUNTIFS('تجربه‌گرها'!$B:$B,$A1276,'تجربه‌گرها'!$F:$F,S$1)</f>
        <v>0</v>
      </c>
      <c r="T1276" s="242">
        <f>COUNTIFS('تجربه‌گرها'!$B:$B,$A1276,'تجربه‌گرها'!$F:$F,T$1)</f>
        <v>0</v>
      </c>
      <c r="U1276" s="242"/>
      <c r="V1276" s="242"/>
      <c r="W1276" s="242"/>
      <c r="X1276" s="242"/>
      <c r="Y1276" s="242"/>
      <c r="Z1276" s="242"/>
      <c r="AA1276" s="242"/>
      <c r="AB1276" s="242"/>
    </row>
    <row r="1277" hidden="1">
      <c r="A1277" s="244" t="s">
        <v>6246</v>
      </c>
      <c r="B1277" s="245" t="str">
        <f>VLOOKUP(A1277,'تجربه‌گرها'!B:C,2,FALSE())</f>
        <v>۰۹۱۲۶۹۴۵۰۴۳</v>
      </c>
      <c r="C1277" s="242"/>
      <c r="D1277" s="242">
        <f t="shared" si="1"/>
        <v>1</v>
      </c>
      <c r="E1277" s="242">
        <f>COUNTIFS('تجربه‌گرها'!$B:$B,$A1277,'تجربه‌گرها'!$F:$F,E$1)</f>
        <v>0</v>
      </c>
      <c r="F1277" s="242">
        <f>COUNTIFS('تجربه‌گرها'!$B:$B,$A1277,'تجربه‌گرها'!$F:$F,F$1)</f>
        <v>0</v>
      </c>
      <c r="G1277" s="242">
        <f>COUNTIFS('تجربه‌گرها'!$B:$B,$A1277,'تجربه‌گرها'!$F:$F,G$1)</f>
        <v>0</v>
      </c>
      <c r="H1277" s="242">
        <f>COUNTIFS('تجربه‌گرها'!$B:$B,$A1277,'تجربه‌گرها'!$F:$F,H$1)</f>
        <v>0</v>
      </c>
      <c r="I1277" s="242">
        <f>COUNTIFS('تجربه‌گرها'!$B:$B,$A1277,'تجربه‌گرها'!$F:$F,I$1)</f>
        <v>0</v>
      </c>
      <c r="J1277" s="242">
        <f>COUNTIFS('تجربه‌گرها'!$B:$B,$A1277,'تجربه‌گرها'!$F:$F,J$1)</f>
        <v>0</v>
      </c>
      <c r="K1277" s="242">
        <f>COUNTIFS('تجربه‌گرها'!$B:$B,$A1277,'تجربه‌گرها'!$F:$F,K$1)</f>
        <v>0</v>
      </c>
      <c r="L1277" s="242">
        <f>COUNTIFS('تجربه‌گرها'!$B:$B,$A1277,'تجربه‌گرها'!$F:$F,L$1)</f>
        <v>0</v>
      </c>
      <c r="M1277" s="242">
        <f>COUNTIFS('تجربه‌گرها'!$B:$B,$A1277,'تجربه‌گرها'!$F:$F,M$1)</f>
        <v>0</v>
      </c>
      <c r="N1277" s="242">
        <f>COUNTIFS('تجربه‌گرها'!$B:$B,$A1277,'تجربه‌گرها'!$F:$F,N$1)</f>
        <v>0</v>
      </c>
      <c r="O1277" s="242">
        <f>COUNTIFS('تجربه‌گرها'!$B:$B,$A1277,'تجربه‌گرها'!$F:$F,O$1)</f>
        <v>0</v>
      </c>
      <c r="P1277" s="242">
        <f>COUNTIFS('تجربه‌گرها'!$B:$B,$A1277,'تجربه‌گرها'!$F:$F,P$1)</f>
        <v>1</v>
      </c>
      <c r="Q1277" s="242">
        <f>COUNTIFS('تجربه‌گرها'!$B:$B,$A1277,'تجربه‌گرها'!$F:$F,Q$1)</f>
        <v>0</v>
      </c>
      <c r="R1277" s="242">
        <f>COUNTIFS('تجربه‌گرها'!$B:$B,$A1277,'تجربه‌گرها'!$F:$F,R$1)</f>
        <v>0</v>
      </c>
      <c r="S1277" s="242">
        <f>COUNTIFS('تجربه‌گرها'!$B:$B,$A1277,'تجربه‌گرها'!$F:$F,S$1)</f>
        <v>0</v>
      </c>
      <c r="T1277" s="242">
        <f>COUNTIFS('تجربه‌گرها'!$B:$B,$A1277,'تجربه‌گرها'!$F:$F,T$1)</f>
        <v>0</v>
      </c>
      <c r="U1277" s="242"/>
      <c r="V1277" s="242"/>
      <c r="W1277" s="242"/>
      <c r="X1277" s="242"/>
      <c r="Y1277" s="242"/>
      <c r="Z1277" s="242"/>
      <c r="AA1277" s="242"/>
      <c r="AB1277" s="242"/>
    </row>
    <row r="1278" hidden="1">
      <c r="A1278" s="244" t="s">
        <v>6251</v>
      </c>
      <c r="B1278" s="245" t="str">
        <f>VLOOKUP(A1278,'تجربه‌گرها'!B:C,2,FALSE())</f>
        <v>۰۹۱۹۵۶۶۳۸۶۳</v>
      </c>
      <c r="C1278" s="242"/>
      <c r="D1278" s="242">
        <f t="shared" si="1"/>
        <v>1</v>
      </c>
      <c r="E1278" s="242">
        <f>COUNTIFS('تجربه‌گرها'!$B:$B,$A1278,'تجربه‌گرها'!$F:$F,E$1)</f>
        <v>0</v>
      </c>
      <c r="F1278" s="242">
        <f>COUNTIFS('تجربه‌گرها'!$B:$B,$A1278,'تجربه‌گرها'!$F:$F,F$1)</f>
        <v>0</v>
      </c>
      <c r="G1278" s="242">
        <f>COUNTIFS('تجربه‌گرها'!$B:$B,$A1278,'تجربه‌گرها'!$F:$F,G$1)</f>
        <v>0</v>
      </c>
      <c r="H1278" s="242">
        <f>COUNTIFS('تجربه‌گرها'!$B:$B,$A1278,'تجربه‌گرها'!$F:$F,H$1)</f>
        <v>0</v>
      </c>
      <c r="I1278" s="242">
        <f>COUNTIFS('تجربه‌گرها'!$B:$B,$A1278,'تجربه‌گرها'!$F:$F,I$1)</f>
        <v>0</v>
      </c>
      <c r="J1278" s="242">
        <f>COUNTIFS('تجربه‌گرها'!$B:$B,$A1278,'تجربه‌گرها'!$F:$F,J$1)</f>
        <v>0</v>
      </c>
      <c r="K1278" s="242">
        <f>COUNTIFS('تجربه‌گرها'!$B:$B,$A1278,'تجربه‌گرها'!$F:$F,K$1)</f>
        <v>0</v>
      </c>
      <c r="L1278" s="242">
        <f>COUNTIFS('تجربه‌گرها'!$B:$B,$A1278,'تجربه‌گرها'!$F:$F,L$1)</f>
        <v>0</v>
      </c>
      <c r="M1278" s="242">
        <f>COUNTIFS('تجربه‌گرها'!$B:$B,$A1278,'تجربه‌گرها'!$F:$F,M$1)</f>
        <v>0</v>
      </c>
      <c r="N1278" s="242">
        <f>COUNTIFS('تجربه‌گرها'!$B:$B,$A1278,'تجربه‌گرها'!$F:$F,N$1)</f>
        <v>0</v>
      </c>
      <c r="O1278" s="242">
        <f>COUNTIFS('تجربه‌گرها'!$B:$B,$A1278,'تجربه‌گرها'!$F:$F,O$1)</f>
        <v>0</v>
      </c>
      <c r="P1278" s="242">
        <f>COUNTIFS('تجربه‌گرها'!$B:$B,$A1278,'تجربه‌گرها'!$F:$F,P$1)</f>
        <v>1</v>
      </c>
      <c r="Q1278" s="242">
        <f>COUNTIFS('تجربه‌گرها'!$B:$B,$A1278,'تجربه‌گرها'!$F:$F,Q$1)</f>
        <v>0</v>
      </c>
      <c r="R1278" s="242">
        <f>COUNTIFS('تجربه‌گرها'!$B:$B,$A1278,'تجربه‌گرها'!$F:$F,R$1)</f>
        <v>0</v>
      </c>
      <c r="S1278" s="242">
        <f>COUNTIFS('تجربه‌گرها'!$B:$B,$A1278,'تجربه‌گرها'!$F:$F,S$1)</f>
        <v>0</v>
      </c>
      <c r="T1278" s="242">
        <f>COUNTIFS('تجربه‌گرها'!$B:$B,$A1278,'تجربه‌گرها'!$F:$F,T$1)</f>
        <v>0</v>
      </c>
      <c r="U1278" s="242"/>
      <c r="V1278" s="242"/>
      <c r="W1278" s="242"/>
      <c r="X1278" s="242"/>
      <c r="Y1278" s="242"/>
      <c r="Z1278" s="242"/>
      <c r="AA1278" s="242"/>
      <c r="AB1278" s="242"/>
    </row>
    <row r="1279" hidden="1">
      <c r="A1279" s="244" t="s">
        <v>6255</v>
      </c>
      <c r="B1279" s="245" t="str">
        <f>VLOOKUP(A1279,'تجربه‌گرها'!B:C,2,FALSE())</f>
        <v>۰۹۱۲۲۰۴۰۸۲۷</v>
      </c>
      <c r="C1279" s="242"/>
      <c r="D1279" s="242">
        <f t="shared" si="1"/>
        <v>1</v>
      </c>
      <c r="E1279" s="242">
        <f>COUNTIFS('تجربه‌گرها'!$B:$B,$A1279,'تجربه‌گرها'!$F:$F,E$1)</f>
        <v>0</v>
      </c>
      <c r="F1279" s="242">
        <f>COUNTIFS('تجربه‌گرها'!$B:$B,$A1279,'تجربه‌گرها'!$F:$F,F$1)</f>
        <v>0</v>
      </c>
      <c r="G1279" s="242">
        <f>COUNTIFS('تجربه‌گرها'!$B:$B,$A1279,'تجربه‌گرها'!$F:$F,G$1)</f>
        <v>0</v>
      </c>
      <c r="H1279" s="242">
        <f>COUNTIFS('تجربه‌گرها'!$B:$B,$A1279,'تجربه‌گرها'!$F:$F,H$1)</f>
        <v>0</v>
      </c>
      <c r="I1279" s="242">
        <f>COUNTIFS('تجربه‌گرها'!$B:$B,$A1279,'تجربه‌گرها'!$F:$F,I$1)</f>
        <v>0</v>
      </c>
      <c r="J1279" s="242">
        <f>COUNTIFS('تجربه‌گرها'!$B:$B,$A1279,'تجربه‌گرها'!$F:$F,J$1)</f>
        <v>0</v>
      </c>
      <c r="K1279" s="242">
        <f>COUNTIFS('تجربه‌گرها'!$B:$B,$A1279,'تجربه‌گرها'!$F:$F,K$1)</f>
        <v>0</v>
      </c>
      <c r="L1279" s="242">
        <f>COUNTIFS('تجربه‌گرها'!$B:$B,$A1279,'تجربه‌گرها'!$F:$F,L$1)</f>
        <v>0</v>
      </c>
      <c r="M1279" s="242">
        <f>COUNTIFS('تجربه‌گرها'!$B:$B,$A1279,'تجربه‌گرها'!$F:$F,M$1)</f>
        <v>0</v>
      </c>
      <c r="N1279" s="242">
        <f>COUNTIFS('تجربه‌گرها'!$B:$B,$A1279,'تجربه‌گرها'!$F:$F,N$1)</f>
        <v>0</v>
      </c>
      <c r="O1279" s="242">
        <f>COUNTIFS('تجربه‌گرها'!$B:$B,$A1279,'تجربه‌گرها'!$F:$F,O$1)</f>
        <v>0</v>
      </c>
      <c r="P1279" s="242">
        <f>COUNTIFS('تجربه‌گرها'!$B:$B,$A1279,'تجربه‌گرها'!$F:$F,P$1)</f>
        <v>1</v>
      </c>
      <c r="Q1279" s="242">
        <f>COUNTIFS('تجربه‌گرها'!$B:$B,$A1279,'تجربه‌گرها'!$F:$F,Q$1)</f>
        <v>0</v>
      </c>
      <c r="R1279" s="242">
        <f>COUNTIFS('تجربه‌گرها'!$B:$B,$A1279,'تجربه‌گرها'!$F:$F,R$1)</f>
        <v>0</v>
      </c>
      <c r="S1279" s="242">
        <f>COUNTIFS('تجربه‌گرها'!$B:$B,$A1279,'تجربه‌گرها'!$F:$F,S$1)</f>
        <v>0</v>
      </c>
      <c r="T1279" s="242">
        <f>COUNTIFS('تجربه‌گرها'!$B:$B,$A1279,'تجربه‌گرها'!$F:$F,T$1)</f>
        <v>0</v>
      </c>
      <c r="U1279" s="242"/>
      <c r="V1279" s="242"/>
      <c r="W1279" s="242"/>
      <c r="X1279" s="242"/>
      <c r="Y1279" s="242"/>
      <c r="Z1279" s="242"/>
      <c r="AA1279" s="242"/>
      <c r="AB1279" s="242"/>
    </row>
    <row r="1280" hidden="1">
      <c r="A1280" s="244" t="s">
        <v>6259</v>
      </c>
      <c r="B1280" s="245" t="str">
        <f>VLOOKUP(A1280,'تجربه‌گرها'!B:C,2,FALSE())</f>
        <v>۰۹۱۸۴۳۹۴۶۵۷</v>
      </c>
      <c r="C1280" s="242"/>
      <c r="D1280" s="242">
        <f t="shared" si="1"/>
        <v>1</v>
      </c>
      <c r="E1280" s="242">
        <f>COUNTIFS('تجربه‌گرها'!$B:$B,$A1280,'تجربه‌گرها'!$F:$F,E$1)</f>
        <v>0</v>
      </c>
      <c r="F1280" s="242">
        <f>COUNTIFS('تجربه‌گرها'!$B:$B,$A1280,'تجربه‌گرها'!$F:$F,F$1)</f>
        <v>0</v>
      </c>
      <c r="G1280" s="242">
        <f>COUNTIFS('تجربه‌گرها'!$B:$B,$A1280,'تجربه‌گرها'!$F:$F,G$1)</f>
        <v>0</v>
      </c>
      <c r="H1280" s="242">
        <f>COUNTIFS('تجربه‌گرها'!$B:$B,$A1280,'تجربه‌گرها'!$F:$F,H$1)</f>
        <v>0</v>
      </c>
      <c r="I1280" s="242">
        <f>COUNTIFS('تجربه‌گرها'!$B:$B,$A1280,'تجربه‌گرها'!$F:$F,I$1)</f>
        <v>0</v>
      </c>
      <c r="J1280" s="242">
        <f>COUNTIFS('تجربه‌گرها'!$B:$B,$A1280,'تجربه‌گرها'!$F:$F,J$1)</f>
        <v>0</v>
      </c>
      <c r="K1280" s="242">
        <f>COUNTIFS('تجربه‌گرها'!$B:$B,$A1280,'تجربه‌گرها'!$F:$F,K$1)</f>
        <v>0</v>
      </c>
      <c r="L1280" s="242">
        <f>COUNTIFS('تجربه‌گرها'!$B:$B,$A1280,'تجربه‌گرها'!$F:$F,L$1)</f>
        <v>0</v>
      </c>
      <c r="M1280" s="242">
        <f>COUNTIFS('تجربه‌گرها'!$B:$B,$A1280,'تجربه‌گرها'!$F:$F,M$1)</f>
        <v>0</v>
      </c>
      <c r="N1280" s="242">
        <f>COUNTIFS('تجربه‌گرها'!$B:$B,$A1280,'تجربه‌گرها'!$F:$F,N$1)</f>
        <v>0</v>
      </c>
      <c r="O1280" s="242">
        <f>COUNTIFS('تجربه‌گرها'!$B:$B,$A1280,'تجربه‌گرها'!$F:$F,O$1)</f>
        <v>0</v>
      </c>
      <c r="P1280" s="242">
        <f>COUNTIFS('تجربه‌گرها'!$B:$B,$A1280,'تجربه‌گرها'!$F:$F,P$1)</f>
        <v>1</v>
      </c>
      <c r="Q1280" s="242">
        <f>COUNTIFS('تجربه‌گرها'!$B:$B,$A1280,'تجربه‌گرها'!$F:$F,Q$1)</f>
        <v>0</v>
      </c>
      <c r="R1280" s="242">
        <f>COUNTIFS('تجربه‌گرها'!$B:$B,$A1280,'تجربه‌گرها'!$F:$F,R$1)</f>
        <v>0</v>
      </c>
      <c r="S1280" s="242">
        <f>COUNTIFS('تجربه‌گرها'!$B:$B,$A1280,'تجربه‌گرها'!$F:$F,S$1)</f>
        <v>0</v>
      </c>
      <c r="T1280" s="242">
        <f>COUNTIFS('تجربه‌گرها'!$B:$B,$A1280,'تجربه‌گرها'!$F:$F,T$1)</f>
        <v>0</v>
      </c>
      <c r="U1280" s="242"/>
      <c r="V1280" s="242"/>
      <c r="W1280" s="242"/>
      <c r="X1280" s="242"/>
      <c r="Y1280" s="242"/>
      <c r="Z1280" s="242"/>
      <c r="AA1280" s="242"/>
      <c r="AB1280" s="242"/>
    </row>
    <row r="1281" hidden="1">
      <c r="A1281" s="244" t="s">
        <v>6264</v>
      </c>
      <c r="B1281" s="245" t="str">
        <f>VLOOKUP(A1281,'تجربه‌گرها'!B:C,2,FALSE())</f>
        <v>۰۹۱۲۲۱۳۹۳۱۶</v>
      </c>
      <c r="C1281" s="242"/>
      <c r="D1281" s="242">
        <f t="shared" si="1"/>
        <v>1</v>
      </c>
      <c r="E1281" s="242">
        <f>COUNTIFS('تجربه‌گرها'!$B:$B,$A1281,'تجربه‌گرها'!$F:$F,E$1)</f>
        <v>0</v>
      </c>
      <c r="F1281" s="242">
        <f>COUNTIFS('تجربه‌گرها'!$B:$B,$A1281,'تجربه‌گرها'!$F:$F,F$1)</f>
        <v>0</v>
      </c>
      <c r="G1281" s="242">
        <f>COUNTIFS('تجربه‌گرها'!$B:$B,$A1281,'تجربه‌گرها'!$F:$F,G$1)</f>
        <v>0</v>
      </c>
      <c r="H1281" s="242">
        <f>COUNTIFS('تجربه‌گرها'!$B:$B,$A1281,'تجربه‌گرها'!$F:$F,H$1)</f>
        <v>0</v>
      </c>
      <c r="I1281" s="242">
        <f>COUNTIFS('تجربه‌گرها'!$B:$B,$A1281,'تجربه‌گرها'!$F:$F,I$1)</f>
        <v>0</v>
      </c>
      <c r="J1281" s="242">
        <f>COUNTIFS('تجربه‌گرها'!$B:$B,$A1281,'تجربه‌گرها'!$F:$F,J$1)</f>
        <v>0</v>
      </c>
      <c r="K1281" s="242">
        <f>COUNTIFS('تجربه‌گرها'!$B:$B,$A1281,'تجربه‌گرها'!$F:$F,K$1)</f>
        <v>0</v>
      </c>
      <c r="L1281" s="242">
        <f>COUNTIFS('تجربه‌گرها'!$B:$B,$A1281,'تجربه‌گرها'!$F:$F,L$1)</f>
        <v>0</v>
      </c>
      <c r="M1281" s="242">
        <f>COUNTIFS('تجربه‌گرها'!$B:$B,$A1281,'تجربه‌گرها'!$F:$F,M$1)</f>
        <v>0</v>
      </c>
      <c r="N1281" s="242">
        <f>COUNTIFS('تجربه‌گرها'!$B:$B,$A1281,'تجربه‌گرها'!$F:$F,N$1)</f>
        <v>0</v>
      </c>
      <c r="O1281" s="242">
        <f>COUNTIFS('تجربه‌گرها'!$B:$B,$A1281,'تجربه‌گرها'!$F:$F,O$1)</f>
        <v>0</v>
      </c>
      <c r="P1281" s="242">
        <f>COUNTIFS('تجربه‌گرها'!$B:$B,$A1281,'تجربه‌گرها'!$F:$F,P$1)</f>
        <v>1</v>
      </c>
      <c r="Q1281" s="242">
        <f>COUNTIFS('تجربه‌گرها'!$B:$B,$A1281,'تجربه‌گرها'!$F:$F,Q$1)</f>
        <v>0</v>
      </c>
      <c r="R1281" s="242">
        <f>COUNTIFS('تجربه‌گرها'!$B:$B,$A1281,'تجربه‌گرها'!$F:$F,R$1)</f>
        <v>0</v>
      </c>
      <c r="S1281" s="242">
        <f>COUNTIFS('تجربه‌گرها'!$B:$B,$A1281,'تجربه‌گرها'!$F:$F,S$1)</f>
        <v>0</v>
      </c>
      <c r="T1281" s="242">
        <f>COUNTIFS('تجربه‌گرها'!$B:$B,$A1281,'تجربه‌گرها'!$F:$F,T$1)</f>
        <v>0</v>
      </c>
      <c r="U1281" s="242"/>
      <c r="V1281" s="242"/>
      <c r="W1281" s="242"/>
      <c r="X1281" s="242"/>
      <c r="Y1281" s="242"/>
      <c r="Z1281" s="242"/>
      <c r="AA1281" s="242"/>
      <c r="AB1281" s="242"/>
    </row>
    <row r="1282" hidden="1">
      <c r="A1282" s="244" t="s">
        <v>6267</v>
      </c>
      <c r="B1282" s="245" t="str">
        <f>VLOOKUP(A1282,'تجربه‌گرها'!B:C,2,FALSE())</f>
        <v>۰۹۹۳۸۰۴۸۷۸۹</v>
      </c>
      <c r="C1282" s="242"/>
      <c r="D1282" s="242">
        <f t="shared" si="1"/>
        <v>1</v>
      </c>
      <c r="E1282" s="242">
        <f>COUNTIFS('تجربه‌گرها'!$B:$B,$A1282,'تجربه‌گرها'!$F:$F,E$1)</f>
        <v>0</v>
      </c>
      <c r="F1282" s="242">
        <f>COUNTIFS('تجربه‌گرها'!$B:$B,$A1282,'تجربه‌گرها'!$F:$F,F$1)</f>
        <v>0</v>
      </c>
      <c r="G1282" s="242">
        <f>COUNTIFS('تجربه‌گرها'!$B:$B,$A1282,'تجربه‌گرها'!$F:$F,G$1)</f>
        <v>0</v>
      </c>
      <c r="H1282" s="242">
        <f>COUNTIFS('تجربه‌گرها'!$B:$B,$A1282,'تجربه‌گرها'!$F:$F,H$1)</f>
        <v>0</v>
      </c>
      <c r="I1282" s="242">
        <f>COUNTIFS('تجربه‌گرها'!$B:$B,$A1282,'تجربه‌گرها'!$F:$F,I$1)</f>
        <v>0</v>
      </c>
      <c r="J1282" s="242">
        <f>COUNTIFS('تجربه‌گرها'!$B:$B,$A1282,'تجربه‌گرها'!$F:$F,J$1)</f>
        <v>0</v>
      </c>
      <c r="K1282" s="242">
        <f>COUNTIFS('تجربه‌گرها'!$B:$B,$A1282,'تجربه‌گرها'!$F:$F,K$1)</f>
        <v>0</v>
      </c>
      <c r="L1282" s="242">
        <f>COUNTIFS('تجربه‌گرها'!$B:$B,$A1282,'تجربه‌گرها'!$F:$F,L$1)</f>
        <v>0</v>
      </c>
      <c r="M1282" s="242">
        <f>COUNTIFS('تجربه‌گرها'!$B:$B,$A1282,'تجربه‌گرها'!$F:$F,M$1)</f>
        <v>0</v>
      </c>
      <c r="N1282" s="242">
        <f>COUNTIFS('تجربه‌گرها'!$B:$B,$A1282,'تجربه‌گرها'!$F:$F,N$1)</f>
        <v>0</v>
      </c>
      <c r="O1282" s="242">
        <f>COUNTIFS('تجربه‌گرها'!$B:$B,$A1282,'تجربه‌گرها'!$F:$F,O$1)</f>
        <v>0</v>
      </c>
      <c r="P1282" s="242">
        <f>COUNTIFS('تجربه‌گرها'!$B:$B,$A1282,'تجربه‌گرها'!$F:$F,P$1)</f>
        <v>1</v>
      </c>
      <c r="Q1282" s="242">
        <f>COUNTIFS('تجربه‌گرها'!$B:$B,$A1282,'تجربه‌گرها'!$F:$F,Q$1)</f>
        <v>0</v>
      </c>
      <c r="R1282" s="242">
        <f>COUNTIFS('تجربه‌گرها'!$B:$B,$A1282,'تجربه‌گرها'!$F:$F,R$1)</f>
        <v>0</v>
      </c>
      <c r="S1282" s="242">
        <f>COUNTIFS('تجربه‌گرها'!$B:$B,$A1282,'تجربه‌گرها'!$F:$F,S$1)</f>
        <v>0</v>
      </c>
      <c r="T1282" s="242">
        <f>COUNTIFS('تجربه‌گرها'!$B:$B,$A1282,'تجربه‌گرها'!$F:$F,T$1)</f>
        <v>0</v>
      </c>
      <c r="U1282" s="242"/>
      <c r="V1282" s="242"/>
      <c r="W1282" s="242"/>
      <c r="X1282" s="242"/>
      <c r="Y1282" s="242"/>
      <c r="Z1282" s="242"/>
      <c r="AA1282" s="242"/>
      <c r="AB1282" s="242"/>
    </row>
    <row r="1283" hidden="1">
      <c r="A1283" s="244" t="s">
        <v>6271</v>
      </c>
      <c r="B1283" s="245" t="str">
        <f>VLOOKUP(A1283,'تجربه‌گرها'!B:C,2,FALSE())</f>
        <v>۰۹۲۱۷۹۷۵۷۴۷</v>
      </c>
      <c r="C1283" s="242"/>
      <c r="D1283" s="242">
        <f t="shared" si="1"/>
        <v>1</v>
      </c>
      <c r="E1283" s="242">
        <f>COUNTIFS('تجربه‌گرها'!$B:$B,$A1283,'تجربه‌گرها'!$F:$F,E$1)</f>
        <v>0</v>
      </c>
      <c r="F1283" s="242">
        <f>COUNTIFS('تجربه‌گرها'!$B:$B,$A1283,'تجربه‌گرها'!$F:$F,F$1)</f>
        <v>0</v>
      </c>
      <c r="G1283" s="242">
        <f>COUNTIFS('تجربه‌گرها'!$B:$B,$A1283,'تجربه‌گرها'!$F:$F,G$1)</f>
        <v>0</v>
      </c>
      <c r="H1283" s="242">
        <f>COUNTIFS('تجربه‌گرها'!$B:$B,$A1283,'تجربه‌گرها'!$F:$F,H$1)</f>
        <v>0</v>
      </c>
      <c r="I1283" s="242">
        <f>COUNTIFS('تجربه‌گرها'!$B:$B,$A1283,'تجربه‌گرها'!$F:$F,I$1)</f>
        <v>0</v>
      </c>
      <c r="J1283" s="242">
        <f>COUNTIFS('تجربه‌گرها'!$B:$B,$A1283,'تجربه‌گرها'!$F:$F,J$1)</f>
        <v>0</v>
      </c>
      <c r="K1283" s="242">
        <f>COUNTIFS('تجربه‌گرها'!$B:$B,$A1283,'تجربه‌گرها'!$F:$F,K$1)</f>
        <v>0</v>
      </c>
      <c r="L1283" s="242">
        <f>COUNTIFS('تجربه‌گرها'!$B:$B,$A1283,'تجربه‌گرها'!$F:$F,L$1)</f>
        <v>0</v>
      </c>
      <c r="M1283" s="242">
        <f>COUNTIFS('تجربه‌گرها'!$B:$B,$A1283,'تجربه‌گرها'!$F:$F,M$1)</f>
        <v>0</v>
      </c>
      <c r="N1283" s="242">
        <f>COUNTIFS('تجربه‌گرها'!$B:$B,$A1283,'تجربه‌گرها'!$F:$F,N$1)</f>
        <v>0</v>
      </c>
      <c r="O1283" s="242">
        <f>COUNTIFS('تجربه‌گرها'!$B:$B,$A1283,'تجربه‌گرها'!$F:$F,O$1)</f>
        <v>0</v>
      </c>
      <c r="P1283" s="242">
        <f>COUNTIFS('تجربه‌گرها'!$B:$B,$A1283,'تجربه‌گرها'!$F:$F,P$1)</f>
        <v>1</v>
      </c>
      <c r="Q1283" s="242">
        <f>COUNTIFS('تجربه‌گرها'!$B:$B,$A1283,'تجربه‌گرها'!$F:$F,Q$1)</f>
        <v>0</v>
      </c>
      <c r="R1283" s="242">
        <f>COUNTIFS('تجربه‌گرها'!$B:$B,$A1283,'تجربه‌گرها'!$F:$F,R$1)</f>
        <v>0</v>
      </c>
      <c r="S1283" s="242">
        <f>COUNTIFS('تجربه‌گرها'!$B:$B,$A1283,'تجربه‌گرها'!$F:$F,S$1)</f>
        <v>0</v>
      </c>
      <c r="T1283" s="242">
        <f>COUNTIFS('تجربه‌گرها'!$B:$B,$A1283,'تجربه‌گرها'!$F:$F,T$1)</f>
        <v>0</v>
      </c>
      <c r="U1283" s="242"/>
      <c r="V1283" s="242"/>
      <c r="W1283" s="242"/>
      <c r="X1283" s="242"/>
      <c r="Y1283" s="242"/>
      <c r="Z1283" s="242"/>
      <c r="AA1283" s="242"/>
      <c r="AB1283" s="242"/>
    </row>
    <row r="1284" hidden="1">
      <c r="A1284" s="244" t="s">
        <v>6276</v>
      </c>
      <c r="B1284" s="245" t="str">
        <f>VLOOKUP(A1284,'تجربه‌گرها'!B:C,2,FALSE())</f>
        <v>۰۹۹۱۲۷۷۱۷۸۱</v>
      </c>
      <c r="C1284" s="242"/>
      <c r="D1284" s="242">
        <f t="shared" si="1"/>
        <v>1</v>
      </c>
      <c r="E1284" s="242">
        <f>COUNTIFS('تجربه‌گرها'!$B:$B,$A1284,'تجربه‌گرها'!$F:$F,E$1)</f>
        <v>0</v>
      </c>
      <c r="F1284" s="242">
        <f>COUNTIFS('تجربه‌گرها'!$B:$B,$A1284,'تجربه‌گرها'!$F:$F,F$1)</f>
        <v>0</v>
      </c>
      <c r="G1284" s="242">
        <f>COUNTIFS('تجربه‌گرها'!$B:$B,$A1284,'تجربه‌گرها'!$F:$F,G$1)</f>
        <v>0</v>
      </c>
      <c r="H1284" s="242">
        <f>COUNTIFS('تجربه‌گرها'!$B:$B,$A1284,'تجربه‌گرها'!$F:$F,H$1)</f>
        <v>0</v>
      </c>
      <c r="I1284" s="242">
        <f>COUNTIFS('تجربه‌گرها'!$B:$B,$A1284,'تجربه‌گرها'!$F:$F,I$1)</f>
        <v>0</v>
      </c>
      <c r="J1284" s="242">
        <f>COUNTIFS('تجربه‌گرها'!$B:$B,$A1284,'تجربه‌گرها'!$F:$F,J$1)</f>
        <v>0</v>
      </c>
      <c r="K1284" s="242">
        <f>COUNTIFS('تجربه‌گرها'!$B:$B,$A1284,'تجربه‌گرها'!$F:$F,K$1)</f>
        <v>0</v>
      </c>
      <c r="L1284" s="242">
        <f>COUNTIFS('تجربه‌گرها'!$B:$B,$A1284,'تجربه‌گرها'!$F:$F,L$1)</f>
        <v>0</v>
      </c>
      <c r="M1284" s="242">
        <f>COUNTIFS('تجربه‌گرها'!$B:$B,$A1284,'تجربه‌گرها'!$F:$F,M$1)</f>
        <v>0</v>
      </c>
      <c r="N1284" s="242">
        <f>COUNTIFS('تجربه‌گرها'!$B:$B,$A1284,'تجربه‌گرها'!$F:$F,N$1)</f>
        <v>0</v>
      </c>
      <c r="O1284" s="242">
        <f>COUNTIFS('تجربه‌گرها'!$B:$B,$A1284,'تجربه‌گرها'!$F:$F,O$1)</f>
        <v>0</v>
      </c>
      <c r="P1284" s="242">
        <f>COUNTIFS('تجربه‌گرها'!$B:$B,$A1284,'تجربه‌گرها'!$F:$F,P$1)</f>
        <v>1</v>
      </c>
      <c r="Q1284" s="242">
        <f>COUNTIFS('تجربه‌گرها'!$B:$B,$A1284,'تجربه‌گرها'!$F:$F,Q$1)</f>
        <v>0</v>
      </c>
      <c r="R1284" s="242">
        <f>COUNTIFS('تجربه‌گرها'!$B:$B,$A1284,'تجربه‌گرها'!$F:$F,R$1)</f>
        <v>0</v>
      </c>
      <c r="S1284" s="242">
        <f>COUNTIFS('تجربه‌گرها'!$B:$B,$A1284,'تجربه‌گرها'!$F:$F,S$1)</f>
        <v>0</v>
      </c>
      <c r="T1284" s="242">
        <f>COUNTIFS('تجربه‌گرها'!$B:$B,$A1284,'تجربه‌گرها'!$F:$F,T$1)</f>
        <v>0</v>
      </c>
      <c r="U1284" s="242"/>
      <c r="V1284" s="242"/>
      <c r="W1284" s="242"/>
      <c r="X1284" s="242"/>
      <c r="Y1284" s="242"/>
      <c r="Z1284" s="242"/>
      <c r="AA1284" s="242"/>
      <c r="AB1284" s="242"/>
    </row>
    <row r="1285" hidden="1">
      <c r="A1285" s="244" t="s">
        <v>6281</v>
      </c>
      <c r="B1285" s="245" t="str">
        <f>VLOOKUP(A1285,'تجربه‌گرها'!B:C,2,FALSE())</f>
        <v>۰۹۱۳۵۴۷۴۲۸۲</v>
      </c>
      <c r="C1285" s="242"/>
      <c r="D1285" s="242">
        <f t="shared" si="1"/>
        <v>1</v>
      </c>
      <c r="E1285" s="242">
        <f>COUNTIFS('تجربه‌گرها'!$B:$B,$A1285,'تجربه‌گرها'!$F:$F,E$1)</f>
        <v>0</v>
      </c>
      <c r="F1285" s="242">
        <f>COUNTIFS('تجربه‌گرها'!$B:$B,$A1285,'تجربه‌گرها'!$F:$F,F$1)</f>
        <v>0</v>
      </c>
      <c r="G1285" s="242">
        <f>COUNTIFS('تجربه‌گرها'!$B:$B,$A1285,'تجربه‌گرها'!$F:$F,G$1)</f>
        <v>0</v>
      </c>
      <c r="H1285" s="242">
        <f>COUNTIFS('تجربه‌گرها'!$B:$B,$A1285,'تجربه‌گرها'!$F:$F,H$1)</f>
        <v>0</v>
      </c>
      <c r="I1285" s="242">
        <f>COUNTIFS('تجربه‌گرها'!$B:$B,$A1285,'تجربه‌گرها'!$F:$F,I$1)</f>
        <v>0</v>
      </c>
      <c r="J1285" s="242">
        <f>COUNTIFS('تجربه‌گرها'!$B:$B,$A1285,'تجربه‌گرها'!$F:$F,J$1)</f>
        <v>0</v>
      </c>
      <c r="K1285" s="242">
        <f>COUNTIFS('تجربه‌گرها'!$B:$B,$A1285,'تجربه‌گرها'!$F:$F,K$1)</f>
        <v>0</v>
      </c>
      <c r="L1285" s="242">
        <f>COUNTIFS('تجربه‌گرها'!$B:$B,$A1285,'تجربه‌گرها'!$F:$F,L$1)</f>
        <v>0</v>
      </c>
      <c r="M1285" s="242">
        <f>COUNTIFS('تجربه‌گرها'!$B:$B,$A1285,'تجربه‌گرها'!$F:$F,M$1)</f>
        <v>0</v>
      </c>
      <c r="N1285" s="242">
        <f>COUNTIFS('تجربه‌گرها'!$B:$B,$A1285,'تجربه‌گرها'!$F:$F,N$1)</f>
        <v>0</v>
      </c>
      <c r="O1285" s="242">
        <f>COUNTIFS('تجربه‌گرها'!$B:$B,$A1285,'تجربه‌گرها'!$F:$F,O$1)</f>
        <v>0</v>
      </c>
      <c r="P1285" s="242">
        <f>COUNTIFS('تجربه‌گرها'!$B:$B,$A1285,'تجربه‌گرها'!$F:$F,P$1)</f>
        <v>1</v>
      </c>
      <c r="Q1285" s="242">
        <f>COUNTIFS('تجربه‌گرها'!$B:$B,$A1285,'تجربه‌گرها'!$F:$F,Q$1)</f>
        <v>0</v>
      </c>
      <c r="R1285" s="242">
        <f>COUNTIFS('تجربه‌گرها'!$B:$B,$A1285,'تجربه‌گرها'!$F:$F,R$1)</f>
        <v>0</v>
      </c>
      <c r="S1285" s="242">
        <f>COUNTIFS('تجربه‌گرها'!$B:$B,$A1285,'تجربه‌گرها'!$F:$F,S$1)</f>
        <v>0</v>
      </c>
      <c r="T1285" s="242">
        <f>COUNTIFS('تجربه‌گرها'!$B:$B,$A1285,'تجربه‌گرها'!$F:$F,T$1)</f>
        <v>0</v>
      </c>
      <c r="U1285" s="242"/>
      <c r="V1285" s="242"/>
      <c r="W1285" s="242"/>
      <c r="X1285" s="242"/>
      <c r="Y1285" s="242"/>
      <c r="Z1285" s="242"/>
      <c r="AA1285" s="242"/>
      <c r="AB1285" s="242"/>
    </row>
    <row r="1286" hidden="1">
      <c r="A1286" s="244" t="s">
        <v>6284</v>
      </c>
      <c r="B1286" s="245" t="str">
        <f>VLOOKUP(A1286,'تجربه‌گرها'!B:C,2,FALSE())</f>
        <v>9396808256</v>
      </c>
      <c r="C1286" s="242"/>
      <c r="D1286" s="242">
        <f t="shared" si="1"/>
        <v>1</v>
      </c>
      <c r="E1286" s="242">
        <f>COUNTIFS('تجربه‌گرها'!$B:$B,$A1286,'تجربه‌گرها'!$F:$F,E$1)</f>
        <v>0</v>
      </c>
      <c r="F1286" s="242">
        <f>COUNTIFS('تجربه‌گرها'!$B:$B,$A1286,'تجربه‌گرها'!$F:$F,F$1)</f>
        <v>0</v>
      </c>
      <c r="G1286" s="242">
        <f>COUNTIFS('تجربه‌گرها'!$B:$B,$A1286,'تجربه‌گرها'!$F:$F,G$1)</f>
        <v>0</v>
      </c>
      <c r="H1286" s="242">
        <f>COUNTIFS('تجربه‌گرها'!$B:$B,$A1286,'تجربه‌گرها'!$F:$F,H$1)</f>
        <v>0</v>
      </c>
      <c r="I1286" s="242">
        <f>COUNTIFS('تجربه‌گرها'!$B:$B,$A1286,'تجربه‌گرها'!$F:$F,I$1)</f>
        <v>0</v>
      </c>
      <c r="J1286" s="242">
        <f>COUNTIFS('تجربه‌گرها'!$B:$B,$A1286,'تجربه‌گرها'!$F:$F,J$1)</f>
        <v>0</v>
      </c>
      <c r="K1286" s="242">
        <f>COUNTIFS('تجربه‌گرها'!$B:$B,$A1286,'تجربه‌گرها'!$F:$F,K$1)</f>
        <v>0</v>
      </c>
      <c r="L1286" s="242">
        <f>COUNTIFS('تجربه‌گرها'!$B:$B,$A1286,'تجربه‌گرها'!$F:$F,L$1)</f>
        <v>0</v>
      </c>
      <c r="M1286" s="242">
        <f>COUNTIFS('تجربه‌گرها'!$B:$B,$A1286,'تجربه‌گرها'!$F:$F,M$1)</f>
        <v>0</v>
      </c>
      <c r="N1286" s="242">
        <f>COUNTIFS('تجربه‌گرها'!$B:$B,$A1286,'تجربه‌گرها'!$F:$F,N$1)</f>
        <v>0</v>
      </c>
      <c r="O1286" s="242">
        <f>COUNTIFS('تجربه‌گرها'!$B:$B,$A1286,'تجربه‌گرها'!$F:$F,O$1)</f>
        <v>0</v>
      </c>
      <c r="P1286" s="242">
        <f>COUNTIFS('تجربه‌گرها'!$B:$B,$A1286,'تجربه‌گرها'!$F:$F,P$1)</f>
        <v>1</v>
      </c>
      <c r="Q1286" s="242">
        <f>COUNTIFS('تجربه‌گرها'!$B:$B,$A1286,'تجربه‌گرها'!$F:$F,Q$1)</f>
        <v>0</v>
      </c>
      <c r="R1286" s="242">
        <f>COUNTIFS('تجربه‌گرها'!$B:$B,$A1286,'تجربه‌گرها'!$F:$F,R$1)</f>
        <v>0</v>
      </c>
      <c r="S1286" s="242">
        <f>COUNTIFS('تجربه‌گرها'!$B:$B,$A1286,'تجربه‌گرها'!$F:$F,S$1)</f>
        <v>0</v>
      </c>
      <c r="T1286" s="242">
        <f>COUNTIFS('تجربه‌گرها'!$B:$B,$A1286,'تجربه‌گرها'!$F:$F,T$1)</f>
        <v>0</v>
      </c>
      <c r="U1286" s="242"/>
      <c r="V1286" s="242"/>
      <c r="W1286" s="242"/>
      <c r="X1286" s="242"/>
      <c r="Y1286" s="242"/>
      <c r="Z1286" s="242"/>
      <c r="AA1286" s="242"/>
      <c r="AB1286" s="242"/>
    </row>
    <row r="1287" hidden="1">
      <c r="A1287" s="244" t="s">
        <v>6289</v>
      </c>
      <c r="B1287" s="245" t="str">
        <f>VLOOKUP(A1287,'تجربه‌گرها'!B:C,2,FALSE())</f>
        <v>9102669011</v>
      </c>
      <c r="C1287" s="242"/>
      <c r="D1287" s="242">
        <f t="shared" si="1"/>
        <v>1</v>
      </c>
      <c r="E1287" s="242">
        <f>COUNTIFS('تجربه‌گرها'!$B:$B,$A1287,'تجربه‌گرها'!$F:$F,E$1)</f>
        <v>0</v>
      </c>
      <c r="F1287" s="242">
        <f>COUNTIFS('تجربه‌گرها'!$B:$B,$A1287,'تجربه‌گرها'!$F:$F,F$1)</f>
        <v>0</v>
      </c>
      <c r="G1287" s="242">
        <f>COUNTIFS('تجربه‌گرها'!$B:$B,$A1287,'تجربه‌گرها'!$F:$F,G$1)</f>
        <v>0</v>
      </c>
      <c r="H1287" s="242">
        <f>COUNTIFS('تجربه‌گرها'!$B:$B,$A1287,'تجربه‌گرها'!$F:$F,H$1)</f>
        <v>0</v>
      </c>
      <c r="I1287" s="242">
        <f>COUNTIFS('تجربه‌گرها'!$B:$B,$A1287,'تجربه‌گرها'!$F:$F,I$1)</f>
        <v>0</v>
      </c>
      <c r="J1287" s="242">
        <f>COUNTIFS('تجربه‌گرها'!$B:$B,$A1287,'تجربه‌گرها'!$F:$F,J$1)</f>
        <v>0</v>
      </c>
      <c r="K1287" s="242">
        <f>COUNTIFS('تجربه‌گرها'!$B:$B,$A1287,'تجربه‌گرها'!$F:$F,K$1)</f>
        <v>0</v>
      </c>
      <c r="L1287" s="242">
        <f>COUNTIFS('تجربه‌گرها'!$B:$B,$A1287,'تجربه‌گرها'!$F:$F,L$1)</f>
        <v>0</v>
      </c>
      <c r="M1287" s="242">
        <f>COUNTIFS('تجربه‌گرها'!$B:$B,$A1287,'تجربه‌گرها'!$F:$F,M$1)</f>
        <v>0</v>
      </c>
      <c r="N1287" s="242">
        <f>COUNTIFS('تجربه‌گرها'!$B:$B,$A1287,'تجربه‌گرها'!$F:$F,N$1)</f>
        <v>0</v>
      </c>
      <c r="O1287" s="242">
        <f>COUNTIFS('تجربه‌گرها'!$B:$B,$A1287,'تجربه‌گرها'!$F:$F,O$1)</f>
        <v>0</v>
      </c>
      <c r="P1287" s="242">
        <f>COUNTIFS('تجربه‌گرها'!$B:$B,$A1287,'تجربه‌گرها'!$F:$F,P$1)</f>
        <v>1</v>
      </c>
      <c r="Q1287" s="242">
        <f>COUNTIFS('تجربه‌گرها'!$B:$B,$A1287,'تجربه‌گرها'!$F:$F,Q$1)</f>
        <v>0</v>
      </c>
      <c r="R1287" s="242">
        <f>COUNTIFS('تجربه‌گرها'!$B:$B,$A1287,'تجربه‌گرها'!$F:$F,R$1)</f>
        <v>0</v>
      </c>
      <c r="S1287" s="242">
        <f>COUNTIFS('تجربه‌گرها'!$B:$B,$A1287,'تجربه‌گرها'!$F:$F,S$1)</f>
        <v>0</v>
      </c>
      <c r="T1287" s="242">
        <f>COUNTIFS('تجربه‌گرها'!$B:$B,$A1287,'تجربه‌گرها'!$F:$F,T$1)</f>
        <v>0</v>
      </c>
      <c r="U1287" s="242"/>
      <c r="V1287" s="242"/>
      <c r="W1287" s="242"/>
      <c r="X1287" s="242"/>
      <c r="Y1287" s="242"/>
      <c r="Z1287" s="242"/>
      <c r="AA1287" s="242"/>
      <c r="AB1287" s="242"/>
    </row>
    <row r="1288" hidden="1">
      <c r="A1288" s="244" t="s">
        <v>6294</v>
      </c>
      <c r="B1288" s="245" t="str">
        <f>VLOOKUP(A1288,'تجربه‌گرها'!B:C,2,FALSE())</f>
        <v>9129151375</v>
      </c>
      <c r="C1288" s="242"/>
      <c r="D1288" s="242">
        <f t="shared" si="1"/>
        <v>1</v>
      </c>
      <c r="E1288" s="242">
        <f>COUNTIFS('تجربه‌گرها'!$B:$B,$A1288,'تجربه‌گرها'!$F:$F,E$1)</f>
        <v>0</v>
      </c>
      <c r="F1288" s="242">
        <f>COUNTIFS('تجربه‌گرها'!$B:$B,$A1288,'تجربه‌گرها'!$F:$F,F$1)</f>
        <v>0</v>
      </c>
      <c r="G1288" s="242">
        <f>COUNTIFS('تجربه‌گرها'!$B:$B,$A1288,'تجربه‌گرها'!$F:$F,G$1)</f>
        <v>0</v>
      </c>
      <c r="H1288" s="242">
        <f>COUNTIFS('تجربه‌گرها'!$B:$B,$A1288,'تجربه‌گرها'!$F:$F,H$1)</f>
        <v>0</v>
      </c>
      <c r="I1288" s="242">
        <f>COUNTIFS('تجربه‌گرها'!$B:$B,$A1288,'تجربه‌گرها'!$F:$F,I$1)</f>
        <v>0</v>
      </c>
      <c r="J1288" s="242">
        <f>COUNTIFS('تجربه‌گرها'!$B:$B,$A1288,'تجربه‌گرها'!$F:$F,J$1)</f>
        <v>0</v>
      </c>
      <c r="K1288" s="242">
        <f>COUNTIFS('تجربه‌گرها'!$B:$B,$A1288,'تجربه‌گرها'!$F:$F,K$1)</f>
        <v>0</v>
      </c>
      <c r="L1288" s="242">
        <f>COUNTIFS('تجربه‌گرها'!$B:$B,$A1288,'تجربه‌گرها'!$F:$F,L$1)</f>
        <v>0</v>
      </c>
      <c r="M1288" s="242">
        <f>COUNTIFS('تجربه‌گرها'!$B:$B,$A1288,'تجربه‌گرها'!$F:$F,M$1)</f>
        <v>0</v>
      </c>
      <c r="N1288" s="242">
        <f>COUNTIFS('تجربه‌گرها'!$B:$B,$A1288,'تجربه‌گرها'!$F:$F,N$1)</f>
        <v>0</v>
      </c>
      <c r="O1288" s="242">
        <f>COUNTIFS('تجربه‌گرها'!$B:$B,$A1288,'تجربه‌گرها'!$F:$F,O$1)</f>
        <v>0</v>
      </c>
      <c r="P1288" s="242">
        <f>COUNTIFS('تجربه‌گرها'!$B:$B,$A1288,'تجربه‌گرها'!$F:$F,P$1)</f>
        <v>1</v>
      </c>
      <c r="Q1288" s="242">
        <f>COUNTIFS('تجربه‌گرها'!$B:$B,$A1288,'تجربه‌گرها'!$F:$F,Q$1)</f>
        <v>0</v>
      </c>
      <c r="R1288" s="242">
        <f>COUNTIFS('تجربه‌گرها'!$B:$B,$A1288,'تجربه‌گرها'!$F:$F,R$1)</f>
        <v>0</v>
      </c>
      <c r="S1288" s="242">
        <f>COUNTIFS('تجربه‌گرها'!$B:$B,$A1288,'تجربه‌گرها'!$F:$F,S$1)</f>
        <v>0</v>
      </c>
      <c r="T1288" s="242">
        <f>COUNTIFS('تجربه‌گرها'!$B:$B,$A1288,'تجربه‌گرها'!$F:$F,T$1)</f>
        <v>0</v>
      </c>
      <c r="U1288" s="242"/>
      <c r="V1288" s="242"/>
      <c r="W1288" s="242"/>
      <c r="X1288" s="242"/>
      <c r="Y1288" s="242"/>
      <c r="Z1288" s="242"/>
      <c r="AA1288" s="242"/>
      <c r="AB1288" s="242"/>
    </row>
    <row r="1289" hidden="1">
      <c r="A1289" s="244" t="s">
        <v>6299</v>
      </c>
      <c r="B1289" s="245" t="str">
        <f>VLOOKUP(A1289,'تجربه‌گرها'!B:C,2,FALSE())</f>
        <v>9199639250</v>
      </c>
      <c r="C1289" s="242"/>
      <c r="D1289" s="242">
        <f t="shared" si="1"/>
        <v>1</v>
      </c>
      <c r="E1289" s="242">
        <f>COUNTIFS('تجربه‌گرها'!$B:$B,$A1289,'تجربه‌گرها'!$F:$F,E$1)</f>
        <v>0</v>
      </c>
      <c r="F1289" s="242">
        <f>COUNTIFS('تجربه‌گرها'!$B:$B,$A1289,'تجربه‌گرها'!$F:$F,F$1)</f>
        <v>0</v>
      </c>
      <c r="G1289" s="242">
        <f>COUNTIFS('تجربه‌گرها'!$B:$B,$A1289,'تجربه‌گرها'!$F:$F,G$1)</f>
        <v>0</v>
      </c>
      <c r="H1289" s="242">
        <f>COUNTIFS('تجربه‌گرها'!$B:$B,$A1289,'تجربه‌گرها'!$F:$F,H$1)</f>
        <v>0</v>
      </c>
      <c r="I1289" s="242">
        <f>COUNTIFS('تجربه‌گرها'!$B:$B,$A1289,'تجربه‌گرها'!$F:$F,I$1)</f>
        <v>0</v>
      </c>
      <c r="J1289" s="242">
        <f>COUNTIFS('تجربه‌گرها'!$B:$B,$A1289,'تجربه‌گرها'!$F:$F,J$1)</f>
        <v>0</v>
      </c>
      <c r="K1289" s="242">
        <f>COUNTIFS('تجربه‌گرها'!$B:$B,$A1289,'تجربه‌گرها'!$F:$F,K$1)</f>
        <v>0</v>
      </c>
      <c r="L1289" s="242">
        <f>COUNTIFS('تجربه‌گرها'!$B:$B,$A1289,'تجربه‌گرها'!$F:$F,L$1)</f>
        <v>0</v>
      </c>
      <c r="M1289" s="242">
        <f>COUNTIFS('تجربه‌گرها'!$B:$B,$A1289,'تجربه‌گرها'!$F:$F,M$1)</f>
        <v>0</v>
      </c>
      <c r="N1289" s="242">
        <f>COUNTIFS('تجربه‌گرها'!$B:$B,$A1289,'تجربه‌گرها'!$F:$F,N$1)</f>
        <v>0</v>
      </c>
      <c r="O1289" s="242">
        <f>COUNTIFS('تجربه‌گرها'!$B:$B,$A1289,'تجربه‌گرها'!$F:$F,O$1)</f>
        <v>0</v>
      </c>
      <c r="P1289" s="242">
        <f>COUNTIFS('تجربه‌گرها'!$B:$B,$A1289,'تجربه‌گرها'!$F:$F,P$1)</f>
        <v>1</v>
      </c>
      <c r="Q1289" s="242">
        <f>COUNTIFS('تجربه‌گرها'!$B:$B,$A1289,'تجربه‌گرها'!$F:$F,Q$1)</f>
        <v>0</v>
      </c>
      <c r="R1289" s="242">
        <f>COUNTIFS('تجربه‌گرها'!$B:$B,$A1289,'تجربه‌گرها'!$F:$F,R$1)</f>
        <v>0</v>
      </c>
      <c r="S1289" s="242">
        <f>COUNTIFS('تجربه‌گرها'!$B:$B,$A1289,'تجربه‌گرها'!$F:$F,S$1)</f>
        <v>0</v>
      </c>
      <c r="T1289" s="242">
        <f>COUNTIFS('تجربه‌گرها'!$B:$B,$A1289,'تجربه‌گرها'!$F:$F,T$1)</f>
        <v>0</v>
      </c>
      <c r="U1289" s="242"/>
      <c r="V1289" s="242"/>
      <c r="W1289" s="242"/>
      <c r="X1289" s="242"/>
      <c r="Y1289" s="242"/>
      <c r="Z1289" s="242"/>
      <c r="AA1289" s="242"/>
      <c r="AB1289" s="242"/>
    </row>
    <row r="1290" hidden="1">
      <c r="A1290" s="244" t="s">
        <v>6303</v>
      </c>
      <c r="B1290" s="245" t="str">
        <f>VLOOKUP(A1290,'تجربه‌گرها'!B:C,2,FALSE())</f>
        <v>9351178986</v>
      </c>
      <c r="C1290" s="242"/>
      <c r="D1290" s="242">
        <f t="shared" si="1"/>
        <v>1</v>
      </c>
      <c r="E1290" s="242">
        <f>COUNTIFS('تجربه‌گرها'!$B:$B,$A1290,'تجربه‌گرها'!$F:$F,E$1)</f>
        <v>0</v>
      </c>
      <c r="F1290" s="242">
        <f>COUNTIFS('تجربه‌گرها'!$B:$B,$A1290,'تجربه‌گرها'!$F:$F,F$1)</f>
        <v>0</v>
      </c>
      <c r="G1290" s="242">
        <f>COUNTIFS('تجربه‌گرها'!$B:$B,$A1290,'تجربه‌گرها'!$F:$F,G$1)</f>
        <v>0</v>
      </c>
      <c r="H1290" s="242">
        <f>COUNTIFS('تجربه‌گرها'!$B:$B,$A1290,'تجربه‌گرها'!$F:$F,H$1)</f>
        <v>0</v>
      </c>
      <c r="I1290" s="242">
        <f>COUNTIFS('تجربه‌گرها'!$B:$B,$A1290,'تجربه‌گرها'!$F:$F,I$1)</f>
        <v>0</v>
      </c>
      <c r="J1290" s="242">
        <f>COUNTIFS('تجربه‌گرها'!$B:$B,$A1290,'تجربه‌گرها'!$F:$F,J$1)</f>
        <v>0</v>
      </c>
      <c r="K1290" s="242">
        <f>COUNTIFS('تجربه‌گرها'!$B:$B,$A1290,'تجربه‌گرها'!$F:$F,K$1)</f>
        <v>0</v>
      </c>
      <c r="L1290" s="242">
        <f>COUNTIFS('تجربه‌گرها'!$B:$B,$A1290,'تجربه‌گرها'!$F:$F,L$1)</f>
        <v>0</v>
      </c>
      <c r="M1290" s="242">
        <f>COUNTIFS('تجربه‌گرها'!$B:$B,$A1290,'تجربه‌گرها'!$F:$F,M$1)</f>
        <v>0</v>
      </c>
      <c r="N1290" s="242">
        <f>COUNTIFS('تجربه‌گرها'!$B:$B,$A1290,'تجربه‌گرها'!$F:$F,N$1)</f>
        <v>0</v>
      </c>
      <c r="O1290" s="242">
        <f>COUNTIFS('تجربه‌گرها'!$B:$B,$A1290,'تجربه‌گرها'!$F:$F,O$1)</f>
        <v>0</v>
      </c>
      <c r="P1290" s="242">
        <f>COUNTIFS('تجربه‌گرها'!$B:$B,$A1290,'تجربه‌گرها'!$F:$F,P$1)</f>
        <v>1</v>
      </c>
      <c r="Q1290" s="242">
        <f>COUNTIFS('تجربه‌گرها'!$B:$B,$A1290,'تجربه‌گرها'!$F:$F,Q$1)</f>
        <v>0</v>
      </c>
      <c r="R1290" s="242">
        <f>COUNTIFS('تجربه‌گرها'!$B:$B,$A1290,'تجربه‌گرها'!$F:$F,R$1)</f>
        <v>0</v>
      </c>
      <c r="S1290" s="242">
        <f>COUNTIFS('تجربه‌گرها'!$B:$B,$A1290,'تجربه‌گرها'!$F:$F,S$1)</f>
        <v>0</v>
      </c>
      <c r="T1290" s="242">
        <f>COUNTIFS('تجربه‌گرها'!$B:$B,$A1290,'تجربه‌گرها'!$F:$F,T$1)</f>
        <v>0</v>
      </c>
      <c r="U1290" s="242"/>
      <c r="V1290" s="242"/>
      <c r="W1290" s="242"/>
      <c r="X1290" s="242"/>
      <c r="Y1290" s="242"/>
      <c r="Z1290" s="242"/>
      <c r="AA1290" s="242"/>
      <c r="AB1290" s="242"/>
    </row>
    <row r="1291" hidden="1">
      <c r="A1291" s="244" t="s">
        <v>6306</v>
      </c>
      <c r="B1291" s="245" t="str">
        <f>VLOOKUP(A1291,'تجربه‌گرها'!B:C,2,FALSE())</f>
        <v>9226637640</v>
      </c>
      <c r="C1291" s="242"/>
      <c r="D1291" s="242">
        <f t="shared" si="1"/>
        <v>1</v>
      </c>
      <c r="E1291" s="242">
        <f>COUNTIFS('تجربه‌گرها'!$B:$B,$A1291,'تجربه‌گرها'!$F:$F,E$1)</f>
        <v>0</v>
      </c>
      <c r="F1291" s="242">
        <f>COUNTIFS('تجربه‌گرها'!$B:$B,$A1291,'تجربه‌گرها'!$F:$F,F$1)</f>
        <v>0</v>
      </c>
      <c r="G1291" s="242">
        <f>COUNTIFS('تجربه‌گرها'!$B:$B,$A1291,'تجربه‌گرها'!$F:$F,G$1)</f>
        <v>0</v>
      </c>
      <c r="H1291" s="242">
        <f>COUNTIFS('تجربه‌گرها'!$B:$B,$A1291,'تجربه‌گرها'!$F:$F,H$1)</f>
        <v>0</v>
      </c>
      <c r="I1291" s="242">
        <f>COUNTIFS('تجربه‌گرها'!$B:$B,$A1291,'تجربه‌گرها'!$F:$F,I$1)</f>
        <v>0</v>
      </c>
      <c r="J1291" s="242">
        <f>COUNTIFS('تجربه‌گرها'!$B:$B,$A1291,'تجربه‌گرها'!$F:$F,J$1)</f>
        <v>0</v>
      </c>
      <c r="K1291" s="242">
        <f>COUNTIFS('تجربه‌گرها'!$B:$B,$A1291,'تجربه‌گرها'!$F:$F,K$1)</f>
        <v>0</v>
      </c>
      <c r="L1291" s="242">
        <f>COUNTIFS('تجربه‌گرها'!$B:$B,$A1291,'تجربه‌گرها'!$F:$F,L$1)</f>
        <v>0</v>
      </c>
      <c r="M1291" s="242">
        <f>COUNTIFS('تجربه‌گرها'!$B:$B,$A1291,'تجربه‌گرها'!$F:$F,M$1)</f>
        <v>0</v>
      </c>
      <c r="N1291" s="242">
        <f>COUNTIFS('تجربه‌گرها'!$B:$B,$A1291,'تجربه‌گرها'!$F:$F,N$1)</f>
        <v>0</v>
      </c>
      <c r="O1291" s="242">
        <f>COUNTIFS('تجربه‌گرها'!$B:$B,$A1291,'تجربه‌گرها'!$F:$F,O$1)</f>
        <v>0</v>
      </c>
      <c r="P1291" s="242">
        <f>COUNTIFS('تجربه‌گرها'!$B:$B,$A1291,'تجربه‌گرها'!$F:$F,P$1)</f>
        <v>1</v>
      </c>
      <c r="Q1291" s="242">
        <f>COUNTIFS('تجربه‌گرها'!$B:$B,$A1291,'تجربه‌گرها'!$F:$F,Q$1)</f>
        <v>0</v>
      </c>
      <c r="R1291" s="242">
        <f>COUNTIFS('تجربه‌گرها'!$B:$B,$A1291,'تجربه‌گرها'!$F:$F,R$1)</f>
        <v>0</v>
      </c>
      <c r="S1291" s="242">
        <f>COUNTIFS('تجربه‌گرها'!$B:$B,$A1291,'تجربه‌گرها'!$F:$F,S$1)</f>
        <v>0</v>
      </c>
      <c r="T1291" s="242">
        <f>COUNTIFS('تجربه‌گرها'!$B:$B,$A1291,'تجربه‌گرها'!$F:$F,T$1)</f>
        <v>0</v>
      </c>
      <c r="U1291" s="242"/>
      <c r="V1291" s="242"/>
      <c r="W1291" s="242"/>
      <c r="X1291" s="242"/>
      <c r="Y1291" s="242"/>
      <c r="Z1291" s="242"/>
      <c r="AA1291" s="242"/>
      <c r="AB1291" s="242"/>
    </row>
    <row r="1292" hidden="1">
      <c r="A1292" s="244" t="s">
        <v>6311</v>
      </c>
      <c r="B1292" s="245" t="str">
        <f>VLOOKUP(A1292,'تجربه‌گرها'!B:C,2,FALSE())</f>
        <v>9152496838</v>
      </c>
      <c r="C1292" s="242"/>
      <c r="D1292" s="242">
        <f t="shared" si="1"/>
        <v>1</v>
      </c>
      <c r="E1292" s="242">
        <f>COUNTIFS('تجربه‌گرها'!$B:$B,$A1292,'تجربه‌گرها'!$F:$F,E$1)</f>
        <v>0</v>
      </c>
      <c r="F1292" s="242">
        <f>COUNTIFS('تجربه‌گرها'!$B:$B,$A1292,'تجربه‌گرها'!$F:$F,F$1)</f>
        <v>0</v>
      </c>
      <c r="G1292" s="242">
        <f>COUNTIFS('تجربه‌گرها'!$B:$B,$A1292,'تجربه‌گرها'!$F:$F,G$1)</f>
        <v>0</v>
      </c>
      <c r="H1292" s="242">
        <f>COUNTIFS('تجربه‌گرها'!$B:$B,$A1292,'تجربه‌گرها'!$F:$F,H$1)</f>
        <v>0</v>
      </c>
      <c r="I1292" s="242">
        <f>COUNTIFS('تجربه‌گرها'!$B:$B,$A1292,'تجربه‌گرها'!$F:$F,I$1)</f>
        <v>0</v>
      </c>
      <c r="J1292" s="242">
        <f>COUNTIFS('تجربه‌گرها'!$B:$B,$A1292,'تجربه‌گرها'!$F:$F,J$1)</f>
        <v>0</v>
      </c>
      <c r="K1292" s="242">
        <f>COUNTIFS('تجربه‌گرها'!$B:$B,$A1292,'تجربه‌گرها'!$F:$F,K$1)</f>
        <v>0</v>
      </c>
      <c r="L1292" s="242">
        <f>COUNTIFS('تجربه‌گرها'!$B:$B,$A1292,'تجربه‌گرها'!$F:$F,L$1)</f>
        <v>0</v>
      </c>
      <c r="M1292" s="242">
        <f>COUNTIFS('تجربه‌گرها'!$B:$B,$A1292,'تجربه‌گرها'!$F:$F,M$1)</f>
        <v>0</v>
      </c>
      <c r="N1292" s="242">
        <f>COUNTIFS('تجربه‌گرها'!$B:$B,$A1292,'تجربه‌گرها'!$F:$F,N$1)</f>
        <v>0</v>
      </c>
      <c r="O1292" s="242">
        <f>COUNTIFS('تجربه‌گرها'!$B:$B,$A1292,'تجربه‌گرها'!$F:$F,O$1)</f>
        <v>0</v>
      </c>
      <c r="P1292" s="242">
        <f>COUNTIFS('تجربه‌گرها'!$B:$B,$A1292,'تجربه‌گرها'!$F:$F,P$1)</f>
        <v>1</v>
      </c>
      <c r="Q1292" s="242">
        <f>COUNTIFS('تجربه‌گرها'!$B:$B,$A1292,'تجربه‌گرها'!$F:$F,Q$1)</f>
        <v>0</v>
      </c>
      <c r="R1292" s="242">
        <f>COUNTIFS('تجربه‌گرها'!$B:$B,$A1292,'تجربه‌گرها'!$F:$F,R$1)</f>
        <v>0</v>
      </c>
      <c r="S1292" s="242">
        <f>COUNTIFS('تجربه‌گرها'!$B:$B,$A1292,'تجربه‌گرها'!$F:$F,S$1)</f>
        <v>0</v>
      </c>
      <c r="T1292" s="242">
        <f>COUNTIFS('تجربه‌گرها'!$B:$B,$A1292,'تجربه‌گرها'!$F:$F,T$1)</f>
        <v>0</v>
      </c>
      <c r="U1292" s="242"/>
      <c r="V1292" s="242"/>
      <c r="W1292" s="242"/>
      <c r="X1292" s="242"/>
      <c r="Y1292" s="242"/>
      <c r="Z1292" s="242"/>
      <c r="AA1292" s="242"/>
      <c r="AB1292" s="242"/>
    </row>
    <row r="1293" hidden="1">
      <c r="A1293" s="244" t="s">
        <v>6315</v>
      </c>
      <c r="B1293" s="245" t="str">
        <f>VLOOKUP(A1293,'تجربه‌گرها'!B:C,2,FALSE())</f>
        <v>9921689734</v>
      </c>
      <c r="C1293" s="242"/>
      <c r="D1293" s="242">
        <f t="shared" si="1"/>
        <v>1</v>
      </c>
      <c r="E1293" s="242">
        <f>COUNTIFS('تجربه‌گرها'!$B:$B,$A1293,'تجربه‌گرها'!$F:$F,E$1)</f>
        <v>0</v>
      </c>
      <c r="F1293" s="242">
        <f>COUNTIFS('تجربه‌گرها'!$B:$B,$A1293,'تجربه‌گرها'!$F:$F,F$1)</f>
        <v>0</v>
      </c>
      <c r="G1293" s="242">
        <f>COUNTIFS('تجربه‌گرها'!$B:$B,$A1293,'تجربه‌گرها'!$F:$F,G$1)</f>
        <v>0</v>
      </c>
      <c r="H1293" s="242">
        <f>COUNTIFS('تجربه‌گرها'!$B:$B,$A1293,'تجربه‌گرها'!$F:$F,H$1)</f>
        <v>0</v>
      </c>
      <c r="I1293" s="242">
        <f>COUNTIFS('تجربه‌گرها'!$B:$B,$A1293,'تجربه‌گرها'!$F:$F,I$1)</f>
        <v>0</v>
      </c>
      <c r="J1293" s="242">
        <f>COUNTIFS('تجربه‌گرها'!$B:$B,$A1293,'تجربه‌گرها'!$F:$F,J$1)</f>
        <v>0</v>
      </c>
      <c r="K1293" s="242">
        <f>COUNTIFS('تجربه‌گرها'!$B:$B,$A1293,'تجربه‌گرها'!$F:$F,K$1)</f>
        <v>0</v>
      </c>
      <c r="L1293" s="242">
        <f>COUNTIFS('تجربه‌گرها'!$B:$B,$A1293,'تجربه‌گرها'!$F:$F,L$1)</f>
        <v>0</v>
      </c>
      <c r="M1293" s="242">
        <f>COUNTIFS('تجربه‌گرها'!$B:$B,$A1293,'تجربه‌گرها'!$F:$F,M$1)</f>
        <v>0</v>
      </c>
      <c r="N1293" s="242">
        <f>COUNTIFS('تجربه‌گرها'!$B:$B,$A1293,'تجربه‌گرها'!$F:$F,N$1)</f>
        <v>0</v>
      </c>
      <c r="O1293" s="242">
        <f>COUNTIFS('تجربه‌گرها'!$B:$B,$A1293,'تجربه‌گرها'!$F:$F,O$1)</f>
        <v>0</v>
      </c>
      <c r="P1293" s="242">
        <f>COUNTIFS('تجربه‌گرها'!$B:$B,$A1293,'تجربه‌گرها'!$F:$F,P$1)</f>
        <v>1</v>
      </c>
      <c r="Q1293" s="242">
        <f>COUNTIFS('تجربه‌گرها'!$B:$B,$A1293,'تجربه‌گرها'!$F:$F,Q$1)</f>
        <v>0</v>
      </c>
      <c r="R1293" s="242">
        <f>COUNTIFS('تجربه‌گرها'!$B:$B,$A1293,'تجربه‌گرها'!$F:$F,R$1)</f>
        <v>0</v>
      </c>
      <c r="S1293" s="242">
        <f>COUNTIFS('تجربه‌گرها'!$B:$B,$A1293,'تجربه‌گرها'!$F:$F,S$1)</f>
        <v>0</v>
      </c>
      <c r="T1293" s="242">
        <f>COUNTIFS('تجربه‌گرها'!$B:$B,$A1293,'تجربه‌گرها'!$F:$F,T$1)</f>
        <v>0</v>
      </c>
      <c r="U1293" s="242"/>
      <c r="V1293" s="242"/>
      <c r="W1293" s="242"/>
      <c r="X1293" s="242"/>
      <c r="Y1293" s="242"/>
      <c r="Z1293" s="242"/>
      <c r="AA1293" s="242"/>
      <c r="AB1293" s="242"/>
    </row>
    <row r="1294" hidden="1">
      <c r="A1294" s="244" t="s">
        <v>6318</v>
      </c>
      <c r="B1294" s="245" t="str">
        <f>VLOOKUP(A1294,'تجربه‌گرها'!B:C,2,FALSE())</f>
        <v>9120259834</v>
      </c>
      <c r="C1294" s="242"/>
      <c r="D1294" s="242">
        <f t="shared" si="1"/>
        <v>1</v>
      </c>
      <c r="E1294" s="242">
        <f>COUNTIFS('تجربه‌گرها'!$B:$B,$A1294,'تجربه‌گرها'!$F:$F,E$1)</f>
        <v>0</v>
      </c>
      <c r="F1294" s="242">
        <f>COUNTIFS('تجربه‌گرها'!$B:$B,$A1294,'تجربه‌گرها'!$F:$F,F$1)</f>
        <v>0</v>
      </c>
      <c r="G1294" s="242">
        <f>COUNTIFS('تجربه‌گرها'!$B:$B,$A1294,'تجربه‌گرها'!$F:$F,G$1)</f>
        <v>0</v>
      </c>
      <c r="H1294" s="242">
        <f>COUNTIFS('تجربه‌گرها'!$B:$B,$A1294,'تجربه‌گرها'!$F:$F,H$1)</f>
        <v>0</v>
      </c>
      <c r="I1294" s="242">
        <f>COUNTIFS('تجربه‌گرها'!$B:$B,$A1294,'تجربه‌گرها'!$F:$F,I$1)</f>
        <v>0</v>
      </c>
      <c r="J1294" s="242">
        <f>COUNTIFS('تجربه‌گرها'!$B:$B,$A1294,'تجربه‌گرها'!$F:$F,J$1)</f>
        <v>0</v>
      </c>
      <c r="K1294" s="242">
        <f>COUNTIFS('تجربه‌گرها'!$B:$B,$A1294,'تجربه‌گرها'!$F:$F,K$1)</f>
        <v>0</v>
      </c>
      <c r="L1294" s="242">
        <f>COUNTIFS('تجربه‌گرها'!$B:$B,$A1294,'تجربه‌گرها'!$F:$F,L$1)</f>
        <v>0</v>
      </c>
      <c r="M1294" s="242">
        <f>COUNTIFS('تجربه‌گرها'!$B:$B,$A1294,'تجربه‌گرها'!$F:$F,M$1)</f>
        <v>0</v>
      </c>
      <c r="N1294" s="242">
        <f>COUNTIFS('تجربه‌گرها'!$B:$B,$A1294,'تجربه‌گرها'!$F:$F,N$1)</f>
        <v>0</v>
      </c>
      <c r="O1294" s="242">
        <f>COUNTIFS('تجربه‌گرها'!$B:$B,$A1294,'تجربه‌گرها'!$F:$F,O$1)</f>
        <v>0</v>
      </c>
      <c r="P1294" s="242">
        <f>COUNTIFS('تجربه‌گرها'!$B:$B,$A1294,'تجربه‌گرها'!$F:$F,P$1)</f>
        <v>1</v>
      </c>
      <c r="Q1294" s="242">
        <f>COUNTIFS('تجربه‌گرها'!$B:$B,$A1294,'تجربه‌گرها'!$F:$F,Q$1)</f>
        <v>0</v>
      </c>
      <c r="R1294" s="242">
        <f>COUNTIFS('تجربه‌گرها'!$B:$B,$A1294,'تجربه‌گرها'!$F:$F,R$1)</f>
        <v>0</v>
      </c>
      <c r="S1294" s="242">
        <f>COUNTIFS('تجربه‌گرها'!$B:$B,$A1294,'تجربه‌گرها'!$F:$F,S$1)</f>
        <v>0</v>
      </c>
      <c r="T1294" s="242">
        <f>COUNTIFS('تجربه‌گرها'!$B:$B,$A1294,'تجربه‌گرها'!$F:$F,T$1)</f>
        <v>0</v>
      </c>
      <c r="U1294" s="242"/>
      <c r="V1294" s="242"/>
      <c r="W1294" s="242"/>
      <c r="X1294" s="242"/>
      <c r="Y1294" s="242"/>
      <c r="Z1294" s="242"/>
      <c r="AA1294" s="242"/>
      <c r="AB1294" s="242"/>
    </row>
    <row r="1295" hidden="1">
      <c r="A1295" s="244" t="s">
        <v>6323</v>
      </c>
      <c r="B1295" s="245" t="str">
        <f>VLOOKUP(A1295,'تجربه‌گرها'!B:C,2,FALSE())</f>
        <v>9152170729</v>
      </c>
      <c r="C1295" s="242"/>
      <c r="D1295" s="242">
        <f t="shared" si="1"/>
        <v>1</v>
      </c>
      <c r="E1295" s="242">
        <f>COUNTIFS('تجربه‌گرها'!$B:$B,$A1295,'تجربه‌گرها'!$F:$F,E$1)</f>
        <v>0</v>
      </c>
      <c r="F1295" s="242">
        <f>COUNTIFS('تجربه‌گرها'!$B:$B,$A1295,'تجربه‌گرها'!$F:$F,F$1)</f>
        <v>0</v>
      </c>
      <c r="G1295" s="242">
        <f>COUNTIFS('تجربه‌گرها'!$B:$B,$A1295,'تجربه‌گرها'!$F:$F,G$1)</f>
        <v>0</v>
      </c>
      <c r="H1295" s="242">
        <f>COUNTIFS('تجربه‌گرها'!$B:$B,$A1295,'تجربه‌گرها'!$F:$F,H$1)</f>
        <v>0</v>
      </c>
      <c r="I1295" s="242">
        <f>COUNTIFS('تجربه‌گرها'!$B:$B,$A1295,'تجربه‌گرها'!$F:$F,I$1)</f>
        <v>0</v>
      </c>
      <c r="J1295" s="242">
        <f>COUNTIFS('تجربه‌گرها'!$B:$B,$A1295,'تجربه‌گرها'!$F:$F,J$1)</f>
        <v>0</v>
      </c>
      <c r="K1295" s="242">
        <f>COUNTIFS('تجربه‌گرها'!$B:$B,$A1295,'تجربه‌گرها'!$F:$F,K$1)</f>
        <v>0</v>
      </c>
      <c r="L1295" s="242">
        <f>COUNTIFS('تجربه‌گرها'!$B:$B,$A1295,'تجربه‌گرها'!$F:$F,L$1)</f>
        <v>0</v>
      </c>
      <c r="M1295" s="242">
        <f>COUNTIFS('تجربه‌گرها'!$B:$B,$A1295,'تجربه‌گرها'!$F:$F,M$1)</f>
        <v>0</v>
      </c>
      <c r="N1295" s="242">
        <f>COUNTIFS('تجربه‌گرها'!$B:$B,$A1295,'تجربه‌گرها'!$F:$F,N$1)</f>
        <v>0</v>
      </c>
      <c r="O1295" s="242">
        <f>COUNTIFS('تجربه‌گرها'!$B:$B,$A1295,'تجربه‌گرها'!$F:$F,O$1)</f>
        <v>0</v>
      </c>
      <c r="P1295" s="242">
        <f>COUNTIFS('تجربه‌گرها'!$B:$B,$A1295,'تجربه‌گرها'!$F:$F,P$1)</f>
        <v>1</v>
      </c>
      <c r="Q1295" s="242">
        <f>COUNTIFS('تجربه‌گرها'!$B:$B,$A1295,'تجربه‌گرها'!$F:$F,Q$1)</f>
        <v>0</v>
      </c>
      <c r="R1295" s="242">
        <f>COUNTIFS('تجربه‌گرها'!$B:$B,$A1295,'تجربه‌گرها'!$F:$F,R$1)</f>
        <v>0</v>
      </c>
      <c r="S1295" s="242">
        <f>COUNTIFS('تجربه‌گرها'!$B:$B,$A1295,'تجربه‌گرها'!$F:$F,S$1)</f>
        <v>0</v>
      </c>
      <c r="T1295" s="242">
        <f>COUNTIFS('تجربه‌گرها'!$B:$B,$A1295,'تجربه‌گرها'!$F:$F,T$1)</f>
        <v>0</v>
      </c>
      <c r="U1295" s="242"/>
      <c r="V1295" s="242"/>
      <c r="W1295" s="242"/>
      <c r="X1295" s="242"/>
      <c r="Y1295" s="242"/>
      <c r="Z1295" s="242"/>
      <c r="AA1295" s="242"/>
      <c r="AB1295" s="242"/>
    </row>
    <row r="1296" hidden="1">
      <c r="A1296" s="244" t="s">
        <v>6327</v>
      </c>
      <c r="B1296" s="245" t="str">
        <f>VLOOKUP(A1296,'تجربه‌گرها'!B:C,2,FALSE())</f>
        <v>۹۳۶۳۱۳۲۱۳۰</v>
      </c>
      <c r="C1296" s="242"/>
      <c r="D1296" s="242">
        <f t="shared" si="1"/>
        <v>1</v>
      </c>
      <c r="E1296" s="242">
        <f>COUNTIFS('تجربه‌گرها'!$B:$B,$A1296,'تجربه‌گرها'!$F:$F,E$1)</f>
        <v>0</v>
      </c>
      <c r="F1296" s="242">
        <f>COUNTIFS('تجربه‌گرها'!$B:$B,$A1296,'تجربه‌گرها'!$F:$F,F$1)</f>
        <v>0</v>
      </c>
      <c r="G1296" s="242">
        <f>COUNTIFS('تجربه‌گرها'!$B:$B,$A1296,'تجربه‌گرها'!$F:$F,G$1)</f>
        <v>0</v>
      </c>
      <c r="H1296" s="242">
        <f>COUNTIFS('تجربه‌گرها'!$B:$B,$A1296,'تجربه‌گرها'!$F:$F,H$1)</f>
        <v>0</v>
      </c>
      <c r="I1296" s="242">
        <f>COUNTIFS('تجربه‌گرها'!$B:$B,$A1296,'تجربه‌گرها'!$F:$F,I$1)</f>
        <v>0</v>
      </c>
      <c r="J1296" s="242">
        <f>COUNTIFS('تجربه‌گرها'!$B:$B,$A1296,'تجربه‌گرها'!$F:$F,J$1)</f>
        <v>0</v>
      </c>
      <c r="K1296" s="242">
        <f>COUNTIFS('تجربه‌گرها'!$B:$B,$A1296,'تجربه‌گرها'!$F:$F,K$1)</f>
        <v>0</v>
      </c>
      <c r="L1296" s="242">
        <f>COUNTIFS('تجربه‌گرها'!$B:$B,$A1296,'تجربه‌گرها'!$F:$F,L$1)</f>
        <v>0</v>
      </c>
      <c r="M1296" s="242">
        <f>COUNTIFS('تجربه‌گرها'!$B:$B,$A1296,'تجربه‌گرها'!$F:$F,M$1)</f>
        <v>0</v>
      </c>
      <c r="N1296" s="242">
        <f>COUNTIFS('تجربه‌گرها'!$B:$B,$A1296,'تجربه‌گرها'!$F:$F,N$1)</f>
        <v>0</v>
      </c>
      <c r="O1296" s="242">
        <f>COUNTIFS('تجربه‌گرها'!$B:$B,$A1296,'تجربه‌گرها'!$F:$F,O$1)</f>
        <v>0</v>
      </c>
      <c r="P1296" s="242">
        <f>COUNTIFS('تجربه‌گرها'!$B:$B,$A1296,'تجربه‌گرها'!$F:$F,P$1)</f>
        <v>1</v>
      </c>
      <c r="Q1296" s="242">
        <f>COUNTIFS('تجربه‌گرها'!$B:$B,$A1296,'تجربه‌گرها'!$F:$F,Q$1)</f>
        <v>0</v>
      </c>
      <c r="R1296" s="242">
        <f>COUNTIFS('تجربه‌گرها'!$B:$B,$A1296,'تجربه‌گرها'!$F:$F,R$1)</f>
        <v>0</v>
      </c>
      <c r="S1296" s="242">
        <f>COUNTIFS('تجربه‌گرها'!$B:$B,$A1296,'تجربه‌گرها'!$F:$F,S$1)</f>
        <v>0</v>
      </c>
      <c r="T1296" s="242">
        <f>COUNTIFS('تجربه‌گرها'!$B:$B,$A1296,'تجربه‌گرها'!$F:$F,T$1)</f>
        <v>0</v>
      </c>
      <c r="U1296" s="242"/>
      <c r="V1296" s="242"/>
      <c r="W1296" s="242"/>
      <c r="X1296" s="242"/>
      <c r="Y1296" s="242"/>
      <c r="Z1296" s="242"/>
      <c r="AA1296" s="242"/>
      <c r="AB1296" s="242"/>
    </row>
    <row r="1297" hidden="1">
      <c r="A1297" s="244" t="s">
        <v>6331</v>
      </c>
      <c r="B1297" s="245" t="str">
        <f>VLOOKUP(A1297,'تجربه‌گرها'!B:C,2,FALSE())</f>
        <v>۰۹۹۰۱۹۱۲۴۷۷</v>
      </c>
      <c r="C1297" s="242"/>
      <c r="D1297" s="242">
        <f t="shared" si="1"/>
        <v>1</v>
      </c>
      <c r="E1297" s="242">
        <f>COUNTIFS('تجربه‌گرها'!$B:$B,$A1297,'تجربه‌گرها'!$F:$F,E$1)</f>
        <v>0</v>
      </c>
      <c r="F1297" s="242">
        <f>COUNTIFS('تجربه‌گرها'!$B:$B,$A1297,'تجربه‌گرها'!$F:$F,F$1)</f>
        <v>0</v>
      </c>
      <c r="G1297" s="242">
        <f>COUNTIFS('تجربه‌گرها'!$B:$B,$A1297,'تجربه‌گرها'!$F:$F,G$1)</f>
        <v>0</v>
      </c>
      <c r="H1297" s="242">
        <f>COUNTIFS('تجربه‌گرها'!$B:$B,$A1297,'تجربه‌گرها'!$F:$F,H$1)</f>
        <v>0</v>
      </c>
      <c r="I1297" s="242">
        <f>COUNTIFS('تجربه‌گرها'!$B:$B,$A1297,'تجربه‌گرها'!$F:$F,I$1)</f>
        <v>0</v>
      </c>
      <c r="J1297" s="242">
        <f>COUNTIFS('تجربه‌گرها'!$B:$B,$A1297,'تجربه‌گرها'!$F:$F,J$1)</f>
        <v>0</v>
      </c>
      <c r="K1297" s="242">
        <f>COUNTIFS('تجربه‌گرها'!$B:$B,$A1297,'تجربه‌گرها'!$F:$F,K$1)</f>
        <v>0</v>
      </c>
      <c r="L1297" s="242">
        <f>COUNTIFS('تجربه‌گرها'!$B:$B,$A1297,'تجربه‌گرها'!$F:$F,L$1)</f>
        <v>0</v>
      </c>
      <c r="M1297" s="242">
        <f>COUNTIFS('تجربه‌گرها'!$B:$B,$A1297,'تجربه‌گرها'!$F:$F,M$1)</f>
        <v>0</v>
      </c>
      <c r="N1297" s="242">
        <f>COUNTIFS('تجربه‌گرها'!$B:$B,$A1297,'تجربه‌گرها'!$F:$F,N$1)</f>
        <v>0</v>
      </c>
      <c r="O1297" s="242">
        <f>COUNTIFS('تجربه‌گرها'!$B:$B,$A1297,'تجربه‌گرها'!$F:$F,O$1)</f>
        <v>0</v>
      </c>
      <c r="P1297" s="242">
        <f>COUNTIFS('تجربه‌گرها'!$B:$B,$A1297,'تجربه‌گرها'!$F:$F,P$1)</f>
        <v>1</v>
      </c>
      <c r="Q1297" s="242">
        <f>COUNTIFS('تجربه‌گرها'!$B:$B,$A1297,'تجربه‌گرها'!$F:$F,Q$1)</f>
        <v>0</v>
      </c>
      <c r="R1297" s="242">
        <f>COUNTIFS('تجربه‌گرها'!$B:$B,$A1297,'تجربه‌گرها'!$F:$F,R$1)</f>
        <v>0</v>
      </c>
      <c r="S1297" s="242">
        <f>COUNTIFS('تجربه‌گرها'!$B:$B,$A1297,'تجربه‌گرها'!$F:$F,S$1)</f>
        <v>0</v>
      </c>
      <c r="T1297" s="242">
        <f>COUNTIFS('تجربه‌گرها'!$B:$B,$A1297,'تجربه‌گرها'!$F:$F,T$1)</f>
        <v>0</v>
      </c>
      <c r="U1297" s="242"/>
      <c r="V1297" s="242"/>
      <c r="W1297" s="242"/>
      <c r="X1297" s="242"/>
      <c r="Y1297" s="242"/>
      <c r="Z1297" s="242"/>
      <c r="AA1297" s="242"/>
      <c r="AB1297" s="242"/>
    </row>
    <row r="1298" hidden="1">
      <c r="A1298" s="244" t="s">
        <v>6335</v>
      </c>
      <c r="B1298" s="245" t="str">
        <f>VLOOKUP(A1298,'تجربه‌گرها'!B:C,2,FALSE())</f>
        <v>۰۹۱۲۱۷۸۴۳۷۸</v>
      </c>
      <c r="C1298" s="242"/>
      <c r="D1298" s="242">
        <f t="shared" si="1"/>
        <v>1</v>
      </c>
      <c r="E1298" s="242">
        <f>COUNTIFS('تجربه‌گرها'!$B:$B,$A1298,'تجربه‌گرها'!$F:$F,E$1)</f>
        <v>0</v>
      </c>
      <c r="F1298" s="242">
        <f>COUNTIFS('تجربه‌گرها'!$B:$B,$A1298,'تجربه‌گرها'!$F:$F,F$1)</f>
        <v>0</v>
      </c>
      <c r="G1298" s="242">
        <f>COUNTIFS('تجربه‌گرها'!$B:$B,$A1298,'تجربه‌گرها'!$F:$F,G$1)</f>
        <v>0</v>
      </c>
      <c r="H1298" s="242">
        <f>COUNTIFS('تجربه‌گرها'!$B:$B,$A1298,'تجربه‌گرها'!$F:$F,H$1)</f>
        <v>0</v>
      </c>
      <c r="I1298" s="242">
        <f>COUNTIFS('تجربه‌گرها'!$B:$B,$A1298,'تجربه‌گرها'!$F:$F,I$1)</f>
        <v>0</v>
      </c>
      <c r="J1298" s="242">
        <f>COUNTIFS('تجربه‌گرها'!$B:$B,$A1298,'تجربه‌گرها'!$F:$F,J$1)</f>
        <v>0</v>
      </c>
      <c r="K1298" s="242">
        <f>COUNTIFS('تجربه‌گرها'!$B:$B,$A1298,'تجربه‌گرها'!$F:$F,K$1)</f>
        <v>0</v>
      </c>
      <c r="L1298" s="242">
        <f>COUNTIFS('تجربه‌گرها'!$B:$B,$A1298,'تجربه‌گرها'!$F:$F,L$1)</f>
        <v>0</v>
      </c>
      <c r="M1298" s="242">
        <f>COUNTIFS('تجربه‌گرها'!$B:$B,$A1298,'تجربه‌گرها'!$F:$F,M$1)</f>
        <v>0</v>
      </c>
      <c r="N1298" s="242">
        <f>COUNTIFS('تجربه‌گرها'!$B:$B,$A1298,'تجربه‌گرها'!$F:$F,N$1)</f>
        <v>0</v>
      </c>
      <c r="O1298" s="242">
        <f>COUNTIFS('تجربه‌گرها'!$B:$B,$A1298,'تجربه‌گرها'!$F:$F,O$1)</f>
        <v>0</v>
      </c>
      <c r="P1298" s="242">
        <f>COUNTIFS('تجربه‌گرها'!$B:$B,$A1298,'تجربه‌گرها'!$F:$F,P$1)</f>
        <v>1</v>
      </c>
      <c r="Q1298" s="242">
        <f>COUNTIFS('تجربه‌گرها'!$B:$B,$A1298,'تجربه‌گرها'!$F:$F,Q$1)</f>
        <v>0</v>
      </c>
      <c r="R1298" s="242">
        <f>COUNTIFS('تجربه‌گرها'!$B:$B,$A1298,'تجربه‌گرها'!$F:$F,R$1)</f>
        <v>0</v>
      </c>
      <c r="S1298" s="242">
        <f>COUNTIFS('تجربه‌گرها'!$B:$B,$A1298,'تجربه‌گرها'!$F:$F,S$1)</f>
        <v>0</v>
      </c>
      <c r="T1298" s="242">
        <f>COUNTIFS('تجربه‌گرها'!$B:$B,$A1298,'تجربه‌گرها'!$F:$F,T$1)</f>
        <v>0</v>
      </c>
      <c r="U1298" s="242"/>
      <c r="V1298" s="242"/>
      <c r="W1298" s="242"/>
      <c r="X1298" s="242"/>
      <c r="Y1298" s="242"/>
      <c r="Z1298" s="242"/>
      <c r="AA1298" s="242"/>
      <c r="AB1298" s="242"/>
    </row>
    <row r="1299" hidden="1">
      <c r="A1299" s="244" t="s">
        <v>6339</v>
      </c>
      <c r="B1299" s="245" t="str">
        <f>VLOOKUP(A1299,'تجربه‌گرها'!B:C,2,FALSE())</f>
        <v>۰۹۳۵۲۸۲۲۹۷۶</v>
      </c>
      <c r="C1299" s="242"/>
      <c r="D1299" s="242">
        <f t="shared" si="1"/>
        <v>1</v>
      </c>
      <c r="E1299" s="242">
        <f>COUNTIFS('تجربه‌گرها'!$B:$B,$A1299,'تجربه‌گرها'!$F:$F,E$1)</f>
        <v>0</v>
      </c>
      <c r="F1299" s="242">
        <f>COUNTIFS('تجربه‌گرها'!$B:$B,$A1299,'تجربه‌گرها'!$F:$F,F$1)</f>
        <v>0</v>
      </c>
      <c r="G1299" s="242">
        <f>COUNTIFS('تجربه‌گرها'!$B:$B,$A1299,'تجربه‌گرها'!$F:$F,G$1)</f>
        <v>0</v>
      </c>
      <c r="H1299" s="242">
        <f>COUNTIFS('تجربه‌گرها'!$B:$B,$A1299,'تجربه‌گرها'!$F:$F,H$1)</f>
        <v>0</v>
      </c>
      <c r="I1299" s="242">
        <f>COUNTIFS('تجربه‌گرها'!$B:$B,$A1299,'تجربه‌گرها'!$F:$F,I$1)</f>
        <v>0</v>
      </c>
      <c r="J1299" s="242">
        <f>COUNTIFS('تجربه‌گرها'!$B:$B,$A1299,'تجربه‌گرها'!$F:$F,J$1)</f>
        <v>0</v>
      </c>
      <c r="K1299" s="242">
        <f>COUNTIFS('تجربه‌گرها'!$B:$B,$A1299,'تجربه‌گرها'!$F:$F,K$1)</f>
        <v>0</v>
      </c>
      <c r="L1299" s="242">
        <f>COUNTIFS('تجربه‌گرها'!$B:$B,$A1299,'تجربه‌گرها'!$F:$F,L$1)</f>
        <v>0</v>
      </c>
      <c r="M1299" s="242">
        <f>COUNTIFS('تجربه‌گرها'!$B:$B,$A1299,'تجربه‌گرها'!$F:$F,M$1)</f>
        <v>0</v>
      </c>
      <c r="N1299" s="242">
        <f>COUNTIFS('تجربه‌گرها'!$B:$B,$A1299,'تجربه‌گرها'!$F:$F,N$1)</f>
        <v>0</v>
      </c>
      <c r="O1299" s="242">
        <f>COUNTIFS('تجربه‌گرها'!$B:$B,$A1299,'تجربه‌گرها'!$F:$F,O$1)</f>
        <v>0</v>
      </c>
      <c r="P1299" s="242">
        <f>COUNTIFS('تجربه‌گرها'!$B:$B,$A1299,'تجربه‌گرها'!$F:$F,P$1)</f>
        <v>1</v>
      </c>
      <c r="Q1299" s="242">
        <f>COUNTIFS('تجربه‌گرها'!$B:$B,$A1299,'تجربه‌گرها'!$F:$F,Q$1)</f>
        <v>0</v>
      </c>
      <c r="R1299" s="242">
        <f>COUNTIFS('تجربه‌گرها'!$B:$B,$A1299,'تجربه‌گرها'!$F:$F,R$1)</f>
        <v>0</v>
      </c>
      <c r="S1299" s="242">
        <f>COUNTIFS('تجربه‌گرها'!$B:$B,$A1299,'تجربه‌گرها'!$F:$F,S$1)</f>
        <v>0</v>
      </c>
      <c r="T1299" s="242">
        <f>COUNTIFS('تجربه‌گرها'!$B:$B,$A1299,'تجربه‌گرها'!$F:$F,T$1)</f>
        <v>0</v>
      </c>
      <c r="U1299" s="242"/>
      <c r="V1299" s="242"/>
      <c r="W1299" s="242"/>
      <c r="X1299" s="242"/>
      <c r="Y1299" s="242"/>
      <c r="Z1299" s="242"/>
      <c r="AA1299" s="242"/>
      <c r="AB1299" s="242"/>
    </row>
    <row r="1300" hidden="1">
      <c r="A1300" s="244" t="s">
        <v>6342</v>
      </c>
      <c r="B1300" s="245" t="str">
        <f>VLOOKUP(A1300,'تجربه‌گرها'!B:C,2,FALSE())</f>
        <v>۰۹۳۶۲۴۴۱۶۷۳</v>
      </c>
      <c r="C1300" s="242"/>
      <c r="D1300" s="242">
        <f t="shared" si="1"/>
        <v>1</v>
      </c>
      <c r="E1300" s="242">
        <f>COUNTIFS('تجربه‌گرها'!$B:$B,$A1300,'تجربه‌گرها'!$F:$F,E$1)</f>
        <v>0</v>
      </c>
      <c r="F1300" s="242">
        <f>COUNTIFS('تجربه‌گرها'!$B:$B,$A1300,'تجربه‌گرها'!$F:$F,F$1)</f>
        <v>0</v>
      </c>
      <c r="G1300" s="242">
        <f>COUNTIFS('تجربه‌گرها'!$B:$B,$A1300,'تجربه‌گرها'!$F:$F,G$1)</f>
        <v>0</v>
      </c>
      <c r="H1300" s="242">
        <f>COUNTIFS('تجربه‌گرها'!$B:$B,$A1300,'تجربه‌گرها'!$F:$F,H$1)</f>
        <v>0</v>
      </c>
      <c r="I1300" s="242">
        <f>COUNTIFS('تجربه‌گرها'!$B:$B,$A1300,'تجربه‌گرها'!$F:$F,I$1)</f>
        <v>0</v>
      </c>
      <c r="J1300" s="242">
        <f>COUNTIFS('تجربه‌گرها'!$B:$B,$A1300,'تجربه‌گرها'!$F:$F,J$1)</f>
        <v>0</v>
      </c>
      <c r="K1300" s="242">
        <f>COUNTIFS('تجربه‌گرها'!$B:$B,$A1300,'تجربه‌گرها'!$F:$F,K$1)</f>
        <v>0</v>
      </c>
      <c r="L1300" s="242">
        <f>COUNTIFS('تجربه‌گرها'!$B:$B,$A1300,'تجربه‌گرها'!$F:$F,L$1)</f>
        <v>0</v>
      </c>
      <c r="M1300" s="242">
        <f>COUNTIFS('تجربه‌گرها'!$B:$B,$A1300,'تجربه‌گرها'!$F:$F,M$1)</f>
        <v>0</v>
      </c>
      <c r="N1300" s="242">
        <f>COUNTIFS('تجربه‌گرها'!$B:$B,$A1300,'تجربه‌گرها'!$F:$F,N$1)</f>
        <v>0</v>
      </c>
      <c r="O1300" s="242">
        <f>COUNTIFS('تجربه‌گرها'!$B:$B,$A1300,'تجربه‌گرها'!$F:$F,O$1)</f>
        <v>0</v>
      </c>
      <c r="P1300" s="242">
        <f>COUNTIFS('تجربه‌گرها'!$B:$B,$A1300,'تجربه‌گرها'!$F:$F,P$1)</f>
        <v>1</v>
      </c>
      <c r="Q1300" s="242">
        <f>COUNTIFS('تجربه‌گرها'!$B:$B,$A1300,'تجربه‌گرها'!$F:$F,Q$1)</f>
        <v>0</v>
      </c>
      <c r="R1300" s="242">
        <f>COUNTIFS('تجربه‌گرها'!$B:$B,$A1300,'تجربه‌گرها'!$F:$F,R$1)</f>
        <v>0</v>
      </c>
      <c r="S1300" s="242">
        <f>COUNTIFS('تجربه‌گرها'!$B:$B,$A1300,'تجربه‌گرها'!$F:$F,S$1)</f>
        <v>0</v>
      </c>
      <c r="T1300" s="242">
        <f>COUNTIFS('تجربه‌گرها'!$B:$B,$A1300,'تجربه‌گرها'!$F:$F,T$1)</f>
        <v>0</v>
      </c>
      <c r="U1300" s="242"/>
      <c r="V1300" s="242"/>
      <c r="W1300" s="242"/>
      <c r="X1300" s="242"/>
      <c r="Y1300" s="242"/>
      <c r="Z1300" s="242"/>
      <c r="AA1300" s="242"/>
      <c r="AB1300" s="242"/>
    </row>
    <row r="1301" hidden="1">
      <c r="A1301" s="244" t="s">
        <v>6345</v>
      </c>
      <c r="B1301" s="245" t="str">
        <f>VLOOKUP(A1301,'تجربه‌گرها'!B:C,2,FALSE())</f>
        <v>۰۹۱۲۲۱۰۲۹۹۱</v>
      </c>
      <c r="C1301" s="242"/>
      <c r="D1301" s="242">
        <f t="shared" si="1"/>
        <v>1</v>
      </c>
      <c r="E1301" s="242">
        <f>COUNTIFS('تجربه‌گرها'!$B:$B,$A1301,'تجربه‌گرها'!$F:$F,E$1)</f>
        <v>0</v>
      </c>
      <c r="F1301" s="242">
        <f>COUNTIFS('تجربه‌گرها'!$B:$B,$A1301,'تجربه‌گرها'!$F:$F,F$1)</f>
        <v>0</v>
      </c>
      <c r="G1301" s="242">
        <f>COUNTIFS('تجربه‌گرها'!$B:$B,$A1301,'تجربه‌گرها'!$F:$F,G$1)</f>
        <v>0</v>
      </c>
      <c r="H1301" s="242">
        <f>COUNTIFS('تجربه‌گرها'!$B:$B,$A1301,'تجربه‌گرها'!$F:$F,H$1)</f>
        <v>0</v>
      </c>
      <c r="I1301" s="242">
        <f>COUNTIFS('تجربه‌گرها'!$B:$B,$A1301,'تجربه‌گرها'!$F:$F,I$1)</f>
        <v>0</v>
      </c>
      <c r="J1301" s="242">
        <f>COUNTIFS('تجربه‌گرها'!$B:$B,$A1301,'تجربه‌گرها'!$F:$F,J$1)</f>
        <v>0</v>
      </c>
      <c r="K1301" s="242">
        <f>COUNTIFS('تجربه‌گرها'!$B:$B,$A1301,'تجربه‌گرها'!$F:$F,K$1)</f>
        <v>0</v>
      </c>
      <c r="L1301" s="242">
        <f>COUNTIFS('تجربه‌گرها'!$B:$B,$A1301,'تجربه‌گرها'!$F:$F,L$1)</f>
        <v>0</v>
      </c>
      <c r="M1301" s="242">
        <f>COUNTIFS('تجربه‌گرها'!$B:$B,$A1301,'تجربه‌گرها'!$F:$F,M$1)</f>
        <v>0</v>
      </c>
      <c r="N1301" s="242">
        <f>COUNTIFS('تجربه‌گرها'!$B:$B,$A1301,'تجربه‌گرها'!$F:$F,N$1)</f>
        <v>0</v>
      </c>
      <c r="O1301" s="242">
        <f>COUNTIFS('تجربه‌گرها'!$B:$B,$A1301,'تجربه‌گرها'!$F:$F,O$1)</f>
        <v>0</v>
      </c>
      <c r="P1301" s="242">
        <f>COUNTIFS('تجربه‌گرها'!$B:$B,$A1301,'تجربه‌گرها'!$F:$F,P$1)</f>
        <v>1</v>
      </c>
      <c r="Q1301" s="242">
        <f>COUNTIFS('تجربه‌گرها'!$B:$B,$A1301,'تجربه‌گرها'!$F:$F,Q$1)</f>
        <v>0</v>
      </c>
      <c r="R1301" s="242">
        <f>COUNTIFS('تجربه‌گرها'!$B:$B,$A1301,'تجربه‌گرها'!$F:$F,R$1)</f>
        <v>0</v>
      </c>
      <c r="S1301" s="242">
        <f>COUNTIFS('تجربه‌گرها'!$B:$B,$A1301,'تجربه‌گرها'!$F:$F,S$1)</f>
        <v>0</v>
      </c>
      <c r="T1301" s="242">
        <f>COUNTIFS('تجربه‌گرها'!$B:$B,$A1301,'تجربه‌گرها'!$F:$F,T$1)</f>
        <v>0</v>
      </c>
      <c r="U1301" s="242"/>
      <c r="V1301" s="242"/>
      <c r="W1301" s="242"/>
      <c r="X1301" s="242"/>
      <c r="Y1301" s="242"/>
      <c r="Z1301" s="242"/>
      <c r="AA1301" s="242"/>
      <c r="AB1301" s="242"/>
    </row>
    <row r="1302" hidden="1">
      <c r="A1302" s="244" t="s">
        <v>6349</v>
      </c>
      <c r="B1302" s="245" t="str">
        <f>VLOOKUP(A1302,'تجربه‌گرها'!B:C,2,FALSE())</f>
        <v>۰۹۱۲۲۰۱۸۱۵۵</v>
      </c>
      <c r="C1302" s="242"/>
      <c r="D1302" s="242">
        <f t="shared" si="1"/>
        <v>1</v>
      </c>
      <c r="E1302" s="242">
        <f>COUNTIFS('تجربه‌گرها'!$B:$B,$A1302,'تجربه‌گرها'!$F:$F,E$1)</f>
        <v>0</v>
      </c>
      <c r="F1302" s="242">
        <f>COUNTIFS('تجربه‌گرها'!$B:$B,$A1302,'تجربه‌گرها'!$F:$F,F$1)</f>
        <v>0</v>
      </c>
      <c r="G1302" s="242">
        <f>COUNTIFS('تجربه‌گرها'!$B:$B,$A1302,'تجربه‌گرها'!$F:$F,G$1)</f>
        <v>0</v>
      </c>
      <c r="H1302" s="242">
        <f>COUNTIFS('تجربه‌گرها'!$B:$B,$A1302,'تجربه‌گرها'!$F:$F,H$1)</f>
        <v>0</v>
      </c>
      <c r="I1302" s="242">
        <f>COUNTIFS('تجربه‌گرها'!$B:$B,$A1302,'تجربه‌گرها'!$F:$F,I$1)</f>
        <v>0</v>
      </c>
      <c r="J1302" s="242">
        <f>COUNTIFS('تجربه‌گرها'!$B:$B,$A1302,'تجربه‌گرها'!$F:$F,J$1)</f>
        <v>0</v>
      </c>
      <c r="K1302" s="242">
        <f>COUNTIFS('تجربه‌گرها'!$B:$B,$A1302,'تجربه‌گرها'!$F:$F,K$1)</f>
        <v>0</v>
      </c>
      <c r="L1302" s="242">
        <f>COUNTIFS('تجربه‌گرها'!$B:$B,$A1302,'تجربه‌گرها'!$F:$F,L$1)</f>
        <v>0</v>
      </c>
      <c r="M1302" s="242">
        <f>COUNTIFS('تجربه‌گرها'!$B:$B,$A1302,'تجربه‌گرها'!$F:$F,M$1)</f>
        <v>0</v>
      </c>
      <c r="N1302" s="242">
        <f>COUNTIFS('تجربه‌گرها'!$B:$B,$A1302,'تجربه‌گرها'!$F:$F,N$1)</f>
        <v>0</v>
      </c>
      <c r="O1302" s="242">
        <f>COUNTIFS('تجربه‌گرها'!$B:$B,$A1302,'تجربه‌گرها'!$F:$F,O$1)</f>
        <v>0</v>
      </c>
      <c r="P1302" s="242">
        <f>COUNTIFS('تجربه‌گرها'!$B:$B,$A1302,'تجربه‌گرها'!$F:$F,P$1)</f>
        <v>1</v>
      </c>
      <c r="Q1302" s="242">
        <f>COUNTIFS('تجربه‌گرها'!$B:$B,$A1302,'تجربه‌گرها'!$F:$F,Q$1)</f>
        <v>0</v>
      </c>
      <c r="R1302" s="242">
        <f>COUNTIFS('تجربه‌گرها'!$B:$B,$A1302,'تجربه‌گرها'!$F:$F,R$1)</f>
        <v>0</v>
      </c>
      <c r="S1302" s="242">
        <f>COUNTIFS('تجربه‌گرها'!$B:$B,$A1302,'تجربه‌گرها'!$F:$F,S$1)</f>
        <v>0</v>
      </c>
      <c r="T1302" s="242">
        <f>COUNTIFS('تجربه‌گرها'!$B:$B,$A1302,'تجربه‌گرها'!$F:$F,T$1)</f>
        <v>0</v>
      </c>
      <c r="U1302" s="242"/>
      <c r="V1302" s="242"/>
      <c r="W1302" s="242"/>
      <c r="X1302" s="242"/>
      <c r="Y1302" s="242"/>
      <c r="Z1302" s="242"/>
      <c r="AA1302" s="242"/>
      <c r="AB1302" s="242"/>
    </row>
    <row r="1303" hidden="1">
      <c r="A1303" s="244" t="s">
        <v>6353</v>
      </c>
      <c r="B1303" s="245" t="str">
        <f>VLOOKUP(A1303,'تجربه‌گرها'!B:C,2,FALSE())</f>
        <v>۰۹۱۲۰۳۶۵۲۹۶</v>
      </c>
      <c r="C1303" s="242"/>
      <c r="D1303" s="242">
        <f t="shared" si="1"/>
        <v>1</v>
      </c>
      <c r="E1303" s="242">
        <f>COUNTIFS('تجربه‌گرها'!$B:$B,$A1303,'تجربه‌گرها'!$F:$F,E$1)</f>
        <v>0</v>
      </c>
      <c r="F1303" s="242">
        <f>COUNTIFS('تجربه‌گرها'!$B:$B,$A1303,'تجربه‌گرها'!$F:$F,F$1)</f>
        <v>0</v>
      </c>
      <c r="G1303" s="242">
        <f>COUNTIFS('تجربه‌گرها'!$B:$B,$A1303,'تجربه‌گرها'!$F:$F,G$1)</f>
        <v>0</v>
      </c>
      <c r="H1303" s="242">
        <f>COUNTIFS('تجربه‌گرها'!$B:$B,$A1303,'تجربه‌گرها'!$F:$F,H$1)</f>
        <v>0</v>
      </c>
      <c r="I1303" s="242">
        <f>COUNTIFS('تجربه‌گرها'!$B:$B,$A1303,'تجربه‌گرها'!$F:$F,I$1)</f>
        <v>0</v>
      </c>
      <c r="J1303" s="242">
        <f>COUNTIFS('تجربه‌گرها'!$B:$B,$A1303,'تجربه‌گرها'!$F:$F,J$1)</f>
        <v>0</v>
      </c>
      <c r="K1303" s="242">
        <f>COUNTIFS('تجربه‌گرها'!$B:$B,$A1303,'تجربه‌گرها'!$F:$F,K$1)</f>
        <v>0</v>
      </c>
      <c r="L1303" s="242">
        <f>COUNTIFS('تجربه‌گرها'!$B:$B,$A1303,'تجربه‌گرها'!$F:$F,L$1)</f>
        <v>0</v>
      </c>
      <c r="M1303" s="242">
        <f>COUNTIFS('تجربه‌گرها'!$B:$B,$A1303,'تجربه‌گرها'!$F:$F,M$1)</f>
        <v>0</v>
      </c>
      <c r="N1303" s="242">
        <f>COUNTIFS('تجربه‌گرها'!$B:$B,$A1303,'تجربه‌گرها'!$F:$F,N$1)</f>
        <v>0</v>
      </c>
      <c r="O1303" s="242">
        <f>COUNTIFS('تجربه‌گرها'!$B:$B,$A1303,'تجربه‌گرها'!$F:$F,O$1)</f>
        <v>0</v>
      </c>
      <c r="P1303" s="242">
        <f>COUNTIFS('تجربه‌گرها'!$B:$B,$A1303,'تجربه‌گرها'!$F:$F,P$1)</f>
        <v>1</v>
      </c>
      <c r="Q1303" s="242">
        <f>COUNTIFS('تجربه‌گرها'!$B:$B,$A1303,'تجربه‌گرها'!$F:$F,Q$1)</f>
        <v>0</v>
      </c>
      <c r="R1303" s="242">
        <f>COUNTIFS('تجربه‌گرها'!$B:$B,$A1303,'تجربه‌گرها'!$F:$F,R$1)</f>
        <v>0</v>
      </c>
      <c r="S1303" s="242">
        <f>COUNTIFS('تجربه‌گرها'!$B:$B,$A1303,'تجربه‌گرها'!$F:$F,S$1)</f>
        <v>0</v>
      </c>
      <c r="T1303" s="242">
        <f>COUNTIFS('تجربه‌گرها'!$B:$B,$A1303,'تجربه‌گرها'!$F:$F,T$1)</f>
        <v>0</v>
      </c>
      <c r="U1303" s="242"/>
      <c r="V1303" s="242"/>
      <c r="W1303" s="242"/>
      <c r="X1303" s="242"/>
      <c r="Y1303" s="242"/>
      <c r="Z1303" s="242"/>
      <c r="AA1303" s="242"/>
      <c r="AB1303" s="242"/>
    </row>
    <row r="1304" hidden="1">
      <c r="A1304" s="244" t="s">
        <v>6357</v>
      </c>
      <c r="B1304" s="245" t="str">
        <f>VLOOKUP(A1304,'تجربه‌گرها'!B:C,2,FALSE())</f>
        <v>۰۹۱۳۶۴۹۱۱۲۶</v>
      </c>
      <c r="C1304" s="242"/>
      <c r="D1304" s="242">
        <f t="shared" si="1"/>
        <v>1</v>
      </c>
      <c r="E1304" s="242">
        <f>COUNTIFS('تجربه‌گرها'!$B:$B,$A1304,'تجربه‌گرها'!$F:$F,E$1)</f>
        <v>0</v>
      </c>
      <c r="F1304" s="242">
        <f>COUNTIFS('تجربه‌گرها'!$B:$B,$A1304,'تجربه‌گرها'!$F:$F,F$1)</f>
        <v>0</v>
      </c>
      <c r="G1304" s="242">
        <f>COUNTIFS('تجربه‌گرها'!$B:$B,$A1304,'تجربه‌گرها'!$F:$F,G$1)</f>
        <v>0</v>
      </c>
      <c r="H1304" s="242">
        <f>COUNTIFS('تجربه‌گرها'!$B:$B,$A1304,'تجربه‌گرها'!$F:$F,H$1)</f>
        <v>0</v>
      </c>
      <c r="I1304" s="242">
        <f>COUNTIFS('تجربه‌گرها'!$B:$B,$A1304,'تجربه‌گرها'!$F:$F,I$1)</f>
        <v>0</v>
      </c>
      <c r="J1304" s="242">
        <f>COUNTIFS('تجربه‌گرها'!$B:$B,$A1304,'تجربه‌گرها'!$F:$F,J$1)</f>
        <v>0</v>
      </c>
      <c r="K1304" s="242">
        <f>COUNTIFS('تجربه‌گرها'!$B:$B,$A1304,'تجربه‌گرها'!$F:$F,K$1)</f>
        <v>0</v>
      </c>
      <c r="L1304" s="242">
        <f>COUNTIFS('تجربه‌گرها'!$B:$B,$A1304,'تجربه‌گرها'!$F:$F,L$1)</f>
        <v>0</v>
      </c>
      <c r="M1304" s="242">
        <f>COUNTIFS('تجربه‌گرها'!$B:$B,$A1304,'تجربه‌گرها'!$F:$F,M$1)</f>
        <v>0</v>
      </c>
      <c r="N1304" s="242">
        <f>COUNTIFS('تجربه‌گرها'!$B:$B,$A1304,'تجربه‌گرها'!$F:$F,N$1)</f>
        <v>0</v>
      </c>
      <c r="O1304" s="242">
        <f>COUNTIFS('تجربه‌گرها'!$B:$B,$A1304,'تجربه‌گرها'!$F:$F,O$1)</f>
        <v>0</v>
      </c>
      <c r="P1304" s="242">
        <f>COUNTIFS('تجربه‌گرها'!$B:$B,$A1304,'تجربه‌گرها'!$F:$F,P$1)</f>
        <v>1</v>
      </c>
      <c r="Q1304" s="242">
        <f>COUNTIFS('تجربه‌گرها'!$B:$B,$A1304,'تجربه‌گرها'!$F:$F,Q$1)</f>
        <v>0</v>
      </c>
      <c r="R1304" s="242">
        <f>COUNTIFS('تجربه‌گرها'!$B:$B,$A1304,'تجربه‌گرها'!$F:$F,R$1)</f>
        <v>0</v>
      </c>
      <c r="S1304" s="242">
        <f>COUNTIFS('تجربه‌گرها'!$B:$B,$A1304,'تجربه‌گرها'!$F:$F,S$1)</f>
        <v>0</v>
      </c>
      <c r="T1304" s="242">
        <f>COUNTIFS('تجربه‌گرها'!$B:$B,$A1304,'تجربه‌گرها'!$F:$F,T$1)</f>
        <v>0</v>
      </c>
      <c r="U1304" s="242"/>
      <c r="V1304" s="242"/>
      <c r="W1304" s="242"/>
      <c r="X1304" s="242"/>
      <c r="Y1304" s="242"/>
      <c r="Z1304" s="242"/>
      <c r="AA1304" s="242"/>
      <c r="AB1304" s="242"/>
    </row>
    <row r="1305" hidden="1">
      <c r="A1305" s="244" t="s">
        <v>6361</v>
      </c>
      <c r="B1305" s="245" t="str">
        <f>VLOOKUP(A1305,'تجربه‌گرها'!B:C,2,FALSE())</f>
        <v>۰۹۲۱۸۸۵۲۵۳۹</v>
      </c>
      <c r="C1305" s="242"/>
      <c r="D1305" s="242">
        <f t="shared" si="1"/>
        <v>1</v>
      </c>
      <c r="E1305" s="242">
        <f>COUNTIFS('تجربه‌گرها'!$B:$B,$A1305,'تجربه‌گرها'!$F:$F,E$1)</f>
        <v>0</v>
      </c>
      <c r="F1305" s="242">
        <f>COUNTIFS('تجربه‌گرها'!$B:$B,$A1305,'تجربه‌گرها'!$F:$F,F$1)</f>
        <v>0</v>
      </c>
      <c r="G1305" s="242">
        <f>COUNTIFS('تجربه‌گرها'!$B:$B,$A1305,'تجربه‌گرها'!$F:$F,G$1)</f>
        <v>0</v>
      </c>
      <c r="H1305" s="242">
        <f>COUNTIFS('تجربه‌گرها'!$B:$B,$A1305,'تجربه‌گرها'!$F:$F,H$1)</f>
        <v>0</v>
      </c>
      <c r="I1305" s="242">
        <f>COUNTIFS('تجربه‌گرها'!$B:$B,$A1305,'تجربه‌گرها'!$F:$F,I$1)</f>
        <v>0</v>
      </c>
      <c r="J1305" s="242">
        <f>COUNTIFS('تجربه‌گرها'!$B:$B,$A1305,'تجربه‌گرها'!$F:$F,J$1)</f>
        <v>0</v>
      </c>
      <c r="K1305" s="242">
        <f>COUNTIFS('تجربه‌گرها'!$B:$B,$A1305,'تجربه‌گرها'!$F:$F,K$1)</f>
        <v>0</v>
      </c>
      <c r="L1305" s="242">
        <f>COUNTIFS('تجربه‌گرها'!$B:$B,$A1305,'تجربه‌گرها'!$F:$F,L$1)</f>
        <v>0</v>
      </c>
      <c r="M1305" s="242">
        <f>COUNTIFS('تجربه‌گرها'!$B:$B,$A1305,'تجربه‌گرها'!$F:$F,M$1)</f>
        <v>0</v>
      </c>
      <c r="N1305" s="242">
        <f>COUNTIFS('تجربه‌گرها'!$B:$B,$A1305,'تجربه‌گرها'!$F:$F,N$1)</f>
        <v>0</v>
      </c>
      <c r="O1305" s="242">
        <f>COUNTIFS('تجربه‌گرها'!$B:$B,$A1305,'تجربه‌گرها'!$F:$F,O$1)</f>
        <v>0</v>
      </c>
      <c r="P1305" s="242">
        <f>COUNTIFS('تجربه‌گرها'!$B:$B,$A1305,'تجربه‌گرها'!$F:$F,P$1)</f>
        <v>1</v>
      </c>
      <c r="Q1305" s="242">
        <f>COUNTIFS('تجربه‌گرها'!$B:$B,$A1305,'تجربه‌گرها'!$F:$F,Q$1)</f>
        <v>0</v>
      </c>
      <c r="R1305" s="242">
        <f>COUNTIFS('تجربه‌گرها'!$B:$B,$A1305,'تجربه‌گرها'!$F:$F,R$1)</f>
        <v>0</v>
      </c>
      <c r="S1305" s="242">
        <f>COUNTIFS('تجربه‌گرها'!$B:$B,$A1305,'تجربه‌گرها'!$F:$F,S$1)</f>
        <v>0</v>
      </c>
      <c r="T1305" s="242">
        <f>COUNTIFS('تجربه‌گرها'!$B:$B,$A1305,'تجربه‌گرها'!$F:$F,T$1)</f>
        <v>0</v>
      </c>
      <c r="U1305" s="242"/>
      <c r="V1305" s="242"/>
      <c r="W1305" s="242"/>
      <c r="X1305" s="242"/>
      <c r="Y1305" s="242"/>
      <c r="Z1305" s="242"/>
      <c r="AA1305" s="242"/>
      <c r="AB1305" s="242"/>
    </row>
    <row r="1306" hidden="1">
      <c r="A1306" s="244" t="s">
        <v>6366</v>
      </c>
      <c r="B1306" s="245" t="str">
        <f>VLOOKUP(A1306,'تجربه‌گرها'!B:C,2,FALSE())</f>
        <v>۰۹۰۱۰۱۳۱۶۰۳</v>
      </c>
      <c r="C1306" s="242"/>
      <c r="D1306" s="242">
        <f t="shared" si="1"/>
        <v>1</v>
      </c>
      <c r="E1306" s="242">
        <f>COUNTIFS('تجربه‌گرها'!$B:$B,$A1306,'تجربه‌گرها'!$F:$F,E$1)</f>
        <v>0</v>
      </c>
      <c r="F1306" s="242">
        <f>COUNTIFS('تجربه‌گرها'!$B:$B,$A1306,'تجربه‌گرها'!$F:$F,F$1)</f>
        <v>0</v>
      </c>
      <c r="G1306" s="242">
        <f>COUNTIFS('تجربه‌گرها'!$B:$B,$A1306,'تجربه‌گرها'!$F:$F,G$1)</f>
        <v>0</v>
      </c>
      <c r="H1306" s="242">
        <f>COUNTIFS('تجربه‌گرها'!$B:$B,$A1306,'تجربه‌گرها'!$F:$F,H$1)</f>
        <v>0</v>
      </c>
      <c r="I1306" s="242">
        <f>COUNTIFS('تجربه‌گرها'!$B:$B,$A1306,'تجربه‌گرها'!$F:$F,I$1)</f>
        <v>0</v>
      </c>
      <c r="J1306" s="242">
        <f>COUNTIFS('تجربه‌گرها'!$B:$B,$A1306,'تجربه‌گرها'!$F:$F,J$1)</f>
        <v>0</v>
      </c>
      <c r="K1306" s="242">
        <f>COUNTIFS('تجربه‌گرها'!$B:$B,$A1306,'تجربه‌گرها'!$F:$F,K$1)</f>
        <v>0</v>
      </c>
      <c r="L1306" s="242">
        <f>COUNTIFS('تجربه‌گرها'!$B:$B,$A1306,'تجربه‌گرها'!$F:$F,L$1)</f>
        <v>0</v>
      </c>
      <c r="M1306" s="242">
        <f>COUNTIFS('تجربه‌گرها'!$B:$B,$A1306,'تجربه‌گرها'!$F:$F,M$1)</f>
        <v>0</v>
      </c>
      <c r="N1306" s="242">
        <f>COUNTIFS('تجربه‌گرها'!$B:$B,$A1306,'تجربه‌گرها'!$F:$F,N$1)</f>
        <v>0</v>
      </c>
      <c r="O1306" s="242">
        <f>COUNTIFS('تجربه‌گرها'!$B:$B,$A1306,'تجربه‌گرها'!$F:$F,O$1)</f>
        <v>0</v>
      </c>
      <c r="P1306" s="242">
        <f>COUNTIFS('تجربه‌گرها'!$B:$B,$A1306,'تجربه‌گرها'!$F:$F,P$1)</f>
        <v>1</v>
      </c>
      <c r="Q1306" s="242">
        <f>COUNTIFS('تجربه‌گرها'!$B:$B,$A1306,'تجربه‌گرها'!$F:$F,Q$1)</f>
        <v>0</v>
      </c>
      <c r="R1306" s="242">
        <f>COUNTIFS('تجربه‌گرها'!$B:$B,$A1306,'تجربه‌گرها'!$F:$F,R$1)</f>
        <v>0</v>
      </c>
      <c r="S1306" s="242">
        <f>COUNTIFS('تجربه‌گرها'!$B:$B,$A1306,'تجربه‌گرها'!$F:$F,S$1)</f>
        <v>0</v>
      </c>
      <c r="T1306" s="242">
        <f>COUNTIFS('تجربه‌گرها'!$B:$B,$A1306,'تجربه‌گرها'!$F:$F,T$1)</f>
        <v>0</v>
      </c>
      <c r="U1306" s="242"/>
      <c r="V1306" s="242"/>
      <c r="W1306" s="242"/>
      <c r="X1306" s="242"/>
      <c r="Y1306" s="242"/>
      <c r="Z1306" s="242"/>
      <c r="AA1306" s="242"/>
      <c r="AB1306" s="242"/>
    </row>
    <row r="1307" hidden="1">
      <c r="A1307" s="244" t="s">
        <v>6370</v>
      </c>
      <c r="B1307" s="245" t="str">
        <f>VLOOKUP(A1307,'تجربه‌گرها'!B:C,2,FALSE())</f>
        <v>9331861414</v>
      </c>
      <c r="C1307" s="242"/>
      <c r="D1307" s="242">
        <f t="shared" si="1"/>
        <v>1</v>
      </c>
      <c r="E1307" s="242">
        <f>COUNTIFS('تجربه‌گرها'!$B:$B,$A1307,'تجربه‌گرها'!$F:$F,E$1)</f>
        <v>0</v>
      </c>
      <c r="F1307" s="242">
        <f>COUNTIFS('تجربه‌گرها'!$B:$B,$A1307,'تجربه‌گرها'!$F:$F,F$1)</f>
        <v>0</v>
      </c>
      <c r="G1307" s="242">
        <f>COUNTIFS('تجربه‌گرها'!$B:$B,$A1307,'تجربه‌گرها'!$F:$F,G$1)</f>
        <v>0</v>
      </c>
      <c r="H1307" s="242">
        <f>COUNTIFS('تجربه‌گرها'!$B:$B,$A1307,'تجربه‌گرها'!$F:$F,H$1)</f>
        <v>0</v>
      </c>
      <c r="I1307" s="242">
        <f>COUNTIFS('تجربه‌گرها'!$B:$B,$A1307,'تجربه‌گرها'!$F:$F,I$1)</f>
        <v>0</v>
      </c>
      <c r="J1307" s="242">
        <f>COUNTIFS('تجربه‌گرها'!$B:$B,$A1307,'تجربه‌گرها'!$F:$F,J$1)</f>
        <v>0</v>
      </c>
      <c r="K1307" s="242">
        <f>COUNTIFS('تجربه‌گرها'!$B:$B,$A1307,'تجربه‌گرها'!$F:$F,K$1)</f>
        <v>0</v>
      </c>
      <c r="L1307" s="242">
        <f>COUNTIFS('تجربه‌گرها'!$B:$B,$A1307,'تجربه‌گرها'!$F:$F,L$1)</f>
        <v>0</v>
      </c>
      <c r="M1307" s="242">
        <f>COUNTIFS('تجربه‌گرها'!$B:$B,$A1307,'تجربه‌گرها'!$F:$F,M$1)</f>
        <v>0</v>
      </c>
      <c r="N1307" s="242">
        <f>COUNTIFS('تجربه‌گرها'!$B:$B,$A1307,'تجربه‌گرها'!$F:$F,N$1)</f>
        <v>0</v>
      </c>
      <c r="O1307" s="242">
        <f>COUNTIFS('تجربه‌گرها'!$B:$B,$A1307,'تجربه‌گرها'!$F:$F,O$1)</f>
        <v>0</v>
      </c>
      <c r="P1307" s="242">
        <f>COUNTIFS('تجربه‌گرها'!$B:$B,$A1307,'تجربه‌گرها'!$F:$F,P$1)</f>
        <v>1</v>
      </c>
      <c r="Q1307" s="242">
        <f>COUNTIFS('تجربه‌گرها'!$B:$B,$A1307,'تجربه‌گرها'!$F:$F,Q$1)</f>
        <v>0</v>
      </c>
      <c r="R1307" s="242">
        <f>COUNTIFS('تجربه‌گرها'!$B:$B,$A1307,'تجربه‌گرها'!$F:$F,R$1)</f>
        <v>0</v>
      </c>
      <c r="S1307" s="242">
        <f>COUNTIFS('تجربه‌گرها'!$B:$B,$A1307,'تجربه‌گرها'!$F:$F,S$1)</f>
        <v>0</v>
      </c>
      <c r="T1307" s="242">
        <f>COUNTIFS('تجربه‌گرها'!$B:$B,$A1307,'تجربه‌گرها'!$F:$F,T$1)</f>
        <v>0</v>
      </c>
      <c r="U1307" s="242"/>
      <c r="V1307" s="242"/>
      <c r="W1307" s="242"/>
      <c r="X1307" s="242"/>
      <c r="Y1307" s="242"/>
      <c r="Z1307" s="242"/>
      <c r="AA1307" s="242"/>
      <c r="AB1307" s="242"/>
    </row>
    <row r="1308" hidden="1">
      <c r="A1308" s="244" t="s">
        <v>6373</v>
      </c>
      <c r="B1308" s="245" t="str">
        <f>VLOOKUP(A1308,'تجربه‌گرها'!B:C,2,FALSE())</f>
        <v>۰۹۳۶۶۳۴۴۶۰۴</v>
      </c>
      <c r="C1308" s="242"/>
      <c r="D1308" s="242">
        <f t="shared" si="1"/>
        <v>1</v>
      </c>
      <c r="E1308" s="242">
        <f>COUNTIFS('تجربه‌گرها'!$B:$B,$A1308,'تجربه‌گرها'!$F:$F,E$1)</f>
        <v>0</v>
      </c>
      <c r="F1308" s="242">
        <f>COUNTIFS('تجربه‌گرها'!$B:$B,$A1308,'تجربه‌گرها'!$F:$F,F$1)</f>
        <v>0</v>
      </c>
      <c r="G1308" s="242">
        <f>COUNTIFS('تجربه‌گرها'!$B:$B,$A1308,'تجربه‌گرها'!$F:$F,G$1)</f>
        <v>0</v>
      </c>
      <c r="H1308" s="242">
        <f>COUNTIFS('تجربه‌گرها'!$B:$B,$A1308,'تجربه‌گرها'!$F:$F,H$1)</f>
        <v>0</v>
      </c>
      <c r="I1308" s="242">
        <f>COUNTIFS('تجربه‌گرها'!$B:$B,$A1308,'تجربه‌گرها'!$F:$F,I$1)</f>
        <v>0</v>
      </c>
      <c r="J1308" s="242">
        <f>COUNTIFS('تجربه‌گرها'!$B:$B,$A1308,'تجربه‌گرها'!$F:$F,J$1)</f>
        <v>0</v>
      </c>
      <c r="K1308" s="242">
        <f>COUNTIFS('تجربه‌گرها'!$B:$B,$A1308,'تجربه‌گرها'!$F:$F,K$1)</f>
        <v>0</v>
      </c>
      <c r="L1308" s="242">
        <f>COUNTIFS('تجربه‌گرها'!$B:$B,$A1308,'تجربه‌گرها'!$F:$F,L$1)</f>
        <v>0</v>
      </c>
      <c r="M1308" s="242">
        <f>COUNTIFS('تجربه‌گرها'!$B:$B,$A1308,'تجربه‌گرها'!$F:$F,M$1)</f>
        <v>0</v>
      </c>
      <c r="N1308" s="242">
        <f>COUNTIFS('تجربه‌گرها'!$B:$B,$A1308,'تجربه‌گرها'!$F:$F,N$1)</f>
        <v>0</v>
      </c>
      <c r="O1308" s="242">
        <f>COUNTIFS('تجربه‌گرها'!$B:$B,$A1308,'تجربه‌گرها'!$F:$F,O$1)</f>
        <v>0</v>
      </c>
      <c r="P1308" s="242">
        <f>COUNTIFS('تجربه‌گرها'!$B:$B,$A1308,'تجربه‌گرها'!$F:$F,P$1)</f>
        <v>1</v>
      </c>
      <c r="Q1308" s="242">
        <f>COUNTIFS('تجربه‌گرها'!$B:$B,$A1308,'تجربه‌گرها'!$F:$F,Q$1)</f>
        <v>0</v>
      </c>
      <c r="R1308" s="242">
        <f>COUNTIFS('تجربه‌گرها'!$B:$B,$A1308,'تجربه‌گرها'!$F:$F,R$1)</f>
        <v>0</v>
      </c>
      <c r="S1308" s="242">
        <f>COUNTIFS('تجربه‌گرها'!$B:$B,$A1308,'تجربه‌گرها'!$F:$F,S$1)</f>
        <v>0</v>
      </c>
      <c r="T1308" s="242">
        <f>COUNTIFS('تجربه‌گرها'!$B:$B,$A1308,'تجربه‌گرها'!$F:$F,T$1)</f>
        <v>0</v>
      </c>
      <c r="U1308" s="242"/>
      <c r="V1308" s="242"/>
      <c r="W1308" s="242"/>
      <c r="X1308" s="242"/>
      <c r="Y1308" s="242"/>
      <c r="Z1308" s="242"/>
      <c r="AA1308" s="242"/>
      <c r="AB1308" s="242"/>
    </row>
    <row r="1309" hidden="1">
      <c r="A1309" s="244" t="s">
        <v>6376</v>
      </c>
      <c r="B1309" s="245" t="str">
        <f>VLOOKUP(A1309,'تجربه‌گرها'!B:C,2,FALSE())</f>
        <v>۰۹۳۸۲۱۰۳۰۲۱</v>
      </c>
      <c r="C1309" s="242"/>
      <c r="D1309" s="242">
        <f t="shared" si="1"/>
        <v>1</v>
      </c>
      <c r="E1309" s="242">
        <f>COUNTIFS('تجربه‌گرها'!$B:$B,$A1309,'تجربه‌گرها'!$F:$F,E$1)</f>
        <v>0</v>
      </c>
      <c r="F1309" s="242">
        <f>COUNTIFS('تجربه‌گرها'!$B:$B,$A1309,'تجربه‌گرها'!$F:$F,F$1)</f>
        <v>0</v>
      </c>
      <c r="G1309" s="242">
        <f>COUNTIFS('تجربه‌گرها'!$B:$B,$A1309,'تجربه‌گرها'!$F:$F,G$1)</f>
        <v>0</v>
      </c>
      <c r="H1309" s="242">
        <f>COUNTIFS('تجربه‌گرها'!$B:$B,$A1309,'تجربه‌گرها'!$F:$F,H$1)</f>
        <v>0</v>
      </c>
      <c r="I1309" s="242">
        <f>COUNTIFS('تجربه‌گرها'!$B:$B,$A1309,'تجربه‌گرها'!$F:$F,I$1)</f>
        <v>0</v>
      </c>
      <c r="J1309" s="242">
        <f>COUNTIFS('تجربه‌گرها'!$B:$B,$A1309,'تجربه‌گرها'!$F:$F,J$1)</f>
        <v>0</v>
      </c>
      <c r="K1309" s="242">
        <f>COUNTIFS('تجربه‌گرها'!$B:$B,$A1309,'تجربه‌گرها'!$F:$F,K$1)</f>
        <v>0</v>
      </c>
      <c r="L1309" s="242">
        <f>COUNTIFS('تجربه‌گرها'!$B:$B,$A1309,'تجربه‌گرها'!$F:$F,L$1)</f>
        <v>0</v>
      </c>
      <c r="M1309" s="242">
        <f>COUNTIFS('تجربه‌گرها'!$B:$B,$A1309,'تجربه‌گرها'!$F:$F,M$1)</f>
        <v>0</v>
      </c>
      <c r="N1309" s="242">
        <f>COUNTIFS('تجربه‌گرها'!$B:$B,$A1309,'تجربه‌گرها'!$F:$F,N$1)</f>
        <v>0</v>
      </c>
      <c r="O1309" s="242">
        <f>COUNTIFS('تجربه‌گرها'!$B:$B,$A1309,'تجربه‌گرها'!$F:$F,O$1)</f>
        <v>0</v>
      </c>
      <c r="P1309" s="242">
        <f>COUNTIFS('تجربه‌گرها'!$B:$B,$A1309,'تجربه‌گرها'!$F:$F,P$1)</f>
        <v>1</v>
      </c>
      <c r="Q1309" s="242">
        <f>COUNTIFS('تجربه‌گرها'!$B:$B,$A1309,'تجربه‌گرها'!$F:$F,Q$1)</f>
        <v>0</v>
      </c>
      <c r="R1309" s="242">
        <f>COUNTIFS('تجربه‌گرها'!$B:$B,$A1309,'تجربه‌گرها'!$F:$F,R$1)</f>
        <v>0</v>
      </c>
      <c r="S1309" s="242">
        <f>COUNTIFS('تجربه‌گرها'!$B:$B,$A1309,'تجربه‌گرها'!$F:$F,S$1)</f>
        <v>0</v>
      </c>
      <c r="T1309" s="242">
        <f>COUNTIFS('تجربه‌گرها'!$B:$B,$A1309,'تجربه‌گرها'!$F:$F,T$1)</f>
        <v>0</v>
      </c>
      <c r="U1309" s="242"/>
      <c r="V1309" s="242"/>
      <c r="W1309" s="242"/>
      <c r="X1309" s="242"/>
      <c r="Y1309" s="242"/>
      <c r="Z1309" s="242"/>
      <c r="AA1309" s="242"/>
      <c r="AB1309" s="242"/>
    </row>
    <row r="1310" hidden="1">
      <c r="A1310" s="244" t="s">
        <v>6379</v>
      </c>
      <c r="B1310" s="245" t="str">
        <f>VLOOKUP(A1310,'تجربه‌گرها'!B:C,2,FALSE())</f>
        <v>۰۹۱۵۷۵۷۱۲۰۰</v>
      </c>
      <c r="C1310" s="242"/>
      <c r="D1310" s="242">
        <f t="shared" si="1"/>
        <v>1</v>
      </c>
      <c r="E1310" s="242">
        <f>COUNTIFS('تجربه‌گرها'!$B:$B,$A1310,'تجربه‌گرها'!$F:$F,E$1)</f>
        <v>0</v>
      </c>
      <c r="F1310" s="242">
        <f>COUNTIFS('تجربه‌گرها'!$B:$B,$A1310,'تجربه‌گرها'!$F:$F,F$1)</f>
        <v>0</v>
      </c>
      <c r="G1310" s="242">
        <f>COUNTIFS('تجربه‌گرها'!$B:$B,$A1310,'تجربه‌گرها'!$F:$F,G$1)</f>
        <v>0</v>
      </c>
      <c r="H1310" s="242">
        <f>COUNTIFS('تجربه‌گرها'!$B:$B,$A1310,'تجربه‌گرها'!$F:$F,H$1)</f>
        <v>0</v>
      </c>
      <c r="I1310" s="242">
        <f>COUNTIFS('تجربه‌گرها'!$B:$B,$A1310,'تجربه‌گرها'!$F:$F,I$1)</f>
        <v>0</v>
      </c>
      <c r="J1310" s="242">
        <f>COUNTIFS('تجربه‌گرها'!$B:$B,$A1310,'تجربه‌گرها'!$F:$F,J$1)</f>
        <v>0</v>
      </c>
      <c r="K1310" s="242">
        <f>COUNTIFS('تجربه‌گرها'!$B:$B,$A1310,'تجربه‌گرها'!$F:$F,K$1)</f>
        <v>0</v>
      </c>
      <c r="L1310" s="242">
        <f>COUNTIFS('تجربه‌گرها'!$B:$B,$A1310,'تجربه‌گرها'!$F:$F,L$1)</f>
        <v>0</v>
      </c>
      <c r="M1310" s="242">
        <f>COUNTIFS('تجربه‌گرها'!$B:$B,$A1310,'تجربه‌گرها'!$F:$F,M$1)</f>
        <v>0</v>
      </c>
      <c r="N1310" s="242">
        <f>COUNTIFS('تجربه‌گرها'!$B:$B,$A1310,'تجربه‌گرها'!$F:$F,N$1)</f>
        <v>0</v>
      </c>
      <c r="O1310" s="242">
        <f>COUNTIFS('تجربه‌گرها'!$B:$B,$A1310,'تجربه‌گرها'!$F:$F,O$1)</f>
        <v>0</v>
      </c>
      <c r="P1310" s="242">
        <f>COUNTIFS('تجربه‌گرها'!$B:$B,$A1310,'تجربه‌گرها'!$F:$F,P$1)</f>
        <v>1</v>
      </c>
      <c r="Q1310" s="242">
        <f>COUNTIFS('تجربه‌گرها'!$B:$B,$A1310,'تجربه‌گرها'!$F:$F,Q$1)</f>
        <v>0</v>
      </c>
      <c r="R1310" s="242">
        <f>COUNTIFS('تجربه‌گرها'!$B:$B,$A1310,'تجربه‌گرها'!$F:$F,R$1)</f>
        <v>0</v>
      </c>
      <c r="S1310" s="242">
        <f>COUNTIFS('تجربه‌گرها'!$B:$B,$A1310,'تجربه‌گرها'!$F:$F,S$1)</f>
        <v>0</v>
      </c>
      <c r="T1310" s="242">
        <f>COUNTIFS('تجربه‌گرها'!$B:$B,$A1310,'تجربه‌گرها'!$F:$F,T$1)</f>
        <v>0</v>
      </c>
      <c r="U1310" s="242"/>
      <c r="V1310" s="242"/>
      <c r="W1310" s="242"/>
      <c r="X1310" s="242"/>
      <c r="Y1310" s="242"/>
      <c r="Z1310" s="242"/>
      <c r="AA1310" s="242"/>
      <c r="AB1310" s="242"/>
    </row>
    <row r="1311" hidden="1">
      <c r="A1311" s="244" t="s">
        <v>6383</v>
      </c>
      <c r="B1311" s="245" t="str">
        <f>VLOOKUP(A1311,'تجربه‌گرها'!B:C,2,FALSE())</f>
        <v>۰۹۲۱۱۸۵۳۴۱۸</v>
      </c>
      <c r="C1311" s="242"/>
      <c r="D1311" s="242">
        <f t="shared" si="1"/>
        <v>1</v>
      </c>
      <c r="E1311" s="242">
        <f>COUNTIFS('تجربه‌گرها'!$B:$B,$A1311,'تجربه‌گرها'!$F:$F,E$1)</f>
        <v>0</v>
      </c>
      <c r="F1311" s="242">
        <f>COUNTIFS('تجربه‌گرها'!$B:$B,$A1311,'تجربه‌گرها'!$F:$F,F$1)</f>
        <v>0</v>
      </c>
      <c r="G1311" s="242">
        <f>COUNTIFS('تجربه‌گرها'!$B:$B,$A1311,'تجربه‌گرها'!$F:$F,G$1)</f>
        <v>0</v>
      </c>
      <c r="H1311" s="242">
        <f>COUNTIFS('تجربه‌گرها'!$B:$B,$A1311,'تجربه‌گرها'!$F:$F,H$1)</f>
        <v>0</v>
      </c>
      <c r="I1311" s="242">
        <f>COUNTIFS('تجربه‌گرها'!$B:$B,$A1311,'تجربه‌گرها'!$F:$F,I$1)</f>
        <v>0</v>
      </c>
      <c r="J1311" s="242">
        <f>COUNTIFS('تجربه‌گرها'!$B:$B,$A1311,'تجربه‌گرها'!$F:$F,J$1)</f>
        <v>0</v>
      </c>
      <c r="K1311" s="242">
        <f>COUNTIFS('تجربه‌گرها'!$B:$B,$A1311,'تجربه‌گرها'!$F:$F,K$1)</f>
        <v>0</v>
      </c>
      <c r="L1311" s="242">
        <f>COUNTIFS('تجربه‌گرها'!$B:$B,$A1311,'تجربه‌گرها'!$F:$F,L$1)</f>
        <v>0</v>
      </c>
      <c r="M1311" s="242">
        <f>COUNTIFS('تجربه‌گرها'!$B:$B,$A1311,'تجربه‌گرها'!$F:$F,M$1)</f>
        <v>0</v>
      </c>
      <c r="N1311" s="242">
        <f>COUNTIFS('تجربه‌گرها'!$B:$B,$A1311,'تجربه‌گرها'!$F:$F,N$1)</f>
        <v>0</v>
      </c>
      <c r="O1311" s="242">
        <f>COUNTIFS('تجربه‌گرها'!$B:$B,$A1311,'تجربه‌گرها'!$F:$F,O$1)</f>
        <v>0</v>
      </c>
      <c r="P1311" s="242">
        <f>COUNTIFS('تجربه‌گرها'!$B:$B,$A1311,'تجربه‌گرها'!$F:$F,P$1)</f>
        <v>1</v>
      </c>
      <c r="Q1311" s="242">
        <f>COUNTIFS('تجربه‌گرها'!$B:$B,$A1311,'تجربه‌گرها'!$F:$F,Q$1)</f>
        <v>0</v>
      </c>
      <c r="R1311" s="242">
        <f>COUNTIFS('تجربه‌گرها'!$B:$B,$A1311,'تجربه‌گرها'!$F:$F,R$1)</f>
        <v>0</v>
      </c>
      <c r="S1311" s="242">
        <f>COUNTIFS('تجربه‌گرها'!$B:$B,$A1311,'تجربه‌گرها'!$F:$F,S$1)</f>
        <v>0</v>
      </c>
      <c r="T1311" s="242">
        <f>COUNTIFS('تجربه‌گرها'!$B:$B,$A1311,'تجربه‌گرها'!$F:$F,T$1)</f>
        <v>0</v>
      </c>
      <c r="U1311" s="242"/>
      <c r="V1311" s="242"/>
      <c r="W1311" s="242"/>
      <c r="X1311" s="242"/>
      <c r="Y1311" s="242"/>
      <c r="Z1311" s="242"/>
      <c r="AA1311" s="242"/>
      <c r="AB1311" s="242"/>
    </row>
    <row r="1312" hidden="1">
      <c r="A1312" s="244" t="s">
        <v>6387</v>
      </c>
      <c r="B1312" s="245" t="str">
        <f>VLOOKUP(A1312,'تجربه‌گرها'!B:C,2,FALSE())</f>
        <v>9304222144</v>
      </c>
      <c r="C1312" s="242"/>
      <c r="D1312" s="242">
        <f t="shared" si="1"/>
        <v>1</v>
      </c>
      <c r="E1312" s="242">
        <f>COUNTIFS('تجربه‌گرها'!$B:$B,$A1312,'تجربه‌گرها'!$F:$F,E$1)</f>
        <v>0</v>
      </c>
      <c r="F1312" s="242">
        <f>COUNTIFS('تجربه‌گرها'!$B:$B,$A1312,'تجربه‌گرها'!$F:$F,F$1)</f>
        <v>0</v>
      </c>
      <c r="G1312" s="242">
        <f>COUNTIFS('تجربه‌گرها'!$B:$B,$A1312,'تجربه‌گرها'!$F:$F,G$1)</f>
        <v>0</v>
      </c>
      <c r="H1312" s="242">
        <f>COUNTIFS('تجربه‌گرها'!$B:$B,$A1312,'تجربه‌گرها'!$F:$F,H$1)</f>
        <v>0</v>
      </c>
      <c r="I1312" s="242">
        <f>COUNTIFS('تجربه‌گرها'!$B:$B,$A1312,'تجربه‌گرها'!$F:$F,I$1)</f>
        <v>0</v>
      </c>
      <c r="J1312" s="242">
        <f>COUNTIFS('تجربه‌گرها'!$B:$B,$A1312,'تجربه‌گرها'!$F:$F,J$1)</f>
        <v>0</v>
      </c>
      <c r="K1312" s="242">
        <f>COUNTIFS('تجربه‌گرها'!$B:$B,$A1312,'تجربه‌گرها'!$F:$F,K$1)</f>
        <v>0</v>
      </c>
      <c r="L1312" s="242">
        <f>COUNTIFS('تجربه‌گرها'!$B:$B,$A1312,'تجربه‌گرها'!$F:$F,L$1)</f>
        <v>0</v>
      </c>
      <c r="M1312" s="242">
        <f>COUNTIFS('تجربه‌گرها'!$B:$B,$A1312,'تجربه‌گرها'!$F:$F,M$1)</f>
        <v>0</v>
      </c>
      <c r="N1312" s="242">
        <f>COUNTIFS('تجربه‌گرها'!$B:$B,$A1312,'تجربه‌گرها'!$F:$F,N$1)</f>
        <v>0</v>
      </c>
      <c r="O1312" s="242">
        <f>COUNTIFS('تجربه‌گرها'!$B:$B,$A1312,'تجربه‌گرها'!$F:$F,O$1)</f>
        <v>0</v>
      </c>
      <c r="P1312" s="242">
        <f>COUNTIFS('تجربه‌گرها'!$B:$B,$A1312,'تجربه‌گرها'!$F:$F,P$1)</f>
        <v>1</v>
      </c>
      <c r="Q1312" s="242">
        <f>COUNTIFS('تجربه‌گرها'!$B:$B,$A1312,'تجربه‌گرها'!$F:$F,Q$1)</f>
        <v>0</v>
      </c>
      <c r="R1312" s="242">
        <f>COUNTIFS('تجربه‌گرها'!$B:$B,$A1312,'تجربه‌گرها'!$F:$F,R$1)</f>
        <v>0</v>
      </c>
      <c r="S1312" s="242">
        <f>COUNTIFS('تجربه‌گرها'!$B:$B,$A1312,'تجربه‌گرها'!$F:$F,S$1)</f>
        <v>0</v>
      </c>
      <c r="T1312" s="242">
        <f>COUNTIFS('تجربه‌گرها'!$B:$B,$A1312,'تجربه‌گرها'!$F:$F,T$1)</f>
        <v>0</v>
      </c>
      <c r="U1312" s="242"/>
      <c r="V1312" s="242"/>
      <c r="W1312" s="242"/>
      <c r="X1312" s="242"/>
      <c r="Y1312" s="242"/>
      <c r="Z1312" s="242"/>
      <c r="AA1312" s="242"/>
      <c r="AB1312" s="242"/>
    </row>
    <row r="1313" hidden="1">
      <c r="A1313" s="244" t="s">
        <v>6391</v>
      </c>
      <c r="B1313" s="245" t="str">
        <f>VLOOKUP(A1313,'تجربه‌گرها'!B:C,2,FALSE())</f>
        <v>9124191299</v>
      </c>
      <c r="C1313" s="242"/>
      <c r="D1313" s="242">
        <f t="shared" si="1"/>
        <v>1</v>
      </c>
      <c r="E1313" s="242">
        <f>COUNTIFS('تجربه‌گرها'!$B:$B,$A1313,'تجربه‌گرها'!$F:$F,E$1)</f>
        <v>0</v>
      </c>
      <c r="F1313" s="242">
        <f>COUNTIFS('تجربه‌گرها'!$B:$B,$A1313,'تجربه‌گرها'!$F:$F,F$1)</f>
        <v>0</v>
      </c>
      <c r="G1313" s="242">
        <f>COUNTIFS('تجربه‌گرها'!$B:$B,$A1313,'تجربه‌گرها'!$F:$F,G$1)</f>
        <v>0</v>
      </c>
      <c r="H1313" s="242">
        <f>COUNTIFS('تجربه‌گرها'!$B:$B,$A1313,'تجربه‌گرها'!$F:$F,H$1)</f>
        <v>0</v>
      </c>
      <c r="I1313" s="242">
        <f>COUNTIFS('تجربه‌گرها'!$B:$B,$A1313,'تجربه‌گرها'!$F:$F,I$1)</f>
        <v>0</v>
      </c>
      <c r="J1313" s="242">
        <f>COUNTIFS('تجربه‌گرها'!$B:$B,$A1313,'تجربه‌گرها'!$F:$F,J$1)</f>
        <v>0</v>
      </c>
      <c r="K1313" s="242">
        <f>COUNTIFS('تجربه‌گرها'!$B:$B,$A1313,'تجربه‌گرها'!$F:$F,K$1)</f>
        <v>0</v>
      </c>
      <c r="L1313" s="242">
        <f>COUNTIFS('تجربه‌گرها'!$B:$B,$A1313,'تجربه‌گرها'!$F:$F,L$1)</f>
        <v>0</v>
      </c>
      <c r="M1313" s="242">
        <f>COUNTIFS('تجربه‌گرها'!$B:$B,$A1313,'تجربه‌گرها'!$F:$F,M$1)</f>
        <v>0</v>
      </c>
      <c r="N1313" s="242">
        <f>COUNTIFS('تجربه‌گرها'!$B:$B,$A1313,'تجربه‌گرها'!$F:$F,N$1)</f>
        <v>0</v>
      </c>
      <c r="O1313" s="242">
        <f>COUNTIFS('تجربه‌گرها'!$B:$B,$A1313,'تجربه‌گرها'!$F:$F,O$1)</f>
        <v>0</v>
      </c>
      <c r="P1313" s="242">
        <f>COUNTIFS('تجربه‌گرها'!$B:$B,$A1313,'تجربه‌گرها'!$F:$F,P$1)</f>
        <v>1</v>
      </c>
      <c r="Q1313" s="242">
        <f>COUNTIFS('تجربه‌گرها'!$B:$B,$A1313,'تجربه‌گرها'!$F:$F,Q$1)</f>
        <v>0</v>
      </c>
      <c r="R1313" s="242">
        <f>COUNTIFS('تجربه‌گرها'!$B:$B,$A1313,'تجربه‌گرها'!$F:$F,R$1)</f>
        <v>0</v>
      </c>
      <c r="S1313" s="242">
        <f>COUNTIFS('تجربه‌گرها'!$B:$B,$A1313,'تجربه‌گرها'!$F:$F,S$1)</f>
        <v>0</v>
      </c>
      <c r="T1313" s="242">
        <f>COUNTIFS('تجربه‌گرها'!$B:$B,$A1313,'تجربه‌گرها'!$F:$F,T$1)</f>
        <v>0</v>
      </c>
      <c r="U1313" s="242"/>
      <c r="V1313" s="242"/>
      <c r="W1313" s="242"/>
      <c r="X1313" s="242"/>
      <c r="Y1313" s="242"/>
      <c r="Z1313" s="242"/>
      <c r="AA1313" s="242"/>
      <c r="AB1313" s="242"/>
    </row>
    <row r="1314" hidden="1">
      <c r="A1314" s="244" t="s">
        <v>6394</v>
      </c>
      <c r="B1314" s="245" t="str">
        <f>VLOOKUP(A1314,'تجربه‌گرها'!B:C,2,FALSE())</f>
        <v>9124199985</v>
      </c>
      <c r="C1314" s="242"/>
      <c r="D1314" s="242">
        <f t="shared" si="1"/>
        <v>1</v>
      </c>
      <c r="E1314" s="242">
        <f>COUNTIFS('تجربه‌گرها'!$B:$B,$A1314,'تجربه‌گرها'!$F:$F,E$1)</f>
        <v>0</v>
      </c>
      <c r="F1314" s="242">
        <f>COUNTIFS('تجربه‌گرها'!$B:$B,$A1314,'تجربه‌گرها'!$F:$F,F$1)</f>
        <v>0</v>
      </c>
      <c r="G1314" s="242">
        <f>COUNTIFS('تجربه‌گرها'!$B:$B,$A1314,'تجربه‌گرها'!$F:$F,G$1)</f>
        <v>0</v>
      </c>
      <c r="H1314" s="242">
        <f>COUNTIFS('تجربه‌گرها'!$B:$B,$A1314,'تجربه‌گرها'!$F:$F,H$1)</f>
        <v>0</v>
      </c>
      <c r="I1314" s="242">
        <f>COUNTIFS('تجربه‌گرها'!$B:$B,$A1314,'تجربه‌گرها'!$F:$F,I$1)</f>
        <v>0</v>
      </c>
      <c r="J1314" s="242">
        <f>COUNTIFS('تجربه‌گرها'!$B:$B,$A1314,'تجربه‌گرها'!$F:$F,J$1)</f>
        <v>0</v>
      </c>
      <c r="K1314" s="242">
        <f>COUNTIFS('تجربه‌گرها'!$B:$B,$A1314,'تجربه‌گرها'!$F:$F,K$1)</f>
        <v>0</v>
      </c>
      <c r="L1314" s="242">
        <f>COUNTIFS('تجربه‌گرها'!$B:$B,$A1314,'تجربه‌گرها'!$F:$F,L$1)</f>
        <v>0</v>
      </c>
      <c r="M1314" s="242">
        <f>COUNTIFS('تجربه‌گرها'!$B:$B,$A1314,'تجربه‌گرها'!$F:$F,M$1)</f>
        <v>0</v>
      </c>
      <c r="N1314" s="242">
        <f>COUNTIFS('تجربه‌گرها'!$B:$B,$A1314,'تجربه‌گرها'!$F:$F,N$1)</f>
        <v>0</v>
      </c>
      <c r="O1314" s="242">
        <f>COUNTIFS('تجربه‌گرها'!$B:$B,$A1314,'تجربه‌گرها'!$F:$F,O$1)</f>
        <v>0</v>
      </c>
      <c r="P1314" s="242">
        <f>COUNTIFS('تجربه‌گرها'!$B:$B,$A1314,'تجربه‌گرها'!$F:$F,P$1)</f>
        <v>1</v>
      </c>
      <c r="Q1314" s="242">
        <f>COUNTIFS('تجربه‌گرها'!$B:$B,$A1314,'تجربه‌گرها'!$F:$F,Q$1)</f>
        <v>0</v>
      </c>
      <c r="R1314" s="242">
        <f>COUNTIFS('تجربه‌گرها'!$B:$B,$A1314,'تجربه‌گرها'!$F:$F,R$1)</f>
        <v>0</v>
      </c>
      <c r="S1314" s="242">
        <f>COUNTIFS('تجربه‌گرها'!$B:$B,$A1314,'تجربه‌گرها'!$F:$F,S$1)</f>
        <v>0</v>
      </c>
      <c r="T1314" s="242">
        <f>COUNTIFS('تجربه‌گرها'!$B:$B,$A1314,'تجربه‌گرها'!$F:$F,T$1)</f>
        <v>0</v>
      </c>
      <c r="U1314" s="242"/>
      <c r="V1314" s="242"/>
      <c r="W1314" s="242"/>
      <c r="X1314" s="242"/>
      <c r="Y1314" s="242"/>
      <c r="Z1314" s="242"/>
      <c r="AA1314" s="242"/>
      <c r="AB1314" s="242"/>
    </row>
    <row r="1315" hidden="1">
      <c r="A1315" s="244" t="s">
        <v>6397</v>
      </c>
      <c r="B1315" s="245" t="str">
        <f>VLOOKUP(A1315,'تجربه‌گرها'!B:C,2,FALSE())</f>
        <v>9960870704</v>
      </c>
      <c r="C1315" s="242"/>
      <c r="D1315" s="242">
        <f t="shared" si="1"/>
        <v>1</v>
      </c>
      <c r="E1315" s="242">
        <f>COUNTIFS('تجربه‌گرها'!$B:$B,$A1315,'تجربه‌گرها'!$F:$F,E$1)</f>
        <v>0</v>
      </c>
      <c r="F1315" s="242">
        <f>COUNTIFS('تجربه‌گرها'!$B:$B,$A1315,'تجربه‌گرها'!$F:$F,F$1)</f>
        <v>0</v>
      </c>
      <c r="G1315" s="242">
        <f>COUNTIFS('تجربه‌گرها'!$B:$B,$A1315,'تجربه‌گرها'!$F:$F,G$1)</f>
        <v>0</v>
      </c>
      <c r="H1315" s="242">
        <f>COUNTIFS('تجربه‌گرها'!$B:$B,$A1315,'تجربه‌گرها'!$F:$F,H$1)</f>
        <v>0</v>
      </c>
      <c r="I1315" s="242">
        <f>COUNTIFS('تجربه‌گرها'!$B:$B,$A1315,'تجربه‌گرها'!$F:$F,I$1)</f>
        <v>0</v>
      </c>
      <c r="J1315" s="242">
        <f>COUNTIFS('تجربه‌گرها'!$B:$B,$A1315,'تجربه‌گرها'!$F:$F,J$1)</f>
        <v>0</v>
      </c>
      <c r="K1315" s="242">
        <f>COUNTIFS('تجربه‌گرها'!$B:$B,$A1315,'تجربه‌گرها'!$F:$F,K$1)</f>
        <v>0</v>
      </c>
      <c r="L1315" s="242">
        <f>COUNTIFS('تجربه‌گرها'!$B:$B,$A1315,'تجربه‌گرها'!$F:$F,L$1)</f>
        <v>0</v>
      </c>
      <c r="M1315" s="242">
        <f>COUNTIFS('تجربه‌گرها'!$B:$B,$A1315,'تجربه‌گرها'!$F:$F,M$1)</f>
        <v>0</v>
      </c>
      <c r="N1315" s="242">
        <f>COUNTIFS('تجربه‌گرها'!$B:$B,$A1315,'تجربه‌گرها'!$F:$F,N$1)</f>
        <v>0</v>
      </c>
      <c r="O1315" s="242">
        <f>COUNTIFS('تجربه‌گرها'!$B:$B,$A1315,'تجربه‌گرها'!$F:$F,O$1)</f>
        <v>0</v>
      </c>
      <c r="P1315" s="242">
        <f>COUNTIFS('تجربه‌گرها'!$B:$B,$A1315,'تجربه‌گرها'!$F:$F,P$1)</f>
        <v>1</v>
      </c>
      <c r="Q1315" s="242">
        <f>COUNTIFS('تجربه‌گرها'!$B:$B,$A1315,'تجربه‌گرها'!$F:$F,Q$1)</f>
        <v>0</v>
      </c>
      <c r="R1315" s="242">
        <f>COUNTIFS('تجربه‌گرها'!$B:$B,$A1315,'تجربه‌گرها'!$F:$F,R$1)</f>
        <v>0</v>
      </c>
      <c r="S1315" s="242">
        <f>COUNTIFS('تجربه‌گرها'!$B:$B,$A1315,'تجربه‌گرها'!$F:$F,S$1)</f>
        <v>0</v>
      </c>
      <c r="T1315" s="242">
        <f>COUNTIFS('تجربه‌گرها'!$B:$B,$A1315,'تجربه‌گرها'!$F:$F,T$1)</f>
        <v>0</v>
      </c>
      <c r="U1315" s="242"/>
      <c r="V1315" s="242"/>
      <c r="W1315" s="242"/>
      <c r="X1315" s="242"/>
      <c r="Y1315" s="242"/>
      <c r="Z1315" s="242"/>
      <c r="AA1315" s="242"/>
      <c r="AB1315" s="242"/>
    </row>
    <row r="1316" hidden="1">
      <c r="A1316" s="244" t="s">
        <v>6402</v>
      </c>
      <c r="B1316" s="245" t="str">
        <f>VLOOKUP(A1316,'تجربه‌گرها'!B:C,2,FALSE())</f>
        <v>9196208122</v>
      </c>
      <c r="C1316" s="242"/>
      <c r="D1316" s="242">
        <f t="shared" si="1"/>
        <v>1</v>
      </c>
      <c r="E1316" s="242">
        <f>COUNTIFS('تجربه‌گرها'!$B:$B,$A1316,'تجربه‌گرها'!$F:$F,E$1)</f>
        <v>0</v>
      </c>
      <c r="F1316" s="242">
        <f>COUNTIFS('تجربه‌گرها'!$B:$B,$A1316,'تجربه‌گرها'!$F:$F,F$1)</f>
        <v>0</v>
      </c>
      <c r="G1316" s="242">
        <f>COUNTIFS('تجربه‌گرها'!$B:$B,$A1316,'تجربه‌گرها'!$F:$F,G$1)</f>
        <v>0</v>
      </c>
      <c r="H1316" s="242">
        <f>COUNTIFS('تجربه‌گرها'!$B:$B,$A1316,'تجربه‌گرها'!$F:$F,H$1)</f>
        <v>0</v>
      </c>
      <c r="I1316" s="242">
        <f>COUNTIFS('تجربه‌گرها'!$B:$B,$A1316,'تجربه‌گرها'!$F:$F,I$1)</f>
        <v>0</v>
      </c>
      <c r="J1316" s="242">
        <f>COUNTIFS('تجربه‌گرها'!$B:$B,$A1316,'تجربه‌گرها'!$F:$F,J$1)</f>
        <v>0</v>
      </c>
      <c r="K1316" s="242">
        <f>COUNTIFS('تجربه‌گرها'!$B:$B,$A1316,'تجربه‌گرها'!$F:$F,K$1)</f>
        <v>0</v>
      </c>
      <c r="L1316" s="242">
        <f>COUNTIFS('تجربه‌گرها'!$B:$B,$A1316,'تجربه‌گرها'!$F:$F,L$1)</f>
        <v>0</v>
      </c>
      <c r="M1316" s="242">
        <f>COUNTIFS('تجربه‌گرها'!$B:$B,$A1316,'تجربه‌گرها'!$F:$F,M$1)</f>
        <v>0</v>
      </c>
      <c r="N1316" s="242">
        <f>COUNTIFS('تجربه‌گرها'!$B:$B,$A1316,'تجربه‌گرها'!$F:$F,N$1)</f>
        <v>0</v>
      </c>
      <c r="O1316" s="242">
        <f>COUNTIFS('تجربه‌گرها'!$B:$B,$A1316,'تجربه‌گرها'!$F:$F,O$1)</f>
        <v>0</v>
      </c>
      <c r="P1316" s="242">
        <f>COUNTIFS('تجربه‌گرها'!$B:$B,$A1316,'تجربه‌گرها'!$F:$F,P$1)</f>
        <v>1</v>
      </c>
      <c r="Q1316" s="242">
        <f>COUNTIFS('تجربه‌گرها'!$B:$B,$A1316,'تجربه‌گرها'!$F:$F,Q$1)</f>
        <v>0</v>
      </c>
      <c r="R1316" s="242">
        <f>COUNTIFS('تجربه‌گرها'!$B:$B,$A1316,'تجربه‌گرها'!$F:$F,R$1)</f>
        <v>0</v>
      </c>
      <c r="S1316" s="242">
        <f>COUNTIFS('تجربه‌گرها'!$B:$B,$A1316,'تجربه‌گرها'!$F:$F,S$1)</f>
        <v>0</v>
      </c>
      <c r="T1316" s="242">
        <f>COUNTIFS('تجربه‌گرها'!$B:$B,$A1316,'تجربه‌گرها'!$F:$F,T$1)</f>
        <v>0</v>
      </c>
      <c r="U1316" s="242"/>
      <c r="V1316" s="242"/>
      <c r="W1316" s="242"/>
      <c r="X1316" s="242"/>
      <c r="Y1316" s="242"/>
      <c r="Z1316" s="242"/>
      <c r="AA1316" s="242"/>
      <c r="AB1316" s="242"/>
    </row>
    <row r="1317" hidden="1">
      <c r="A1317" s="244" t="s">
        <v>6406</v>
      </c>
      <c r="B1317" s="245" t="str">
        <f>VLOOKUP(A1317,'تجربه‌گرها'!B:C,2,FALSE())</f>
        <v>9196208122</v>
      </c>
      <c r="C1317" s="242"/>
      <c r="D1317" s="242">
        <f t="shared" si="1"/>
        <v>1</v>
      </c>
      <c r="E1317" s="242">
        <f>COUNTIFS('تجربه‌گرها'!$B:$B,$A1317,'تجربه‌گرها'!$F:$F,E$1)</f>
        <v>0</v>
      </c>
      <c r="F1317" s="242">
        <f>COUNTIFS('تجربه‌گرها'!$B:$B,$A1317,'تجربه‌گرها'!$F:$F,F$1)</f>
        <v>0</v>
      </c>
      <c r="G1317" s="242">
        <f>COUNTIFS('تجربه‌گرها'!$B:$B,$A1317,'تجربه‌گرها'!$F:$F,G$1)</f>
        <v>0</v>
      </c>
      <c r="H1317" s="242">
        <f>COUNTIFS('تجربه‌گرها'!$B:$B,$A1317,'تجربه‌گرها'!$F:$F,H$1)</f>
        <v>0</v>
      </c>
      <c r="I1317" s="242">
        <f>COUNTIFS('تجربه‌گرها'!$B:$B,$A1317,'تجربه‌گرها'!$F:$F,I$1)</f>
        <v>0</v>
      </c>
      <c r="J1317" s="242">
        <f>COUNTIFS('تجربه‌گرها'!$B:$B,$A1317,'تجربه‌گرها'!$F:$F,J$1)</f>
        <v>0</v>
      </c>
      <c r="K1317" s="242">
        <f>COUNTIFS('تجربه‌گرها'!$B:$B,$A1317,'تجربه‌گرها'!$F:$F,K$1)</f>
        <v>0</v>
      </c>
      <c r="L1317" s="242">
        <f>COUNTIFS('تجربه‌گرها'!$B:$B,$A1317,'تجربه‌گرها'!$F:$F,L$1)</f>
        <v>0</v>
      </c>
      <c r="M1317" s="242">
        <f>COUNTIFS('تجربه‌گرها'!$B:$B,$A1317,'تجربه‌گرها'!$F:$F,M$1)</f>
        <v>0</v>
      </c>
      <c r="N1317" s="242">
        <f>COUNTIFS('تجربه‌گرها'!$B:$B,$A1317,'تجربه‌گرها'!$F:$F,N$1)</f>
        <v>0</v>
      </c>
      <c r="O1317" s="242">
        <f>COUNTIFS('تجربه‌گرها'!$B:$B,$A1317,'تجربه‌گرها'!$F:$F,O$1)</f>
        <v>0</v>
      </c>
      <c r="P1317" s="242">
        <f>COUNTIFS('تجربه‌گرها'!$B:$B,$A1317,'تجربه‌گرها'!$F:$F,P$1)</f>
        <v>1</v>
      </c>
      <c r="Q1317" s="242">
        <f>COUNTIFS('تجربه‌گرها'!$B:$B,$A1317,'تجربه‌گرها'!$F:$F,Q$1)</f>
        <v>0</v>
      </c>
      <c r="R1317" s="242">
        <f>COUNTIFS('تجربه‌گرها'!$B:$B,$A1317,'تجربه‌گرها'!$F:$F,R$1)</f>
        <v>0</v>
      </c>
      <c r="S1317" s="242">
        <f>COUNTIFS('تجربه‌گرها'!$B:$B,$A1317,'تجربه‌گرها'!$F:$F,S$1)</f>
        <v>0</v>
      </c>
      <c r="T1317" s="242">
        <f>COUNTIFS('تجربه‌گرها'!$B:$B,$A1317,'تجربه‌گرها'!$F:$F,T$1)</f>
        <v>0</v>
      </c>
      <c r="U1317" s="242"/>
      <c r="V1317" s="242"/>
      <c r="W1317" s="242"/>
      <c r="X1317" s="242"/>
      <c r="Y1317" s="242"/>
      <c r="Z1317" s="242"/>
      <c r="AA1317" s="242"/>
      <c r="AB1317" s="242"/>
    </row>
    <row r="1318" hidden="1">
      <c r="A1318" s="244" t="s">
        <v>6409</v>
      </c>
      <c r="B1318" s="245" t="str">
        <f>VLOOKUP(A1318,'تجربه‌گرها'!B:C,2,FALSE())</f>
        <v>9127192230</v>
      </c>
      <c r="C1318" s="242"/>
      <c r="D1318" s="242">
        <f t="shared" si="1"/>
        <v>1</v>
      </c>
      <c r="E1318" s="242">
        <f>COUNTIFS('تجربه‌گرها'!$B:$B,$A1318,'تجربه‌گرها'!$F:$F,E$1)</f>
        <v>0</v>
      </c>
      <c r="F1318" s="242">
        <f>COUNTIFS('تجربه‌گرها'!$B:$B,$A1318,'تجربه‌گرها'!$F:$F,F$1)</f>
        <v>0</v>
      </c>
      <c r="G1318" s="242">
        <f>COUNTIFS('تجربه‌گرها'!$B:$B,$A1318,'تجربه‌گرها'!$F:$F,G$1)</f>
        <v>0</v>
      </c>
      <c r="H1318" s="242">
        <f>COUNTIFS('تجربه‌گرها'!$B:$B,$A1318,'تجربه‌گرها'!$F:$F,H$1)</f>
        <v>0</v>
      </c>
      <c r="I1318" s="242">
        <f>COUNTIFS('تجربه‌گرها'!$B:$B,$A1318,'تجربه‌گرها'!$F:$F,I$1)</f>
        <v>0</v>
      </c>
      <c r="J1318" s="242">
        <f>COUNTIFS('تجربه‌گرها'!$B:$B,$A1318,'تجربه‌گرها'!$F:$F,J$1)</f>
        <v>0</v>
      </c>
      <c r="K1318" s="242">
        <f>COUNTIFS('تجربه‌گرها'!$B:$B,$A1318,'تجربه‌گرها'!$F:$F,K$1)</f>
        <v>0</v>
      </c>
      <c r="L1318" s="242">
        <f>COUNTIFS('تجربه‌گرها'!$B:$B,$A1318,'تجربه‌گرها'!$F:$F,L$1)</f>
        <v>0</v>
      </c>
      <c r="M1318" s="242">
        <f>COUNTIFS('تجربه‌گرها'!$B:$B,$A1318,'تجربه‌گرها'!$F:$F,M$1)</f>
        <v>0</v>
      </c>
      <c r="N1318" s="242">
        <f>COUNTIFS('تجربه‌گرها'!$B:$B,$A1318,'تجربه‌گرها'!$F:$F,N$1)</f>
        <v>0</v>
      </c>
      <c r="O1318" s="242">
        <f>COUNTIFS('تجربه‌گرها'!$B:$B,$A1318,'تجربه‌گرها'!$F:$F,O$1)</f>
        <v>0</v>
      </c>
      <c r="P1318" s="242">
        <f>COUNTIFS('تجربه‌گرها'!$B:$B,$A1318,'تجربه‌گرها'!$F:$F,P$1)</f>
        <v>1</v>
      </c>
      <c r="Q1318" s="242">
        <f>COUNTIFS('تجربه‌گرها'!$B:$B,$A1318,'تجربه‌گرها'!$F:$F,Q$1)</f>
        <v>0</v>
      </c>
      <c r="R1318" s="242">
        <f>COUNTIFS('تجربه‌گرها'!$B:$B,$A1318,'تجربه‌گرها'!$F:$F,R$1)</f>
        <v>0</v>
      </c>
      <c r="S1318" s="242">
        <f>COUNTIFS('تجربه‌گرها'!$B:$B,$A1318,'تجربه‌گرها'!$F:$F,S$1)</f>
        <v>0</v>
      </c>
      <c r="T1318" s="242">
        <f>COUNTIFS('تجربه‌گرها'!$B:$B,$A1318,'تجربه‌گرها'!$F:$F,T$1)</f>
        <v>0</v>
      </c>
      <c r="U1318" s="242"/>
      <c r="V1318" s="242"/>
      <c r="W1318" s="242"/>
      <c r="X1318" s="242"/>
      <c r="Y1318" s="242"/>
      <c r="Z1318" s="242"/>
      <c r="AA1318" s="242"/>
      <c r="AB1318" s="242"/>
    </row>
    <row r="1319" hidden="1">
      <c r="A1319" s="244" t="s">
        <v>6412</v>
      </c>
      <c r="B1319" s="245" t="str">
        <f>VLOOKUP(A1319,'تجربه‌گرها'!B:C,2,FALSE())</f>
        <v>9352501680</v>
      </c>
      <c r="C1319" s="242"/>
      <c r="D1319" s="242">
        <f t="shared" si="1"/>
        <v>1</v>
      </c>
      <c r="E1319" s="242">
        <f>COUNTIFS('تجربه‌گرها'!$B:$B,$A1319,'تجربه‌گرها'!$F:$F,E$1)</f>
        <v>0</v>
      </c>
      <c r="F1319" s="242">
        <f>COUNTIFS('تجربه‌گرها'!$B:$B,$A1319,'تجربه‌گرها'!$F:$F,F$1)</f>
        <v>0</v>
      </c>
      <c r="G1319" s="242">
        <f>COUNTIFS('تجربه‌گرها'!$B:$B,$A1319,'تجربه‌گرها'!$F:$F,G$1)</f>
        <v>0</v>
      </c>
      <c r="H1319" s="242">
        <f>COUNTIFS('تجربه‌گرها'!$B:$B,$A1319,'تجربه‌گرها'!$F:$F,H$1)</f>
        <v>0</v>
      </c>
      <c r="I1319" s="242">
        <f>COUNTIFS('تجربه‌گرها'!$B:$B,$A1319,'تجربه‌گرها'!$F:$F,I$1)</f>
        <v>0</v>
      </c>
      <c r="J1319" s="242">
        <f>COUNTIFS('تجربه‌گرها'!$B:$B,$A1319,'تجربه‌گرها'!$F:$F,J$1)</f>
        <v>0</v>
      </c>
      <c r="K1319" s="242">
        <f>COUNTIFS('تجربه‌گرها'!$B:$B,$A1319,'تجربه‌گرها'!$F:$F,K$1)</f>
        <v>0</v>
      </c>
      <c r="L1319" s="242">
        <f>COUNTIFS('تجربه‌گرها'!$B:$B,$A1319,'تجربه‌گرها'!$F:$F,L$1)</f>
        <v>0</v>
      </c>
      <c r="M1319" s="242">
        <f>COUNTIFS('تجربه‌گرها'!$B:$B,$A1319,'تجربه‌گرها'!$F:$F,M$1)</f>
        <v>0</v>
      </c>
      <c r="N1319" s="242">
        <f>COUNTIFS('تجربه‌گرها'!$B:$B,$A1319,'تجربه‌گرها'!$F:$F,N$1)</f>
        <v>0</v>
      </c>
      <c r="O1319" s="242">
        <f>COUNTIFS('تجربه‌گرها'!$B:$B,$A1319,'تجربه‌گرها'!$F:$F,O$1)</f>
        <v>0</v>
      </c>
      <c r="P1319" s="242">
        <f>COUNTIFS('تجربه‌گرها'!$B:$B,$A1319,'تجربه‌گرها'!$F:$F,P$1)</f>
        <v>1</v>
      </c>
      <c r="Q1319" s="242">
        <f>COUNTIFS('تجربه‌گرها'!$B:$B,$A1319,'تجربه‌گرها'!$F:$F,Q$1)</f>
        <v>0</v>
      </c>
      <c r="R1319" s="242">
        <f>COUNTIFS('تجربه‌گرها'!$B:$B,$A1319,'تجربه‌گرها'!$F:$F,R$1)</f>
        <v>0</v>
      </c>
      <c r="S1319" s="242">
        <f>COUNTIFS('تجربه‌گرها'!$B:$B,$A1319,'تجربه‌گرها'!$F:$F,S$1)</f>
        <v>0</v>
      </c>
      <c r="T1319" s="242">
        <f>COUNTIFS('تجربه‌گرها'!$B:$B,$A1319,'تجربه‌گرها'!$F:$F,T$1)</f>
        <v>0</v>
      </c>
      <c r="U1319" s="242"/>
      <c r="V1319" s="242"/>
      <c r="W1319" s="242"/>
      <c r="X1319" s="242"/>
      <c r="Y1319" s="242"/>
      <c r="Z1319" s="242"/>
      <c r="AA1319" s="242"/>
      <c r="AB1319" s="242"/>
    </row>
    <row r="1320" hidden="1">
      <c r="A1320" s="244" t="s">
        <v>6416</v>
      </c>
      <c r="B1320" s="245" t="str">
        <f>VLOOKUP(A1320,'تجربه‌گرها'!B:C,2,FALSE())</f>
        <v>9125838135</v>
      </c>
      <c r="C1320" s="242"/>
      <c r="D1320" s="242">
        <f t="shared" si="1"/>
        <v>1</v>
      </c>
      <c r="E1320" s="242">
        <f>COUNTIFS('تجربه‌گرها'!$B:$B,$A1320,'تجربه‌گرها'!$F:$F,E$1)</f>
        <v>0</v>
      </c>
      <c r="F1320" s="242">
        <f>COUNTIFS('تجربه‌گرها'!$B:$B,$A1320,'تجربه‌گرها'!$F:$F,F$1)</f>
        <v>0</v>
      </c>
      <c r="G1320" s="242">
        <f>COUNTIFS('تجربه‌گرها'!$B:$B,$A1320,'تجربه‌گرها'!$F:$F,G$1)</f>
        <v>0</v>
      </c>
      <c r="H1320" s="242">
        <f>COUNTIFS('تجربه‌گرها'!$B:$B,$A1320,'تجربه‌گرها'!$F:$F,H$1)</f>
        <v>0</v>
      </c>
      <c r="I1320" s="242">
        <f>COUNTIFS('تجربه‌گرها'!$B:$B,$A1320,'تجربه‌گرها'!$F:$F,I$1)</f>
        <v>0</v>
      </c>
      <c r="J1320" s="242">
        <f>COUNTIFS('تجربه‌گرها'!$B:$B,$A1320,'تجربه‌گرها'!$F:$F,J$1)</f>
        <v>0</v>
      </c>
      <c r="K1320" s="242">
        <f>COUNTIFS('تجربه‌گرها'!$B:$B,$A1320,'تجربه‌گرها'!$F:$F,K$1)</f>
        <v>0</v>
      </c>
      <c r="L1320" s="242">
        <f>COUNTIFS('تجربه‌گرها'!$B:$B,$A1320,'تجربه‌گرها'!$F:$F,L$1)</f>
        <v>0</v>
      </c>
      <c r="M1320" s="242">
        <f>COUNTIFS('تجربه‌گرها'!$B:$B,$A1320,'تجربه‌گرها'!$F:$F,M$1)</f>
        <v>0</v>
      </c>
      <c r="N1320" s="242">
        <f>COUNTIFS('تجربه‌گرها'!$B:$B,$A1320,'تجربه‌گرها'!$F:$F,N$1)</f>
        <v>0</v>
      </c>
      <c r="O1320" s="242">
        <f>COUNTIFS('تجربه‌گرها'!$B:$B,$A1320,'تجربه‌گرها'!$F:$F,O$1)</f>
        <v>0</v>
      </c>
      <c r="P1320" s="242">
        <f>COUNTIFS('تجربه‌گرها'!$B:$B,$A1320,'تجربه‌گرها'!$F:$F,P$1)</f>
        <v>1</v>
      </c>
      <c r="Q1320" s="242">
        <f>COUNTIFS('تجربه‌گرها'!$B:$B,$A1320,'تجربه‌گرها'!$F:$F,Q$1)</f>
        <v>0</v>
      </c>
      <c r="R1320" s="242">
        <f>COUNTIFS('تجربه‌گرها'!$B:$B,$A1320,'تجربه‌گرها'!$F:$F,R$1)</f>
        <v>0</v>
      </c>
      <c r="S1320" s="242">
        <f>COUNTIFS('تجربه‌گرها'!$B:$B,$A1320,'تجربه‌گرها'!$F:$F,S$1)</f>
        <v>0</v>
      </c>
      <c r="T1320" s="242">
        <f>COUNTIFS('تجربه‌گرها'!$B:$B,$A1320,'تجربه‌گرها'!$F:$F,T$1)</f>
        <v>0</v>
      </c>
      <c r="U1320" s="242"/>
      <c r="V1320" s="242"/>
      <c r="W1320" s="242"/>
      <c r="X1320" s="242"/>
      <c r="Y1320" s="242"/>
      <c r="Z1320" s="242"/>
      <c r="AA1320" s="242"/>
      <c r="AB1320" s="242"/>
    </row>
    <row r="1321" hidden="1">
      <c r="A1321" s="244" t="s">
        <v>6420</v>
      </c>
      <c r="B1321" s="245" t="str">
        <f>VLOOKUP(A1321,'تجربه‌گرها'!B:C,2,FALSE())</f>
        <v>9366071653</v>
      </c>
      <c r="C1321" s="242"/>
      <c r="D1321" s="242">
        <f t="shared" si="1"/>
        <v>1</v>
      </c>
      <c r="E1321" s="242">
        <f>COUNTIFS('تجربه‌گرها'!$B:$B,$A1321,'تجربه‌گرها'!$F:$F,E$1)</f>
        <v>0</v>
      </c>
      <c r="F1321" s="242">
        <f>COUNTIFS('تجربه‌گرها'!$B:$B,$A1321,'تجربه‌گرها'!$F:$F,F$1)</f>
        <v>0</v>
      </c>
      <c r="G1321" s="242">
        <f>COUNTIFS('تجربه‌گرها'!$B:$B,$A1321,'تجربه‌گرها'!$F:$F,G$1)</f>
        <v>0</v>
      </c>
      <c r="H1321" s="242">
        <f>COUNTIFS('تجربه‌گرها'!$B:$B,$A1321,'تجربه‌گرها'!$F:$F,H$1)</f>
        <v>0</v>
      </c>
      <c r="I1321" s="242">
        <f>COUNTIFS('تجربه‌گرها'!$B:$B,$A1321,'تجربه‌گرها'!$F:$F,I$1)</f>
        <v>0</v>
      </c>
      <c r="J1321" s="242">
        <f>COUNTIFS('تجربه‌گرها'!$B:$B,$A1321,'تجربه‌گرها'!$F:$F,J$1)</f>
        <v>0</v>
      </c>
      <c r="K1321" s="242">
        <f>COUNTIFS('تجربه‌گرها'!$B:$B,$A1321,'تجربه‌گرها'!$F:$F,K$1)</f>
        <v>0</v>
      </c>
      <c r="L1321" s="242">
        <f>COUNTIFS('تجربه‌گرها'!$B:$B,$A1321,'تجربه‌گرها'!$F:$F,L$1)</f>
        <v>0</v>
      </c>
      <c r="M1321" s="242">
        <f>COUNTIFS('تجربه‌گرها'!$B:$B,$A1321,'تجربه‌گرها'!$F:$F,M$1)</f>
        <v>0</v>
      </c>
      <c r="N1321" s="242">
        <f>COUNTIFS('تجربه‌گرها'!$B:$B,$A1321,'تجربه‌گرها'!$F:$F,N$1)</f>
        <v>0</v>
      </c>
      <c r="O1321" s="242">
        <f>COUNTIFS('تجربه‌گرها'!$B:$B,$A1321,'تجربه‌گرها'!$F:$F,O$1)</f>
        <v>0</v>
      </c>
      <c r="P1321" s="242">
        <f>COUNTIFS('تجربه‌گرها'!$B:$B,$A1321,'تجربه‌گرها'!$F:$F,P$1)</f>
        <v>1</v>
      </c>
      <c r="Q1321" s="242">
        <f>COUNTIFS('تجربه‌گرها'!$B:$B,$A1321,'تجربه‌گرها'!$F:$F,Q$1)</f>
        <v>0</v>
      </c>
      <c r="R1321" s="242">
        <f>COUNTIFS('تجربه‌گرها'!$B:$B,$A1321,'تجربه‌گرها'!$F:$F,R$1)</f>
        <v>0</v>
      </c>
      <c r="S1321" s="242">
        <f>COUNTIFS('تجربه‌گرها'!$B:$B,$A1321,'تجربه‌گرها'!$F:$F,S$1)</f>
        <v>0</v>
      </c>
      <c r="T1321" s="242">
        <f>COUNTIFS('تجربه‌گرها'!$B:$B,$A1321,'تجربه‌گرها'!$F:$F,T$1)</f>
        <v>0</v>
      </c>
      <c r="U1321" s="242"/>
      <c r="V1321" s="242"/>
      <c r="W1321" s="242"/>
      <c r="X1321" s="242"/>
      <c r="Y1321" s="242"/>
      <c r="Z1321" s="242"/>
      <c r="AA1321" s="242"/>
      <c r="AB1321" s="242"/>
    </row>
    <row r="1322" hidden="1">
      <c r="A1322" s="244" t="s">
        <v>6430</v>
      </c>
      <c r="B1322" s="245" t="str">
        <f>VLOOKUP(A1322,'تجربه‌گرها'!B:C,2,FALSE())</f>
        <v>9136860084</v>
      </c>
      <c r="C1322" s="242"/>
      <c r="D1322" s="242">
        <f t="shared" si="1"/>
        <v>1</v>
      </c>
      <c r="E1322" s="242">
        <f>COUNTIFS('تجربه‌گرها'!$B:$B,$A1322,'تجربه‌گرها'!$F:$F,E$1)</f>
        <v>0</v>
      </c>
      <c r="F1322" s="242">
        <f>COUNTIFS('تجربه‌گرها'!$B:$B,$A1322,'تجربه‌گرها'!$F:$F,F$1)</f>
        <v>0</v>
      </c>
      <c r="G1322" s="242">
        <f>COUNTIFS('تجربه‌گرها'!$B:$B,$A1322,'تجربه‌گرها'!$F:$F,G$1)</f>
        <v>0</v>
      </c>
      <c r="H1322" s="242">
        <f>COUNTIFS('تجربه‌گرها'!$B:$B,$A1322,'تجربه‌گرها'!$F:$F,H$1)</f>
        <v>0</v>
      </c>
      <c r="I1322" s="242">
        <f>COUNTIFS('تجربه‌گرها'!$B:$B,$A1322,'تجربه‌گرها'!$F:$F,I$1)</f>
        <v>0</v>
      </c>
      <c r="J1322" s="242">
        <f>COUNTIFS('تجربه‌گرها'!$B:$B,$A1322,'تجربه‌گرها'!$F:$F,J$1)</f>
        <v>0</v>
      </c>
      <c r="K1322" s="242">
        <f>COUNTIFS('تجربه‌گرها'!$B:$B,$A1322,'تجربه‌گرها'!$F:$F,K$1)</f>
        <v>0</v>
      </c>
      <c r="L1322" s="242">
        <f>COUNTIFS('تجربه‌گرها'!$B:$B,$A1322,'تجربه‌گرها'!$F:$F,L$1)</f>
        <v>0</v>
      </c>
      <c r="M1322" s="242">
        <f>COUNTIFS('تجربه‌گرها'!$B:$B,$A1322,'تجربه‌گرها'!$F:$F,M$1)</f>
        <v>0</v>
      </c>
      <c r="N1322" s="242">
        <f>COUNTIFS('تجربه‌گرها'!$B:$B,$A1322,'تجربه‌گرها'!$F:$F,N$1)</f>
        <v>0</v>
      </c>
      <c r="O1322" s="242">
        <f>COUNTIFS('تجربه‌گرها'!$B:$B,$A1322,'تجربه‌گرها'!$F:$F,O$1)</f>
        <v>0</v>
      </c>
      <c r="P1322" s="242">
        <f>COUNTIFS('تجربه‌گرها'!$B:$B,$A1322,'تجربه‌گرها'!$F:$F,P$1)</f>
        <v>1</v>
      </c>
      <c r="Q1322" s="242">
        <f>COUNTIFS('تجربه‌گرها'!$B:$B,$A1322,'تجربه‌گرها'!$F:$F,Q$1)</f>
        <v>0</v>
      </c>
      <c r="R1322" s="242">
        <f>COUNTIFS('تجربه‌گرها'!$B:$B,$A1322,'تجربه‌گرها'!$F:$F,R$1)</f>
        <v>0</v>
      </c>
      <c r="S1322" s="242">
        <f>COUNTIFS('تجربه‌گرها'!$B:$B,$A1322,'تجربه‌گرها'!$F:$F,S$1)</f>
        <v>0</v>
      </c>
      <c r="T1322" s="242">
        <f>COUNTIFS('تجربه‌گرها'!$B:$B,$A1322,'تجربه‌گرها'!$F:$F,T$1)</f>
        <v>0</v>
      </c>
      <c r="U1322" s="242"/>
      <c r="V1322" s="242"/>
      <c r="W1322" s="242"/>
      <c r="X1322" s="242"/>
      <c r="Y1322" s="242"/>
      <c r="Z1322" s="242"/>
      <c r="AA1322" s="242"/>
      <c r="AB1322" s="242"/>
    </row>
    <row r="1323" hidden="1">
      <c r="A1323" s="244" t="s">
        <v>6433</v>
      </c>
      <c r="B1323" s="245" t="str">
        <f>VLOOKUP(A1323,'تجربه‌گرها'!B:C,2,FALSE())</f>
        <v>9381241100</v>
      </c>
      <c r="C1323" s="242"/>
      <c r="D1323" s="242">
        <f t="shared" si="1"/>
        <v>1</v>
      </c>
      <c r="E1323" s="242">
        <f>COUNTIFS('تجربه‌گرها'!$B:$B,$A1323,'تجربه‌گرها'!$F:$F,E$1)</f>
        <v>0</v>
      </c>
      <c r="F1323" s="242">
        <f>COUNTIFS('تجربه‌گرها'!$B:$B,$A1323,'تجربه‌گرها'!$F:$F,F$1)</f>
        <v>0</v>
      </c>
      <c r="G1323" s="242">
        <f>COUNTIFS('تجربه‌گرها'!$B:$B,$A1323,'تجربه‌گرها'!$F:$F,G$1)</f>
        <v>0</v>
      </c>
      <c r="H1323" s="242">
        <f>COUNTIFS('تجربه‌گرها'!$B:$B,$A1323,'تجربه‌گرها'!$F:$F,H$1)</f>
        <v>0</v>
      </c>
      <c r="I1323" s="242">
        <f>COUNTIFS('تجربه‌گرها'!$B:$B,$A1323,'تجربه‌گرها'!$F:$F,I$1)</f>
        <v>0</v>
      </c>
      <c r="J1323" s="242">
        <f>COUNTIFS('تجربه‌گرها'!$B:$B,$A1323,'تجربه‌گرها'!$F:$F,J$1)</f>
        <v>0</v>
      </c>
      <c r="K1323" s="242">
        <f>COUNTIFS('تجربه‌گرها'!$B:$B,$A1323,'تجربه‌گرها'!$F:$F,K$1)</f>
        <v>0</v>
      </c>
      <c r="L1323" s="242">
        <f>COUNTIFS('تجربه‌گرها'!$B:$B,$A1323,'تجربه‌گرها'!$F:$F,L$1)</f>
        <v>0</v>
      </c>
      <c r="M1323" s="242">
        <f>COUNTIFS('تجربه‌گرها'!$B:$B,$A1323,'تجربه‌گرها'!$F:$F,M$1)</f>
        <v>0</v>
      </c>
      <c r="N1323" s="242">
        <f>COUNTIFS('تجربه‌گرها'!$B:$B,$A1323,'تجربه‌گرها'!$F:$F,N$1)</f>
        <v>0</v>
      </c>
      <c r="O1323" s="242">
        <f>COUNTIFS('تجربه‌گرها'!$B:$B,$A1323,'تجربه‌گرها'!$F:$F,O$1)</f>
        <v>0</v>
      </c>
      <c r="P1323" s="242">
        <f>COUNTIFS('تجربه‌گرها'!$B:$B,$A1323,'تجربه‌گرها'!$F:$F,P$1)</f>
        <v>1</v>
      </c>
      <c r="Q1323" s="242">
        <f>COUNTIFS('تجربه‌گرها'!$B:$B,$A1323,'تجربه‌گرها'!$F:$F,Q$1)</f>
        <v>0</v>
      </c>
      <c r="R1323" s="242">
        <f>COUNTIFS('تجربه‌گرها'!$B:$B,$A1323,'تجربه‌گرها'!$F:$F,R$1)</f>
        <v>0</v>
      </c>
      <c r="S1323" s="242">
        <f>COUNTIFS('تجربه‌گرها'!$B:$B,$A1323,'تجربه‌گرها'!$F:$F,S$1)</f>
        <v>0</v>
      </c>
      <c r="T1323" s="242">
        <f>COUNTIFS('تجربه‌گرها'!$B:$B,$A1323,'تجربه‌گرها'!$F:$F,T$1)</f>
        <v>0</v>
      </c>
      <c r="U1323" s="242"/>
      <c r="V1323" s="242"/>
      <c r="W1323" s="242"/>
      <c r="X1323" s="242"/>
      <c r="Y1323" s="242"/>
      <c r="Z1323" s="242"/>
      <c r="AA1323" s="242"/>
      <c r="AB1323" s="242"/>
    </row>
    <row r="1324" hidden="1">
      <c r="A1324" s="244" t="s">
        <v>6437</v>
      </c>
      <c r="B1324" s="245" t="str">
        <f>VLOOKUP(A1324,'تجربه‌گرها'!B:C,2,FALSE())</f>
        <v>9134030615</v>
      </c>
      <c r="C1324" s="242"/>
      <c r="D1324" s="242">
        <f t="shared" si="1"/>
        <v>1</v>
      </c>
      <c r="E1324" s="242">
        <f>COUNTIFS('تجربه‌گرها'!$B:$B,$A1324,'تجربه‌گرها'!$F:$F,E$1)</f>
        <v>0</v>
      </c>
      <c r="F1324" s="242">
        <f>COUNTIFS('تجربه‌گرها'!$B:$B,$A1324,'تجربه‌گرها'!$F:$F,F$1)</f>
        <v>0</v>
      </c>
      <c r="G1324" s="242">
        <f>COUNTIFS('تجربه‌گرها'!$B:$B,$A1324,'تجربه‌گرها'!$F:$F,G$1)</f>
        <v>0</v>
      </c>
      <c r="H1324" s="242">
        <f>COUNTIFS('تجربه‌گرها'!$B:$B,$A1324,'تجربه‌گرها'!$F:$F,H$1)</f>
        <v>0</v>
      </c>
      <c r="I1324" s="242">
        <f>COUNTIFS('تجربه‌گرها'!$B:$B,$A1324,'تجربه‌گرها'!$F:$F,I$1)</f>
        <v>0</v>
      </c>
      <c r="J1324" s="242">
        <f>COUNTIFS('تجربه‌گرها'!$B:$B,$A1324,'تجربه‌گرها'!$F:$F,J$1)</f>
        <v>0</v>
      </c>
      <c r="K1324" s="242">
        <f>COUNTIFS('تجربه‌گرها'!$B:$B,$A1324,'تجربه‌گرها'!$F:$F,K$1)</f>
        <v>0</v>
      </c>
      <c r="L1324" s="242">
        <f>COUNTIFS('تجربه‌گرها'!$B:$B,$A1324,'تجربه‌گرها'!$F:$F,L$1)</f>
        <v>0</v>
      </c>
      <c r="M1324" s="242">
        <f>COUNTIFS('تجربه‌گرها'!$B:$B,$A1324,'تجربه‌گرها'!$F:$F,M$1)</f>
        <v>0</v>
      </c>
      <c r="N1324" s="242">
        <f>COUNTIFS('تجربه‌گرها'!$B:$B,$A1324,'تجربه‌گرها'!$F:$F,N$1)</f>
        <v>0</v>
      </c>
      <c r="O1324" s="242">
        <f>COUNTIFS('تجربه‌گرها'!$B:$B,$A1324,'تجربه‌گرها'!$F:$F,O$1)</f>
        <v>0</v>
      </c>
      <c r="P1324" s="242">
        <f>COUNTIFS('تجربه‌گرها'!$B:$B,$A1324,'تجربه‌گرها'!$F:$F,P$1)</f>
        <v>1</v>
      </c>
      <c r="Q1324" s="242">
        <f>COUNTIFS('تجربه‌گرها'!$B:$B,$A1324,'تجربه‌گرها'!$F:$F,Q$1)</f>
        <v>0</v>
      </c>
      <c r="R1324" s="242">
        <f>COUNTIFS('تجربه‌گرها'!$B:$B,$A1324,'تجربه‌گرها'!$F:$F,R$1)</f>
        <v>0</v>
      </c>
      <c r="S1324" s="242">
        <f>COUNTIFS('تجربه‌گرها'!$B:$B,$A1324,'تجربه‌گرها'!$F:$F,S$1)</f>
        <v>0</v>
      </c>
      <c r="T1324" s="242">
        <f>COUNTIFS('تجربه‌گرها'!$B:$B,$A1324,'تجربه‌گرها'!$F:$F,T$1)</f>
        <v>0</v>
      </c>
      <c r="U1324" s="242"/>
      <c r="V1324" s="242"/>
      <c r="W1324" s="242"/>
      <c r="X1324" s="242"/>
      <c r="Y1324" s="242"/>
      <c r="Z1324" s="242"/>
      <c r="AA1324" s="242"/>
      <c r="AB1324" s="242"/>
    </row>
    <row r="1325" hidden="1">
      <c r="A1325" s="244" t="s">
        <v>6441</v>
      </c>
      <c r="B1325" s="245" t="str">
        <f>VLOOKUP(A1325,'تجربه‌گرها'!B:C,2,FALSE())</f>
        <v>9132706570</v>
      </c>
      <c r="C1325" s="242"/>
      <c r="D1325" s="242">
        <f t="shared" si="1"/>
        <v>1</v>
      </c>
      <c r="E1325" s="242">
        <f>COUNTIFS('تجربه‌گرها'!$B:$B,$A1325,'تجربه‌گرها'!$F:$F,E$1)</f>
        <v>0</v>
      </c>
      <c r="F1325" s="242">
        <f>COUNTIFS('تجربه‌گرها'!$B:$B,$A1325,'تجربه‌گرها'!$F:$F,F$1)</f>
        <v>0</v>
      </c>
      <c r="G1325" s="242">
        <f>COUNTIFS('تجربه‌گرها'!$B:$B,$A1325,'تجربه‌گرها'!$F:$F,G$1)</f>
        <v>0</v>
      </c>
      <c r="H1325" s="242">
        <f>COUNTIFS('تجربه‌گرها'!$B:$B,$A1325,'تجربه‌گرها'!$F:$F,H$1)</f>
        <v>0</v>
      </c>
      <c r="I1325" s="242">
        <f>COUNTIFS('تجربه‌گرها'!$B:$B,$A1325,'تجربه‌گرها'!$F:$F,I$1)</f>
        <v>0</v>
      </c>
      <c r="J1325" s="242">
        <f>COUNTIFS('تجربه‌گرها'!$B:$B,$A1325,'تجربه‌گرها'!$F:$F,J$1)</f>
        <v>0</v>
      </c>
      <c r="K1325" s="242">
        <f>COUNTIFS('تجربه‌گرها'!$B:$B,$A1325,'تجربه‌گرها'!$F:$F,K$1)</f>
        <v>0</v>
      </c>
      <c r="L1325" s="242">
        <f>COUNTIFS('تجربه‌گرها'!$B:$B,$A1325,'تجربه‌گرها'!$F:$F,L$1)</f>
        <v>0</v>
      </c>
      <c r="M1325" s="242">
        <f>COUNTIFS('تجربه‌گرها'!$B:$B,$A1325,'تجربه‌گرها'!$F:$F,M$1)</f>
        <v>0</v>
      </c>
      <c r="N1325" s="242">
        <f>COUNTIFS('تجربه‌گرها'!$B:$B,$A1325,'تجربه‌گرها'!$F:$F,N$1)</f>
        <v>0</v>
      </c>
      <c r="O1325" s="242">
        <f>COUNTIFS('تجربه‌گرها'!$B:$B,$A1325,'تجربه‌گرها'!$F:$F,O$1)</f>
        <v>0</v>
      </c>
      <c r="P1325" s="242">
        <f>COUNTIFS('تجربه‌گرها'!$B:$B,$A1325,'تجربه‌گرها'!$F:$F,P$1)</f>
        <v>1</v>
      </c>
      <c r="Q1325" s="242">
        <f>COUNTIFS('تجربه‌گرها'!$B:$B,$A1325,'تجربه‌گرها'!$F:$F,Q$1)</f>
        <v>0</v>
      </c>
      <c r="R1325" s="242">
        <f>COUNTIFS('تجربه‌گرها'!$B:$B,$A1325,'تجربه‌گرها'!$F:$F,R$1)</f>
        <v>0</v>
      </c>
      <c r="S1325" s="242">
        <f>COUNTIFS('تجربه‌گرها'!$B:$B,$A1325,'تجربه‌گرها'!$F:$F,S$1)</f>
        <v>0</v>
      </c>
      <c r="T1325" s="242">
        <f>COUNTIFS('تجربه‌گرها'!$B:$B,$A1325,'تجربه‌گرها'!$F:$F,T$1)</f>
        <v>0</v>
      </c>
      <c r="U1325" s="242"/>
      <c r="V1325" s="242"/>
      <c r="W1325" s="242"/>
      <c r="X1325" s="242"/>
      <c r="Y1325" s="242"/>
      <c r="Z1325" s="242"/>
      <c r="AA1325" s="242"/>
      <c r="AB1325" s="242"/>
    </row>
    <row r="1326" hidden="1">
      <c r="A1326" s="244" t="s">
        <v>6445</v>
      </c>
      <c r="B1326" s="245" t="str">
        <f>VLOOKUP(A1326,'تجربه‌گرها'!B:C,2,FALSE())</f>
        <v>9103003058</v>
      </c>
      <c r="C1326" s="242"/>
      <c r="D1326" s="242">
        <f t="shared" si="1"/>
        <v>1</v>
      </c>
      <c r="E1326" s="242">
        <f>COUNTIFS('تجربه‌گرها'!$B:$B,$A1326,'تجربه‌گرها'!$F:$F,E$1)</f>
        <v>0</v>
      </c>
      <c r="F1326" s="242">
        <f>COUNTIFS('تجربه‌گرها'!$B:$B,$A1326,'تجربه‌گرها'!$F:$F,F$1)</f>
        <v>0</v>
      </c>
      <c r="G1326" s="242">
        <f>COUNTIFS('تجربه‌گرها'!$B:$B,$A1326,'تجربه‌گرها'!$F:$F,G$1)</f>
        <v>0</v>
      </c>
      <c r="H1326" s="242">
        <f>COUNTIFS('تجربه‌گرها'!$B:$B,$A1326,'تجربه‌گرها'!$F:$F,H$1)</f>
        <v>0</v>
      </c>
      <c r="I1326" s="242">
        <f>COUNTIFS('تجربه‌گرها'!$B:$B,$A1326,'تجربه‌گرها'!$F:$F,I$1)</f>
        <v>0</v>
      </c>
      <c r="J1326" s="242">
        <f>COUNTIFS('تجربه‌گرها'!$B:$B,$A1326,'تجربه‌گرها'!$F:$F,J$1)</f>
        <v>0</v>
      </c>
      <c r="K1326" s="242">
        <f>COUNTIFS('تجربه‌گرها'!$B:$B,$A1326,'تجربه‌گرها'!$F:$F,K$1)</f>
        <v>0</v>
      </c>
      <c r="L1326" s="242">
        <f>COUNTIFS('تجربه‌گرها'!$B:$B,$A1326,'تجربه‌گرها'!$F:$F,L$1)</f>
        <v>0</v>
      </c>
      <c r="M1326" s="242">
        <f>COUNTIFS('تجربه‌گرها'!$B:$B,$A1326,'تجربه‌گرها'!$F:$F,M$1)</f>
        <v>0</v>
      </c>
      <c r="N1326" s="242">
        <f>COUNTIFS('تجربه‌گرها'!$B:$B,$A1326,'تجربه‌گرها'!$F:$F,N$1)</f>
        <v>0</v>
      </c>
      <c r="O1326" s="242">
        <f>COUNTIFS('تجربه‌گرها'!$B:$B,$A1326,'تجربه‌گرها'!$F:$F,O$1)</f>
        <v>0</v>
      </c>
      <c r="P1326" s="242">
        <f>COUNTIFS('تجربه‌گرها'!$B:$B,$A1326,'تجربه‌گرها'!$F:$F,P$1)</f>
        <v>1</v>
      </c>
      <c r="Q1326" s="242">
        <f>COUNTIFS('تجربه‌گرها'!$B:$B,$A1326,'تجربه‌گرها'!$F:$F,Q$1)</f>
        <v>0</v>
      </c>
      <c r="R1326" s="242">
        <f>COUNTIFS('تجربه‌گرها'!$B:$B,$A1326,'تجربه‌گرها'!$F:$F,R$1)</f>
        <v>0</v>
      </c>
      <c r="S1326" s="242">
        <f>COUNTIFS('تجربه‌گرها'!$B:$B,$A1326,'تجربه‌گرها'!$F:$F,S$1)</f>
        <v>0</v>
      </c>
      <c r="T1326" s="242">
        <f>COUNTIFS('تجربه‌گرها'!$B:$B,$A1326,'تجربه‌گرها'!$F:$F,T$1)</f>
        <v>0</v>
      </c>
      <c r="U1326" s="242"/>
      <c r="V1326" s="242"/>
      <c r="W1326" s="242"/>
      <c r="X1326" s="242"/>
      <c r="Y1326" s="242"/>
      <c r="Z1326" s="242"/>
      <c r="AA1326" s="242"/>
      <c r="AB1326" s="242"/>
    </row>
    <row r="1327" hidden="1">
      <c r="A1327" s="244" t="s">
        <v>6451</v>
      </c>
      <c r="B1327" s="245" t="str">
        <f>VLOOKUP(A1327,'تجربه‌گرها'!B:C,2,FALSE())</f>
        <v>9129681180</v>
      </c>
      <c r="C1327" s="242"/>
      <c r="D1327" s="242">
        <f t="shared" si="1"/>
        <v>1</v>
      </c>
      <c r="E1327" s="242">
        <f>COUNTIFS('تجربه‌گرها'!$B:$B,$A1327,'تجربه‌گرها'!$F:$F,E$1)</f>
        <v>0</v>
      </c>
      <c r="F1327" s="242">
        <f>COUNTIFS('تجربه‌گرها'!$B:$B,$A1327,'تجربه‌گرها'!$F:$F,F$1)</f>
        <v>0</v>
      </c>
      <c r="G1327" s="242">
        <f>COUNTIFS('تجربه‌گرها'!$B:$B,$A1327,'تجربه‌گرها'!$F:$F,G$1)</f>
        <v>0</v>
      </c>
      <c r="H1327" s="242">
        <f>COUNTIFS('تجربه‌گرها'!$B:$B,$A1327,'تجربه‌گرها'!$F:$F,H$1)</f>
        <v>0</v>
      </c>
      <c r="I1327" s="242">
        <f>COUNTIFS('تجربه‌گرها'!$B:$B,$A1327,'تجربه‌گرها'!$F:$F,I$1)</f>
        <v>0</v>
      </c>
      <c r="J1327" s="242">
        <f>COUNTIFS('تجربه‌گرها'!$B:$B,$A1327,'تجربه‌گرها'!$F:$F,J$1)</f>
        <v>0</v>
      </c>
      <c r="K1327" s="242">
        <f>COUNTIFS('تجربه‌گرها'!$B:$B,$A1327,'تجربه‌گرها'!$F:$F,K$1)</f>
        <v>0</v>
      </c>
      <c r="L1327" s="242">
        <f>COUNTIFS('تجربه‌گرها'!$B:$B,$A1327,'تجربه‌گرها'!$F:$F,L$1)</f>
        <v>0</v>
      </c>
      <c r="M1327" s="242">
        <f>COUNTIFS('تجربه‌گرها'!$B:$B,$A1327,'تجربه‌گرها'!$F:$F,M$1)</f>
        <v>0</v>
      </c>
      <c r="N1327" s="242">
        <f>COUNTIFS('تجربه‌گرها'!$B:$B,$A1327,'تجربه‌گرها'!$F:$F,N$1)</f>
        <v>0</v>
      </c>
      <c r="O1327" s="242">
        <f>COUNTIFS('تجربه‌گرها'!$B:$B,$A1327,'تجربه‌گرها'!$F:$F,O$1)</f>
        <v>0</v>
      </c>
      <c r="P1327" s="242">
        <f>COUNTIFS('تجربه‌گرها'!$B:$B,$A1327,'تجربه‌گرها'!$F:$F,P$1)</f>
        <v>1</v>
      </c>
      <c r="Q1327" s="242">
        <f>COUNTIFS('تجربه‌گرها'!$B:$B,$A1327,'تجربه‌گرها'!$F:$F,Q$1)</f>
        <v>0</v>
      </c>
      <c r="R1327" s="242">
        <f>COUNTIFS('تجربه‌گرها'!$B:$B,$A1327,'تجربه‌گرها'!$F:$F,R$1)</f>
        <v>0</v>
      </c>
      <c r="S1327" s="242">
        <f>COUNTIFS('تجربه‌گرها'!$B:$B,$A1327,'تجربه‌گرها'!$F:$F,S$1)</f>
        <v>0</v>
      </c>
      <c r="T1327" s="242">
        <f>COUNTIFS('تجربه‌گرها'!$B:$B,$A1327,'تجربه‌گرها'!$F:$F,T$1)</f>
        <v>0</v>
      </c>
      <c r="U1327" s="242"/>
      <c r="V1327" s="242"/>
      <c r="W1327" s="242"/>
      <c r="X1327" s="242"/>
      <c r="Y1327" s="242"/>
      <c r="Z1327" s="242"/>
      <c r="AA1327" s="242"/>
      <c r="AB1327" s="242"/>
    </row>
    <row r="1328" hidden="1">
      <c r="A1328" s="244" t="s">
        <v>6455</v>
      </c>
      <c r="B1328" s="245" t="str">
        <f>VLOOKUP(A1328,'تجربه‌گرها'!B:C,2,FALSE())</f>
        <v>۰۹۱۲۷۰۲۱۳۷۱</v>
      </c>
      <c r="C1328" s="242"/>
      <c r="D1328" s="242">
        <f t="shared" si="1"/>
        <v>1</v>
      </c>
      <c r="E1328" s="242">
        <f>COUNTIFS('تجربه‌گرها'!$B:$B,$A1328,'تجربه‌گرها'!$F:$F,E$1)</f>
        <v>0</v>
      </c>
      <c r="F1328" s="242">
        <f>COUNTIFS('تجربه‌گرها'!$B:$B,$A1328,'تجربه‌گرها'!$F:$F,F$1)</f>
        <v>0</v>
      </c>
      <c r="G1328" s="242">
        <f>COUNTIFS('تجربه‌گرها'!$B:$B,$A1328,'تجربه‌گرها'!$F:$F,G$1)</f>
        <v>0</v>
      </c>
      <c r="H1328" s="242">
        <f>COUNTIFS('تجربه‌گرها'!$B:$B,$A1328,'تجربه‌گرها'!$F:$F,H$1)</f>
        <v>0</v>
      </c>
      <c r="I1328" s="242">
        <f>COUNTIFS('تجربه‌گرها'!$B:$B,$A1328,'تجربه‌گرها'!$F:$F,I$1)</f>
        <v>0</v>
      </c>
      <c r="J1328" s="242">
        <f>COUNTIFS('تجربه‌گرها'!$B:$B,$A1328,'تجربه‌گرها'!$F:$F,J$1)</f>
        <v>0</v>
      </c>
      <c r="K1328" s="242">
        <f>COUNTIFS('تجربه‌گرها'!$B:$B,$A1328,'تجربه‌گرها'!$F:$F,K$1)</f>
        <v>0</v>
      </c>
      <c r="L1328" s="242">
        <f>COUNTIFS('تجربه‌گرها'!$B:$B,$A1328,'تجربه‌گرها'!$F:$F,L$1)</f>
        <v>0</v>
      </c>
      <c r="M1328" s="242">
        <f>COUNTIFS('تجربه‌گرها'!$B:$B,$A1328,'تجربه‌گرها'!$F:$F,M$1)</f>
        <v>0</v>
      </c>
      <c r="N1328" s="242">
        <f>COUNTIFS('تجربه‌گرها'!$B:$B,$A1328,'تجربه‌گرها'!$F:$F,N$1)</f>
        <v>0</v>
      </c>
      <c r="O1328" s="242">
        <f>COUNTIFS('تجربه‌گرها'!$B:$B,$A1328,'تجربه‌گرها'!$F:$F,O$1)</f>
        <v>0</v>
      </c>
      <c r="P1328" s="242">
        <f>COUNTIFS('تجربه‌گرها'!$B:$B,$A1328,'تجربه‌گرها'!$F:$F,P$1)</f>
        <v>1</v>
      </c>
      <c r="Q1328" s="242">
        <f>COUNTIFS('تجربه‌گرها'!$B:$B,$A1328,'تجربه‌گرها'!$F:$F,Q$1)</f>
        <v>0</v>
      </c>
      <c r="R1328" s="242">
        <f>COUNTIFS('تجربه‌گرها'!$B:$B,$A1328,'تجربه‌گرها'!$F:$F,R$1)</f>
        <v>0</v>
      </c>
      <c r="S1328" s="242">
        <f>COUNTIFS('تجربه‌گرها'!$B:$B,$A1328,'تجربه‌گرها'!$F:$F,S$1)</f>
        <v>0</v>
      </c>
      <c r="T1328" s="242">
        <f>COUNTIFS('تجربه‌گرها'!$B:$B,$A1328,'تجربه‌گرها'!$F:$F,T$1)</f>
        <v>0</v>
      </c>
      <c r="U1328" s="242"/>
      <c r="V1328" s="242"/>
      <c r="W1328" s="242"/>
      <c r="X1328" s="242"/>
      <c r="Y1328" s="242"/>
      <c r="Z1328" s="242"/>
      <c r="AA1328" s="242"/>
      <c r="AB1328" s="242"/>
    </row>
    <row r="1329" hidden="1">
      <c r="A1329" s="244" t="s">
        <v>117</v>
      </c>
      <c r="B1329" s="245" t="str">
        <f>VLOOKUP(A1329,'تجربه‌گرها'!B:C,2,FALSE())</f>
        <v>۰۹۱۵۵۰۱۷۸۴۸</v>
      </c>
      <c r="C1329" s="242"/>
      <c r="D1329" s="242">
        <f t="shared" si="1"/>
        <v>1</v>
      </c>
      <c r="E1329" s="242">
        <f>COUNTIFS('تجربه‌گرها'!$B:$B,$A1329,'تجربه‌گرها'!$F:$F,E$1)</f>
        <v>0</v>
      </c>
      <c r="F1329" s="242">
        <f>COUNTIFS('تجربه‌گرها'!$B:$B,$A1329,'تجربه‌گرها'!$F:$F,F$1)</f>
        <v>0</v>
      </c>
      <c r="G1329" s="242">
        <f>COUNTIFS('تجربه‌گرها'!$B:$B,$A1329,'تجربه‌گرها'!$F:$F,G$1)</f>
        <v>0</v>
      </c>
      <c r="H1329" s="242">
        <f>COUNTIFS('تجربه‌گرها'!$B:$B,$A1329,'تجربه‌گرها'!$F:$F,H$1)</f>
        <v>0</v>
      </c>
      <c r="I1329" s="242">
        <f>COUNTIFS('تجربه‌گرها'!$B:$B,$A1329,'تجربه‌گرها'!$F:$F,I$1)</f>
        <v>0</v>
      </c>
      <c r="J1329" s="242">
        <f>COUNTIFS('تجربه‌گرها'!$B:$B,$A1329,'تجربه‌گرها'!$F:$F,J$1)</f>
        <v>0</v>
      </c>
      <c r="K1329" s="242">
        <f>COUNTIFS('تجربه‌گرها'!$B:$B,$A1329,'تجربه‌گرها'!$F:$F,K$1)</f>
        <v>0</v>
      </c>
      <c r="L1329" s="242">
        <f>COUNTIFS('تجربه‌گرها'!$B:$B,$A1329,'تجربه‌گرها'!$F:$F,L$1)</f>
        <v>0</v>
      </c>
      <c r="M1329" s="242">
        <f>COUNTIFS('تجربه‌گرها'!$B:$B,$A1329,'تجربه‌گرها'!$F:$F,M$1)</f>
        <v>0</v>
      </c>
      <c r="N1329" s="242">
        <f>COUNTIFS('تجربه‌گرها'!$B:$B,$A1329,'تجربه‌گرها'!$F:$F,N$1)</f>
        <v>0</v>
      </c>
      <c r="O1329" s="242">
        <f>COUNTIFS('تجربه‌گرها'!$B:$B,$A1329,'تجربه‌گرها'!$F:$F,O$1)</f>
        <v>0</v>
      </c>
      <c r="P1329" s="242">
        <f>COUNTIFS('تجربه‌گرها'!$B:$B,$A1329,'تجربه‌گرها'!$F:$F,P$1)</f>
        <v>1</v>
      </c>
      <c r="Q1329" s="242">
        <f>COUNTIFS('تجربه‌گرها'!$B:$B,$A1329,'تجربه‌گرها'!$F:$F,Q$1)</f>
        <v>0</v>
      </c>
      <c r="R1329" s="242">
        <f>COUNTIFS('تجربه‌گرها'!$B:$B,$A1329,'تجربه‌گرها'!$F:$F,R$1)</f>
        <v>0</v>
      </c>
      <c r="S1329" s="242">
        <f>COUNTIFS('تجربه‌گرها'!$B:$B,$A1329,'تجربه‌گرها'!$F:$F,S$1)</f>
        <v>0</v>
      </c>
      <c r="T1329" s="242">
        <f>COUNTIFS('تجربه‌گرها'!$B:$B,$A1329,'تجربه‌گرها'!$F:$F,T$1)</f>
        <v>0</v>
      </c>
      <c r="U1329" s="242"/>
      <c r="V1329" s="242"/>
      <c r="W1329" s="242"/>
      <c r="X1329" s="242"/>
      <c r="Y1329" s="242"/>
      <c r="Z1329" s="242"/>
      <c r="AA1329" s="242"/>
      <c r="AB1329" s="242"/>
    </row>
    <row r="1330" hidden="1">
      <c r="A1330" s="244" t="s">
        <v>6461</v>
      </c>
      <c r="B1330" s="245" t="str">
        <f>VLOOKUP(A1330,'تجربه‌گرها'!B:C,2,FALSE())</f>
        <v>۰۹۱۵۵۵۸۵۵۲۵</v>
      </c>
      <c r="C1330" s="242"/>
      <c r="D1330" s="242">
        <f t="shared" si="1"/>
        <v>1</v>
      </c>
      <c r="E1330" s="242">
        <f>COUNTIFS('تجربه‌گرها'!$B:$B,$A1330,'تجربه‌گرها'!$F:$F,E$1)</f>
        <v>0</v>
      </c>
      <c r="F1330" s="242">
        <f>COUNTIFS('تجربه‌گرها'!$B:$B,$A1330,'تجربه‌گرها'!$F:$F,F$1)</f>
        <v>0</v>
      </c>
      <c r="G1330" s="242">
        <f>COUNTIFS('تجربه‌گرها'!$B:$B,$A1330,'تجربه‌گرها'!$F:$F,G$1)</f>
        <v>0</v>
      </c>
      <c r="H1330" s="242">
        <f>COUNTIFS('تجربه‌گرها'!$B:$B,$A1330,'تجربه‌گرها'!$F:$F,H$1)</f>
        <v>0</v>
      </c>
      <c r="I1330" s="242">
        <f>COUNTIFS('تجربه‌گرها'!$B:$B,$A1330,'تجربه‌گرها'!$F:$F,I$1)</f>
        <v>0</v>
      </c>
      <c r="J1330" s="242">
        <f>COUNTIFS('تجربه‌گرها'!$B:$B,$A1330,'تجربه‌گرها'!$F:$F,J$1)</f>
        <v>0</v>
      </c>
      <c r="K1330" s="242">
        <f>COUNTIFS('تجربه‌گرها'!$B:$B,$A1330,'تجربه‌گرها'!$F:$F,K$1)</f>
        <v>0</v>
      </c>
      <c r="L1330" s="242">
        <f>COUNTIFS('تجربه‌گرها'!$B:$B,$A1330,'تجربه‌گرها'!$F:$F,L$1)</f>
        <v>0</v>
      </c>
      <c r="M1330" s="242">
        <f>COUNTIFS('تجربه‌گرها'!$B:$B,$A1330,'تجربه‌گرها'!$F:$F,M$1)</f>
        <v>0</v>
      </c>
      <c r="N1330" s="242">
        <f>COUNTIFS('تجربه‌گرها'!$B:$B,$A1330,'تجربه‌گرها'!$F:$F,N$1)</f>
        <v>0</v>
      </c>
      <c r="O1330" s="242">
        <f>COUNTIFS('تجربه‌گرها'!$B:$B,$A1330,'تجربه‌گرها'!$F:$F,O$1)</f>
        <v>0</v>
      </c>
      <c r="P1330" s="242">
        <f>COUNTIFS('تجربه‌گرها'!$B:$B,$A1330,'تجربه‌گرها'!$F:$F,P$1)</f>
        <v>1</v>
      </c>
      <c r="Q1330" s="242">
        <f>COUNTIFS('تجربه‌گرها'!$B:$B,$A1330,'تجربه‌گرها'!$F:$F,Q$1)</f>
        <v>0</v>
      </c>
      <c r="R1330" s="242">
        <f>COUNTIFS('تجربه‌گرها'!$B:$B,$A1330,'تجربه‌گرها'!$F:$F,R$1)</f>
        <v>0</v>
      </c>
      <c r="S1330" s="242">
        <f>COUNTIFS('تجربه‌گرها'!$B:$B,$A1330,'تجربه‌گرها'!$F:$F,S$1)</f>
        <v>0</v>
      </c>
      <c r="T1330" s="242">
        <f>COUNTIFS('تجربه‌گرها'!$B:$B,$A1330,'تجربه‌گرها'!$F:$F,T$1)</f>
        <v>0</v>
      </c>
      <c r="U1330" s="242"/>
      <c r="V1330" s="242"/>
      <c r="W1330" s="242"/>
      <c r="X1330" s="242"/>
      <c r="Y1330" s="242"/>
      <c r="Z1330" s="242"/>
      <c r="AA1330" s="242"/>
      <c r="AB1330" s="242"/>
    </row>
    <row r="1331" hidden="1">
      <c r="A1331" s="244" t="s">
        <v>6465</v>
      </c>
      <c r="B1331" s="245" t="str">
        <f>VLOOKUP(A1331,'تجربه‌گرها'!B:C,2,FALSE())</f>
        <v>۰۹۱۲۳۷۹۸۸۲۹</v>
      </c>
      <c r="C1331" s="242"/>
      <c r="D1331" s="242">
        <f t="shared" si="1"/>
        <v>1</v>
      </c>
      <c r="E1331" s="242">
        <f>COUNTIFS('تجربه‌گرها'!$B:$B,$A1331,'تجربه‌گرها'!$F:$F,E$1)</f>
        <v>0</v>
      </c>
      <c r="F1331" s="242">
        <f>COUNTIFS('تجربه‌گرها'!$B:$B,$A1331,'تجربه‌گرها'!$F:$F,F$1)</f>
        <v>0</v>
      </c>
      <c r="G1331" s="242">
        <f>COUNTIFS('تجربه‌گرها'!$B:$B,$A1331,'تجربه‌گرها'!$F:$F,G$1)</f>
        <v>0</v>
      </c>
      <c r="H1331" s="242">
        <f>COUNTIFS('تجربه‌گرها'!$B:$B,$A1331,'تجربه‌گرها'!$F:$F,H$1)</f>
        <v>0</v>
      </c>
      <c r="I1331" s="242">
        <f>COUNTIFS('تجربه‌گرها'!$B:$B,$A1331,'تجربه‌گرها'!$F:$F,I$1)</f>
        <v>0</v>
      </c>
      <c r="J1331" s="242">
        <f>COUNTIFS('تجربه‌گرها'!$B:$B,$A1331,'تجربه‌گرها'!$F:$F,J$1)</f>
        <v>0</v>
      </c>
      <c r="K1331" s="242">
        <f>COUNTIFS('تجربه‌گرها'!$B:$B,$A1331,'تجربه‌گرها'!$F:$F,K$1)</f>
        <v>0</v>
      </c>
      <c r="L1331" s="242">
        <f>COUNTIFS('تجربه‌گرها'!$B:$B,$A1331,'تجربه‌گرها'!$F:$F,L$1)</f>
        <v>0</v>
      </c>
      <c r="M1331" s="242">
        <f>COUNTIFS('تجربه‌گرها'!$B:$B,$A1331,'تجربه‌گرها'!$F:$F,M$1)</f>
        <v>0</v>
      </c>
      <c r="N1331" s="242">
        <f>COUNTIFS('تجربه‌گرها'!$B:$B,$A1331,'تجربه‌گرها'!$F:$F,N$1)</f>
        <v>0</v>
      </c>
      <c r="O1331" s="242">
        <f>COUNTIFS('تجربه‌گرها'!$B:$B,$A1331,'تجربه‌گرها'!$F:$F,O$1)</f>
        <v>0</v>
      </c>
      <c r="P1331" s="242">
        <f>COUNTIFS('تجربه‌گرها'!$B:$B,$A1331,'تجربه‌گرها'!$F:$F,P$1)</f>
        <v>1</v>
      </c>
      <c r="Q1331" s="242">
        <f>COUNTIFS('تجربه‌گرها'!$B:$B,$A1331,'تجربه‌گرها'!$F:$F,Q$1)</f>
        <v>0</v>
      </c>
      <c r="R1331" s="242">
        <f>COUNTIFS('تجربه‌گرها'!$B:$B,$A1331,'تجربه‌گرها'!$F:$F,R$1)</f>
        <v>0</v>
      </c>
      <c r="S1331" s="242">
        <f>COUNTIFS('تجربه‌گرها'!$B:$B,$A1331,'تجربه‌گرها'!$F:$F,S$1)</f>
        <v>0</v>
      </c>
      <c r="T1331" s="242">
        <f>COUNTIFS('تجربه‌گرها'!$B:$B,$A1331,'تجربه‌گرها'!$F:$F,T$1)</f>
        <v>0</v>
      </c>
      <c r="U1331" s="242"/>
      <c r="V1331" s="242"/>
      <c r="W1331" s="242"/>
      <c r="X1331" s="242"/>
      <c r="Y1331" s="242"/>
      <c r="Z1331" s="242"/>
      <c r="AA1331" s="242"/>
      <c r="AB1331" s="242"/>
    </row>
    <row r="1332" hidden="1">
      <c r="A1332" s="244" t="s">
        <v>6470</v>
      </c>
      <c r="B1332" s="245" t="str">
        <f>VLOOKUP(A1332,'تجربه‌گرها'!B:C,2,FALSE())</f>
        <v>۰۹۱۲۳۷۹۸۸۲۹</v>
      </c>
      <c r="C1332" s="242"/>
      <c r="D1332" s="242">
        <f t="shared" si="1"/>
        <v>1</v>
      </c>
      <c r="E1332" s="242">
        <f>COUNTIFS('تجربه‌گرها'!$B:$B,$A1332,'تجربه‌گرها'!$F:$F,E$1)</f>
        <v>0</v>
      </c>
      <c r="F1332" s="242">
        <f>COUNTIFS('تجربه‌گرها'!$B:$B,$A1332,'تجربه‌گرها'!$F:$F,F$1)</f>
        <v>0</v>
      </c>
      <c r="G1332" s="242">
        <f>COUNTIFS('تجربه‌گرها'!$B:$B,$A1332,'تجربه‌گرها'!$F:$F,G$1)</f>
        <v>0</v>
      </c>
      <c r="H1332" s="242">
        <f>COUNTIFS('تجربه‌گرها'!$B:$B,$A1332,'تجربه‌گرها'!$F:$F,H$1)</f>
        <v>0</v>
      </c>
      <c r="I1332" s="242">
        <f>COUNTIFS('تجربه‌گرها'!$B:$B,$A1332,'تجربه‌گرها'!$F:$F,I$1)</f>
        <v>0</v>
      </c>
      <c r="J1332" s="242">
        <f>COUNTIFS('تجربه‌گرها'!$B:$B,$A1332,'تجربه‌گرها'!$F:$F,J$1)</f>
        <v>0</v>
      </c>
      <c r="K1332" s="242">
        <f>COUNTIFS('تجربه‌گرها'!$B:$B,$A1332,'تجربه‌گرها'!$F:$F,K$1)</f>
        <v>0</v>
      </c>
      <c r="L1332" s="242">
        <f>COUNTIFS('تجربه‌گرها'!$B:$B,$A1332,'تجربه‌گرها'!$F:$F,L$1)</f>
        <v>0</v>
      </c>
      <c r="M1332" s="242">
        <f>COUNTIFS('تجربه‌گرها'!$B:$B,$A1332,'تجربه‌گرها'!$F:$F,M$1)</f>
        <v>0</v>
      </c>
      <c r="N1332" s="242">
        <f>COUNTIFS('تجربه‌گرها'!$B:$B,$A1332,'تجربه‌گرها'!$F:$F,N$1)</f>
        <v>0</v>
      </c>
      <c r="O1332" s="242">
        <f>COUNTIFS('تجربه‌گرها'!$B:$B,$A1332,'تجربه‌گرها'!$F:$F,O$1)</f>
        <v>0</v>
      </c>
      <c r="P1332" s="242">
        <f>COUNTIFS('تجربه‌گرها'!$B:$B,$A1332,'تجربه‌گرها'!$F:$F,P$1)</f>
        <v>1</v>
      </c>
      <c r="Q1332" s="242">
        <f>COUNTIFS('تجربه‌گرها'!$B:$B,$A1332,'تجربه‌گرها'!$F:$F,Q$1)</f>
        <v>0</v>
      </c>
      <c r="R1332" s="242">
        <f>COUNTIFS('تجربه‌گرها'!$B:$B,$A1332,'تجربه‌گرها'!$F:$F,R$1)</f>
        <v>0</v>
      </c>
      <c r="S1332" s="242">
        <f>COUNTIFS('تجربه‌گرها'!$B:$B,$A1332,'تجربه‌گرها'!$F:$F,S$1)</f>
        <v>0</v>
      </c>
      <c r="T1332" s="242">
        <f>COUNTIFS('تجربه‌گرها'!$B:$B,$A1332,'تجربه‌گرها'!$F:$F,T$1)</f>
        <v>0</v>
      </c>
      <c r="U1332" s="242"/>
      <c r="V1332" s="242"/>
      <c r="W1332" s="242"/>
      <c r="X1332" s="242"/>
      <c r="Y1332" s="242"/>
      <c r="Z1332" s="242"/>
      <c r="AA1332" s="242"/>
      <c r="AB1332" s="242"/>
    </row>
    <row r="1333" hidden="1">
      <c r="A1333" s="244" t="s">
        <v>6472</v>
      </c>
      <c r="B1333" s="245" t="str">
        <f>VLOOKUP(A1333,'تجربه‌گرها'!B:C,2,FALSE())</f>
        <v>۰۹۱۹۰۲۸۰۱۱۸</v>
      </c>
      <c r="C1333" s="242"/>
      <c r="D1333" s="242">
        <f t="shared" si="1"/>
        <v>1</v>
      </c>
      <c r="E1333" s="242">
        <f>COUNTIFS('تجربه‌گرها'!$B:$B,$A1333,'تجربه‌گرها'!$F:$F,E$1)</f>
        <v>0</v>
      </c>
      <c r="F1333" s="242">
        <f>COUNTIFS('تجربه‌گرها'!$B:$B,$A1333,'تجربه‌گرها'!$F:$F,F$1)</f>
        <v>0</v>
      </c>
      <c r="G1333" s="242">
        <f>COUNTIFS('تجربه‌گرها'!$B:$B,$A1333,'تجربه‌گرها'!$F:$F,G$1)</f>
        <v>0</v>
      </c>
      <c r="H1333" s="242">
        <f>COUNTIFS('تجربه‌گرها'!$B:$B,$A1333,'تجربه‌گرها'!$F:$F,H$1)</f>
        <v>0</v>
      </c>
      <c r="I1333" s="242">
        <f>COUNTIFS('تجربه‌گرها'!$B:$B,$A1333,'تجربه‌گرها'!$F:$F,I$1)</f>
        <v>0</v>
      </c>
      <c r="J1333" s="242">
        <f>COUNTIFS('تجربه‌گرها'!$B:$B,$A1333,'تجربه‌گرها'!$F:$F,J$1)</f>
        <v>0</v>
      </c>
      <c r="K1333" s="242">
        <f>COUNTIFS('تجربه‌گرها'!$B:$B,$A1333,'تجربه‌گرها'!$F:$F,K$1)</f>
        <v>0</v>
      </c>
      <c r="L1333" s="242">
        <f>COUNTIFS('تجربه‌گرها'!$B:$B,$A1333,'تجربه‌گرها'!$F:$F,L$1)</f>
        <v>0</v>
      </c>
      <c r="M1333" s="242">
        <f>COUNTIFS('تجربه‌گرها'!$B:$B,$A1333,'تجربه‌گرها'!$F:$F,M$1)</f>
        <v>0</v>
      </c>
      <c r="N1333" s="242">
        <f>COUNTIFS('تجربه‌گرها'!$B:$B,$A1333,'تجربه‌گرها'!$F:$F,N$1)</f>
        <v>0</v>
      </c>
      <c r="O1333" s="242">
        <f>COUNTIFS('تجربه‌گرها'!$B:$B,$A1333,'تجربه‌گرها'!$F:$F,O$1)</f>
        <v>0</v>
      </c>
      <c r="P1333" s="242">
        <f>COUNTIFS('تجربه‌گرها'!$B:$B,$A1333,'تجربه‌گرها'!$F:$F,P$1)</f>
        <v>1</v>
      </c>
      <c r="Q1333" s="242">
        <f>COUNTIFS('تجربه‌گرها'!$B:$B,$A1333,'تجربه‌گرها'!$F:$F,Q$1)</f>
        <v>0</v>
      </c>
      <c r="R1333" s="242">
        <f>COUNTIFS('تجربه‌گرها'!$B:$B,$A1333,'تجربه‌گرها'!$F:$F,R$1)</f>
        <v>0</v>
      </c>
      <c r="S1333" s="242">
        <f>COUNTIFS('تجربه‌گرها'!$B:$B,$A1333,'تجربه‌گرها'!$F:$F,S$1)</f>
        <v>0</v>
      </c>
      <c r="T1333" s="242">
        <f>COUNTIFS('تجربه‌گرها'!$B:$B,$A1333,'تجربه‌گرها'!$F:$F,T$1)</f>
        <v>0</v>
      </c>
      <c r="U1333" s="242"/>
      <c r="V1333" s="242"/>
      <c r="W1333" s="242"/>
      <c r="X1333" s="242"/>
      <c r="Y1333" s="242"/>
      <c r="Z1333" s="242"/>
      <c r="AA1333" s="242"/>
      <c r="AB1333" s="242"/>
    </row>
    <row r="1334" hidden="1">
      <c r="A1334" s="244" t="s">
        <v>6475</v>
      </c>
      <c r="B1334" s="245" t="str">
        <f>VLOOKUP(A1334,'تجربه‌گرها'!B:C,2,FALSE())</f>
        <v>۰۹۱۲۹۳۱۳۴۴۰</v>
      </c>
      <c r="C1334" s="242"/>
      <c r="D1334" s="242">
        <f t="shared" si="1"/>
        <v>1</v>
      </c>
      <c r="E1334" s="242">
        <f>COUNTIFS('تجربه‌گرها'!$B:$B,$A1334,'تجربه‌گرها'!$F:$F,E$1)</f>
        <v>0</v>
      </c>
      <c r="F1334" s="242">
        <f>COUNTIFS('تجربه‌گرها'!$B:$B,$A1334,'تجربه‌گرها'!$F:$F,F$1)</f>
        <v>0</v>
      </c>
      <c r="G1334" s="242">
        <f>COUNTIFS('تجربه‌گرها'!$B:$B,$A1334,'تجربه‌گرها'!$F:$F,G$1)</f>
        <v>0</v>
      </c>
      <c r="H1334" s="242">
        <f>COUNTIFS('تجربه‌گرها'!$B:$B,$A1334,'تجربه‌گرها'!$F:$F,H$1)</f>
        <v>0</v>
      </c>
      <c r="I1334" s="242">
        <f>COUNTIFS('تجربه‌گرها'!$B:$B,$A1334,'تجربه‌گرها'!$F:$F,I$1)</f>
        <v>0</v>
      </c>
      <c r="J1334" s="242">
        <f>COUNTIFS('تجربه‌گرها'!$B:$B,$A1334,'تجربه‌گرها'!$F:$F,J$1)</f>
        <v>0</v>
      </c>
      <c r="K1334" s="242">
        <f>COUNTIFS('تجربه‌گرها'!$B:$B,$A1334,'تجربه‌گرها'!$F:$F,K$1)</f>
        <v>0</v>
      </c>
      <c r="L1334" s="242">
        <f>COUNTIFS('تجربه‌گرها'!$B:$B,$A1334,'تجربه‌گرها'!$F:$F,L$1)</f>
        <v>0</v>
      </c>
      <c r="M1334" s="242">
        <f>COUNTIFS('تجربه‌گرها'!$B:$B,$A1334,'تجربه‌گرها'!$F:$F,M$1)</f>
        <v>0</v>
      </c>
      <c r="N1334" s="242">
        <f>COUNTIFS('تجربه‌گرها'!$B:$B,$A1334,'تجربه‌گرها'!$F:$F,N$1)</f>
        <v>0</v>
      </c>
      <c r="O1334" s="242">
        <f>COUNTIFS('تجربه‌گرها'!$B:$B,$A1334,'تجربه‌گرها'!$F:$F,O$1)</f>
        <v>0</v>
      </c>
      <c r="P1334" s="242">
        <f>COUNTIFS('تجربه‌گرها'!$B:$B,$A1334,'تجربه‌گرها'!$F:$F,P$1)</f>
        <v>1</v>
      </c>
      <c r="Q1334" s="242">
        <f>COUNTIFS('تجربه‌گرها'!$B:$B,$A1334,'تجربه‌گرها'!$F:$F,Q$1)</f>
        <v>0</v>
      </c>
      <c r="R1334" s="242">
        <f>COUNTIFS('تجربه‌گرها'!$B:$B,$A1334,'تجربه‌گرها'!$F:$F,R$1)</f>
        <v>0</v>
      </c>
      <c r="S1334" s="242">
        <f>COUNTIFS('تجربه‌گرها'!$B:$B,$A1334,'تجربه‌گرها'!$F:$F,S$1)</f>
        <v>0</v>
      </c>
      <c r="T1334" s="242">
        <f>COUNTIFS('تجربه‌گرها'!$B:$B,$A1334,'تجربه‌گرها'!$F:$F,T$1)</f>
        <v>0</v>
      </c>
      <c r="U1334" s="242"/>
      <c r="V1334" s="242"/>
      <c r="W1334" s="242"/>
      <c r="X1334" s="242"/>
      <c r="Y1334" s="242"/>
      <c r="Z1334" s="242"/>
      <c r="AA1334" s="242"/>
      <c r="AB1334" s="242"/>
    </row>
    <row r="1335" hidden="1">
      <c r="A1335" s="244" t="s">
        <v>6478</v>
      </c>
      <c r="B1335" s="245" t="str">
        <f>VLOOKUP(A1335,'تجربه‌گرها'!B:C,2,FALSE())</f>
        <v>۰۹۳۳۴۴۰۶۱۶۲</v>
      </c>
      <c r="C1335" s="242"/>
      <c r="D1335" s="242">
        <f t="shared" si="1"/>
        <v>1</v>
      </c>
      <c r="E1335" s="242">
        <f>COUNTIFS('تجربه‌گرها'!$B:$B,$A1335,'تجربه‌گرها'!$F:$F,E$1)</f>
        <v>0</v>
      </c>
      <c r="F1335" s="242">
        <f>COUNTIFS('تجربه‌گرها'!$B:$B,$A1335,'تجربه‌گرها'!$F:$F,F$1)</f>
        <v>0</v>
      </c>
      <c r="G1335" s="242">
        <f>COUNTIFS('تجربه‌گرها'!$B:$B,$A1335,'تجربه‌گرها'!$F:$F,G$1)</f>
        <v>0</v>
      </c>
      <c r="H1335" s="242">
        <f>COUNTIFS('تجربه‌گرها'!$B:$B,$A1335,'تجربه‌گرها'!$F:$F,H$1)</f>
        <v>0</v>
      </c>
      <c r="I1335" s="242">
        <f>COUNTIFS('تجربه‌گرها'!$B:$B,$A1335,'تجربه‌گرها'!$F:$F,I$1)</f>
        <v>0</v>
      </c>
      <c r="J1335" s="242">
        <f>COUNTIFS('تجربه‌گرها'!$B:$B,$A1335,'تجربه‌گرها'!$F:$F,J$1)</f>
        <v>0</v>
      </c>
      <c r="K1335" s="242">
        <f>COUNTIFS('تجربه‌گرها'!$B:$B,$A1335,'تجربه‌گرها'!$F:$F,K$1)</f>
        <v>0</v>
      </c>
      <c r="L1335" s="242">
        <f>COUNTIFS('تجربه‌گرها'!$B:$B,$A1335,'تجربه‌گرها'!$F:$F,L$1)</f>
        <v>0</v>
      </c>
      <c r="M1335" s="242">
        <f>COUNTIFS('تجربه‌گرها'!$B:$B,$A1335,'تجربه‌گرها'!$F:$F,M$1)</f>
        <v>0</v>
      </c>
      <c r="N1335" s="242">
        <f>COUNTIFS('تجربه‌گرها'!$B:$B,$A1335,'تجربه‌گرها'!$F:$F,N$1)</f>
        <v>0</v>
      </c>
      <c r="O1335" s="242">
        <f>COUNTIFS('تجربه‌گرها'!$B:$B,$A1335,'تجربه‌گرها'!$F:$F,O$1)</f>
        <v>0</v>
      </c>
      <c r="P1335" s="242">
        <f>COUNTIFS('تجربه‌گرها'!$B:$B,$A1335,'تجربه‌گرها'!$F:$F,P$1)</f>
        <v>1</v>
      </c>
      <c r="Q1335" s="242">
        <f>COUNTIFS('تجربه‌گرها'!$B:$B,$A1335,'تجربه‌گرها'!$F:$F,Q$1)</f>
        <v>0</v>
      </c>
      <c r="R1335" s="242">
        <f>COUNTIFS('تجربه‌گرها'!$B:$B,$A1335,'تجربه‌گرها'!$F:$F,R$1)</f>
        <v>0</v>
      </c>
      <c r="S1335" s="242">
        <f>COUNTIFS('تجربه‌گرها'!$B:$B,$A1335,'تجربه‌گرها'!$F:$F,S$1)</f>
        <v>0</v>
      </c>
      <c r="T1335" s="242">
        <f>COUNTIFS('تجربه‌گرها'!$B:$B,$A1335,'تجربه‌گرها'!$F:$F,T$1)</f>
        <v>0</v>
      </c>
      <c r="U1335" s="242"/>
      <c r="V1335" s="242"/>
      <c r="W1335" s="242"/>
      <c r="X1335" s="242"/>
      <c r="Y1335" s="242"/>
      <c r="Z1335" s="242"/>
      <c r="AA1335" s="242"/>
      <c r="AB1335" s="242"/>
    </row>
    <row r="1336" hidden="1">
      <c r="A1336" s="244" t="s">
        <v>6482</v>
      </c>
      <c r="B1336" s="245" t="str">
        <f>VLOOKUP(A1336,'تجربه‌گرها'!B:C,2,FALSE())</f>
        <v>۰۹۱۱۲۱۰۴۳۸۲</v>
      </c>
      <c r="C1336" s="242"/>
      <c r="D1336" s="242">
        <f t="shared" si="1"/>
        <v>1</v>
      </c>
      <c r="E1336" s="242">
        <f>COUNTIFS('تجربه‌گرها'!$B:$B,$A1336,'تجربه‌گرها'!$F:$F,E$1)</f>
        <v>0</v>
      </c>
      <c r="F1336" s="242">
        <f>COUNTIFS('تجربه‌گرها'!$B:$B,$A1336,'تجربه‌گرها'!$F:$F,F$1)</f>
        <v>0</v>
      </c>
      <c r="G1336" s="242">
        <f>COUNTIFS('تجربه‌گرها'!$B:$B,$A1336,'تجربه‌گرها'!$F:$F,G$1)</f>
        <v>0</v>
      </c>
      <c r="H1336" s="242">
        <f>COUNTIFS('تجربه‌گرها'!$B:$B,$A1336,'تجربه‌گرها'!$F:$F,H$1)</f>
        <v>0</v>
      </c>
      <c r="I1336" s="242">
        <f>COUNTIFS('تجربه‌گرها'!$B:$B,$A1336,'تجربه‌گرها'!$F:$F,I$1)</f>
        <v>0</v>
      </c>
      <c r="J1336" s="242">
        <f>COUNTIFS('تجربه‌گرها'!$B:$B,$A1336,'تجربه‌گرها'!$F:$F,J$1)</f>
        <v>0</v>
      </c>
      <c r="K1336" s="242">
        <f>COUNTIFS('تجربه‌گرها'!$B:$B,$A1336,'تجربه‌گرها'!$F:$F,K$1)</f>
        <v>0</v>
      </c>
      <c r="L1336" s="242">
        <f>COUNTIFS('تجربه‌گرها'!$B:$B,$A1336,'تجربه‌گرها'!$F:$F,L$1)</f>
        <v>0</v>
      </c>
      <c r="M1336" s="242">
        <f>COUNTIFS('تجربه‌گرها'!$B:$B,$A1336,'تجربه‌گرها'!$F:$F,M$1)</f>
        <v>0</v>
      </c>
      <c r="N1336" s="242">
        <f>COUNTIFS('تجربه‌گرها'!$B:$B,$A1336,'تجربه‌گرها'!$F:$F,N$1)</f>
        <v>0</v>
      </c>
      <c r="O1336" s="242">
        <f>COUNTIFS('تجربه‌گرها'!$B:$B,$A1336,'تجربه‌گرها'!$F:$F,O$1)</f>
        <v>0</v>
      </c>
      <c r="P1336" s="242">
        <f>COUNTIFS('تجربه‌گرها'!$B:$B,$A1336,'تجربه‌گرها'!$F:$F,P$1)</f>
        <v>1</v>
      </c>
      <c r="Q1336" s="242">
        <f>COUNTIFS('تجربه‌گرها'!$B:$B,$A1336,'تجربه‌گرها'!$F:$F,Q$1)</f>
        <v>0</v>
      </c>
      <c r="R1336" s="242">
        <f>COUNTIFS('تجربه‌گرها'!$B:$B,$A1336,'تجربه‌گرها'!$F:$F,R$1)</f>
        <v>0</v>
      </c>
      <c r="S1336" s="242">
        <f>COUNTIFS('تجربه‌گرها'!$B:$B,$A1336,'تجربه‌گرها'!$F:$F,S$1)</f>
        <v>0</v>
      </c>
      <c r="T1336" s="242">
        <f>COUNTIFS('تجربه‌گرها'!$B:$B,$A1336,'تجربه‌گرها'!$F:$F,T$1)</f>
        <v>0</v>
      </c>
      <c r="U1336" s="242"/>
      <c r="V1336" s="242"/>
      <c r="W1336" s="242"/>
      <c r="X1336" s="242"/>
      <c r="Y1336" s="242"/>
      <c r="Z1336" s="242"/>
      <c r="AA1336" s="242"/>
      <c r="AB1336" s="242"/>
    </row>
    <row r="1337" hidden="1">
      <c r="A1337" s="244" t="s">
        <v>6487</v>
      </c>
      <c r="B1337" s="245" t="str">
        <f>VLOOKUP(A1337,'تجربه‌گرها'!B:C,2,FALSE())</f>
        <v>۰۹۳۶۳۶۱۹۰۶۷</v>
      </c>
      <c r="C1337" s="242"/>
      <c r="D1337" s="242">
        <f t="shared" si="1"/>
        <v>1</v>
      </c>
      <c r="E1337" s="242">
        <f>COUNTIFS('تجربه‌گرها'!$B:$B,$A1337,'تجربه‌گرها'!$F:$F,E$1)</f>
        <v>0</v>
      </c>
      <c r="F1337" s="242">
        <f>COUNTIFS('تجربه‌گرها'!$B:$B,$A1337,'تجربه‌گرها'!$F:$F,F$1)</f>
        <v>0</v>
      </c>
      <c r="G1337" s="242">
        <f>COUNTIFS('تجربه‌گرها'!$B:$B,$A1337,'تجربه‌گرها'!$F:$F,G$1)</f>
        <v>0</v>
      </c>
      <c r="H1337" s="242">
        <f>COUNTIFS('تجربه‌گرها'!$B:$B,$A1337,'تجربه‌گرها'!$F:$F,H$1)</f>
        <v>0</v>
      </c>
      <c r="I1337" s="242">
        <f>COUNTIFS('تجربه‌گرها'!$B:$B,$A1337,'تجربه‌گرها'!$F:$F,I$1)</f>
        <v>0</v>
      </c>
      <c r="J1337" s="242">
        <f>COUNTIFS('تجربه‌گرها'!$B:$B,$A1337,'تجربه‌گرها'!$F:$F,J$1)</f>
        <v>0</v>
      </c>
      <c r="K1337" s="242">
        <f>COUNTIFS('تجربه‌گرها'!$B:$B,$A1337,'تجربه‌گرها'!$F:$F,K$1)</f>
        <v>0</v>
      </c>
      <c r="L1337" s="242">
        <f>COUNTIFS('تجربه‌گرها'!$B:$B,$A1337,'تجربه‌گرها'!$F:$F,L$1)</f>
        <v>0</v>
      </c>
      <c r="M1337" s="242">
        <f>COUNTIFS('تجربه‌گرها'!$B:$B,$A1337,'تجربه‌گرها'!$F:$F,M$1)</f>
        <v>0</v>
      </c>
      <c r="N1337" s="242">
        <f>COUNTIFS('تجربه‌گرها'!$B:$B,$A1337,'تجربه‌گرها'!$F:$F,N$1)</f>
        <v>0</v>
      </c>
      <c r="O1337" s="242">
        <f>COUNTIFS('تجربه‌گرها'!$B:$B,$A1337,'تجربه‌گرها'!$F:$F,O$1)</f>
        <v>0</v>
      </c>
      <c r="P1337" s="242">
        <f>COUNTIFS('تجربه‌گرها'!$B:$B,$A1337,'تجربه‌گرها'!$F:$F,P$1)</f>
        <v>1</v>
      </c>
      <c r="Q1337" s="242">
        <f>COUNTIFS('تجربه‌گرها'!$B:$B,$A1337,'تجربه‌گرها'!$F:$F,Q$1)</f>
        <v>0</v>
      </c>
      <c r="R1337" s="242">
        <f>COUNTIFS('تجربه‌گرها'!$B:$B,$A1337,'تجربه‌گرها'!$F:$F,R$1)</f>
        <v>0</v>
      </c>
      <c r="S1337" s="242">
        <f>COUNTIFS('تجربه‌گرها'!$B:$B,$A1337,'تجربه‌گرها'!$F:$F,S$1)</f>
        <v>0</v>
      </c>
      <c r="T1337" s="242">
        <f>COUNTIFS('تجربه‌گرها'!$B:$B,$A1337,'تجربه‌گرها'!$F:$F,T$1)</f>
        <v>0</v>
      </c>
      <c r="U1337" s="242"/>
      <c r="V1337" s="242"/>
      <c r="W1337" s="242"/>
      <c r="X1337" s="242"/>
      <c r="Y1337" s="242"/>
      <c r="Z1337" s="242"/>
      <c r="AA1337" s="242"/>
      <c r="AB1337" s="242"/>
    </row>
    <row r="1338" hidden="1">
      <c r="A1338" s="244" t="s">
        <v>6495</v>
      </c>
      <c r="B1338" s="245" t="str">
        <f>VLOOKUP(A1338,'تجربه‌گرها'!B:C,2,FALSE())</f>
        <v>۰۹۱۲۴۹۷۴۵۲۶</v>
      </c>
      <c r="C1338" s="242"/>
      <c r="D1338" s="242">
        <f t="shared" si="1"/>
        <v>1</v>
      </c>
      <c r="E1338" s="242">
        <f>COUNTIFS('تجربه‌گرها'!$B:$B,$A1338,'تجربه‌گرها'!$F:$F,E$1)</f>
        <v>0</v>
      </c>
      <c r="F1338" s="242">
        <f>COUNTIFS('تجربه‌گرها'!$B:$B,$A1338,'تجربه‌گرها'!$F:$F,F$1)</f>
        <v>0</v>
      </c>
      <c r="G1338" s="242">
        <f>COUNTIFS('تجربه‌گرها'!$B:$B,$A1338,'تجربه‌گرها'!$F:$F,G$1)</f>
        <v>0</v>
      </c>
      <c r="H1338" s="242">
        <f>COUNTIFS('تجربه‌گرها'!$B:$B,$A1338,'تجربه‌گرها'!$F:$F,H$1)</f>
        <v>0</v>
      </c>
      <c r="I1338" s="242">
        <f>COUNTIFS('تجربه‌گرها'!$B:$B,$A1338,'تجربه‌گرها'!$F:$F,I$1)</f>
        <v>0</v>
      </c>
      <c r="J1338" s="242">
        <f>COUNTIFS('تجربه‌گرها'!$B:$B,$A1338,'تجربه‌گرها'!$F:$F,J$1)</f>
        <v>0</v>
      </c>
      <c r="K1338" s="242">
        <f>COUNTIFS('تجربه‌گرها'!$B:$B,$A1338,'تجربه‌گرها'!$F:$F,K$1)</f>
        <v>0</v>
      </c>
      <c r="L1338" s="242">
        <f>COUNTIFS('تجربه‌گرها'!$B:$B,$A1338,'تجربه‌گرها'!$F:$F,L$1)</f>
        <v>0</v>
      </c>
      <c r="M1338" s="242">
        <f>COUNTIFS('تجربه‌گرها'!$B:$B,$A1338,'تجربه‌گرها'!$F:$F,M$1)</f>
        <v>0</v>
      </c>
      <c r="N1338" s="242">
        <f>COUNTIFS('تجربه‌گرها'!$B:$B,$A1338,'تجربه‌گرها'!$F:$F,N$1)</f>
        <v>0</v>
      </c>
      <c r="O1338" s="242">
        <f>COUNTIFS('تجربه‌گرها'!$B:$B,$A1338,'تجربه‌گرها'!$F:$F,O$1)</f>
        <v>0</v>
      </c>
      <c r="P1338" s="242">
        <f>COUNTIFS('تجربه‌گرها'!$B:$B,$A1338,'تجربه‌گرها'!$F:$F,P$1)</f>
        <v>1</v>
      </c>
      <c r="Q1338" s="242">
        <f>COUNTIFS('تجربه‌گرها'!$B:$B,$A1338,'تجربه‌گرها'!$F:$F,Q$1)</f>
        <v>0</v>
      </c>
      <c r="R1338" s="242">
        <f>COUNTIFS('تجربه‌گرها'!$B:$B,$A1338,'تجربه‌گرها'!$F:$F,R$1)</f>
        <v>0</v>
      </c>
      <c r="S1338" s="242">
        <f>COUNTIFS('تجربه‌گرها'!$B:$B,$A1338,'تجربه‌گرها'!$F:$F,S$1)</f>
        <v>0</v>
      </c>
      <c r="T1338" s="242">
        <f>COUNTIFS('تجربه‌گرها'!$B:$B,$A1338,'تجربه‌گرها'!$F:$F,T$1)</f>
        <v>0</v>
      </c>
      <c r="U1338" s="242"/>
      <c r="V1338" s="242"/>
      <c r="W1338" s="242"/>
      <c r="X1338" s="242"/>
      <c r="Y1338" s="242"/>
      <c r="Z1338" s="242"/>
      <c r="AA1338" s="242"/>
      <c r="AB1338" s="242"/>
    </row>
    <row r="1339" hidden="1">
      <c r="A1339" s="244" t="s">
        <v>6498</v>
      </c>
      <c r="B1339" s="245" t="str">
        <f>VLOOKUP(A1339,'تجربه‌گرها'!B:C,2,FALSE())</f>
        <v>۰۹۰۲۷۲۲۳۸۱۸</v>
      </c>
      <c r="C1339" s="242"/>
      <c r="D1339" s="242">
        <f t="shared" si="1"/>
        <v>1</v>
      </c>
      <c r="E1339" s="242">
        <f>COUNTIFS('تجربه‌گرها'!$B:$B,$A1339,'تجربه‌گرها'!$F:$F,E$1)</f>
        <v>0</v>
      </c>
      <c r="F1339" s="242">
        <f>COUNTIFS('تجربه‌گرها'!$B:$B,$A1339,'تجربه‌گرها'!$F:$F,F$1)</f>
        <v>0</v>
      </c>
      <c r="G1339" s="242">
        <f>COUNTIFS('تجربه‌گرها'!$B:$B,$A1339,'تجربه‌گرها'!$F:$F,G$1)</f>
        <v>0</v>
      </c>
      <c r="H1339" s="242">
        <f>COUNTIFS('تجربه‌گرها'!$B:$B,$A1339,'تجربه‌گرها'!$F:$F,H$1)</f>
        <v>0</v>
      </c>
      <c r="I1339" s="242">
        <f>COUNTIFS('تجربه‌گرها'!$B:$B,$A1339,'تجربه‌گرها'!$F:$F,I$1)</f>
        <v>0</v>
      </c>
      <c r="J1339" s="242">
        <f>COUNTIFS('تجربه‌گرها'!$B:$B,$A1339,'تجربه‌گرها'!$F:$F,J$1)</f>
        <v>0</v>
      </c>
      <c r="K1339" s="242">
        <f>COUNTIFS('تجربه‌گرها'!$B:$B,$A1339,'تجربه‌گرها'!$F:$F,K$1)</f>
        <v>0</v>
      </c>
      <c r="L1339" s="242">
        <f>COUNTIFS('تجربه‌گرها'!$B:$B,$A1339,'تجربه‌گرها'!$F:$F,L$1)</f>
        <v>0</v>
      </c>
      <c r="M1339" s="242">
        <f>COUNTIFS('تجربه‌گرها'!$B:$B,$A1339,'تجربه‌گرها'!$F:$F,M$1)</f>
        <v>0</v>
      </c>
      <c r="N1339" s="242">
        <f>COUNTIFS('تجربه‌گرها'!$B:$B,$A1339,'تجربه‌گرها'!$F:$F,N$1)</f>
        <v>0</v>
      </c>
      <c r="O1339" s="242">
        <f>COUNTIFS('تجربه‌گرها'!$B:$B,$A1339,'تجربه‌گرها'!$F:$F,O$1)</f>
        <v>0</v>
      </c>
      <c r="P1339" s="242">
        <f>COUNTIFS('تجربه‌گرها'!$B:$B,$A1339,'تجربه‌گرها'!$F:$F,P$1)</f>
        <v>1</v>
      </c>
      <c r="Q1339" s="242">
        <f>COUNTIFS('تجربه‌گرها'!$B:$B,$A1339,'تجربه‌گرها'!$F:$F,Q$1)</f>
        <v>0</v>
      </c>
      <c r="R1339" s="242">
        <f>COUNTIFS('تجربه‌گرها'!$B:$B,$A1339,'تجربه‌گرها'!$F:$F,R$1)</f>
        <v>0</v>
      </c>
      <c r="S1339" s="242">
        <f>COUNTIFS('تجربه‌گرها'!$B:$B,$A1339,'تجربه‌گرها'!$F:$F,S$1)</f>
        <v>0</v>
      </c>
      <c r="T1339" s="242">
        <f>COUNTIFS('تجربه‌گرها'!$B:$B,$A1339,'تجربه‌گرها'!$F:$F,T$1)</f>
        <v>0</v>
      </c>
      <c r="U1339" s="242"/>
      <c r="V1339" s="242"/>
      <c r="W1339" s="242"/>
      <c r="X1339" s="242"/>
      <c r="Y1339" s="242"/>
      <c r="Z1339" s="242"/>
      <c r="AA1339" s="242"/>
      <c r="AB1339" s="242"/>
    </row>
    <row r="1340" hidden="1">
      <c r="A1340" s="244" t="s">
        <v>6500</v>
      </c>
      <c r="B1340" s="245" t="str">
        <f>VLOOKUP(A1340,'تجربه‌گرها'!B:C,2,FALSE())</f>
        <v>۰۹۱۲۲۰۱۵۵۴۲</v>
      </c>
      <c r="C1340" s="242"/>
      <c r="D1340" s="242">
        <f t="shared" si="1"/>
        <v>1</v>
      </c>
      <c r="E1340" s="242">
        <f>COUNTIFS('تجربه‌گرها'!$B:$B,$A1340,'تجربه‌گرها'!$F:$F,E$1)</f>
        <v>0</v>
      </c>
      <c r="F1340" s="242">
        <f>COUNTIFS('تجربه‌گرها'!$B:$B,$A1340,'تجربه‌گرها'!$F:$F,F$1)</f>
        <v>0</v>
      </c>
      <c r="G1340" s="242">
        <f>COUNTIFS('تجربه‌گرها'!$B:$B,$A1340,'تجربه‌گرها'!$F:$F,G$1)</f>
        <v>0</v>
      </c>
      <c r="H1340" s="242">
        <f>COUNTIFS('تجربه‌گرها'!$B:$B,$A1340,'تجربه‌گرها'!$F:$F,H$1)</f>
        <v>0</v>
      </c>
      <c r="I1340" s="242">
        <f>COUNTIFS('تجربه‌گرها'!$B:$B,$A1340,'تجربه‌گرها'!$F:$F,I$1)</f>
        <v>0</v>
      </c>
      <c r="J1340" s="242">
        <f>COUNTIFS('تجربه‌گرها'!$B:$B,$A1340,'تجربه‌گرها'!$F:$F,J$1)</f>
        <v>0</v>
      </c>
      <c r="K1340" s="242">
        <f>COUNTIFS('تجربه‌گرها'!$B:$B,$A1340,'تجربه‌گرها'!$F:$F,K$1)</f>
        <v>0</v>
      </c>
      <c r="L1340" s="242">
        <f>COUNTIFS('تجربه‌گرها'!$B:$B,$A1340,'تجربه‌گرها'!$F:$F,L$1)</f>
        <v>0</v>
      </c>
      <c r="M1340" s="242">
        <f>COUNTIFS('تجربه‌گرها'!$B:$B,$A1340,'تجربه‌گرها'!$F:$F,M$1)</f>
        <v>0</v>
      </c>
      <c r="N1340" s="242">
        <f>COUNTIFS('تجربه‌گرها'!$B:$B,$A1340,'تجربه‌گرها'!$F:$F,N$1)</f>
        <v>0</v>
      </c>
      <c r="O1340" s="242">
        <f>COUNTIFS('تجربه‌گرها'!$B:$B,$A1340,'تجربه‌گرها'!$F:$F,O$1)</f>
        <v>0</v>
      </c>
      <c r="P1340" s="242">
        <f>COUNTIFS('تجربه‌گرها'!$B:$B,$A1340,'تجربه‌گرها'!$F:$F,P$1)</f>
        <v>1</v>
      </c>
      <c r="Q1340" s="242">
        <f>COUNTIFS('تجربه‌گرها'!$B:$B,$A1340,'تجربه‌گرها'!$F:$F,Q$1)</f>
        <v>0</v>
      </c>
      <c r="R1340" s="242">
        <f>COUNTIFS('تجربه‌گرها'!$B:$B,$A1340,'تجربه‌گرها'!$F:$F,R$1)</f>
        <v>0</v>
      </c>
      <c r="S1340" s="242">
        <f>COUNTIFS('تجربه‌گرها'!$B:$B,$A1340,'تجربه‌گرها'!$F:$F,S$1)</f>
        <v>0</v>
      </c>
      <c r="T1340" s="242">
        <f>COUNTIFS('تجربه‌گرها'!$B:$B,$A1340,'تجربه‌گرها'!$F:$F,T$1)</f>
        <v>0</v>
      </c>
      <c r="U1340" s="242"/>
      <c r="V1340" s="242"/>
      <c r="W1340" s="242"/>
      <c r="X1340" s="242"/>
      <c r="Y1340" s="242"/>
      <c r="Z1340" s="242"/>
      <c r="AA1340" s="242"/>
      <c r="AB1340" s="242"/>
    </row>
    <row r="1341" hidden="1">
      <c r="A1341" s="244" t="s">
        <v>6504</v>
      </c>
      <c r="B1341" s="245" t="str">
        <f>VLOOKUP(A1341,'تجربه‌گرها'!B:C,2,FALSE())</f>
        <v>۰۹۱۲۷۱۹۸۰۶۰</v>
      </c>
      <c r="C1341" s="242"/>
      <c r="D1341" s="242">
        <f t="shared" si="1"/>
        <v>1</v>
      </c>
      <c r="E1341" s="242">
        <f>COUNTIFS('تجربه‌گرها'!$B:$B,$A1341,'تجربه‌گرها'!$F:$F,E$1)</f>
        <v>0</v>
      </c>
      <c r="F1341" s="242">
        <f>COUNTIFS('تجربه‌گرها'!$B:$B,$A1341,'تجربه‌گرها'!$F:$F,F$1)</f>
        <v>0</v>
      </c>
      <c r="G1341" s="242">
        <f>COUNTIFS('تجربه‌گرها'!$B:$B,$A1341,'تجربه‌گرها'!$F:$F,G$1)</f>
        <v>0</v>
      </c>
      <c r="H1341" s="242">
        <f>COUNTIFS('تجربه‌گرها'!$B:$B,$A1341,'تجربه‌گرها'!$F:$F,H$1)</f>
        <v>0</v>
      </c>
      <c r="I1341" s="242">
        <f>COUNTIFS('تجربه‌گرها'!$B:$B,$A1341,'تجربه‌گرها'!$F:$F,I$1)</f>
        <v>0</v>
      </c>
      <c r="J1341" s="242">
        <f>COUNTIFS('تجربه‌گرها'!$B:$B,$A1341,'تجربه‌گرها'!$F:$F,J$1)</f>
        <v>0</v>
      </c>
      <c r="K1341" s="242">
        <f>COUNTIFS('تجربه‌گرها'!$B:$B,$A1341,'تجربه‌گرها'!$F:$F,K$1)</f>
        <v>0</v>
      </c>
      <c r="L1341" s="242">
        <f>COUNTIFS('تجربه‌گرها'!$B:$B,$A1341,'تجربه‌گرها'!$F:$F,L$1)</f>
        <v>0</v>
      </c>
      <c r="M1341" s="242">
        <f>COUNTIFS('تجربه‌گرها'!$B:$B,$A1341,'تجربه‌گرها'!$F:$F,M$1)</f>
        <v>0</v>
      </c>
      <c r="N1341" s="242">
        <f>COUNTIFS('تجربه‌گرها'!$B:$B,$A1341,'تجربه‌گرها'!$F:$F,N$1)</f>
        <v>0</v>
      </c>
      <c r="O1341" s="242">
        <f>COUNTIFS('تجربه‌گرها'!$B:$B,$A1341,'تجربه‌گرها'!$F:$F,O$1)</f>
        <v>0</v>
      </c>
      <c r="P1341" s="242">
        <f>COUNTIFS('تجربه‌گرها'!$B:$B,$A1341,'تجربه‌گرها'!$F:$F,P$1)</f>
        <v>1</v>
      </c>
      <c r="Q1341" s="242">
        <f>COUNTIFS('تجربه‌گرها'!$B:$B,$A1341,'تجربه‌گرها'!$F:$F,Q$1)</f>
        <v>0</v>
      </c>
      <c r="R1341" s="242">
        <f>COUNTIFS('تجربه‌گرها'!$B:$B,$A1341,'تجربه‌گرها'!$F:$F,R$1)</f>
        <v>0</v>
      </c>
      <c r="S1341" s="242">
        <f>COUNTIFS('تجربه‌گرها'!$B:$B,$A1341,'تجربه‌گرها'!$F:$F,S$1)</f>
        <v>0</v>
      </c>
      <c r="T1341" s="242">
        <f>COUNTIFS('تجربه‌گرها'!$B:$B,$A1341,'تجربه‌گرها'!$F:$F,T$1)</f>
        <v>0</v>
      </c>
      <c r="U1341" s="242"/>
      <c r="V1341" s="242"/>
      <c r="W1341" s="242"/>
      <c r="X1341" s="242"/>
      <c r="Y1341" s="242"/>
      <c r="Z1341" s="242"/>
      <c r="AA1341" s="242"/>
      <c r="AB1341" s="242"/>
    </row>
    <row r="1342" hidden="1">
      <c r="A1342" s="244" t="s">
        <v>6509</v>
      </c>
      <c r="B1342" s="245" t="str">
        <f>VLOOKUP(A1342,'تجربه‌گرها'!B:C,2,FALSE())</f>
        <v>۰۹۱۰۱۵۷۹۸۶۴</v>
      </c>
      <c r="C1342" s="242"/>
      <c r="D1342" s="242">
        <f t="shared" si="1"/>
        <v>1</v>
      </c>
      <c r="E1342" s="242">
        <f>COUNTIFS('تجربه‌گرها'!$B:$B,$A1342,'تجربه‌گرها'!$F:$F,E$1)</f>
        <v>0</v>
      </c>
      <c r="F1342" s="242">
        <f>COUNTIFS('تجربه‌گرها'!$B:$B,$A1342,'تجربه‌گرها'!$F:$F,F$1)</f>
        <v>0</v>
      </c>
      <c r="G1342" s="242">
        <f>COUNTIFS('تجربه‌گرها'!$B:$B,$A1342,'تجربه‌گرها'!$F:$F,G$1)</f>
        <v>0</v>
      </c>
      <c r="H1342" s="242">
        <f>COUNTIFS('تجربه‌گرها'!$B:$B,$A1342,'تجربه‌گرها'!$F:$F,H$1)</f>
        <v>0</v>
      </c>
      <c r="I1342" s="242">
        <f>COUNTIFS('تجربه‌گرها'!$B:$B,$A1342,'تجربه‌گرها'!$F:$F,I$1)</f>
        <v>0</v>
      </c>
      <c r="J1342" s="242">
        <f>COUNTIFS('تجربه‌گرها'!$B:$B,$A1342,'تجربه‌گرها'!$F:$F,J$1)</f>
        <v>0</v>
      </c>
      <c r="K1342" s="242">
        <f>COUNTIFS('تجربه‌گرها'!$B:$B,$A1342,'تجربه‌گرها'!$F:$F,K$1)</f>
        <v>0</v>
      </c>
      <c r="L1342" s="242">
        <f>COUNTIFS('تجربه‌گرها'!$B:$B,$A1342,'تجربه‌گرها'!$F:$F,L$1)</f>
        <v>0</v>
      </c>
      <c r="M1342" s="242">
        <f>COUNTIFS('تجربه‌گرها'!$B:$B,$A1342,'تجربه‌گرها'!$F:$F,M$1)</f>
        <v>0</v>
      </c>
      <c r="N1342" s="242">
        <f>COUNTIFS('تجربه‌گرها'!$B:$B,$A1342,'تجربه‌گرها'!$F:$F,N$1)</f>
        <v>0</v>
      </c>
      <c r="O1342" s="242">
        <f>COUNTIFS('تجربه‌گرها'!$B:$B,$A1342,'تجربه‌گرها'!$F:$F,O$1)</f>
        <v>0</v>
      </c>
      <c r="P1342" s="242">
        <f>COUNTIFS('تجربه‌گرها'!$B:$B,$A1342,'تجربه‌گرها'!$F:$F,P$1)</f>
        <v>1</v>
      </c>
      <c r="Q1342" s="242">
        <f>COUNTIFS('تجربه‌گرها'!$B:$B,$A1342,'تجربه‌گرها'!$F:$F,Q$1)</f>
        <v>0</v>
      </c>
      <c r="R1342" s="242">
        <f>COUNTIFS('تجربه‌گرها'!$B:$B,$A1342,'تجربه‌گرها'!$F:$F,R$1)</f>
        <v>0</v>
      </c>
      <c r="S1342" s="242">
        <f>COUNTIFS('تجربه‌گرها'!$B:$B,$A1342,'تجربه‌گرها'!$F:$F,S$1)</f>
        <v>0</v>
      </c>
      <c r="T1342" s="242">
        <f>COUNTIFS('تجربه‌گرها'!$B:$B,$A1342,'تجربه‌گرها'!$F:$F,T$1)</f>
        <v>0</v>
      </c>
      <c r="U1342" s="242"/>
      <c r="V1342" s="242"/>
      <c r="W1342" s="242"/>
      <c r="X1342" s="242"/>
      <c r="Y1342" s="242"/>
      <c r="Z1342" s="242"/>
      <c r="AA1342" s="242"/>
      <c r="AB1342" s="242"/>
    </row>
    <row r="1343" hidden="1">
      <c r="A1343" s="244" t="s">
        <v>6512</v>
      </c>
      <c r="B1343" s="245" t="str">
        <f>VLOOKUP(A1343,'تجربه‌گرها'!B:C,2,FALSE())</f>
        <v>۰۹۱۹۱۰۱۳۱۳۹</v>
      </c>
      <c r="C1343" s="242"/>
      <c r="D1343" s="242">
        <f t="shared" si="1"/>
        <v>1</v>
      </c>
      <c r="E1343" s="242">
        <f>COUNTIFS('تجربه‌گرها'!$B:$B,$A1343,'تجربه‌گرها'!$F:$F,E$1)</f>
        <v>0</v>
      </c>
      <c r="F1343" s="242">
        <f>COUNTIFS('تجربه‌گرها'!$B:$B,$A1343,'تجربه‌گرها'!$F:$F,F$1)</f>
        <v>0</v>
      </c>
      <c r="G1343" s="242">
        <f>COUNTIFS('تجربه‌گرها'!$B:$B,$A1343,'تجربه‌گرها'!$F:$F,G$1)</f>
        <v>0</v>
      </c>
      <c r="H1343" s="242">
        <f>COUNTIFS('تجربه‌گرها'!$B:$B,$A1343,'تجربه‌گرها'!$F:$F,H$1)</f>
        <v>0</v>
      </c>
      <c r="I1343" s="242">
        <f>COUNTIFS('تجربه‌گرها'!$B:$B,$A1343,'تجربه‌گرها'!$F:$F,I$1)</f>
        <v>0</v>
      </c>
      <c r="J1343" s="242">
        <f>COUNTIFS('تجربه‌گرها'!$B:$B,$A1343,'تجربه‌گرها'!$F:$F,J$1)</f>
        <v>0</v>
      </c>
      <c r="K1343" s="242">
        <f>COUNTIFS('تجربه‌گرها'!$B:$B,$A1343,'تجربه‌گرها'!$F:$F,K$1)</f>
        <v>0</v>
      </c>
      <c r="L1343" s="242">
        <f>COUNTIFS('تجربه‌گرها'!$B:$B,$A1343,'تجربه‌گرها'!$F:$F,L$1)</f>
        <v>0</v>
      </c>
      <c r="M1343" s="242">
        <f>COUNTIFS('تجربه‌گرها'!$B:$B,$A1343,'تجربه‌گرها'!$F:$F,M$1)</f>
        <v>0</v>
      </c>
      <c r="N1343" s="242">
        <f>COUNTIFS('تجربه‌گرها'!$B:$B,$A1343,'تجربه‌گرها'!$F:$F,N$1)</f>
        <v>0</v>
      </c>
      <c r="O1343" s="242">
        <f>COUNTIFS('تجربه‌گرها'!$B:$B,$A1343,'تجربه‌گرها'!$F:$F,O$1)</f>
        <v>0</v>
      </c>
      <c r="P1343" s="242">
        <f>COUNTIFS('تجربه‌گرها'!$B:$B,$A1343,'تجربه‌گرها'!$F:$F,P$1)</f>
        <v>1</v>
      </c>
      <c r="Q1343" s="242">
        <f>COUNTIFS('تجربه‌گرها'!$B:$B,$A1343,'تجربه‌گرها'!$F:$F,Q$1)</f>
        <v>0</v>
      </c>
      <c r="R1343" s="242">
        <f>COUNTIFS('تجربه‌گرها'!$B:$B,$A1343,'تجربه‌گرها'!$F:$F,R$1)</f>
        <v>0</v>
      </c>
      <c r="S1343" s="242">
        <f>COUNTIFS('تجربه‌گرها'!$B:$B,$A1343,'تجربه‌گرها'!$F:$F,S$1)</f>
        <v>0</v>
      </c>
      <c r="T1343" s="242">
        <f>COUNTIFS('تجربه‌گرها'!$B:$B,$A1343,'تجربه‌گرها'!$F:$F,T$1)</f>
        <v>0</v>
      </c>
      <c r="U1343" s="242"/>
      <c r="V1343" s="242"/>
      <c r="W1343" s="242"/>
      <c r="X1343" s="242"/>
      <c r="Y1343" s="242"/>
      <c r="Z1343" s="242"/>
      <c r="AA1343" s="242"/>
      <c r="AB1343" s="242"/>
    </row>
    <row r="1344" hidden="1">
      <c r="A1344" s="244" t="s">
        <v>6517</v>
      </c>
      <c r="B1344" s="245" t="str">
        <f>VLOOKUP(A1344,'تجربه‌گرها'!B:C,2,FALSE())</f>
        <v>9910868165</v>
      </c>
      <c r="C1344" s="242"/>
      <c r="D1344" s="242">
        <f t="shared" si="1"/>
        <v>1</v>
      </c>
      <c r="E1344" s="242">
        <f>COUNTIFS('تجربه‌گرها'!$B:$B,$A1344,'تجربه‌گرها'!$F:$F,E$1)</f>
        <v>0</v>
      </c>
      <c r="F1344" s="242">
        <f>COUNTIFS('تجربه‌گرها'!$B:$B,$A1344,'تجربه‌گرها'!$F:$F,F$1)</f>
        <v>0</v>
      </c>
      <c r="G1344" s="242">
        <f>COUNTIFS('تجربه‌گرها'!$B:$B,$A1344,'تجربه‌گرها'!$F:$F,G$1)</f>
        <v>0</v>
      </c>
      <c r="H1344" s="242">
        <f>COUNTIFS('تجربه‌گرها'!$B:$B,$A1344,'تجربه‌گرها'!$F:$F,H$1)</f>
        <v>0</v>
      </c>
      <c r="I1344" s="242">
        <f>COUNTIFS('تجربه‌گرها'!$B:$B,$A1344,'تجربه‌گرها'!$F:$F,I$1)</f>
        <v>0</v>
      </c>
      <c r="J1344" s="242">
        <f>COUNTIFS('تجربه‌گرها'!$B:$B,$A1344,'تجربه‌گرها'!$F:$F,J$1)</f>
        <v>0</v>
      </c>
      <c r="K1344" s="242">
        <f>COUNTIFS('تجربه‌گرها'!$B:$B,$A1344,'تجربه‌گرها'!$F:$F,K$1)</f>
        <v>0</v>
      </c>
      <c r="L1344" s="242">
        <f>COUNTIFS('تجربه‌گرها'!$B:$B,$A1344,'تجربه‌گرها'!$F:$F,L$1)</f>
        <v>0</v>
      </c>
      <c r="M1344" s="242">
        <f>COUNTIFS('تجربه‌گرها'!$B:$B,$A1344,'تجربه‌گرها'!$F:$F,M$1)</f>
        <v>0</v>
      </c>
      <c r="N1344" s="242">
        <f>COUNTIFS('تجربه‌گرها'!$B:$B,$A1344,'تجربه‌گرها'!$F:$F,N$1)</f>
        <v>0</v>
      </c>
      <c r="O1344" s="242">
        <f>COUNTIFS('تجربه‌گرها'!$B:$B,$A1344,'تجربه‌گرها'!$F:$F,O$1)</f>
        <v>0</v>
      </c>
      <c r="P1344" s="242">
        <f>COUNTIFS('تجربه‌گرها'!$B:$B,$A1344,'تجربه‌گرها'!$F:$F,P$1)</f>
        <v>1</v>
      </c>
      <c r="Q1344" s="242">
        <f>COUNTIFS('تجربه‌گرها'!$B:$B,$A1344,'تجربه‌گرها'!$F:$F,Q$1)</f>
        <v>0</v>
      </c>
      <c r="R1344" s="242">
        <f>COUNTIFS('تجربه‌گرها'!$B:$B,$A1344,'تجربه‌گرها'!$F:$F,R$1)</f>
        <v>0</v>
      </c>
      <c r="S1344" s="242">
        <f>COUNTIFS('تجربه‌گرها'!$B:$B,$A1344,'تجربه‌گرها'!$F:$F,S$1)</f>
        <v>0</v>
      </c>
      <c r="T1344" s="242">
        <f>COUNTIFS('تجربه‌گرها'!$B:$B,$A1344,'تجربه‌گرها'!$F:$F,T$1)</f>
        <v>0</v>
      </c>
      <c r="U1344" s="242"/>
      <c r="V1344" s="242"/>
      <c r="W1344" s="242"/>
      <c r="X1344" s="242"/>
      <c r="Y1344" s="242"/>
      <c r="Z1344" s="242"/>
      <c r="AA1344" s="242"/>
      <c r="AB1344" s="242"/>
    </row>
    <row r="1345" hidden="1">
      <c r="A1345" s="244" t="s">
        <v>6520</v>
      </c>
      <c r="B1345" s="245" t="str">
        <f>VLOOKUP(A1345,'تجربه‌گرها'!B:C,2,FALSE())</f>
        <v>9125045620</v>
      </c>
      <c r="C1345" s="242"/>
      <c r="D1345" s="242">
        <f t="shared" si="1"/>
        <v>2</v>
      </c>
      <c r="E1345" s="242">
        <f>COUNTIFS('تجربه‌گرها'!$B:$B,$A1345,'تجربه‌گرها'!$F:$F,E$1)</f>
        <v>0</v>
      </c>
      <c r="F1345" s="242">
        <f>COUNTIFS('تجربه‌گرها'!$B:$B,$A1345,'تجربه‌گرها'!$F:$F,F$1)</f>
        <v>0</v>
      </c>
      <c r="G1345" s="242">
        <f>COUNTIFS('تجربه‌گرها'!$B:$B,$A1345,'تجربه‌گرها'!$F:$F,G$1)</f>
        <v>0</v>
      </c>
      <c r="H1345" s="242">
        <f>COUNTIFS('تجربه‌گرها'!$B:$B,$A1345,'تجربه‌گرها'!$F:$F,H$1)</f>
        <v>0</v>
      </c>
      <c r="I1345" s="242">
        <f>COUNTIFS('تجربه‌گرها'!$B:$B,$A1345,'تجربه‌گرها'!$F:$F,I$1)</f>
        <v>0</v>
      </c>
      <c r="J1345" s="242">
        <f>COUNTIFS('تجربه‌گرها'!$B:$B,$A1345,'تجربه‌گرها'!$F:$F,J$1)</f>
        <v>0</v>
      </c>
      <c r="K1345" s="242">
        <f>COUNTIFS('تجربه‌گرها'!$B:$B,$A1345,'تجربه‌گرها'!$F:$F,K$1)</f>
        <v>0</v>
      </c>
      <c r="L1345" s="242">
        <f>COUNTIFS('تجربه‌گرها'!$B:$B,$A1345,'تجربه‌گرها'!$F:$F,L$1)</f>
        <v>0</v>
      </c>
      <c r="M1345" s="242">
        <f>COUNTIFS('تجربه‌گرها'!$B:$B,$A1345,'تجربه‌گرها'!$F:$F,M$1)</f>
        <v>0</v>
      </c>
      <c r="N1345" s="242">
        <f>COUNTIFS('تجربه‌گرها'!$B:$B,$A1345,'تجربه‌گرها'!$F:$F,N$1)</f>
        <v>0</v>
      </c>
      <c r="O1345" s="242">
        <f>COUNTIFS('تجربه‌گرها'!$B:$B,$A1345,'تجربه‌گرها'!$F:$F,O$1)</f>
        <v>0</v>
      </c>
      <c r="P1345" s="242">
        <f>COUNTIFS('تجربه‌گرها'!$B:$B,$A1345,'تجربه‌گرها'!$F:$F,P$1)</f>
        <v>1</v>
      </c>
      <c r="Q1345" s="242">
        <f>COUNTIFS('تجربه‌گرها'!$B:$B,$A1345,'تجربه‌گرها'!$F:$F,Q$1)</f>
        <v>1</v>
      </c>
      <c r="R1345" s="242">
        <f>COUNTIFS('تجربه‌گرها'!$B:$B,$A1345,'تجربه‌گرها'!$F:$F,R$1)</f>
        <v>0</v>
      </c>
      <c r="S1345" s="242">
        <f>COUNTIFS('تجربه‌گرها'!$B:$B,$A1345,'تجربه‌گرها'!$F:$F,S$1)</f>
        <v>0</v>
      </c>
      <c r="T1345" s="242">
        <f>COUNTIFS('تجربه‌گرها'!$B:$B,$A1345,'تجربه‌گرها'!$F:$F,T$1)</f>
        <v>0</v>
      </c>
      <c r="U1345" s="242"/>
      <c r="V1345" s="242"/>
      <c r="W1345" s="242"/>
      <c r="X1345" s="242"/>
      <c r="Y1345" s="242"/>
      <c r="Z1345" s="242"/>
      <c r="AA1345" s="242"/>
      <c r="AB1345" s="242"/>
    </row>
    <row r="1346" hidden="1">
      <c r="A1346" s="244" t="s">
        <v>6524</v>
      </c>
      <c r="B1346" s="245" t="str">
        <f>VLOOKUP(A1346,'تجربه‌گرها'!B:C,2,FALSE())</f>
        <v>۰۹۳۵۴۳۷۷۸۰۴</v>
      </c>
      <c r="C1346" s="242"/>
      <c r="D1346" s="242">
        <f t="shared" si="1"/>
        <v>1</v>
      </c>
      <c r="E1346" s="242">
        <f>COUNTIFS('تجربه‌گرها'!$B:$B,$A1346,'تجربه‌گرها'!$F:$F,E$1)</f>
        <v>0</v>
      </c>
      <c r="F1346" s="242">
        <f>COUNTIFS('تجربه‌گرها'!$B:$B,$A1346,'تجربه‌گرها'!$F:$F,F$1)</f>
        <v>0</v>
      </c>
      <c r="G1346" s="242">
        <f>COUNTIFS('تجربه‌گرها'!$B:$B,$A1346,'تجربه‌گرها'!$F:$F,G$1)</f>
        <v>0</v>
      </c>
      <c r="H1346" s="242">
        <f>COUNTIFS('تجربه‌گرها'!$B:$B,$A1346,'تجربه‌گرها'!$F:$F,H$1)</f>
        <v>0</v>
      </c>
      <c r="I1346" s="242">
        <f>COUNTIFS('تجربه‌گرها'!$B:$B,$A1346,'تجربه‌گرها'!$F:$F,I$1)</f>
        <v>0</v>
      </c>
      <c r="J1346" s="242">
        <f>COUNTIFS('تجربه‌گرها'!$B:$B,$A1346,'تجربه‌گرها'!$F:$F,J$1)</f>
        <v>0</v>
      </c>
      <c r="K1346" s="242">
        <f>COUNTIFS('تجربه‌گرها'!$B:$B,$A1346,'تجربه‌گرها'!$F:$F,K$1)</f>
        <v>0</v>
      </c>
      <c r="L1346" s="242">
        <f>COUNTIFS('تجربه‌گرها'!$B:$B,$A1346,'تجربه‌گرها'!$F:$F,L$1)</f>
        <v>0</v>
      </c>
      <c r="M1346" s="242">
        <f>COUNTIFS('تجربه‌گرها'!$B:$B,$A1346,'تجربه‌گرها'!$F:$F,M$1)</f>
        <v>0</v>
      </c>
      <c r="N1346" s="242">
        <f>COUNTIFS('تجربه‌گرها'!$B:$B,$A1346,'تجربه‌گرها'!$F:$F,N$1)</f>
        <v>0</v>
      </c>
      <c r="O1346" s="242">
        <f>COUNTIFS('تجربه‌گرها'!$B:$B,$A1346,'تجربه‌گرها'!$F:$F,O$1)</f>
        <v>0</v>
      </c>
      <c r="P1346" s="242">
        <f>COUNTIFS('تجربه‌گرها'!$B:$B,$A1346,'تجربه‌گرها'!$F:$F,P$1)</f>
        <v>1</v>
      </c>
      <c r="Q1346" s="242">
        <f>COUNTIFS('تجربه‌گرها'!$B:$B,$A1346,'تجربه‌گرها'!$F:$F,Q$1)</f>
        <v>0</v>
      </c>
      <c r="R1346" s="242">
        <f>COUNTIFS('تجربه‌گرها'!$B:$B,$A1346,'تجربه‌گرها'!$F:$F,R$1)</f>
        <v>0</v>
      </c>
      <c r="S1346" s="242">
        <f>COUNTIFS('تجربه‌گرها'!$B:$B,$A1346,'تجربه‌گرها'!$F:$F,S$1)</f>
        <v>0</v>
      </c>
      <c r="T1346" s="242">
        <f>COUNTIFS('تجربه‌گرها'!$B:$B,$A1346,'تجربه‌گرها'!$F:$F,T$1)</f>
        <v>0</v>
      </c>
      <c r="U1346" s="242"/>
      <c r="V1346" s="242"/>
      <c r="W1346" s="242"/>
      <c r="X1346" s="242"/>
      <c r="Y1346" s="242"/>
      <c r="Z1346" s="242"/>
      <c r="AA1346" s="242"/>
      <c r="AB1346" s="242"/>
    </row>
    <row r="1347" hidden="1">
      <c r="A1347" s="244" t="s">
        <v>6527</v>
      </c>
      <c r="B1347" s="245" t="str">
        <f>VLOOKUP(A1347,'تجربه‌گرها'!B:C,2,FALSE())</f>
        <v>۰۹۲۲۱۲۱۱۸۲۵</v>
      </c>
      <c r="C1347" s="242"/>
      <c r="D1347" s="242">
        <f t="shared" si="1"/>
        <v>1</v>
      </c>
      <c r="E1347" s="242">
        <f>COUNTIFS('تجربه‌گرها'!$B:$B,$A1347,'تجربه‌گرها'!$F:$F,E$1)</f>
        <v>0</v>
      </c>
      <c r="F1347" s="242">
        <f>COUNTIFS('تجربه‌گرها'!$B:$B,$A1347,'تجربه‌گرها'!$F:$F,F$1)</f>
        <v>0</v>
      </c>
      <c r="G1347" s="242">
        <f>COUNTIFS('تجربه‌گرها'!$B:$B,$A1347,'تجربه‌گرها'!$F:$F,G$1)</f>
        <v>0</v>
      </c>
      <c r="H1347" s="242">
        <f>COUNTIFS('تجربه‌گرها'!$B:$B,$A1347,'تجربه‌گرها'!$F:$F,H$1)</f>
        <v>0</v>
      </c>
      <c r="I1347" s="242">
        <f>COUNTIFS('تجربه‌گرها'!$B:$B,$A1347,'تجربه‌گرها'!$F:$F,I$1)</f>
        <v>0</v>
      </c>
      <c r="J1347" s="242">
        <f>COUNTIFS('تجربه‌گرها'!$B:$B,$A1347,'تجربه‌گرها'!$F:$F,J$1)</f>
        <v>0</v>
      </c>
      <c r="K1347" s="242">
        <f>COUNTIFS('تجربه‌گرها'!$B:$B,$A1347,'تجربه‌گرها'!$F:$F,K$1)</f>
        <v>0</v>
      </c>
      <c r="L1347" s="242">
        <f>COUNTIFS('تجربه‌گرها'!$B:$B,$A1347,'تجربه‌گرها'!$F:$F,L$1)</f>
        <v>0</v>
      </c>
      <c r="M1347" s="242">
        <f>COUNTIFS('تجربه‌گرها'!$B:$B,$A1347,'تجربه‌گرها'!$F:$F,M$1)</f>
        <v>0</v>
      </c>
      <c r="N1347" s="242">
        <f>COUNTIFS('تجربه‌گرها'!$B:$B,$A1347,'تجربه‌گرها'!$F:$F,N$1)</f>
        <v>0</v>
      </c>
      <c r="O1347" s="242">
        <f>COUNTIFS('تجربه‌گرها'!$B:$B,$A1347,'تجربه‌گرها'!$F:$F,O$1)</f>
        <v>0</v>
      </c>
      <c r="P1347" s="242">
        <f>COUNTIFS('تجربه‌گرها'!$B:$B,$A1347,'تجربه‌گرها'!$F:$F,P$1)</f>
        <v>1</v>
      </c>
      <c r="Q1347" s="242">
        <f>COUNTIFS('تجربه‌گرها'!$B:$B,$A1347,'تجربه‌گرها'!$F:$F,Q$1)</f>
        <v>0</v>
      </c>
      <c r="R1347" s="242">
        <f>COUNTIFS('تجربه‌گرها'!$B:$B,$A1347,'تجربه‌گرها'!$F:$F,R$1)</f>
        <v>0</v>
      </c>
      <c r="S1347" s="242">
        <f>COUNTIFS('تجربه‌گرها'!$B:$B,$A1347,'تجربه‌گرها'!$F:$F,S$1)</f>
        <v>0</v>
      </c>
      <c r="T1347" s="242">
        <f>COUNTIFS('تجربه‌گرها'!$B:$B,$A1347,'تجربه‌گرها'!$F:$F,T$1)</f>
        <v>0</v>
      </c>
      <c r="U1347" s="242"/>
      <c r="V1347" s="242"/>
      <c r="W1347" s="242"/>
      <c r="X1347" s="242"/>
      <c r="Y1347" s="242"/>
      <c r="Z1347" s="242"/>
      <c r="AA1347" s="242"/>
      <c r="AB1347" s="242"/>
    </row>
    <row r="1348" hidden="1">
      <c r="A1348" s="244" t="s">
        <v>6531</v>
      </c>
      <c r="B1348" s="245" t="str">
        <f>VLOOKUP(A1348,'تجربه‌گرها'!B:C,2,FALSE())</f>
        <v>۰۹۱۲۴۹۷۳۹۱۰</v>
      </c>
      <c r="C1348" s="242"/>
      <c r="D1348" s="242">
        <f t="shared" si="1"/>
        <v>1</v>
      </c>
      <c r="E1348" s="242">
        <f>COUNTIFS('تجربه‌گرها'!$B:$B,$A1348,'تجربه‌گرها'!$F:$F,E$1)</f>
        <v>0</v>
      </c>
      <c r="F1348" s="242">
        <f>COUNTIFS('تجربه‌گرها'!$B:$B,$A1348,'تجربه‌گرها'!$F:$F,F$1)</f>
        <v>0</v>
      </c>
      <c r="G1348" s="242">
        <f>COUNTIFS('تجربه‌گرها'!$B:$B,$A1348,'تجربه‌گرها'!$F:$F,G$1)</f>
        <v>0</v>
      </c>
      <c r="H1348" s="242">
        <f>COUNTIFS('تجربه‌گرها'!$B:$B,$A1348,'تجربه‌گرها'!$F:$F,H$1)</f>
        <v>0</v>
      </c>
      <c r="I1348" s="242">
        <f>COUNTIFS('تجربه‌گرها'!$B:$B,$A1348,'تجربه‌گرها'!$F:$F,I$1)</f>
        <v>0</v>
      </c>
      <c r="J1348" s="242">
        <f>COUNTIFS('تجربه‌گرها'!$B:$B,$A1348,'تجربه‌گرها'!$F:$F,J$1)</f>
        <v>0</v>
      </c>
      <c r="K1348" s="242">
        <f>COUNTIFS('تجربه‌گرها'!$B:$B,$A1348,'تجربه‌گرها'!$F:$F,K$1)</f>
        <v>0</v>
      </c>
      <c r="L1348" s="242">
        <f>COUNTIFS('تجربه‌گرها'!$B:$B,$A1348,'تجربه‌گرها'!$F:$F,L$1)</f>
        <v>0</v>
      </c>
      <c r="M1348" s="242">
        <f>COUNTIFS('تجربه‌گرها'!$B:$B,$A1348,'تجربه‌گرها'!$F:$F,M$1)</f>
        <v>0</v>
      </c>
      <c r="N1348" s="242">
        <f>COUNTIFS('تجربه‌گرها'!$B:$B,$A1348,'تجربه‌گرها'!$F:$F,N$1)</f>
        <v>0</v>
      </c>
      <c r="O1348" s="242">
        <f>COUNTIFS('تجربه‌گرها'!$B:$B,$A1348,'تجربه‌گرها'!$F:$F,O$1)</f>
        <v>0</v>
      </c>
      <c r="P1348" s="242">
        <f>COUNTIFS('تجربه‌گرها'!$B:$B,$A1348,'تجربه‌گرها'!$F:$F,P$1)</f>
        <v>1</v>
      </c>
      <c r="Q1348" s="242">
        <f>COUNTIFS('تجربه‌گرها'!$B:$B,$A1348,'تجربه‌گرها'!$F:$F,Q$1)</f>
        <v>0</v>
      </c>
      <c r="R1348" s="242">
        <f>COUNTIFS('تجربه‌گرها'!$B:$B,$A1348,'تجربه‌گرها'!$F:$F,R$1)</f>
        <v>0</v>
      </c>
      <c r="S1348" s="242">
        <f>COUNTIFS('تجربه‌گرها'!$B:$B,$A1348,'تجربه‌گرها'!$F:$F,S$1)</f>
        <v>0</v>
      </c>
      <c r="T1348" s="242">
        <f>COUNTIFS('تجربه‌گرها'!$B:$B,$A1348,'تجربه‌گرها'!$F:$F,T$1)</f>
        <v>0</v>
      </c>
      <c r="U1348" s="242"/>
      <c r="V1348" s="242"/>
      <c r="W1348" s="242"/>
      <c r="X1348" s="242"/>
      <c r="Y1348" s="242"/>
      <c r="Z1348" s="242"/>
      <c r="AA1348" s="242"/>
      <c r="AB1348" s="242"/>
    </row>
    <row r="1349" hidden="1">
      <c r="A1349" s="244" t="s">
        <v>6534</v>
      </c>
      <c r="B1349" s="245" t="str">
        <f>VLOOKUP(A1349,'تجربه‌گرها'!B:C,2,FALSE())</f>
        <v>۰۹۱۲۷۵۵۹۶۵۵</v>
      </c>
      <c r="C1349" s="242"/>
      <c r="D1349" s="242">
        <f t="shared" si="1"/>
        <v>1</v>
      </c>
      <c r="E1349" s="242">
        <f>COUNTIFS('تجربه‌گرها'!$B:$B,$A1349,'تجربه‌گرها'!$F:$F,E$1)</f>
        <v>0</v>
      </c>
      <c r="F1349" s="242">
        <f>COUNTIFS('تجربه‌گرها'!$B:$B,$A1349,'تجربه‌گرها'!$F:$F,F$1)</f>
        <v>0</v>
      </c>
      <c r="G1349" s="242">
        <f>COUNTIFS('تجربه‌گرها'!$B:$B,$A1349,'تجربه‌گرها'!$F:$F,G$1)</f>
        <v>0</v>
      </c>
      <c r="H1349" s="242">
        <f>COUNTIFS('تجربه‌گرها'!$B:$B,$A1349,'تجربه‌گرها'!$F:$F,H$1)</f>
        <v>0</v>
      </c>
      <c r="I1349" s="242">
        <f>COUNTIFS('تجربه‌گرها'!$B:$B,$A1349,'تجربه‌گرها'!$F:$F,I$1)</f>
        <v>0</v>
      </c>
      <c r="J1349" s="242">
        <f>COUNTIFS('تجربه‌گرها'!$B:$B,$A1349,'تجربه‌گرها'!$F:$F,J$1)</f>
        <v>0</v>
      </c>
      <c r="K1349" s="242">
        <f>COUNTIFS('تجربه‌گرها'!$B:$B,$A1349,'تجربه‌گرها'!$F:$F,K$1)</f>
        <v>0</v>
      </c>
      <c r="L1349" s="242">
        <f>COUNTIFS('تجربه‌گرها'!$B:$B,$A1349,'تجربه‌گرها'!$F:$F,L$1)</f>
        <v>0</v>
      </c>
      <c r="M1349" s="242">
        <f>COUNTIFS('تجربه‌گرها'!$B:$B,$A1349,'تجربه‌گرها'!$F:$F,M$1)</f>
        <v>0</v>
      </c>
      <c r="N1349" s="242">
        <f>COUNTIFS('تجربه‌گرها'!$B:$B,$A1349,'تجربه‌گرها'!$F:$F,N$1)</f>
        <v>0</v>
      </c>
      <c r="O1349" s="242">
        <f>COUNTIFS('تجربه‌گرها'!$B:$B,$A1349,'تجربه‌گرها'!$F:$F,O$1)</f>
        <v>0</v>
      </c>
      <c r="P1349" s="242">
        <f>COUNTIFS('تجربه‌گرها'!$B:$B,$A1349,'تجربه‌گرها'!$F:$F,P$1)</f>
        <v>1</v>
      </c>
      <c r="Q1349" s="242">
        <f>COUNTIFS('تجربه‌گرها'!$B:$B,$A1349,'تجربه‌گرها'!$F:$F,Q$1)</f>
        <v>0</v>
      </c>
      <c r="R1349" s="242">
        <f>COUNTIFS('تجربه‌گرها'!$B:$B,$A1349,'تجربه‌گرها'!$F:$F,R$1)</f>
        <v>0</v>
      </c>
      <c r="S1349" s="242">
        <f>COUNTIFS('تجربه‌گرها'!$B:$B,$A1349,'تجربه‌گرها'!$F:$F,S$1)</f>
        <v>0</v>
      </c>
      <c r="T1349" s="242">
        <f>COUNTIFS('تجربه‌گرها'!$B:$B,$A1349,'تجربه‌گرها'!$F:$F,T$1)</f>
        <v>0</v>
      </c>
      <c r="U1349" s="242"/>
      <c r="V1349" s="242"/>
      <c r="W1349" s="242"/>
      <c r="X1349" s="242"/>
      <c r="Y1349" s="242"/>
      <c r="Z1349" s="242"/>
      <c r="AA1349" s="242"/>
      <c r="AB1349" s="242"/>
    </row>
    <row r="1350" hidden="1">
      <c r="A1350" s="244" t="s">
        <v>6538</v>
      </c>
      <c r="B1350" s="245" t="str">
        <f>VLOOKUP(A1350,'تجربه‌گرها'!B:C,2,FALSE())</f>
        <v>۰۹۱۲۸۲۴۳۰۳۲</v>
      </c>
      <c r="C1350" s="242"/>
      <c r="D1350" s="242">
        <f t="shared" si="1"/>
        <v>1</v>
      </c>
      <c r="E1350" s="242">
        <f>COUNTIFS('تجربه‌گرها'!$B:$B,$A1350,'تجربه‌گرها'!$F:$F,E$1)</f>
        <v>0</v>
      </c>
      <c r="F1350" s="242">
        <f>COUNTIFS('تجربه‌گرها'!$B:$B,$A1350,'تجربه‌گرها'!$F:$F,F$1)</f>
        <v>0</v>
      </c>
      <c r="G1350" s="242">
        <f>COUNTIFS('تجربه‌گرها'!$B:$B,$A1350,'تجربه‌گرها'!$F:$F,G$1)</f>
        <v>0</v>
      </c>
      <c r="H1350" s="242">
        <f>COUNTIFS('تجربه‌گرها'!$B:$B,$A1350,'تجربه‌گرها'!$F:$F,H$1)</f>
        <v>0</v>
      </c>
      <c r="I1350" s="242">
        <f>COUNTIFS('تجربه‌گرها'!$B:$B,$A1350,'تجربه‌گرها'!$F:$F,I$1)</f>
        <v>0</v>
      </c>
      <c r="J1350" s="242">
        <f>COUNTIFS('تجربه‌گرها'!$B:$B,$A1350,'تجربه‌گرها'!$F:$F,J$1)</f>
        <v>0</v>
      </c>
      <c r="K1350" s="242">
        <f>COUNTIFS('تجربه‌گرها'!$B:$B,$A1350,'تجربه‌گرها'!$F:$F,K$1)</f>
        <v>0</v>
      </c>
      <c r="L1350" s="242">
        <f>COUNTIFS('تجربه‌گرها'!$B:$B,$A1350,'تجربه‌گرها'!$F:$F,L$1)</f>
        <v>0</v>
      </c>
      <c r="M1350" s="242">
        <f>COUNTIFS('تجربه‌گرها'!$B:$B,$A1350,'تجربه‌گرها'!$F:$F,M$1)</f>
        <v>0</v>
      </c>
      <c r="N1350" s="242">
        <f>COUNTIFS('تجربه‌گرها'!$B:$B,$A1350,'تجربه‌گرها'!$F:$F,N$1)</f>
        <v>0</v>
      </c>
      <c r="O1350" s="242">
        <f>COUNTIFS('تجربه‌گرها'!$B:$B,$A1350,'تجربه‌گرها'!$F:$F,O$1)</f>
        <v>0</v>
      </c>
      <c r="P1350" s="242">
        <f>COUNTIFS('تجربه‌گرها'!$B:$B,$A1350,'تجربه‌گرها'!$F:$F,P$1)</f>
        <v>1</v>
      </c>
      <c r="Q1350" s="242">
        <f>COUNTIFS('تجربه‌گرها'!$B:$B,$A1350,'تجربه‌گرها'!$F:$F,Q$1)</f>
        <v>0</v>
      </c>
      <c r="R1350" s="242">
        <f>COUNTIFS('تجربه‌گرها'!$B:$B,$A1350,'تجربه‌گرها'!$F:$F,R$1)</f>
        <v>0</v>
      </c>
      <c r="S1350" s="242">
        <f>COUNTIFS('تجربه‌گرها'!$B:$B,$A1350,'تجربه‌گرها'!$F:$F,S$1)</f>
        <v>0</v>
      </c>
      <c r="T1350" s="242">
        <f>COUNTIFS('تجربه‌گرها'!$B:$B,$A1350,'تجربه‌گرها'!$F:$F,T$1)</f>
        <v>0</v>
      </c>
      <c r="U1350" s="242"/>
      <c r="V1350" s="242"/>
      <c r="W1350" s="242"/>
      <c r="X1350" s="242"/>
      <c r="Y1350" s="242"/>
      <c r="Z1350" s="242"/>
      <c r="AA1350" s="242"/>
      <c r="AB1350" s="242"/>
    </row>
    <row r="1351" hidden="1">
      <c r="A1351" s="244" t="s">
        <v>6541</v>
      </c>
      <c r="B1351" s="245" t="str">
        <f>VLOOKUP(A1351,'تجربه‌گرها'!B:C,2,FALSE())</f>
        <v>۰۹۹۰۱۹۷۵۲۰۰</v>
      </c>
      <c r="C1351" s="242"/>
      <c r="D1351" s="242">
        <f t="shared" si="1"/>
        <v>1</v>
      </c>
      <c r="E1351" s="242">
        <f>COUNTIFS('تجربه‌گرها'!$B:$B,$A1351,'تجربه‌گرها'!$F:$F,E$1)</f>
        <v>0</v>
      </c>
      <c r="F1351" s="242">
        <f>COUNTIFS('تجربه‌گرها'!$B:$B,$A1351,'تجربه‌گرها'!$F:$F,F$1)</f>
        <v>0</v>
      </c>
      <c r="G1351" s="242">
        <f>COUNTIFS('تجربه‌گرها'!$B:$B,$A1351,'تجربه‌گرها'!$F:$F,G$1)</f>
        <v>0</v>
      </c>
      <c r="H1351" s="242">
        <f>COUNTIFS('تجربه‌گرها'!$B:$B,$A1351,'تجربه‌گرها'!$F:$F,H$1)</f>
        <v>0</v>
      </c>
      <c r="I1351" s="242">
        <f>COUNTIFS('تجربه‌گرها'!$B:$B,$A1351,'تجربه‌گرها'!$F:$F,I$1)</f>
        <v>0</v>
      </c>
      <c r="J1351" s="242">
        <f>COUNTIFS('تجربه‌گرها'!$B:$B,$A1351,'تجربه‌گرها'!$F:$F,J$1)</f>
        <v>0</v>
      </c>
      <c r="K1351" s="242">
        <f>COUNTIFS('تجربه‌گرها'!$B:$B,$A1351,'تجربه‌گرها'!$F:$F,K$1)</f>
        <v>0</v>
      </c>
      <c r="L1351" s="242">
        <f>COUNTIFS('تجربه‌گرها'!$B:$B,$A1351,'تجربه‌گرها'!$F:$F,L$1)</f>
        <v>0</v>
      </c>
      <c r="M1351" s="242">
        <f>COUNTIFS('تجربه‌گرها'!$B:$B,$A1351,'تجربه‌گرها'!$F:$F,M$1)</f>
        <v>0</v>
      </c>
      <c r="N1351" s="242">
        <f>COUNTIFS('تجربه‌گرها'!$B:$B,$A1351,'تجربه‌گرها'!$F:$F,N$1)</f>
        <v>0</v>
      </c>
      <c r="O1351" s="242">
        <f>COUNTIFS('تجربه‌گرها'!$B:$B,$A1351,'تجربه‌گرها'!$F:$F,O$1)</f>
        <v>0</v>
      </c>
      <c r="P1351" s="242">
        <f>COUNTIFS('تجربه‌گرها'!$B:$B,$A1351,'تجربه‌گرها'!$F:$F,P$1)</f>
        <v>1</v>
      </c>
      <c r="Q1351" s="242">
        <f>COUNTIFS('تجربه‌گرها'!$B:$B,$A1351,'تجربه‌گرها'!$F:$F,Q$1)</f>
        <v>0</v>
      </c>
      <c r="R1351" s="242">
        <f>COUNTIFS('تجربه‌گرها'!$B:$B,$A1351,'تجربه‌گرها'!$F:$F,R$1)</f>
        <v>0</v>
      </c>
      <c r="S1351" s="242">
        <f>COUNTIFS('تجربه‌گرها'!$B:$B,$A1351,'تجربه‌گرها'!$F:$F,S$1)</f>
        <v>0</v>
      </c>
      <c r="T1351" s="242">
        <f>COUNTIFS('تجربه‌گرها'!$B:$B,$A1351,'تجربه‌گرها'!$F:$F,T$1)</f>
        <v>0</v>
      </c>
      <c r="U1351" s="242"/>
      <c r="V1351" s="242"/>
      <c r="W1351" s="242"/>
      <c r="X1351" s="242"/>
      <c r="Y1351" s="242"/>
      <c r="Z1351" s="242"/>
      <c r="AA1351" s="242"/>
      <c r="AB1351" s="242"/>
    </row>
    <row r="1352" hidden="1">
      <c r="A1352" s="244" t="s">
        <v>6545</v>
      </c>
      <c r="B1352" s="245" t="str">
        <f>VLOOKUP(A1352,'تجربه‌گرها'!B:C,2,FALSE())</f>
        <v>۰۹۱۳۱۱۳۱۲۴۷</v>
      </c>
      <c r="C1352" s="242"/>
      <c r="D1352" s="242">
        <f t="shared" si="1"/>
        <v>1</v>
      </c>
      <c r="E1352" s="242">
        <f>COUNTIFS('تجربه‌گرها'!$B:$B,$A1352,'تجربه‌گرها'!$F:$F,E$1)</f>
        <v>0</v>
      </c>
      <c r="F1352" s="242">
        <f>COUNTIFS('تجربه‌گرها'!$B:$B,$A1352,'تجربه‌گرها'!$F:$F,F$1)</f>
        <v>0</v>
      </c>
      <c r="G1352" s="242">
        <f>COUNTIFS('تجربه‌گرها'!$B:$B,$A1352,'تجربه‌گرها'!$F:$F,G$1)</f>
        <v>0</v>
      </c>
      <c r="H1352" s="242">
        <f>COUNTIFS('تجربه‌گرها'!$B:$B,$A1352,'تجربه‌گرها'!$F:$F,H$1)</f>
        <v>0</v>
      </c>
      <c r="I1352" s="242">
        <f>COUNTIFS('تجربه‌گرها'!$B:$B,$A1352,'تجربه‌گرها'!$F:$F,I$1)</f>
        <v>0</v>
      </c>
      <c r="J1352" s="242">
        <f>COUNTIFS('تجربه‌گرها'!$B:$B,$A1352,'تجربه‌گرها'!$F:$F,J$1)</f>
        <v>0</v>
      </c>
      <c r="K1352" s="242">
        <f>COUNTIFS('تجربه‌گرها'!$B:$B,$A1352,'تجربه‌گرها'!$F:$F,K$1)</f>
        <v>0</v>
      </c>
      <c r="L1352" s="242">
        <f>COUNTIFS('تجربه‌گرها'!$B:$B,$A1352,'تجربه‌گرها'!$F:$F,L$1)</f>
        <v>0</v>
      </c>
      <c r="M1352" s="242">
        <f>COUNTIFS('تجربه‌گرها'!$B:$B,$A1352,'تجربه‌گرها'!$F:$F,M$1)</f>
        <v>0</v>
      </c>
      <c r="N1352" s="242">
        <f>COUNTIFS('تجربه‌گرها'!$B:$B,$A1352,'تجربه‌گرها'!$F:$F,N$1)</f>
        <v>0</v>
      </c>
      <c r="O1352" s="242">
        <f>COUNTIFS('تجربه‌گرها'!$B:$B,$A1352,'تجربه‌گرها'!$F:$F,O$1)</f>
        <v>0</v>
      </c>
      <c r="P1352" s="242">
        <f>COUNTIFS('تجربه‌گرها'!$B:$B,$A1352,'تجربه‌گرها'!$F:$F,P$1)</f>
        <v>1</v>
      </c>
      <c r="Q1352" s="242">
        <f>COUNTIFS('تجربه‌گرها'!$B:$B,$A1352,'تجربه‌گرها'!$F:$F,Q$1)</f>
        <v>0</v>
      </c>
      <c r="R1352" s="242">
        <f>COUNTIFS('تجربه‌گرها'!$B:$B,$A1352,'تجربه‌گرها'!$F:$F,R$1)</f>
        <v>0</v>
      </c>
      <c r="S1352" s="242">
        <f>COUNTIFS('تجربه‌گرها'!$B:$B,$A1352,'تجربه‌گرها'!$F:$F,S$1)</f>
        <v>0</v>
      </c>
      <c r="T1352" s="242">
        <f>COUNTIFS('تجربه‌گرها'!$B:$B,$A1352,'تجربه‌گرها'!$F:$F,T$1)</f>
        <v>0</v>
      </c>
      <c r="U1352" s="242"/>
      <c r="V1352" s="242"/>
      <c r="W1352" s="242"/>
      <c r="X1352" s="242"/>
      <c r="Y1352" s="242"/>
      <c r="Z1352" s="242"/>
      <c r="AA1352" s="242"/>
      <c r="AB1352" s="242"/>
    </row>
    <row r="1353">
      <c r="A1353" s="244" t="s">
        <v>6551</v>
      </c>
      <c r="B1353" s="245" t="str">
        <f>VLOOKUP(A1353,'تجربه‌گرها'!B:C,2,FALSE())</f>
        <v>۰۹۱۲۱۷۵۶۶۰۸</v>
      </c>
      <c r="C1353" s="242"/>
      <c r="D1353" s="242">
        <f t="shared" si="1"/>
        <v>1</v>
      </c>
      <c r="E1353" s="242">
        <f>COUNTIFS('تجربه‌گرها'!$B:$B,$A1353,'تجربه‌گرها'!$F:$F,E$1)</f>
        <v>0</v>
      </c>
      <c r="F1353" s="242">
        <f>COUNTIFS('تجربه‌گرها'!$B:$B,$A1353,'تجربه‌گرها'!$F:$F,F$1)</f>
        <v>0</v>
      </c>
      <c r="G1353" s="242">
        <f>COUNTIFS('تجربه‌گرها'!$B:$B,$A1353,'تجربه‌گرها'!$F:$F,G$1)</f>
        <v>0</v>
      </c>
      <c r="H1353" s="242">
        <f>COUNTIFS('تجربه‌گرها'!$B:$B,$A1353,'تجربه‌گرها'!$F:$F,H$1)</f>
        <v>0</v>
      </c>
      <c r="I1353" s="242">
        <f>COUNTIFS('تجربه‌گرها'!$B:$B,$A1353,'تجربه‌گرها'!$F:$F,I$1)</f>
        <v>0</v>
      </c>
      <c r="J1353" s="242">
        <f>COUNTIFS('تجربه‌گرها'!$B:$B,$A1353,'تجربه‌گرها'!$F:$F,J$1)</f>
        <v>0</v>
      </c>
      <c r="K1353" s="242">
        <f>COUNTIFS('تجربه‌گرها'!$B:$B,$A1353,'تجربه‌گرها'!$F:$F,K$1)</f>
        <v>0</v>
      </c>
      <c r="L1353" s="242">
        <f>COUNTIFS('تجربه‌گرها'!$B:$B,$A1353,'تجربه‌گرها'!$F:$F,L$1)</f>
        <v>0</v>
      </c>
      <c r="M1353" s="242">
        <f>COUNTIFS('تجربه‌گرها'!$B:$B,$A1353,'تجربه‌گرها'!$F:$F,M$1)</f>
        <v>0</v>
      </c>
      <c r="N1353" s="242">
        <f>COUNTIFS('تجربه‌گرها'!$B:$B,$A1353,'تجربه‌گرها'!$F:$F,N$1)</f>
        <v>0</v>
      </c>
      <c r="O1353" s="242">
        <f>COUNTIFS('تجربه‌گرها'!$B:$B,$A1353,'تجربه‌گرها'!$F:$F,O$1)</f>
        <v>0</v>
      </c>
      <c r="P1353" s="242">
        <f>COUNTIFS('تجربه‌گرها'!$B:$B,$A1353,'تجربه‌گرها'!$F:$F,P$1)</f>
        <v>1</v>
      </c>
      <c r="Q1353" s="242">
        <f>COUNTIFS('تجربه‌گرها'!$B:$B,$A1353,'تجربه‌گرها'!$F:$F,Q$1)</f>
        <v>0</v>
      </c>
      <c r="R1353" s="242">
        <f>COUNTIFS('تجربه‌گرها'!$B:$B,$A1353,'تجربه‌گرها'!$F:$F,R$1)</f>
        <v>0</v>
      </c>
      <c r="S1353" s="242">
        <f>COUNTIFS('تجربه‌گرها'!$B:$B,$A1353,'تجربه‌گرها'!$F:$F,S$1)</f>
        <v>0</v>
      </c>
      <c r="T1353" s="242">
        <f>COUNTIFS('تجربه‌گرها'!$B:$B,$A1353,'تجربه‌گرها'!$F:$F,T$1)</f>
        <v>0</v>
      </c>
      <c r="U1353" s="242"/>
      <c r="V1353" s="242"/>
      <c r="W1353" s="242"/>
      <c r="X1353" s="242"/>
      <c r="Y1353" s="242"/>
      <c r="Z1353" s="242"/>
      <c r="AA1353" s="242"/>
      <c r="AB1353" s="242"/>
    </row>
    <row r="1354" hidden="1">
      <c r="A1354" s="244" t="s">
        <v>6554</v>
      </c>
      <c r="B1354" s="245" t="str">
        <f>VLOOKUP(A1354,'تجربه‌گرها'!B:C,2,FALSE())</f>
        <v>9193619161</v>
      </c>
      <c r="C1354" s="242"/>
      <c r="D1354" s="242">
        <f t="shared" si="1"/>
        <v>1</v>
      </c>
      <c r="E1354" s="242">
        <f>COUNTIFS('تجربه‌گرها'!$B:$B,$A1354,'تجربه‌گرها'!$F:$F,E$1)</f>
        <v>0</v>
      </c>
      <c r="F1354" s="242">
        <f>COUNTIFS('تجربه‌گرها'!$B:$B,$A1354,'تجربه‌گرها'!$F:$F,F$1)</f>
        <v>0</v>
      </c>
      <c r="G1354" s="242">
        <f>COUNTIFS('تجربه‌گرها'!$B:$B,$A1354,'تجربه‌گرها'!$F:$F,G$1)</f>
        <v>0</v>
      </c>
      <c r="H1354" s="242">
        <f>COUNTIFS('تجربه‌گرها'!$B:$B,$A1354,'تجربه‌گرها'!$F:$F,H$1)</f>
        <v>0</v>
      </c>
      <c r="I1354" s="242">
        <f>COUNTIFS('تجربه‌گرها'!$B:$B,$A1354,'تجربه‌گرها'!$F:$F,I$1)</f>
        <v>0</v>
      </c>
      <c r="J1354" s="242">
        <f>COUNTIFS('تجربه‌گرها'!$B:$B,$A1354,'تجربه‌گرها'!$F:$F,J$1)</f>
        <v>0</v>
      </c>
      <c r="K1354" s="242">
        <f>COUNTIFS('تجربه‌گرها'!$B:$B,$A1354,'تجربه‌گرها'!$F:$F,K$1)</f>
        <v>0</v>
      </c>
      <c r="L1354" s="242">
        <f>COUNTIFS('تجربه‌گرها'!$B:$B,$A1354,'تجربه‌گرها'!$F:$F,L$1)</f>
        <v>0</v>
      </c>
      <c r="M1354" s="242">
        <f>COUNTIFS('تجربه‌گرها'!$B:$B,$A1354,'تجربه‌گرها'!$F:$F,M$1)</f>
        <v>0</v>
      </c>
      <c r="N1354" s="242">
        <f>COUNTIFS('تجربه‌گرها'!$B:$B,$A1354,'تجربه‌گرها'!$F:$F,N$1)</f>
        <v>0</v>
      </c>
      <c r="O1354" s="242">
        <f>COUNTIFS('تجربه‌گرها'!$B:$B,$A1354,'تجربه‌گرها'!$F:$F,O$1)</f>
        <v>0</v>
      </c>
      <c r="P1354" s="242">
        <f>COUNTIFS('تجربه‌گرها'!$B:$B,$A1354,'تجربه‌گرها'!$F:$F,P$1)</f>
        <v>1</v>
      </c>
      <c r="Q1354" s="242">
        <f>COUNTIFS('تجربه‌گرها'!$B:$B,$A1354,'تجربه‌گرها'!$F:$F,Q$1)</f>
        <v>0</v>
      </c>
      <c r="R1354" s="242">
        <f>COUNTIFS('تجربه‌گرها'!$B:$B,$A1354,'تجربه‌گرها'!$F:$F,R$1)</f>
        <v>0</v>
      </c>
      <c r="S1354" s="242">
        <f>COUNTIFS('تجربه‌گرها'!$B:$B,$A1354,'تجربه‌گرها'!$F:$F,S$1)</f>
        <v>0</v>
      </c>
      <c r="T1354" s="242">
        <f>COUNTIFS('تجربه‌گرها'!$B:$B,$A1354,'تجربه‌گرها'!$F:$F,T$1)</f>
        <v>0</v>
      </c>
      <c r="U1354" s="242"/>
      <c r="V1354" s="242"/>
      <c r="W1354" s="242"/>
      <c r="X1354" s="242"/>
      <c r="Y1354" s="242"/>
      <c r="Z1354" s="242"/>
      <c r="AA1354" s="242"/>
      <c r="AB1354" s="242"/>
    </row>
    <row r="1355" hidden="1">
      <c r="A1355" s="244" t="s">
        <v>6559</v>
      </c>
      <c r="B1355" s="245" t="str">
        <f>VLOOKUP(A1355,'تجربه‌گرها'!B:C,2,FALSE())</f>
        <v>۰۹۱۹۷۳۳۹۵۹۹</v>
      </c>
      <c r="C1355" s="242"/>
      <c r="D1355" s="242">
        <f t="shared" si="1"/>
        <v>1</v>
      </c>
      <c r="E1355" s="242">
        <f>COUNTIFS('تجربه‌گرها'!$B:$B,$A1355,'تجربه‌گرها'!$F:$F,E$1)</f>
        <v>0</v>
      </c>
      <c r="F1355" s="242">
        <f>COUNTIFS('تجربه‌گرها'!$B:$B,$A1355,'تجربه‌گرها'!$F:$F,F$1)</f>
        <v>0</v>
      </c>
      <c r="G1355" s="242">
        <f>COUNTIFS('تجربه‌گرها'!$B:$B,$A1355,'تجربه‌گرها'!$F:$F,G$1)</f>
        <v>0</v>
      </c>
      <c r="H1355" s="242">
        <f>COUNTIFS('تجربه‌گرها'!$B:$B,$A1355,'تجربه‌گرها'!$F:$F,H$1)</f>
        <v>0</v>
      </c>
      <c r="I1355" s="242">
        <f>COUNTIFS('تجربه‌گرها'!$B:$B,$A1355,'تجربه‌گرها'!$F:$F,I$1)</f>
        <v>0</v>
      </c>
      <c r="J1355" s="242">
        <f>COUNTIFS('تجربه‌گرها'!$B:$B,$A1355,'تجربه‌گرها'!$F:$F,J$1)</f>
        <v>0</v>
      </c>
      <c r="K1355" s="242">
        <f>COUNTIFS('تجربه‌گرها'!$B:$B,$A1355,'تجربه‌گرها'!$F:$F,K$1)</f>
        <v>0</v>
      </c>
      <c r="L1355" s="242">
        <f>COUNTIFS('تجربه‌گرها'!$B:$B,$A1355,'تجربه‌گرها'!$F:$F,L$1)</f>
        <v>0</v>
      </c>
      <c r="M1355" s="242">
        <f>COUNTIFS('تجربه‌گرها'!$B:$B,$A1355,'تجربه‌گرها'!$F:$F,M$1)</f>
        <v>0</v>
      </c>
      <c r="N1355" s="242">
        <f>COUNTIFS('تجربه‌گرها'!$B:$B,$A1355,'تجربه‌گرها'!$F:$F,N$1)</f>
        <v>0</v>
      </c>
      <c r="O1355" s="242">
        <f>COUNTIFS('تجربه‌گرها'!$B:$B,$A1355,'تجربه‌گرها'!$F:$F,O$1)</f>
        <v>0</v>
      </c>
      <c r="P1355" s="242">
        <f>COUNTIFS('تجربه‌گرها'!$B:$B,$A1355,'تجربه‌گرها'!$F:$F,P$1)</f>
        <v>1</v>
      </c>
      <c r="Q1355" s="242">
        <f>COUNTIFS('تجربه‌گرها'!$B:$B,$A1355,'تجربه‌گرها'!$F:$F,Q$1)</f>
        <v>0</v>
      </c>
      <c r="R1355" s="242">
        <f>COUNTIFS('تجربه‌گرها'!$B:$B,$A1355,'تجربه‌گرها'!$F:$F,R$1)</f>
        <v>0</v>
      </c>
      <c r="S1355" s="242">
        <f>COUNTIFS('تجربه‌گرها'!$B:$B,$A1355,'تجربه‌گرها'!$F:$F,S$1)</f>
        <v>0</v>
      </c>
      <c r="T1355" s="242">
        <f>COUNTIFS('تجربه‌گرها'!$B:$B,$A1355,'تجربه‌گرها'!$F:$F,T$1)</f>
        <v>0</v>
      </c>
      <c r="U1355" s="242"/>
      <c r="V1355" s="242"/>
      <c r="W1355" s="242"/>
      <c r="X1355" s="242"/>
      <c r="Y1355" s="242"/>
      <c r="Z1355" s="242"/>
      <c r="AA1355" s="242"/>
      <c r="AB1355" s="242"/>
    </row>
    <row r="1356" hidden="1">
      <c r="A1356" s="244" t="s">
        <v>6564</v>
      </c>
      <c r="B1356" s="245" t="str">
        <f>VLOOKUP(A1356,'تجربه‌گرها'!B:C,2,FALSE())</f>
        <v>۰۹۰۲۰۹۹۰۴۰۲</v>
      </c>
      <c r="C1356" s="242"/>
      <c r="D1356" s="242">
        <f t="shared" si="1"/>
        <v>1</v>
      </c>
      <c r="E1356" s="242">
        <f>COUNTIFS('تجربه‌گرها'!$B:$B,$A1356,'تجربه‌گرها'!$F:$F,E$1)</f>
        <v>0</v>
      </c>
      <c r="F1356" s="242">
        <f>COUNTIFS('تجربه‌گرها'!$B:$B,$A1356,'تجربه‌گرها'!$F:$F,F$1)</f>
        <v>0</v>
      </c>
      <c r="G1356" s="242">
        <f>COUNTIFS('تجربه‌گرها'!$B:$B,$A1356,'تجربه‌گرها'!$F:$F,G$1)</f>
        <v>0</v>
      </c>
      <c r="H1356" s="242">
        <f>COUNTIFS('تجربه‌گرها'!$B:$B,$A1356,'تجربه‌گرها'!$F:$F,H$1)</f>
        <v>0</v>
      </c>
      <c r="I1356" s="242">
        <f>COUNTIFS('تجربه‌گرها'!$B:$B,$A1356,'تجربه‌گرها'!$F:$F,I$1)</f>
        <v>0</v>
      </c>
      <c r="J1356" s="242">
        <f>COUNTIFS('تجربه‌گرها'!$B:$B,$A1356,'تجربه‌گرها'!$F:$F,J$1)</f>
        <v>0</v>
      </c>
      <c r="K1356" s="242">
        <f>COUNTIFS('تجربه‌گرها'!$B:$B,$A1356,'تجربه‌گرها'!$F:$F,K$1)</f>
        <v>0</v>
      </c>
      <c r="L1356" s="242">
        <f>COUNTIFS('تجربه‌گرها'!$B:$B,$A1356,'تجربه‌گرها'!$F:$F,L$1)</f>
        <v>0</v>
      </c>
      <c r="M1356" s="242">
        <f>COUNTIFS('تجربه‌گرها'!$B:$B,$A1356,'تجربه‌گرها'!$F:$F,M$1)</f>
        <v>0</v>
      </c>
      <c r="N1356" s="242">
        <f>COUNTIFS('تجربه‌گرها'!$B:$B,$A1356,'تجربه‌گرها'!$F:$F,N$1)</f>
        <v>0</v>
      </c>
      <c r="O1356" s="242">
        <f>COUNTIFS('تجربه‌گرها'!$B:$B,$A1356,'تجربه‌گرها'!$F:$F,O$1)</f>
        <v>0</v>
      </c>
      <c r="P1356" s="242">
        <f>COUNTIFS('تجربه‌گرها'!$B:$B,$A1356,'تجربه‌گرها'!$F:$F,P$1)</f>
        <v>1</v>
      </c>
      <c r="Q1356" s="242">
        <f>COUNTIFS('تجربه‌گرها'!$B:$B,$A1356,'تجربه‌گرها'!$F:$F,Q$1)</f>
        <v>0</v>
      </c>
      <c r="R1356" s="242">
        <f>COUNTIFS('تجربه‌گرها'!$B:$B,$A1356,'تجربه‌گرها'!$F:$F,R$1)</f>
        <v>0</v>
      </c>
      <c r="S1356" s="242">
        <f>COUNTIFS('تجربه‌گرها'!$B:$B,$A1356,'تجربه‌گرها'!$F:$F,S$1)</f>
        <v>0</v>
      </c>
      <c r="T1356" s="242">
        <f>COUNTIFS('تجربه‌گرها'!$B:$B,$A1356,'تجربه‌گرها'!$F:$F,T$1)</f>
        <v>0</v>
      </c>
      <c r="U1356" s="242"/>
      <c r="V1356" s="242"/>
      <c r="W1356" s="242"/>
      <c r="X1356" s="242"/>
      <c r="Y1356" s="242"/>
      <c r="Z1356" s="242"/>
      <c r="AA1356" s="242"/>
      <c r="AB1356" s="242"/>
    </row>
    <row r="1357" hidden="1">
      <c r="A1357" s="244" t="s">
        <v>6568</v>
      </c>
      <c r="B1357" s="245" t="str">
        <f>VLOOKUP(A1357,'تجربه‌گرها'!B:C,2,FALSE())</f>
        <v>۰۹۱۲۹۳۶۸۱۹۵</v>
      </c>
      <c r="C1357" s="242"/>
      <c r="D1357" s="242">
        <f t="shared" si="1"/>
        <v>1</v>
      </c>
      <c r="E1357" s="242">
        <f>COUNTIFS('تجربه‌گرها'!$B:$B,$A1357,'تجربه‌گرها'!$F:$F,E$1)</f>
        <v>0</v>
      </c>
      <c r="F1357" s="242">
        <f>COUNTIFS('تجربه‌گرها'!$B:$B,$A1357,'تجربه‌گرها'!$F:$F,F$1)</f>
        <v>0</v>
      </c>
      <c r="G1357" s="242">
        <f>COUNTIFS('تجربه‌گرها'!$B:$B,$A1357,'تجربه‌گرها'!$F:$F,G$1)</f>
        <v>0</v>
      </c>
      <c r="H1357" s="242">
        <f>COUNTIFS('تجربه‌گرها'!$B:$B,$A1357,'تجربه‌گرها'!$F:$F,H$1)</f>
        <v>0</v>
      </c>
      <c r="I1357" s="242">
        <f>COUNTIFS('تجربه‌گرها'!$B:$B,$A1357,'تجربه‌گرها'!$F:$F,I$1)</f>
        <v>0</v>
      </c>
      <c r="J1357" s="242">
        <f>COUNTIFS('تجربه‌گرها'!$B:$B,$A1357,'تجربه‌گرها'!$F:$F,J$1)</f>
        <v>0</v>
      </c>
      <c r="K1357" s="242">
        <f>COUNTIFS('تجربه‌گرها'!$B:$B,$A1357,'تجربه‌گرها'!$F:$F,K$1)</f>
        <v>0</v>
      </c>
      <c r="L1357" s="242">
        <f>COUNTIFS('تجربه‌گرها'!$B:$B,$A1357,'تجربه‌گرها'!$F:$F,L$1)</f>
        <v>0</v>
      </c>
      <c r="M1357" s="242">
        <f>COUNTIFS('تجربه‌گرها'!$B:$B,$A1357,'تجربه‌گرها'!$F:$F,M$1)</f>
        <v>0</v>
      </c>
      <c r="N1357" s="242">
        <f>COUNTIFS('تجربه‌گرها'!$B:$B,$A1357,'تجربه‌گرها'!$F:$F,N$1)</f>
        <v>0</v>
      </c>
      <c r="O1357" s="242">
        <f>COUNTIFS('تجربه‌گرها'!$B:$B,$A1357,'تجربه‌گرها'!$F:$F,O$1)</f>
        <v>0</v>
      </c>
      <c r="P1357" s="242">
        <f>COUNTIFS('تجربه‌گرها'!$B:$B,$A1357,'تجربه‌گرها'!$F:$F,P$1)</f>
        <v>1</v>
      </c>
      <c r="Q1357" s="242">
        <f>COUNTIFS('تجربه‌گرها'!$B:$B,$A1357,'تجربه‌گرها'!$F:$F,Q$1)</f>
        <v>0</v>
      </c>
      <c r="R1357" s="242">
        <f>COUNTIFS('تجربه‌گرها'!$B:$B,$A1357,'تجربه‌گرها'!$F:$F,R$1)</f>
        <v>0</v>
      </c>
      <c r="S1357" s="242">
        <f>COUNTIFS('تجربه‌گرها'!$B:$B,$A1357,'تجربه‌گرها'!$F:$F,S$1)</f>
        <v>0</v>
      </c>
      <c r="T1357" s="242">
        <f>COUNTIFS('تجربه‌گرها'!$B:$B,$A1357,'تجربه‌گرها'!$F:$F,T$1)</f>
        <v>0</v>
      </c>
      <c r="U1357" s="242"/>
      <c r="V1357" s="242"/>
      <c r="W1357" s="242"/>
      <c r="X1357" s="242"/>
      <c r="Y1357" s="242"/>
      <c r="Z1357" s="242"/>
      <c r="AA1357" s="242"/>
      <c r="AB1357" s="242"/>
    </row>
    <row r="1358" hidden="1">
      <c r="A1358" s="244" t="s">
        <v>6571</v>
      </c>
      <c r="B1358" s="245" t="str">
        <f>VLOOKUP(A1358,'تجربه‌گرها'!B:C,2,FALSE())</f>
        <v>9126091463</v>
      </c>
      <c r="C1358" s="242"/>
      <c r="D1358" s="242">
        <f t="shared" si="1"/>
        <v>1</v>
      </c>
      <c r="E1358" s="242">
        <f>COUNTIFS('تجربه‌گرها'!$B:$B,$A1358,'تجربه‌گرها'!$F:$F,E$1)</f>
        <v>0</v>
      </c>
      <c r="F1358" s="242">
        <f>COUNTIFS('تجربه‌گرها'!$B:$B,$A1358,'تجربه‌گرها'!$F:$F,F$1)</f>
        <v>0</v>
      </c>
      <c r="G1358" s="242">
        <f>COUNTIFS('تجربه‌گرها'!$B:$B,$A1358,'تجربه‌گرها'!$F:$F,G$1)</f>
        <v>0</v>
      </c>
      <c r="H1358" s="242">
        <f>COUNTIFS('تجربه‌گرها'!$B:$B,$A1358,'تجربه‌گرها'!$F:$F,H$1)</f>
        <v>0</v>
      </c>
      <c r="I1358" s="242">
        <f>COUNTIFS('تجربه‌گرها'!$B:$B,$A1358,'تجربه‌گرها'!$F:$F,I$1)</f>
        <v>0</v>
      </c>
      <c r="J1358" s="242">
        <f>COUNTIFS('تجربه‌گرها'!$B:$B,$A1358,'تجربه‌گرها'!$F:$F,J$1)</f>
        <v>0</v>
      </c>
      <c r="K1358" s="242">
        <f>COUNTIFS('تجربه‌گرها'!$B:$B,$A1358,'تجربه‌گرها'!$F:$F,K$1)</f>
        <v>0</v>
      </c>
      <c r="L1358" s="242">
        <f>COUNTIFS('تجربه‌گرها'!$B:$B,$A1358,'تجربه‌گرها'!$F:$F,L$1)</f>
        <v>0</v>
      </c>
      <c r="M1358" s="242">
        <f>COUNTIFS('تجربه‌گرها'!$B:$B,$A1358,'تجربه‌گرها'!$F:$F,M$1)</f>
        <v>0</v>
      </c>
      <c r="N1358" s="242">
        <f>COUNTIFS('تجربه‌گرها'!$B:$B,$A1358,'تجربه‌گرها'!$F:$F,N$1)</f>
        <v>0</v>
      </c>
      <c r="O1358" s="242">
        <f>COUNTIFS('تجربه‌گرها'!$B:$B,$A1358,'تجربه‌گرها'!$F:$F,O$1)</f>
        <v>0</v>
      </c>
      <c r="P1358" s="242">
        <f>COUNTIFS('تجربه‌گرها'!$B:$B,$A1358,'تجربه‌گرها'!$F:$F,P$1)</f>
        <v>1</v>
      </c>
      <c r="Q1358" s="242">
        <f>COUNTIFS('تجربه‌گرها'!$B:$B,$A1358,'تجربه‌گرها'!$F:$F,Q$1)</f>
        <v>0</v>
      </c>
      <c r="R1358" s="242">
        <f>COUNTIFS('تجربه‌گرها'!$B:$B,$A1358,'تجربه‌گرها'!$F:$F,R$1)</f>
        <v>0</v>
      </c>
      <c r="S1358" s="242">
        <f>COUNTIFS('تجربه‌گرها'!$B:$B,$A1358,'تجربه‌گرها'!$F:$F,S$1)</f>
        <v>0</v>
      </c>
      <c r="T1358" s="242">
        <f>COUNTIFS('تجربه‌گرها'!$B:$B,$A1358,'تجربه‌گرها'!$F:$F,T$1)</f>
        <v>0</v>
      </c>
      <c r="U1358" s="242"/>
      <c r="V1358" s="242"/>
      <c r="W1358" s="242"/>
      <c r="X1358" s="242"/>
      <c r="Y1358" s="242"/>
      <c r="Z1358" s="242"/>
      <c r="AA1358" s="242"/>
      <c r="AB1358" s="242"/>
    </row>
    <row r="1359" hidden="1">
      <c r="A1359" s="244" t="s">
        <v>6575</v>
      </c>
      <c r="B1359" s="245" t="str">
        <f>VLOOKUP(A1359,'تجربه‌گرها'!B:C,2,FALSE())</f>
        <v>9133157513</v>
      </c>
      <c r="C1359" s="242"/>
      <c r="D1359" s="242">
        <f t="shared" si="1"/>
        <v>1</v>
      </c>
      <c r="E1359" s="242">
        <f>COUNTIFS('تجربه‌گرها'!$B:$B,$A1359,'تجربه‌گرها'!$F:$F,E$1)</f>
        <v>0</v>
      </c>
      <c r="F1359" s="242">
        <f>COUNTIFS('تجربه‌گرها'!$B:$B,$A1359,'تجربه‌گرها'!$F:$F,F$1)</f>
        <v>0</v>
      </c>
      <c r="G1359" s="242">
        <f>COUNTIFS('تجربه‌گرها'!$B:$B,$A1359,'تجربه‌گرها'!$F:$F,G$1)</f>
        <v>0</v>
      </c>
      <c r="H1359" s="242">
        <f>COUNTIFS('تجربه‌گرها'!$B:$B,$A1359,'تجربه‌گرها'!$F:$F,H$1)</f>
        <v>0</v>
      </c>
      <c r="I1359" s="242">
        <f>COUNTIFS('تجربه‌گرها'!$B:$B,$A1359,'تجربه‌گرها'!$F:$F,I$1)</f>
        <v>0</v>
      </c>
      <c r="J1359" s="242">
        <f>COUNTIFS('تجربه‌گرها'!$B:$B,$A1359,'تجربه‌گرها'!$F:$F,J$1)</f>
        <v>0</v>
      </c>
      <c r="K1359" s="242">
        <f>COUNTIFS('تجربه‌گرها'!$B:$B,$A1359,'تجربه‌گرها'!$F:$F,K$1)</f>
        <v>0</v>
      </c>
      <c r="L1359" s="242">
        <f>COUNTIFS('تجربه‌گرها'!$B:$B,$A1359,'تجربه‌گرها'!$F:$F,L$1)</f>
        <v>0</v>
      </c>
      <c r="M1359" s="242">
        <f>COUNTIFS('تجربه‌گرها'!$B:$B,$A1359,'تجربه‌گرها'!$F:$F,M$1)</f>
        <v>0</v>
      </c>
      <c r="N1359" s="242">
        <f>COUNTIFS('تجربه‌گرها'!$B:$B,$A1359,'تجربه‌گرها'!$F:$F,N$1)</f>
        <v>0</v>
      </c>
      <c r="O1359" s="242">
        <f>COUNTIFS('تجربه‌گرها'!$B:$B,$A1359,'تجربه‌گرها'!$F:$F,O$1)</f>
        <v>0</v>
      </c>
      <c r="P1359" s="242">
        <f>COUNTIFS('تجربه‌گرها'!$B:$B,$A1359,'تجربه‌گرها'!$F:$F,P$1)</f>
        <v>1</v>
      </c>
      <c r="Q1359" s="242">
        <f>COUNTIFS('تجربه‌گرها'!$B:$B,$A1359,'تجربه‌گرها'!$F:$F,Q$1)</f>
        <v>0</v>
      </c>
      <c r="R1359" s="242">
        <f>COUNTIFS('تجربه‌گرها'!$B:$B,$A1359,'تجربه‌گرها'!$F:$F,R$1)</f>
        <v>0</v>
      </c>
      <c r="S1359" s="242">
        <f>COUNTIFS('تجربه‌گرها'!$B:$B,$A1359,'تجربه‌گرها'!$F:$F,S$1)</f>
        <v>0</v>
      </c>
      <c r="T1359" s="242">
        <f>COUNTIFS('تجربه‌گرها'!$B:$B,$A1359,'تجربه‌گرها'!$F:$F,T$1)</f>
        <v>0</v>
      </c>
      <c r="U1359" s="242"/>
      <c r="V1359" s="242"/>
      <c r="W1359" s="242"/>
      <c r="X1359" s="242"/>
      <c r="Y1359" s="242"/>
      <c r="Z1359" s="242"/>
      <c r="AA1359" s="242"/>
      <c r="AB1359" s="242"/>
    </row>
    <row r="1360" hidden="1">
      <c r="A1360" s="244" t="s">
        <v>6580</v>
      </c>
      <c r="B1360" s="245" t="str">
        <f>VLOOKUP(A1360,'تجربه‌گرها'!B:C,2,FALSE())</f>
        <v>9132008440</v>
      </c>
      <c r="C1360" s="242"/>
      <c r="D1360" s="242">
        <f t="shared" si="1"/>
        <v>1</v>
      </c>
      <c r="E1360" s="242">
        <f>COUNTIFS('تجربه‌گرها'!$B:$B,$A1360,'تجربه‌گرها'!$F:$F,E$1)</f>
        <v>0</v>
      </c>
      <c r="F1360" s="242">
        <f>COUNTIFS('تجربه‌گرها'!$B:$B,$A1360,'تجربه‌گرها'!$F:$F,F$1)</f>
        <v>0</v>
      </c>
      <c r="G1360" s="242">
        <f>COUNTIFS('تجربه‌گرها'!$B:$B,$A1360,'تجربه‌گرها'!$F:$F,G$1)</f>
        <v>0</v>
      </c>
      <c r="H1360" s="242">
        <f>COUNTIFS('تجربه‌گرها'!$B:$B,$A1360,'تجربه‌گرها'!$F:$F,H$1)</f>
        <v>0</v>
      </c>
      <c r="I1360" s="242">
        <f>COUNTIFS('تجربه‌گرها'!$B:$B,$A1360,'تجربه‌گرها'!$F:$F,I$1)</f>
        <v>0</v>
      </c>
      <c r="J1360" s="242">
        <f>COUNTIFS('تجربه‌گرها'!$B:$B,$A1360,'تجربه‌گرها'!$F:$F,J$1)</f>
        <v>0</v>
      </c>
      <c r="K1360" s="242">
        <f>COUNTIFS('تجربه‌گرها'!$B:$B,$A1360,'تجربه‌گرها'!$F:$F,K$1)</f>
        <v>0</v>
      </c>
      <c r="L1360" s="242">
        <f>COUNTIFS('تجربه‌گرها'!$B:$B,$A1360,'تجربه‌گرها'!$F:$F,L$1)</f>
        <v>0</v>
      </c>
      <c r="M1360" s="242">
        <f>COUNTIFS('تجربه‌گرها'!$B:$B,$A1360,'تجربه‌گرها'!$F:$F,M$1)</f>
        <v>0</v>
      </c>
      <c r="N1360" s="242">
        <f>COUNTIFS('تجربه‌گرها'!$B:$B,$A1360,'تجربه‌گرها'!$F:$F,N$1)</f>
        <v>0</v>
      </c>
      <c r="O1360" s="242">
        <f>COUNTIFS('تجربه‌گرها'!$B:$B,$A1360,'تجربه‌گرها'!$F:$F,O$1)</f>
        <v>0</v>
      </c>
      <c r="P1360" s="242">
        <f>COUNTIFS('تجربه‌گرها'!$B:$B,$A1360,'تجربه‌گرها'!$F:$F,P$1)</f>
        <v>1</v>
      </c>
      <c r="Q1360" s="242">
        <f>COUNTIFS('تجربه‌گرها'!$B:$B,$A1360,'تجربه‌گرها'!$F:$F,Q$1)</f>
        <v>0</v>
      </c>
      <c r="R1360" s="242">
        <f>COUNTIFS('تجربه‌گرها'!$B:$B,$A1360,'تجربه‌گرها'!$F:$F,R$1)</f>
        <v>0</v>
      </c>
      <c r="S1360" s="242">
        <f>COUNTIFS('تجربه‌گرها'!$B:$B,$A1360,'تجربه‌گرها'!$F:$F,S$1)</f>
        <v>0</v>
      </c>
      <c r="T1360" s="242">
        <f>COUNTIFS('تجربه‌گرها'!$B:$B,$A1360,'تجربه‌گرها'!$F:$F,T$1)</f>
        <v>0</v>
      </c>
      <c r="U1360" s="242"/>
      <c r="V1360" s="242"/>
      <c r="W1360" s="242"/>
      <c r="X1360" s="242"/>
      <c r="Y1360" s="242"/>
      <c r="Z1360" s="242"/>
      <c r="AA1360" s="242"/>
      <c r="AB1360" s="242"/>
    </row>
    <row r="1361" hidden="1">
      <c r="A1361" s="244" t="s">
        <v>6583</v>
      </c>
      <c r="B1361" s="245" t="str">
        <f>VLOOKUP(A1361,'تجربه‌گرها'!B:C,2,FALSE())</f>
        <v>9396370137</v>
      </c>
      <c r="C1361" s="242"/>
      <c r="D1361" s="242">
        <f t="shared" si="1"/>
        <v>1</v>
      </c>
      <c r="E1361" s="242">
        <f>COUNTIFS('تجربه‌گرها'!$B:$B,$A1361,'تجربه‌گرها'!$F:$F,E$1)</f>
        <v>0</v>
      </c>
      <c r="F1361" s="242">
        <f>COUNTIFS('تجربه‌گرها'!$B:$B,$A1361,'تجربه‌گرها'!$F:$F,F$1)</f>
        <v>0</v>
      </c>
      <c r="G1361" s="242">
        <f>COUNTIFS('تجربه‌گرها'!$B:$B,$A1361,'تجربه‌گرها'!$F:$F,G$1)</f>
        <v>0</v>
      </c>
      <c r="H1361" s="242">
        <f>COUNTIFS('تجربه‌گرها'!$B:$B,$A1361,'تجربه‌گرها'!$F:$F,H$1)</f>
        <v>0</v>
      </c>
      <c r="I1361" s="242">
        <f>COUNTIFS('تجربه‌گرها'!$B:$B,$A1361,'تجربه‌گرها'!$F:$F,I$1)</f>
        <v>0</v>
      </c>
      <c r="J1361" s="242">
        <f>COUNTIFS('تجربه‌گرها'!$B:$B,$A1361,'تجربه‌گرها'!$F:$F,J$1)</f>
        <v>0</v>
      </c>
      <c r="K1361" s="242">
        <f>COUNTIFS('تجربه‌گرها'!$B:$B,$A1361,'تجربه‌گرها'!$F:$F,K$1)</f>
        <v>0</v>
      </c>
      <c r="L1361" s="242">
        <f>COUNTIFS('تجربه‌گرها'!$B:$B,$A1361,'تجربه‌گرها'!$F:$F,L$1)</f>
        <v>0</v>
      </c>
      <c r="M1361" s="242">
        <f>COUNTIFS('تجربه‌گرها'!$B:$B,$A1361,'تجربه‌گرها'!$F:$F,M$1)</f>
        <v>0</v>
      </c>
      <c r="N1361" s="242">
        <f>COUNTIFS('تجربه‌گرها'!$B:$B,$A1361,'تجربه‌گرها'!$F:$F,N$1)</f>
        <v>0</v>
      </c>
      <c r="O1361" s="242">
        <f>COUNTIFS('تجربه‌گرها'!$B:$B,$A1361,'تجربه‌گرها'!$F:$F,O$1)</f>
        <v>0</v>
      </c>
      <c r="P1361" s="242">
        <f>COUNTIFS('تجربه‌گرها'!$B:$B,$A1361,'تجربه‌گرها'!$F:$F,P$1)</f>
        <v>1</v>
      </c>
      <c r="Q1361" s="242">
        <f>COUNTIFS('تجربه‌گرها'!$B:$B,$A1361,'تجربه‌گرها'!$F:$F,Q$1)</f>
        <v>0</v>
      </c>
      <c r="R1361" s="242">
        <f>COUNTIFS('تجربه‌گرها'!$B:$B,$A1361,'تجربه‌گرها'!$F:$F,R$1)</f>
        <v>0</v>
      </c>
      <c r="S1361" s="242">
        <f>COUNTIFS('تجربه‌گرها'!$B:$B,$A1361,'تجربه‌گرها'!$F:$F,S$1)</f>
        <v>0</v>
      </c>
      <c r="T1361" s="242">
        <f>COUNTIFS('تجربه‌گرها'!$B:$B,$A1361,'تجربه‌گرها'!$F:$F,T$1)</f>
        <v>0</v>
      </c>
      <c r="U1361" s="242"/>
      <c r="V1361" s="242"/>
      <c r="W1361" s="242"/>
      <c r="X1361" s="242"/>
      <c r="Y1361" s="242"/>
      <c r="Z1361" s="242"/>
      <c r="AA1361" s="242"/>
      <c r="AB1361" s="242"/>
    </row>
    <row r="1362" hidden="1">
      <c r="A1362" s="244" t="s">
        <v>6587</v>
      </c>
      <c r="B1362" s="245" t="str">
        <f>VLOOKUP(A1362,'تجربه‌گرها'!B:C,2,FALSE())</f>
        <v>9133651510</v>
      </c>
      <c r="C1362" s="242"/>
      <c r="D1362" s="242">
        <f t="shared" si="1"/>
        <v>1</v>
      </c>
      <c r="E1362" s="242">
        <f>COUNTIFS('تجربه‌گرها'!$B:$B,$A1362,'تجربه‌گرها'!$F:$F,E$1)</f>
        <v>0</v>
      </c>
      <c r="F1362" s="242">
        <f>COUNTIFS('تجربه‌گرها'!$B:$B,$A1362,'تجربه‌گرها'!$F:$F,F$1)</f>
        <v>0</v>
      </c>
      <c r="G1362" s="242">
        <f>COUNTIFS('تجربه‌گرها'!$B:$B,$A1362,'تجربه‌گرها'!$F:$F,G$1)</f>
        <v>0</v>
      </c>
      <c r="H1362" s="242">
        <f>COUNTIFS('تجربه‌گرها'!$B:$B,$A1362,'تجربه‌گرها'!$F:$F,H$1)</f>
        <v>0</v>
      </c>
      <c r="I1362" s="242">
        <f>COUNTIFS('تجربه‌گرها'!$B:$B,$A1362,'تجربه‌گرها'!$F:$F,I$1)</f>
        <v>0</v>
      </c>
      <c r="J1362" s="242">
        <f>COUNTIFS('تجربه‌گرها'!$B:$B,$A1362,'تجربه‌گرها'!$F:$F,J$1)</f>
        <v>0</v>
      </c>
      <c r="K1362" s="242">
        <f>COUNTIFS('تجربه‌گرها'!$B:$B,$A1362,'تجربه‌گرها'!$F:$F,K$1)</f>
        <v>0</v>
      </c>
      <c r="L1362" s="242">
        <f>COUNTIFS('تجربه‌گرها'!$B:$B,$A1362,'تجربه‌گرها'!$F:$F,L$1)</f>
        <v>0</v>
      </c>
      <c r="M1362" s="242">
        <f>COUNTIFS('تجربه‌گرها'!$B:$B,$A1362,'تجربه‌گرها'!$F:$F,M$1)</f>
        <v>0</v>
      </c>
      <c r="N1362" s="242">
        <f>COUNTIFS('تجربه‌گرها'!$B:$B,$A1362,'تجربه‌گرها'!$F:$F,N$1)</f>
        <v>0</v>
      </c>
      <c r="O1362" s="242">
        <f>COUNTIFS('تجربه‌گرها'!$B:$B,$A1362,'تجربه‌گرها'!$F:$F,O$1)</f>
        <v>0</v>
      </c>
      <c r="P1362" s="242">
        <f>COUNTIFS('تجربه‌گرها'!$B:$B,$A1362,'تجربه‌گرها'!$F:$F,P$1)</f>
        <v>1</v>
      </c>
      <c r="Q1362" s="242">
        <f>COUNTIFS('تجربه‌گرها'!$B:$B,$A1362,'تجربه‌گرها'!$F:$F,Q$1)</f>
        <v>0</v>
      </c>
      <c r="R1362" s="242">
        <f>COUNTIFS('تجربه‌گرها'!$B:$B,$A1362,'تجربه‌گرها'!$F:$F,R$1)</f>
        <v>0</v>
      </c>
      <c r="S1362" s="242">
        <f>COUNTIFS('تجربه‌گرها'!$B:$B,$A1362,'تجربه‌گرها'!$F:$F,S$1)</f>
        <v>0</v>
      </c>
      <c r="T1362" s="242">
        <f>COUNTIFS('تجربه‌گرها'!$B:$B,$A1362,'تجربه‌گرها'!$F:$F,T$1)</f>
        <v>0</v>
      </c>
      <c r="U1362" s="242"/>
      <c r="V1362" s="242"/>
      <c r="W1362" s="242"/>
      <c r="X1362" s="242"/>
      <c r="Y1362" s="242"/>
      <c r="Z1362" s="242"/>
      <c r="AA1362" s="242"/>
      <c r="AB1362" s="242"/>
    </row>
    <row r="1363" hidden="1">
      <c r="A1363" s="244" t="s">
        <v>6591</v>
      </c>
      <c r="B1363" s="245" t="str">
        <f>VLOOKUP(A1363,'تجربه‌گرها'!B:C,2,FALSE())</f>
        <v>9198952029</v>
      </c>
      <c r="C1363" s="242"/>
      <c r="D1363" s="242">
        <f t="shared" si="1"/>
        <v>1</v>
      </c>
      <c r="E1363" s="242">
        <f>COUNTIFS('تجربه‌گرها'!$B:$B,$A1363,'تجربه‌گرها'!$F:$F,E$1)</f>
        <v>0</v>
      </c>
      <c r="F1363" s="242">
        <f>COUNTIFS('تجربه‌گرها'!$B:$B,$A1363,'تجربه‌گرها'!$F:$F,F$1)</f>
        <v>0</v>
      </c>
      <c r="G1363" s="242">
        <f>COUNTIFS('تجربه‌گرها'!$B:$B,$A1363,'تجربه‌گرها'!$F:$F,G$1)</f>
        <v>0</v>
      </c>
      <c r="H1363" s="242">
        <f>COUNTIFS('تجربه‌گرها'!$B:$B,$A1363,'تجربه‌گرها'!$F:$F,H$1)</f>
        <v>0</v>
      </c>
      <c r="I1363" s="242">
        <f>COUNTIFS('تجربه‌گرها'!$B:$B,$A1363,'تجربه‌گرها'!$F:$F,I$1)</f>
        <v>0</v>
      </c>
      <c r="J1363" s="242">
        <f>COUNTIFS('تجربه‌گرها'!$B:$B,$A1363,'تجربه‌گرها'!$F:$F,J$1)</f>
        <v>0</v>
      </c>
      <c r="K1363" s="242">
        <f>COUNTIFS('تجربه‌گرها'!$B:$B,$A1363,'تجربه‌گرها'!$F:$F,K$1)</f>
        <v>0</v>
      </c>
      <c r="L1363" s="242">
        <f>COUNTIFS('تجربه‌گرها'!$B:$B,$A1363,'تجربه‌گرها'!$F:$F,L$1)</f>
        <v>0</v>
      </c>
      <c r="M1363" s="242">
        <f>COUNTIFS('تجربه‌گرها'!$B:$B,$A1363,'تجربه‌گرها'!$F:$F,M$1)</f>
        <v>0</v>
      </c>
      <c r="N1363" s="242">
        <f>COUNTIFS('تجربه‌گرها'!$B:$B,$A1363,'تجربه‌گرها'!$F:$F,N$1)</f>
        <v>0</v>
      </c>
      <c r="O1363" s="242">
        <f>COUNTIFS('تجربه‌گرها'!$B:$B,$A1363,'تجربه‌گرها'!$F:$F,O$1)</f>
        <v>0</v>
      </c>
      <c r="P1363" s="242">
        <f>COUNTIFS('تجربه‌گرها'!$B:$B,$A1363,'تجربه‌گرها'!$F:$F,P$1)</f>
        <v>1</v>
      </c>
      <c r="Q1363" s="242">
        <f>COUNTIFS('تجربه‌گرها'!$B:$B,$A1363,'تجربه‌گرها'!$F:$F,Q$1)</f>
        <v>0</v>
      </c>
      <c r="R1363" s="242">
        <f>COUNTIFS('تجربه‌گرها'!$B:$B,$A1363,'تجربه‌گرها'!$F:$F,R$1)</f>
        <v>0</v>
      </c>
      <c r="S1363" s="242">
        <f>COUNTIFS('تجربه‌گرها'!$B:$B,$A1363,'تجربه‌گرها'!$F:$F,S$1)</f>
        <v>0</v>
      </c>
      <c r="T1363" s="242">
        <f>COUNTIFS('تجربه‌گرها'!$B:$B,$A1363,'تجربه‌گرها'!$F:$F,T$1)</f>
        <v>0</v>
      </c>
      <c r="U1363" s="242"/>
      <c r="V1363" s="242"/>
      <c r="W1363" s="242"/>
      <c r="X1363" s="242"/>
      <c r="Y1363" s="242"/>
      <c r="Z1363" s="242"/>
      <c r="AA1363" s="242"/>
      <c r="AB1363" s="242"/>
    </row>
    <row r="1364" hidden="1">
      <c r="A1364" s="244" t="s">
        <v>6595</v>
      </c>
      <c r="B1364" s="245" t="str">
        <f>VLOOKUP(A1364,'تجربه‌گرها'!B:C,2,FALSE())</f>
        <v>9305923545</v>
      </c>
      <c r="C1364" s="242"/>
      <c r="D1364" s="242">
        <f t="shared" si="1"/>
        <v>1</v>
      </c>
      <c r="E1364" s="242">
        <f>COUNTIFS('تجربه‌گرها'!$B:$B,$A1364,'تجربه‌گرها'!$F:$F,E$1)</f>
        <v>0</v>
      </c>
      <c r="F1364" s="242">
        <f>COUNTIFS('تجربه‌گرها'!$B:$B,$A1364,'تجربه‌گرها'!$F:$F,F$1)</f>
        <v>0</v>
      </c>
      <c r="G1364" s="242">
        <f>COUNTIFS('تجربه‌گرها'!$B:$B,$A1364,'تجربه‌گرها'!$F:$F,G$1)</f>
        <v>0</v>
      </c>
      <c r="H1364" s="242">
        <f>COUNTIFS('تجربه‌گرها'!$B:$B,$A1364,'تجربه‌گرها'!$F:$F,H$1)</f>
        <v>0</v>
      </c>
      <c r="I1364" s="242">
        <f>COUNTIFS('تجربه‌گرها'!$B:$B,$A1364,'تجربه‌گرها'!$F:$F,I$1)</f>
        <v>0</v>
      </c>
      <c r="J1364" s="242">
        <f>COUNTIFS('تجربه‌گرها'!$B:$B,$A1364,'تجربه‌گرها'!$F:$F,J$1)</f>
        <v>0</v>
      </c>
      <c r="K1364" s="242">
        <f>COUNTIFS('تجربه‌گرها'!$B:$B,$A1364,'تجربه‌گرها'!$F:$F,K$1)</f>
        <v>0</v>
      </c>
      <c r="L1364" s="242">
        <f>COUNTIFS('تجربه‌گرها'!$B:$B,$A1364,'تجربه‌گرها'!$F:$F,L$1)</f>
        <v>0</v>
      </c>
      <c r="M1364" s="242">
        <f>COUNTIFS('تجربه‌گرها'!$B:$B,$A1364,'تجربه‌گرها'!$F:$F,M$1)</f>
        <v>0</v>
      </c>
      <c r="N1364" s="242">
        <f>COUNTIFS('تجربه‌گرها'!$B:$B,$A1364,'تجربه‌گرها'!$F:$F,N$1)</f>
        <v>0</v>
      </c>
      <c r="O1364" s="242">
        <f>COUNTIFS('تجربه‌گرها'!$B:$B,$A1364,'تجربه‌گرها'!$F:$F,O$1)</f>
        <v>0</v>
      </c>
      <c r="P1364" s="242">
        <f>COUNTIFS('تجربه‌گرها'!$B:$B,$A1364,'تجربه‌گرها'!$F:$F,P$1)</f>
        <v>1</v>
      </c>
      <c r="Q1364" s="242">
        <f>COUNTIFS('تجربه‌گرها'!$B:$B,$A1364,'تجربه‌گرها'!$F:$F,Q$1)</f>
        <v>0</v>
      </c>
      <c r="R1364" s="242">
        <f>COUNTIFS('تجربه‌گرها'!$B:$B,$A1364,'تجربه‌گرها'!$F:$F,R$1)</f>
        <v>0</v>
      </c>
      <c r="S1364" s="242">
        <f>COUNTIFS('تجربه‌گرها'!$B:$B,$A1364,'تجربه‌گرها'!$F:$F,S$1)</f>
        <v>0</v>
      </c>
      <c r="T1364" s="242">
        <f>COUNTIFS('تجربه‌گرها'!$B:$B,$A1364,'تجربه‌گرها'!$F:$F,T$1)</f>
        <v>0</v>
      </c>
      <c r="U1364" s="242"/>
      <c r="V1364" s="242"/>
      <c r="W1364" s="242"/>
      <c r="X1364" s="242"/>
      <c r="Y1364" s="242"/>
      <c r="Z1364" s="242"/>
      <c r="AA1364" s="242"/>
      <c r="AB1364" s="242"/>
    </row>
    <row r="1365" hidden="1">
      <c r="A1365" s="244" t="s">
        <v>6599</v>
      </c>
      <c r="B1365" s="245" t="str">
        <f>VLOOKUP(A1365,'تجربه‌گرها'!B:C,2,FALSE())</f>
        <v>9108485018</v>
      </c>
      <c r="C1365" s="242"/>
      <c r="D1365" s="242">
        <f t="shared" si="1"/>
        <v>1</v>
      </c>
      <c r="E1365" s="242">
        <f>COUNTIFS('تجربه‌گرها'!$B:$B,$A1365,'تجربه‌گرها'!$F:$F,E$1)</f>
        <v>0</v>
      </c>
      <c r="F1365" s="242">
        <f>COUNTIFS('تجربه‌گرها'!$B:$B,$A1365,'تجربه‌گرها'!$F:$F,F$1)</f>
        <v>0</v>
      </c>
      <c r="G1365" s="242">
        <f>COUNTIFS('تجربه‌گرها'!$B:$B,$A1365,'تجربه‌گرها'!$F:$F,G$1)</f>
        <v>0</v>
      </c>
      <c r="H1365" s="242">
        <f>COUNTIFS('تجربه‌گرها'!$B:$B,$A1365,'تجربه‌گرها'!$F:$F,H$1)</f>
        <v>0</v>
      </c>
      <c r="I1365" s="242">
        <f>COUNTIFS('تجربه‌گرها'!$B:$B,$A1365,'تجربه‌گرها'!$F:$F,I$1)</f>
        <v>0</v>
      </c>
      <c r="J1365" s="242">
        <f>COUNTIFS('تجربه‌گرها'!$B:$B,$A1365,'تجربه‌گرها'!$F:$F,J$1)</f>
        <v>0</v>
      </c>
      <c r="K1365" s="242">
        <f>COUNTIFS('تجربه‌گرها'!$B:$B,$A1365,'تجربه‌گرها'!$F:$F,K$1)</f>
        <v>0</v>
      </c>
      <c r="L1365" s="242">
        <f>COUNTIFS('تجربه‌گرها'!$B:$B,$A1365,'تجربه‌گرها'!$F:$F,L$1)</f>
        <v>0</v>
      </c>
      <c r="M1365" s="242">
        <f>COUNTIFS('تجربه‌گرها'!$B:$B,$A1365,'تجربه‌گرها'!$F:$F,M$1)</f>
        <v>0</v>
      </c>
      <c r="N1365" s="242">
        <f>COUNTIFS('تجربه‌گرها'!$B:$B,$A1365,'تجربه‌گرها'!$F:$F,N$1)</f>
        <v>0</v>
      </c>
      <c r="O1365" s="242">
        <f>COUNTIFS('تجربه‌گرها'!$B:$B,$A1365,'تجربه‌گرها'!$F:$F,O$1)</f>
        <v>0</v>
      </c>
      <c r="P1365" s="242">
        <f>COUNTIFS('تجربه‌گرها'!$B:$B,$A1365,'تجربه‌گرها'!$F:$F,P$1)</f>
        <v>1</v>
      </c>
      <c r="Q1365" s="242">
        <f>COUNTIFS('تجربه‌گرها'!$B:$B,$A1365,'تجربه‌گرها'!$F:$F,Q$1)</f>
        <v>0</v>
      </c>
      <c r="R1365" s="242">
        <f>COUNTIFS('تجربه‌گرها'!$B:$B,$A1365,'تجربه‌گرها'!$F:$F,R$1)</f>
        <v>0</v>
      </c>
      <c r="S1365" s="242">
        <f>COUNTIFS('تجربه‌گرها'!$B:$B,$A1365,'تجربه‌گرها'!$F:$F,S$1)</f>
        <v>0</v>
      </c>
      <c r="T1365" s="242">
        <f>COUNTIFS('تجربه‌گرها'!$B:$B,$A1365,'تجربه‌گرها'!$F:$F,T$1)</f>
        <v>0</v>
      </c>
      <c r="U1365" s="242"/>
      <c r="V1365" s="242"/>
      <c r="W1365" s="242"/>
      <c r="X1365" s="242"/>
      <c r="Y1365" s="242"/>
      <c r="Z1365" s="242"/>
      <c r="AA1365" s="242"/>
      <c r="AB1365" s="242"/>
    </row>
    <row r="1366" hidden="1">
      <c r="A1366" s="244" t="s">
        <v>6603</v>
      </c>
      <c r="B1366" s="245" t="str">
        <f>VLOOKUP(A1366,'تجربه‌گرها'!B:C,2,FALSE())</f>
        <v>9121263009</v>
      </c>
      <c r="C1366" s="242"/>
      <c r="D1366" s="242">
        <f t="shared" si="1"/>
        <v>1</v>
      </c>
      <c r="E1366" s="242">
        <f>COUNTIFS('تجربه‌گرها'!$B:$B,$A1366,'تجربه‌گرها'!$F:$F,E$1)</f>
        <v>0</v>
      </c>
      <c r="F1366" s="242">
        <f>COUNTIFS('تجربه‌گرها'!$B:$B,$A1366,'تجربه‌گرها'!$F:$F,F$1)</f>
        <v>0</v>
      </c>
      <c r="G1366" s="242">
        <f>COUNTIFS('تجربه‌گرها'!$B:$B,$A1366,'تجربه‌گرها'!$F:$F,G$1)</f>
        <v>0</v>
      </c>
      <c r="H1366" s="242">
        <f>COUNTIFS('تجربه‌گرها'!$B:$B,$A1366,'تجربه‌گرها'!$F:$F,H$1)</f>
        <v>0</v>
      </c>
      <c r="I1366" s="242">
        <f>COUNTIFS('تجربه‌گرها'!$B:$B,$A1366,'تجربه‌گرها'!$F:$F,I$1)</f>
        <v>0</v>
      </c>
      <c r="J1366" s="242">
        <f>COUNTIFS('تجربه‌گرها'!$B:$B,$A1366,'تجربه‌گرها'!$F:$F,J$1)</f>
        <v>0</v>
      </c>
      <c r="K1366" s="242">
        <f>COUNTIFS('تجربه‌گرها'!$B:$B,$A1366,'تجربه‌گرها'!$F:$F,K$1)</f>
        <v>0</v>
      </c>
      <c r="L1366" s="242">
        <f>COUNTIFS('تجربه‌گرها'!$B:$B,$A1366,'تجربه‌گرها'!$F:$F,L$1)</f>
        <v>0</v>
      </c>
      <c r="M1366" s="242">
        <f>COUNTIFS('تجربه‌گرها'!$B:$B,$A1366,'تجربه‌گرها'!$F:$F,M$1)</f>
        <v>0</v>
      </c>
      <c r="N1366" s="242">
        <f>COUNTIFS('تجربه‌گرها'!$B:$B,$A1366,'تجربه‌گرها'!$F:$F,N$1)</f>
        <v>0</v>
      </c>
      <c r="O1366" s="242">
        <f>COUNTIFS('تجربه‌گرها'!$B:$B,$A1366,'تجربه‌گرها'!$F:$F,O$1)</f>
        <v>0</v>
      </c>
      <c r="P1366" s="242">
        <f>COUNTIFS('تجربه‌گرها'!$B:$B,$A1366,'تجربه‌گرها'!$F:$F,P$1)</f>
        <v>1</v>
      </c>
      <c r="Q1366" s="242">
        <f>COUNTIFS('تجربه‌گرها'!$B:$B,$A1366,'تجربه‌گرها'!$F:$F,Q$1)</f>
        <v>0</v>
      </c>
      <c r="R1366" s="242">
        <f>COUNTIFS('تجربه‌گرها'!$B:$B,$A1366,'تجربه‌گرها'!$F:$F,R$1)</f>
        <v>0</v>
      </c>
      <c r="S1366" s="242">
        <f>COUNTIFS('تجربه‌گرها'!$B:$B,$A1366,'تجربه‌گرها'!$F:$F,S$1)</f>
        <v>0</v>
      </c>
      <c r="T1366" s="242">
        <f>COUNTIFS('تجربه‌گرها'!$B:$B,$A1366,'تجربه‌گرها'!$F:$F,T$1)</f>
        <v>0</v>
      </c>
      <c r="U1366" s="242"/>
      <c r="V1366" s="242"/>
      <c r="W1366" s="242"/>
      <c r="X1366" s="242"/>
      <c r="Y1366" s="242"/>
      <c r="Z1366" s="242"/>
      <c r="AA1366" s="242"/>
      <c r="AB1366" s="242"/>
    </row>
    <row r="1367" hidden="1">
      <c r="A1367" s="244" t="s">
        <v>6605</v>
      </c>
      <c r="B1367" s="245" t="str">
        <f>VLOOKUP(A1367,'تجربه‌گرها'!B:C,2,FALSE())</f>
        <v>9124866349</v>
      </c>
      <c r="C1367" s="242"/>
      <c r="D1367" s="242">
        <f t="shared" si="1"/>
        <v>2</v>
      </c>
      <c r="E1367" s="242">
        <f>COUNTIFS('تجربه‌گرها'!$B:$B,$A1367,'تجربه‌گرها'!$F:$F,E$1)</f>
        <v>0</v>
      </c>
      <c r="F1367" s="242">
        <f>COUNTIFS('تجربه‌گرها'!$B:$B,$A1367,'تجربه‌گرها'!$F:$F,F$1)</f>
        <v>0</v>
      </c>
      <c r="G1367" s="242">
        <f>COUNTIFS('تجربه‌گرها'!$B:$B,$A1367,'تجربه‌گرها'!$F:$F,G$1)</f>
        <v>0</v>
      </c>
      <c r="H1367" s="242">
        <f>COUNTIFS('تجربه‌گرها'!$B:$B,$A1367,'تجربه‌گرها'!$F:$F,H$1)</f>
        <v>0</v>
      </c>
      <c r="I1367" s="242">
        <f>COUNTIFS('تجربه‌گرها'!$B:$B,$A1367,'تجربه‌گرها'!$F:$F,I$1)</f>
        <v>0</v>
      </c>
      <c r="J1367" s="242">
        <f>COUNTIFS('تجربه‌گرها'!$B:$B,$A1367,'تجربه‌گرها'!$F:$F,J$1)</f>
        <v>0</v>
      </c>
      <c r="K1367" s="242">
        <f>COUNTIFS('تجربه‌گرها'!$B:$B,$A1367,'تجربه‌گرها'!$F:$F,K$1)</f>
        <v>0</v>
      </c>
      <c r="L1367" s="242">
        <f>COUNTIFS('تجربه‌گرها'!$B:$B,$A1367,'تجربه‌گرها'!$F:$F,L$1)</f>
        <v>0</v>
      </c>
      <c r="M1367" s="242">
        <f>COUNTIFS('تجربه‌گرها'!$B:$B,$A1367,'تجربه‌گرها'!$F:$F,M$1)</f>
        <v>0</v>
      </c>
      <c r="N1367" s="242">
        <f>COUNTIFS('تجربه‌گرها'!$B:$B,$A1367,'تجربه‌گرها'!$F:$F,N$1)</f>
        <v>0</v>
      </c>
      <c r="O1367" s="242">
        <f>COUNTIFS('تجربه‌گرها'!$B:$B,$A1367,'تجربه‌گرها'!$F:$F,O$1)</f>
        <v>0</v>
      </c>
      <c r="P1367" s="242">
        <f>COUNTIFS('تجربه‌گرها'!$B:$B,$A1367,'تجربه‌گرها'!$F:$F,P$1)</f>
        <v>1</v>
      </c>
      <c r="Q1367" s="242">
        <f>COUNTIFS('تجربه‌گرها'!$B:$B,$A1367,'تجربه‌گرها'!$F:$F,Q$1)</f>
        <v>0</v>
      </c>
      <c r="R1367" s="242">
        <f>COUNTIFS('تجربه‌گرها'!$B:$B,$A1367,'تجربه‌گرها'!$F:$F,R$1)</f>
        <v>1</v>
      </c>
      <c r="S1367" s="242">
        <f>COUNTIFS('تجربه‌گرها'!$B:$B,$A1367,'تجربه‌گرها'!$F:$F,S$1)</f>
        <v>0</v>
      </c>
      <c r="T1367" s="242">
        <f>COUNTIFS('تجربه‌گرها'!$B:$B,$A1367,'تجربه‌گرها'!$F:$F,T$1)</f>
        <v>0</v>
      </c>
      <c r="U1367" s="242"/>
      <c r="V1367" s="242"/>
      <c r="W1367" s="242"/>
      <c r="X1367" s="242"/>
      <c r="Y1367" s="242"/>
      <c r="Z1367" s="242"/>
      <c r="AA1367" s="242"/>
      <c r="AB1367" s="242"/>
    </row>
    <row r="1368" hidden="1">
      <c r="A1368" s="244" t="s">
        <v>6608</v>
      </c>
      <c r="B1368" s="245" t="str">
        <f>VLOOKUP(A1368,'تجربه‌گرها'!B:C,2,FALSE())</f>
        <v>9123655275</v>
      </c>
      <c r="C1368" s="242"/>
      <c r="D1368" s="242">
        <f t="shared" si="1"/>
        <v>1</v>
      </c>
      <c r="E1368" s="242">
        <f>COUNTIFS('تجربه‌گرها'!$B:$B,$A1368,'تجربه‌گرها'!$F:$F,E$1)</f>
        <v>0</v>
      </c>
      <c r="F1368" s="242">
        <f>COUNTIFS('تجربه‌گرها'!$B:$B,$A1368,'تجربه‌گرها'!$F:$F,F$1)</f>
        <v>0</v>
      </c>
      <c r="G1368" s="242">
        <f>COUNTIFS('تجربه‌گرها'!$B:$B,$A1368,'تجربه‌گرها'!$F:$F,G$1)</f>
        <v>0</v>
      </c>
      <c r="H1368" s="242">
        <f>COUNTIFS('تجربه‌گرها'!$B:$B,$A1368,'تجربه‌گرها'!$F:$F,H$1)</f>
        <v>0</v>
      </c>
      <c r="I1368" s="242">
        <f>COUNTIFS('تجربه‌گرها'!$B:$B,$A1368,'تجربه‌گرها'!$F:$F,I$1)</f>
        <v>0</v>
      </c>
      <c r="J1368" s="242">
        <f>COUNTIFS('تجربه‌گرها'!$B:$B,$A1368,'تجربه‌گرها'!$F:$F,J$1)</f>
        <v>0</v>
      </c>
      <c r="K1368" s="242">
        <f>COUNTIFS('تجربه‌گرها'!$B:$B,$A1368,'تجربه‌گرها'!$F:$F,K$1)</f>
        <v>0</v>
      </c>
      <c r="L1368" s="242">
        <f>COUNTIFS('تجربه‌گرها'!$B:$B,$A1368,'تجربه‌گرها'!$F:$F,L$1)</f>
        <v>0</v>
      </c>
      <c r="M1368" s="242">
        <f>COUNTIFS('تجربه‌گرها'!$B:$B,$A1368,'تجربه‌گرها'!$F:$F,M$1)</f>
        <v>0</v>
      </c>
      <c r="N1368" s="242">
        <f>COUNTIFS('تجربه‌گرها'!$B:$B,$A1368,'تجربه‌گرها'!$F:$F,N$1)</f>
        <v>0</v>
      </c>
      <c r="O1368" s="242">
        <f>COUNTIFS('تجربه‌گرها'!$B:$B,$A1368,'تجربه‌گرها'!$F:$F,O$1)</f>
        <v>0</v>
      </c>
      <c r="P1368" s="242">
        <f>COUNTIFS('تجربه‌گرها'!$B:$B,$A1368,'تجربه‌گرها'!$F:$F,P$1)</f>
        <v>1</v>
      </c>
      <c r="Q1368" s="242">
        <f>COUNTIFS('تجربه‌گرها'!$B:$B,$A1368,'تجربه‌گرها'!$F:$F,Q$1)</f>
        <v>0</v>
      </c>
      <c r="R1368" s="242">
        <f>COUNTIFS('تجربه‌گرها'!$B:$B,$A1368,'تجربه‌گرها'!$F:$F,R$1)</f>
        <v>0</v>
      </c>
      <c r="S1368" s="242">
        <f>COUNTIFS('تجربه‌گرها'!$B:$B,$A1368,'تجربه‌گرها'!$F:$F,S$1)</f>
        <v>0</v>
      </c>
      <c r="T1368" s="242">
        <f>COUNTIFS('تجربه‌گرها'!$B:$B,$A1368,'تجربه‌گرها'!$F:$F,T$1)</f>
        <v>0</v>
      </c>
      <c r="U1368" s="242"/>
      <c r="V1368" s="242"/>
      <c r="W1368" s="242"/>
      <c r="X1368" s="242"/>
      <c r="Y1368" s="242"/>
      <c r="Z1368" s="242"/>
      <c r="AA1368" s="242"/>
      <c r="AB1368" s="242"/>
    </row>
    <row r="1369" hidden="1">
      <c r="A1369" s="244" t="s">
        <v>6612</v>
      </c>
      <c r="B1369" s="245" t="str">
        <f>VLOOKUP(A1369,'تجربه‌گرها'!B:C,2,FALSE())</f>
        <v>9127697193</v>
      </c>
      <c r="C1369" s="242"/>
      <c r="D1369" s="242">
        <f t="shared" si="1"/>
        <v>1</v>
      </c>
      <c r="E1369" s="242">
        <f>COUNTIFS('تجربه‌گرها'!$B:$B,$A1369,'تجربه‌گرها'!$F:$F,E$1)</f>
        <v>0</v>
      </c>
      <c r="F1369" s="242">
        <f>COUNTIFS('تجربه‌گرها'!$B:$B,$A1369,'تجربه‌گرها'!$F:$F,F$1)</f>
        <v>0</v>
      </c>
      <c r="G1369" s="242">
        <f>COUNTIFS('تجربه‌گرها'!$B:$B,$A1369,'تجربه‌گرها'!$F:$F,G$1)</f>
        <v>0</v>
      </c>
      <c r="H1369" s="242">
        <f>COUNTIFS('تجربه‌گرها'!$B:$B,$A1369,'تجربه‌گرها'!$F:$F,H$1)</f>
        <v>0</v>
      </c>
      <c r="I1369" s="242">
        <f>COUNTIFS('تجربه‌گرها'!$B:$B,$A1369,'تجربه‌گرها'!$F:$F,I$1)</f>
        <v>0</v>
      </c>
      <c r="J1369" s="242">
        <f>COUNTIFS('تجربه‌گرها'!$B:$B,$A1369,'تجربه‌گرها'!$F:$F,J$1)</f>
        <v>0</v>
      </c>
      <c r="K1369" s="242">
        <f>COUNTIFS('تجربه‌گرها'!$B:$B,$A1369,'تجربه‌گرها'!$F:$F,K$1)</f>
        <v>0</v>
      </c>
      <c r="L1369" s="242">
        <f>COUNTIFS('تجربه‌گرها'!$B:$B,$A1369,'تجربه‌گرها'!$F:$F,L$1)</f>
        <v>0</v>
      </c>
      <c r="M1369" s="242">
        <f>COUNTIFS('تجربه‌گرها'!$B:$B,$A1369,'تجربه‌گرها'!$F:$F,M$1)</f>
        <v>0</v>
      </c>
      <c r="N1369" s="242">
        <f>COUNTIFS('تجربه‌گرها'!$B:$B,$A1369,'تجربه‌گرها'!$F:$F,N$1)</f>
        <v>0</v>
      </c>
      <c r="O1369" s="242">
        <f>COUNTIFS('تجربه‌گرها'!$B:$B,$A1369,'تجربه‌گرها'!$F:$F,O$1)</f>
        <v>0</v>
      </c>
      <c r="P1369" s="242">
        <f>COUNTIFS('تجربه‌گرها'!$B:$B,$A1369,'تجربه‌گرها'!$F:$F,P$1)</f>
        <v>1</v>
      </c>
      <c r="Q1369" s="242">
        <f>COUNTIFS('تجربه‌گرها'!$B:$B,$A1369,'تجربه‌گرها'!$F:$F,Q$1)</f>
        <v>0</v>
      </c>
      <c r="R1369" s="242">
        <f>COUNTIFS('تجربه‌گرها'!$B:$B,$A1369,'تجربه‌گرها'!$F:$F,R$1)</f>
        <v>0</v>
      </c>
      <c r="S1369" s="242">
        <f>COUNTIFS('تجربه‌گرها'!$B:$B,$A1369,'تجربه‌گرها'!$F:$F,S$1)</f>
        <v>0</v>
      </c>
      <c r="T1369" s="242">
        <f>COUNTIFS('تجربه‌گرها'!$B:$B,$A1369,'تجربه‌گرها'!$F:$F,T$1)</f>
        <v>0</v>
      </c>
      <c r="U1369" s="242"/>
      <c r="V1369" s="242"/>
      <c r="W1369" s="242"/>
      <c r="X1369" s="242"/>
      <c r="Y1369" s="242"/>
      <c r="Z1369" s="242"/>
      <c r="AA1369" s="242"/>
      <c r="AB1369" s="242"/>
    </row>
    <row r="1370" hidden="1">
      <c r="A1370" s="244" t="s">
        <v>6617</v>
      </c>
      <c r="B1370" s="245" t="str">
        <f>VLOOKUP(A1370,'تجربه‌گرها'!B:C,2,FALSE())</f>
        <v>9301411201</v>
      </c>
      <c r="C1370" s="242"/>
      <c r="D1370" s="242">
        <f t="shared" si="1"/>
        <v>1</v>
      </c>
      <c r="E1370" s="242">
        <f>COUNTIFS('تجربه‌گرها'!$B:$B,$A1370,'تجربه‌گرها'!$F:$F,E$1)</f>
        <v>0</v>
      </c>
      <c r="F1370" s="242">
        <f>COUNTIFS('تجربه‌گرها'!$B:$B,$A1370,'تجربه‌گرها'!$F:$F,F$1)</f>
        <v>0</v>
      </c>
      <c r="G1370" s="242">
        <f>COUNTIFS('تجربه‌گرها'!$B:$B,$A1370,'تجربه‌گرها'!$F:$F,G$1)</f>
        <v>0</v>
      </c>
      <c r="H1370" s="242">
        <f>COUNTIFS('تجربه‌گرها'!$B:$B,$A1370,'تجربه‌گرها'!$F:$F,H$1)</f>
        <v>0</v>
      </c>
      <c r="I1370" s="242">
        <f>COUNTIFS('تجربه‌گرها'!$B:$B,$A1370,'تجربه‌گرها'!$F:$F,I$1)</f>
        <v>0</v>
      </c>
      <c r="J1370" s="242">
        <f>COUNTIFS('تجربه‌گرها'!$B:$B,$A1370,'تجربه‌گرها'!$F:$F,J$1)</f>
        <v>0</v>
      </c>
      <c r="K1370" s="242">
        <f>COUNTIFS('تجربه‌گرها'!$B:$B,$A1370,'تجربه‌گرها'!$F:$F,K$1)</f>
        <v>0</v>
      </c>
      <c r="L1370" s="242">
        <f>COUNTIFS('تجربه‌گرها'!$B:$B,$A1370,'تجربه‌گرها'!$F:$F,L$1)</f>
        <v>0</v>
      </c>
      <c r="M1370" s="242">
        <f>COUNTIFS('تجربه‌گرها'!$B:$B,$A1370,'تجربه‌گرها'!$F:$F,M$1)</f>
        <v>0</v>
      </c>
      <c r="N1370" s="242">
        <f>COUNTIFS('تجربه‌گرها'!$B:$B,$A1370,'تجربه‌گرها'!$F:$F,N$1)</f>
        <v>0</v>
      </c>
      <c r="O1370" s="242">
        <f>COUNTIFS('تجربه‌گرها'!$B:$B,$A1370,'تجربه‌گرها'!$F:$F,O$1)</f>
        <v>0</v>
      </c>
      <c r="P1370" s="242">
        <f>COUNTIFS('تجربه‌گرها'!$B:$B,$A1370,'تجربه‌گرها'!$F:$F,P$1)</f>
        <v>1</v>
      </c>
      <c r="Q1370" s="242">
        <f>COUNTIFS('تجربه‌گرها'!$B:$B,$A1370,'تجربه‌گرها'!$F:$F,Q$1)</f>
        <v>0</v>
      </c>
      <c r="R1370" s="242">
        <f>COUNTIFS('تجربه‌گرها'!$B:$B,$A1370,'تجربه‌گرها'!$F:$F,R$1)</f>
        <v>0</v>
      </c>
      <c r="S1370" s="242">
        <f>COUNTIFS('تجربه‌گرها'!$B:$B,$A1370,'تجربه‌گرها'!$F:$F,S$1)</f>
        <v>0</v>
      </c>
      <c r="T1370" s="242">
        <f>COUNTIFS('تجربه‌گرها'!$B:$B,$A1370,'تجربه‌گرها'!$F:$F,T$1)</f>
        <v>0</v>
      </c>
      <c r="U1370" s="242"/>
      <c r="V1370" s="242"/>
      <c r="W1370" s="242"/>
      <c r="X1370" s="242"/>
      <c r="Y1370" s="242"/>
      <c r="Z1370" s="242"/>
      <c r="AA1370" s="242"/>
      <c r="AB1370" s="242"/>
    </row>
    <row r="1371" hidden="1">
      <c r="A1371" s="244" t="s">
        <v>6621</v>
      </c>
      <c r="B1371" s="245" t="str">
        <f>VLOOKUP(A1371,'تجربه‌گرها'!B:C,2,FALSE())</f>
        <v>9120555046</v>
      </c>
      <c r="C1371" s="242"/>
      <c r="D1371" s="242">
        <f t="shared" si="1"/>
        <v>1</v>
      </c>
      <c r="E1371" s="242">
        <f>COUNTIFS('تجربه‌گرها'!$B:$B,$A1371,'تجربه‌گرها'!$F:$F,E$1)</f>
        <v>0</v>
      </c>
      <c r="F1371" s="242">
        <f>COUNTIFS('تجربه‌گرها'!$B:$B,$A1371,'تجربه‌گرها'!$F:$F,F$1)</f>
        <v>0</v>
      </c>
      <c r="G1371" s="242">
        <f>COUNTIFS('تجربه‌گرها'!$B:$B,$A1371,'تجربه‌گرها'!$F:$F,G$1)</f>
        <v>0</v>
      </c>
      <c r="H1371" s="242">
        <f>COUNTIFS('تجربه‌گرها'!$B:$B,$A1371,'تجربه‌گرها'!$F:$F,H$1)</f>
        <v>0</v>
      </c>
      <c r="I1371" s="242">
        <f>COUNTIFS('تجربه‌گرها'!$B:$B,$A1371,'تجربه‌گرها'!$F:$F,I$1)</f>
        <v>0</v>
      </c>
      <c r="J1371" s="242">
        <f>COUNTIFS('تجربه‌گرها'!$B:$B,$A1371,'تجربه‌گرها'!$F:$F,J$1)</f>
        <v>0</v>
      </c>
      <c r="K1371" s="242">
        <f>COUNTIFS('تجربه‌گرها'!$B:$B,$A1371,'تجربه‌گرها'!$F:$F,K$1)</f>
        <v>0</v>
      </c>
      <c r="L1371" s="242">
        <f>COUNTIFS('تجربه‌گرها'!$B:$B,$A1371,'تجربه‌گرها'!$F:$F,L$1)</f>
        <v>0</v>
      </c>
      <c r="M1371" s="242">
        <f>COUNTIFS('تجربه‌گرها'!$B:$B,$A1371,'تجربه‌گرها'!$F:$F,M$1)</f>
        <v>0</v>
      </c>
      <c r="N1371" s="242">
        <f>COUNTIFS('تجربه‌گرها'!$B:$B,$A1371,'تجربه‌گرها'!$F:$F,N$1)</f>
        <v>0</v>
      </c>
      <c r="O1371" s="242">
        <f>COUNTIFS('تجربه‌گرها'!$B:$B,$A1371,'تجربه‌گرها'!$F:$F,O$1)</f>
        <v>0</v>
      </c>
      <c r="P1371" s="242">
        <f>COUNTIFS('تجربه‌گرها'!$B:$B,$A1371,'تجربه‌گرها'!$F:$F,P$1)</f>
        <v>1</v>
      </c>
      <c r="Q1371" s="242">
        <f>COUNTIFS('تجربه‌گرها'!$B:$B,$A1371,'تجربه‌گرها'!$F:$F,Q$1)</f>
        <v>0</v>
      </c>
      <c r="R1371" s="242">
        <f>COUNTIFS('تجربه‌گرها'!$B:$B,$A1371,'تجربه‌گرها'!$F:$F,R$1)</f>
        <v>0</v>
      </c>
      <c r="S1371" s="242">
        <f>COUNTIFS('تجربه‌گرها'!$B:$B,$A1371,'تجربه‌گرها'!$F:$F,S$1)</f>
        <v>0</v>
      </c>
      <c r="T1371" s="242">
        <f>COUNTIFS('تجربه‌گرها'!$B:$B,$A1371,'تجربه‌گرها'!$F:$F,T$1)</f>
        <v>0</v>
      </c>
      <c r="U1371" s="242"/>
      <c r="V1371" s="242"/>
      <c r="W1371" s="242"/>
      <c r="X1371" s="242"/>
      <c r="Y1371" s="242"/>
      <c r="Z1371" s="242"/>
      <c r="AA1371" s="242"/>
      <c r="AB1371" s="242"/>
    </row>
    <row r="1372" hidden="1">
      <c r="A1372" s="244" t="s">
        <v>6625</v>
      </c>
      <c r="B1372" s="245" t="str">
        <f>VLOOKUP(A1372,'تجربه‌گرها'!B:C,2,FALSE())</f>
        <v>9104201470</v>
      </c>
      <c r="C1372" s="242"/>
      <c r="D1372" s="242">
        <f t="shared" si="1"/>
        <v>1</v>
      </c>
      <c r="E1372" s="242">
        <f>COUNTIFS('تجربه‌گرها'!$B:$B,$A1372,'تجربه‌گرها'!$F:$F,E$1)</f>
        <v>0</v>
      </c>
      <c r="F1372" s="242">
        <f>COUNTIFS('تجربه‌گرها'!$B:$B,$A1372,'تجربه‌گرها'!$F:$F,F$1)</f>
        <v>0</v>
      </c>
      <c r="G1372" s="242">
        <f>COUNTIFS('تجربه‌گرها'!$B:$B,$A1372,'تجربه‌گرها'!$F:$F,G$1)</f>
        <v>0</v>
      </c>
      <c r="H1372" s="242">
        <f>COUNTIFS('تجربه‌گرها'!$B:$B,$A1372,'تجربه‌گرها'!$F:$F,H$1)</f>
        <v>0</v>
      </c>
      <c r="I1372" s="242">
        <f>COUNTIFS('تجربه‌گرها'!$B:$B,$A1372,'تجربه‌گرها'!$F:$F,I$1)</f>
        <v>0</v>
      </c>
      <c r="J1372" s="242">
        <f>COUNTIFS('تجربه‌گرها'!$B:$B,$A1372,'تجربه‌گرها'!$F:$F,J$1)</f>
        <v>0</v>
      </c>
      <c r="K1372" s="242">
        <f>COUNTIFS('تجربه‌گرها'!$B:$B,$A1372,'تجربه‌گرها'!$F:$F,K$1)</f>
        <v>0</v>
      </c>
      <c r="L1372" s="242">
        <f>COUNTIFS('تجربه‌گرها'!$B:$B,$A1372,'تجربه‌گرها'!$F:$F,L$1)</f>
        <v>0</v>
      </c>
      <c r="M1372" s="242">
        <f>COUNTIFS('تجربه‌گرها'!$B:$B,$A1372,'تجربه‌گرها'!$F:$F,M$1)</f>
        <v>0</v>
      </c>
      <c r="N1372" s="242">
        <f>COUNTIFS('تجربه‌گرها'!$B:$B,$A1372,'تجربه‌گرها'!$F:$F,N$1)</f>
        <v>0</v>
      </c>
      <c r="O1372" s="242">
        <f>COUNTIFS('تجربه‌گرها'!$B:$B,$A1372,'تجربه‌گرها'!$F:$F,O$1)</f>
        <v>0</v>
      </c>
      <c r="P1372" s="242">
        <f>COUNTIFS('تجربه‌گرها'!$B:$B,$A1372,'تجربه‌گرها'!$F:$F,P$1)</f>
        <v>1</v>
      </c>
      <c r="Q1372" s="242">
        <f>COUNTIFS('تجربه‌گرها'!$B:$B,$A1372,'تجربه‌گرها'!$F:$F,Q$1)</f>
        <v>0</v>
      </c>
      <c r="R1372" s="242">
        <f>COUNTIFS('تجربه‌گرها'!$B:$B,$A1372,'تجربه‌گرها'!$F:$F,R$1)</f>
        <v>0</v>
      </c>
      <c r="S1372" s="242">
        <f>COUNTIFS('تجربه‌گرها'!$B:$B,$A1372,'تجربه‌گرها'!$F:$F,S$1)</f>
        <v>0</v>
      </c>
      <c r="T1372" s="242">
        <f>COUNTIFS('تجربه‌گرها'!$B:$B,$A1372,'تجربه‌گرها'!$F:$F,T$1)</f>
        <v>0</v>
      </c>
      <c r="U1372" s="242"/>
      <c r="V1372" s="242"/>
      <c r="W1372" s="242"/>
      <c r="X1372" s="242"/>
      <c r="Y1372" s="242"/>
      <c r="Z1372" s="242"/>
      <c r="AA1372" s="242"/>
      <c r="AB1372" s="242"/>
    </row>
    <row r="1373" hidden="1">
      <c r="A1373" s="244" t="s">
        <v>6629</v>
      </c>
      <c r="B1373" s="245" t="str">
        <f>VLOOKUP(A1373,'تجربه‌گرها'!B:C,2,FALSE())</f>
        <v>۰۹۱۳۲۲۰۳۹۸۸</v>
      </c>
      <c r="C1373" s="242"/>
      <c r="D1373" s="242">
        <f t="shared" si="1"/>
        <v>1</v>
      </c>
      <c r="E1373" s="242">
        <f>COUNTIFS('تجربه‌گرها'!$B:$B,$A1373,'تجربه‌گرها'!$F:$F,E$1)</f>
        <v>0</v>
      </c>
      <c r="F1373" s="242">
        <f>COUNTIFS('تجربه‌گرها'!$B:$B,$A1373,'تجربه‌گرها'!$F:$F,F$1)</f>
        <v>0</v>
      </c>
      <c r="G1373" s="242">
        <f>COUNTIFS('تجربه‌گرها'!$B:$B,$A1373,'تجربه‌گرها'!$F:$F,G$1)</f>
        <v>0</v>
      </c>
      <c r="H1373" s="242">
        <f>COUNTIFS('تجربه‌گرها'!$B:$B,$A1373,'تجربه‌گرها'!$F:$F,H$1)</f>
        <v>0</v>
      </c>
      <c r="I1373" s="242">
        <f>COUNTIFS('تجربه‌گرها'!$B:$B,$A1373,'تجربه‌گرها'!$F:$F,I$1)</f>
        <v>0</v>
      </c>
      <c r="J1373" s="242">
        <f>COUNTIFS('تجربه‌گرها'!$B:$B,$A1373,'تجربه‌گرها'!$F:$F,J$1)</f>
        <v>0</v>
      </c>
      <c r="K1373" s="242">
        <f>COUNTIFS('تجربه‌گرها'!$B:$B,$A1373,'تجربه‌گرها'!$F:$F,K$1)</f>
        <v>0</v>
      </c>
      <c r="L1373" s="242">
        <f>COUNTIFS('تجربه‌گرها'!$B:$B,$A1373,'تجربه‌گرها'!$F:$F,L$1)</f>
        <v>0</v>
      </c>
      <c r="M1373" s="242">
        <f>COUNTIFS('تجربه‌گرها'!$B:$B,$A1373,'تجربه‌گرها'!$F:$F,M$1)</f>
        <v>0</v>
      </c>
      <c r="N1373" s="242">
        <f>COUNTIFS('تجربه‌گرها'!$B:$B,$A1373,'تجربه‌گرها'!$F:$F,N$1)</f>
        <v>0</v>
      </c>
      <c r="O1373" s="242">
        <f>COUNTIFS('تجربه‌گرها'!$B:$B,$A1373,'تجربه‌گرها'!$F:$F,O$1)</f>
        <v>0</v>
      </c>
      <c r="P1373" s="242">
        <f>COUNTIFS('تجربه‌گرها'!$B:$B,$A1373,'تجربه‌گرها'!$F:$F,P$1)</f>
        <v>1</v>
      </c>
      <c r="Q1373" s="242">
        <f>COUNTIFS('تجربه‌گرها'!$B:$B,$A1373,'تجربه‌گرها'!$F:$F,Q$1)</f>
        <v>0</v>
      </c>
      <c r="R1373" s="242">
        <f>COUNTIFS('تجربه‌گرها'!$B:$B,$A1373,'تجربه‌گرها'!$F:$F,R$1)</f>
        <v>0</v>
      </c>
      <c r="S1373" s="242">
        <f>COUNTIFS('تجربه‌گرها'!$B:$B,$A1373,'تجربه‌گرها'!$F:$F,S$1)</f>
        <v>0</v>
      </c>
      <c r="T1373" s="242">
        <f>COUNTIFS('تجربه‌گرها'!$B:$B,$A1373,'تجربه‌گرها'!$F:$F,T$1)</f>
        <v>0</v>
      </c>
      <c r="U1373" s="242"/>
      <c r="V1373" s="242"/>
      <c r="W1373" s="242"/>
      <c r="X1373" s="242"/>
      <c r="Y1373" s="242"/>
      <c r="Z1373" s="242"/>
      <c r="AA1373" s="242"/>
      <c r="AB1373" s="242"/>
    </row>
    <row r="1374" hidden="1">
      <c r="A1374" s="244" t="s">
        <v>6632</v>
      </c>
      <c r="B1374" s="245" t="str">
        <f>VLOOKUP(A1374,'تجربه‌گرها'!B:C,2,FALSE())</f>
        <v>9123140121</v>
      </c>
      <c r="C1374" s="242"/>
      <c r="D1374" s="242">
        <f t="shared" si="1"/>
        <v>1</v>
      </c>
      <c r="E1374" s="242">
        <f>COUNTIFS('تجربه‌گرها'!$B:$B,$A1374,'تجربه‌گرها'!$F:$F,E$1)</f>
        <v>0</v>
      </c>
      <c r="F1374" s="242">
        <f>COUNTIFS('تجربه‌گرها'!$B:$B,$A1374,'تجربه‌گرها'!$F:$F,F$1)</f>
        <v>0</v>
      </c>
      <c r="G1374" s="242">
        <f>COUNTIFS('تجربه‌گرها'!$B:$B,$A1374,'تجربه‌گرها'!$F:$F,G$1)</f>
        <v>0</v>
      </c>
      <c r="H1374" s="242">
        <f>COUNTIFS('تجربه‌گرها'!$B:$B,$A1374,'تجربه‌گرها'!$F:$F,H$1)</f>
        <v>0</v>
      </c>
      <c r="I1374" s="242">
        <f>COUNTIFS('تجربه‌گرها'!$B:$B,$A1374,'تجربه‌گرها'!$F:$F,I$1)</f>
        <v>0</v>
      </c>
      <c r="J1374" s="242">
        <f>COUNTIFS('تجربه‌گرها'!$B:$B,$A1374,'تجربه‌گرها'!$F:$F,J$1)</f>
        <v>0</v>
      </c>
      <c r="K1374" s="242">
        <f>COUNTIFS('تجربه‌گرها'!$B:$B,$A1374,'تجربه‌گرها'!$F:$F,K$1)</f>
        <v>0</v>
      </c>
      <c r="L1374" s="242">
        <f>COUNTIFS('تجربه‌گرها'!$B:$B,$A1374,'تجربه‌گرها'!$F:$F,L$1)</f>
        <v>0</v>
      </c>
      <c r="M1374" s="242">
        <f>COUNTIFS('تجربه‌گرها'!$B:$B,$A1374,'تجربه‌گرها'!$F:$F,M$1)</f>
        <v>0</v>
      </c>
      <c r="N1374" s="242">
        <f>COUNTIFS('تجربه‌گرها'!$B:$B,$A1374,'تجربه‌گرها'!$F:$F,N$1)</f>
        <v>0</v>
      </c>
      <c r="O1374" s="242">
        <f>COUNTIFS('تجربه‌گرها'!$B:$B,$A1374,'تجربه‌گرها'!$F:$F,O$1)</f>
        <v>0</v>
      </c>
      <c r="P1374" s="242">
        <f>COUNTIFS('تجربه‌گرها'!$B:$B,$A1374,'تجربه‌گرها'!$F:$F,P$1)</f>
        <v>1</v>
      </c>
      <c r="Q1374" s="242">
        <f>COUNTIFS('تجربه‌گرها'!$B:$B,$A1374,'تجربه‌گرها'!$F:$F,Q$1)</f>
        <v>0</v>
      </c>
      <c r="R1374" s="242">
        <f>COUNTIFS('تجربه‌گرها'!$B:$B,$A1374,'تجربه‌گرها'!$F:$F,R$1)</f>
        <v>0</v>
      </c>
      <c r="S1374" s="242">
        <f>COUNTIFS('تجربه‌گرها'!$B:$B,$A1374,'تجربه‌گرها'!$F:$F,S$1)</f>
        <v>0</v>
      </c>
      <c r="T1374" s="242">
        <f>COUNTIFS('تجربه‌گرها'!$B:$B,$A1374,'تجربه‌گرها'!$F:$F,T$1)</f>
        <v>0</v>
      </c>
      <c r="U1374" s="242"/>
      <c r="V1374" s="242"/>
      <c r="W1374" s="242"/>
      <c r="X1374" s="242"/>
      <c r="Y1374" s="242"/>
      <c r="Z1374" s="242"/>
      <c r="AA1374" s="242"/>
      <c r="AB1374" s="242"/>
    </row>
    <row r="1375">
      <c r="A1375" s="244" t="s">
        <v>6635</v>
      </c>
      <c r="B1375" s="245" t="str">
        <f>VLOOKUP(A1375,'تجربه‌گرها'!B:C,2,FALSE())</f>
        <v>9399188895</v>
      </c>
      <c r="C1375" s="242"/>
      <c r="D1375" s="242">
        <f t="shared" si="1"/>
        <v>1</v>
      </c>
      <c r="E1375" s="242">
        <f>COUNTIFS('تجربه‌گرها'!$B:$B,$A1375,'تجربه‌گرها'!$F:$F,E$1)</f>
        <v>0</v>
      </c>
      <c r="F1375" s="242">
        <f>COUNTIFS('تجربه‌گرها'!$B:$B,$A1375,'تجربه‌گرها'!$F:$F,F$1)</f>
        <v>0</v>
      </c>
      <c r="G1375" s="242">
        <f>COUNTIFS('تجربه‌گرها'!$B:$B,$A1375,'تجربه‌گرها'!$F:$F,G$1)</f>
        <v>0</v>
      </c>
      <c r="H1375" s="242">
        <f>COUNTIFS('تجربه‌گرها'!$B:$B,$A1375,'تجربه‌گرها'!$F:$F,H$1)</f>
        <v>0</v>
      </c>
      <c r="I1375" s="242">
        <f>COUNTIFS('تجربه‌گرها'!$B:$B,$A1375,'تجربه‌گرها'!$F:$F,I$1)</f>
        <v>0</v>
      </c>
      <c r="J1375" s="242">
        <f>COUNTIFS('تجربه‌گرها'!$B:$B,$A1375,'تجربه‌گرها'!$F:$F,J$1)</f>
        <v>0</v>
      </c>
      <c r="K1375" s="242">
        <f>COUNTIFS('تجربه‌گرها'!$B:$B,$A1375,'تجربه‌گرها'!$F:$F,K$1)</f>
        <v>0</v>
      </c>
      <c r="L1375" s="242">
        <f>COUNTIFS('تجربه‌گرها'!$B:$B,$A1375,'تجربه‌گرها'!$F:$F,L$1)</f>
        <v>0</v>
      </c>
      <c r="M1375" s="242">
        <f>COUNTIFS('تجربه‌گرها'!$B:$B,$A1375,'تجربه‌گرها'!$F:$F,M$1)</f>
        <v>0</v>
      </c>
      <c r="N1375" s="242">
        <f>COUNTIFS('تجربه‌گرها'!$B:$B,$A1375,'تجربه‌گرها'!$F:$F,N$1)</f>
        <v>0</v>
      </c>
      <c r="O1375" s="242">
        <f>COUNTIFS('تجربه‌گرها'!$B:$B,$A1375,'تجربه‌گرها'!$F:$F,O$1)</f>
        <v>0</v>
      </c>
      <c r="P1375" s="242">
        <f>COUNTIFS('تجربه‌گرها'!$B:$B,$A1375,'تجربه‌گرها'!$F:$F,P$1)</f>
        <v>1</v>
      </c>
      <c r="Q1375" s="242">
        <f>COUNTIFS('تجربه‌گرها'!$B:$B,$A1375,'تجربه‌گرها'!$F:$F,Q$1)</f>
        <v>0</v>
      </c>
      <c r="R1375" s="242">
        <f>COUNTIFS('تجربه‌گرها'!$B:$B,$A1375,'تجربه‌گرها'!$F:$F,R$1)</f>
        <v>0</v>
      </c>
      <c r="S1375" s="242">
        <f>COUNTIFS('تجربه‌گرها'!$B:$B,$A1375,'تجربه‌گرها'!$F:$F,S$1)</f>
        <v>0</v>
      </c>
      <c r="T1375" s="242">
        <f>COUNTIFS('تجربه‌گرها'!$B:$B,$A1375,'تجربه‌گرها'!$F:$F,T$1)</f>
        <v>0</v>
      </c>
      <c r="U1375" s="242"/>
      <c r="V1375" s="242"/>
      <c r="W1375" s="242"/>
      <c r="X1375" s="242"/>
      <c r="Y1375" s="242"/>
      <c r="Z1375" s="242"/>
      <c r="AA1375" s="242"/>
      <c r="AB1375" s="242"/>
    </row>
    <row r="1376" hidden="1">
      <c r="A1376" s="244" t="s">
        <v>6639</v>
      </c>
      <c r="B1376" s="245" t="str">
        <f>VLOOKUP(A1376,'تجربه‌گرها'!B:C,2,FALSE())</f>
        <v>۰۹۱۲۸۳۹۲۷۱۱</v>
      </c>
      <c r="C1376" s="242"/>
      <c r="D1376" s="242">
        <f t="shared" si="1"/>
        <v>1</v>
      </c>
      <c r="E1376" s="242">
        <f>COUNTIFS('تجربه‌گرها'!$B:$B,$A1376,'تجربه‌گرها'!$F:$F,E$1)</f>
        <v>0</v>
      </c>
      <c r="F1376" s="242">
        <f>COUNTIFS('تجربه‌گرها'!$B:$B,$A1376,'تجربه‌گرها'!$F:$F,F$1)</f>
        <v>0</v>
      </c>
      <c r="G1376" s="242">
        <f>COUNTIFS('تجربه‌گرها'!$B:$B,$A1376,'تجربه‌گرها'!$F:$F,G$1)</f>
        <v>0</v>
      </c>
      <c r="H1376" s="242">
        <f>COUNTIFS('تجربه‌گرها'!$B:$B,$A1376,'تجربه‌گرها'!$F:$F,H$1)</f>
        <v>0</v>
      </c>
      <c r="I1376" s="242">
        <f>COUNTIFS('تجربه‌گرها'!$B:$B,$A1376,'تجربه‌گرها'!$F:$F,I$1)</f>
        <v>0</v>
      </c>
      <c r="J1376" s="242">
        <f>COUNTIFS('تجربه‌گرها'!$B:$B,$A1376,'تجربه‌گرها'!$F:$F,J$1)</f>
        <v>0</v>
      </c>
      <c r="K1376" s="242">
        <f>COUNTIFS('تجربه‌گرها'!$B:$B,$A1376,'تجربه‌گرها'!$F:$F,K$1)</f>
        <v>0</v>
      </c>
      <c r="L1376" s="242">
        <f>COUNTIFS('تجربه‌گرها'!$B:$B,$A1376,'تجربه‌گرها'!$F:$F,L$1)</f>
        <v>0</v>
      </c>
      <c r="M1376" s="242">
        <f>COUNTIFS('تجربه‌گرها'!$B:$B,$A1376,'تجربه‌گرها'!$F:$F,M$1)</f>
        <v>0</v>
      </c>
      <c r="N1376" s="242">
        <f>COUNTIFS('تجربه‌گرها'!$B:$B,$A1376,'تجربه‌گرها'!$F:$F,N$1)</f>
        <v>0</v>
      </c>
      <c r="O1376" s="242">
        <f>COUNTIFS('تجربه‌گرها'!$B:$B,$A1376,'تجربه‌گرها'!$F:$F,O$1)</f>
        <v>0</v>
      </c>
      <c r="P1376" s="242">
        <f>COUNTIFS('تجربه‌گرها'!$B:$B,$A1376,'تجربه‌گرها'!$F:$F,P$1)</f>
        <v>1</v>
      </c>
      <c r="Q1376" s="242">
        <f>COUNTIFS('تجربه‌گرها'!$B:$B,$A1376,'تجربه‌گرها'!$F:$F,Q$1)</f>
        <v>0</v>
      </c>
      <c r="R1376" s="242">
        <f>COUNTIFS('تجربه‌گرها'!$B:$B,$A1376,'تجربه‌گرها'!$F:$F,R$1)</f>
        <v>0</v>
      </c>
      <c r="S1376" s="242">
        <f>COUNTIFS('تجربه‌گرها'!$B:$B,$A1376,'تجربه‌گرها'!$F:$F,S$1)</f>
        <v>0</v>
      </c>
      <c r="T1376" s="242">
        <f>COUNTIFS('تجربه‌گرها'!$B:$B,$A1376,'تجربه‌گرها'!$F:$F,T$1)</f>
        <v>0</v>
      </c>
      <c r="U1376" s="242"/>
      <c r="V1376" s="242"/>
      <c r="W1376" s="242"/>
      <c r="X1376" s="242"/>
      <c r="Y1376" s="242"/>
      <c r="Z1376" s="242"/>
      <c r="AA1376" s="242"/>
      <c r="AB1376" s="242"/>
    </row>
    <row r="1377" hidden="1">
      <c r="A1377" s="244" t="s">
        <v>6644</v>
      </c>
      <c r="B1377" s="245" t="str">
        <f>VLOOKUP(A1377,'تجربه‌گرها'!B:C,2,FALSE())</f>
        <v>۰۹۱۸۲۷۶۶۴۵۴</v>
      </c>
      <c r="C1377" s="242"/>
      <c r="D1377" s="242">
        <f t="shared" si="1"/>
        <v>1</v>
      </c>
      <c r="E1377" s="242">
        <f>COUNTIFS('تجربه‌گرها'!$B:$B,$A1377,'تجربه‌گرها'!$F:$F,E$1)</f>
        <v>0</v>
      </c>
      <c r="F1377" s="242">
        <f>COUNTIFS('تجربه‌گرها'!$B:$B,$A1377,'تجربه‌گرها'!$F:$F,F$1)</f>
        <v>0</v>
      </c>
      <c r="G1377" s="242">
        <f>COUNTIFS('تجربه‌گرها'!$B:$B,$A1377,'تجربه‌گرها'!$F:$F,G$1)</f>
        <v>0</v>
      </c>
      <c r="H1377" s="242">
        <f>COUNTIFS('تجربه‌گرها'!$B:$B,$A1377,'تجربه‌گرها'!$F:$F,H$1)</f>
        <v>0</v>
      </c>
      <c r="I1377" s="242">
        <f>COUNTIFS('تجربه‌گرها'!$B:$B,$A1377,'تجربه‌گرها'!$F:$F,I$1)</f>
        <v>0</v>
      </c>
      <c r="J1377" s="242">
        <f>COUNTIFS('تجربه‌گرها'!$B:$B,$A1377,'تجربه‌گرها'!$F:$F,J$1)</f>
        <v>0</v>
      </c>
      <c r="K1377" s="242">
        <f>COUNTIFS('تجربه‌گرها'!$B:$B,$A1377,'تجربه‌گرها'!$F:$F,K$1)</f>
        <v>0</v>
      </c>
      <c r="L1377" s="242">
        <f>COUNTIFS('تجربه‌گرها'!$B:$B,$A1377,'تجربه‌گرها'!$F:$F,L$1)</f>
        <v>0</v>
      </c>
      <c r="M1377" s="242">
        <f>COUNTIFS('تجربه‌گرها'!$B:$B,$A1377,'تجربه‌گرها'!$F:$F,M$1)</f>
        <v>0</v>
      </c>
      <c r="N1377" s="242">
        <f>COUNTIFS('تجربه‌گرها'!$B:$B,$A1377,'تجربه‌گرها'!$F:$F,N$1)</f>
        <v>0</v>
      </c>
      <c r="O1377" s="242">
        <f>COUNTIFS('تجربه‌گرها'!$B:$B,$A1377,'تجربه‌گرها'!$F:$F,O$1)</f>
        <v>0</v>
      </c>
      <c r="P1377" s="242">
        <f>COUNTIFS('تجربه‌گرها'!$B:$B,$A1377,'تجربه‌گرها'!$F:$F,P$1)</f>
        <v>1</v>
      </c>
      <c r="Q1377" s="242">
        <f>COUNTIFS('تجربه‌گرها'!$B:$B,$A1377,'تجربه‌گرها'!$F:$F,Q$1)</f>
        <v>0</v>
      </c>
      <c r="R1377" s="242">
        <f>COUNTIFS('تجربه‌گرها'!$B:$B,$A1377,'تجربه‌گرها'!$F:$F,R$1)</f>
        <v>0</v>
      </c>
      <c r="S1377" s="242">
        <f>COUNTIFS('تجربه‌گرها'!$B:$B,$A1377,'تجربه‌گرها'!$F:$F,S$1)</f>
        <v>0</v>
      </c>
      <c r="T1377" s="242">
        <f>COUNTIFS('تجربه‌گرها'!$B:$B,$A1377,'تجربه‌گرها'!$F:$F,T$1)</f>
        <v>0</v>
      </c>
      <c r="U1377" s="242"/>
      <c r="V1377" s="242"/>
      <c r="W1377" s="242"/>
      <c r="X1377" s="242"/>
      <c r="Y1377" s="242"/>
      <c r="Z1377" s="242"/>
      <c r="AA1377" s="242"/>
      <c r="AB1377" s="242"/>
    </row>
    <row r="1378" hidden="1">
      <c r="A1378" s="244" t="s">
        <v>6647</v>
      </c>
      <c r="B1378" s="245" t="str">
        <f>VLOOKUP(A1378,'تجربه‌گرها'!B:C,2,FALSE())</f>
        <v>9192052370</v>
      </c>
      <c r="C1378" s="242"/>
      <c r="D1378" s="242">
        <f t="shared" si="1"/>
        <v>1</v>
      </c>
      <c r="E1378" s="242">
        <f>COUNTIFS('تجربه‌گرها'!$B:$B,$A1378,'تجربه‌گرها'!$F:$F,E$1)</f>
        <v>0</v>
      </c>
      <c r="F1378" s="242">
        <f>COUNTIFS('تجربه‌گرها'!$B:$B,$A1378,'تجربه‌گرها'!$F:$F,F$1)</f>
        <v>0</v>
      </c>
      <c r="G1378" s="242">
        <f>COUNTIFS('تجربه‌گرها'!$B:$B,$A1378,'تجربه‌گرها'!$F:$F,G$1)</f>
        <v>0</v>
      </c>
      <c r="H1378" s="242">
        <f>COUNTIFS('تجربه‌گرها'!$B:$B,$A1378,'تجربه‌گرها'!$F:$F,H$1)</f>
        <v>0</v>
      </c>
      <c r="I1378" s="242">
        <f>COUNTIFS('تجربه‌گرها'!$B:$B,$A1378,'تجربه‌گرها'!$F:$F,I$1)</f>
        <v>0</v>
      </c>
      <c r="J1378" s="242">
        <f>COUNTIFS('تجربه‌گرها'!$B:$B,$A1378,'تجربه‌گرها'!$F:$F,J$1)</f>
        <v>0</v>
      </c>
      <c r="K1378" s="242">
        <f>COUNTIFS('تجربه‌گرها'!$B:$B,$A1378,'تجربه‌گرها'!$F:$F,K$1)</f>
        <v>0</v>
      </c>
      <c r="L1378" s="242">
        <f>COUNTIFS('تجربه‌گرها'!$B:$B,$A1378,'تجربه‌گرها'!$F:$F,L$1)</f>
        <v>0</v>
      </c>
      <c r="M1378" s="242">
        <f>COUNTIFS('تجربه‌گرها'!$B:$B,$A1378,'تجربه‌گرها'!$F:$F,M$1)</f>
        <v>0</v>
      </c>
      <c r="N1378" s="242">
        <f>COUNTIFS('تجربه‌گرها'!$B:$B,$A1378,'تجربه‌گرها'!$F:$F,N$1)</f>
        <v>0</v>
      </c>
      <c r="O1378" s="242">
        <f>COUNTIFS('تجربه‌گرها'!$B:$B,$A1378,'تجربه‌گرها'!$F:$F,O$1)</f>
        <v>0</v>
      </c>
      <c r="P1378" s="242">
        <f>COUNTIFS('تجربه‌گرها'!$B:$B,$A1378,'تجربه‌گرها'!$F:$F,P$1)</f>
        <v>1</v>
      </c>
      <c r="Q1378" s="242">
        <f>COUNTIFS('تجربه‌گرها'!$B:$B,$A1378,'تجربه‌گرها'!$F:$F,Q$1)</f>
        <v>0</v>
      </c>
      <c r="R1378" s="242">
        <f>COUNTIFS('تجربه‌گرها'!$B:$B,$A1378,'تجربه‌گرها'!$F:$F,R$1)</f>
        <v>0</v>
      </c>
      <c r="S1378" s="242">
        <f>COUNTIFS('تجربه‌گرها'!$B:$B,$A1378,'تجربه‌گرها'!$F:$F,S$1)</f>
        <v>0</v>
      </c>
      <c r="T1378" s="242">
        <f>COUNTIFS('تجربه‌گرها'!$B:$B,$A1378,'تجربه‌گرها'!$F:$F,T$1)</f>
        <v>0</v>
      </c>
      <c r="U1378" s="242"/>
      <c r="V1378" s="242"/>
      <c r="W1378" s="242"/>
      <c r="X1378" s="242"/>
      <c r="Y1378" s="242"/>
      <c r="Z1378" s="242"/>
      <c r="AA1378" s="242"/>
      <c r="AB1378" s="242"/>
    </row>
    <row r="1379" hidden="1">
      <c r="A1379" s="244" t="s">
        <v>6652</v>
      </c>
      <c r="B1379" s="245" t="str">
        <f>VLOOKUP(A1379,'تجربه‌گرها'!B:C,2,FALSE())</f>
        <v>9902232636</v>
      </c>
      <c r="C1379" s="242"/>
      <c r="D1379" s="242">
        <f t="shared" si="1"/>
        <v>1</v>
      </c>
      <c r="E1379" s="242">
        <f>COUNTIFS('تجربه‌گرها'!$B:$B,$A1379,'تجربه‌گرها'!$F:$F,E$1)</f>
        <v>0</v>
      </c>
      <c r="F1379" s="242">
        <f>COUNTIFS('تجربه‌گرها'!$B:$B,$A1379,'تجربه‌گرها'!$F:$F,F$1)</f>
        <v>0</v>
      </c>
      <c r="G1379" s="242">
        <f>COUNTIFS('تجربه‌گرها'!$B:$B,$A1379,'تجربه‌گرها'!$F:$F,G$1)</f>
        <v>0</v>
      </c>
      <c r="H1379" s="242">
        <f>COUNTIFS('تجربه‌گرها'!$B:$B,$A1379,'تجربه‌گرها'!$F:$F,H$1)</f>
        <v>0</v>
      </c>
      <c r="I1379" s="242">
        <f>COUNTIFS('تجربه‌گرها'!$B:$B,$A1379,'تجربه‌گرها'!$F:$F,I$1)</f>
        <v>0</v>
      </c>
      <c r="J1379" s="242">
        <f>COUNTIFS('تجربه‌گرها'!$B:$B,$A1379,'تجربه‌گرها'!$F:$F,J$1)</f>
        <v>0</v>
      </c>
      <c r="K1379" s="242">
        <f>COUNTIFS('تجربه‌گرها'!$B:$B,$A1379,'تجربه‌گرها'!$F:$F,K$1)</f>
        <v>0</v>
      </c>
      <c r="L1379" s="242">
        <f>COUNTIFS('تجربه‌گرها'!$B:$B,$A1379,'تجربه‌گرها'!$F:$F,L$1)</f>
        <v>0</v>
      </c>
      <c r="M1379" s="242">
        <f>COUNTIFS('تجربه‌گرها'!$B:$B,$A1379,'تجربه‌گرها'!$F:$F,M$1)</f>
        <v>0</v>
      </c>
      <c r="N1379" s="242">
        <f>COUNTIFS('تجربه‌گرها'!$B:$B,$A1379,'تجربه‌گرها'!$F:$F,N$1)</f>
        <v>0</v>
      </c>
      <c r="O1379" s="242">
        <f>COUNTIFS('تجربه‌گرها'!$B:$B,$A1379,'تجربه‌گرها'!$F:$F,O$1)</f>
        <v>0</v>
      </c>
      <c r="P1379" s="242">
        <f>COUNTIFS('تجربه‌گرها'!$B:$B,$A1379,'تجربه‌گرها'!$F:$F,P$1)</f>
        <v>1</v>
      </c>
      <c r="Q1379" s="242">
        <f>COUNTIFS('تجربه‌گرها'!$B:$B,$A1379,'تجربه‌گرها'!$F:$F,Q$1)</f>
        <v>0</v>
      </c>
      <c r="R1379" s="242">
        <f>COUNTIFS('تجربه‌گرها'!$B:$B,$A1379,'تجربه‌گرها'!$F:$F,R$1)</f>
        <v>0</v>
      </c>
      <c r="S1379" s="242">
        <f>COUNTIFS('تجربه‌گرها'!$B:$B,$A1379,'تجربه‌گرها'!$F:$F,S$1)</f>
        <v>0</v>
      </c>
      <c r="T1379" s="242">
        <f>COUNTIFS('تجربه‌گرها'!$B:$B,$A1379,'تجربه‌گرها'!$F:$F,T$1)</f>
        <v>0</v>
      </c>
      <c r="U1379" s="242"/>
      <c r="V1379" s="242"/>
      <c r="W1379" s="242"/>
      <c r="X1379" s="242"/>
      <c r="Y1379" s="242"/>
      <c r="Z1379" s="242"/>
      <c r="AA1379" s="242"/>
      <c r="AB1379" s="242"/>
    </row>
    <row r="1380" hidden="1">
      <c r="A1380" s="244" t="s">
        <v>6656</v>
      </c>
      <c r="B1380" s="245" t="str">
        <f>VLOOKUP(A1380,'تجربه‌گرها'!B:C,2,FALSE())</f>
        <v>۰۹۱۰۰۱۵۱۵۰۶</v>
      </c>
      <c r="C1380" s="242"/>
      <c r="D1380" s="242">
        <f t="shared" si="1"/>
        <v>1</v>
      </c>
      <c r="E1380" s="242">
        <f>COUNTIFS('تجربه‌گرها'!$B:$B,$A1380,'تجربه‌گرها'!$F:$F,E$1)</f>
        <v>0</v>
      </c>
      <c r="F1380" s="242">
        <f>COUNTIFS('تجربه‌گرها'!$B:$B,$A1380,'تجربه‌گرها'!$F:$F,F$1)</f>
        <v>0</v>
      </c>
      <c r="G1380" s="242">
        <f>COUNTIFS('تجربه‌گرها'!$B:$B,$A1380,'تجربه‌گرها'!$F:$F,G$1)</f>
        <v>0</v>
      </c>
      <c r="H1380" s="242">
        <f>COUNTIFS('تجربه‌گرها'!$B:$B,$A1380,'تجربه‌گرها'!$F:$F,H$1)</f>
        <v>0</v>
      </c>
      <c r="I1380" s="242">
        <f>COUNTIFS('تجربه‌گرها'!$B:$B,$A1380,'تجربه‌گرها'!$F:$F,I$1)</f>
        <v>0</v>
      </c>
      <c r="J1380" s="242">
        <f>COUNTIFS('تجربه‌گرها'!$B:$B,$A1380,'تجربه‌گرها'!$F:$F,J$1)</f>
        <v>0</v>
      </c>
      <c r="K1380" s="242">
        <f>COUNTIFS('تجربه‌گرها'!$B:$B,$A1380,'تجربه‌گرها'!$F:$F,K$1)</f>
        <v>0</v>
      </c>
      <c r="L1380" s="242">
        <f>COUNTIFS('تجربه‌گرها'!$B:$B,$A1380,'تجربه‌گرها'!$F:$F,L$1)</f>
        <v>0</v>
      </c>
      <c r="M1380" s="242">
        <f>COUNTIFS('تجربه‌گرها'!$B:$B,$A1380,'تجربه‌گرها'!$F:$F,M$1)</f>
        <v>0</v>
      </c>
      <c r="N1380" s="242">
        <f>COUNTIFS('تجربه‌گرها'!$B:$B,$A1380,'تجربه‌گرها'!$F:$F,N$1)</f>
        <v>0</v>
      </c>
      <c r="O1380" s="242">
        <f>COUNTIFS('تجربه‌گرها'!$B:$B,$A1380,'تجربه‌گرها'!$F:$F,O$1)</f>
        <v>0</v>
      </c>
      <c r="P1380" s="242">
        <f>COUNTIFS('تجربه‌گرها'!$B:$B,$A1380,'تجربه‌گرها'!$F:$F,P$1)</f>
        <v>1</v>
      </c>
      <c r="Q1380" s="242">
        <f>COUNTIFS('تجربه‌گرها'!$B:$B,$A1380,'تجربه‌گرها'!$F:$F,Q$1)</f>
        <v>0</v>
      </c>
      <c r="R1380" s="242">
        <f>COUNTIFS('تجربه‌گرها'!$B:$B,$A1380,'تجربه‌گرها'!$F:$F,R$1)</f>
        <v>0</v>
      </c>
      <c r="S1380" s="242">
        <f>COUNTIFS('تجربه‌گرها'!$B:$B,$A1380,'تجربه‌گرها'!$F:$F,S$1)</f>
        <v>0</v>
      </c>
      <c r="T1380" s="242">
        <f>COUNTIFS('تجربه‌گرها'!$B:$B,$A1380,'تجربه‌گرها'!$F:$F,T$1)</f>
        <v>0</v>
      </c>
      <c r="U1380" s="242"/>
      <c r="V1380" s="242"/>
      <c r="W1380" s="242"/>
      <c r="X1380" s="242"/>
      <c r="Y1380" s="242"/>
      <c r="Z1380" s="242"/>
      <c r="AA1380" s="242"/>
      <c r="AB1380" s="242"/>
    </row>
    <row r="1381" hidden="1">
      <c r="A1381" s="244" t="s">
        <v>6660</v>
      </c>
      <c r="B1381" s="245" t="str">
        <f>VLOOKUP(A1381,'تجربه‌گرها'!B:C,2,FALSE())</f>
        <v>۰۹۱۴۲۴۷۳۹۰۳</v>
      </c>
      <c r="C1381" s="242"/>
      <c r="D1381" s="242">
        <f t="shared" si="1"/>
        <v>1</v>
      </c>
      <c r="E1381" s="242">
        <f>COUNTIFS('تجربه‌گرها'!$B:$B,$A1381,'تجربه‌گرها'!$F:$F,E$1)</f>
        <v>0</v>
      </c>
      <c r="F1381" s="242">
        <f>COUNTIFS('تجربه‌گرها'!$B:$B,$A1381,'تجربه‌گرها'!$F:$F,F$1)</f>
        <v>0</v>
      </c>
      <c r="G1381" s="242">
        <f>COUNTIFS('تجربه‌گرها'!$B:$B,$A1381,'تجربه‌گرها'!$F:$F,G$1)</f>
        <v>0</v>
      </c>
      <c r="H1381" s="242">
        <f>COUNTIFS('تجربه‌گرها'!$B:$B,$A1381,'تجربه‌گرها'!$F:$F,H$1)</f>
        <v>0</v>
      </c>
      <c r="I1381" s="242">
        <f>COUNTIFS('تجربه‌گرها'!$B:$B,$A1381,'تجربه‌گرها'!$F:$F,I$1)</f>
        <v>0</v>
      </c>
      <c r="J1381" s="242">
        <f>COUNTIFS('تجربه‌گرها'!$B:$B,$A1381,'تجربه‌گرها'!$F:$F,J$1)</f>
        <v>0</v>
      </c>
      <c r="K1381" s="242">
        <f>COUNTIFS('تجربه‌گرها'!$B:$B,$A1381,'تجربه‌گرها'!$F:$F,K$1)</f>
        <v>0</v>
      </c>
      <c r="L1381" s="242">
        <f>COUNTIFS('تجربه‌گرها'!$B:$B,$A1381,'تجربه‌گرها'!$F:$F,L$1)</f>
        <v>0</v>
      </c>
      <c r="M1381" s="242">
        <f>COUNTIFS('تجربه‌گرها'!$B:$B,$A1381,'تجربه‌گرها'!$F:$F,M$1)</f>
        <v>0</v>
      </c>
      <c r="N1381" s="242">
        <f>COUNTIFS('تجربه‌گرها'!$B:$B,$A1381,'تجربه‌گرها'!$F:$F,N$1)</f>
        <v>0</v>
      </c>
      <c r="O1381" s="242">
        <f>COUNTIFS('تجربه‌گرها'!$B:$B,$A1381,'تجربه‌گرها'!$F:$F,O$1)</f>
        <v>0</v>
      </c>
      <c r="P1381" s="242">
        <f>COUNTIFS('تجربه‌گرها'!$B:$B,$A1381,'تجربه‌گرها'!$F:$F,P$1)</f>
        <v>1</v>
      </c>
      <c r="Q1381" s="242">
        <f>COUNTIFS('تجربه‌گرها'!$B:$B,$A1381,'تجربه‌گرها'!$F:$F,Q$1)</f>
        <v>0</v>
      </c>
      <c r="R1381" s="242">
        <f>COUNTIFS('تجربه‌گرها'!$B:$B,$A1381,'تجربه‌گرها'!$F:$F,R$1)</f>
        <v>0</v>
      </c>
      <c r="S1381" s="242">
        <f>COUNTIFS('تجربه‌گرها'!$B:$B,$A1381,'تجربه‌گرها'!$F:$F,S$1)</f>
        <v>0</v>
      </c>
      <c r="T1381" s="242">
        <f>COUNTIFS('تجربه‌گرها'!$B:$B,$A1381,'تجربه‌گرها'!$F:$F,T$1)</f>
        <v>0</v>
      </c>
      <c r="U1381" s="242"/>
      <c r="V1381" s="242"/>
      <c r="W1381" s="242"/>
      <c r="X1381" s="242"/>
      <c r="Y1381" s="242"/>
      <c r="Z1381" s="242"/>
      <c r="AA1381" s="242"/>
      <c r="AB1381" s="242"/>
    </row>
    <row r="1382" hidden="1">
      <c r="A1382" s="244" t="s">
        <v>6664</v>
      </c>
      <c r="B1382" s="245" t="str">
        <f>VLOOKUP(A1382,'تجربه‌گرها'!B:C,2,FALSE())</f>
        <v>۰۹۱۲۴۷۵۲۲۴۷</v>
      </c>
      <c r="C1382" s="242"/>
      <c r="D1382" s="242">
        <f t="shared" si="1"/>
        <v>1</v>
      </c>
      <c r="E1382" s="242">
        <f>COUNTIFS('تجربه‌گرها'!$B:$B,$A1382,'تجربه‌گرها'!$F:$F,E$1)</f>
        <v>0</v>
      </c>
      <c r="F1382" s="242">
        <f>COUNTIFS('تجربه‌گرها'!$B:$B,$A1382,'تجربه‌گرها'!$F:$F,F$1)</f>
        <v>0</v>
      </c>
      <c r="G1382" s="242">
        <f>COUNTIFS('تجربه‌گرها'!$B:$B,$A1382,'تجربه‌گرها'!$F:$F,G$1)</f>
        <v>0</v>
      </c>
      <c r="H1382" s="242">
        <f>COUNTIFS('تجربه‌گرها'!$B:$B,$A1382,'تجربه‌گرها'!$F:$F,H$1)</f>
        <v>0</v>
      </c>
      <c r="I1382" s="242">
        <f>COUNTIFS('تجربه‌گرها'!$B:$B,$A1382,'تجربه‌گرها'!$F:$F,I$1)</f>
        <v>0</v>
      </c>
      <c r="J1382" s="242">
        <f>COUNTIFS('تجربه‌گرها'!$B:$B,$A1382,'تجربه‌گرها'!$F:$F,J$1)</f>
        <v>0</v>
      </c>
      <c r="K1382" s="242">
        <f>COUNTIFS('تجربه‌گرها'!$B:$B,$A1382,'تجربه‌گرها'!$F:$F,K$1)</f>
        <v>0</v>
      </c>
      <c r="L1382" s="242">
        <f>COUNTIFS('تجربه‌گرها'!$B:$B,$A1382,'تجربه‌گرها'!$F:$F,L$1)</f>
        <v>0</v>
      </c>
      <c r="M1382" s="242">
        <f>COUNTIFS('تجربه‌گرها'!$B:$B,$A1382,'تجربه‌گرها'!$F:$F,M$1)</f>
        <v>0</v>
      </c>
      <c r="N1382" s="242">
        <f>COUNTIFS('تجربه‌گرها'!$B:$B,$A1382,'تجربه‌گرها'!$F:$F,N$1)</f>
        <v>0</v>
      </c>
      <c r="O1382" s="242">
        <f>COUNTIFS('تجربه‌گرها'!$B:$B,$A1382,'تجربه‌گرها'!$F:$F,O$1)</f>
        <v>0</v>
      </c>
      <c r="P1382" s="242">
        <f>COUNTIFS('تجربه‌گرها'!$B:$B,$A1382,'تجربه‌گرها'!$F:$F,P$1)</f>
        <v>1</v>
      </c>
      <c r="Q1382" s="242">
        <f>COUNTIFS('تجربه‌گرها'!$B:$B,$A1382,'تجربه‌گرها'!$F:$F,Q$1)</f>
        <v>0</v>
      </c>
      <c r="R1382" s="242">
        <f>COUNTIFS('تجربه‌گرها'!$B:$B,$A1382,'تجربه‌گرها'!$F:$F,R$1)</f>
        <v>0</v>
      </c>
      <c r="S1382" s="242">
        <f>COUNTIFS('تجربه‌گرها'!$B:$B,$A1382,'تجربه‌گرها'!$F:$F,S$1)</f>
        <v>0</v>
      </c>
      <c r="T1382" s="242">
        <f>COUNTIFS('تجربه‌گرها'!$B:$B,$A1382,'تجربه‌گرها'!$F:$F,T$1)</f>
        <v>0</v>
      </c>
      <c r="U1382" s="242"/>
      <c r="V1382" s="242"/>
      <c r="W1382" s="242"/>
      <c r="X1382" s="242"/>
      <c r="Y1382" s="242"/>
      <c r="Z1382" s="242"/>
      <c r="AA1382" s="242"/>
      <c r="AB1382" s="242"/>
    </row>
    <row r="1383" hidden="1">
      <c r="A1383" s="244" t="s">
        <v>6669</v>
      </c>
      <c r="B1383" s="245" t="str">
        <f>VLOOKUP(A1383,'تجربه‌گرها'!B:C,2,FALSE())</f>
        <v>9916699551</v>
      </c>
      <c r="C1383" s="242"/>
      <c r="D1383" s="242">
        <f t="shared" si="1"/>
        <v>1</v>
      </c>
      <c r="E1383" s="242">
        <f>COUNTIFS('تجربه‌گرها'!$B:$B,$A1383,'تجربه‌گرها'!$F:$F,E$1)</f>
        <v>0</v>
      </c>
      <c r="F1383" s="242">
        <f>COUNTIFS('تجربه‌گرها'!$B:$B,$A1383,'تجربه‌گرها'!$F:$F,F$1)</f>
        <v>0</v>
      </c>
      <c r="G1383" s="242">
        <f>COUNTIFS('تجربه‌گرها'!$B:$B,$A1383,'تجربه‌گرها'!$F:$F,G$1)</f>
        <v>0</v>
      </c>
      <c r="H1383" s="242">
        <f>COUNTIFS('تجربه‌گرها'!$B:$B,$A1383,'تجربه‌گرها'!$F:$F,H$1)</f>
        <v>0</v>
      </c>
      <c r="I1383" s="242">
        <f>COUNTIFS('تجربه‌گرها'!$B:$B,$A1383,'تجربه‌گرها'!$F:$F,I$1)</f>
        <v>0</v>
      </c>
      <c r="J1383" s="242">
        <f>COUNTIFS('تجربه‌گرها'!$B:$B,$A1383,'تجربه‌گرها'!$F:$F,J$1)</f>
        <v>0</v>
      </c>
      <c r="K1383" s="242">
        <f>COUNTIFS('تجربه‌گرها'!$B:$B,$A1383,'تجربه‌گرها'!$F:$F,K$1)</f>
        <v>0</v>
      </c>
      <c r="L1383" s="242">
        <f>COUNTIFS('تجربه‌گرها'!$B:$B,$A1383,'تجربه‌گرها'!$F:$F,L$1)</f>
        <v>0</v>
      </c>
      <c r="M1383" s="242">
        <f>COUNTIFS('تجربه‌گرها'!$B:$B,$A1383,'تجربه‌گرها'!$F:$F,M$1)</f>
        <v>0</v>
      </c>
      <c r="N1383" s="242">
        <f>COUNTIFS('تجربه‌گرها'!$B:$B,$A1383,'تجربه‌گرها'!$F:$F,N$1)</f>
        <v>0</v>
      </c>
      <c r="O1383" s="242">
        <f>COUNTIFS('تجربه‌گرها'!$B:$B,$A1383,'تجربه‌گرها'!$F:$F,O$1)</f>
        <v>0</v>
      </c>
      <c r="P1383" s="242">
        <f>COUNTIFS('تجربه‌گرها'!$B:$B,$A1383,'تجربه‌گرها'!$F:$F,P$1)</f>
        <v>1</v>
      </c>
      <c r="Q1383" s="242">
        <f>COUNTIFS('تجربه‌گرها'!$B:$B,$A1383,'تجربه‌گرها'!$F:$F,Q$1)</f>
        <v>0</v>
      </c>
      <c r="R1383" s="242">
        <f>COUNTIFS('تجربه‌گرها'!$B:$B,$A1383,'تجربه‌گرها'!$F:$F,R$1)</f>
        <v>0</v>
      </c>
      <c r="S1383" s="242">
        <f>COUNTIFS('تجربه‌گرها'!$B:$B,$A1383,'تجربه‌گرها'!$F:$F,S$1)</f>
        <v>0</v>
      </c>
      <c r="T1383" s="242">
        <f>COUNTIFS('تجربه‌گرها'!$B:$B,$A1383,'تجربه‌گرها'!$F:$F,T$1)</f>
        <v>0</v>
      </c>
      <c r="U1383" s="242"/>
      <c r="V1383" s="242"/>
      <c r="W1383" s="242"/>
      <c r="X1383" s="242"/>
      <c r="Y1383" s="242"/>
      <c r="Z1383" s="242"/>
      <c r="AA1383" s="242"/>
      <c r="AB1383" s="242"/>
    </row>
    <row r="1384" hidden="1">
      <c r="A1384" s="244" t="s">
        <v>6673</v>
      </c>
      <c r="B1384" s="245" t="str">
        <f>VLOOKUP(A1384,'تجربه‌گرها'!B:C,2,FALSE())</f>
        <v>۰۹۱۲۴۰۱۷۴۰۹</v>
      </c>
      <c r="C1384" s="242"/>
      <c r="D1384" s="242">
        <f t="shared" si="1"/>
        <v>1</v>
      </c>
      <c r="E1384" s="242">
        <f>COUNTIFS('تجربه‌گرها'!$B:$B,$A1384,'تجربه‌گرها'!$F:$F,E$1)</f>
        <v>0</v>
      </c>
      <c r="F1384" s="242">
        <f>COUNTIFS('تجربه‌گرها'!$B:$B,$A1384,'تجربه‌گرها'!$F:$F,F$1)</f>
        <v>0</v>
      </c>
      <c r="G1384" s="242">
        <f>COUNTIFS('تجربه‌گرها'!$B:$B,$A1384,'تجربه‌گرها'!$F:$F,G$1)</f>
        <v>0</v>
      </c>
      <c r="H1384" s="242">
        <f>COUNTIFS('تجربه‌گرها'!$B:$B,$A1384,'تجربه‌گرها'!$F:$F,H$1)</f>
        <v>0</v>
      </c>
      <c r="I1384" s="242">
        <f>COUNTIFS('تجربه‌گرها'!$B:$B,$A1384,'تجربه‌گرها'!$F:$F,I$1)</f>
        <v>0</v>
      </c>
      <c r="J1384" s="242">
        <f>COUNTIFS('تجربه‌گرها'!$B:$B,$A1384,'تجربه‌گرها'!$F:$F,J$1)</f>
        <v>0</v>
      </c>
      <c r="K1384" s="242">
        <f>COUNTIFS('تجربه‌گرها'!$B:$B,$A1384,'تجربه‌گرها'!$F:$F,K$1)</f>
        <v>0</v>
      </c>
      <c r="L1384" s="242">
        <f>COUNTIFS('تجربه‌گرها'!$B:$B,$A1384,'تجربه‌گرها'!$F:$F,L$1)</f>
        <v>0</v>
      </c>
      <c r="M1384" s="242">
        <f>COUNTIFS('تجربه‌گرها'!$B:$B,$A1384,'تجربه‌گرها'!$F:$F,M$1)</f>
        <v>0</v>
      </c>
      <c r="N1384" s="242">
        <f>COUNTIFS('تجربه‌گرها'!$B:$B,$A1384,'تجربه‌گرها'!$F:$F,N$1)</f>
        <v>0</v>
      </c>
      <c r="O1384" s="242">
        <f>COUNTIFS('تجربه‌گرها'!$B:$B,$A1384,'تجربه‌گرها'!$F:$F,O$1)</f>
        <v>0</v>
      </c>
      <c r="P1384" s="242">
        <f>COUNTIFS('تجربه‌گرها'!$B:$B,$A1384,'تجربه‌گرها'!$F:$F,P$1)</f>
        <v>1</v>
      </c>
      <c r="Q1384" s="242">
        <f>COUNTIFS('تجربه‌گرها'!$B:$B,$A1384,'تجربه‌گرها'!$F:$F,Q$1)</f>
        <v>0</v>
      </c>
      <c r="R1384" s="242">
        <f>COUNTIFS('تجربه‌گرها'!$B:$B,$A1384,'تجربه‌گرها'!$F:$F,R$1)</f>
        <v>0</v>
      </c>
      <c r="S1384" s="242">
        <f>COUNTIFS('تجربه‌گرها'!$B:$B,$A1384,'تجربه‌گرها'!$F:$F,S$1)</f>
        <v>0</v>
      </c>
      <c r="T1384" s="242">
        <f>COUNTIFS('تجربه‌گرها'!$B:$B,$A1384,'تجربه‌گرها'!$F:$F,T$1)</f>
        <v>0</v>
      </c>
      <c r="U1384" s="242"/>
      <c r="V1384" s="242"/>
      <c r="W1384" s="242"/>
      <c r="X1384" s="242"/>
      <c r="Y1384" s="242"/>
      <c r="Z1384" s="242"/>
      <c r="AA1384" s="242"/>
      <c r="AB1384" s="242"/>
    </row>
    <row r="1385" hidden="1">
      <c r="A1385" s="244" t="s">
        <v>5646</v>
      </c>
      <c r="B1385" s="245" t="str">
        <f>VLOOKUP(A1385,'تجربه‌گرها'!B:C,2,FALSE())</f>
        <v>۰۹۳۶۰۵۶۵۵۵۳</v>
      </c>
      <c r="C1385" s="242"/>
      <c r="D1385" s="242">
        <f t="shared" si="1"/>
        <v>2</v>
      </c>
      <c r="E1385" s="242">
        <f>COUNTIFS('تجربه‌گرها'!$B:$B,$A1385,'تجربه‌گرها'!$F:$F,E$1)</f>
        <v>0</v>
      </c>
      <c r="F1385" s="242">
        <f>COUNTIFS('تجربه‌گرها'!$B:$B,$A1385,'تجربه‌گرها'!$F:$F,F$1)</f>
        <v>0</v>
      </c>
      <c r="G1385" s="242">
        <f>COUNTIFS('تجربه‌گرها'!$B:$B,$A1385,'تجربه‌گرها'!$F:$F,G$1)</f>
        <v>0</v>
      </c>
      <c r="H1385" s="242">
        <f>COUNTIFS('تجربه‌گرها'!$B:$B,$A1385,'تجربه‌گرها'!$F:$F,H$1)</f>
        <v>0</v>
      </c>
      <c r="I1385" s="242">
        <f>COUNTIFS('تجربه‌گرها'!$B:$B,$A1385,'تجربه‌گرها'!$F:$F,I$1)</f>
        <v>0</v>
      </c>
      <c r="J1385" s="242">
        <f>COUNTIFS('تجربه‌گرها'!$B:$B,$A1385,'تجربه‌گرها'!$F:$F,J$1)</f>
        <v>0</v>
      </c>
      <c r="K1385" s="242">
        <f>COUNTIFS('تجربه‌گرها'!$B:$B,$A1385,'تجربه‌گرها'!$F:$F,K$1)</f>
        <v>0</v>
      </c>
      <c r="L1385" s="242">
        <f>COUNTIFS('تجربه‌گرها'!$B:$B,$A1385,'تجربه‌گرها'!$F:$F,L$1)</f>
        <v>0</v>
      </c>
      <c r="M1385" s="242">
        <f>COUNTIFS('تجربه‌گرها'!$B:$B,$A1385,'تجربه‌گرها'!$F:$F,M$1)</f>
        <v>0</v>
      </c>
      <c r="N1385" s="242">
        <f>COUNTIFS('تجربه‌گرها'!$B:$B,$A1385,'تجربه‌گرها'!$F:$F,N$1)</f>
        <v>0</v>
      </c>
      <c r="O1385" s="242">
        <f>COUNTIFS('تجربه‌گرها'!$B:$B,$A1385,'تجربه‌گرها'!$F:$F,O$1)</f>
        <v>0</v>
      </c>
      <c r="P1385" s="242">
        <f>COUNTIFS('تجربه‌گرها'!$B:$B,$A1385,'تجربه‌گرها'!$F:$F,P$1)</f>
        <v>1</v>
      </c>
      <c r="Q1385" s="242">
        <f>COUNTIFS('تجربه‌گرها'!$B:$B,$A1385,'تجربه‌گرها'!$F:$F,Q$1)</f>
        <v>1</v>
      </c>
      <c r="R1385" s="242">
        <f>COUNTIFS('تجربه‌گرها'!$B:$B,$A1385,'تجربه‌گرها'!$F:$F,R$1)</f>
        <v>0</v>
      </c>
      <c r="S1385" s="242">
        <f>COUNTIFS('تجربه‌گرها'!$B:$B,$A1385,'تجربه‌گرها'!$F:$F,S$1)</f>
        <v>0</v>
      </c>
      <c r="T1385" s="242">
        <f>COUNTIFS('تجربه‌گرها'!$B:$B,$A1385,'تجربه‌گرها'!$F:$F,T$1)</f>
        <v>0</v>
      </c>
      <c r="U1385" s="242"/>
      <c r="V1385" s="242"/>
      <c r="W1385" s="242"/>
      <c r="X1385" s="242"/>
      <c r="Y1385" s="242"/>
      <c r="Z1385" s="242"/>
      <c r="AA1385" s="242"/>
      <c r="AB1385" s="242"/>
    </row>
    <row r="1386" hidden="1">
      <c r="A1386" s="244" t="s">
        <v>6679</v>
      </c>
      <c r="B1386" s="245" t="str">
        <f>VLOOKUP(A1386,'تجربه‌گرها'!B:C,2,FALSE())</f>
        <v>۰۹۱۷۰۶۵۹۵۳۴</v>
      </c>
      <c r="C1386" s="242"/>
      <c r="D1386" s="242">
        <f t="shared" si="1"/>
        <v>1</v>
      </c>
      <c r="E1386" s="242">
        <f>COUNTIFS('تجربه‌گرها'!$B:$B,$A1386,'تجربه‌گرها'!$F:$F,E$1)</f>
        <v>0</v>
      </c>
      <c r="F1386" s="242">
        <f>COUNTIFS('تجربه‌گرها'!$B:$B,$A1386,'تجربه‌گرها'!$F:$F,F$1)</f>
        <v>0</v>
      </c>
      <c r="G1386" s="242">
        <f>COUNTIFS('تجربه‌گرها'!$B:$B,$A1386,'تجربه‌گرها'!$F:$F,G$1)</f>
        <v>0</v>
      </c>
      <c r="H1386" s="242">
        <f>COUNTIFS('تجربه‌گرها'!$B:$B,$A1386,'تجربه‌گرها'!$F:$F,H$1)</f>
        <v>0</v>
      </c>
      <c r="I1386" s="242">
        <f>COUNTIFS('تجربه‌گرها'!$B:$B,$A1386,'تجربه‌گرها'!$F:$F,I$1)</f>
        <v>0</v>
      </c>
      <c r="J1386" s="242">
        <f>COUNTIFS('تجربه‌گرها'!$B:$B,$A1386,'تجربه‌گرها'!$F:$F,J$1)</f>
        <v>0</v>
      </c>
      <c r="K1386" s="242">
        <f>COUNTIFS('تجربه‌گرها'!$B:$B,$A1386,'تجربه‌گرها'!$F:$F,K$1)</f>
        <v>0</v>
      </c>
      <c r="L1386" s="242">
        <f>COUNTIFS('تجربه‌گرها'!$B:$B,$A1386,'تجربه‌گرها'!$F:$F,L$1)</f>
        <v>0</v>
      </c>
      <c r="M1386" s="242">
        <f>COUNTIFS('تجربه‌گرها'!$B:$B,$A1386,'تجربه‌گرها'!$F:$F,M$1)</f>
        <v>0</v>
      </c>
      <c r="N1386" s="242">
        <f>COUNTIFS('تجربه‌گرها'!$B:$B,$A1386,'تجربه‌گرها'!$F:$F,N$1)</f>
        <v>0</v>
      </c>
      <c r="O1386" s="242">
        <f>COUNTIFS('تجربه‌گرها'!$B:$B,$A1386,'تجربه‌گرها'!$F:$F,O$1)</f>
        <v>0</v>
      </c>
      <c r="P1386" s="242">
        <f>COUNTIFS('تجربه‌گرها'!$B:$B,$A1386,'تجربه‌گرها'!$F:$F,P$1)</f>
        <v>1</v>
      </c>
      <c r="Q1386" s="242">
        <f>COUNTIFS('تجربه‌گرها'!$B:$B,$A1386,'تجربه‌گرها'!$F:$F,Q$1)</f>
        <v>0</v>
      </c>
      <c r="R1386" s="242">
        <f>COUNTIFS('تجربه‌گرها'!$B:$B,$A1386,'تجربه‌گرها'!$F:$F,R$1)</f>
        <v>0</v>
      </c>
      <c r="S1386" s="242">
        <f>COUNTIFS('تجربه‌گرها'!$B:$B,$A1386,'تجربه‌گرها'!$F:$F,S$1)</f>
        <v>0</v>
      </c>
      <c r="T1386" s="242">
        <f>COUNTIFS('تجربه‌گرها'!$B:$B,$A1386,'تجربه‌گرها'!$F:$F,T$1)</f>
        <v>0</v>
      </c>
      <c r="U1386" s="242"/>
      <c r="V1386" s="242"/>
      <c r="W1386" s="242"/>
      <c r="X1386" s="242"/>
      <c r="Y1386" s="242"/>
      <c r="Z1386" s="242"/>
      <c r="AA1386" s="242"/>
      <c r="AB1386" s="242"/>
    </row>
    <row r="1387" hidden="1">
      <c r="A1387" s="244" t="s">
        <v>6682</v>
      </c>
      <c r="B1387" s="245" t="str">
        <f>VLOOKUP(A1387,'تجربه‌گرها'!B:C,2,FALSE())</f>
        <v>9376290194</v>
      </c>
      <c r="C1387" s="242"/>
      <c r="D1387" s="242">
        <f t="shared" si="1"/>
        <v>1</v>
      </c>
      <c r="E1387" s="242">
        <f>COUNTIFS('تجربه‌گرها'!$B:$B,$A1387,'تجربه‌گرها'!$F:$F,E$1)</f>
        <v>0</v>
      </c>
      <c r="F1387" s="242">
        <f>COUNTIFS('تجربه‌گرها'!$B:$B,$A1387,'تجربه‌گرها'!$F:$F,F$1)</f>
        <v>0</v>
      </c>
      <c r="G1387" s="242">
        <f>COUNTIFS('تجربه‌گرها'!$B:$B,$A1387,'تجربه‌گرها'!$F:$F,G$1)</f>
        <v>0</v>
      </c>
      <c r="H1387" s="242">
        <f>COUNTIFS('تجربه‌گرها'!$B:$B,$A1387,'تجربه‌گرها'!$F:$F,H$1)</f>
        <v>0</v>
      </c>
      <c r="I1387" s="242">
        <f>COUNTIFS('تجربه‌گرها'!$B:$B,$A1387,'تجربه‌گرها'!$F:$F,I$1)</f>
        <v>0</v>
      </c>
      <c r="J1387" s="242">
        <f>COUNTIFS('تجربه‌گرها'!$B:$B,$A1387,'تجربه‌گرها'!$F:$F,J$1)</f>
        <v>0</v>
      </c>
      <c r="K1387" s="242">
        <f>COUNTIFS('تجربه‌گرها'!$B:$B,$A1387,'تجربه‌گرها'!$F:$F,K$1)</f>
        <v>0</v>
      </c>
      <c r="L1387" s="242">
        <f>COUNTIFS('تجربه‌گرها'!$B:$B,$A1387,'تجربه‌گرها'!$F:$F,L$1)</f>
        <v>0</v>
      </c>
      <c r="M1387" s="242">
        <f>COUNTIFS('تجربه‌گرها'!$B:$B,$A1387,'تجربه‌گرها'!$F:$F,M$1)</f>
        <v>0</v>
      </c>
      <c r="N1387" s="242">
        <f>COUNTIFS('تجربه‌گرها'!$B:$B,$A1387,'تجربه‌گرها'!$F:$F,N$1)</f>
        <v>0</v>
      </c>
      <c r="O1387" s="242">
        <f>COUNTIFS('تجربه‌گرها'!$B:$B,$A1387,'تجربه‌گرها'!$F:$F,O$1)</f>
        <v>0</v>
      </c>
      <c r="P1387" s="242">
        <f>COUNTIFS('تجربه‌گرها'!$B:$B,$A1387,'تجربه‌گرها'!$F:$F,P$1)</f>
        <v>1</v>
      </c>
      <c r="Q1387" s="242">
        <f>COUNTIFS('تجربه‌گرها'!$B:$B,$A1387,'تجربه‌گرها'!$F:$F,Q$1)</f>
        <v>0</v>
      </c>
      <c r="R1387" s="242">
        <f>COUNTIFS('تجربه‌گرها'!$B:$B,$A1387,'تجربه‌گرها'!$F:$F,R$1)</f>
        <v>0</v>
      </c>
      <c r="S1387" s="242">
        <f>COUNTIFS('تجربه‌گرها'!$B:$B,$A1387,'تجربه‌گرها'!$F:$F,S$1)</f>
        <v>0</v>
      </c>
      <c r="T1387" s="242">
        <f>COUNTIFS('تجربه‌گرها'!$B:$B,$A1387,'تجربه‌گرها'!$F:$F,T$1)</f>
        <v>0</v>
      </c>
      <c r="U1387" s="242"/>
      <c r="V1387" s="242"/>
      <c r="W1387" s="242"/>
      <c r="X1387" s="242"/>
      <c r="Y1387" s="242"/>
      <c r="Z1387" s="242"/>
      <c r="AA1387" s="242"/>
      <c r="AB1387" s="242"/>
    </row>
    <row r="1388" hidden="1">
      <c r="A1388" s="244" t="s">
        <v>6686</v>
      </c>
      <c r="B1388" s="245" t="str">
        <f>VLOOKUP(A1388,'تجربه‌گرها'!B:C,2,FALSE())</f>
        <v>9928504813</v>
      </c>
      <c r="C1388" s="242"/>
      <c r="D1388" s="242">
        <f t="shared" si="1"/>
        <v>1</v>
      </c>
      <c r="E1388" s="242">
        <f>COUNTIFS('تجربه‌گرها'!$B:$B,$A1388,'تجربه‌گرها'!$F:$F,E$1)</f>
        <v>0</v>
      </c>
      <c r="F1388" s="242">
        <f>COUNTIFS('تجربه‌گرها'!$B:$B,$A1388,'تجربه‌گرها'!$F:$F,F$1)</f>
        <v>0</v>
      </c>
      <c r="G1388" s="242">
        <f>COUNTIFS('تجربه‌گرها'!$B:$B,$A1388,'تجربه‌گرها'!$F:$F,G$1)</f>
        <v>0</v>
      </c>
      <c r="H1388" s="242">
        <f>COUNTIFS('تجربه‌گرها'!$B:$B,$A1388,'تجربه‌گرها'!$F:$F,H$1)</f>
        <v>0</v>
      </c>
      <c r="I1388" s="242">
        <f>COUNTIFS('تجربه‌گرها'!$B:$B,$A1388,'تجربه‌گرها'!$F:$F,I$1)</f>
        <v>0</v>
      </c>
      <c r="J1388" s="242">
        <f>COUNTIFS('تجربه‌گرها'!$B:$B,$A1388,'تجربه‌گرها'!$F:$F,J$1)</f>
        <v>0</v>
      </c>
      <c r="K1388" s="242">
        <f>COUNTIFS('تجربه‌گرها'!$B:$B,$A1388,'تجربه‌گرها'!$F:$F,K$1)</f>
        <v>0</v>
      </c>
      <c r="L1388" s="242">
        <f>COUNTIFS('تجربه‌گرها'!$B:$B,$A1388,'تجربه‌گرها'!$F:$F,L$1)</f>
        <v>0</v>
      </c>
      <c r="M1388" s="242">
        <f>COUNTIFS('تجربه‌گرها'!$B:$B,$A1388,'تجربه‌گرها'!$F:$F,M$1)</f>
        <v>0</v>
      </c>
      <c r="N1388" s="242">
        <f>COUNTIFS('تجربه‌گرها'!$B:$B,$A1388,'تجربه‌گرها'!$F:$F,N$1)</f>
        <v>0</v>
      </c>
      <c r="O1388" s="242">
        <f>COUNTIFS('تجربه‌گرها'!$B:$B,$A1388,'تجربه‌گرها'!$F:$F,O$1)</f>
        <v>0</v>
      </c>
      <c r="P1388" s="242">
        <f>COUNTIFS('تجربه‌گرها'!$B:$B,$A1388,'تجربه‌گرها'!$F:$F,P$1)</f>
        <v>1</v>
      </c>
      <c r="Q1388" s="242">
        <f>COUNTIFS('تجربه‌گرها'!$B:$B,$A1388,'تجربه‌گرها'!$F:$F,Q$1)</f>
        <v>0</v>
      </c>
      <c r="R1388" s="242">
        <f>COUNTIFS('تجربه‌گرها'!$B:$B,$A1388,'تجربه‌گرها'!$F:$F,R$1)</f>
        <v>0</v>
      </c>
      <c r="S1388" s="242">
        <f>COUNTIFS('تجربه‌گرها'!$B:$B,$A1388,'تجربه‌گرها'!$F:$F,S$1)</f>
        <v>0</v>
      </c>
      <c r="T1388" s="242">
        <f>COUNTIFS('تجربه‌گرها'!$B:$B,$A1388,'تجربه‌گرها'!$F:$F,T$1)</f>
        <v>0</v>
      </c>
      <c r="U1388" s="242"/>
      <c r="V1388" s="242"/>
      <c r="W1388" s="242"/>
      <c r="X1388" s="242"/>
      <c r="Y1388" s="242"/>
      <c r="Z1388" s="242"/>
      <c r="AA1388" s="242"/>
      <c r="AB1388" s="242"/>
    </row>
    <row r="1389" hidden="1">
      <c r="A1389" s="244" t="s">
        <v>6690</v>
      </c>
      <c r="B1389" s="245" t="str">
        <f>VLOOKUP(A1389,'تجربه‌گرها'!B:C,2,FALSE())</f>
        <v>09052950704</v>
      </c>
      <c r="C1389" s="242"/>
      <c r="D1389" s="242">
        <f t="shared" si="1"/>
        <v>1</v>
      </c>
      <c r="E1389" s="242">
        <f>COUNTIFS('تجربه‌گرها'!$B:$B,$A1389,'تجربه‌گرها'!$F:$F,E$1)</f>
        <v>0</v>
      </c>
      <c r="F1389" s="242">
        <f>COUNTIFS('تجربه‌گرها'!$B:$B,$A1389,'تجربه‌گرها'!$F:$F,F$1)</f>
        <v>0</v>
      </c>
      <c r="G1389" s="242">
        <f>COUNTIFS('تجربه‌گرها'!$B:$B,$A1389,'تجربه‌گرها'!$F:$F,G$1)</f>
        <v>0</v>
      </c>
      <c r="H1389" s="242">
        <f>COUNTIFS('تجربه‌گرها'!$B:$B,$A1389,'تجربه‌گرها'!$F:$F,H$1)</f>
        <v>0</v>
      </c>
      <c r="I1389" s="242">
        <f>COUNTIFS('تجربه‌گرها'!$B:$B,$A1389,'تجربه‌گرها'!$F:$F,I$1)</f>
        <v>0</v>
      </c>
      <c r="J1389" s="242">
        <f>COUNTIFS('تجربه‌گرها'!$B:$B,$A1389,'تجربه‌گرها'!$F:$F,J$1)</f>
        <v>0</v>
      </c>
      <c r="K1389" s="242">
        <f>COUNTIFS('تجربه‌گرها'!$B:$B,$A1389,'تجربه‌گرها'!$F:$F,K$1)</f>
        <v>0</v>
      </c>
      <c r="L1389" s="242">
        <f>COUNTIFS('تجربه‌گرها'!$B:$B,$A1389,'تجربه‌گرها'!$F:$F,L$1)</f>
        <v>0</v>
      </c>
      <c r="M1389" s="242">
        <f>COUNTIFS('تجربه‌گرها'!$B:$B,$A1389,'تجربه‌گرها'!$F:$F,M$1)</f>
        <v>0</v>
      </c>
      <c r="N1389" s="242">
        <f>COUNTIFS('تجربه‌گرها'!$B:$B,$A1389,'تجربه‌گرها'!$F:$F,N$1)</f>
        <v>0</v>
      </c>
      <c r="O1389" s="242">
        <f>COUNTIFS('تجربه‌گرها'!$B:$B,$A1389,'تجربه‌گرها'!$F:$F,O$1)</f>
        <v>0</v>
      </c>
      <c r="P1389" s="242">
        <f>COUNTIFS('تجربه‌گرها'!$B:$B,$A1389,'تجربه‌گرها'!$F:$F,P$1)</f>
        <v>1</v>
      </c>
      <c r="Q1389" s="242">
        <f>COUNTIFS('تجربه‌گرها'!$B:$B,$A1389,'تجربه‌گرها'!$F:$F,Q$1)</f>
        <v>0</v>
      </c>
      <c r="R1389" s="242">
        <f>COUNTIFS('تجربه‌گرها'!$B:$B,$A1389,'تجربه‌گرها'!$F:$F,R$1)</f>
        <v>0</v>
      </c>
      <c r="S1389" s="242">
        <f>COUNTIFS('تجربه‌گرها'!$B:$B,$A1389,'تجربه‌گرها'!$F:$F,S$1)</f>
        <v>0</v>
      </c>
      <c r="T1389" s="242">
        <f>COUNTIFS('تجربه‌گرها'!$B:$B,$A1389,'تجربه‌گرها'!$F:$F,T$1)</f>
        <v>0</v>
      </c>
      <c r="U1389" s="242"/>
      <c r="V1389" s="242"/>
      <c r="W1389" s="242"/>
      <c r="X1389" s="242"/>
      <c r="Y1389" s="242"/>
      <c r="Z1389" s="242"/>
      <c r="AA1389" s="242"/>
      <c r="AB1389" s="242"/>
    </row>
    <row r="1390" hidden="1">
      <c r="A1390" s="244" t="s">
        <v>6694</v>
      </c>
      <c r="B1390" s="245" t="str">
        <f>VLOOKUP(A1390,'تجربه‌گرها'!B:C,2,FALSE())</f>
        <v>09202904220</v>
      </c>
      <c r="C1390" s="242"/>
      <c r="D1390" s="242">
        <f t="shared" si="1"/>
        <v>1</v>
      </c>
      <c r="E1390" s="242">
        <f>COUNTIFS('تجربه‌گرها'!$B:$B,$A1390,'تجربه‌گرها'!$F:$F,E$1)</f>
        <v>0</v>
      </c>
      <c r="F1390" s="242">
        <f>COUNTIFS('تجربه‌گرها'!$B:$B,$A1390,'تجربه‌گرها'!$F:$F,F$1)</f>
        <v>0</v>
      </c>
      <c r="G1390" s="242">
        <f>COUNTIFS('تجربه‌گرها'!$B:$B,$A1390,'تجربه‌گرها'!$F:$F,G$1)</f>
        <v>0</v>
      </c>
      <c r="H1390" s="242">
        <f>COUNTIFS('تجربه‌گرها'!$B:$B,$A1390,'تجربه‌گرها'!$F:$F,H$1)</f>
        <v>0</v>
      </c>
      <c r="I1390" s="242">
        <f>COUNTIFS('تجربه‌گرها'!$B:$B,$A1390,'تجربه‌گرها'!$F:$F,I$1)</f>
        <v>0</v>
      </c>
      <c r="J1390" s="242">
        <f>COUNTIFS('تجربه‌گرها'!$B:$B,$A1390,'تجربه‌گرها'!$F:$F,J$1)</f>
        <v>0</v>
      </c>
      <c r="K1390" s="242">
        <f>COUNTIFS('تجربه‌گرها'!$B:$B,$A1390,'تجربه‌گرها'!$F:$F,K$1)</f>
        <v>0</v>
      </c>
      <c r="L1390" s="242">
        <f>COUNTIFS('تجربه‌گرها'!$B:$B,$A1390,'تجربه‌گرها'!$F:$F,L$1)</f>
        <v>0</v>
      </c>
      <c r="M1390" s="242">
        <f>COUNTIFS('تجربه‌گرها'!$B:$B,$A1390,'تجربه‌گرها'!$F:$F,M$1)</f>
        <v>0</v>
      </c>
      <c r="N1390" s="242">
        <f>COUNTIFS('تجربه‌گرها'!$B:$B,$A1390,'تجربه‌گرها'!$F:$F,N$1)</f>
        <v>0</v>
      </c>
      <c r="O1390" s="242">
        <f>COUNTIFS('تجربه‌گرها'!$B:$B,$A1390,'تجربه‌گرها'!$F:$F,O$1)</f>
        <v>0</v>
      </c>
      <c r="P1390" s="242">
        <f>COUNTIFS('تجربه‌گرها'!$B:$B,$A1390,'تجربه‌گرها'!$F:$F,P$1)</f>
        <v>1</v>
      </c>
      <c r="Q1390" s="242">
        <f>COUNTIFS('تجربه‌گرها'!$B:$B,$A1390,'تجربه‌گرها'!$F:$F,Q$1)</f>
        <v>0</v>
      </c>
      <c r="R1390" s="242">
        <f>COUNTIFS('تجربه‌گرها'!$B:$B,$A1390,'تجربه‌گرها'!$F:$F,R$1)</f>
        <v>0</v>
      </c>
      <c r="S1390" s="242">
        <f>COUNTIFS('تجربه‌گرها'!$B:$B,$A1390,'تجربه‌گرها'!$F:$F,S$1)</f>
        <v>0</v>
      </c>
      <c r="T1390" s="242">
        <f>COUNTIFS('تجربه‌گرها'!$B:$B,$A1390,'تجربه‌گرها'!$F:$F,T$1)</f>
        <v>0</v>
      </c>
      <c r="U1390" s="242"/>
      <c r="V1390" s="242"/>
      <c r="W1390" s="242"/>
      <c r="X1390" s="242"/>
      <c r="Y1390" s="242"/>
      <c r="Z1390" s="242"/>
      <c r="AA1390" s="242"/>
      <c r="AB1390" s="242"/>
    </row>
    <row r="1391" hidden="1">
      <c r="A1391" s="244" t="s">
        <v>6698</v>
      </c>
      <c r="B1391" s="245" t="str">
        <f>VLOOKUP(A1391,'تجربه‌گرها'!B:C,2,FALSE())</f>
        <v>09335056813</v>
      </c>
      <c r="C1391" s="242"/>
      <c r="D1391" s="242">
        <f t="shared" si="1"/>
        <v>2</v>
      </c>
      <c r="E1391" s="242">
        <f>COUNTIFS('تجربه‌گرها'!$B:$B,$A1391,'تجربه‌گرها'!$F:$F,E$1)</f>
        <v>0</v>
      </c>
      <c r="F1391" s="242">
        <f>COUNTIFS('تجربه‌گرها'!$B:$B,$A1391,'تجربه‌گرها'!$F:$F,F$1)</f>
        <v>0</v>
      </c>
      <c r="G1391" s="242">
        <f>COUNTIFS('تجربه‌گرها'!$B:$B,$A1391,'تجربه‌گرها'!$F:$F,G$1)</f>
        <v>0</v>
      </c>
      <c r="H1391" s="242">
        <f>COUNTIFS('تجربه‌گرها'!$B:$B,$A1391,'تجربه‌گرها'!$F:$F,H$1)</f>
        <v>0</v>
      </c>
      <c r="I1391" s="242">
        <f>COUNTIFS('تجربه‌گرها'!$B:$B,$A1391,'تجربه‌گرها'!$F:$F,I$1)</f>
        <v>0</v>
      </c>
      <c r="J1391" s="242">
        <f>COUNTIFS('تجربه‌گرها'!$B:$B,$A1391,'تجربه‌گرها'!$F:$F,J$1)</f>
        <v>0</v>
      </c>
      <c r="K1391" s="242">
        <f>COUNTIFS('تجربه‌گرها'!$B:$B,$A1391,'تجربه‌گرها'!$F:$F,K$1)</f>
        <v>0</v>
      </c>
      <c r="L1391" s="242">
        <f>COUNTIFS('تجربه‌گرها'!$B:$B,$A1391,'تجربه‌گرها'!$F:$F,L$1)</f>
        <v>0</v>
      </c>
      <c r="M1391" s="242">
        <f>COUNTIFS('تجربه‌گرها'!$B:$B,$A1391,'تجربه‌گرها'!$F:$F,M$1)</f>
        <v>0</v>
      </c>
      <c r="N1391" s="242">
        <f>COUNTIFS('تجربه‌گرها'!$B:$B,$A1391,'تجربه‌گرها'!$F:$F,N$1)</f>
        <v>0</v>
      </c>
      <c r="O1391" s="242">
        <f>COUNTIFS('تجربه‌گرها'!$B:$B,$A1391,'تجربه‌گرها'!$F:$F,O$1)</f>
        <v>0</v>
      </c>
      <c r="P1391" s="242">
        <f>COUNTIFS('تجربه‌گرها'!$B:$B,$A1391,'تجربه‌گرها'!$F:$F,P$1)</f>
        <v>1</v>
      </c>
      <c r="Q1391" s="242">
        <f>COUNTIFS('تجربه‌گرها'!$B:$B,$A1391,'تجربه‌گرها'!$F:$F,Q$1)</f>
        <v>0</v>
      </c>
      <c r="R1391" s="242">
        <f>COUNTIFS('تجربه‌گرها'!$B:$B,$A1391,'تجربه‌گرها'!$F:$F,R$1)</f>
        <v>0</v>
      </c>
      <c r="S1391" s="242">
        <f>COUNTIFS('تجربه‌گرها'!$B:$B,$A1391,'تجربه‌گرها'!$F:$F,S$1)</f>
        <v>0</v>
      </c>
      <c r="T1391" s="242">
        <f>COUNTIFS('تجربه‌گرها'!$B:$B,$A1391,'تجربه‌گرها'!$F:$F,T$1)</f>
        <v>1</v>
      </c>
      <c r="U1391" s="242"/>
      <c r="V1391" s="242"/>
      <c r="W1391" s="242"/>
      <c r="X1391" s="242"/>
      <c r="Y1391" s="242"/>
      <c r="Z1391" s="242"/>
      <c r="AA1391" s="242"/>
      <c r="AB1391" s="242"/>
    </row>
    <row r="1392" hidden="1">
      <c r="A1392" s="244" t="s">
        <v>6701</v>
      </c>
      <c r="B1392" s="245" t="str">
        <f>VLOOKUP(A1392,'تجربه‌گرها'!B:C,2,FALSE())</f>
        <v>09102430816</v>
      </c>
      <c r="C1392" s="242"/>
      <c r="D1392" s="242">
        <f t="shared" si="1"/>
        <v>1</v>
      </c>
      <c r="E1392" s="242">
        <f>COUNTIFS('تجربه‌گرها'!$B:$B,$A1392,'تجربه‌گرها'!$F:$F,E$1)</f>
        <v>0</v>
      </c>
      <c r="F1392" s="242">
        <f>COUNTIFS('تجربه‌گرها'!$B:$B,$A1392,'تجربه‌گرها'!$F:$F,F$1)</f>
        <v>0</v>
      </c>
      <c r="G1392" s="242">
        <f>COUNTIFS('تجربه‌گرها'!$B:$B,$A1392,'تجربه‌گرها'!$F:$F,G$1)</f>
        <v>0</v>
      </c>
      <c r="H1392" s="242">
        <f>COUNTIFS('تجربه‌گرها'!$B:$B,$A1392,'تجربه‌گرها'!$F:$F,H$1)</f>
        <v>0</v>
      </c>
      <c r="I1392" s="242">
        <f>COUNTIFS('تجربه‌گرها'!$B:$B,$A1392,'تجربه‌گرها'!$F:$F,I$1)</f>
        <v>0</v>
      </c>
      <c r="J1392" s="242">
        <f>COUNTIFS('تجربه‌گرها'!$B:$B,$A1392,'تجربه‌گرها'!$F:$F,J$1)</f>
        <v>0</v>
      </c>
      <c r="K1392" s="242">
        <f>COUNTIFS('تجربه‌گرها'!$B:$B,$A1392,'تجربه‌گرها'!$F:$F,K$1)</f>
        <v>0</v>
      </c>
      <c r="L1392" s="242">
        <f>COUNTIFS('تجربه‌گرها'!$B:$B,$A1392,'تجربه‌گرها'!$F:$F,L$1)</f>
        <v>0</v>
      </c>
      <c r="M1392" s="242">
        <f>COUNTIFS('تجربه‌گرها'!$B:$B,$A1392,'تجربه‌گرها'!$F:$F,M$1)</f>
        <v>0</v>
      </c>
      <c r="N1392" s="242">
        <f>COUNTIFS('تجربه‌گرها'!$B:$B,$A1392,'تجربه‌گرها'!$F:$F,N$1)</f>
        <v>0</v>
      </c>
      <c r="O1392" s="242">
        <f>COUNTIFS('تجربه‌گرها'!$B:$B,$A1392,'تجربه‌گرها'!$F:$F,O$1)</f>
        <v>0</v>
      </c>
      <c r="P1392" s="242">
        <f>COUNTIFS('تجربه‌گرها'!$B:$B,$A1392,'تجربه‌گرها'!$F:$F,P$1)</f>
        <v>1</v>
      </c>
      <c r="Q1392" s="242">
        <f>COUNTIFS('تجربه‌گرها'!$B:$B,$A1392,'تجربه‌گرها'!$F:$F,Q$1)</f>
        <v>0</v>
      </c>
      <c r="R1392" s="242">
        <f>COUNTIFS('تجربه‌گرها'!$B:$B,$A1392,'تجربه‌گرها'!$F:$F,R$1)</f>
        <v>0</v>
      </c>
      <c r="S1392" s="242">
        <f>COUNTIFS('تجربه‌گرها'!$B:$B,$A1392,'تجربه‌گرها'!$F:$F,S$1)</f>
        <v>0</v>
      </c>
      <c r="T1392" s="242">
        <f>COUNTIFS('تجربه‌گرها'!$B:$B,$A1392,'تجربه‌گرها'!$F:$F,T$1)</f>
        <v>0</v>
      </c>
      <c r="U1392" s="242"/>
      <c r="V1392" s="242"/>
      <c r="W1392" s="242"/>
      <c r="X1392" s="242"/>
      <c r="Y1392" s="242"/>
      <c r="Z1392" s="242"/>
      <c r="AA1392" s="242"/>
      <c r="AB1392" s="242"/>
    </row>
    <row r="1393">
      <c r="A1393" s="244" t="s">
        <v>6704</v>
      </c>
      <c r="B1393" s="245" t="str">
        <f>VLOOKUP(A1393,'تجربه‌گرها'!B:C,2,FALSE())</f>
        <v>09379471803</v>
      </c>
      <c r="C1393" s="242"/>
      <c r="D1393" s="242">
        <f t="shared" si="1"/>
        <v>1</v>
      </c>
      <c r="E1393" s="242">
        <f>COUNTIFS('تجربه‌گرها'!$B:$B,$A1393,'تجربه‌گرها'!$F:$F,E$1)</f>
        <v>0</v>
      </c>
      <c r="F1393" s="242">
        <f>COUNTIFS('تجربه‌گرها'!$B:$B,$A1393,'تجربه‌گرها'!$F:$F,F$1)</f>
        <v>0</v>
      </c>
      <c r="G1393" s="242">
        <f>COUNTIFS('تجربه‌گرها'!$B:$B,$A1393,'تجربه‌گرها'!$F:$F,G$1)</f>
        <v>0</v>
      </c>
      <c r="H1393" s="242">
        <f>COUNTIFS('تجربه‌گرها'!$B:$B,$A1393,'تجربه‌گرها'!$F:$F,H$1)</f>
        <v>0</v>
      </c>
      <c r="I1393" s="242">
        <f>COUNTIFS('تجربه‌گرها'!$B:$B,$A1393,'تجربه‌گرها'!$F:$F,I$1)</f>
        <v>0</v>
      </c>
      <c r="J1393" s="242">
        <f>COUNTIFS('تجربه‌گرها'!$B:$B,$A1393,'تجربه‌گرها'!$F:$F,J$1)</f>
        <v>0</v>
      </c>
      <c r="K1393" s="242">
        <f>COUNTIFS('تجربه‌گرها'!$B:$B,$A1393,'تجربه‌گرها'!$F:$F,K$1)</f>
        <v>0</v>
      </c>
      <c r="L1393" s="242">
        <f>COUNTIFS('تجربه‌گرها'!$B:$B,$A1393,'تجربه‌گرها'!$F:$F,L$1)</f>
        <v>0</v>
      </c>
      <c r="M1393" s="242">
        <f>COUNTIFS('تجربه‌گرها'!$B:$B,$A1393,'تجربه‌گرها'!$F:$F,M$1)</f>
        <v>0</v>
      </c>
      <c r="N1393" s="242">
        <f>COUNTIFS('تجربه‌گرها'!$B:$B,$A1393,'تجربه‌گرها'!$F:$F,N$1)</f>
        <v>0</v>
      </c>
      <c r="O1393" s="242">
        <f>COUNTIFS('تجربه‌گرها'!$B:$B,$A1393,'تجربه‌گرها'!$F:$F,O$1)</f>
        <v>0</v>
      </c>
      <c r="P1393" s="242">
        <f>COUNTIFS('تجربه‌گرها'!$B:$B,$A1393,'تجربه‌گرها'!$F:$F,P$1)</f>
        <v>1</v>
      </c>
      <c r="Q1393" s="242">
        <f>COUNTIFS('تجربه‌گرها'!$B:$B,$A1393,'تجربه‌گرها'!$F:$F,Q$1)</f>
        <v>0</v>
      </c>
      <c r="R1393" s="242">
        <f>COUNTIFS('تجربه‌گرها'!$B:$B,$A1393,'تجربه‌گرها'!$F:$F,R$1)</f>
        <v>0</v>
      </c>
      <c r="S1393" s="242">
        <f>COUNTIFS('تجربه‌گرها'!$B:$B,$A1393,'تجربه‌گرها'!$F:$F,S$1)</f>
        <v>0</v>
      </c>
      <c r="T1393" s="242">
        <f>COUNTIFS('تجربه‌گرها'!$B:$B,$A1393,'تجربه‌گرها'!$F:$F,T$1)</f>
        <v>0</v>
      </c>
      <c r="U1393" s="242"/>
      <c r="V1393" s="242"/>
      <c r="W1393" s="242"/>
      <c r="X1393" s="242"/>
      <c r="Y1393" s="242"/>
      <c r="Z1393" s="242"/>
      <c r="AA1393" s="242"/>
      <c r="AB1393" s="242"/>
    </row>
    <row r="1394" hidden="1">
      <c r="A1394" s="244" t="s">
        <v>6708</v>
      </c>
      <c r="B1394" s="245" t="str">
        <f>VLOOKUP(A1394,'تجربه‌گرها'!B:C,2,FALSE())</f>
        <v>9013010047</v>
      </c>
      <c r="C1394" s="242"/>
      <c r="D1394" s="242">
        <f t="shared" si="1"/>
        <v>1</v>
      </c>
      <c r="E1394" s="242">
        <f>COUNTIFS('تجربه‌گرها'!$B:$B,$A1394,'تجربه‌گرها'!$F:$F,E$1)</f>
        <v>0</v>
      </c>
      <c r="F1394" s="242">
        <f>COUNTIFS('تجربه‌گرها'!$B:$B,$A1394,'تجربه‌گرها'!$F:$F,F$1)</f>
        <v>0</v>
      </c>
      <c r="G1394" s="242">
        <f>COUNTIFS('تجربه‌گرها'!$B:$B,$A1394,'تجربه‌گرها'!$F:$F,G$1)</f>
        <v>0</v>
      </c>
      <c r="H1394" s="242">
        <f>COUNTIFS('تجربه‌گرها'!$B:$B,$A1394,'تجربه‌گرها'!$F:$F,H$1)</f>
        <v>0</v>
      </c>
      <c r="I1394" s="242">
        <f>COUNTIFS('تجربه‌گرها'!$B:$B,$A1394,'تجربه‌گرها'!$F:$F,I$1)</f>
        <v>0</v>
      </c>
      <c r="J1394" s="242">
        <f>COUNTIFS('تجربه‌گرها'!$B:$B,$A1394,'تجربه‌گرها'!$F:$F,J$1)</f>
        <v>0</v>
      </c>
      <c r="K1394" s="242">
        <f>COUNTIFS('تجربه‌گرها'!$B:$B,$A1394,'تجربه‌گرها'!$F:$F,K$1)</f>
        <v>0</v>
      </c>
      <c r="L1394" s="242">
        <f>COUNTIFS('تجربه‌گرها'!$B:$B,$A1394,'تجربه‌گرها'!$F:$F,L$1)</f>
        <v>0</v>
      </c>
      <c r="M1394" s="242">
        <f>COUNTIFS('تجربه‌گرها'!$B:$B,$A1394,'تجربه‌گرها'!$F:$F,M$1)</f>
        <v>0</v>
      </c>
      <c r="N1394" s="242">
        <f>COUNTIFS('تجربه‌گرها'!$B:$B,$A1394,'تجربه‌گرها'!$F:$F,N$1)</f>
        <v>0</v>
      </c>
      <c r="O1394" s="242">
        <f>COUNTIFS('تجربه‌گرها'!$B:$B,$A1394,'تجربه‌گرها'!$F:$F,O$1)</f>
        <v>0</v>
      </c>
      <c r="P1394" s="242">
        <f>COUNTIFS('تجربه‌گرها'!$B:$B,$A1394,'تجربه‌گرها'!$F:$F,P$1)</f>
        <v>1</v>
      </c>
      <c r="Q1394" s="242">
        <f>COUNTIFS('تجربه‌گرها'!$B:$B,$A1394,'تجربه‌گرها'!$F:$F,Q$1)</f>
        <v>0</v>
      </c>
      <c r="R1394" s="242">
        <f>COUNTIFS('تجربه‌گرها'!$B:$B,$A1394,'تجربه‌گرها'!$F:$F,R$1)</f>
        <v>0</v>
      </c>
      <c r="S1394" s="242">
        <f>COUNTIFS('تجربه‌گرها'!$B:$B,$A1394,'تجربه‌گرها'!$F:$F,S$1)</f>
        <v>0</v>
      </c>
      <c r="T1394" s="242">
        <f>COUNTIFS('تجربه‌گرها'!$B:$B,$A1394,'تجربه‌گرها'!$F:$F,T$1)</f>
        <v>0</v>
      </c>
      <c r="U1394" s="242"/>
      <c r="V1394" s="242"/>
      <c r="W1394" s="242"/>
      <c r="X1394" s="242"/>
      <c r="Y1394" s="242"/>
      <c r="Z1394" s="242"/>
      <c r="AA1394" s="242"/>
      <c r="AB1394" s="242"/>
    </row>
    <row r="1395" hidden="1">
      <c r="A1395" s="244" t="s">
        <v>6712</v>
      </c>
      <c r="B1395" s="245" t="str">
        <f>VLOOKUP(A1395,'تجربه‌گرها'!B:C,2,FALSE())</f>
        <v>9011708847</v>
      </c>
      <c r="C1395" s="242"/>
      <c r="D1395" s="242">
        <f t="shared" si="1"/>
        <v>1</v>
      </c>
      <c r="E1395" s="242">
        <f>COUNTIFS('تجربه‌گرها'!$B:$B,$A1395,'تجربه‌گرها'!$F:$F,E$1)</f>
        <v>0</v>
      </c>
      <c r="F1395" s="242">
        <f>COUNTIFS('تجربه‌گرها'!$B:$B,$A1395,'تجربه‌گرها'!$F:$F,F$1)</f>
        <v>0</v>
      </c>
      <c r="G1395" s="242">
        <f>COUNTIFS('تجربه‌گرها'!$B:$B,$A1395,'تجربه‌گرها'!$F:$F,G$1)</f>
        <v>0</v>
      </c>
      <c r="H1395" s="242">
        <f>COUNTIFS('تجربه‌گرها'!$B:$B,$A1395,'تجربه‌گرها'!$F:$F,H$1)</f>
        <v>0</v>
      </c>
      <c r="I1395" s="242">
        <f>COUNTIFS('تجربه‌گرها'!$B:$B,$A1395,'تجربه‌گرها'!$F:$F,I$1)</f>
        <v>0</v>
      </c>
      <c r="J1395" s="242">
        <f>COUNTIFS('تجربه‌گرها'!$B:$B,$A1395,'تجربه‌گرها'!$F:$F,J$1)</f>
        <v>0</v>
      </c>
      <c r="K1395" s="242">
        <f>COUNTIFS('تجربه‌گرها'!$B:$B,$A1395,'تجربه‌گرها'!$F:$F,K$1)</f>
        <v>0</v>
      </c>
      <c r="L1395" s="242">
        <f>COUNTIFS('تجربه‌گرها'!$B:$B,$A1395,'تجربه‌گرها'!$F:$F,L$1)</f>
        <v>0</v>
      </c>
      <c r="M1395" s="242">
        <f>COUNTIFS('تجربه‌گرها'!$B:$B,$A1395,'تجربه‌گرها'!$F:$F,M$1)</f>
        <v>0</v>
      </c>
      <c r="N1395" s="242">
        <f>COUNTIFS('تجربه‌گرها'!$B:$B,$A1395,'تجربه‌گرها'!$F:$F,N$1)</f>
        <v>0</v>
      </c>
      <c r="O1395" s="242">
        <f>COUNTIFS('تجربه‌گرها'!$B:$B,$A1395,'تجربه‌گرها'!$F:$F,O$1)</f>
        <v>0</v>
      </c>
      <c r="P1395" s="242">
        <f>COUNTIFS('تجربه‌گرها'!$B:$B,$A1395,'تجربه‌گرها'!$F:$F,P$1)</f>
        <v>1</v>
      </c>
      <c r="Q1395" s="242">
        <f>COUNTIFS('تجربه‌گرها'!$B:$B,$A1395,'تجربه‌گرها'!$F:$F,Q$1)</f>
        <v>0</v>
      </c>
      <c r="R1395" s="242">
        <f>COUNTIFS('تجربه‌گرها'!$B:$B,$A1395,'تجربه‌گرها'!$F:$F,R$1)</f>
        <v>0</v>
      </c>
      <c r="S1395" s="242">
        <f>COUNTIFS('تجربه‌گرها'!$B:$B,$A1395,'تجربه‌گرها'!$F:$F,S$1)</f>
        <v>0</v>
      </c>
      <c r="T1395" s="242">
        <f>COUNTIFS('تجربه‌گرها'!$B:$B,$A1395,'تجربه‌گرها'!$F:$F,T$1)</f>
        <v>0</v>
      </c>
      <c r="U1395" s="242"/>
      <c r="V1395" s="242"/>
      <c r="W1395" s="242"/>
      <c r="X1395" s="242"/>
      <c r="Y1395" s="242"/>
      <c r="Z1395" s="242"/>
      <c r="AA1395" s="242"/>
      <c r="AB1395" s="242"/>
    </row>
    <row r="1396" hidden="1">
      <c r="A1396" s="244" t="s">
        <v>6716</v>
      </c>
      <c r="B1396" s="245" t="str">
        <f>VLOOKUP(A1396,'تجربه‌گرها'!B:C,2,FALSE())</f>
        <v>9125947138</v>
      </c>
      <c r="C1396" s="242"/>
      <c r="D1396" s="242">
        <f t="shared" si="1"/>
        <v>1</v>
      </c>
      <c r="E1396" s="242">
        <f>COUNTIFS('تجربه‌گرها'!$B:$B,$A1396,'تجربه‌گرها'!$F:$F,E$1)</f>
        <v>0</v>
      </c>
      <c r="F1396" s="242">
        <f>COUNTIFS('تجربه‌گرها'!$B:$B,$A1396,'تجربه‌گرها'!$F:$F,F$1)</f>
        <v>0</v>
      </c>
      <c r="G1396" s="242">
        <f>COUNTIFS('تجربه‌گرها'!$B:$B,$A1396,'تجربه‌گرها'!$F:$F,G$1)</f>
        <v>0</v>
      </c>
      <c r="H1396" s="242">
        <f>COUNTIFS('تجربه‌گرها'!$B:$B,$A1396,'تجربه‌گرها'!$F:$F,H$1)</f>
        <v>0</v>
      </c>
      <c r="I1396" s="242">
        <f>COUNTIFS('تجربه‌گرها'!$B:$B,$A1396,'تجربه‌گرها'!$F:$F,I$1)</f>
        <v>0</v>
      </c>
      <c r="J1396" s="242">
        <f>COUNTIFS('تجربه‌گرها'!$B:$B,$A1396,'تجربه‌گرها'!$F:$F,J$1)</f>
        <v>0</v>
      </c>
      <c r="K1396" s="242">
        <f>COUNTIFS('تجربه‌گرها'!$B:$B,$A1396,'تجربه‌گرها'!$F:$F,K$1)</f>
        <v>0</v>
      </c>
      <c r="L1396" s="242">
        <f>COUNTIFS('تجربه‌گرها'!$B:$B,$A1396,'تجربه‌گرها'!$F:$F,L$1)</f>
        <v>0</v>
      </c>
      <c r="M1396" s="242">
        <f>COUNTIFS('تجربه‌گرها'!$B:$B,$A1396,'تجربه‌گرها'!$F:$F,M$1)</f>
        <v>0</v>
      </c>
      <c r="N1396" s="242">
        <f>COUNTIFS('تجربه‌گرها'!$B:$B,$A1396,'تجربه‌گرها'!$F:$F,N$1)</f>
        <v>0</v>
      </c>
      <c r="O1396" s="242">
        <f>COUNTIFS('تجربه‌گرها'!$B:$B,$A1396,'تجربه‌گرها'!$F:$F,O$1)</f>
        <v>0</v>
      </c>
      <c r="P1396" s="242">
        <f>COUNTIFS('تجربه‌گرها'!$B:$B,$A1396,'تجربه‌گرها'!$F:$F,P$1)</f>
        <v>1</v>
      </c>
      <c r="Q1396" s="242">
        <f>COUNTIFS('تجربه‌گرها'!$B:$B,$A1396,'تجربه‌گرها'!$F:$F,Q$1)</f>
        <v>0</v>
      </c>
      <c r="R1396" s="242">
        <f>COUNTIFS('تجربه‌گرها'!$B:$B,$A1396,'تجربه‌گرها'!$F:$F,R$1)</f>
        <v>0</v>
      </c>
      <c r="S1396" s="242">
        <f>COUNTIFS('تجربه‌گرها'!$B:$B,$A1396,'تجربه‌گرها'!$F:$F,S$1)</f>
        <v>0</v>
      </c>
      <c r="T1396" s="242">
        <f>COUNTIFS('تجربه‌گرها'!$B:$B,$A1396,'تجربه‌گرها'!$F:$F,T$1)</f>
        <v>0</v>
      </c>
      <c r="U1396" s="242"/>
      <c r="V1396" s="242"/>
      <c r="W1396" s="242"/>
      <c r="X1396" s="242"/>
      <c r="Y1396" s="242"/>
      <c r="Z1396" s="242"/>
      <c r="AA1396" s="242"/>
      <c r="AB1396" s="242"/>
    </row>
    <row r="1397" hidden="1">
      <c r="A1397" s="244" t="s">
        <v>6720</v>
      </c>
      <c r="B1397" s="245" t="str">
        <f>VLOOKUP(A1397,'تجربه‌گرها'!B:C,2,FALSE())</f>
        <v>9931653321</v>
      </c>
      <c r="C1397" s="242"/>
      <c r="D1397" s="242">
        <f t="shared" si="1"/>
        <v>1</v>
      </c>
      <c r="E1397" s="242">
        <f>COUNTIFS('تجربه‌گرها'!$B:$B,$A1397,'تجربه‌گرها'!$F:$F,E$1)</f>
        <v>0</v>
      </c>
      <c r="F1397" s="242">
        <f>COUNTIFS('تجربه‌گرها'!$B:$B,$A1397,'تجربه‌گرها'!$F:$F,F$1)</f>
        <v>0</v>
      </c>
      <c r="G1397" s="242">
        <f>COUNTIFS('تجربه‌گرها'!$B:$B,$A1397,'تجربه‌گرها'!$F:$F,G$1)</f>
        <v>0</v>
      </c>
      <c r="H1397" s="242">
        <f>COUNTIFS('تجربه‌گرها'!$B:$B,$A1397,'تجربه‌گرها'!$F:$F,H$1)</f>
        <v>0</v>
      </c>
      <c r="I1397" s="242">
        <f>COUNTIFS('تجربه‌گرها'!$B:$B,$A1397,'تجربه‌گرها'!$F:$F,I$1)</f>
        <v>0</v>
      </c>
      <c r="J1397" s="242">
        <f>COUNTIFS('تجربه‌گرها'!$B:$B,$A1397,'تجربه‌گرها'!$F:$F,J$1)</f>
        <v>0</v>
      </c>
      <c r="K1397" s="242">
        <f>COUNTIFS('تجربه‌گرها'!$B:$B,$A1397,'تجربه‌گرها'!$F:$F,K$1)</f>
        <v>0</v>
      </c>
      <c r="L1397" s="242">
        <f>COUNTIFS('تجربه‌گرها'!$B:$B,$A1397,'تجربه‌گرها'!$F:$F,L$1)</f>
        <v>0</v>
      </c>
      <c r="M1397" s="242">
        <f>COUNTIFS('تجربه‌گرها'!$B:$B,$A1397,'تجربه‌گرها'!$F:$F,M$1)</f>
        <v>0</v>
      </c>
      <c r="N1397" s="242">
        <f>COUNTIFS('تجربه‌گرها'!$B:$B,$A1397,'تجربه‌گرها'!$F:$F,N$1)</f>
        <v>0</v>
      </c>
      <c r="O1397" s="242">
        <f>COUNTIFS('تجربه‌گرها'!$B:$B,$A1397,'تجربه‌گرها'!$F:$F,O$1)</f>
        <v>0</v>
      </c>
      <c r="P1397" s="242">
        <f>COUNTIFS('تجربه‌گرها'!$B:$B,$A1397,'تجربه‌گرها'!$F:$F,P$1)</f>
        <v>1</v>
      </c>
      <c r="Q1397" s="242">
        <f>COUNTIFS('تجربه‌گرها'!$B:$B,$A1397,'تجربه‌گرها'!$F:$F,Q$1)</f>
        <v>0</v>
      </c>
      <c r="R1397" s="242">
        <f>COUNTIFS('تجربه‌گرها'!$B:$B,$A1397,'تجربه‌گرها'!$F:$F,R$1)</f>
        <v>0</v>
      </c>
      <c r="S1397" s="242">
        <f>COUNTIFS('تجربه‌گرها'!$B:$B,$A1397,'تجربه‌گرها'!$F:$F,S$1)</f>
        <v>0</v>
      </c>
      <c r="T1397" s="242">
        <f>COUNTIFS('تجربه‌گرها'!$B:$B,$A1397,'تجربه‌گرها'!$F:$F,T$1)</f>
        <v>0</v>
      </c>
      <c r="U1397" s="242"/>
      <c r="V1397" s="242"/>
      <c r="W1397" s="242"/>
      <c r="X1397" s="242"/>
      <c r="Y1397" s="242"/>
      <c r="Z1397" s="242"/>
      <c r="AA1397" s="242"/>
      <c r="AB1397" s="242"/>
    </row>
    <row r="1398" hidden="1">
      <c r="A1398" s="244" t="s">
        <v>6724</v>
      </c>
      <c r="B1398" s="245" t="str">
        <f>VLOOKUP(A1398,'تجربه‌گرها'!B:C,2,FALSE())</f>
        <v>09134242241</v>
      </c>
      <c r="C1398" s="242"/>
      <c r="D1398" s="242">
        <f t="shared" si="1"/>
        <v>1</v>
      </c>
      <c r="E1398" s="242">
        <f>COUNTIFS('تجربه‌گرها'!$B:$B,$A1398,'تجربه‌گرها'!$F:$F,E$1)</f>
        <v>0</v>
      </c>
      <c r="F1398" s="242">
        <f>COUNTIFS('تجربه‌گرها'!$B:$B,$A1398,'تجربه‌گرها'!$F:$F,F$1)</f>
        <v>0</v>
      </c>
      <c r="G1398" s="242">
        <f>COUNTIFS('تجربه‌گرها'!$B:$B,$A1398,'تجربه‌گرها'!$F:$F,G$1)</f>
        <v>0</v>
      </c>
      <c r="H1398" s="242">
        <f>COUNTIFS('تجربه‌گرها'!$B:$B,$A1398,'تجربه‌گرها'!$F:$F,H$1)</f>
        <v>0</v>
      </c>
      <c r="I1398" s="242">
        <f>COUNTIFS('تجربه‌گرها'!$B:$B,$A1398,'تجربه‌گرها'!$F:$F,I$1)</f>
        <v>0</v>
      </c>
      <c r="J1398" s="242">
        <f>COUNTIFS('تجربه‌گرها'!$B:$B,$A1398,'تجربه‌گرها'!$F:$F,J$1)</f>
        <v>0</v>
      </c>
      <c r="K1398" s="242">
        <f>COUNTIFS('تجربه‌گرها'!$B:$B,$A1398,'تجربه‌گرها'!$F:$F,K$1)</f>
        <v>0</v>
      </c>
      <c r="L1398" s="242">
        <f>COUNTIFS('تجربه‌گرها'!$B:$B,$A1398,'تجربه‌گرها'!$F:$F,L$1)</f>
        <v>0</v>
      </c>
      <c r="M1398" s="242">
        <f>COUNTIFS('تجربه‌گرها'!$B:$B,$A1398,'تجربه‌گرها'!$F:$F,M$1)</f>
        <v>0</v>
      </c>
      <c r="N1398" s="242">
        <f>COUNTIFS('تجربه‌گرها'!$B:$B,$A1398,'تجربه‌گرها'!$F:$F,N$1)</f>
        <v>0</v>
      </c>
      <c r="O1398" s="242">
        <f>COUNTIFS('تجربه‌گرها'!$B:$B,$A1398,'تجربه‌گرها'!$F:$F,O$1)</f>
        <v>0</v>
      </c>
      <c r="P1398" s="242">
        <f>COUNTIFS('تجربه‌گرها'!$B:$B,$A1398,'تجربه‌گرها'!$F:$F,P$1)</f>
        <v>1</v>
      </c>
      <c r="Q1398" s="242">
        <f>COUNTIFS('تجربه‌گرها'!$B:$B,$A1398,'تجربه‌گرها'!$F:$F,Q$1)</f>
        <v>0</v>
      </c>
      <c r="R1398" s="242">
        <f>COUNTIFS('تجربه‌گرها'!$B:$B,$A1398,'تجربه‌گرها'!$F:$F,R$1)</f>
        <v>0</v>
      </c>
      <c r="S1398" s="242">
        <f>COUNTIFS('تجربه‌گرها'!$B:$B,$A1398,'تجربه‌گرها'!$F:$F,S$1)</f>
        <v>0</v>
      </c>
      <c r="T1398" s="242">
        <f>COUNTIFS('تجربه‌گرها'!$B:$B,$A1398,'تجربه‌گرها'!$F:$F,T$1)</f>
        <v>0</v>
      </c>
      <c r="U1398" s="242"/>
      <c r="V1398" s="242"/>
      <c r="W1398" s="242"/>
      <c r="X1398" s="242"/>
      <c r="Y1398" s="242"/>
      <c r="Z1398" s="242"/>
      <c r="AA1398" s="242"/>
      <c r="AB1398" s="242"/>
    </row>
    <row r="1399">
      <c r="A1399" s="244" t="s">
        <v>6728</v>
      </c>
      <c r="B1399" s="245" t="str">
        <f>VLOOKUP(A1399,'تجربه‌گرها'!B:C,2,FALSE())</f>
        <v>9912533957</v>
      </c>
      <c r="C1399" s="242"/>
      <c r="D1399" s="242">
        <f t="shared" si="1"/>
        <v>1</v>
      </c>
      <c r="E1399" s="242">
        <f>COUNTIFS('تجربه‌گرها'!$B:$B,$A1399,'تجربه‌گرها'!$F:$F,E$1)</f>
        <v>0</v>
      </c>
      <c r="F1399" s="242">
        <f>COUNTIFS('تجربه‌گرها'!$B:$B,$A1399,'تجربه‌گرها'!$F:$F,F$1)</f>
        <v>0</v>
      </c>
      <c r="G1399" s="242">
        <f>COUNTIFS('تجربه‌گرها'!$B:$B,$A1399,'تجربه‌گرها'!$F:$F,G$1)</f>
        <v>0</v>
      </c>
      <c r="H1399" s="242">
        <f>COUNTIFS('تجربه‌گرها'!$B:$B,$A1399,'تجربه‌گرها'!$F:$F,H$1)</f>
        <v>0</v>
      </c>
      <c r="I1399" s="242">
        <f>COUNTIFS('تجربه‌گرها'!$B:$B,$A1399,'تجربه‌گرها'!$F:$F,I$1)</f>
        <v>0</v>
      </c>
      <c r="J1399" s="242">
        <f>COUNTIFS('تجربه‌گرها'!$B:$B,$A1399,'تجربه‌گرها'!$F:$F,J$1)</f>
        <v>0</v>
      </c>
      <c r="K1399" s="242">
        <f>COUNTIFS('تجربه‌گرها'!$B:$B,$A1399,'تجربه‌گرها'!$F:$F,K$1)</f>
        <v>0</v>
      </c>
      <c r="L1399" s="242">
        <f>COUNTIFS('تجربه‌گرها'!$B:$B,$A1399,'تجربه‌گرها'!$F:$F,L$1)</f>
        <v>0</v>
      </c>
      <c r="M1399" s="242">
        <f>COUNTIFS('تجربه‌گرها'!$B:$B,$A1399,'تجربه‌گرها'!$F:$F,M$1)</f>
        <v>0</v>
      </c>
      <c r="N1399" s="242">
        <f>COUNTIFS('تجربه‌گرها'!$B:$B,$A1399,'تجربه‌گرها'!$F:$F,N$1)</f>
        <v>0</v>
      </c>
      <c r="O1399" s="242">
        <f>COUNTIFS('تجربه‌گرها'!$B:$B,$A1399,'تجربه‌گرها'!$F:$F,O$1)</f>
        <v>0</v>
      </c>
      <c r="P1399" s="242">
        <f>COUNTIFS('تجربه‌گرها'!$B:$B,$A1399,'تجربه‌گرها'!$F:$F,P$1)</f>
        <v>1</v>
      </c>
      <c r="Q1399" s="242">
        <f>COUNTIFS('تجربه‌گرها'!$B:$B,$A1399,'تجربه‌گرها'!$F:$F,Q$1)</f>
        <v>0</v>
      </c>
      <c r="R1399" s="242">
        <f>COUNTIFS('تجربه‌گرها'!$B:$B,$A1399,'تجربه‌گرها'!$F:$F,R$1)</f>
        <v>0</v>
      </c>
      <c r="S1399" s="242">
        <f>COUNTIFS('تجربه‌گرها'!$B:$B,$A1399,'تجربه‌گرها'!$F:$F,S$1)</f>
        <v>0</v>
      </c>
      <c r="T1399" s="242">
        <f>COUNTIFS('تجربه‌گرها'!$B:$B,$A1399,'تجربه‌گرها'!$F:$F,T$1)</f>
        <v>0</v>
      </c>
      <c r="U1399" s="242"/>
      <c r="V1399" s="242"/>
      <c r="W1399" s="242"/>
      <c r="X1399" s="242"/>
      <c r="Y1399" s="242"/>
      <c r="Z1399" s="242"/>
      <c r="AA1399" s="242"/>
      <c r="AB1399" s="242"/>
    </row>
    <row r="1400" hidden="1">
      <c r="A1400" s="244" t="s">
        <v>6734</v>
      </c>
      <c r="B1400" s="245" t="str">
        <f>VLOOKUP(A1400,'تجربه‌گرها'!B:C,2,FALSE())</f>
        <v>9133699488</v>
      </c>
      <c r="C1400" s="242"/>
      <c r="D1400" s="242">
        <f t="shared" si="1"/>
        <v>1</v>
      </c>
      <c r="E1400" s="242">
        <f>COUNTIFS('تجربه‌گرها'!$B:$B,$A1400,'تجربه‌گرها'!$F:$F,E$1)</f>
        <v>0</v>
      </c>
      <c r="F1400" s="242">
        <f>COUNTIFS('تجربه‌گرها'!$B:$B,$A1400,'تجربه‌گرها'!$F:$F,F$1)</f>
        <v>0</v>
      </c>
      <c r="G1400" s="242">
        <f>COUNTIFS('تجربه‌گرها'!$B:$B,$A1400,'تجربه‌گرها'!$F:$F,G$1)</f>
        <v>0</v>
      </c>
      <c r="H1400" s="242">
        <f>COUNTIFS('تجربه‌گرها'!$B:$B,$A1400,'تجربه‌گرها'!$F:$F,H$1)</f>
        <v>0</v>
      </c>
      <c r="I1400" s="242">
        <f>COUNTIFS('تجربه‌گرها'!$B:$B,$A1400,'تجربه‌گرها'!$F:$F,I$1)</f>
        <v>0</v>
      </c>
      <c r="J1400" s="242">
        <f>COUNTIFS('تجربه‌گرها'!$B:$B,$A1400,'تجربه‌گرها'!$F:$F,J$1)</f>
        <v>0</v>
      </c>
      <c r="K1400" s="242">
        <f>COUNTIFS('تجربه‌گرها'!$B:$B,$A1400,'تجربه‌گرها'!$F:$F,K$1)</f>
        <v>0</v>
      </c>
      <c r="L1400" s="242">
        <f>COUNTIFS('تجربه‌گرها'!$B:$B,$A1400,'تجربه‌گرها'!$F:$F,L$1)</f>
        <v>0</v>
      </c>
      <c r="M1400" s="242">
        <f>COUNTIFS('تجربه‌گرها'!$B:$B,$A1400,'تجربه‌گرها'!$F:$F,M$1)</f>
        <v>0</v>
      </c>
      <c r="N1400" s="242">
        <f>COUNTIFS('تجربه‌گرها'!$B:$B,$A1400,'تجربه‌گرها'!$F:$F,N$1)</f>
        <v>0</v>
      </c>
      <c r="O1400" s="242">
        <f>COUNTIFS('تجربه‌گرها'!$B:$B,$A1400,'تجربه‌گرها'!$F:$F,O$1)</f>
        <v>0</v>
      </c>
      <c r="P1400" s="242">
        <f>COUNTIFS('تجربه‌گرها'!$B:$B,$A1400,'تجربه‌گرها'!$F:$F,P$1)</f>
        <v>1</v>
      </c>
      <c r="Q1400" s="242">
        <f>COUNTIFS('تجربه‌گرها'!$B:$B,$A1400,'تجربه‌گرها'!$F:$F,Q$1)</f>
        <v>0</v>
      </c>
      <c r="R1400" s="242">
        <f>COUNTIFS('تجربه‌گرها'!$B:$B,$A1400,'تجربه‌گرها'!$F:$F,R$1)</f>
        <v>0</v>
      </c>
      <c r="S1400" s="242">
        <f>COUNTIFS('تجربه‌گرها'!$B:$B,$A1400,'تجربه‌گرها'!$F:$F,S$1)</f>
        <v>0</v>
      </c>
      <c r="T1400" s="242">
        <f>COUNTIFS('تجربه‌گرها'!$B:$B,$A1400,'تجربه‌گرها'!$F:$F,T$1)</f>
        <v>0</v>
      </c>
      <c r="U1400" s="242"/>
      <c r="V1400" s="242"/>
      <c r="W1400" s="242"/>
      <c r="X1400" s="242"/>
      <c r="Y1400" s="242"/>
      <c r="Z1400" s="242"/>
      <c r="AA1400" s="242"/>
      <c r="AB1400" s="242"/>
    </row>
    <row r="1401" hidden="1">
      <c r="A1401" s="244" t="s">
        <v>6740</v>
      </c>
      <c r="B1401" s="245" t="str">
        <f>VLOOKUP(A1401,'تجربه‌گرها'!B:C,2,FALSE())</f>
        <v>9332614994</v>
      </c>
      <c r="C1401" s="242"/>
      <c r="D1401" s="242">
        <f t="shared" si="1"/>
        <v>1</v>
      </c>
      <c r="E1401" s="242">
        <f>COUNTIFS('تجربه‌گرها'!$B:$B,$A1401,'تجربه‌گرها'!$F:$F,E$1)</f>
        <v>0</v>
      </c>
      <c r="F1401" s="242">
        <f>COUNTIFS('تجربه‌گرها'!$B:$B,$A1401,'تجربه‌گرها'!$F:$F,F$1)</f>
        <v>0</v>
      </c>
      <c r="G1401" s="242">
        <f>COUNTIFS('تجربه‌گرها'!$B:$B,$A1401,'تجربه‌گرها'!$F:$F,G$1)</f>
        <v>0</v>
      </c>
      <c r="H1401" s="242">
        <f>COUNTIFS('تجربه‌گرها'!$B:$B,$A1401,'تجربه‌گرها'!$F:$F,H$1)</f>
        <v>0</v>
      </c>
      <c r="I1401" s="242">
        <f>COUNTIFS('تجربه‌گرها'!$B:$B,$A1401,'تجربه‌گرها'!$F:$F,I$1)</f>
        <v>0</v>
      </c>
      <c r="J1401" s="242">
        <f>COUNTIFS('تجربه‌گرها'!$B:$B,$A1401,'تجربه‌گرها'!$F:$F,J$1)</f>
        <v>0</v>
      </c>
      <c r="K1401" s="242">
        <f>COUNTIFS('تجربه‌گرها'!$B:$B,$A1401,'تجربه‌گرها'!$F:$F,K$1)</f>
        <v>0</v>
      </c>
      <c r="L1401" s="242">
        <f>COUNTIFS('تجربه‌گرها'!$B:$B,$A1401,'تجربه‌گرها'!$F:$F,L$1)</f>
        <v>0</v>
      </c>
      <c r="M1401" s="242">
        <f>COUNTIFS('تجربه‌گرها'!$B:$B,$A1401,'تجربه‌گرها'!$F:$F,M$1)</f>
        <v>0</v>
      </c>
      <c r="N1401" s="242">
        <f>COUNTIFS('تجربه‌گرها'!$B:$B,$A1401,'تجربه‌گرها'!$F:$F,N$1)</f>
        <v>0</v>
      </c>
      <c r="O1401" s="242">
        <f>COUNTIFS('تجربه‌گرها'!$B:$B,$A1401,'تجربه‌گرها'!$F:$F,O$1)</f>
        <v>0</v>
      </c>
      <c r="P1401" s="242">
        <f>COUNTIFS('تجربه‌گرها'!$B:$B,$A1401,'تجربه‌گرها'!$F:$F,P$1)</f>
        <v>1</v>
      </c>
      <c r="Q1401" s="242">
        <f>COUNTIFS('تجربه‌گرها'!$B:$B,$A1401,'تجربه‌گرها'!$F:$F,Q$1)</f>
        <v>0</v>
      </c>
      <c r="R1401" s="242">
        <f>COUNTIFS('تجربه‌گرها'!$B:$B,$A1401,'تجربه‌گرها'!$F:$F,R$1)</f>
        <v>0</v>
      </c>
      <c r="S1401" s="242">
        <f>COUNTIFS('تجربه‌گرها'!$B:$B,$A1401,'تجربه‌گرها'!$F:$F,S$1)</f>
        <v>0</v>
      </c>
      <c r="T1401" s="242">
        <f>COUNTIFS('تجربه‌گرها'!$B:$B,$A1401,'تجربه‌گرها'!$F:$F,T$1)</f>
        <v>0</v>
      </c>
      <c r="U1401" s="242"/>
      <c r="V1401" s="242"/>
      <c r="W1401" s="242"/>
      <c r="X1401" s="242"/>
      <c r="Y1401" s="242"/>
      <c r="Z1401" s="242"/>
      <c r="AA1401" s="242"/>
      <c r="AB1401" s="242"/>
    </row>
    <row r="1402" hidden="1">
      <c r="A1402" s="244" t="s">
        <v>6743</v>
      </c>
      <c r="B1402" s="245" t="str">
        <f>VLOOKUP(A1402,'تجربه‌گرها'!B:C,2,FALSE())</f>
        <v>9337433792</v>
      </c>
      <c r="C1402" s="242"/>
      <c r="D1402" s="242">
        <f t="shared" si="1"/>
        <v>1</v>
      </c>
      <c r="E1402" s="242">
        <f>COUNTIFS('تجربه‌گرها'!$B:$B,$A1402,'تجربه‌گرها'!$F:$F,E$1)</f>
        <v>0</v>
      </c>
      <c r="F1402" s="242">
        <f>COUNTIFS('تجربه‌گرها'!$B:$B,$A1402,'تجربه‌گرها'!$F:$F,F$1)</f>
        <v>0</v>
      </c>
      <c r="G1402" s="242">
        <f>COUNTIFS('تجربه‌گرها'!$B:$B,$A1402,'تجربه‌گرها'!$F:$F,G$1)</f>
        <v>0</v>
      </c>
      <c r="H1402" s="242">
        <f>COUNTIFS('تجربه‌گرها'!$B:$B,$A1402,'تجربه‌گرها'!$F:$F,H$1)</f>
        <v>0</v>
      </c>
      <c r="I1402" s="242">
        <f>COUNTIFS('تجربه‌گرها'!$B:$B,$A1402,'تجربه‌گرها'!$F:$F,I$1)</f>
        <v>0</v>
      </c>
      <c r="J1402" s="242">
        <f>COUNTIFS('تجربه‌گرها'!$B:$B,$A1402,'تجربه‌گرها'!$F:$F,J$1)</f>
        <v>0</v>
      </c>
      <c r="K1402" s="242">
        <f>COUNTIFS('تجربه‌گرها'!$B:$B,$A1402,'تجربه‌گرها'!$F:$F,K$1)</f>
        <v>0</v>
      </c>
      <c r="L1402" s="242">
        <f>COUNTIFS('تجربه‌گرها'!$B:$B,$A1402,'تجربه‌گرها'!$F:$F,L$1)</f>
        <v>0</v>
      </c>
      <c r="M1402" s="242">
        <f>COUNTIFS('تجربه‌گرها'!$B:$B,$A1402,'تجربه‌گرها'!$F:$F,M$1)</f>
        <v>0</v>
      </c>
      <c r="N1402" s="242">
        <f>COUNTIFS('تجربه‌گرها'!$B:$B,$A1402,'تجربه‌گرها'!$F:$F,N$1)</f>
        <v>0</v>
      </c>
      <c r="O1402" s="242">
        <f>COUNTIFS('تجربه‌گرها'!$B:$B,$A1402,'تجربه‌گرها'!$F:$F,O$1)</f>
        <v>0</v>
      </c>
      <c r="P1402" s="242">
        <f>COUNTIFS('تجربه‌گرها'!$B:$B,$A1402,'تجربه‌گرها'!$F:$F,P$1)</f>
        <v>1</v>
      </c>
      <c r="Q1402" s="242">
        <f>COUNTIFS('تجربه‌گرها'!$B:$B,$A1402,'تجربه‌گرها'!$F:$F,Q$1)</f>
        <v>0</v>
      </c>
      <c r="R1402" s="242">
        <f>COUNTIFS('تجربه‌گرها'!$B:$B,$A1402,'تجربه‌گرها'!$F:$F,R$1)</f>
        <v>0</v>
      </c>
      <c r="S1402" s="242">
        <f>COUNTIFS('تجربه‌گرها'!$B:$B,$A1402,'تجربه‌گرها'!$F:$F,S$1)</f>
        <v>0</v>
      </c>
      <c r="T1402" s="242">
        <f>COUNTIFS('تجربه‌گرها'!$B:$B,$A1402,'تجربه‌گرها'!$F:$F,T$1)</f>
        <v>0</v>
      </c>
      <c r="U1402" s="242"/>
      <c r="V1402" s="242"/>
      <c r="W1402" s="242"/>
      <c r="X1402" s="242"/>
      <c r="Y1402" s="242"/>
      <c r="Z1402" s="242"/>
      <c r="AA1402" s="242"/>
      <c r="AB1402" s="242"/>
    </row>
    <row r="1403" hidden="1">
      <c r="A1403" s="244" t="s">
        <v>6748</v>
      </c>
      <c r="B1403" s="245" t="str">
        <f>VLOOKUP(A1403,'تجربه‌گرها'!B:C,2,FALSE())</f>
        <v>۰۹۱۲۳۶۷۶۱۰۱</v>
      </c>
      <c r="C1403" s="242"/>
      <c r="D1403" s="242">
        <f t="shared" si="1"/>
        <v>1</v>
      </c>
      <c r="E1403" s="242">
        <f>COUNTIFS('تجربه‌گرها'!$B:$B,$A1403,'تجربه‌گرها'!$F:$F,E$1)</f>
        <v>0</v>
      </c>
      <c r="F1403" s="242">
        <f>COUNTIFS('تجربه‌گرها'!$B:$B,$A1403,'تجربه‌گرها'!$F:$F,F$1)</f>
        <v>0</v>
      </c>
      <c r="G1403" s="242">
        <f>COUNTIFS('تجربه‌گرها'!$B:$B,$A1403,'تجربه‌گرها'!$F:$F,G$1)</f>
        <v>0</v>
      </c>
      <c r="H1403" s="242">
        <f>COUNTIFS('تجربه‌گرها'!$B:$B,$A1403,'تجربه‌گرها'!$F:$F,H$1)</f>
        <v>0</v>
      </c>
      <c r="I1403" s="242">
        <f>COUNTIFS('تجربه‌گرها'!$B:$B,$A1403,'تجربه‌گرها'!$F:$F,I$1)</f>
        <v>0</v>
      </c>
      <c r="J1403" s="242">
        <f>COUNTIFS('تجربه‌گرها'!$B:$B,$A1403,'تجربه‌گرها'!$F:$F,J$1)</f>
        <v>0</v>
      </c>
      <c r="K1403" s="242">
        <f>COUNTIFS('تجربه‌گرها'!$B:$B,$A1403,'تجربه‌گرها'!$F:$F,K$1)</f>
        <v>0</v>
      </c>
      <c r="L1403" s="242">
        <f>COUNTIFS('تجربه‌گرها'!$B:$B,$A1403,'تجربه‌گرها'!$F:$F,L$1)</f>
        <v>0</v>
      </c>
      <c r="M1403" s="242">
        <f>COUNTIFS('تجربه‌گرها'!$B:$B,$A1403,'تجربه‌گرها'!$F:$F,M$1)</f>
        <v>0</v>
      </c>
      <c r="N1403" s="242">
        <f>COUNTIFS('تجربه‌گرها'!$B:$B,$A1403,'تجربه‌گرها'!$F:$F,N$1)</f>
        <v>0</v>
      </c>
      <c r="O1403" s="242">
        <f>COUNTIFS('تجربه‌گرها'!$B:$B,$A1403,'تجربه‌گرها'!$F:$F,O$1)</f>
        <v>0</v>
      </c>
      <c r="P1403" s="242">
        <f>COUNTIFS('تجربه‌گرها'!$B:$B,$A1403,'تجربه‌گرها'!$F:$F,P$1)</f>
        <v>1</v>
      </c>
      <c r="Q1403" s="242">
        <f>COUNTIFS('تجربه‌گرها'!$B:$B,$A1403,'تجربه‌گرها'!$F:$F,Q$1)</f>
        <v>0</v>
      </c>
      <c r="R1403" s="242">
        <f>COUNTIFS('تجربه‌گرها'!$B:$B,$A1403,'تجربه‌گرها'!$F:$F,R$1)</f>
        <v>0</v>
      </c>
      <c r="S1403" s="242">
        <f>COUNTIFS('تجربه‌گرها'!$B:$B,$A1403,'تجربه‌گرها'!$F:$F,S$1)</f>
        <v>0</v>
      </c>
      <c r="T1403" s="242">
        <f>COUNTIFS('تجربه‌گرها'!$B:$B,$A1403,'تجربه‌گرها'!$F:$F,T$1)</f>
        <v>0</v>
      </c>
      <c r="U1403" s="242"/>
      <c r="V1403" s="242"/>
      <c r="W1403" s="242"/>
      <c r="X1403" s="242"/>
      <c r="Y1403" s="242"/>
      <c r="Z1403" s="242"/>
      <c r="AA1403" s="242"/>
      <c r="AB1403" s="242"/>
    </row>
    <row r="1404" hidden="1">
      <c r="A1404" s="244" t="s">
        <v>6752</v>
      </c>
      <c r="B1404" s="245" t="str">
        <f>VLOOKUP(A1404,'تجربه‌گرها'!B:C,2,FALSE())</f>
        <v>۰۹۳۷۲۹۷۳۲۹۵</v>
      </c>
      <c r="C1404" s="242"/>
      <c r="D1404" s="242">
        <f t="shared" si="1"/>
        <v>1</v>
      </c>
      <c r="E1404" s="242">
        <f>COUNTIFS('تجربه‌گرها'!$B:$B,$A1404,'تجربه‌گرها'!$F:$F,E$1)</f>
        <v>0</v>
      </c>
      <c r="F1404" s="242">
        <f>COUNTIFS('تجربه‌گرها'!$B:$B,$A1404,'تجربه‌گرها'!$F:$F,F$1)</f>
        <v>0</v>
      </c>
      <c r="G1404" s="242">
        <f>COUNTIFS('تجربه‌گرها'!$B:$B,$A1404,'تجربه‌گرها'!$F:$F,G$1)</f>
        <v>0</v>
      </c>
      <c r="H1404" s="242">
        <f>COUNTIFS('تجربه‌گرها'!$B:$B,$A1404,'تجربه‌گرها'!$F:$F,H$1)</f>
        <v>0</v>
      </c>
      <c r="I1404" s="242">
        <f>COUNTIFS('تجربه‌گرها'!$B:$B,$A1404,'تجربه‌گرها'!$F:$F,I$1)</f>
        <v>0</v>
      </c>
      <c r="J1404" s="242">
        <f>COUNTIFS('تجربه‌گرها'!$B:$B,$A1404,'تجربه‌گرها'!$F:$F,J$1)</f>
        <v>0</v>
      </c>
      <c r="K1404" s="242">
        <f>COUNTIFS('تجربه‌گرها'!$B:$B,$A1404,'تجربه‌گرها'!$F:$F,K$1)</f>
        <v>0</v>
      </c>
      <c r="L1404" s="242">
        <f>COUNTIFS('تجربه‌گرها'!$B:$B,$A1404,'تجربه‌گرها'!$F:$F,L$1)</f>
        <v>0</v>
      </c>
      <c r="M1404" s="242">
        <f>COUNTIFS('تجربه‌گرها'!$B:$B,$A1404,'تجربه‌گرها'!$F:$F,M$1)</f>
        <v>0</v>
      </c>
      <c r="N1404" s="242">
        <f>COUNTIFS('تجربه‌گرها'!$B:$B,$A1404,'تجربه‌گرها'!$F:$F,N$1)</f>
        <v>0</v>
      </c>
      <c r="O1404" s="242">
        <f>COUNTIFS('تجربه‌گرها'!$B:$B,$A1404,'تجربه‌گرها'!$F:$F,O$1)</f>
        <v>0</v>
      </c>
      <c r="P1404" s="242">
        <f>COUNTIFS('تجربه‌گرها'!$B:$B,$A1404,'تجربه‌گرها'!$F:$F,P$1)</f>
        <v>1</v>
      </c>
      <c r="Q1404" s="242">
        <f>COUNTIFS('تجربه‌گرها'!$B:$B,$A1404,'تجربه‌گرها'!$F:$F,Q$1)</f>
        <v>0</v>
      </c>
      <c r="R1404" s="242">
        <f>COUNTIFS('تجربه‌گرها'!$B:$B,$A1404,'تجربه‌گرها'!$F:$F,R$1)</f>
        <v>0</v>
      </c>
      <c r="S1404" s="242">
        <f>COUNTIFS('تجربه‌گرها'!$B:$B,$A1404,'تجربه‌گرها'!$F:$F,S$1)</f>
        <v>0</v>
      </c>
      <c r="T1404" s="242">
        <f>COUNTIFS('تجربه‌گرها'!$B:$B,$A1404,'تجربه‌گرها'!$F:$F,T$1)</f>
        <v>0</v>
      </c>
      <c r="U1404" s="242"/>
      <c r="V1404" s="242"/>
      <c r="W1404" s="242"/>
      <c r="X1404" s="242"/>
      <c r="Y1404" s="242"/>
      <c r="Z1404" s="242"/>
      <c r="AA1404" s="242"/>
      <c r="AB1404" s="242"/>
    </row>
    <row r="1405" hidden="1">
      <c r="A1405" s="244" t="s">
        <v>6755</v>
      </c>
      <c r="B1405" s="245" t="str">
        <f>VLOOKUP(A1405,'تجربه‌گرها'!B:C,2,FALSE())</f>
        <v>9902767088</v>
      </c>
      <c r="C1405" s="242"/>
      <c r="D1405" s="242">
        <f t="shared" si="1"/>
        <v>1</v>
      </c>
      <c r="E1405" s="242">
        <f>COUNTIFS('تجربه‌گرها'!$B:$B,$A1405,'تجربه‌گرها'!$F:$F,E$1)</f>
        <v>0</v>
      </c>
      <c r="F1405" s="242">
        <f>COUNTIFS('تجربه‌گرها'!$B:$B,$A1405,'تجربه‌گرها'!$F:$F,F$1)</f>
        <v>0</v>
      </c>
      <c r="G1405" s="242">
        <f>COUNTIFS('تجربه‌گرها'!$B:$B,$A1405,'تجربه‌گرها'!$F:$F,G$1)</f>
        <v>0</v>
      </c>
      <c r="H1405" s="242">
        <f>COUNTIFS('تجربه‌گرها'!$B:$B,$A1405,'تجربه‌گرها'!$F:$F,H$1)</f>
        <v>0</v>
      </c>
      <c r="I1405" s="242">
        <f>COUNTIFS('تجربه‌گرها'!$B:$B,$A1405,'تجربه‌گرها'!$F:$F,I$1)</f>
        <v>0</v>
      </c>
      <c r="J1405" s="242">
        <f>COUNTIFS('تجربه‌گرها'!$B:$B,$A1405,'تجربه‌گرها'!$F:$F,J$1)</f>
        <v>0</v>
      </c>
      <c r="K1405" s="242">
        <f>COUNTIFS('تجربه‌گرها'!$B:$B,$A1405,'تجربه‌گرها'!$F:$F,K$1)</f>
        <v>0</v>
      </c>
      <c r="L1405" s="242">
        <f>COUNTIFS('تجربه‌گرها'!$B:$B,$A1405,'تجربه‌گرها'!$F:$F,L$1)</f>
        <v>0</v>
      </c>
      <c r="M1405" s="242">
        <f>COUNTIFS('تجربه‌گرها'!$B:$B,$A1405,'تجربه‌گرها'!$F:$F,M$1)</f>
        <v>0</v>
      </c>
      <c r="N1405" s="242">
        <f>COUNTIFS('تجربه‌گرها'!$B:$B,$A1405,'تجربه‌گرها'!$F:$F,N$1)</f>
        <v>0</v>
      </c>
      <c r="O1405" s="242">
        <f>COUNTIFS('تجربه‌گرها'!$B:$B,$A1405,'تجربه‌گرها'!$F:$F,O$1)</f>
        <v>0</v>
      </c>
      <c r="P1405" s="242">
        <f>COUNTIFS('تجربه‌گرها'!$B:$B,$A1405,'تجربه‌گرها'!$F:$F,P$1)</f>
        <v>1</v>
      </c>
      <c r="Q1405" s="242">
        <f>COUNTIFS('تجربه‌گرها'!$B:$B,$A1405,'تجربه‌گرها'!$F:$F,Q$1)</f>
        <v>0</v>
      </c>
      <c r="R1405" s="242">
        <f>COUNTIFS('تجربه‌گرها'!$B:$B,$A1405,'تجربه‌گرها'!$F:$F,R$1)</f>
        <v>0</v>
      </c>
      <c r="S1405" s="242">
        <f>COUNTIFS('تجربه‌گرها'!$B:$B,$A1405,'تجربه‌گرها'!$F:$F,S$1)</f>
        <v>0</v>
      </c>
      <c r="T1405" s="242">
        <f>COUNTIFS('تجربه‌گرها'!$B:$B,$A1405,'تجربه‌گرها'!$F:$F,T$1)</f>
        <v>0</v>
      </c>
      <c r="U1405" s="242"/>
      <c r="V1405" s="242"/>
      <c r="W1405" s="242"/>
      <c r="X1405" s="242"/>
      <c r="Y1405" s="242"/>
      <c r="Z1405" s="242"/>
      <c r="AA1405" s="242"/>
      <c r="AB1405" s="242"/>
    </row>
    <row r="1406" hidden="1">
      <c r="A1406" s="244" t="s">
        <v>6758</v>
      </c>
      <c r="B1406" s="245" t="str">
        <f>VLOOKUP(A1406,'تجربه‌گرها'!B:C,2,FALSE())</f>
        <v/>
      </c>
      <c r="C1406" s="242"/>
      <c r="D1406" s="242">
        <f t="shared" si="1"/>
        <v>1</v>
      </c>
      <c r="E1406" s="242">
        <f>COUNTIFS('تجربه‌گرها'!$B:$B,$A1406,'تجربه‌گرها'!$F:$F,E$1)</f>
        <v>0</v>
      </c>
      <c r="F1406" s="242">
        <f>COUNTIFS('تجربه‌گرها'!$B:$B,$A1406,'تجربه‌گرها'!$F:$F,F$1)</f>
        <v>0</v>
      </c>
      <c r="G1406" s="242">
        <f>COUNTIFS('تجربه‌گرها'!$B:$B,$A1406,'تجربه‌گرها'!$F:$F,G$1)</f>
        <v>0</v>
      </c>
      <c r="H1406" s="242">
        <f>COUNTIFS('تجربه‌گرها'!$B:$B,$A1406,'تجربه‌گرها'!$F:$F,H$1)</f>
        <v>0</v>
      </c>
      <c r="I1406" s="242">
        <f>COUNTIFS('تجربه‌گرها'!$B:$B,$A1406,'تجربه‌گرها'!$F:$F,I$1)</f>
        <v>0</v>
      </c>
      <c r="J1406" s="242">
        <f>COUNTIFS('تجربه‌گرها'!$B:$B,$A1406,'تجربه‌گرها'!$F:$F,J$1)</f>
        <v>0</v>
      </c>
      <c r="K1406" s="242">
        <f>COUNTIFS('تجربه‌گرها'!$B:$B,$A1406,'تجربه‌گرها'!$F:$F,K$1)</f>
        <v>0</v>
      </c>
      <c r="L1406" s="242">
        <f>COUNTIFS('تجربه‌گرها'!$B:$B,$A1406,'تجربه‌گرها'!$F:$F,L$1)</f>
        <v>0</v>
      </c>
      <c r="M1406" s="242">
        <f>COUNTIFS('تجربه‌گرها'!$B:$B,$A1406,'تجربه‌گرها'!$F:$F,M$1)</f>
        <v>0</v>
      </c>
      <c r="N1406" s="242">
        <f>COUNTIFS('تجربه‌گرها'!$B:$B,$A1406,'تجربه‌گرها'!$F:$F,N$1)</f>
        <v>0</v>
      </c>
      <c r="O1406" s="242">
        <f>COUNTIFS('تجربه‌گرها'!$B:$B,$A1406,'تجربه‌گرها'!$F:$F,O$1)</f>
        <v>0</v>
      </c>
      <c r="P1406" s="242">
        <f>COUNTIFS('تجربه‌گرها'!$B:$B,$A1406,'تجربه‌گرها'!$F:$F,P$1)</f>
        <v>1</v>
      </c>
      <c r="Q1406" s="242">
        <f>COUNTIFS('تجربه‌گرها'!$B:$B,$A1406,'تجربه‌گرها'!$F:$F,Q$1)</f>
        <v>0</v>
      </c>
      <c r="R1406" s="242">
        <f>COUNTIFS('تجربه‌گرها'!$B:$B,$A1406,'تجربه‌گرها'!$F:$F,R$1)</f>
        <v>0</v>
      </c>
      <c r="S1406" s="242">
        <f>COUNTIFS('تجربه‌گرها'!$B:$B,$A1406,'تجربه‌گرها'!$F:$F,S$1)</f>
        <v>0</v>
      </c>
      <c r="T1406" s="242">
        <f>COUNTIFS('تجربه‌گرها'!$B:$B,$A1406,'تجربه‌گرها'!$F:$F,T$1)</f>
        <v>0</v>
      </c>
      <c r="U1406" s="242"/>
      <c r="V1406" s="242"/>
      <c r="W1406" s="242"/>
      <c r="X1406" s="242"/>
      <c r="Y1406" s="242"/>
      <c r="Z1406" s="242"/>
      <c r="AA1406" s="242"/>
      <c r="AB1406" s="242"/>
    </row>
    <row r="1407" hidden="1">
      <c r="A1407" s="244" t="s">
        <v>6760</v>
      </c>
      <c r="B1407" s="245" t="str">
        <f>VLOOKUP(A1407,'تجربه‌گرها'!B:C,2,FALSE())</f>
        <v>۰۹۳۹۶۳۵۷۰۷۳</v>
      </c>
      <c r="C1407" s="242"/>
      <c r="D1407" s="242">
        <f t="shared" si="1"/>
        <v>1</v>
      </c>
      <c r="E1407" s="242">
        <f>COUNTIFS('تجربه‌گرها'!$B:$B,$A1407,'تجربه‌گرها'!$F:$F,E$1)</f>
        <v>0</v>
      </c>
      <c r="F1407" s="242">
        <f>COUNTIFS('تجربه‌گرها'!$B:$B,$A1407,'تجربه‌گرها'!$F:$F,F$1)</f>
        <v>0</v>
      </c>
      <c r="G1407" s="242">
        <f>COUNTIFS('تجربه‌گرها'!$B:$B,$A1407,'تجربه‌گرها'!$F:$F,G$1)</f>
        <v>0</v>
      </c>
      <c r="H1407" s="242">
        <f>COUNTIFS('تجربه‌گرها'!$B:$B,$A1407,'تجربه‌گرها'!$F:$F,H$1)</f>
        <v>0</v>
      </c>
      <c r="I1407" s="242">
        <f>COUNTIFS('تجربه‌گرها'!$B:$B,$A1407,'تجربه‌گرها'!$F:$F,I$1)</f>
        <v>0</v>
      </c>
      <c r="J1407" s="242">
        <f>COUNTIFS('تجربه‌گرها'!$B:$B,$A1407,'تجربه‌گرها'!$F:$F,J$1)</f>
        <v>0</v>
      </c>
      <c r="K1407" s="242">
        <f>COUNTIFS('تجربه‌گرها'!$B:$B,$A1407,'تجربه‌گرها'!$F:$F,K$1)</f>
        <v>0</v>
      </c>
      <c r="L1407" s="242">
        <f>COUNTIFS('تجربه‌گرها'!$B:$B,$A1407,'تجربه‌گرها'!$F:$F,L$1)</f>
        <v>0</v>
      </c>
      <c r="M1407" s="242">
        <f>COUNTIFS('تجربه‌گرها'!$B:$B,$A1407,'تجربه‌گرها'!$F:$F,M$1)</f>
        <v>0</v>
      </c>
      <c r="N1407" s="242">
        <f>COUNTIFS('تجربه‌گرها'!$B:$B,$A1407,'تجربه‌گرها'!$F:$F,N$1)</f>
        <v>0</v>
      </c>
      <c r="O1407" s="242">
        <f>COUNTIFS('تجربه‌گرها'!$B:$B,$A1407,'تجربه‌گرها'!$F:$F,O$1)</f>
        <v>0</v>
      </c>
      <c r="P1407" s="242">
        <f>COUNTIFS('تجربه‌گرها'!$B:$B,$A1407,'تجربه‌گرها'!$F:$F,P$1)</f>
        <v>1</v>
      </c>
      <c r="Q1407" s="242">
        <f>COUNTIFS('تجربه‌گرها'!$B:$B,$A1407,'تجربه‌گرها'!$F:$F,Q$1)</f>
        <v>0</v>
      </c>
      <c r="R1407" s="242">
        <f>COUNTIFS('تجربه‌گرها'!$B:$B,$A1407,'تجربه‌گرها'!$F:$F,R$1)</f>
        <v>0</v>
      </c>
      <c r="S1407" s="242">
        <f>COUNTIFS('تجربه‌گرها'!$B:$B,$A1407,'تجربه‌گرها'!$F:$F,S$1)</f>
        <v>0</v>
      </c>
      <c r="T1407" s="242">
        <f>COUNTIFS('تجربه‌گرها'!$B:$B,$A1407,'تجربه‌گرها'!$F:$F,T$1)</f>
        <v>0</v>
      </c>
      <c r="U1407" s="242"/>
      <c r="V1407" s="242"/>
      <c r="W1407" s="242"/>
      <c r="X1407" s="242"/>
      <c r="Y1407" s="242"/>
      <c r="Z1407" s="242"/>
      <c r="AA1407" s="242"/>
      <c r="AB1407" s="242"/>
    </row>
    <row r="1408" hidden="1">
      <c r="A1408" s="244" t="s">
        <v>7152</v>
      </c>
      <c r="B1408" s="245" t="str">
        <f>VLOOKUP(A1408,'تجربه‌گرها'!B:C,2,FALSE())</f>
        <v>09308438392</v>
      </c>
      <c r="C1408" s="242"/>
      <c r="D1408" s="242">
        <f t="shared" si="1"/>
        <v>2</v>
      </c>
      <c r="E1408" s="242">
        <f>COUNTIFS('تجربه‌گرها'!$B:$B,$A1408,'تجربه‌گرها'!$F:$F,E$1)</f>
        <v>0</v>
      </c>
      <c r="F1408" s="242">
        <f>COUNTIFS('تجربه‌گرها'!$B:$B,$A1408,'تجربه‌گرها'!$F:$F,F$1)</f>
        <v>0</v>
      </c>
      <c r="G1408" s="242">
        <f>COUNTIFS('تجربه‌گرها'!$B:$B,$A1408,'تجربه‌گرها'!$F:$F,G$1)</f>
        <v>0</v>
      </c>
      <c r="H1408" s="242">
        <f>COUNTIFS('تجربه‌گرها'!$B:$B,$A1408,'تجربه‌گرها'!$F:$F,H$1)</f>
        <v>0</v>
      </c>
      <c r="I1408" s="242">
        <f>COUNTIFS('تجربه‌گرها'!$B:$B,$A1408,'تجربه‌گرها'!$F:$F,I$1)</f>
        <v>0</v>
      </c>
      <c r="J1408" s="242">
        <f>COUNTIFS('تجربه‌گرها'!$B:$B,$A1408,'تجربه‌گرها'!$F:$F,J$1)</f>
        <v>0</v>
      </c>
      <c r="K1408" s="242">
        <f>COUNTIFS('تجربه‌گرها'!$B:$B,$A1408,'تجربه‌گرها'!$F:$F,K$1)</f>
        <v>0</v>
      </c>
      <c r="L1408" s="242">
        <f>COUNTIFS('تجربه‌گرها'!$B:$B,$A1408,'تجربه‌گرها'!$F:$F,L$1)</f>
        <v>0</v>
      </c>
      <c r="M1408" s="242">
        <f>COUNTIFS('تجربه‌گرها'!$B:$B,$A1408,'تجربه‌گرها'!$F:$F,M$1)</f>
        <v>0</v>
      </c>
      <c r="N1408" s="242">
        <f>COUNTIFS('تجربه‌گرها'!$B:$B,$A1408,'تجربه‌گرها'!$F:$F,N$1)</f>
        <v>0</v>
      </c>
      <c r="O1408" s="242">
        <f>COUNTIFS('تجربه‌گرها'!$B:$B,$A1408,'تجربه‌گرها'!$F:$F,O$1)</f>
        <v>0</v>
      </c>
      <c r="P1408" s="242">
        <f>COUNTIFS('تجربه‌گرها'!$B:$B,$A1408,'تجربه‌گرها'!$F:$F,P$1)</f>
        <v>0</v>
      </c>
      <c r="Q1408" s="242">
        <f>COUNTIFS('تجربه‌گرها'!$B:$B,$A1408,'تجربه‌گرها'!$F:$F,Q$1)</f>
        <v>1</v>
      </c>
      <c r="R1408" s="242">
        <f>COUNTIFS('تجربه‌گرها'!$B:$B,$A1408,'تجربه‌گرها'!$F:$F,R$1)</f>
        <v>0</v>
      </c>
      <c r="S1408" s="242">
        <f>COUNTIFS('تجربه‌گرها'!$B:$B,$A1408,'تجربه‌گرها'!$F:$F,S$1)</f>
        <v>0</v>
      </c>
      <c r="T1408" s="242">
        <f>COUNTIFS('تجربه‌گرها'!$B:$B,$A1408,'تجربه‌گرها'!$F:$F,T$1)</f>
        <v>1</v>
      </c>
      <c r="U1408" s="242"/>
      <c r="V1408" s="242"/>
      <c r="W1408" s="242"/>
      <c r="X1408" s="242"/>
      <c r="Y1408" s="242"/>
      <c r="Z1408" s="242"/>
      <c r="AA1408" s="242"/>
      <c r="AB1408" s="242"/>
    </row>
    <row r="1409" hidden="1">
      <c r="A1409" s="244" t="s">
        <v>7319</v>
      </c>
      <c r="B1409" s="245" t="str">
        <f>VLOOKUP(A1409,'تجربه‌گرها'!B:C,2,FALSE())</f>
        <v>09126647646</v>
      </c>
      <c r="C1409" s="242"/>
      <c r="D1409" s="242">
        <f t="shared" si="1"/>
        <v>1</v>
      </c>
      <c r="E1409" s="242">
        <f>COUNTIFS('تجربه‌گرها'!$B:$B,$A1409,'تجربه‌گرها'!$F:$F,E$1)</f>
        <v>0</v>
      </c>
      <c r="F1409" s="242">
        <f>COUNTIFS('تجربه‌گرها'!$B:$B,$A1409,'تجربه‌گرها'!$F:$F,F$1)</f>
        <v>0</v>
      </c>
      <c r="G1409" s="242">
        <f>COUNTIFS('تجربه‌گرها'!$B:$B,$A1409,'تجربه‌گرها'!$F:$F,G$1)</f>
        <v>0</v>
      </c>
      <c r="H1409" s="242">
        <f>COUNTIFS('تجربه‌گرها'!$B:$B,$A1409,'تجربه‌گرها'!$F:$F,H$1)</f>
        <v>0</v>
      </c>
      <c r="I1409" s="242">
        <f>COUNTIFS('تجربه‌گرها'!$B:$B,$A1409,'تجربه‌گرها'!$F:$F,I$1)</f>
        <v>0</v>
      </c>
      <c r="J1409" s="242">
        <f>COUNTIFS('تجربه‌گرها'!$B:$B,$A1409,'تجربه‌گرها'!$F:$F,J$1)</f>
        <v>0</v>
      </c>
      <c r="K1409" s="242">
        <f>COUNTIFS('تجربه‌گرها'!$B:$B,$A1409,'تجربه‌گرها'!$F:$F,K$1)</f>
        <v>0</v>
      </c>
      <c r="L1409" s="242">
        <f>COUNTIFS('تجربه‌گرها'!$B:$B,$A1409,'تجربه‌گرها'!$F:$F,L$1)</f>
        <v>0</v>
      </c>
      <c r="M1409" s="242">
        <f>COUNTIFS('تجربه‌گرها'!$B:$B,$A1409,'تجربه‌گرها'!$F:$F,M$1)</f>
        <v>0</v>
      </c>
      <c r="N1409" s="242">
        <f>COUNTIFS('تجربه‌گرها'!$B:$B,$A1409,'تجربه‌گرها'!$F:$F,N$1)</f>
        <v>0</v>
      </c>
      <c r="O1409" s="242">
        <f>COUNTIFS('تجربه‌گرها'!$B:$B,$A1409,'تجربه‌گرها'!$F:$F,O$1)</f>
        <v>0</v>
      </c>
      <c r="P1409" s="242">
        <f>COUNTIFS('تجربه‌گرها'!$B:$B,$A1409,'تجربه‌گرها'!$F:$F,P$1)</f>
        <v>0</v>
      </c>
      <c r="Q1409" s="242">
        <f>COUNTIFS('تجربه‌گرها'!$B:$B,$A1409,'تجربه‌گرها'!$F:$F,Q$1)</f>
        <v>1</v>
      </c>
      <c r="R1409" s="242">
        <f>COUNTIFS('تجربه‌گرها'!$B:$B,$A1409,'تجربه‌گرها'!$F:$F,R$1)</f>
        <v>0</v>
      </c>
      <c r="S1409" s="242">
        <f>COUNTIFS('تجربه‌گرها'!$B:$B,$A1409,'تجربه‌گرها'!$F:$F,S$1)</f>
        <v>0</v>
      </c>
      <c r="T1409" s="242">
        <f>COUNTIFS('تجربه‌گرها'!$B:$B,$A1409,'تجربه‌گرها'!$F:$F,T$1)</f>
        <v>0</v>
      </c>
      <c r="U1409" s="242"/>
      <c r="V1409" s="242"/>
      <c r="W1409" s="242"/>
      <c r="X1409" s="242"/>
      <c r="Y1409" s="242"/>
      <c r="Z1409" s="242"/>
      <c r="AA1409" s="242"/>
      <c r="AB1409" s="242"/>
    </row>
    <row r="1410" hidden="1">
      <c r="A1410" s="244" t="s">
        <v>7320</v>
      </c>
      <c r="B1410" s="245" t="str">
        <f>VLOOKUP(A1410,'تجربه‌گرها'!B:C,2,FALSE())</f>
        <v>09151675733</v>
      </c>
      <c r="C1410" s="242"/>
      <c r="D1410" s="242">
        <f t="shared" si="1"/>
        <v>1</v>
      </c>
      <c r="E1410" s="242">
        <f>COUNTIFS('تجربه‌گرها'!$B:$B,$A1410,'تجربه‌گرها'!$F:$F,E$1)</f>
        <v>0</v>
      </c>
      <c r="F1410" s="242">
        <f>COUNTIFS('تجربه‌گرها'!$B:$B,$A1410,'تجربه‌گرها'!$F:$F,F$1)</f>
        <v>0</v>
      </c>
      <c r="G1410" s="242">
        <f>COUNTIFS('تجربه‌گرها'!$B:$B,$A1410,'تجربه‌گرها'!$F:$F,G$1)</f>
        <v>0</v>
      </c>
      <c r="H1410" s="242">
        <f>COUNTIFS('تجربه‌گرها'!$B:$B,$A1410,'تجربه‌گرها'!$F:$F,H$1)</f>
        <v>0</v>
      </c>
      <c r="I1410" s="242">
        <f>COUNTIFS('تجربه‌گرها'!$B:$B,$A1410,'تجربه‌گرها'!$F:$F,I$1)</f>
        <v>0</v>
      </c>
      <c r="J1410" s="242">
        <f>COUNTIFS('تجربه‌گرها'!$B:$B,$A1410,'تجربه‌گرها'!$F:$F,J$1)</f>
        <v>0</v>
      </c>
      <c r="K1410" s="242">
        <f>COUNTIFS('تجربه‌گرها'!$B:$B,$A1410,'تجربه‌گرها'!$F:$F,K$1)</f>
        <v>0</v>
      </c>
      <c r="L1410" s="242">
        <f>COUNTIFS('تجربه‌گرها'!$B:$B,$A1410,'تجربه‌گرها'!$F:$F,L$1)</f>
        <v>0</v>
      </c>
      <c r="M1410" s="242">
        <f>COUNTIFS('تجربه‌گرها'!$B:$B,$A1410,'تجربه‌گرها'!$F:$F,M$1)</f>
        <v>0</v>
      </c>
      <c r="N1410" s="242">
        <f>COUNTIFS('تجربه‌گرها'!$B:$B,$A1410,'تجربه‌گرها'!$F:$F,N$1)</f>
        <v>0</v>
      </c>
      <c r="O1410" s="242">
        <f>COUNTIFS('تجربه‌گرها'!$B:$B,$A1410,'تجربه‌گرها'!$F:$F,O$1)</f>
        <v>0</v>
      </c>
      <c r="P1410" s="242">
        <f>COUNTIFS('تجربه‌گرها'!$B:$B,$A1410,'تجربه‌گرها'!$F:$F,P$1)</f>
        <v>0</v>
      </c>
      <c r="Q1410" s="242">
        <f>COUNTIFS('تجربه‌گرها'!$B:$B,$A1410,'تجربه‌گرها'!$F:$F,Q$1)</f>
        <v>1</v>
      </c>
      <c r="R1410" s="242">
        <f>COUNTIFS('تجربه‌گرها'!$B:$B,$A1410,'تجربه‌گرها'!$F:$F,R$1)</f>
        <v>0</v>
      </c>
      <c r="S1410" s="242">
        <f>COUNTIFS('تجربه‌گرها'!$B:$B,$A1410,'تجربه‌گرها'!$F:$F,S$1)</f>
        <v>0</v>
      </c>
      <c r="T1410" s="242">
        <f>COUNTIFS('تجربه‌گرها'!$B:$B,$A1410,'تجربه‌گرها'!$F:$F,T$1)</f>
        <v>0</v>
      </c>
      <c r="U1410" s="242"/>
      <c r="V1410" s="242"/>
      <c r="W1410" s="242"/>
      <c r="X1410" s="242"/>
      <c r="Y1410" s="242"/>
      <c r="Z1410" s="242"/>
      <c r="AA1410" s="242"/>
      <c r="AB1410" s="242"/>
    </row>
    <row r="1411" hidden="1">
      <c r="A1411" s="244" t="s">
        <v>7321</v>
      </c>
      <c r="B1411" s="245" t="str">
        <f>VLOOKUP(A1411,'تجربه‌گرها'!B:C,2,FALSE())</f>
        <v>09154519791</v>
      </c>
      <c r="C1411" s="242"/>
      <c r="D1411" s="242">
        <f t="shared" si="1"/>
        <v>1</v>
      </c>
      <c r="E1411" s="242">
        <f>COUNTIFS('تجربه‌گرها'!$B:$B,$A1411,'تجربه‌گرها'!$F:$F,E$1)</f>
        <v>0</v>
      </c>
      <c r="F1411" s="242">
        <f>COUNTIFS('تجربه‌گرها'!$B:$B,$A1411,'تجربه‌گرها'!$F:$F,F$1)</f>
        <v>0</v>
      </c>
      <c r="G1411" s="242">
        <f>COUNTIFS('تجربه‌گرها'!$B:$B,$A1411,'تجربه‌گرها'!$F:$F,G$1)</f>
        <v>0</v>
      </c>
      <c r="H1411" s="242">
        <f>COUNTIFS('تجربه‌گرها'!$B:$B,$A1411,'تجربه‌گرها'!$F:$F,H$1)</f>
        <v>0</v>
      </c>
      <c r="I1411" s="242">
        <f>COUNTIFS('تجربه‌گرها'!$B:$B,$A1411,'تجربه‌گرها'!$F:$F,I$1)</f>
        <v>0</v>
      </c>
      <c r="J1411" s="242">
        <f>COUNTIFS('تجربه‌گرها'!$B:$B,$A1411,'تجربه‌گرها'!$F:$F,J$1)</f>
        <v>0</v>
      </c>
      <c r="K1411" s="242">
        <f>COUNTIFS('تجربه‌گرها'!$B:$B,$A1411,'تجربه‌گرها'!$F:$F,K$1)</f>
        <v>0</v>
      </c>
      <c r="L1411" s="242">
        <f>COUNTIFS('تجربه‌گرها'!$B:$B,$A1411,'تجربه‌گرها'!$F:$F,L$1)</f>
        <v>0</v>
      </c>
      <c r="M1411" s="242">
        <f>COUNTIFS('تجربه‌گرها'!$B:$B,$A1411,'تجربه‌گرها'!$F:$F,M$1)</f>
        <v>0</v>
      </c>
      <c r="N1411" s="242">
        <f>COUNTIFS('تجربه‌گرها'!$B:$B,$A1411,'تجربه‌گرها'!$F:$F,N$1)</f>
        <v>0</v>
      </c>
      <c r="O1411" s="242">
        <f>COUNTIFS('تجربه‌گرها'!$B:$B,$A1411,'تجربه‌گرها'!$F:$F,O$1)</f>
        <v>0</v>
      </c>
      <c r="P1411" s="242">
        <f>COUNTIFS('تجربه‌گرها'!$B:$B,$A1411,'تجربه‌گرها'!$F:$F,P$1)</f>
        <v>0</v>
      </c>
      <c r="Q1411" s="242">
        <f>COUNTIFS('تجربه‌گرها'!$B:$B,$A1411,'تجربه‌گرها'!$F:$F,Q$1)</f>
        <v>1</v>
      </c>
      <c r="R1411" s="242">
        <f>COUNTIFS('تجربه‌گرها'!$B:$B,$A1411,'تجربه‌گرها'!$F:$F,R$1)</f>
        <v>0</v>
      </c>
      <c r="S1411" s="242">
        <f>COUNTIFS('تجربه‌گرها'!$B:$B,$A1411,'تجربه‌گرها'!$F:$F,S$1)</f>
        <v>0</v>
      </c>
      <c r="T1411" s="242">
        <f>COUNTIFS('تجربه‌گرها'!$B:$B,$A1411,'تجربه‌گرها'!$F:$F,T$1)</f>
        <v>0</v>
      </c>
      <c r="U1411" s="242"/>
      <c r="V1411" s="242"/>
      <c r="W1411" s="242"/>
      <c r="X1411" s="242"/>
      <c r="Y1411" s="242"/>
      <c r="Z1411" s="242"/>
      <c r="AA1411" s="242"/>
      <c r="AB1411" s="242"/>
    </row>
    <row r="1412" hidden="1">
      <c r="A1412" s="244" t="s">
        <v>7322</v>
      </c>
      <c r="B1412" s="245" t="str">
        <f>VLOOKUP(A1412,'تجربه‌گرها'!B:C,2,FALSE())</f>
        <v>09129623854</v>
      </c>
      <c r="C1412" s="242"/>
      <c r="D1412" s="242">
        <f t="shared" si="1"/>
        <v>1</v>
      </c>
      <c r="E1412" s="242">
        <f>COUNTIFS('تجربه‌گرها'!$B:$B,$A1412,'تجربه‌گرها'!$F:$F,E$1)</f>
        <v>0</v>
      </c>
      <c r="F1412" s="242">
        <f>COUNTIFS('تجربه‌گرها'!$B:$B,$A1412,'تجربه‌گرها'!$F:$F,F$1)</f>
        <v>0</v>
      </c>
      <c r="G1412" s="242">
        <f>COUNTIFS('تجربه‌گرها'!$B:$B,$A1412,'تجربه‌گرها'!$F:$F,G$1)</f>
        <v>0</v>
      </c>
      <c r="H1412" s="242">
        <f>COUNTIFS('تجربه‌گرها'!$B:$B,$A1412,'تجربه‌گرها'!$F:$F,H$1)</f>
        <v>0</v>
      </c>
      <c r="I1412" s="242">
        <f>COUNTIFS('تجربه‌گرها'!$B:$B,$A1412,'تجربه‌گرها'!$F:$F,I$1)</f>
        <v>0</v>
      </c>
      <c r="J1412" s="242">
        <f>COUNTIFS('تجربه‌گرها'!$B:$B,$A1412,'تجربه‌گرها'!$F:$F,J$1)</f>
        <v>0</v>
      </c>
      <c r="K1412" s="242">
        <f>COUNTIFS('تجربه‌گرها'!$B:$B,$A1412,'تجربه‌گرها'!$F:$F,K$1)</f>
        <v>0</v>
      </c>
      <c r="L1412" s="242">
        <f>COUNTIFS('تجربه‌گرها'!$B:$B,$A1412,'تجربه‌گرها'!$F:$F,L$1)</f>
        <v>0</v>
      </c>
      <c r="M1412" s="242">
        <f>COUNTIFS('تجربه‌گرها'!$B:$B,$A1412,'تجربه‌گرها'!$F:$F,M$1)</f>
        <v>0</v>
      </c>
      <c r="N1412" s="242">
        <f>COUNTIFS('تجربه‌گرها'!$B:$B,$A1412,'تجربه‌گرها'!$F:$F,N$1)</f>
        <v>0</v>
      </c>
      <c r="O1412" s="242">
        <f>COUNTIFS('تجربه‌گرها'!$B:$B,$A1412,'تجربه‌گرها'!$F:$F,O$1)</f>
        <v>0</v>
      </c>
      <c r="P1412" s="242">
        <f>COUNTIFS('تجربه‌گرها'!$B:$B,$A1412,'تجربه‌گرها'!$F:$F,P$1)</f>
        <v>0</v>
      </c>
      <c r="Q1412" s="242">
        <f>COUNTIFS('تجربه‌گرها'!$B:$B,$A1412,'تجربه‌گرها'!$F:$F,Q$1)</f>
        <v>1</v>
      </c>
      <c r="R1412" s="242">
        <f>COUNTIFS('تجربه‌گرها'!$B:$B,$A1412,'تجربه‌گرها'!$F:$F,R$1)</f>
        <v>0</v>
      </c>
      <c r="S1412" s="242">
        <f>COUNTIFS('تجربه‌گرها'!$B:$B,$A1412,'تجربه‌گرها'!$F:$F,S$1)</f>
        <v>0</v>
      </c>
      <c r="T1412" s="242">
        <f>COUNTIFS('تجربه‌گرها'!$B:$B,$A1412,'تجربه‌گرها'!$F:$F,T$1)</f>
        <v>0</v>
      </c>
      <c r="U1412" s="242"/>
      <c r="V1412" s="242"/>
      <c r="W1412" s="242"/>
      <c r="X1412" s="242"/>
      <c r="Y1412" s="242"/>
      <c r="Z1412" s="242"/>
      <c r="AA1412" s="242"/>
      <c r="AB1412" s="242"/>
    </row>
    <row r="1413" hidden="1">
      <c r="A1413" s="244" t="s">
        <v>7323</v>
      </c>
      <c r="B1413" s="245" t="str">
        <f>VLOOKUP(A1413,'تجربه‌گرها'!B:C,2,FALSE())</f>
        <v>09125076278</v>
      </c>
      <c r="C1413" s="242"/>
      <c r="D1413" s="242">
        <f t="shared" si="1"/>
        <v>1</v>
      </c>
      <c r="E1413" s="242">
        <f>COUNTIFS('تجربه‌گرها'!$B:$B,$A1413,'تجربه‌گرها'!$F:$F,E$1)</f>
        <v>0</v>
      </c>
      <c r="F1413" s="242">
        <f>COUNTIFS('تجربه‌گرها'!$B:$B,$A1413,'تجربه‌گرها'!$F:$F,F$1)</f>
        <v>0</v>
      </c>
      <c r="G1413" s="242">
        <f>COUNTIFS('تجربه‌گرها'!$B:$B,$A1413,'تجربه‌گرها'!$F:$F,G$1)</f>
        <v>0</v>
      </c>
      <c r="H1413" s="242">
        <f>COUNTIFS('تجربه‌گرها'!$B:$B,$A1413,'تجربه‌گرها'!$F:$F,H$1)</f>
        <v>0</v>
      </c>
      <c r="I1413" s="242">
        <f>COUNTIFS('تجربه‌گرها'!$B:$B,$A1413,'تجربه‌گرها'!$F:$F,I$1)</f>
        <v>0</v>
      </c>
      <c r="J1413" s="242">
        <f>COUNTIFS('تجربه‌گرها'!$B:$B,$A1413,'تجربه‌گرها'!$F:$F,J$1)</f>
        <v>0</v>
      </c>
      <c r="K1413" s="242">
        <f>COUNTIFS('تجربه‌گرها'!$B:$B,$A1413,'تجربه‌گرها'!$F:$F,K$1)</f>
        <v>0</v>
      </c>
      <c r="L1413" s="242">
        <f>COUNTIFS('تجربه‌گرها'!$B:$B,$A1413,'تجربه‌گرها'!$F:$F,L$1)</f>
        <v>0</v>
      </c>
      <c r="M1413" s="242">
        <f>COUNTIFS('تجربه‌گرها'!$B:$B,$A1413,'تجربه‌گرها'!$F:$F,M$1)</f>
        <v>0</v>
      </c>
      <c r="N1413" s="242">
        <f>COUNTIFS('تجربه‌گرها'!$B:$B,$A1413,'تجربه‌گرها'!$F:$F,N$1)</f>
        <v>0</v>
      </c>
      <c r="O1413" s="242">
        <f>COUNTIFS('تجربه‌گرها'!$B:$B,$A1413,'تجربه‌گرها'!$F:$F,O$1)</f>
        <v>0</v>
      </c>
      <c r="P1413" s="242">
        <f>COUNTIFS('تجربه‌گرها'!$B:$B,$A1413,'تجربه‌گرها'!$F:$F,P$1)</f>
        <v>0</v>
      </c>
      <c r="Q1413" s="242">
        <f>COUNTIFS('تجربه‌گرها'!$B:$B,$A1413,'تجربه‌گرها'!$F:$F,Q$1)</f>
        <v>1</v>
      </c>
      <c r="R1413" s="242">
        <f>COUNTIFS('تجربه‌گرها'!$B:$B,$A1413,'تجربه‌گرها'!$F:$F,R$1)</f>
        <v>0</v>
      </c>
      <c r="S1413" s="242">
        <f>COUNTIFS('تجربه‌گرها'!$B:$B,$A1413,'تجربه‌گرها'!$F:$F,S$1)</f>
        <v>0</v>
      </c>
      <c r="T1413" s="242">
        <f>COUNTIFS('تجربه‌گرها'!$B:$B,$A1413,'تجربه‌گرها'!$F:$F,T$1)</f>
        <v>0</v>
      </c>
      <c r="U1413" s="242"/>
      <c r="V1413" s="242"/>
      <c r="W1413" s="242"/>
      <c r="X1413" s="242"/>
      <c r="Y1413" s="242"/>
      <c r="Z1413" s="242"/>
      <c r="AA1413" s="242"/>
      <c r="AB1413" s="242"/>
    </row>
    <row r="1414" hidden="1">
      <c r="A1414" s="244" t="s">
        <v>7324</v>
      </c>
      <c r="B1414" s="245" t="str">
        <f>VLOOKUP(A1414,'تجربه‌گرها'!B:C,2,FALSE())</f>
        <v>09123700739</v>
      </c>
      <c r="C1414" s="242"/>
      <c r="D1414" s="242">
        <f t="shared" si="1"/>
        <v>1</v>
      </c>
      <c r="E1414" s="242">
        <f>COUNTIFS('تجربه‌گرها'!$B:$B,$A1414,'تجربه‌گرها'!$F:$F,E$1)</f>
        <v>0</v>
      </c>
      <c r="F1414" s="242">
        <f>COUNTIFS('تجربه‌گرها'!$B:$B,$A1414,'تجربه‌گرها'!$F:$F,F$1)</f>
        <v>0</v>
      </c>
      <c r="G1414" s="242">
        <f>COUNTIFS('تجربه‌گرها'!$B:$B,$A1414,'تجربه‌گرها'!$F:$F,G$1)</f>
        <v>0</v>
      </c>
      <c r="H1414" s="242">
        <f>COUNTIFS('تجربه‌گرها'!$B:$B,$A1414,'تجربه‌گرها'!$F:$F,H$1)</f>
        <v>0</v>
      </c>
      <c r="I1414" s="242">
        <f>COUNTIFS('تجربه‌گرها'!$B:$B,$A1414,'تجربه‌گرها'!$F:$F,I$1)</f>
        <v>0</v>
      </c>
      <c r="J1414" s="242">
        <f>COUNTIFS('تجربه‌گرها'!$B:$B,$A1414,'تجربه‌گرها'!$F:$F,J$1)</f>
        <v>0</v>
      </c>
      <c r="K1414" s="242">
        <f>COUNTIFS('تجربه‌گرها'!$B:$B,$A1414,'تجربه‌گرها'!$F:$F,K$1)</f>
        <v>0</v>
      </c>
      <c r="L1414" s="242">
        <f>COUNTIFS('تجربه‌گرها'!$B:$B,$A1414,'تجربه‌گرها'!$F:$F,L$1)</f>
        <v>0</v>
      </c>
      <c r="M1414" s="242">
        <f>COUNTIFS('تجربه‌گرها'!$B:$B,$A1414,'تجربه‌گرها'!$F:$F,M$1)</f>
        <v>0</v>
      </c>
      <c r="N1414" s="242">
        <f>COUNTIFS('تجربه‌گرها'!$B:$B,$A1414,'تجربه‌گرها'!$F:$F,N$1)</f>
        <v>0</v>
      </c>
      <c r="O1414" s="242">
        <f>COUNTIFS('تجربه‌گرها'!$B:$B,$A1414,'تجربه‌گرها'!$F:$F,O$1)</f>
        <v>0</v>
      </c>
      <c r="P1414" s="242">
        <f>COUNTIFS('تجربه‌گرها'!$B:$B,$A1414,'تجربه‌گرها'!$F:$F,P$1)</f>
        <v>0</v>
      </c>
      <c r="Q1414" s="242">
        <f>COUNTIFS('تجربه‌گرها'!$B:$B,$A1414,'تجربه‌گرها'!$F:$F,Q$1)</f>
        <v>1</v>
      </c>
      <c r="R1414" s="242">
        <f>COUNTIFS('تجربه‌گرها'!$B:$B,$A1414,'تجربه‌گرها'!$F:$F,R$1)</f>
        <v>0</v>
      </c>
      <c r="S1414" s="242">
        <f>COUNTIFS('تجربه‌گرها'!$B:$B,$A1414,'تجربه‌گرها'!$F:$F,S$1)</f>
        <v>0</v>
      </c>
      <c r="T1414" s="242">
        <f>COUNTIFS('تجربه‌گرها'!$B:$B,$A1414,'تجربه‌گرها'!$F:$F,T$1)</f>
        <v>0</v>
      </c>
      <c r="U1414" s="242"/>
      <c r="V1414" s="242"/>
      <c r="W1414" s="242"/>
      <c r="X1414" s="242"/>
      <c r="Y1414" s="242"/>
      <c r="Z1414" s="242"/>
      <c r="AA1414" s="242"/>
      <c r="AB1414" s="242"/>
    </row>
    <row r="1415" hidden="1">
      <c r="A1415" s="244" t="s">
        <v>7325</v>
      </c>
      <c r="B1415" s="245" t="str">
        <f>VLOOKUP(A1415,'تجربه‌گرها'!B:C,2,FALSE())</f>
        <v>09121070729</v>
      </c>
      <c r="C1415" s="242"/>
      <c r="D1415" s="242">
        <f t="shared" si="1"/>
        <v>1</v>
      </c>
      <c r="E1415" s="242">
        <f>COUNTIFS('تجربه‌گرها'!$B:$B,$A1415,'تجربه‌گرها'!$F:$F,E$1)</f>
        <v>0</v>
      </c>
      <c r="F1415" s="242">
        <f>COUNTIFS('تجربه‌گرها'!$B:$B,$A1415,'تجربه‌گرها'!$F:$F,F$1)</f>
        <v>0</v>
      </c>
      <c r="G1415" s="242">
        <f>COUNTIFS('تجربه‌گرها'!$B:$B,$A1415,'تجربه‌گرها'!$F:$F,G$1)</f>
        <v>0</v>
      </c>
      <c r="H1415" s="242">
        <f>COUNTIFS('تجربه‌گرها'!$B:$B,$A1415,'تجربه‌گرها'!$F:$F,H$1)</f>
        <v>0</v>
      </c>
      <c r="I1415" s="242">
        <f>COUNTIFS('تجربه‌گرها'!$B:$B,$A1415,'تجربه‌گرها'!$F:$F,I$1)</f>
        <v>0</v>
      </c>
      <c r="J1415" s="242">
        <f>COUNTIFS('تجربه‌گرها'!$B:$B,$A1415,'تجربه‌گرها'!$F:$F,J$1)</f>
        <v>0</v>
      </c>
      <c r="K1415" s="242">
        <f>COUNTIFS('تجربه‌گرها'!$B:$B,$A1415,'تجربه‌گرها'!$F:$F,K$1)</f>
        <v>0</v>
      </c>
      <c r="L1415" s="242">
        <f>COUNTIFS('تجربه‌گرها'!$B:$B,$A1415,'تجربه‌گرها'!$F:$F,L$1)</f>
        <v>0</v>
      </c>
      <c r="M1415" s="242">
        <f>COUNTIFS('تجربه‌گرها'!$B:$B,$A1415,'تجربه‌گرها'!$F:$F,M$1)</f>
        <v>0</v>
      </c>
      <c r="N1415" s="242">
        <f>COUNTIFS('تجربه‌گرها'!$B:$B,$A1415,'تجربه‌گرها'!$F:$F,N$1)</f>
        <v>0</v>
      </c>
      <c r="O1415" s="242">
        <f>COUNTIFS('تجربه‌گرها'!$B:$B,$A1415,'تجربه‌گرها'!$F:$F,O$1)</f>
        <v>0</v>
      </c>
      <c r="P1415" s="242">
        <f>COUNTIFS('تجربه‌گرها'!$B:$B,$A1415,'تجربه‌گرها'!$F:$F,P$1)</f>
        <v>0</v>
      </c>
      <c r="Q1415" s="242">
        <f>COUNTIFS('تجربه‌گرها'!$B:$B,$A1415,'تجربه‌گرها'!$F:$F,Q$1)</f>
        <v>1</v>
      </c>
      <c r="R1415" s="242">
        <f>COUNTIFS('تجربه‌گرها'!$B:$B,$A1415,'تجربه‌گرها'!$F:$F,R$1)</f>
        <v>0</v>
      </c>
      <c r="S1415" s="242">
        <f>COUNTIFS('تجربه‌گرها'!$B:$B,$A1415,'تجربه‌گرها'!$F:$F,S$1)</f>
        <v>0</v>
      </c>
      <c r="T1415" s="242">
        <f>COUNTIFS('تجربه‌گرها'!$B:$B,$A1415,'تجربه‌گرها'!$F:$F,T$1)</f>
        <v>0</v>
      </c>
      <c r="U1415" s="242"/>
      <c r="V1415" s="242"/>
      <c r="W1415" s="242"/>
      <c r="X1415" s="242"/>
      <c r="Y1415" s="242"/>
      <c r="Z1415" s="242"/>
      <c r="AA1415" s="242"/>
      <c r="AB1415" s="242"/>
    </row>
    <row r="1416">
      <c r="A1416" s="244" t="s">
        <v>204</v>
      </c>
      <c r="B1416" s="245" t="str">
        <f>VLOOKUP(A1416,'تجربه‌گرها'!B:C,2,FALSE())</f>
        <v>09126068481</v>
      </c>
      <c r="C1416" s="242"/>
      <c r="D1416" s="242">
        <f t="shared" si="1"/>
        <v>1</v>
      </c>
      <c r="E1416" s="242">
        <f>COUNTIFS('تجربه‌گرها'!$B:$B,$A1416,'تجربه‌گرها'!$F:$F,E$1)</f>
        <v>0</v>
      </c>
      <c r="F1416" s="242">
        <f>COUNTIFS('تجربه‌گرها'!$B:$B,$A1416,'تجربه‌گرها'!$F:$F,F$1)</f>
        <v>0</v>
      </c>
      <c r="G1416" s="242">
        <f>COUNTIFS('تجربه‌گرها'!$B:$B,$A1416,'تجربه‌گرها'!$F:$F,G$1)</f>
        <v>0</v>
      </c>
      <c r="H1416" s="242">
        <f>COUNTIFS('تجربه‌گرها'!$B:$B,$A1416,'تجربه‌گرها'!$F:$F,H$1)</f>
        <v>0</v>
      </c>
      <c r="I1416" s="242">
        <f>COUNTIFS('تجربه‌گرها'!$B:$B,$A1416,'تجربه‌گرها'!$F:$F,I$1)</f>
        <v>0</v>
      </c>
      <c r="J1416" s="242">
        <f>COUNTIFS('تجربه‌گرها'!$B:$B,$A1416,'تجربه‌گرها'!$F:$F,J$1)</f>
        <v>0</v>
      </c>
      <c r="K1416" s="242">
        <f>COUNTIFS('تجربه‌گرها'!$B:$B,$A1416,'تجربه‌گرها'!$F:$F,K$1)</f>
        <v>0</v>
      </c>
      <c r="L1416" s="242">
        <f>COUNTIFS('تجربه‌گرها'!$B:$B,$A1416,'تجربه‌گرها'!$F:$F,L$1)</f>
        <v>0</v>
      </c>
      <c r="M1416" s="242">
        <f>COUNTIFS('تجربه‌گرها'!$B:$B,$A1416,'تجربه‌گرها'!$F:$F,M$1)</f>
        <v>0</v>
      </c>
      <c r="N1416" s="242">
        <f>COUNTIFS('تجربه‌گرها'!$B:$B,$A1416,'تجربه‌گرها'!$F:$F,N$1)</f>
        <v>0</v>
      </c>
      <c r="O1416" s="242">
        <f>COUNTIFS('تجربه‌گرها'!$B:$B,$A1416,'تجربه‌گرها'!$F:$F,O$1)</f>
        <v>0</v>
      </c>
      <c r="P1416" s="242">
        <f>COUNTIFS('تجربه‌گرها'!$B:$B,$A1416,'تجربه‌گرها'!$F:$F,P$1)</f>
        <v>0</v>
      </c>
      <c r="Q1416" s="242">
        <f>COUNTIFS('تجربه‌گرها'!$B:$B,$A1416,'تجربه‌گرها'!$F:$F,Q$1)</f>
        <v>1</v>
      </c>
      <c r="R1416" s="242">
        <f>COUNTIFS('تجربه‌گرها'!$B:$B,$A1416,'تجربه‌گرها'!$F:$F,R$1)</f>
        <v>0</v>
      </c>
      <c r="S1416" s="242">
        <f>COUNTIFS('تجربه‌گرها'!$B:$B,$A1416,'تجربه‌گرها'!$F:$F,S$1)</f>
        <v>0</v>
      </c>
      <c r="T1416" s="242">
        <f>COUNTIFS('تجربه‌گرها'!$B:$B,$A1416,'تجربه‌گرها'!$F:$F,T$1)</f>
        <v>0</v>
      </c>
      <c r="U1416" s="242"/>
      <c r="V1416" s="242"/>
      <c r="W1416" s="242"/>
      <c r="X1416" s="242"/>
      <c r="Y1416" s="242"/>
      <c r="Z1416" s="242"/>
      <c r="AA1416" s="242"/>
      <c r="AB1416" s="242"/>
    </row>
    <row r="1417" hidden="1">
      <c r="A1417" s="244" t="s">
        <v>7072</v>
      </c>
      <c r="B1417" s="245" t="str">
        <f>VLOOKUP(A1417,'تجربه‌گرها'!B:C,2,FALSE())</f>
        <v>09122494620</v>
      </c>
      <c r="C1417" s="242"/>
      <c r="D1417" s="242">
        <f t="shared" si="1"/>
        <v>2</v>
      </c>
      <c r="E1417" s="242">
        <f>COUNTIFS('تجربه‌گرها'!$B:$B,$A1417,'تجربه‌گرها'!$F:$F,E$1)</f>
        <v>0</v>
      </c>
      <c r="F1417" s="242">
        <f>COUNTIFS('تجربه‌گرها'!$B:$B,$A1417,'تجربه‌گرها'!$F:$F,F$1)</f>
        <v>0</v>
      </c>
      <c r="G1417" s="242">
        <f>COUNTIFS('تجربه‌گرها'!$B:$B,$A1417,'تجربه‌گرها'!$F:$F,G$1)</f>
        <v>0</v>
      </c>
      <c r="H1417" s="242">
        <f>COUNTIFS('تجربه‌گرها'!$B:$B,$A1417,'تجربه‌گرها'!$F:$F,H$1)</f>
        <v>0</v>
      </c>
      <c r="I1417" s="242">
        <f>COUNTIFS('تجربه‌گرها'!$B:$B,$A1417,'تجربه‌گرها'!$F:$F,I$1)</f>
        <v>0</v>
      </c>
      <c r="J1417" s="242">
        <f>COUNTIFS('تجربه‌گرها'!$B:$B,$A1417,'تجربه‌گرها'!$F:$F,J$1)</f>
        <v>0</v>
      </c>
      <c r="K1417" s="242">
        <f>COUNTIFS('تجربه‌گرها'!$B:$B,$A1417,'تجربه‌گرها'!$F:$F,K$1)</f>
        <v>0</v>
      </c>
      <c r="L1417" s="242">
        <f>COUNTIFS('تجربه‌گرها'!$B:$B,$A1417,'تجربه‌گرها'!$F:$F,L$1)</f>
        <v>0</v>
      </c>
      <c r="M1417" s="242">
        <f>COUNTIFS('تجربه‌گرها'!$B:$B,$A1417,'تجربه‌گرها'!$F:$F,M$1)</f>
        <v>0</v>
      </c>
      <c r="N1417" s="242">
        <f>COUNTIFS('تجربه‌گرها'!$B:$B,$A1417,'تجربه‌گرها'!$F:$F,N$1)</f>
        <v>0</v>
      </c>
      <c r="O1417" s="242">
        <f>COUNTIFS('تجربه‌گرها'!$B:$B,$A1417,'تجربه‌گرها'!$F:$F,O$1)</f>
        <v>0</v>
      </c>
      <c r="P1417" s="242">
        <f>COUNTIFS('تجربه‌گرها'!$B:$B,$A1417,'تجربه‌گرها'!$F:$F,P$1)</f>
        <v>0</v>
      </c>
      <c r="Q1417" s="242">
        <f>COUNTIFS('تجربه‌گرها'!$B:$B,$A1417,'تجربه‌گرها'!$F:$F,Q$1)</f>
        <v>1</v>
      </c>
      <c r="R1417" s="242">
        <f>COUNTIFS('تجربه‌گرها'!$B:$B,$A1417,'تجربه‌گرها'!$F:$F,R$1)</f>
        <v>0</v>
      </c>
      <c r="S1417" s="242">
        <f>COUNTIFS('تجربه‌گرها'!$B:$B,$A1417,'تجربه‌گرها'!$F:$F,S$1)</f>
        <v>0</v>
      </c>
      <c r="T1417" s="242">
        <f>COUNTIFS('تجربه‌گرها'!$B:$B,$A1417,'تجربه‌گرها'!$F:$F,T$1)</f>
        <v>1</v>
      </c>
      <c r="U1417" s="242"/>
      <c r="V1417" s="242"/>
      <c r="W1417" s="242"/>
      <c r="X1417" s="242"/>
      <c r="Y1417" s="242"/>
      <c r="Z1417" s="242"/>
      <c r="AA1417" s="242"/>
      <c r="AB1417" s="242"/>
    </row>
    <row r="1418" hidden="1">
      <c r="A1418" s="244" t="s">
        <v>7326</v>
      </c>
      <c r="B1418" s="245" t="str">
        <f>VLOOKUP(A1418,'تجربه‌گرها'!B:C,2,FALSE())</f>
        <v>09186996100</v>
      </c>
      <c r="C1418" s="242"/>
      <c r="D1418" s="242">
        <f t="shared" si="1"/>
        <v>1</v>
      </c>
      <c r="E1418" s="242">
        <f>COUNTIFS('تجربه‌گرها'!$B:$B,$A1418,'تجربه‌گرها'!$F:$F,E$1)</f>
        <v>0</v>
      </c>
      <c r="F1418" s="242">
        <f>COUNTIFS('تجربه‌گرها'!$B:$B,$A1418,'تجربه‌گرها'!$F:$F,F$1)</f>
        <v>0</v>
      </c>
      <c r="G1418" s="242">
        <f>COUNTIFS('تجربه‌گرها'!$B:$B,$A1418,'تجربه‌گرها'!$F:$F,G$1)</f>
        <v>0</v>
      </c>
      <c r="H1418" s="242">
        <f>COUNTIFS('تجربه‌گرها'!$B:$B,$A1418,'تجربه‌گرها'!$F:$F,H$1)</f>
        <v>0</v>
      </c>
      <c r="I1418" s="242">
        <f>COUNTIFS('تجربه‌گرها'!$B:$B,$A1418,'تجربه‌گرها'!$F:$F,I$1)</f>
        <v>0</v>
      </c>
      <c r="J1418" s="242">
        <f>COUNTIFS('تجربه‌گرها'!$B:$B,$A1418,'تجربه‌گرها'!$F:$F,J$1)</f>
        <v>0</v>
      </c>
      <c r="K1418" s="242">
        <f>COUNTIFS('تجربه‌گرها'!$B:$B,$A1418,'تجربه‌گرها'!$F:$F,K$1)</f>
        <v>0</v>
      </c>
      <c r="L1418" s="242">
        <f>COUNTIFS('تجربه‌گرها'!$B:$B,$A1418,'تجربه‌گرها'!$F:$F,L$1)</f>
        <v>0</v>
      </c>
      <c r="M1418" s="242">
        <f>COUNTIFS('تجربه‌گرها'!$B:$B,$A1418,'تجربه‌گرها'!$F:$F,M$1)</f>
        <v>0</v>
      </c>
      <c r="N1418" s="242">
        <f>COUNTIFS('تجربه‌گرها'!$B:$B,$A1418,'تجربه‌گرها'!$F:$F,N$1)</f>
        <v>0</v>
      </c>
      <c r="O1418" s="242">
        <f>COUNTIFS('تجربه‌گرها'!$B:$B,$A1418,'تجربه‌گرها'!$F:$F,O$1)</f>
        <v>0</v>
      </c>
      <c r="P1418" s="242">
        <f>COUNTIFS('تجربه‌گرها'!$B:$B,$A1418,'تجربه‌گرها'!$F:$F,P$1)</f>
        <v>0</v>
      </c>
      <c r="Q1418" s="242">
        <f>COUNTIFS('تجربه‌گرها'!$B:$B,$A1418,'تجربه‌گرها'!$F:$F,Q$1)</f>
        <v>1</v>
      </c>
      <c r="R1418" s="242">
        <f>COUNTIFS('تجربه‌گرها'!$B:$B,$A1418,'تجربه‌گرها'!$F:$F,R$1)</f>
        <v>0</v>
      </c>
      <c r="S1418" s="242">
        <f>COUNTIFS('تجربه‌گرها'!$B:$B,$A1418,'تجربه‌گرها'!$F:$F,S$1)</f>
        <v>0</v>
      </c>
      <c r="T1418" s="242">
        <f>COUNTIFS('تجربه‌گرها'!$B:$B,$A1418,'تجربه‌گرها'!$F:$F,T$1)</f>
        <v>0</v>
      </c>
      <c r="U1418" s="242"/>
      <c r="V1418" s="242"/>
      <c r="W1418" s="242"/>
      <c r="X1418" s="242"/>
      <c r="Y1418" s="242"/>
      <c r="Z1418" s="242"/>
      <c r="AA1418" s="242"/>
      <c r="AB1418" s="242"/>
    </row>
    <row r="1419" hidden="1">
      <c r="A1419" s="244" t="s">
        <v>7327</v>
      </c>
      <c r="B1419" s="245" t="str">
        <f>VLOOKUP(A1419,'تجربه‌گرها'!B:C,2,FALSE())</f>
        <v>09186991107</v>
      </c>
      <c r="C1419" s="242"/>
      <c r="D1419" s="242">
        <f t="shared" si="1"/>
        <v>1</v>
      </c>
      <c r="E1419" s="242">
        <f>COUNTIFS('تجربه‌گرها'!$B:$B,$A1419,'تجربه‌گرها'!$F:$F,E$1)</f>
        <v>0</v>
      </c>
      <c r="F1419" s="242">
        <f>COUNTIFS('تجربه‌گرها'!$B:$B,$A1419,'تجربه‌گرها'!$F:$F,F$1)</f>
        <v>0</v>
      </c>
      <c r="G1419" s="242">
        <f>COUNTIFS('تجربه‌گرها'!$B:$B,$A1419,'تجربه‌گرها'!$F:$F,G$1)</f>
        <v>0</v>
      </c>
      <c r="H1419" s="242">
        <f>COUNTIFS('تجربه‌گرها'!$B:$B,$A1419,'تجربه‌گرها'!$F:$F,H$1)</f>
        <v>0</v>
      </c>
      <c r="I1419" s="242">
        <f>COUNTIFS('تجربه‌گرها'!$B:$B,$A1419,'تجربه‌گرها'!$F:$F,I$1)</f>
        <v>0</v>
      </c>
      <c r="J1419" s="242">
        <f>COUNTIFS('تجربه‌گرها'!$B:$B,$A1419,'تجربه‌گرها'!$F:$F,J$1)</f>
        <v>0</v>
      </c>
      <c r="K1419" s="242">
        <f>COUNTIFS('تجربه‌گرها'!$B:$B,$A1419,'تجربه‌گرها'!$F:$F,K$1)</f>
        <v>0</v>
      </c>
      <c r="L1419" s="242">
        <f>COUNTIFS('تجربه‌گرها'!$B:$B,$A1419,'تجربه‌گرها'!$F:$F,L$1)</f>
        <v>0</v>
      </c>
      <c r="M1419" s="242">
        <f>COUNTIFS('تجربه‌گرها'!$B:$B,$A1419,'تجربه‌گرها'!$F:$F,M$1)</f>
        <v>0</v>
      </c>
      <c r="N1419" s="242">
        <f>COUNTIFS('تجربه‌گرها'!$B:$B,$A1419,'تجربه‌گرها'!$F:$F,N$1)</f>
        <v>0</v>
      </c>
      <c r="O1419" s="242">
        <f>COUNTIFS('تجربه‌گرها'!$B:$B,$A1419,'تجربه‌گرها'!$F:$F,O$1)</f>
        <v>0</v>
      </c>
      <c r="P1419" s="242">
        <f>COUNTIFS('تجربه‌گرها'!$B:$B,$A1419,'تجربه‌گرها'!$F:$F,P$1)</f>
        <v>0</v>
      </c>
      <c r="Q1419" s="242">
        <f>COUNTIFS('تجربه‌گرها'!$B:$B,$A1419,'تجربه‌گرها'!$F:$F,Q$1)</f>
        <v>1</v>
      </c>
      <c r="R1419" s="242">
        <f>COUNTIFS('تجربه‌گرها'!$B:$B,$A1419,'تجربه‌گرها'!$F:$F,R$1)</f>
        <v>0</v>
      </c>
      <c r="S1419" s="242">
        <f>COUNTIFS('تجربه‌گرها'!$B:$B,$A1419,'تجربه‌گرها'!$F:$F,S$1)</f>
        <v>0</v>
      </c>
      <c r="T1419" s="242">
        <f>COUNTIFS('تجربه‌گرها'!$B:$B,$A1419,'تجربه‌گرها'!$F:$F,T$1)</f>
        <v>0</v>
      </c>
      <c r="U1419" s="242"/>
      <c r="V1419" s="242"/>
      <c r="W1419" s="242"/>
      <c r="X1419" s="242"/>
      <c r="Y1419" s="242"/>
      <c r="Z1419" s="242"/>
      <c r="AA1419" s="242"/>
      <c r="AB1419" s="242"/>
    </row>
    <row r="1420" hidden="1">
      <c r="A1420" s="244" t="s">
        <v>7328</v>
      </c>
      <c r="B1420" s="245" t="str">
        <f>VLOOKUP(A1420,'تجربه‌گرها'!B:C,2,FALSE())</f>
        <v>09188624437</v>
      </c>
      <c r="C1420" s="242"/>
      <c r="D1420" s="242">
        <f t="shared" si="1"/>
        <v>1</v>
      </c>
      <c r="E1420" s="242">
        <f>COUNTIFS('تجربه‌گرها'!$B:$B,$A1420,'تجربه‌گرها'!$F:$F,E$1)</f>
        <v>0</v>
      </c>
      <c r="F1420" s="242">
        <f>COUNTIFS('تجربه‌گرها'!$B:$B,$A1420,'تجربه‌گرها'!$F:$F,F$1)</f>
        <v>0</v>
      </c>
      <c r="G1420" s="242">
        <f>COUNTIFS('تجربه‌گرها'!$B:$B,$A1420,'تجربه‌گرها'!$F:$F,G$1)</f>
        <v>0</v>
      </c>
      <c r="H1420" s="242">
        <f>COUNTIFS('تجربه‌گرها'!$B:$B,$A1420,'تجربه‌گرها'!$F:$F,H$1)</f>
        <v>0</v>
      </c>
      <c r="I1420" s="242">
        <f>COUNTIFS('تجربه‌گرها'!$B:$B,$A1420,'تجربه‌گرها'!$F:$F,I$1)</f>
        <v>0</v>
      </c>
      <c r="J1420" s="242">
        <f>COUNTIFS('تجربه‌گرها'!$B:$B,$A1420,'تجربه‌گرها'!$F:$F,J$1)</f>
        <v>0</v>
      </c>
      <c r="K1420" s="242">
        <f>COUNTIFS('تجربه‌گرها'!$B:$B,$A1420,'تجربه‌گرها'!$F:$F,K$1)</f>
        <v>0</v>
      </c>
      <c r="L1420" s="242">
        <f>COUNTIFS('تجربه‌گرها'!$B:$B,$A1420,'تجربه‌گرها'!$F:$F,L$1)</f>
        <v>0</v>
      </c>
      <c r="M1420" s="242">
        <f>COUNTIFS('تجربه‌گرها'!$B:$B,$A1420,'تجربه‌گرها'!$F:$F,M$1)</f>
        <v>0</v>
      </c>
      <c r="N1420" s="242">
        <f>COUNTIFS('تجربه‌گرها'!$B:$B,$A1420,'تجربه‌گرها'!$F:$F,N$1)</f>
        <v>0</v>
      </c>
      <c r="O1420" s="242">
        <f>COUNTIFS('تجربه‌گرها'!$B:$B,$A1420,'تجربه‌گرها'!$F:$F,O$1)</f>
        <v>0</v>
      </c>
      <c r="P1420" s="242">
        <f>COUNTIFS('تجربه‌گرها'!$B:$B,$A1420,'تجربه‌گرها'!$F:$F,P$1)</f>
        <v>0</v>
      </c>
      <c r="Q1420" s="242">
        <f>COUNTIFS('تجربه‌گرها'!$B:$B,$A1420,'تجربه‌گرها'!$F:$F,Q$1)</f>
        <v>1</v>
      </c>
      <c r="R1420" s="242">
        <f>COUNTIFS('تجربه‌گرها'!$B:$B,$A1420,'تجربه‌گرها'!$F:$F,R$1)</f>
        <v>0</v>
      </c>
      <c r="S1420" s="242">
        <f>COUNTIFS('تجربه‌گرها'!$B:$B,$A1420,'تجربه‌گرها'!$F:$F,S$1)</f>
        <v>0</v>
      </c>
      <c r="T1420" s="242">
        <f>COUNTIFS('تجربه‌گرها'!$B:$B,$A1420,'تجربه‌گرها'!$F:$F,T$1)</f>
        <v>0</v>
      </c>
      <c r="U1420" s="242"/>
      <c r="V1420" s="242"/>
      <c r="W1420" s="242"/>
      <c r="X1420" s="242"/>
      <c r="Y1420" s="242"/>
      <c r="Z1420" s="242"/>
      <c r="AA1420" s="242"/>
      <c r="AB1420" s="242"/>
    </row>
    <row r="1421" hidden="1">
      <c r="A1421" s="244" t="s">
        <v>7329</v>
      </c>
      <c r="B1421" s="245" t="str">
        <f>VLOOKUP(A1421,'تجربه‌گرها'!B:C,2,FALSE())</f>
        <v>09183563298</v>
      </c>
      <c r="C1421" s="242"/>
      <c r="D1421" s="242">
        <f t="shared" si="1"/>
        <v>1</v>
      </c>
      <c r="E1421" s="242">
        <f>COUNTIFS('تجربه‌گرها'!$B:$B,$A1421,'تجربه‌گرها'!$F:$F,E$1)</f>
        <v>0</v>
      </c>
      <c r="F1421" s="242">
        <f>COUNTIFS('تجربه‌گرها'!$B:$B,$A1421,'تجربه‌گرها'!$F:$F,F$1)</f>
        <v>0</v>
      </c>
      <c r="G1421" s="242">
        <f>COUNTIFS('تجربه‌گرها'!$B:$B,$A1421,'تجربه‌گرها'!$F:$F,G$1)</f>
        <v>0</v>
      </c>
      <c r="H1421" s="242">
        <f>COUNTIFS('تجربه‌گرها'!$B:$B,$A1421,'تجربه‌گرها'!$F:$F,H$1)</f>
        <v>0</v>
      </c>
      <c r="I1421" s="242">
        <f>COUNTIFS('تجربه‌گرها'!$B:$B,$A1421,'تجربه‌گرها'!$F:$F,I$1)</f>
        <v>0</v>
      </c>
      <c r="J1421" s="242">
        <f>COUNTIFS('تجربه‌گرها'!$B:$B,$A1421,'تجربه‌گرها'!$F:$F,J$1)</f>
        <v>0</v>
      </c>
      <c r="K1421" s="242">
        <f>COUNTIFS('تجربه‌گرها'!$B:$B,$A1421,'تجربه‌گرها'!$F:$F,K$1)</f>
        <v>0</v>
      </c>
      <c r="L1421" s="242">
        <f>COUNTIFS('تجربه‌گرها'!$B:$B,$A1421,'تجربه‌گرها'!$F:$F,L$1)</f>
        <v>0</v>
      </c>
      <c r="M1421" s="242">
        <f>COUNTIFS('تجربه‌گرها'!$B:$B,$A1421,'تجربه‌گرها'!$F:$F,M$1)</f>
        <v>0</v>
      </c>
      <c r="N1421" s="242">
        <f>COUNTIFS('تجربه‌گرها'!$B:$B,$A1421,'تجربه‌گرها'!$F:$F,N$1)</f>
        <v>0</v>
      </c>
      <c r="O1421" s="242">
        <f>COUNTIFS('تجربه‌گرها'!$B:$B,$A1421,'تجربه‌گرها'!$F:$F,O$1)</f>
        <v>0</v>
      </c>
      <c r="P1421" s="242">
        <f>COUNTIFS('تجربه‌گرها'!$B:$B,$A1421,'تجربه‌گرها'!$F:$F,P$1)</f>
        <v>0</v>
      </c>
      <c r="Q1421" s="242">
        <f>COUNTIFS('تجربه‌گرها'!$B:$B,$A1421,'تجربه‌گرها'!$F:$F,Q$1)</f>
        <v>1</v>
      </c>
      <c r="R1421" s="242">
        <f>COUNTIFS('تجربه‌گرها'!$B:$B,$A1421,'تجربه‌گرها'!$F:$F,R$1)</f>
        <v>0</v>
      </c>
      <c r="S1421" s="242">
        <f>COUNTIFS('تجربه‌گرها'!$B:$B,$A1421,'تجربه‌گرها'!$F:$F,S$1)</f>
        <v>0</v>
      </c>
      <c r="T1421" s="242">
        <f>COUNTIFS('تجربه‌گرها'!$B:$B,$A1421,'تجربه‌گرها'!$F:$F,T$1)</f>
        <v>0</v>
      </c>
      <c r="U1421" s="242"/>
      <c r="V1421" s="242"/>
      <c r="W1421" s="242"/>
      <c r="X1421" s="242"/>
      <c r="Y1421" s="242"/>
      <c r="Z1421" s="242"/>
      <c r="AA1421" s="242"/>
      <c r="AB1421" s="242"/>
    </row>
    <row r="1422" hidden="1">
      <c r="A1422" s="244" t="s">
        <v>7330</v>
      </c>
      <c r="B1422" s="245" t="str">
        <f>VLOOKUP(A1422,'تجربه‌گرها'!B:C,2,FALSE())</f>
        <v>09188494403</v>
      </c>
      <c r="C1422" s="242"/>
      <c r="D1422" s="242">
        <f t="shared" si="1"/>
        <v>1</v>
      </c>
      <c r="E1422" s="242">
        <f>COUNTIFS('تجربه‌گرها'!$B:$B,$A1422,'تجربه‌گرها'!$F:$F,E$1)</f>
        <v>0</v>
      </c>
      <c r="F1422" s="242">
        <f>COUNTIFS('تجربه‌گرها'!$B:$B,$A1422,'تجربه‌گرها'!$F:$F,F$1)</f>
        <v>0</v>
      </c>
      <c r="G1422" s="242">
        <f>COUNTIFS('تجربه‌گرها'!$B:$B,$A1422,'تجربه‌گرها'!$F:$F,G$1)</f>
        <v>0</v>
      </c>
      <c r="H1422" s="242">
        <f>COUNTIFS('تجربه‌گرها'!$B:$B,$A1422,'تجربه‌گرها'!$F:$F,H$1)</f>
        <v>0</v>
      </c>
      <c r="I1422" s="242">
        <f>COUNTIFS('تجربه‌گرها'!$B:$B,$A1422,'تجربه‌گرها'!$F:$F,I$1)</f>
        <v>0</v>
      </c>
      <c r="J1422" s="242">
        <f>COUNTIFS('تجربه‌گرها'!$B:$B,$A1422,'تجربه‌گرها'!$F:$F,J$1)</f>
        <v>0</v>
      </c>
      <c r="K1422" s="242">
        <f>COUNTIFS('تجربه‌گرها'!$B:$B,$A1422,'تجربه‌گرها'!$F:$F,K$1)</f>
        <v>0</v>
      </c>
      <c r="L1422" s="242">
        <f>COUNTIFS('تجربه‌گرها'!$B:$B,$A1422,'تجربه‌گرها'!$F:$F,L$1)</f>
        <v>0</v>
      </c>
      <c r="M1422" s="242">
        <f>COUNTIFS('تجربه‌گرها'!$B:$B,$A1422,'تجربه‌گرها'!$F:$F,M$1)</f>
        <v>0</v>
      </c>
      <c r="N1422" s="242">
        <f>COUNTIFS('تجربه‌گرها'!$B:$B,$A1422,'تجربه‌گرها'!$F:$F,N$1)</f>
        <v>0</v>
      </c>
      <c r="O1422" s="242">
        <f>COUNTIFS('تجربه‌گرها'!$B:$B,$A1422,'تجربه‌گرها'!$F:$F,O$1)</f>
        <v>0</v>
      </c>
      <c r="P1422" s="242">
        <f>COUNTIFS('تجربه‌گرها'!$B:$B,$A1422,'تجربه‌گرها'!$F:$F,P$1)</f>
        <v>0</v>
      </c>
      <c r="Q1422" s="242">
        <f>COUNTIFS('تجربه‌گرها'!$B:$B,$A1422,'تجربه‌گرها'!$F:$F,Q$1)</f>
        <v>1</v>
      </c>
      <c r="R1422" s="242">
        <f>COUNTIFS('تجربه‌گرها'!$B:$B,$A1422,'تجربه‌گرها'!$F:$F,R$1)</f>
        <v>0</v>
      </c>
      <c r="S1422" s="242">
        <f>COUNTIFS('تجربه‌گرها'!$B:$B,$A1422,'تجربه‌گرها'!$F:$F,S$1)</f>
        <v>0</v>
      </c>
      <c r="T1422" s="242">
        <f>COUNTIFS('تجربه‌گرها'!$B:$B,$A1422,'تجربه‌گرها'!$F:$F,T$1)</f>
        <v>0</v>
      </c>
      <c r="U1422" s="242"/>
      <c r="V1422" s="242"/>
      <c r="W1422" s="242"/>
      <c r="X1422" s="242"/>
      <c r="Y1422" s="242"/>
      <c r="Z1422" s="242"/>
      <c r="AA1422" s="242"/>
      <c r="AB1422" s="242"/>
    </row>
    <row r="1423" hidden="1">
      <c r="A1423" s="244" t="s">
        <v>7331</v>
      </c>
      <c r="B1423" s="245" t="str">
        <f>VLOOKUP(A1423,'تجربه‌گرها'!B:C,2,FALSE())</f>
        <v>09186914231</v>
      </c>
      <c r="C1423" s="242"/>
      <c r="D1423" s="242">
        <f t="shared" si="1"/>
        <v>1</v>
      </c>
      <c r="E1423" s="242">
        <f>COUNTIFS('تجربه‌گرها'!$B:$B,$A1423,'تجربه‌گرها'!$F:$F,E$1)</f>
        <v>0</v>
      </c>
      <c r="F1423" s="242">
        <f>COUNTIFS('تجربه‌گرها'!$B:$B,$A1423,'تجربه‌گرها'!$F:$F,F$1)</f>
        <v>0</v>
      </c>
      <c r="G1423" s="242">
        <f>COUNTIFS('تجربه‌گرها'!$B:$B,$A1423,'تجربه‌گرها'!$F:$F,G$1)</f>
        <v>0</v>
      </c>
      <c r="H1423" s="242">
        <f>COUNTIFS('تجربه‌گرها'!$B:$B,$A1423,'تجربه‌گرها'!$F:$F,H$1)</f>
        <v>0</v>
      </c>
      <c r="I1423" s="242">
        <f>COUNTIFS('تجربه‌گرها'!$B:$B,$A1423,'تجربه‌گرها'!$F:$F,I$1)</f>
        <v>0</v>
      </c>
      <c r="J1423" s="242">
        <f>COUNTIFS('تجربه‌گرها'!$B:$B,$A1423,'تجربه‌گرها'!$F:$F,J$1)</f>
        <v>0</v>
      </c>
      <c r="K1423" s="242">
        <f>COUNTIFS('تجربه‌گرها'!$B:$B,$A1423,'تجربه‌گرها'!$F:$F,K$1)</f>
        <v>0</v>
      </c>
      <c r="L1423" s="242">
        <f>COUNTIFS('تجربه‌گرها'!$B:$B,$A1423,'تجربه‌گرها'!$F:$F,L$1)</f>
        <v>0</v>
      </c>
      <c r="M1423" s="242">
        <f>COUNTIFS('تجربه‌گرها'!$B:$B,$A1423,'تجربه‌گرها'!$F:$F,M$1)</f>
        <v>0</v>
      </c>
      <c r="N1423" s="242">
        <f>COUNTIFS('تجربه‌گرها'!$B:$B,$A1423,'تجربه‌گرها'!$F:$F,N$1)</f>
        <v>0</v>
      </c>
      <c r="O1423" s="242">
        <f>COUNTIFS('تجربه‌گرها'!$B:$B,$A1423,'تجربه‌گرها'!$F:$F,O$1)</f>
        <v>0</v>
      </c>
      <c r="P1423" s="242">
        <f>COUNTIFS('تجربه‌گرها'!$B:$B,$A1423,'تجربه‌گرها'!$F:$F,P$1)</f>
        <v>0</v>
      </c>
      <c r="Q1423" s="242">
        <f>COUNTIFS('تجربه‌گرها'!$B:$B,$A1423,'تجربه‌گرها'!$F:$F,Q$1)</f>
        <v>1</v>
      </c>
      <c r="R1423" s="242">
        <f>COUNTIFS('تجربه‌گرها'!$B:$B,$A1423,'تجربه‌گرها'!$F:$F,R$1)</f>
        <v>0</v>
      </c>
      <c r="S1423" s="242">
        <f>COUNTIFS('تجربه‌گرها'!$B:$B,$A1423,'تجربه‌گرها'!$F:$F,S$1)</f>
        <v>0</v>
      </c>
      <c r="T1423" s="242">
        <f>COUNTIFS('تجربه‌گرها'!$B:$B,$A1423,'تجربه‌گرها'!$F:$F,T$1)</f>
        <v>0</v>
      </c>
      <c r="U1423" s="242"/>
      <c r="V1423" s="242"/>
      <c r="W1423" s="242"/>
      <c r="X1423" s="242"/>
      <c r="Y1423" s="242"/>
      <c r="Z1423" s="242"/>
      <c r="AA1423" s="242"/>
      <c r="AB1423" s="242"/>
    </row>
    <row r="1424" hidden="1">
      <c r="A1424" s="244" t="s">
        <v>7332</v>
      </c>
      <c r="B1424" s="245" t="str">
        <f>VLOOKUP(A1424,'تجربه‌گرها'!B:C,2,FALSE())</f>
        <v>09025918188</v>
      </c>
      <c r="C1424" s="242"/>
      <c r="D1424" s="242">
        <f t="shared" si="1"/>
        <v>1</v>
      </c>
      <c r="E1424" s="242">
        <f>COUNTIFS('تجربه‌گرها'!$B:$B,$A1424,'تجربه‌گرها'!$F:$F,E$1)</f>
        <v>0</v>
      </c>
      <c r="F1424" s="242">
        <f>COUNTIFS('تجربه‌گرها'!$B:$B,$A1424,'تجربه‌گرها'!$F:$F,F$1)</f>
        <v>0</v>
      </c>
      <c r="G1424" s="242">
        <f>COUNTIFS('تجربه‌گرها'!$B:$B,$A1424,'تجربه‌گرها'!$F:$F,G$1)</f>
        <v>0</v>
      </c>
      <c r="H1424" s="242">
        <f>COUNTIFS('تجربه‌گرها'!$B:$B,$A1424,'تجربه‌گرها'!$F:$F,H$1)</f>
        <v>0</v>
      </c>
      <c r="I1424" s="242">
        <f>COUNTIFS('تجربه‌گرها'!$B:$B,$A1424,'تجربه‌گرها'!$F:$F,I$1)</f>
        <v>0</v>
      </c>
      <c r="J1424" s="242">
        <f>COUNTIFS('تجربه‌گرها'!$B:$B,$A1424,'تجربه‌گرها'!$F:$F,J$1)</f>
        <v>0</v>
      </c>
      <c r="K1424" s="242">
        <f>COUNTIFS('تجربه‌گرها'!$B:$B,$A1424,'تجربه‌گرها'!$F:$F,K$1)</f>
        <v>0</v>
      </c>
      <c r="L1424" s="242">
        <f>COUNTIFS('تجربه‌گرها'!$B:$B,$A1424,'تجربه‌گرها'!$F:$F,L$1)</f>
        <v>0</v>
      </c>
      <c r="M1424" s="242">
        <f>COUNTIFS('تجربه‌گرها'!$B:$B,$A1424,'تجربه‌گرها'!$F:$F,M$1)</f>
        <v>0</v>
      </c>
      <c r="N1424" s="242">
        <f>COUNTIFS('تجربه‌گرها'!$B:$B,$A1424,'تجربه‌گرها'!$F:$F,N$1)</f>
        <v>0</v>
      </c>
      <c r="O1424" s="242">
        <f>COUNTIFS('تجربه‌گرها'!$B:$B,$A1424,'تجربه‌گرها'!$F:$F,O$1)</f>
        <v>0</v>
      </c>
      <c r="P1424" s="242">
        <f>COUNTIFS('تجربه‌گرها'!$B:$B,$A1424,'تجربه‌گرها'!$F:$F,P$1)</f>
        <v>0</v>
      </c>
      <c r="Q1424" s="242">
        <f>COUNTIFS('تجربه‌گرها'!$B:$B,$A1424,'تجربه‌گرها'!$F:$F,Q$1)</f>
        <v>1</v>
      </c>
      <c r="R1424" s="242">
        <f>COUNTIFS('تجربه‌گرها'!$B:$B,$A1424,'تجربه‌گرها'!$F:$F,R$1)</f>
        <v>0</v>
      </c>
      <c r="S1424" s="242">
        <f>COUNTIFS('تجربه‌گرها'!$B:$B,$A1424,'تجربه‌گرها'!$F:$F,S$1)</f>
        <v>0</v>
      </c>
      <c r="T1424" s="242">
        <f>COUNTIFS('تجربه‌گرها'!$B:$B,$A1424,'تجربه‌گرها'!$F:$F,T$1)</f>
        <v>0</v>
      </c>
      <c r="U1424" s="242"/>
      <c r="V1424" s="242"/>
      <c r="W1424" s="242"/>
      <c r="X1424" s="242"/>
      <c r="Y1424" s="242"/>
      <c r="Z1424" s="242"/>
      <c r="AA1424" s="242"/>
      <c r="AB1424" s="242"/>
    </row>
    <row r="1425">
      <c r="A1425" s="244" t="s">
        <v>7333</v>
      </c>
      <c r="B1425" s="245" t="str">
        <f>VLOOKUP(A1425,'تجربه‌گرها'!B:C,2,FALSE())</f>
        <v>09333170160</v>
      </c>
      <c r="C1425" s="242"/>
      <c r="D1425" s="242">
        <f t="shared" si="1"/>
        <v>1</v>
      </c>
      <c r="E1425" s="242">
        <f>COUNTIFS('تجربه‌گرها'!$B:$B,$A1425,'تجربه‌گرها'!$F:$F,E$1)</f>
        <v>0</v>
      </c>
      <c r="F1425" s="242">
        <f>COUNTIFS('تجربه‌گرها'!$B:$B,$A1425,'تجربه‌گرها'!$F:$F,F$1)</f>
        <v>0</v>
      </c>
      <c r="G1425" s="242">
        <f>COUNTIFS('تجربه‌گرها'!$B:$B,$A1425,'تجربه‌گرها'!$F:$F,G$1)</f>
        <v>0</v>
      </c>
      <c r="H1425" s="242">
        <f>COUNTIFS('تجربه‌گرها'!$B:$B,$A1425,'تجربه‌گرها'!$F:$F,H$1)</f>
        <v>0</v>
      </c>
      <c r="I1425" s="242">
        <f>COUNTIFS('تجربه‌گرها'!$B:$B,$A1425,'تجربه‌گرها'!$F:$F,I$1)</f>
        <v>0</v>
      </c>
      <c r="J1425" s="242">
        <f>COUNTIFS('تجربه‌گرها'!$B:$B,$A1425,'تجربه‌گرها'!$F:$F,J$1)</f>
        <v>0</v>
      </c>
      <c r="K1425" s="242">
        <f>COUNTIFS('تجربه‌گرها'!$B:$B,$A1425,'تجربه‌گرها'!$F:$F,K$1)</f>
        <v>0</v>
      </c>
      <c r="L1425" s="242">
        <f>COUNTIFS('تجربه‌گرها'!$B:$B,$A1425,'تجربه‌گرها'!$F:$F,L$1)</f>
        <v>0</v>
      </c>
      <c r="M1425" s="242">
        <f>COUNTIFS('تجربه‌گرها'!$B:$B,$A1425,'تجربه‌گرها'!$F:$F,M$1)</f>
        <v>0</v>
      </c>
      <c r="N1425" s="242">
        <f>COUNTIFS('تجربه‌گرها'!$B:$B,$A1425,'تجربه‌گرها'!$F:$F,N$1)</f>
        <v>0</v>
      </c>
      <c r="O1425" s="242">
        <f>COUNTIFS('تجربه‌گرها'!$B:$B,$A1425,'تجربه‌گرها'!$F:$F,O$1)</f>
        <v>0</v>
      </c>
      <c r="P1425" s="242">
        <f>COUNTIFS('تجربه‌گرها'!$B:$B,$A1425,'تجربه‌گرها'!$F:$F,P$1)</f>
        <v>0</v>
      </c>
      <c r="Q1425" s="242">
        <f>COUNTIFS('تجربه‌گرها'!$B:$B,$A1425,'تجربه‌گرها'!$F:$F,Q$1)</f>
        <v>1</v>
      </c>
      <c r="R1425" s="242">
        <f>COUNTIFS('تجربه‌گرها'!$B:$B,$A1425,'تجربه‌گرها'!$F:$F,R$1)</f>
        <v>0</v>
      </c>
      <c r="S1425" s="242">
        <f>COUNTIFS('تجربه‌گرها'!$B:$B,$A1425,'تجربه‌گرها'!$F:$F,S$1)</f>
        <v>0</v>
      </c>
      <c r="T1425" s="242">
        <f>COUNTIFS('تجربه‌گرها'!$B:$B,$A1425,'تجربه‌گرها'!$F:$F,T$1)</f>
        <v>0</v>
      </c>
      <c r="U1425" s="242"/>
      <c r="V1425" s="242"/>
      <c r="W1425" s="242"/>
      <c r="X1425" s="242"/>
      <c r="Y1425" s="242"/>
      <c r="Z1425" s="242"/>
      <c r="AA1425" s="242"/>
      <c r="AB1425" s="242"/>
    </row>
    <row r="1426" hidden="1">
      <c r="A1426" s="244" t="s">
        <v>7063</v>
      </c>
      <c r="B1426" s="245" t="str">
        <f>VLOOKUP(A1426,'تجربه‌گرها'!B:C,2,FALSE())</f>
        <v>09127021597</v>
      </c>
      <c r="C1426" s="242"/>
      <c r="D1426" s="242">
        <f t="shared" si="1"/>
        <v>2</v>
      </c>
      <c r="E1426" s="242">
        <f>COUNTIFS('تجربه‌گرها'!$B:$B,$A1426,'تجربه‌گرها'!$F:$F,E$1)</f>
        <v>0</v>
      </c>
      <c r="F1426" s="242">
        <f>COUNTIFS('تجربه‌گرها'!$B:$B,$A1426,'تجربه‌گرها'!$F:$F,F$1)</f>
        <v>0</v>
      </c>
      <c r="G1426" s="242">
        <f>COUNTIFS('تجربه‌گرها'!$B:$B,$A1426,'تجربه‌گرها'!$F:$F,G$1)</f>
        <v>0</v>
      </c>
      <c r="H1426" s="242">
        <f>COUNTIFS('تجربه‌گرها'!$B:$B,$A1426,'تجربه‌گرها'!$F:$F,H$1)</f>
        <v>0</v>
      </c>
      <c r="I1426" s="242">
        <f>COUNTIFS('تجربه‌گرها'!$B:$B,$A1426,'تجربه‌گرها'!$F:$F,I$1)</f>
        <v>0</v>
      </c>
      <c r="J1426" s="242">
        <f>COUNTIFS('تجربه‌گرها'!$B:$B,$A1426,'تجربه‌گرها'!$F:$F,J$1)</f>
        <v>0</v>
      </c>
      <c r="K1426" s="242">
        <f>COUNTIFS('تجربه‌گرها'!$B:$B,$A1426,'تجربه‌گرها'!$F:$F,K$1)</f>
        <v>0</v>
      </c>
      <c r="L1426" s="242">
        <f>COUNTIFS('تجربه‌گرها'!$B:$B,$A1426,'تجربه‌گرها'!$F:$F,L$1)</f>
        <v>0</v>
      </c>
      <c r="M1426" s="242">
        <f>COUNTIFS('تجربه‌گرها'!$B:$B,$A1426,'تجربه‌گرها'!$F:$F,M$1)</f>
        <v>0</v>
      </c>
      <c r="N1426" s="242">
        <f>COUNTIFS('تجربه‌گرها'!$B:$B,$A1426,'تجربه‌گرها'!$F:$F,N$1)</f>
        <v>0</v>
      </c>
      <c r="O1426" s="242">
        <f>COUNTIFS('تجربه‌گرها'!$B:$B,$A1426,'تجربه‌گرها'!$F:$F,O$1)</f>
        <v>0</v>
      </c>
      <c r="P1426" s="242">
        <f>COUNTIFS('تجربه‌گرها'!$B:$B,$A1426,'تجربه‌گرها'!$F:$F,P$1)</f>
        <v>0</v>
      </c>
      <c r="Q1426" s="242">
        <f>COUNTIFS('تجربه‌گرها'!$B:$B,$A1426,'تجربه‌گرها'!$F:$F,Q$1)</f>
        <v>1</v>
      </c>
      <c r="R1426" s="242">
        <f>COUNTIFS('تجربه‌گرها'!$B:$B,$A1426,'تجربه‌گرها'!$F:$F,R$1)</f>
        <v>0</v>
      </c>
      <c r="S1426" s="242">
        <f>COUNTIFS('تجربه‌گرها'!$B:$B,$A1426,'تجربه‌گرها'!$F:$F,S$1)</f>
        <v>0</v>
      </c>
      <c r="T1426" s="242">
        <f>COUNTIFS('تجربه‌گرها'!$B:$B,$A1426,'تجربه‌گرها'!$F:$F,T$1)</f>
        <v>1</v>
      </c>
      <c r="U1426" s="242"/>
      <c r="V1426" s="242"/>
      <c r="W1426" s="242"/>
      <c r="X1426" s="242"/>
      <c r="Y1426" s="242"/>
      <c r="Z1426" s="242"/>
      <c r="AA1426" s="242"/>
      <c r="AB1426" s="242"/>
    </row>
    <row r="1427" hidden="1">
      <c r="A1427" s="244" t="s">
        <v>7334</v>
      </c>
      <c r="B1427" s="245" t="str">
        <f>VLOOKUP(A1427,'تجربه‌گرها'!B:C,2,FALSE())</f>
        <v>09105295718</v>
      </c>
      <c r="C1427" s="242"/>
      <c r="D1427" s="242">
        <f t="shared" si="1"/>
        <v>1</v>
      </c>
      <c r="E1427" s="242">
        <f>COUNTIFS('تجربه‌گرها'!$B:$B,$A1427,'تجربه‌گرها'!$F:$F,E$1)</f>
        <v>0</v>
      </c>
      <c r="F1427" s="242">
        <f>COUNTIFS('تجربه‌گرها'!$B:$B,$A1427,'تجربه‌گرها'!$F:$F,F$1)</f>
        <v>0</v>
      </c>
      <c r="G1427" s="242">
        <f>COUNTIFS('تجربه‌گرها'!$B:$B,$A1427,'تجربه‌گرها'!$F:$F,G$1)</f>
        <v>0</v>
      </c>
      <c r="H1427" s="242">
        <f>COUNTIFS('تجربه‌گرها'!$B:$B,$A1427,'تجربه‌گرها'!$F:$F,H$1)</f>
        <v>0</v>
      </c>
      <c r="I1427" s="242">
        <f>COUNTIFS('تجربه‌گرها'!$B:$B,$A1427,'تجربه‌گرها'!$F:$F,I$1)</f>
        <v>0</v>
      </c>
      <c r="J1427" s="242">
        <f>COUNTIFS('تجربه‌گرها'!$B:$B,$A1427,'تجربه‌گرها'!$F:$F,J$1)</f>
        <v>0</v>
      </c>
      <c r="K1427" s="242">
        <f>COUNTIFS('تجربه‌گرها'!$B:$B,$A1427,'تجربه‌گرها'!$F:$F,K$1)</f>
        <v>0</v>
      </c>
      <c r="L1427" s="242">
        <f>COUNTIFS('تجربه‌گرها'!$B:$B,$A1427,'تجربه‌گرها'!$F:$F,L$1)</f>
        <v>0</v>
      </c>
      <c r="M1427" s="242">
        <f>COUNTIFS('تجربه‌گرها'!$B:$B,$A1427,'تجربه‌گرها'!$F:$F,M$1)</f>
        <v>0</v>
      </c>
      <c r="N1427" s="242">
        <f>COUNTIFS('تجربه‌گرها'!$B:$B,$A1427,'تجربه‌گرها'!$F:$F,N$1)</f>
        <v>0</v>
      </c>
      <c r="O1427" s="242">
        <f>COUNTIFS('تجربه‌گرها'!$B:$B,$A1427,'تجربه‌گرها'!$F:$F,O$1)</f>
        <v>0</v>
      </c>
      <c r="P1427" s="242">
        <f>COUNTIFS('تجربه‌گرها'!$B:$B,$A1427,'تجربه‌گرها'!$F:$F,P$1)</f>
        <v>0</v>
      </c>
      <c r="Q1427" s="242">
        <f>COUNTIFS('تجربه‌گرها'!$B:$B,$A1427,'تجربه‌گرها'!$F:$F,Q$1)</f>
        <v>1</v>
      </c>
      <c r="R1427" s="242">
        <f>COUNTIFS('تجربه‌گرها'!$B:$B,$A1427,'تجربه‌گرها'!$F:$F,R$1)</f>
        <v>0</v>
      </c>
      <c r="S1427" s="242">
        <f>COUNTIFS('تجربه‌گرها'!$B:$B,$A1427,'تجربه‌گرها'!$F:$F,S$1)</f>
        <v>0</v>
      </c>
      <c r="T1427" s="242">
        <f>COUNTIFS('تجربه‌گرها'!$B:$B,$A1427,'تجربه‌گرها'!$F:$F,T$1)</f>
        <v>0</v>
      </c>
      <c r="U1427" s="242"/>
      <c r="V1427" s="242"/>
      <c r="W1427" s="242"/>
      <c r="X1427" s="242"/>
      <c r="Y1427" s="242"/>
      <c r="Z1427" s="242"/>
      <c r="AA1427" s="242"/>
      <c r="AB1427" s="242"/>
    </row>
    <row r="1428" hidden="1">
      <c r="A1428" s="244" t="s">
        <v>7335</v>
      </c>
      <c r="B1428" s="245" t="str">
        <f>VLOOKUP(A1428,'تجربه‌گرها'!B:C,2,FALSE())</f>
        <v>09102355212</v>
      </c>
      <c r="C1428" s="242"/>
      <c r="D1428" s="242">
        <f t="shared" si="1"/>
        <v>1</v>
      </c>
      <c r="E1428" s="242">
        <f>COUNTIFS('تجربه‌گرها'!$B:$B,$A1428,'تجربه‌گرها'!$F:$F,E$1)</f>
        <v>0</v>
      </c>
      <c r="F1428" s="242">
        <f>COUNTIFS('تجربه‌گرها'!$B:$B,$A1428,'تجربه‌گرها'!$F:$F,F$1)</f>
        <v>0</v>
      </c>
      <c r="G1428" s="242">
        <f>COUNTIFS('تجربه‌گرها'!$B:$B,$A1428,'تجربه‌گرها'!$F:$F,G$1)</f>
        <v>0</v>
      </c>
      <c r="H1428" s="242">
        <f>COUNTIFS('تجربه‌گرها'!$B:$B,$A1428,'تجربه‌گرها'!$F:$F,H$1)</f>
        <v>0</v>
      </c>
      <c r="I1428" s="242">
        <f>COUNTIFS('تجربه‌گرها'!$B:$B,$A1428,'تجربه‌گرها'!$F:$F,I$1)</f>
        <v>0</v>
      </c>
      <c r="J1428" s="242">
        <f>COUNTIFS('تجربه‌گرها'!$B:$B,$A1428,'تجربه‌گرها'!$F:$F,J$1)</f>
        <v>0</v>
      </c>
      <c r="K1428" s="242">
        <f>COUNTIFS('تجربه‌گرها'!$B:$B,$A1428,'تجربه‌گرها'!$F:$F,K$1)</f>
        <v>0</v>
      </c>
      <c r="L1428" s="242">
        <f>COUNTIFS('تجربه‌گرها'!$B:$B,$A1428,'تجربه‌گرها'!$F:$F,L$1)</f>
        <v>0</v>
      </c>
      <c r="M1428" s="242">
        <f>COUNTIFS('تجربه‌گرها'!$B:$B,$A1428,'تجربه‌گرها'!$F:$F,M$1)</f>
        <v>0</v>
      </c>
      <c r="N1428" s="242">
        <f>COUNTIFS('تجربه‌گرها'!$B:$B,$A1428,'تجربه‌گرها'!$F:$F,N$1)</f>
        <v>0</v>
      </c>
      <c r="O1428" s="242">
        <f>COUNTIFS('تجربه‌گرها'!$B:$B,$A1428,'تجربه‌گرها'!$F:$F,O$1)</f>
        <v>0</v>
      </c>
      <c r="P1428" s="242">
        <f>COUNTIFS('تجربه‌گرها'!$B:$B,$A1428,'تجربه‌گرها'!$F:$F,P$1)</f>
        <v>0</v>
      </c>
      <c r="Q1428" s="242">
        <f>COUNTIFS('تجربه‌گرها'!$B:$B,$A1428,'تجربه‌گرها'!$F:$F,Q$1)</f>
        <v>1</v>
      </c>
      <c r="R1428" s="242">
        <f>COUNTIFS('تجربه‌گرها'!$B:$B,$A1428,'تجربه‌گرها'!$F:$F,R$1)</f>
        <v>0</v>
      </c>
      <c r="S1428" s="242">
        <f>COUNTIFS('تجربه‌گرها'!$B:$B,$A1428,'تجربه‌گرها'!$F:$F,S$1)</f>
        <v>0</v>
      </c>
      <c r="T1428" s="242">
        <f>COUNTIFS('تجربه‌گرها'!$B:$B,$A1428,'تجربه‌گرها'!$F:$F,T$1)</f>
        <v>0</v>
      </c>
      <c r="U1428" s="242"/>
      <c r="V1428" s="242"/>
      <c r="W1428" s="242"/>
      <c r="X1428" s="242"/>
      <c r="Y1428" s="242"/>
      <c r="Z1428" s="242"/>
      <c r="AA1428" s="242"/>
      <c r="AB1428" s="242"/>
    </row>
    <row r="1429" hidden="1">
      <c r="A1429" s="244" t="s">
        <v>7336</v>
      </c>
      <c r="B1429" s="245" t="str">
        <f>VLOOKUP(A1429,'تجربه‌گرها'!B:C,2,FALSE())</f>
        <v>09365584484</v>
      </c>
      <c r="C1429" s="242"/>
      <c r="D1429" s="242">
        <f t="shared" si="1"/>
        <v>1</v>
      </c>
      <c r="E1429" s="242">
        <f>COUNTIFS('تجربه‌گرها'!$B:$B,$A1429,'تجربه‌گرها'!$F:$F,E$1)</f>
        <v>0</v>
      </c>
      <c r="F1429" s="242">
        <f>COUNTIFS('تجربه‌گرها'!$B:$B,$A1429,'تجربه‌گرها'!$F:$F,F$1)</f>
        <v>0</v>
      </c>
      <c r="G1429" s="242">
        <f>COUNTIFS('تجربه‌گرها'!$B:$B,$A1429,'تجربه‌گرها'!$F:$F,G$1)</f>
        <v>0</v>
      </c>
      <c r="H1429" s="242">
        <f>COUNTIFS('تجربه‌گرها'!$B:$B,$A1429,'تجربه‌گرها'!$F:$F,H$1)</f>
        <v>0</v>
      </c>
      <c r="I1429" s="242">
        <f>COUNTIFS('تجربه‌گرها'!$B:$B,$A1429,'تجربه‌گرها'!$F:$F,I$1)</f>
        <v>0</v>
      </c>
      <c r="J1429" s="242">
        <f>COUNTIFS('تجربه‌گرها'!$B:$B,$A1429,'تجربه‌گرها'!$F:$F,J$1)</f>
        <v>0</v>
      </c>
      <c r="K1429" s="242">
        <f>COUNTIFS('تجربه‌گرها'!$B:$B,$A1429,'تجربه‌گرها'!$F:$F,K$1)</f>
        <v>0</v>
      </c>
      <c r="L1429" s="242">
        <f>COUNTIFS('تجربه‌گرها'!$B:$B,$A1429,'تجربه‌گرها'!$F:$F,L$1)</f>
        <v>0</v>
      </c>
      <c r="M1429" s="242">
        <f>COUNTIFS('تجربه‌گرها'!$B:$B,$A1429,'تجربه‌گرها'!$F:$F,M$1)</f>
        <v>0</v>
      </c>
      <c r="N1429" s="242">
        <f>COUNTIFS('تجربه‌گرها'!$B:$B,$A1429,'تجربه‌گرها'!$F:$F,N$1)</f>
        <v>0</v>
      </c>
      <c r="O1429" s="242">
        <f>COUNTIFS('تجربه‌گرها'!$B:$B,$A1429,'تجربه‌گرها'!$F:$F,O$1)</f>
        <v>0</v>
      </c>
      <c r="P1429" s="242">
        <f>COUNTIFS('تجربه‌گرها'!$B:$B,$A1429,'تجربه‌گرها'!$F:$F,P$1)</f>
        <v>0</v>
      </c>
      <c r="Q1429" s="242">
        <f>COUNTIFS('تجربه‌گرها'!$B:$B,$A1429,'تجربه‌گرها'!$F:$F,Q$1)</f>
        <v>1</v>
      </c>
      <c r="R1429" s="242">
        <f>COUNTIFS('تجربه‌گرها'!$B:$B,$A1429,'تجربه‌گرها'!$F:$F,R$1)</f>
        <v>0</v>
      </c>
      <c r="S1429" s="242">
        <f>COUNTIFS('تجربه‌گرها'!$B:$B,$A1429,'تجربه‌گرها'!$F:$F,S$1)</f>
        <v>0</v>
      </c>
      <c r="T1429" s="242">
        <f>COUNTIFS('تجربه‌گرها'!$B:$B,$A1429,'تجربه‌گرها'!$F:$F,T$1)</f>
        <v>0</v>
      </c>
      <c r="U1429" s="242"/>
      <c r="V1429" s="242"/>
      <c r="W1429" s="242"/>
      <c r="X1429" s="242"/>
      <c r="Y1429" s="242"/>
      <c r="Z1429" s="242"/>
      <c r="AA1429" s="242"/>
      <c r="AB1429" s="242"/>
    </row>
    <row r="1430" hidden="1">
      <c r="A1430" s="244" t="s">
        <v>7337</v>
      </c>
      <c r="B1430" s="245" t="str">
        <f>VLOOKUP(A1430,'تجربه‌گرها'!B:C,2,FALSE())</f>
        <v>09190515088</v>
      </c>
      <c r="C1430" s="242"/>
      <c r="D1430" s="242">
        <f t="shared" si="1"/>
        <v>1</v>
      </c>
      <c r="E1430" s="242">
        <f>COUNTIFS('تجربه‌گرها'!$B:$B,$A1430,'تجربه‌گرها'!$F:$F,E$1)</f>
        <v>0</v>
      </c>
      <c r="F1430" s="242">
        <f>COUNTIFS('تجربه‌گرها'!$B:$B,$A1430,'تجربه‌گرها'!$F:$F,F$1)</f>
        <v>0</v>
      </c>
      <c r="G1430" s="242">
        <f>COUNTIFS('تجربه‌گرها'!$B:$B,$A1430,'تجربه‌گرها'!$F:$F,G$1)</f>
        <v>0</v>
      </c>
      <c r="H1430" s="242">
        <f>COUNTIFS('تجربه‌گرها'!$B:$B,$A1430,'تجربه‌گرها'!$F:$F,H$1)</f>
        <v>0</v>
      </c>
      <c r="I1430" s="242">
        <f>COUNTIFS('تجربه‌گرها'!$B:$B,$A1430,'تجربه‌گرها'!$F:$F,I$1)</f>
        <v>0</v>
      </c>
      <c r="J1430" s="242">
        <f>COUNTIFS('تجربه‌گرها'!$B:$B,$A1430,'تجربه‌گرها'!$F:$F,J$1)</f>
        <v>0</v>
      </c>
      <c r="K1430" s="242">
        <f>COUNTIFS('تجربه‌گرها'!$B:$B,$A1430,'تجربه‌گرها'!$F:$F,K$1)</f>
        <v>0</v>
      </c>
      <c r="L1430" s="242">
        <f>COUNTIFS('تجربه‌گرها'!$B:$B,$A1430,'تجربه‌گرها'!$F:$F,L$1)</f>
        <v>0</v>
      </c>
      <c r="M1430" s="242">
        <f>COUNTIFS('تجربه‌گرها'!$B:$B,$A1430,'تجربه‌گرها'!$F:$F,M$1)</f>
        <v>0</v>
      </c>
      <c r="N1430" s="242">
        <f>COUNTIFS('تجربه‌گرها'!$B:$B,$A1430,'تجربه‌گرها'!$F:$F,N$1)</f>
        <v>0</v>
      </c>
      <c r="O1430" s="242">
        <f>COUNTIFS('تجربه‌گرها'!$B:$B,$A1430,'تجربه‌گرها'!$F:$F,O$1)</f>
        <v>0</v>
      </c>
      <c r="P1430" s="242">
        <f>COUNTIFS('تجربه‌گرها'!$B:$B,$A1430,'تجربه‌گرها'!$F:$F,P$1)</f>
        <v>0</v>
      </c>
      <c r="Q1430" s="242">
        <f>COUNTIFS('تجربه‌گرها'!$B:$B,$A1430,'تجربه‌گرها'!$F:$F,Q$1)</f>
        <v>1</v>
      </c>
      <c r="R1430" s="242">
        <f>COUNTIFS('تجربه‌گرها'!$B:$B,$A1430,'تجربه‌گرها'!$F:$F,R$1)</f>
        <v>0</v>
      </c>
      <c r="S1430" s="242">
        <f>COUNTIFS('تجربه‌گرها'!$B:$B,$A1430,'تجربه‌گرها'!$F:$F,S$1)</f>
        <v>0</v>
      </c>
      <c r="T1430" s="242">
        <f>COUNTIFS('تجربه‌گرها'!$B:$B,$A1430,'تجربه‌گرها'!$F:$F,T$1)</f>
        <v>0</v>
      </c>
      <c r="U1430" s="242"/>
      <c r="V1430" s="242"/>
      <c r="W1430" s="242"/>
      <c r="X1430" s="242"/>
      <c r="Y1430" s="242"/>
      <c r="Z1430" s="242"/>
      <c r="AA1430" s="242"/>
      <c r="AB1430" s="242"/>
    </row>
    <row r="1431" hidden="1">
      <c r="A1431" s="244" t="s">
        <v>7338</v>
      </c>
      <c r="B1431" s="245" t="str">
        <f>VLOOKUP(A1431,'تجربه‌گرها'!B:C,2,FALSE())</f>
        <v>09128274227</v>
      </c>
      <c r="C1431" s="242"/>
      <c r="D1431" s="242">
        <f t="shared" si="1"/>
        <v>1</v>
      </c>
      <c r="E1431" s="242">
        <f>COUNTIFS('تجربه‌گرها'!$B:$B,$A1431,'تجربه‌گرها'!$F:$F,E$1)</f>
        <v>0</v>
      </c>
      <c r="F1431" s="242">
        <f>COUNTIFS('تجربه‌گرها'!$B:$B,$A1431,'تجربه‌گرها'!$F:$F,F$1)</f>
        <v>0</v>
      </c>
      <c r="G1431" s="242">
        <f>COUNTIFS('تجربه‌گرها'!$B:$B,$A1431,'تجربه‌گرها'!$F:$F,G$1)</f>
        <v>0</v>
      </c>
      <c r="H1431" s="242">
        <f>COUNTIFS('تجربه‌گرها'!$B:$B,$A1431,'تجربه‌گرها'!$F:$F,H$1)</f>
        <v>0</v>
      </c>
      <c r="I1431" s="242">
        <f>COUNTIFS('تجربه‌گرها'!$B:$B,$A1431,'تجربه‌گرها'!$F:$F,I$1)</f>
        <v>0</v>
      </c>
      <c r="J1431" s="242">
        <f>COUNTIFS('تجربه‌گرها'!$B:$B,$A1431,'تجربه‌گرها'!$F:$F,J$1)</f>
        <v>0</v>
      </c>
      <c r="K1431" s="242">
        <f>COUNTIFS('تجربه‌گرها'!$B:$B,$A1431,'تجربه‌گرها'!$F:$F,K$1)</f>
        <v>0</v>
      </c>
      <c r="L1431" s="242">
        <f>COUNTIFS('تجربه‌گرها'!$B:$B,$A1431,'تجربه‌گرها'!$F:$F,L$1)</f>
        <v>0</v>
      </c>
      <c r="M1431" s="242">
        <f>COUNTIFS('تجربه‌گرها'!$B:$B,$A1431,'تجربه‌گرها'!$F:$F,M$1)</f>
        <v>0</v>
      </c>
      <c r="N1431" s="242">
        <f>COUNTIFS('تجربه‌گرها'!$B:$B,$A1431,'تجربه‌گرها'!$F:$F,N$1)</f>
        <v>0</v>
      </c>
      <c r="O1431" s="242">
        <f>COUNTIFS('تجربه‌گرها'!$B:$B,$A1431,'تجربه‌گرها'!$F:$F,O$1)</f>
        <v>0</v>
      </c>
      <c r="P1431" s="242">
        <f>COUNTIFS('تجربه‌گرها'!$B:$B,$A1431,'تجربه‌گرها'!$F:$F,P$1)</f>
        <v>0</v>
      </c>
      <c r="Q1431" s="242">
        <f>COUNTIFS('تجربه‌گرها'!$B:$B,$A1431,'تجربه‌گرها'!$F:$F,Q$1)</f>
        <v>1</v>
      </c>
      <c r="R1431" s="242">
        <f>COUNTIFS('تجربه‌گرها'!$B:$B,$A1431,'تجربه‌گرها'!$F:$F,R$1)</f>
        <v>0</v>
      </c>
      <c r="S1431" s="242">
        <f>COUNTIFS('تجربه‌گرها'!$B:$B,$A1431,'تجربه‌گرها'!$F:$F,S$1)</f>
        <v>0</v>
      </c>
      <c r="T1431" s="242">
        <f>COUNTIFS('تجربه‌گرها'!$B:$B,$A1431,'تجربه‌گرها'!$F:$F,T$1)</f>
        <v>0</v>
      </c>
      <c r="U1431" s="242"/>
      <c r="V1431" s="242"/>
      <c r="W1431" s="242"/>
      <c r="X1431" s="242"/>
      <c r="Y1431" s="242"/>
      <c r="Z1431" s="242"/>
      <c r="AA1431" s="242"/>
      <c r="AB1431" s="242"/>
    </row>
    <row r="1432" hidden="1">
      <c r="A1432" s="244" t="s">
        <v>7339</v>
      </c>
      <c r="B1432" s="245" t="str">
        <f>VLOOKUP(A1432,'تجربه‌گرها'!B:C,2,FALSE())</f>
        <v>09379272321</v>
      </c>
      <c r="C1432" s="242"/>
      <c r="D1432" s="242">
        <f t="shared" si="1"/>
        <v>1</v>
      </c>
      <c r="E1432" s="242">
        <f>COUNTIFS('تجربه‌گرها'!$B:$B,$A1432,'تجربه‌گرها'!$F:$F,E$1)</f>
        <v>0</v>
      </c>
      <c r="F1432" s="242">
        <f>COUNTIFS('تجربه‌گرها'!$B:$B,$A1432,'تجربه‌گرها'!$F:$F,F$1)</f>
        <v>0</v>
      </c>
      <c r="G1432" s="242">
        <f>COUNTIFS('تجربه‌گرها'!$B:$B,$A1432,'تجربه‌گرها'!$F:$F,G$1)</f>
        <v>0</v>
      </c>
      <c r="H1432" s="242">
        <f>COUNTIFS('تجربه‌گرها'!$B:$B,$A1432,'تجربه‌گرها'!$F:$F,H$1)</f>
        <v>0</v>
      </c>
      <c r="I1432" s="242">
        <f>COUNTIFS('تجربه‌گرها'!$B:$B,$A1432,'تجربه‌گرها'!$F:$F,I$1)</f>
        <v>0</v>
      </c>
      <c r="J1432" s="242">
        <f>COUNTIFS('تجربه‌گرها'!$B:$B,$A1432,'تجربه‌گرها'!$F:$F,J$1)</f>
        <v>0</v>
      </c>
      <c r="K1432" s="242">
        <f>COUNTIFS('تجربه‌گرها'!$B:$B,$A1432,'تجربه‌گرها'!$F:$F,K$1)</f>
        <v>0</v>
      </c>
      <c r="L1432" s="242">
        <f>COUNTIFS('تجربه‌گرها'!$B:$B,$A1432,'تجربه‌گرها'!$F:$F,L$1)</f>
        <v>0</v>
      </c>
      <c r="M1432" s="242">
        <f>COUNTIFS('تجربه‌گرها'!$B:$B,$A1432,'تجربه‌گرها'!$F:$F,M$1)</f>
        <v>0</v>
      </c>
      <c r="N1432" s="242">
        <f>COUNTIFS('تجربه‌گرها'!$B:$B,$A1432,'تجربه‌گرها'!$F:$F,N$1)</f>
        <v>0</v>
      </c>
      <c r="O1432" s="242">
        <f>COUNTIFS('تجربه‌گرها'!$B:$B,$A1432,'تجربه‌گرها'!$F:$F,O$1)</f>
        <v>0</v>
      </c>
      <c r="P1432" s="242">
        <f>COUNTIFS('تجربه‌گرها'!$B:$B,$A1432,'تجربه‌گرها'!$F:$F,P$1)</f>
        <v>0</v>
      </c>
      <c r="Q1432" s="242">
        <f>COUNTIFS('تجربه‌گرها'!$B:$B,$A1432,'تجربه‌گرها'!$F:$F,Q$1)</f>
        <v>1</v>
      </c>
      <c r="R1432" s="242">
        <f>COUNTIFS('تجربه‌گرها'!$B:$B,$A1432,'تجربه‌گرها'!$F:$F,R$1)</f>
        <v>0</v>
      </c>
      <c r="S1432" s="242">
        <f>COUNTIFS('تجربه‌گرها'!$B:$B,$A1432,'تجربه‌گرها'!$F:$F,S$1)</f>
        <v>0</v>
      </c>
      <c r="T1432" s="242">
        <f>COUNTIFS('تجربه‌گرها'!$B:$B,$A1432,'تجربه‌گرها'!$F:$F,T$1)</f>
        <v>0</v>
      </c>
      <c r="U1432" s="242"/>
      <c r="V1432" s="242"/>
      <c r="W1432" s="242"/>
      <c r="X1432" s="242"/>
      <c r="Y1432" s="242"/>
      <c r="Z1432" s="242"/>
      <c r="AA1432" s="242"/>
      <c r="AB1432" s="242"/>
    </row>
    <row r="1433" hidden="1">
      <c r="A1433" s="244" t="s">
        <v>7340</v>
      </c>
      <c r="B1433" s="245" t="str">
        <f>VLOOKUP(A1433,'تجربه‌گرها'!B:C,2,FALSE())</f>
        <v>09353384385</v>
      </c>
      <c r="C1433" s="242"/>
      <c r="D1433" s="242">
        <f t="shared" si="1"/>
        <v>1</v>
      </c>
      <c r="E1433" s="242">
        <f>COUNTIFS('تجربه‌گرها'!$B:$B,$A1433,'تجربه‌گرها'!$F:$F,E$1)</f>
        <v>0</v>
      </c>
      <c r="F1433" s="242">
        <f>COUNTIFS('تجربه‌گرها'!$B:$B,$A1433,'تجربه‌گرها'!$F:$F,F$1)</f>
        <v>0</v>
      </c>
      <c r="G1433" s="242">
        <f>COUNTIFS('تجربه‌گرها'!$B:$B,$A1433,'تجربه‌گرها'!$F:$F,G$1)</f>
        <v>0</v>
      </c>
      <c r="H1433" s="242">
        <f>COUNTIFS('تجربه‌گرها'!$B:$B,$A1433,'تجربه‌گرها'!$F:$F,H$1)</f>
        <v>0</v>
      </c>
      <c r="I1433" s="242">
        <f>COUNTIFS('تجربه‌گرها'!$B:$B,$A1433,'تجربه‌گرها'!$F:$F,I$1)</f>
        <v>0</v>
      </c>
      <c r="J1433" s="242">
        <f>COUNTIFS('تجربه‌گرها'!$B:$B,$A1433,'تجربه‌گرها'!$F:$F,J$1)</f>
        <v>0</v>
      </c>
      <c r="K1433" s="242">
        <f>COUNTIFS('تجربه‌گرها'!$B:$B,$A1433,'تجربه‌گرها'!$F:$F,K$1)</f>
        <v>0</v>
      </c>
      <c r="L1433" s="242">
        <f>COUNTIFS('تجربه‌گرها'!$B:$B,$A1433,'تجربه‌گرها'!$F:$F,L$1)</f>
        <v>0</v>
      </c>
      <c r="M1433" s="242">
        <f>COUNTIFS('تجربه‌گرها'!$B:$B,$A1433,'تجربه‌گرها'!$F:$F,M$1)</f>
        <v>0</v>
      </c>
      <c r="N1433" s="242">
        <f>COUNTIFS('تجربه‌گرها'!$B:$B,$A1433,'تجربه‌گرها'!$F:$F,N$1)</f>
        <v>0</v>
      </c>
      <c r="O1433" s="242">
        <f>COUNTIFS('تجربه‌گرها'!$B:$B,$A1433,'تجربه‌گرها'!$F:$F,O$1)</f>
        <v>0</v>
      </c>
      <c r="P1433" s="242">
        <f>COUNTIFS('تجربه‌گرها'!$B:$B,$A1433,'تجربه‌گرها'!$F:$F,P$1)</f>
        <v>0</v>
      </c>
      <c r="Q1433" s="242">
        <f>COUNTIFS('تجربه‌گرها'!$B:$B,$A1433,'تجربه‌گرها'!$F:$F,Q$1)</f>
        <v>1</v>
      </c>
      <c r="R1433" s="242">
        <f>COUNTIFS('تجربه‌گرها'!$B:$B,$A1433,'تجربه‌گرها'!$F:$F,R$1)</f>
        <v>0</v>
      </c>
      <c r="S1433" s="242">
        <f>COUNTIFS('تجربه‌گرها'!$B:$B,$A1433,'تجربه‌گرها'!$F:$F,S$1)</f>
        <v>0</v>
      </c>
      <c r="T1433" s="242">
        <f>COUNTIFS('تجربه‌گرها'!$B:$B,$A1433,'تجربه‌گرها'!$F:$F,T$1)</f>
        <v>0</v>
      </c>
      <c r="U1433" s="242"/>
      <c r="V1433" s="242"/>
      <c r="W1433" s="242"/>
      <c r="X1433" s="242"/>
      <c r="Y1433" s="242"/>
      <c r="Z1433" s="242"/>
      <c r="AA1433" s="242"/>
      <c r="AB1433" s="242"/>
    </row>
    <row r="1434">
      <c r="A1434" s="244" t="s">
        <v>7341</v>
      </c>
      <c r="B1434" s="245" t="str">
        <f>VLOOKUP(A1434,'تجربه‌گرها'!B:C,2,FALSE())</f>
        <v>09376624027</v>
      </c>
      <c r="C1434" s="242"/>
      <c r="D1434" s="242">
        <f t="shared" si="1"/>
        <v>1</v>
      </c>
      <c r="E1434" s="242">
        <f>COUNTIFS('تجربه‌گرها'!$B:$B,$A1434,'تجربه‌گرها'!$F:$F,E$1)</f>
        <v>0</v>
      </c>
      <c r="F1434" s="242">
        <f>COUNTIFS('تجربه‌گرها'!$B:$B,$A1434,'تجربه‌گرها'!$F:$F,F$1)</f>
        <v>0</v>
      </c>
      <c r="G1434" s="242">
        <f>COUNTIFS('تجربه‌گرها'!$B:$B,$A1434,'تجربه‌گرها'!$F:$F,G$1)</f>
        <v>0</v>
      </c>
      <c r="H1434" s="242">
        <f>COUNTIFS('تجربه‌گرها'!$B:$B,$A1434,'تجربه‌گرها'!$F:$F,H$1)</f>
        <v>0</v>
      </c>
      <c r="I1434" s="242">
        <f>COUNTIFS('تجربه‌گرها'!$B:$B,$A1434,'تجربه‌گرها'!$F:$F,I$1)</f>
        <v>0</v>
      </c>
      <c r="J1434" s="242">
        <f>COUNTIFS('تجربه‌گرها'!$B:$B,$A1434,'تجربه‌گرها'!$F:$F,J$1)</f>
        <v>0</v>
      </c>
      <c r="K1434" s="242">
        <f>COUNTIFS('تجربه‌گرها'!$B:$B,$A1434,'تجربه‌گرها'!$F:$F,K$1)</f>
        <v>0</v>
      </c>
      <c r="L1434" s="242">
        <f>COUNTIFS('تجربه‌گرها'!$B:$B,$A1434,'تجربه‌گرها'!$F:$F,L$1)</f>
        <v>0</v>
      </c>
      <c r="M1434" s="242">
        <f>COUNTIFS('تجربه‌گرها'!$B:$B,$A1434,'تجربه‌گرها'!$F:$F,M$1)</f>
        <v>0</v>
      </c>
      <c r="N1434" s="242">
        <f>COUNTIFS('تجربه‌گرها'!$B:$B,$A1434,'تجربه‌گرها'!$F:$F,N$1)</f>
        <v>0</v>
      </c>
      <c r="O1434" s="242">
        <f>COUNTIFS('تجربه‌گرها'!$B:$B,$A1434,'تجربه‌گرها'!$F:$F,O$1)</f>
        <v>0</v>
      </c>
      <c r="P1434" s="242">
        <f>COUNTIFS('تجربه‌گرها'!$B:$B,$A1434,'تجربه‌گرها'!$F:$F,P$1)</f>
        <v>0</v>
      </c>
      <c r="Q1434" s="242">
        <f>COUNTIFS('تجربه‌گرها'!$B:$B,$A1434,'تجربه‌گرها'!$F:$F,Q$1)</f>
        <v>1</v>
      </c>
      <c r="R1434" s="242">
        <f>COUNTIFS('تجربه‌گرها'!$B:$B,$A1434,'تجربه‌گرها'!$F:$F,R$1)</f>
        <v>0</v>
      </c>
      <c r="S1434" s="242">
        <f>COUNTIFS('تجربه‌گرها'!$B:$B,$A1434,'تجربه‌گرها'!$F:$F,S$1)</f>
        <v>0</v>
      </c>
      <c r="T1434" s="242">
        <f>COUNTIFS('تجربه‌گرها'!$B:$B,$A1434,'تجربه‌گرها'!$F:$F,T$1)</f>
        <v>0</v>
      </c>
      <c r="U1434" s="242"/>
      <c r="V1434" s="242"/>
      <c r="W1434" s="242"/>
      <c r="X1434" s="242"/>
      <c r="Y1434" s="242"/>
      <c r="Z1434" s="242"/>
      <c r="AA1434" s="242"/>
      <c r="AB1434" s="242"/>
    </row>
    <row r="1435" hidden="1">
      <c r="A1435" s="244" t="s">
        <v>7342</v>
      </c>
      <c r="B1435" s="245" t="str">
        <f>VLOOKUP(A1435,'تجربه‌گرها'!B:C,2,FALSE())</f>
        <v>09382693803</v>
      </c>
      <c r="C1435" s="242"/>
      <c r="D1435" s="242">
        <f t="shared" si="1"/>
        <v>1</v>
      </c>
      <c r="E1435" s="242">
        <f>COUNTIFS('تجربه‌گرها'!$B:$B,$A1435,'تجربه‌گرها'!$F:$F,E$1)</f>
        <v>0</v>
      </c>
      <c r="F1435" s="242">
        <f>COUNTIFS('تجربه‌گرها'!$B:$B,$A1435,'تجربه‌گرها'!$F:$F,F$1)</f>
        <v>0</v>
      </c>
      <c r="G1435" s="242">
        <f>COUNTIFS('تجربه‌گرها'!$B:$B,$A1435,'تجربه‌گرها'!$F:$F,G$1)</f>
        <v>0</v>
      </c>
      <c r="H1435" s="242">
        <f>COUNTIFS('تجربه‌گرها'!$B:$B,$A1435,'تجربه‌گرها'!$F:$F,H$1)</f>
        <v>0</v>
      </c>
      <c r="I1435" s="242">
        <f>COUNTIFS('تجربه‌گرها'!$B:$B,$A1435,'تجربه‌گرها'!$F:$F,I$1)</f>
        <v>0</v>
      </c>
      <c r="J1435" s="242">
        <f>COUNTIFS('تجربه‌گرها'!$B:$B,$A1435,'تجربه‌گرها'!$F:$F,J$1)</f>
        <v>0</v>
      </c>
      <c r="K1435" s="242">
        <f>COUNTIFS('تجربه‌گرها'!$B:$B,$A1435,'تجربه‌گرها'!$F:$F,K$1)</f>
        <v>0</v>
      </c>
      <c r="L1435" s="242">
        <f>COUNTIFS('تجربه‌گرها'!$B:$B,$A1435,'تجربه‌گرها'!$F:$F,L$1)</f>
        <v>0</v>
      </c>
      <c r="M1435" s="242">
        <f>COUNTIFS('تجربه‌گرها'!$B:$B,$A1435,'تجربه‌گرها'!$F:$F,M$1)</f>
        <v>0</v>
      </c>
      <c r="N1435" s="242">
        <f>COUNTIFS('تجربه‌گرها'!$B:$B,$A1435,'تجربه‌گرها'!$F:$F,N$1)</f>
        <v>0</v>
      </c>
      <c r="O1435" s="242">
        <f>COUNTIFS('تجربه‌گرها'!$B:$B,$A1435,'تجربه‌گرها'!$F:$F,O$1)</f>
        <v>0</v>
      </c>
      <c r="P1435" s="242">
        <f>COUNTIFS('تجربه‌گرها'!$B:$B,$A1435,'تجربه‌گرها'!$F:$F,P$1)</f>
        <v>0</v>
      </c>
      <c r="Q1435" s="242">
        <f>COUNTIFS('تجربه‌گرها'!$B:$B,$A1435,'تجربه‌گرها'!$F:$F,Q$1)</f>
        <v>1</v>
      </c>
      <c r="R1435" s="242">
        <f>COUNTIFS('تجربه‌گرها'!$B:$B,$A1435,'تجربه‌گرها'!$F:$F,R$1)</f>
        <v>0</v>
      </c>
      <c r="S1435" s="242">
        <f>COUNTIFS('تجربه‌گرها'!$B:$B,$A1435,'تجربه‌گرها'!$F:$F,S$1)</f>
        <v>0</v>
      </c>
      <c r="T1435" s="242">
        <f>COUNTIFS('تجربه‌گرها'!$B:$B,$A1435,'تجربه‌گرها'!$F:$F,T$1)</f>
        <v>0</v>
      </c>
      <c r="U1435" s="242"/>
      <c r="V1435" s="242"/>
      <c r="W1435" s="242"/>
      <c r="X1435" s="242"/>
      <c r="Y1435" s="242"/>
      <c r="Z1435" s="242"/>
      <c r="AA1435" s="242"/>
      <c r="AB1435" s="242"/>
    </row>
    <row r="1436" hidden="1">
      <c r="A1436" s="244" t="s">
        <v>7343</v>
      </c>
      <c r="B1436" s="245" t="str">
        <f>VLOOKUP(A1436,'تجربه‌گرها'!B:C,2,FALSE())</f>
        <v>09183685925</v>
      </c>
      <c r="C1436" s="242"/>
      <c r="D1436" s="242">
        <f t="shared" si="1"/>
        <v>1</v>
      </c>
      <c r="E1436" s="242">
        <f>COUNTIFS('تجربه‌گرها'!$B:$B,$A1436,'تجربه‌گرها'!$F:$F,E$1)</f>
        <v>0</v>
      </c>
      <c r="F1436" s="242">
        <f>COUNTIFS('تجربه‌گرها'!$B:$B,$A1436,'تجربه‌گرها'!$F:$F,F$1)</f>
        <v>0</v>
      </c>
      <c r="G1436" s="242">
        <f>COUNTIFS('تجربه‌گرها'!$B:$B,$A1436,'تجربه‌گرها'!$F:$F,G$1)</f>
        <v>0</v>
      </c>
      <c r="H1436" s="242">
        <f>COUNTIFS('تجربه‌گرها'!$B:$B,$A1436,'تجربه‌گرها'!$F:$F,H$1)</f>
        <v>0</v>
      </c>
      <c r="I1436" s="242">
        <f>COUNTIFS('تجربه‌گرها'!$B:$B,$A1436,'تجربه‌گرها'!$F:$F,I$1)</f>
        <v>0</v>
      </c>
      <c r="J1436" s="242">
        <f>COUNTIFS('تجربه‌گرها'!$B:$B,$A1436,'تجربه‌گرها'!$F:$F,J$1)</f>
        <v>0</v>
      </c>
      <c r="K1436" s="242">
        <f>COUNTIFS('تجربه‌گرها'!$B:$B,$A1436,'تجربه‌گرها'!$F:$F,K$1)</f>
        <v>0</v>
      </c>
      <c r="L1436" s="242">
        <f>COUNTIFS('تجربه‌گرها'!$B:$B,$A1436,'تجربه‌گرها'!$F:$F,L$1)</f>
        <v>0</v>
      </c>
      <c r="M1436" s="242">
        <f>COUNTIFS('تجربه‌گرها'!$B:$B,$A1436,'تجربه‌گرها'!$F:$F,M$1)</f>
        <v>0</v>
      </c>
      <c r="N1436" s="242">
        <f>COUNTIFS('تجربه‌گرها'!$B:$B,$A1436,'تجربه‌گرها'!$F:$F,N$1)</f>
        <v>0</v>
      </c>
      <c r="O1436" s="242">
        <f>COUNTIFS('تجربه‌گرها'!$B:$B,$A1436,'تجربه‌گرها'!$F:$F,O$1)</f>
        <v>0</v>
      </c>
      <c r="P1436" s="242">
        <f>COUNTIFS('تجربه‌گرها'!$B:$B,$A1436,'تجربه‌گرها'!$F:$F,P$1)</f>
        <v>0</v>
      </c>
      <c r="Q1436" s="242">
        <f>COUNTIFS('تجربه‌گرها'!$B:$B,$A1436,'تجربه‌گرها'!$F:$F,Q$1)</f>
        <v>1</v>
      </c>
      <c r="R1436" s="242">
        <f>COUNTIFS('تجربه‌گرها'!$B:$B,$A1436,'تجربه‌گرها'!$F:$F,R$1)</f>
        <v>0</v>
      </c>
      <c r="S1436" s="242">
        <f>COUNTIFS('تجربه‌گرها'!$B:$B,$A1436,'تجربه‌گرها'!$F:$F,S$1)</f>
        <v>0</v>
      </c>
      <c r="T1436" s="242">
        <f>COUNTIFS('تجربه‌گرها'!$B:$B,$A1436,'تجربه‌گرها'!$F:$F,T$1)</f>
        <v>0</v>
      </c>
      <c r="U1436" s="242"/>
      <c r="V1436" s="242"/>
      <c r="W1436" s="242"/>
      <c r="X1436" s="242"/>
      <c r="Y1436" s="242"/>
      <c r="Z1436" s="242"/>
      <c r="AA1436" s="242"/>
      <c r="AB1436" s="242"/>
    </row>
    <row r="1437" hidden="1">
      <c r="A1437" s="244" t="s">
        <v>7344</v>
      </c>
      <c r="B1437" s="245" t="str">
        <f>VLOOKUP(A1437,'تجربه‌گرها'!B:C,2,FALSE())</f>
        <v>09192348734</v>
      </c>
      <c r="C1437" s="242"/>
      <c r="D1437" s="242">
        <f t="shared" si="1"/>
        <v>1</v>
      </c>
      <c r="E1437" s="242">
        <f>COUNTIFS('تجربه‌گرها'!$B:$B,$A1437,'تجربه‌گرها'!$F:$F,E$1)</f>
        <v>0</v>
      </c>
      <c r="F1437" s="242">
        <f>COUNTIFS('تجربه‌گرها'!$B:$B,$A1437,'تجربه‌گرها'!$F:$F,F$1)</f>
        <v>0</v>
      </c>
      <c r="G1437" s="242">
        <f>COUNTIFS('تجربه‌گرها'!$B:$B,$A1437,'تجربه‌گرها'!$F:$F,G$1)</f>
        <v>0</v>
      </c>
      <c r="H1437" s="242">
        <f>COUNTIFS('تجربه‌گرها'!$B:$B,$A1437,'تجربه‌گرها'!$F:$F,H$1)</f>
        <v>0</v>
      </c>
      <c r="I1437" s="242">
        <f>COUNTIFS('تجربه‌گرها'!$B:$B,$A1437,'تجربه‌گرها'!$F:$F,I$1)</f>
        <v>0</v>
      </c>
      <c r="J1437" s="242">
        <f>COUNTIFS('تجربه‌گرها'!$B:$B,$A1437,'تجربه‌گرها'!$F:$F,J$1)</f>
        <v>0</v>
      </c>
      <c r="K1437" s="242">
        <f>COUNTIFS('تجربه‌گرها'!$B:$B,$A1437,'تجربه‌گرها'!$F:$F,K$1)</f>
        <v>0</v>
      </c>
      <c r="L1437" s="242">
        <f>COUNTIFS('تجربه‌گرها'!$B:$B,$A1437,'تجربه‌گرها'!$F:$F,L$1)</f>
        <v>0</v>
      </c>
      <c r="M1437" s="242">
        <f>COUNTIFS('تجربه‌گرها'!$B:$B,$A1437,'تجربه‌گرها'!$F:$F,M$1)</f>
        <v>0</v>
      </c>
      <c r="N1437" s="242">
        <f>COUNTIFS('تجربه‌گرها'!$B:$B,$A1437,'تجربه‌گرها'!$F:$F,N$1)</f>
        <v>0</v>
      </c>
      <c r="O1437" s="242">
        <f>COUNTIFS('تجربه‌گرها'!$B:$B,$A1437,'تجربه‌گرها'!$F:$F,O$1)</f>
        <v>0</v>
      </c>
      <c r="P1437" s="242">
        <f>COUNTIFS('تجربه‌گرها'!$B:$B,$A1437,'تجربه‌گرها'!$F:$F,P$1)</f>
        <v>0</v>
      </c>
      <c r="Q1437" s="242">
        <f>COUNTIFS('تجربه‌گرها'!$B:$B,$A1437,'تجربه‌گرها'!$F:$F,Q$1)</f>
        <v>1</v>
      </c>
      <c r="R1437" s="242">
        <f>COUNTIFS('تجربه‌گرها'!$B:$B,$A1437,'تجربه‌گرها'!$F:$F,R$1)</f>
        <v>0</v>
      </c>
      <c r="S1437" s="242">
        <f>COUNTIFS('تجربه‌گرها'!$B:$B,$A1437,'تجربه‌گرها'!$F:$F,S$1)</f>
        <v>0</v>
      </c>
      <c r="T1437" s="242">
        <f>COUNTIFS('تجربه‌گرها'!$B:$B,$A1437,'تجربه‌گرها'!$F:$F,T$1)</f>
        <v>0</v>
      </c>
      <c r="U1437" s="242"/>
      <c r="V1437" s="242"/>
      <c r="W1437" s="242"/>
      <c r="X1437" s="242"/>
      <c r="Y1437" s="242"/>
      <c r="Z1437" s="242"/>
      <c r="AA1437" s="242"/>
      <c r="AB1437" s="242"/>
    </row>
    <row r="1438" hidden="1">
      <c r="A1438" s="244" t="s">
        <v>7345</v>
      </c>
      <c r="B1438" s="245" t="str">
        <f>VLOOKUP(A1438,'تجربه‌گرها'!B:C,2,FALSE())</f>
        <v>09373095058</v>
      </c>
      <c r="C1438" s="242"/>
      <c r="D1438" s="242">
        <f t="shared" si="1"/>
        <v>1</v>
      </c>
      <c r="E1438" s="242">
        <f>COUNTIFS('تجربه‌گرها'!$B:$B,$A1438,'تجربه‌گرها'!$F:$F,E$1)</f>
        <v>0</v>
      </c>
      <c r="F1438" s="242">
        <f>COUNTIFS('تجربه‌گرها'!$B:$B,$A1438,'تجربه‌گرها'!$F:$F,F$1)</f>
        <v>0</v>
      </c>
      <c r="G1438" s="242">
        <f>COUNTIFS('تجربه‌گرها'!$B:$B,$A1438,'تجربه‌گرها'!$F:$F,G$1)</f>
        <v>0</v>
      </c>
      <c r="H1438" s="242">
        <f>COUNTIFS('تجربه‌گرها'!$B:$B,$A1438,'تجربه‌گرها'!$F:$F,H$1)</f>
        <v>0</v>
      </c>
      <c r="I1438" s="242">
        <f>COUNTIFS('تجربه‌گرها'!$B:$B,$A1438,'تجربه‌گرها'!$F:$F,I$1)</f>
        <v>0</v>
      </c>
      <c r="J1438" s="242">
        <f>COUNTIFS('تجربه‌گرها'!$B:$B,$A1438,'تجربه‌گرها'!$F:$F,J$1)</f>
        <v>0</v>
      </c>
      <c r="K1438" s="242">
        <f>COUNTIFS('تجربه‌گرها'!$B:$B,$A1438,'تجربه‌گرها'!$F:$F,K$1)</f>
        <v>0</v>
      </c>
      <c r="L1438" s="242">
        <f>COUNTIFS('تجربه‌گرها'!$B:$B,$A1438,'تجربه‌گرها'!$F:$F,L$1)</f>
        <v>0</v>
      </c>
      <c r="M1438" s="242">
        <f>COUNTIFS('تجربه‌گرها'!$B:$B,$A1438,'تجربه‌گرها'!$F:$F,M$1)</f>
        <v>0</v>
      </c>
      <c r="N1438" s="242">
        <f>COUNTIFS('تجربه‌گرها'!$B:$B,$A1438,'تجربه‌گرها'!$F:$F,N$1)</f>
        <v>0</v>
      </c>
      <c r="O1438" s="242">
        <f>COUNTIFS('تجربه‌گرها'!$B:$B,$A1438,'تجربه‌گرها'!$F:$F,O$1)</f>
        <v>0</v>
      </c>
      <c r="P1438" s="242">
        <f>COUNTIFS('تجربه‌گرها'!$B:$B,$A1438,'تجربه‌گرها'!$F:$F,P$1)</f>
        <v>0</v>
      </c>
      <c r="Q1438" s="242">
        <f>COUNTIFS('تجربه‌گرها'!$B:$B,$A1438,'تجربه‌گرها'!$F:$F,Q$1)</f>
        <v>1</v>
      </c>
      <c r="R1438" s="242">
        <f>COUNTIFS('تجربه‌گرها'!$B:$B,$A1438,'تجربه‌گرها'!$F:$F,R$1)</f>
        <v>0</v>
      </c>
      <c r="S1438" s="242">
        <f>COUNTIFS('تجربه‌گرها'!$B:$B,$A1438,'تجربه‌گرها'!$F:$F,S$1)</f>
        <v>0</v>
      </c>
      <c r="T1438" s="242">
        <f>COUNTIFS('تجربه‌گرها'!$B:$B,$A1438,'تجربه‌گرها'!$F:$F,T$1)</f>
        <v>0</v>
      </c>
      <c r="U1438" s="242"/>
      <c r="V1438" s="242"/>
      <c r="W1438" s="242"/>
      <c r="X1438" s="242"/>
      <c r="Y1438" s="242"/>
      <c r="Z1438" s="242"/>
      <c r="AA1438" s="242"/>
      <c r="AB1438" s="242"/>
    </row>
    <row r="1439" hidden="1">
      <c r="A1439" s="244" t="s">
        <v>7346</v>
      </c>
      <c r="B1439" s="245" t="str">
        <f>VLOOKUP(A1439,'تجربه‌گرها'!B:C,2,FALSE())</f>
        <v>09190113373</v>
      </c>
      <c r="C1439" s="242"/>
      <c r="D1439" s="242">
        <f t="shared" si="1"/>
        <v>1</v>
      </c>
      <c r="E1439" s="242">
        <f>COUNTIFS('تجربه‌گرها'!$B:$B,$A1439,'تجربه‌گرها'!$F:$F,E$1)</f>
        <v>0</v>
      </c>
      <c r="F1439" s="242">
        <f>COUNTIFS('تجربه‌گرها'!$B:$B,$A1439,'تجربه‌گرها'!$F:$F,F$1)</f>
        <v>0</v>
      </c>
      <c r="G1439" s="242">
        <f>COUNTIFS('تجربه‌گرها'!$B:$B,$A1439,'تجربه‌گرها'!$F:$F,G$1)</f>
        <v>0</v>
      </c>
      <c r="H1439" s="242">
        <f>COUNTIFS('تجربه‌گرها'!$B:$B,$A1439,'تجربه‌گرها'!$F:$F,H$1)</f>
        <v>0</v>
      </c>
      <c r="I1439" s="242">
        <f>COUNTIFS('تجربه‌گرها'!$B:$B,$A1439,'تجربه‌گرها'!$F:$F,I$1)</f>
        <v>0</v>
      </c>
      <c r="J1439" s="242">
        <f>COUNTIFS('تجربه‌گرها'!$B:$B,$A1439,'تجربه‌گرها'!$F:$F,J$1)</f>
        <v>0</v>
      </c>
      <c r="K1439" s="242">
        <f>COUNTIFS('تجربه‌گرها'!$B:$B,$A1439,'تجربه‌گرها'!$F:$F,K$1)</f>
        <v>0</v>
      </c>
      <c r="L1439" s="242">
        <f>COUNTIFS('تجربه‌گرها'!$B:$B,$A1439,'تجربه‌گرها'!$F:$F,L$1)</f>
        <v>0</v>
      </c>
      <c r="M1439" s="242">
        <f>COUNTIFS('تجربه‌گرها'!$B:$B,$A1439,'تجربه‌گرها'!$F:$F,M$1)</f>
        <v>0</v>
      </c>
      <c r="N1439" s="242">
        <f>COUNTIFS('تجربه‌گرها'!$B:$B,$A1439,'تجربه‌گرها'!$F:$F,N$1)</f>
        <v>0</v>
      </c>
      <c r="O1439" s="242">
        <f>COUNTIFS('تجربه‌گرها'!$B:$B,$A1439,'تجربه‌گرها'!$F:$F,O$1)</f>
        <v>0</v>
      </c>
      <c r="P1439" s="242">
        <f>COUNTIFS('تجربه‌گرها'!$B:$B,$A1439,'تجربه‌گرها'!$F:$F,P$1)</f>
        <v>0</v>
      </c>
      <c r="Q1439" s="242">
        <f>COUNTIFS('تجربه‌گرها'!$B:$B,$A1439,'تجربه‌گرها'!$F:$F,Q$1)</f>
        <v>1</v>
      </c>
      <c r="R1439" s="242">
        <f>COUNTIFS('تجربه‌گرها'!$B:$B,$A1439,'تجربه‌گرها'!$F:$F,R$1)</f>
        <v>0</v>
      </c>
      <c r="S1439" s="242">
        <f>COUNTIFS('تجربه‌گرها'!$B:$B,$A1439,'تجربه‌گرها'!$F:$F,S$1)</f>
        <v>0</v>
      </c>
      <c r="T1439" s="242">
        <f>COUNTIFS('تجربه‌گرها'!$B:$B,$A1439,'تجربه‌گرها'!$F:$F,T$1)</f>
        <v>0</v>
      </c>
      <c r="U1439" s="242"/>
      <c r="V1439" s="242"/>
      <c r="W1439" s="242"/>
      <c r="X1439" s="242"/>
      <c r="Y1439" s="242"/>
      <c r="Z1439" s="242"/>
      <c r="AA1439" s="242"/>
      <c r="AB1439" s="242"/>
    </row>
    <row r="1440" hidden="1">
      <c r="A1440" s="244" t="s">
        <v>7347</v>
      </c>
      <c r="B1440" s="245" t="str">
        <f>VLOOKUP(A1440,'تجربه‌گرها'!B:C,2,FALSE())</f>
        <v>09104955118</v>
      </c>
      <c r="C1440" s="242"/>
      <c r="D1440" s="242">
        <f t="shared" si="1"/>
        <v>1</v>
      </c>
      <c r="E1440" s="242">
        <f>COUNTIFS('تجربه‌گرها'!$B:$B,$A1440,'تجربه‌گرها'!$F:$F,E$1)</f>
        <v>0</v>
      </c>
      <c r="F1440" s="242">
        <f>COUNTIFS('تجربه‌گرها'!$B:$B,$A1440,'تجربه‌گرها'!$F:$F,F$1)</f>
        <v>0</v>
      </c>
      <c r="G1440" s="242">
        <f>COUNTIFS('تجربه‌گرها'!$B:$B,$A1440,'تجربه‌گرها'!$F:$F,G$1)</f>
        <v>0</v>
      </c>
      <c r="H1440" s="242">
        <f>COUNTIFS('تجربه‌گرها'!$B:$B,$A1440,'تجربه‌گرها'!$F:$F,H$1)</f>
        <v>0</v>
      </c>
      <c r="I1440" s="242">
        <f>COUNTIFS('تجربه‌گرها'!$B:$B,$A1440,'تجربه‌گرها'!$F:$F,I$1)</f>
        <v>0</v>
      </c>
      <c r="J1440" s="242">
        <f>COUNTIFS('تجربه‌گرها'!$B:$B,$A1440,'تجربه‌گرها'!$F:$F,J$1)</f>
        <v>0</v>
      </c>
      <c r="K1440" s="242">
        <f>COUNTIFS('تجربه‌گرها'!$B:$B,$A1440,'تجربه‌گرها'!$F:$F,K$1)</f>
        <v>0</v>
      </c>
      <c r="L1440" s="242">
        <f>COUNTIFS('تجربه‌گرها'!$B:$B,$A1440,'تجربه‌گرها'!$F:$F,L$1)</f>
        <v>0</v>
      </c>
      <c r="M1440" s="242">
        <f>COUNTIFS('تجربه‌گرها'!$B:$B,$A1440,'تجربه‌گرها'!$F:$F,M$1)</f>
        <v>0</v>
      </c>
      <c r="N1440" s="242">
        <f>COUNTIFS('تجربه‌گرها'!$B:$B,$A1440,'تجربه‌گرها'!$F:$F,N$1)</f>
        <v>0</v>
      </c>
      <c r="O1440" s="242">
        <f>COUNTIFS('تجربه‌گرها'!$B:$B,$A1440,'تجربه‌گرها'!$F:$F,O$1)</f>
        <v>0</v>
      </c>
      <c r="P1440" s="242">
        <f>COUNTIFS('تجربه‌گرها'!$B:$B,$A1440,'تجربه‌گرها'!$F:$F,P$1)</f>
        <v>0</v>
      </c>
      <c r="Q1440" s="242">
        <f>COUNTIFS('تجربه‌گرها'!$B:$B,$A1440,'تجربه‌گرها'!$F:$F,Q$1)</f>
        <v>1</v>
      </c>
      <c r="R1440" s="242">
        <f>COUNTIFS('تجربه‌گرها'!$B:$B,$A1440,'تجربه‌گرها'!$F:$F,R$1)</f>
        <v>0</v>
      </c>
      <c r="S1440" s="242">
        <f>COUNTIFS('تجربه‌گرها'!$B:$B,$A1440,'تجربه‌گرها'!$F:$F,S$1)</f>
        <v>0</v>
      </c>
      <c r="T1440" s="242">
        <f>COUNTIFS('تجربه‌گرها'!$B:$B,$A1440,'تجربه‌گرها'!$F:$F,T$1)</f>
        <v>0</v>
      </c>
      <c r="U1440" s="242"/>
      <c r="V1440" s="242"/>
      <c r="W1440" s="242"/>
      <c r="X1440" s="242"/>
      <c r="Y1440" s="242"/>
      <c r="Z1440" s="242"/>
      <c r="AA1440" s="242"/>
      <c r="AB1440" s="242"/>
    </row>
    <row r="1441" hidden="1">
      <c r="A1441" s="244" t="s">
        <v>7348</v>
      </c>
      <c r="B1441" s="245" t="str">
        <f>VLOOKUP(A1441,'تجربه‌گرها'!B:C,2,FALSE())</f>
        <v>09114244837</v>
      </c>
      <c r="C1441" s="242"/>
      <c r="D1441" s="242">
        <f t="shared" si="1"/>
        <v>1</v>
      </c>
      <c r="E1441" s="242">
        <f>COUNTIFS('تجربه‌گرها'!$B:$B,$A1441,'تجربه‌گرها'!$F:$F,E$1)</f>
        <v>0</v>
      </c>
      <c r="F1441" s="242">
        <f>COUNTIFS('تجربه‌گرها'!$B:$B,$A1441,'تجربه‌گرها'!$F:$F,F$1)</f>
        <v>0</v>
      </c>
      <c r="G1441" s="242">
        <f>COUNTIFS('تجربه‌گرها'!$B:$B,$A1441,'تجربه‌گرها'!$F:$F,G$1)</f>
        <v>0</v>
      </c>
      <c r="H1441" s="242">
        <f>COUNTIFS('تجربه‌گرها'!$B:$B,$A1441,'تجربه‌گرها'!$F:$F,H$1)</f>
        <v>0</v>
      </c>
      <c r="I1441" s="242">
        <f>COUNTIFS('تجربه‌گرها'!$B:$B,$A1441,'تجربه‌گرها'!$F:$F,I$1)</f>
        <v>0</v>
      </c>
      <c r="J1441" s="242">
        <f>COUNTIFS('تجربه‌گرها'!$B:$B,$A1441,'تجربه‌گرها'!$F:$F,J$1)</f>
        <v>0</v>
      </c>
      <c r="K1441" s="242">
        <f>COUNTIFS('تجربه‌گرها'!$B:$B,$A1441,'تجربه‌گرها'!$F:$F,K$1)</f>
        <v>0</v>
      </c>
      <c r="L1441" s="242">
        <f>COUNTIFS('تجربه‌گرها'!$B:$B,$A1441,'تجربه‌گرها'!$F:$F,L$1)</f>
        <v>0</v>
      </c>
      <c r="M1441" s="242">
        <f>COUNTIFS('تجربه‌گرها'!$B:$B,$A1441,'تجربه‌گرها'!$F:$F,M$1)</f>
        <v>0</v>
      </c>
      <c r="N1441" s="242">
        <f>COUNTIFS('تجربه‌گرها'!$B:$B,$A1441,'تجربه‌گرها'!$F:$F,N$1)</f>
        <v>0</v>
      </c>
      <c r="O1441" s="242">
        <f>COUNTIFS('تجربه‌گرها'!$B:$B,$A1441,'تجربه‌گرها'!$F:$F,O$1)</f>
        <v>0</v>
      </c>
      <c r="P1441" s="242">
        <f>COUNTIFS('تجربه‌گرها'!$B:$B,$A1441,'تجربه‌گرها'!$F:$F,P$1)</f>
        <v>0</v>
      </c>
      <c r="Q1441" s="242">
        <f>COUNTIFS('تجربه‌گرها'!$B:$B,$A1441,'تجربه‌گرها'!$F:$F,Q$1)</f>
        <v>1</v>
      </c>
      <c r="R1441" s="242">
        <f>COUNTIFS('تجربه‌گرها'!$B:$B,$A1441,'تجربه‌گرها'!$F:$F,R$1)</f>
        <v>0</v>
      </c>
      <c r="S1441" s="242">
        <f>COUNTIFS('تجربه‌گرها'!$B:$B,$A1441,'تجربه‌گرها'!$F:$F,S$1)</f>
        <v>0</v>
      </c>
      <c r="T1441" s="242">
        <f>COUNTIFS('تجربه‌گرها'!$B:$B,$A1441,'تجربه‌گرها'!$F:$F,T$1)</f>
        <v>0</v>
      </c>
      <c r="U1441" s="242"/>
      <c r="V1441" s="242"/>
      <c r="W1441" s="242"/>
      <c r="X1441" s="242"/>
      <c r="Y1441" s="242"/>
      <c r="Z1441" s="242"/>
      <c r="AA1441" s="242"/>
      <c r="AB1441" s="242"/>
    </row>
    <row r="1442" hidden="1">
      <c r="A1442" s="244" t="s">
        <v>7349</v>
      </c>
      <c r="B1442" s="245" t="str">
        <f>VLOOKUP(A1442,'تجربه‌گرها'!B:C,2,FALSE())</f>
        <v>09116764737</v>
      </c>
      <c r="C1442" s="242"/>
      <c r="D1442" s="242">
        <f t="shared" si="1"/>
        <v>1</v>
      </c>
      <c r="E1442" s="242">
        <f>COUNTIFS('تجربه‌گرها'!$B:$B,$A1442,'تجربه‌گرها'!$F:$F,E$1)</f>
        <v>0</v>
      </c>
      <c r="F1442" s="242">
        <f>COUNTIFS('تجربه‌گرها'!$B:$B,$A1442,'تجربه‌گرها'!$F:$F,F$1)</f>
        <v>0</v>
      </c>
      <c r="G1442" s="242">
        <f>COUNTIFS('تجربه‌گرها'!$B:$B,$A1442,'تجربه‌گرها'!$F:$F,G$1)</f>
        <v>0</v>
      </c>
      <c r="H1442" s="242">
        <f>COUNTIFS('تجربه‌گرها'!$B:$B,$A1442,'تجربه‌گرها'!$F:$F,H$1)</f>
        <v>0</v>
      </c>
      <c r="I1442" s="242">
        <f>COUNTIFS('تجربه‌گرها'!$B:$B,$A1442,'تجربه‌گرها'!$F:$F,I$1)</f>
        <v>0</v>
      </c>
      <c r="J1442" s="242">
        <f>COUNTIFS('تجربه‌گرها'!$B:$B,$A1442,'تجربه‌گرها'!$F:$F,J$1)</f>
        <v>0</v>
      </c>
      <c r="K1442" s="242">
        <f>COUNTIFS('تجربه‌گرها'!$B:$B,$A1442,'تجربه‌گرها'!$F:$F,K$1)</f>
        <v>0</v>
      </c>
      <c r="L1442" s="242">
        <f>COUNTIFS('تجربه‌گرها'!$B:$B,$A1442,'تجربه‌گرها'!$F:$F,L$1)</f>
        <v>0</v>
      </c>
      <c r="M1442" s="242">
        <f>COUNTIFS('تجربه‌گرها'!$B:$B,$A1442,'تجربه‌گرها'!$F:$F,M$1)</f>
        <v>0</v>
      </c>
      <c r="N1442" s="242">
        <f>COUNTIFS('تجربه‌گرها'!$B:$B,$A1442,'تجربه‌گرها'!$F:$F,N$1)</f>
        <v>0</v>
      </c>
      <c r="O1442" s="242">
        <f>COUNTIFS('تجربه‌گرها'!$B:$B,$A1442,'تجربه‌گرها'!$F:$F,O$1)</f>
        <v>0</v>
      </c>
      <c r="P1442" s="242">
        <f>COUNTIFS('تجربه‌گرها'!$B:$B,$A1442,'تجربه‌گرها'!$F:$F,P$1)</f>
        <v>0</v>
      </c>
      <c r="Q1442" s="242">
        <f>COUNTIFS('تجربه‌گرها'!$B:$B,$A1442,'تجربه‌گرها'!$F:$F,Q$1)</f>
        <v>1</v>
      </c>
      <c r="R1442" s="242">
        <f>COUNTIFS('تجربه‌گرها'!$B:$B,$A1442,'تجربه‌گرها'!$F:$F,R$1)</f>
        <v>0</v>
      </c>
      <c r="S1442" s="242">
        <f>COUNTIFS('تجربه‌گرها'!$B:$B,$A1442,'تجربه‌گرها'!$F:$F,S$1)</f>
        <v>0</v>
      </c>
      <c r="T1442" s="242">
        <f>COUNTIFS('تجربه‌گرها'!$B:$B,$A1442,'تجربه‌گرها'!$F:$F,T$1)</f>
        <v>0</v>
      </c>
      <c r="U1442" s="242"/>
      <c r="V1442" s="242"/>
      <c r="W1442" s="242"/>
      <c r="X1442" s="242"/>
      <c r="Y1442" s="242"/>
      <c r="Z1442" s="242"/>
      <c r="AA1442" s="242"/>
      <c r="AB1442" s="242"/>
    </row>
    <row r="1443" hidden="1">
      <c r="A1443" s="244" t="s">
        <v>7350</v>
      </c>
      <c r="B1443" s="245" t="str">
        <f>VLOOKUP(A1443,'تجربه‌گرها'!B:C,2,FALSE())</f>
        <v>09108219085</v>
      </c>
      <c r="C1443" s="242"/>
      <c r="D1443" s="242">
        <f t="shared" si="1"/>
        <v>1</v>
      </c>
      <c r="E1443" s="242">
        <f>COUNTIFS('تجربه‌گرها'!$B:$B,$A1443,'تجربه‌گرها'!$F:$F,E$1)</f>
        <v>0</v>
      </c>
      <c r="F1443" s="242">
        <f>COUNTIFS('تجربه‌گرها'!$B:$B,$A1443,'تجربه‌گرها'!$F:$F,F$1)</f>
        <v>0</v>
      </c>
      <c r="G1443" s="242">
        <f>COUNTIFS('تجربه‌گرها'!$B:$B,$A1443,'تجربه‌گرها'!$F:$F,G$1)</f>
        <v>0</v>
      </c>
      <c r="H1443" s="242">
        <f>COUNTIFS('تجربه‌گرها'!$B:$B,$A1443,'تجربه‌گرها'!$F:$F,H$1)</f>
        <v>0</v>
      </c>
      <c r="I1443" s="242">
        <f>COUNTIFS('تجربه‌گرها'!$B:$B,$A1443,'تجربه‌گرها'!$F:$F,I$1)</f>
        <v>0</v>
      </c>
      <c r="J1443" s="242">
        <f>COUNTIFS('تجربه‌گرها'!$B:$B,$A1443,'تجربه‌گرها'!$F:$F,J$1)</f>
        <v>0</v>
      </c>
      <c r="K1443" s="242">
        <f>COUNTIFS('تجربه‌گرها'!$B:$B,$A1443,'تجربه‌گرها'!$F:$F,K$1)</f>
        <v>0</v>
      </c>
      <c r="L1443" s="242">
        <f>COUNTIFS('تجربه‌گرها'!$B:$B,$A1443,'تجربه‌گرها'!$F:$F,L$1)</f>
        <v>0</v>
      </c>
      <c r="M1443" s="242">
        <f>COUNTIFS('تجربه‌گرها'!$B:$B,$A1443,'تجربه‌گرها'!$F:$F,M$1)</f>
        <v>0</v>
      </c>
      <c r="N1443" s="242">
        <f>COUNTIFS('تجربه‌گرها'!$B:$B,$A1443,'تجربه‌گرها'!$F:$F,N$1)</f>
        <v>0</v>
      </c>
      <c r="O1443" s="242">
        <f>COUNTIFS('تجربه‌گرها'!$B:$B,$A1443,'تجربه‌گرها'!$F:$F,O$1)</f>
        <v>0</v>
      </c>
      <c r="P1443" s="242">
        <f>COUNTIFS('تجربه‌گرها'!$B:$B,$A1443,'تجربه‌گرها'!$F:$F,P$1)</f>
        <v>0</v>
      </c>
      <c r="Q1443" s="242">
        <f>COUNTIFS('تجربه‌گرها'!$B:$B,$A1443,'تجربه‌گرها'!$F:$F,Q$1)</f>
        <v>1</v>
      </c>
      <c r="R1443" s="242">
        <f>COUNTIFS('تجربه‌گرها'!$B:$B,$A1443,'تجربه‌گرها'!$F:$F,R$1)</f>
        <v>0</v>
      </c>
      <c r="S1443" s="242">
        <f>COUNTIFS('تجربه‌گرها'!$B:$B,$A1443,'تجربه‌گرها'!$F:$F,S$1)</f>
        <v>0</v>
      </c>
      <c r="T1443" s="242">
        <f>COUNTIFS('تجربه‌گرها'!$B:$B,$A1443,'تجربه‌گرها'!$F:$F,T$1)</f>
        <v>0</v>
      </c>
      <c r="U1443" s="242"/>
      <c r="V1443" s="242"/>
      <c r="W1443" s="242"/>
      <c r="X1443" s="242"/>
      <c r="Y1443" s="242"/>
      <c r="Z1443" s="242"/>
      <c r="AA1443" s="242"/>
      <c r="AB1443" s="242"/>
    </row>
    <row r="1444" hidden="1">
      <c r="A1444" s="244" t="s">
        <v>7351</v>
      </c>
      <c r="B1444" s="245" t="str">
        <f>VLOOKUP(A1444,'تجربه‌گرها'!B:C,2,FALSE())</f>
        <v>09380098680</v>
      </c>
      <c r="C1444" s="242"/>
      <c r="D1444" s="242">
        <f t="shared" si="1"/>
        <v>1</v>
      </c>
      <c r="E1444" s="242">
        <f>COUNTIFS('تجربه‌گرها'!$B:$B,$A1444,'تجربه‌گرها'!$F:$F,E$1)</f>
        <v>0</v>
      </c>
      <c r="F1444" s="242">
        <f>COUNTIFS('تجربه‌گرها'!$B:$B,$A1444,'تجربه‌گرها'!$F:$F,F$1)</f>
        <v>0</v>
      </c>
      <c r="G1444" s="242">
        <f>COUNTIFS('تجربه‌گرها'!$B:$B,$A1444,'تجربه‌گرها'!$F:$F,G$1)</f>
        <v>0</v>
      </c>
      <c r="H1444" s="242">
        <f>COUNTIFS('تجربه‌گرها'!$B:$B,$A1444,'تجربه‌گرها'!$F:$F,H$1)</f>
        <v>0</v>
      </c>
      <c r="I1444" s="242">
        <f>COUNTIFS('تجربه‌گرها'!$B:$B,$A1444,'تجربه‌گرها'!$F:$F,I$1)</f>
        <v>0</v>
      </c>
      <c r="J1444" s="242">
        <f>COUNTIFS('تجربه‌گرها'!$B:$B,$A1444,'تجربه‌گرها'!$F:$F,J$1)</f>
        <v>0</v>
      </c>
      <c r="K1444" s="242">
        <f>COUNTIFS('تجربه‌گرها'!$B:$B,$A1444,'تجربه‌گرها'!$F:$F,K$1)</f>
        <v>0</v>
      </c>
      <c r="L1444" s="242">
        <f>COUNTIFS('تجربه‌گرها'!$B:$B,$A1444,'تجربه‌گرها'!$F:$F,L$1)</f>
        <v>0</v>
      </c>
      <c r="M1444" s="242">
        <f>COUNTIFS('تجربه‌گرها'!$B:$B,$A1444,'تجربه‌گرها'!$F:$F,M$1)</f>
        <v>0</v>
      </c>
      <c r="N1444" s="242">
        <f>COUNTIFS('تجربه‌گرها'!$B:$B,$A1444,'تجربه‌گرها'!$F:$F,N$1)</f>
        <v>0</v>
      </c>
      <c r="O1444" s="242">
        <f>COUNTIFS('تجربه‌گرها'!$B:$B,$A1444,'تجربه‌گرها'!$F:$F,O$1)</f>
        <v>0</v>
      </c>
      <c r="P1444" s="242">
        <f>COUNTIFS('تجربه‌گرها'!$B:$B,$A1444,'تجربه‌گرها'!$F:$F,P$1)</f>
        <v>0</v>
      </c>
      <c r="Q1444" s="242">
        <f>COUNTIFS('تجربه‌گرها'!$B:$B,$A1444,'تجربه‌گرها'!$F:$F,Q$1)</f>
        <v>1</v>
      </c>
      <c r="R1444" s="242">
        <f>COUNTIFS('تجربه‌گرها'!$B:$B,$A1444,'تجربه‌گرها'!$F:$F,R$1)</f>
        <v>0</v>
      </c>
      <c r="S1444" s="242">
        <f>COUNTIFS('تجربه‌گرها'!$B:$B,$A1444,'تجربه‌گرها'!$F:$F,S$1)</f>
        <v>0</v>
      </c>
      <c r="T1444" s="242">
        <f>COUNTIFS('تجربه‌گرها'!$B:$B,$A1444,'تجربه‌گرها'!$F:$F,T$1)</f>
        <v>0</v>
      </c>
      <c r="U1444" s="242"/>
      <c r="V1444" s="242"/>
      <c r="W1444" s="242"/>
      <c r="X1444" s="242"/>
      <c r="Y1444" s="242"/>
      <c r="Z1444" s="242"/>
      <c r="AA1444" s="242"/>
      <c r="AB1444" s="242"/>
    </row>
    <row r="1445" hidden="1">
      <c r="A1445" s="244" t="s">
        <v>7352</v>
      </c>
      <c r="B1445" s="245" t="str">
        <f>VLOOKUP(A1445,'تجربه‌گرها'!B:C,2,FALSE())</f>
        <v>09928538184</v>
      </c>
      <c r="C1445" s="242"/>
      <c r="D1445" s="242">
        <f t="shared" si="1"/>
        <v>1</v>
      </c>
      <c r="E1445" s="242">
        <f>COUNTIFS('تجربه‌گرها'!$B:$B,$A1445,'تجربه‌گرها'!$F:$F,E$1)</f>
        <v>0</v>
      </c>
      <c r="F1445" s="242">
        <f>COUNTIFS('تجربه‌گرها'!$B:$B,$A1445,'تجربه‌گرها'!$F:$F,F$1)</f>
        <v>0</v>
      </c>
      <c r="G1445" s="242">
        <f>COUNTIFS('تجربه‌گرها'!$B:$B,$A1445,'تجربه‌گرها'!$F:$F,G$1)</f>
        <v>0</v>
      </c>
      <c r="H1445" s="242">
        <f>COUNTIFS('تجربه‌گرها'!$B:$B,$A1445,'تجربه‌گرها'!$F:$F,H$1)</f>
        <v>0</v>
      </c>
      <c r="I1445" s="242">
        <f>COUNTIFS('تجربه‌گرها'!$B:$B,$A1445,'تجربه‌گرها'!$F:$F,I$1)</f>
        <v>0</v>
      </c>
      <c r="J1445" s="242">
        <f>COUNTIFS('تجربه‌گرها'!$B:$B,$A1445,'تجربه‌گرها'!$F:$F,J$1)</f>
        <v>0</v>
      </c>
      <c r="K1445" s="242">
        <f>COUNTIFS('تجربه‌گرها'!$B:$B,$A1445,'تجربه‌گرها'!$F:$F,K$1)</f>
        <v>0</v>
      </c>
      <c r="L1445" s="242">
        <f>COUNTIFS('تجربه‌گرها'!$B:$B,$A1445,'تجربه‌گرها'!$F:$F,L$1)</f>
        <v>0</v>
      </c>
      <c r="M1445" s="242">
        <f>COUNTIFS('تجربه‌گرها'!$B:$B,$A1445,'تجربه‌گرها'!$F:$F,M$1)</f>
        <v>0</v>
      </c>
      <c r="N1445" s="242">
        <f>COUNTIFS('تجربه‌گرها'!$B:$B,$A1445,'تجربه‌گرها'!$F:$F,N$1)</f>
        <v>0</v>
      </c>
      <c r="O1445" s="242">
        <f>COUNTIFS('تجربه‌گرها'!$B:$B,$A1445,'تجربه‌گرها'!$F:$F,O$1)</f>
        <v>0</v>
      </c>
      <c r="P1445" s="242">
        <f>COUNTIFS('تجربه‌گرها'!$B:$B,$A1445,'تجربه‌گرها'!$F:$F,P$1)</f>
        <v>0</v>
      </c>
      <c r="Q1445" s="242">
        <f>COUNTIFS('تجربه‌گرها'!$B:$B,$A1445,'تجربه‌گرها'!$F:$F,Q$1)</f>
        <v>1</v>
      </c>
      <c r="R1445" s="242">
        <f>COUNTIFS('تجربه‌گرها'!$B:$B,$A1445,'تجربه‌گرها'!$F:$F,R$1)</f>
        <v>0</v>
      </c>
      <c r="S1445" s="242">
        <f>COUNTIFS('تجربه‌گرها'!$B:$B,$A1445,'تجربه‌گرها'!$F:$F,S$1)</f>
        <v>0</v>
      </c>
      <c r="T1445" s="242">
        <f>COUNTIFS('تجربه‌گرها'!$B:$B,$A1445,'تجربه‌گرها'!$F:$F,T$1)</f>
        <v>0</v>
      </c>
      <c r="U1445" s="242"/>
      <c r="V1445" s="242"/>
      <c r="W1445" s="242"/>
      <c r="X1445" s="242"/>
      <c r="Y1445" s="242"/>
      <c r="Z1445" s="242"/>
      <c r="AA1445" s="242"/>
      <c r="AB1445" s="242"/>
    </row>
    <row r="1446" hidden="1">
      <c r="A1446" s="244" t="s">
        <v>7353</v>
      </c>
      <c r="B1446" s="245" t="str">
        <f>VLOOKUP(A1446,'تجربه‌گرها'!B:C,2,FALSE())</f>
        <v>09182946775</v>
      </c>
      <c r="C1446" s="242"/>
      <c r="D1446" s="242">
        <f t="shared" si="1"/>
        <v>1</v>
      </c>
      <c r="E1446" s="242">
        <f>COUNTIFS('تجربه‌گرها'!$B:$B,$A1446,'تجربه‌گرها'!$F:$F,E$1)</f>
        <v>0</v>
      </c>
      <c r="F1446" s="242">
        <f>COUNTIFS('تجربه‌گرها'!$B:$B,$A1446,'تجربه‌گرها'!$F:$F,F$1)</f>
        <v>0</v>
      </c>
      <c r="G1446" s="242">
        <f>COUNTIFS('تجربه‌گرها'!$B:$B,$A1446,'تجربه‌گرها'!$F:$F,G$1)</f>
        <v>0</v>
      </c>
      <c r="H1446" s="242">
        <f>COUNTIFS('تجربه‌گرها'!$B:$B,$A1446,'تجربه‌گرها'!$F:$F,H$1)</f>
        <v>0</v>
      </c>
      <c r="I1446" s="242">
        <f>COUNTIFS('تجربه‌گرها'!$B:$B,$A1446,'تجربه‌گرها'!$F:$F,I$1)</f>
        <v>0</v>
      </c>
      <c r="J1446" s="242">
        <f>COUNTIFS('تجربه‌گرها'!$B:$B,$A1446,'تجربه‌گرها'!$F:$F,J$1)</f>
        <v>0</v>
      </c>
      <c r="K1446" s="242">
        <f>COUNTIFS('تجربه‌گرها'!$B:$B,$A1446,'تجربه‌گرها'!$F:$F,K$1)</f>
        <v>0</v>
      </c>
      <c r="L1446" s="242">
        <f>COUNTIFS('تجربه‌گرها'!$B:$B,$A1446,'تجربه‌گرها'!$F:$F,L$1)</f>
        <v>0</v>
      </c>
      <c r="M1446" s="242">
        <f>COUNTIFS('تجربه‌گرها'!$B:$B,$A1446,'تجربه‌گرها'!$F:$F,M$1)</f>
        <v>0</v>
      </c>
      <c r="N1446" s="242">
        <f>COUNTIFS('تجربه‌گرها'!$B:$B,$A1446,'تجربه‌گرها'!$F:$F,N$1)</f>
        <v>0</v>
      </c>
      <c r="O1446" s="242">
        <f>COUNTIFS('تجربه‌گرها'!$B:$B,$A1446,'تجربه‌گرها'!$F:$F,O$1)</f>
        <v>0</v>
      </c>
      <c r="P1446" s="242">
        <f>COUNTIFS('تجربه‌گرها'!$B:$B,$A1446,'تجربه‌گرها'!$F:$F,P$1)</f>
        <v>0</v>
      </c>
      <c r="Q1446" s="242">
        <f>COUNTIFS('تجربه‌گرها'!$B:$B,$A1446,'تجربه‌گرها'!$F:$F,Q$1)</f>
        <v>1</v>
      </c>
      <c r="R1446" s="242">
        <f>COUNTIFS('تجربه‌گرها'!$B:$B,$A1446,'تجربه‌گرها'!$F:$F,R$1)</f>
        <v>0</v>
      </c>
      <c r="S1446" s="242">
        <f>COUNTIFS('تجربه‌گرها'!$B:$B,$A1446,'تجربه‌گرها'!$F:$F,S$1)</f>
        <v>0</v>
      </c>
      <c r="T1446" s="242">
        <f>COUNTIFS('تجربه‌گرها'!$B:$B,$A1446,'تجربه‌گرها'!$F:$F,T$1)</f>
        <v>0</v>
      </c>
      <c r="U1446" s="242"/>
      <c r="V1446" s="242"/>
      <c r="W1446" s="242"/>
      <c r="X1446" s="242"/>
      <c r="Y1446" s="242"/>
      <c r="Z1446" s="242"/>
      <c r="AA1446" s="242"/>
      <c r="AB1446" s="242"/>
    </row>
    <row r="1447" hidden="1">
      <c r="A1447" s="244" t="s">
        <v>7354</v>
      </c>
      <c r="B1447" s="245" t="str">
        <f>VLOOKUP(A1447,'تجربه‌گرها'!B:C,2,FALSE())</f>
        <v>09104793896</v>
      </c>
      <c r="C1447" s="242"/>
      <c r="D1447" s="242">
        <f t="shared" si="1"/>
        <v>1</v>
      </c>
      <c r="E1447" s="242">
        <f>COUNTIFS('تجربه‌گرها'!$B:$B,$A1447,'تجربه‌گرها'!$F:$F,E$1)</f>
        <v>0</v>
      </c>
      <c r="F1447" s="242">
        <f>COUNTIFS('تجربه‌گرها'!$B:$B,$A1447,'تجربه‌گرها'!$F:$F,F$1)</f>
        <v>0</v>
      </c>
      <c r="G1447" s="242">
        <f>COUNTIFS('تجربه‌گرها'!$B:$B,$A1447,'تجربه‌گرها'!$F:$F,G$1)</f>
        <v>0</v>
      </c>
      <c r="H1447" s="242">
        <f>COUNTIFS('تجربه‌گرها'!$B:$B,$A1447,'تجربه‌گرها'!$F:$F,H$1)</f>
        <v>0</v>
      </c>
      <c r="I1447" s="242">
        <f>COUNTIFS('تجربه‌گرها'!$B:$B,$A1447,'تجربه‌گرها'!$F:$F,I$1)</f>
        <v>0</v>
      </c>
      <c r="J1447" s="242">
        <f>COUNTIFS('تجربه‌گرها'!$B:$B,$A1447,'تجربه‌گرها'!$F:$F,J$1)</f>
        <v>0</v>
      </c>
      <c r="K1447" s="242">
        <f>COUNTIFS('تجربه‌گرها'!$B:$B,$A1447,'تجربه‌گرها'!$F:$F,K$1)</f>
        <v>0</v>
      </c>
      <c r="L1447" s="242">
        <f>COUNTIFS('تجربه‌گرها'!$B:$B,$A1447,'تجربه‌گرها'!$F:$F,L$1)</f>
        <v>0</v>
      </c>
      <c r="M1447" s="242">
        <f>COUNTIFS('تجربه‌گرها'!$B:$B,$A1447,'تجربه‌گرها'!$F:$F,M$1)</f>
        <v>0</v>
      </c>
      <c r="N1447" s="242">
        <f>COUNTIFS('تجربه‌گرها'!$B:$B,$A1447,'تجربه‌گرها'!$F:$F,N$1)</f>
        <v>0</v>
      </c>
      <c r="O1447" s="242">
        <f>COUNTIFS('تجربه‌گرها'!$B:$B,$A1447,'تجربه‌گرها'!$F:$F,O$1)</f>
        <v>0</v>
      </c>
      <c r="P1447" s="242">
        <f>COUNTIFS('تجربه‌گرها'!$B:$B,$A1447,'تجربه‌گرها'!$F:$F,P$1)</f>
        <v>0</v>
      </c>
      <c r="Q1447" s="242">
        <f>COUNTIFS('تجربه‌گرها'!$B:$B,$A1447,'تجربه‌گرها'!$F:$F,Q$1)</f>
        <v>1</v>
      </c>
      <c r="R1447" s="242">
        <f>COUNTIFS('تجربه‌گرها'!$B:$B,$A1447,'تجربه‌گرها'!$F:$F,R$1)</f>
        <v>0</v>
      </c>
      <c r="S1447" s="242">
        <f>COUNTIFS('تجربه‌گرها'!$B:$B,$A1447,'تجربه‌گرها'!$F:$F,S$1)</f>
        <v>0</v>
      </c>
      <c r="T1447" s="242">
        <f>COUNTIFS('تجربه‌گرها'!$B:$B,$A1447,'تجربه‌گرها'!$F:$F,T$1)</f>
        <v>0</v>
      </c>
      <c r="U1447" s="242"/>
      <c r="V1447" s="242"/>
      <c r="W1447" s="242"/>
      <c r="X1447" s="242"/>
      <c r="Y1447" s="242"/>
      <c r="Z1447" s="242"/>
      <c r="AA1447" s="242"/>
      <c r="AB1447" s="242"/>
    </row>
    <row r="1448" hidden="1">
      <c r="A1448" s="244" t="s">
        <v>7355</v>
      </c>
      <c r="B1448" s="245" t="str">
        <f>VLOOKUP(A1448,'تجربه‌گرها'!B:C,2,FALSE())</f>
        <v>09392409475</v>
      </c>
      <c r="C1448" s="242"/>
      <c r="D1448" s="242">
        <f t="shared" si="1"/>
        <v>1</v>
      </c>
      <c r="E1448" s="242">
        <f>COUNTIFS('تجربه‌گرها'!$B:$B,$A1448,'تجربه‌گرها'!$F:$F,E$1)</f>
        <v>0</v>
      </c>
      <c r="F1448" s="242">
        <f>COUNTIFS('تجربه‌گرها'!$B:$B,$A1448,'تجربه‌گرها'!$F:$F,F$1)</f>
        <v>0</v>
      </c>
      <c r="G1448" s="242">
        <f>COUNTIFS('تجربه‌گرها'!$B:$B,$A1448,'تجربه‌گرها'!$F:$F,G$1)</f>
        <v>0</v>
      </c>
      <c r="H1448" s="242">
        <f>COUNTIFS('تجربه‌گرها'!$B:$B,$A1448,'تجربه‌گرها'!$F:$F,H$1)</f>
        <v>0</v>
      </c>
      <c r="I1448" s="242">
        <f>COUNTIFS('تجربه‌گرها'!$B:$B,$A1448,'تجربه‌گرها'!$F:$F,I$1)</f>
        <v>0</v>
      </c>
      <c r="J1448" s="242">
        <f>COUNTIFS('تجربه‌گرها'!$B:$B,$A1448,'تجربه‌گرها'!$F:$F,J$1)</f>
        <v>0</v>
      </c>
      <c r="K1448" s="242">
        <f>COUNTIFS('تجربه‌گرها'!$B:$B,$A1448,'تجربه‌گرها'!$F:$F,K$1)</f>
        <v>0</v>
      </c>
      <c r="L1448" s="242">
        <f>COUNTIFS('تجربه‌گرها'!$B:$B,$A1448,'تجربه‌گرها'!$F:$F,L$1)</f>
        <v>0</v>
      </c>
      <c r="M1448" s="242">
        <f>COUNTIFS('تجربه‌گرها'!$B:$B,$A1448,'تجربه‌گرها'!$F:$F,M$1)</f>
        <v>0</v>
      </c>
      <c r="N1448" s="242">
        <f>COUNTIFS('تجربه‌گرها'!$B:$B,$A1448,'تجربه‌گرها'!$F:$F,N$1)</f>
        <v>0</v>
      </c>
      <c r="O1448" s="242">
        <f>COUNTIFS('تجربه‌گرها'!$B:$B,$A1448,'تجربه‌گرها'!$F:$F,O$1)</f>
        <v>0</v>
      </c>
      <c r="P1448" s="242">
        <f>COUNTIFS('تجربه‌گرها'!$B:$B,$A1448,'تجربه‌گرها'!$F:$F,P$1)</f>
        <v>0</v>
      </c>
      <c r="Q1448" s="242">
        <f>COUNTIFS('تجربه‌گرها'!$B:$B,$A1448,'تجربه‌گرها'!$F:$F,Q$1)</f>
        <v>1</v>
      </c>
      <c r="R1448" s="242">
        <f>COUNTIFS('تجربه‌گرها'!$B:$B,$A1448,'تجربه‌گرها'!$F:$F,R$1)</f>
        <v>0</v>
      </c>
      <c r="S1448" s="242">
        <f>COUNTIFS('تجربه‌گرها'!$B:$B,$A1448,'تجربه‌گرها'!$F:$F,S$1)</f>
        <v>0</v>
      </c>
      <c r="T1448" s="242">
        <f>COUNTIFS('تجربه‌گرها'!$B:$B,$A1448,'تجربه‌گرها'!$F:$F,T$1)</f>
        <v>0</v>
      </c>
      <c r="U1448" s="242"/>
      <c r="V1448" s="242"/>
      <c r="W1448" s="242"/>
      <c r="X1448" s="242"/>
      <c r="Y1448" s="242"/>
      <c r="Z1448" s="242"/>
      <c r="AA1448" s="242"/>
      <c r="AB1448" s="242"/>
    </row>
    <row r="1449" hidden="1">
      <c r="A1449" s="244" t="s">
        <v>7356</v>
      </c>
      <c r="B1449" s="245" t="str">
        <f>VLOOKUP(A1449,'تجربه‌گرها'!B:C,2,FALSE())</f>
        <v>09399717565</v>
      </c>
      <c r="C1449" s="242"/>
      <c r="D1449" s="242">
        <f t="shared" si="1"/>
        <v>1</v>
      </c>
      <c r="E1449" s="242">
        <f>COUNTIFS('تجربه‌گرها'!$B:$B,$A1449,'تجربه‌گرها'!$F:$F,E$1)</f>
        <v>0</v>
      </c>
      <c r="F1449" s="242">
        <f>COUNTIFS('تجربه‌گرها'!$B:$B,$A1449,'تجربه‌گرها'!$F:$F,F$1)</f>
        <v>0</v>
      </c>
      <c r="G1449" s="242">
        <f>COUNTIFS('تجربه‌گرها'!$B:$B,$A1449,'تجربه‌گرها'!$F:$F,G$1)</f>
        <v>0</v>
      </c>
      <c r="H1449" s="242">
        <f>COUNTIFS('تجربه‌گرها'!$B:$B,$A1449,'تجربه‌گرها'!$F:$F,H$1)</f>
        <v>0</v>
      </c>
      <c r="I1449" s="242">
        <f>COUNTIFS('تجربه‌گرها'!$B:$B,$A1449,'تجربه‌گرها'!$F:$F,I$1)</f>
        <v>0</v>
      </c>
      <c r="J1449" s="242">
        <f>COUNTIFS('تجربه‌گرها'!$B:$B,$A1449,'تجربه‌گرها'!$F:$F,J$1)</f>
        <v>0</v>
      </c>
      <c r="K1449" s="242">
        <f>COUNTIFS('تجربه‌گرها'!$B:$B,$A1449,'تجربه‌گرها'!$F:$F,K$1)</f>
        <v>0</v>
      </c>
      <c r="L1449" s="242">
        <f>COUNTIFS('تجربه‌گرها'!$B:$B,$A1449,'تجربه‌گرها'!$F:$F,L$1)</f>
        <v>0</v>
      </c>
      <c r="M1449" s="242">
        <f>COUNTIFS('تجربه‌گرها'!$B:$B,$A1449,'تجربه‌گرها'!$F:$F,M$1)</f>
        <v>0</v>
      </c>
      <c r="N1449" s="242">
        <f>COUNTIFS('تجربه‌گرها'!$B:$B,$A1449,'تجربه‌گرها'!$F:$F,N$1)</f>
        <v>0</v>
      </c>
      <c r="O1449" s="242">
        <f>COUNTIFS('تجربه‌گرها'!$B:$B,$A1449,'تجربه‌گرها'!$F:$F,O$1)</f>
        <v>0</v>
      </c>
      <c r="P1449" s="242">
        <f>COUNTIFS('تجربه‌گرها'!$B:$B,$A1449,'تجربه‌گرها'!$F:$F,P$1)</f>
        <v>0</v>
      </c>
      <c r="Q1449" s="242">
        <f>COUNTIFS('تجربه‌گرها'!$B:$B,$A1449,'تجربه‌گرها'!$F:$F,Q$1)</f>
        <v>1</v>
      </c>
      <c r="R1449" s="242">
        <f>COUNTIFS('تجربه‌گرها'!$B:$B,$A1449,'تجربه‌گرها'!$F:$F,R$1)</f>
        <v>0</v>
      </c>
      <c r="S1449" s="242">
        <f>COUNTIFS('تجربه‌گرها'!$B:$B,$A1449,'تجربه‌گرها'!$F:$F,S$1)</f>
        <v>0</v>
      </c>
      <c r="T1449" s="242">
        <f>COUNTIFS('تجربه‌گرها'!$B:$B,$A1449,'تجربه‌گرها'!$F:$F,T$1)</f>
        <v>0</v>
      </c>
      <c r="U1449" s="242"/>
      <c r="V1449" s="242"/>
      <c r="W1449" s="242"/>
      <c r="X1449" s="242"/>
      <c r="Y1449" s="242"/>
      <c r="Z1449" s="242"/>
      <c r="AA1449" s="242"/>
      <c r="AB1449" s="242"/>
    </row>
    <row r="1450" hidden="1">
      <c r="A1450" s="244" t="s">
        <v>7357</v>
      </c>
      <c r="B1450" s="245" t="str">
        <f>VLOOKUP(A1450,'تجربه‌گرها'!B:C,2,FALSE())</f>
        <v>09370421952</v>
      </c>
      <c r="C1450" s="242"/>
      <c r="D1450" s="242">
        <f t="shared" si="1"/>
        <v>1</v>
      </c>
      <c r="E1450" s="242">
        <f>COUNTIFS('تجربه‌گرها'!$B:$B,$A1450,'تجربه‌گرها'!$F:$F,E$1)</f>
        <v>0</v>
      </c>
      <c r="F1450" s="242">
        <f>COUNTIFS('تجربه‌گرها'!$B:$B,$A1450,'تجربه‌گرها'!$F:$F,F$1)</f>
        <v>0</v>
      </c>
      <c r="G1450" s="242">
        <f>COUNTIFS('تجربه‌گرها'!$B:$B,$A1450,'تجربه‌گرها'!$F:$F,G$1)</f>
        <v>0</v>
      </c>
      <c r="H1450" s="242">
        <f>COUNTIFS('تجربه‌گرها'!$B:$B,$A1450,'تجربه‌گرها'!$F:$F,H$1)</f>
        <v>0</v>
      </c>
      <c r="I1450" s="242">
        <f>COUNTIFS('تجربه‌گرها'!$B:$B,$A1450,'تجربه‌گرها'!$F:$F,I$1)</f>
        <v>0</v>
      </c>
      <c r="J1450" s="242">
        <f>COUNTIFS('تجربه‌گرها'!$B:$B,$A1450,'تجربه‌گرها'!$F:$F,J$1)</f>
        <v>0</v>
      </c>
      <c r="K1450" s="242">
        <f>COUNTIFS('تجربه‌گرها'!$B:$B,$A1450,'تجربه‌گرها'!$F:$F,K$1)</f>
        <v>0</v>
      </c>
      <c r="L1450" s="242">
        <f>COUNTIFS('تجربه‌گرها'!$B:$B,$A1450,'تجربه‌گرها'!$F:$F,L$1)</f>
        <v>0</v>
      </c>
      <c r="M1450" s="242">
        <f>COUNTIFS('تجربه‌گرها'!$B:$B,$A1450,'تجربه‌گرها'!$F:$F,M$1)</f>
        <v>0</v>
      </c>
      <c r="N1450" s="242">
        <f>COUNTIFS('تجربه‌گرها'!$B:$B,$A1450,'تجربه‌گرها'!$F:$F,N$1)</f>
        <v>0</v>
      </c>
      <c r="O1450" s="242">
        <f>COUNTIFS('تجربه‌گرها'!$B:$B,$A1450,'تجربه‌گرها'!$F:$F,O$1)</f>
        <v>0</v>
      </c>
      <c r="P1450" s="242">
        <f>COUNTIFS('تجربه‌گرها'!$B:$B,$A1450,'تجربه‌گرها'!$F:$F,P$1)</f>
        <v>0</v>
      </c>
      <c r="Q1450" s="242">
        <f>COUNTIFS('تجربه‌گرها'!$B:$B,$A1450,'تجربه‌گرها'!$F:$F,Q$1)</f>
        <v>1</v>
      </c>
      <c r="R1450" s="242">
        <f>COUNTIFS('تجربه‌گرها'!$B:$B,$A1450,'تجربه‌گرها'!$F:$F,R$1)</f>
        <v>0</v>
      </c>
      <c r="S1450" s="242">
        <f>COUNTIFS('تجربه‌گرها'!$B:$B,$A1450,'تجربه‌گرها'!$F:$F,S$1)</f>
        <v>0</v>
      </c>
      <c r="T1450" s="242">
        <f>COUNTIFS('تجربه‌گرها'!$B:$B,$A1450,'تجربه‌گرها'!$F:$F,T$1)</f>
        <v>0</v>
      </c>
      <c r="U1450" s="242"/>
      <c r="V1450" s="242"/>
      <c r="W1450" s="242"/>
      <c r="X1450" s="242"/>
      <c r="Y1450" s="242"/>
      <c r="Z1450" s="242"/>
      <c r="AA1450" s="242"/>
      <c r="AB1450" s="242"/>
    </row>
    <row r="1451" hidden="1">
      <c r="A1451" s="244" t="s">
        <v>7358</v>
      </c>
      <c r="B1451" s="245" t="str">
        <f>VLOOKUP(A1451,'تجربه‌گرها'!B:C,2,FALSE())</f>
        <v>09382744128</v>
      </c>
      <c r="C1451" s="242"/>
      <c r="D1451" s="242">
        <f t="shared" si="1"/>
        <v>1</v>
      </c>
      <c r="E1451" s="242">
        <f>COUNTIFS('تجربه‌گرها'!$B:$B,$A1451,'تجربه‌گرها'!$F:$F,E$1)</f>
        <v>0</v>
      </c>
      <c r="F1451" s="242">
        <f>COUNTIFS('تجربه‌گرها'!$B:$B,$A1451,'تجربه‌گرها'!$F:$F,F$1)</f>
        <v>0</v>
      </c>
      <c r="G1451" s="242">
        <f>COUNTIFS('تجربه‌گرها'!$B:$B,$A1451,'تجربه‌گرها'!$F:$F,G$1)</f>
        <v>0</v>
      </c>
      <c r="H1451" s="242">
        <f>COUNTIFS('تجربه‌گرها'!$B:$B,$A1451,'تجربه‌گرها'!$F:$F,H$1)</f>
        <v>0</v>
      </c>
      <c r="I1451" s="242">
        <f>COUNTIFS('تجربه‌گرها'!$B:$B,$A1451,'تجربه‌گرها'!$F:$F,I$1)</f>
        <v>0</v>
      </c>
      <c r="J1451" s="242">
        <f>COUNTIFS('تجربه‌گرها'!$B:$B,$A1451,'تجربه‌گرها'!$F:$F,J$1)</f>
        <v>0</v>
      </c>
      <c r="K1451" s="242">
        <f>COUNTIFS('تجربه‌گرها'!$B:$B,$A1451,'تجربه‌گرها'!$F:$F,K$1)</f>
        <v>0</v>
      </c>
      <c r="L1451" s="242">
        <f>COUNTIFS('تجربه‌گرها'!$B:$B,$A1451,'تجربه‌گرها'!$F:$F,L$1)</f>
        <v>0</v>
      </c>
      <c r="M1451" s="242">
        <f>COUNTIFS('تجربه‌گرها'!$B:$B,$A1451,'تجربه‌گرها'!$F:$F,M$1)</f>
        <v>0</v>
      </c>
      <c r="N1451" s="242">
        <f>COUNTIFS('تجربه‌گرها'!$B:$B,$A1451,'تجربه‌گرها'!$F:$F,N$1)</f>
        <v>0</v>
      </c>
      <c r="O1451" s="242">
        <f>COUNTIFS('تجربه‌گرها'!$B:$B,$A1451,'تجربه‌گرها'!$F:$F,O$1)</f>
        <v>0</v>
      </c>
      <c r="P1451" s="242">
        <f>COUNTIFS('تجربه‌گرها'!$B:$B,$A1451,'تجربه‌گرها'!$F:$F,P$1)</f>
        <v>0</v>
      </c>
      <c r="Q1451" s="242">
        <f>COUNTIFS('تجربه‌گرها'!$B:$B,$A1451,'تجربه‌گرها'!$F:$F,Q$1)</f>
        <v>1</v>
      </c>
      <c r="R1451" s="242">
        <f>COUNTIFS('تجربه‌گرها'!$B:$B,$A1451,'تجربه‌گرها'!$F:$F,R$1)</f>
        <v>0</v>
      </c>
      <c r="S1451" s="242">
        <f>COUNTIFS('تجربه‌گرها'!$B:$B,$A1451,'تجربه‌گرها'!$F:$F,S$1)</f>
        <v>0</v>
      </c>
      <c r="T1451" s="242">
        <f>COUNTIFS('تجربه‌گرها'!$B:$B,$A1451,'تجربه‌گرها'!$F:$F,T$1)</f>
        <v>0</v>
      </c>
      <c r="U1451" s="242"/>
      <c r="V1451" s="242"/>
      <c r="W1451" s="242"/>
      <c r="X1451" s="242"/>
      <c r="Y1451" s="242"/>
      <c r="Z1451" s="242"/>
      <c r="AA1451" s="242"/>
      <c r="AB1451" s="242"/>
    </row>
    <row r="1452" hidden="1">
      <c r="A1452" s="244" t="s">
        <v>7359</v>
      </c>
      <c r="B1452" s="245" t="str">
        <f>VLOOKUP(A1452,'تجربه‌گرها'!B:C,2,FALSE())</f>
        <v>09398028693</v>
      </c>
      <c r="C1452" s="242"/>
      <c r="D1452" s="242">
        <f t="shared" si="1"/>
        <v>1</v>
      </c>
      <c r="E1452" s="242">
        <f>COUNTIFS('تجربه‌گرها'!$B:$B,$A1452,'تجربه‌گرها'!$F:$F,E$1)</f>
        <v>0</v>
      </c>
      <c r="F1452" s="242">
        <f>COUNTIFS('تجربه‌گرها'!$B:$B,$A1452,'تجربه‌گرها'!$F:$F,F$1)</f>
        <v>0</v>
      </c>
      <c r="G1452" s="242">
        <f>COUNTIFS('تجربه‌گرها'!$B:$B,$A1452,'تجربه‌گرها'!$F:$F,G$1)</f>
        <v>0</v>
      </c>
      <c r="H1452" s="242">
        <f>COUNTIFS('تجربه‌گرها'!$B:$B,$A1452,'تجربه‌گرها'!$F:$F,H$1)</f>
        <v>0</v>
      </c>
      <c r="I1452" s="242">
        <f>COUNTIFS('تجربه‌گرها'!$B:$B,$A1452,'تجربه‌گرها'!$F:$F,I$1)</f>
        <v>0</v>
      </c>
      <c r="J1452" s="242">
        <f>COUNTIFS('تجربه‌گرها'!$B:$B,$A1452,'تجربه‌گرها'!$F:$F,J$1)</f>
        <v>0</v>
      </c>
      <c r="K1452" s="242">
        <f>COUNTIFS('تجربه‌گرها'!$B:$B,$A1452,'تجربه‌گرها'!$F:$F,K$1)</f>
        <v>0</v>
      </c>
      <c r="L1452" s="242">
        <f>COUNTIFS('تجربه‌گرها'!$B:$B,$A1452,'تجربه‌گرها'!$F:$F,L$1)</f>
        <v>0</v>
      </c>
      <c r="M1452" s="242">
        <f>COUNTIFS('تجربه‌گرها'!$B:$B,$A1452,'تجربه‌گرها'!$F:$F,M$1)</f>
        <v>0</v>
      </c>
      <c r="N1452" s="242">
        <f>COUNTIFS('تجربه‌گرها'!$B:$B,$A1452,'تجربه‌گرها'!$F:$F,N$1)</f>
        <v>0</v>
      </c>
      <c r="O1452" s="242">
        <f>COUNTIFS('تجربه‌گرها'!$B:$B,$A1452,'تجربه‌گرها'!$F:$F,O$1)</f>
        <v>0</v>
      </c>
      <c r="P1452" s="242">
        <f>COUNTIFS('تجربه‌گرها'!$B:$B,$A1452,'تجربه‌گرها'!$F:$F,P$1)</f>
        <v>0</v>
      </c>
      <c r="Q1452" s="242">
        <f>COUNTIFS('تجربه‌گرها'!$B:$B,$A1452,'تجربه‌گرها'!$F:$F,Q$1)</f>
        <v>1</v>
      </c>
      <c r="R1452" s="242">
        <f>COUNTIFS('تجربه‌گرها'!$B:$B,$A1452,'تجربه‌گرها'!$F:$F,R$1)</f>
        <v>0</v>
      </c>
      <c r="S1452" s="242">
        <f>COUNTIFS('تجربه‌گرها'!$B:$B,$A1452,'تجربه‌گرها'!$F:$F,S$1)</f>
        <v>0</v>
      </c>
      <c r="T1452" s="242">
        <f>COUNTIFS('تجربه‌گرها'!$B:$B,$A1452,'تجربه‌گرها'!$F:$F,T$1)</f>
        <v>0</v>
      </c>
      <c r="U1452" s="242"/>
      <c r="V1452" s="242"/>
      <c r="W1452" s="242"/>
      <c r="X1452" s="242"/>
      <c r="Y1452" s="242"/>
      <c r="Z1452" s="242"/>
      <c r="AA1452" s="242"/>
      <c r="AB1452" s="242"/>
    </row>
    <row r="1453" hidden="1">
      <c r="A1453" s="244" t="s">
        <v>7360</v>
      </c>
      <c r="B1453" s="245" t="str">
        <f>VLOOKUP(A1453,'تجربه‌گرها'!B:C,2,FALSE())</f>
        <v>09134454029</v>
      </c>
      <c r="C1453" s="242"/>
      <c r="D1453" s="242">
        <f t="shared" si="1"/>
        <v>1</v>
      </c>
      <c r="E1453" s="242">
        <f>COUNTIFS('تجربه‌گرها'!$B:$B,$A1453,'تجربه‌گرها'!$F:$F,E$1)</f>
        <v>0</v>
      </c>
      <c r="F1453" s="242">
        <f>COUNTIFS('تجربه‌گرها'!$B:$B,$A1453,'تجربه‌گرها'!$F:$F,F$1)</f>
        <v>0</v>
      </c>
      <c r="G1453" s="242">
        <f>COUNTIFS('تجربه‌گرها'!$B:$B,$A1453,'تجربه‌گرها'!$F:$F,G$1)</f>
        <v>0</v>
      </c>
      <c r="H1453" s="242">
        <f>COUNTIFS('تجربه‌گرها'!$B:$B,$A1453,'تجربه‌گرها'!$F:$F,H$1)</f>
        <v>0</v>
      </c>
      <c r="I1453" s="242">
        <f>COUNTIFS('تجربه‌گرها'!$B:$B,$A1453,'تجربه‌گرها'!$F:$F,I$1)</f>
        <v>0</v>
      </c>
      <c r="J1453" s="242">
        <f>COUNTIFS('تجربه‌گرها'!$B:$B,$A1453,'تجربه‌گرها'!$F:$F,J$1)</f>
        <v>0</v>
      </c>
      <c r="K1453" s="242">
        <f>COUNTIFS('تجربه‌گرها'!$B:$B,$A1453,'تجربه‌گرها'!$F:$F,K$1)</f>
        <v>0</v>
      </c>
      <c r="L1453" s="242">
        <f>COUNTIFS('تجربه‌گرها'!$B:$B,$A1453,'تجربه‌گرها'!$F:$F,L$1)</f>
        <v>0</v>
      </c>
      <c r="M1453" s="242">
        <f>COUNTIFS('تجربه‌گرها'!$B:$B,$A1453,'تجربه‌گرها'!$F:$F,M$1)</f>
        <v>0</v>
      </c>
      <c r="N1453" s="242">
        <f>COUNTIFS('تجربه‌گرها'!$B:$B,$A1453,'تجربه‌گرها'!$F:$F,N$1)</f>
        <v>0</v>
      </c>
      <c r="O1453" s="242">
        <f>COUNTIFS('تجربه‌گرها'!$B:$B,$A1453,'تجربه‌گرها'!$F:$F,O$1)</f>
        <v>0</v>
      </c>
      <c r="P1453" s="242">
        <f>COUNTIFS('تجربه‌گرها'!$B:$B,$A1453,'تجربه‌گرها'!$F:$F,P$1)</f>
        <v>0</v>
      </c>
      <c r="Q1453" s="242">
        <f>COUNTIFS('تجربه‌گرها'!$B:$B,$A1453,'تجربه‌گرها'!$F:$F,Q$1)</f>
        <v>1</v>
      </c>
      <c r="R1453" s="242">
        <f>COUNTIFS('تجربه‌گرها'!$B:$B,$A1453,'تجربه‌گرها'!$F:$F,R$1)</f>
        <v>0</v>
      </c>
      <c r="S1453" s="242">
        <f>COUNTIFS('تجربه‌گرها'!$B:$B,$A1453,'تجربه‌گرها'!$F:$F,S$1)</f>
        <v>0</v>
      </c>
      <c r="T1453" s="242">
        <f>COUNTIFS('تجربه‌گرها'!$B:$B,$A1453,'تجربه‌گرها'!$F:$F,T$1)</f>
        <v>0</v>
      </c>
      <c r="U1453" s="242"/>
      <c r="V1453" s="242"/>
      <c r="W1453" s="242"/>
      <c r="X1453" s="242"/>
      <c r="Y1453" s="242"/>
      <c r="Z1453" s="242"/>
      <c r="AA1453" s="242"/>
      <c r="AB1453" s="242"/>
    </row>
    <row r="1454" hidden="1">
      <c r="A1454" s="244" t="s">
        <v>7361</v>
      </c>
      <c r="B1454" s="245" t="str">
        <f>VLOOKUP(A1454,'تجربه‌گرها'!B:C,2,FALSE())</f>
        <v>09382063709</v>
      </c>
      <c r="C1454" s="242"/>
      <c r="D1454" s="242">
        <f t="shared" si="1"/>
        <v>1</v>
      </c>
      <c r="E1454" s="242">
        <f>COUNTIFS('تجربه‌گرها'!$B:$B,$A1454,'تجربه‌گرها'!$F:$F,E$1)</f>
        <v>0</v>
      </c>
      <c r="F1454" s="242">
        <f>COUNTIFS('تجربه‌گرها'!$B:$B,$A1454,'تجربه‌گرها'!$F:$F,F$1)</f>
        <v>0</v>
      </c>
      <c r="G1454" s="242">
        <f>COUNTIFS('تجربه‌گرها'!$B:$B,$A1454,'تجربه‌گرها'!$F:$F,G$1)</f>
        <v>0</v>
      </c>
      <c r="H1454" s="242">
        <f>COUNTIFS('تجربه‌گرها'!$B:$B,$A1454,'تجربه‌گرها'!$F:$F,H$1)</f>
        <v>0</v>
      </c>
      <c r="I1454" s="242">
        <f>COUNTIFS('تجربه‌گرها'!$B:$B,$A1454,'تجربه‌گرها'!$F:$F,I$1)</f>
        <v>0</v>
      </c>
      <c r="J1454" s="242">
        <f>COUNTIFS('تجربه‌گرها'!$B:$B,$A1454,'تجربه‌گرها'!$F:$F,J$1)</f>
        <v>0</v>
      </c>
      <c r="K1454" s="242">
        <f>COUNTIFS('تجربه‌گرها'!$B:$B,$A1454,'تجربه‌گرها'!$F:$F,K$1)</f>
        <v>0</v>
      </c>
      <c r="L1454" s="242">
        <f>COUNTIFS('تجربه‌گرها'!$B:$B,$A1454,'تجربه‌گرها'!$F:$F,L$1)</f>
        <v>0</v>
      </c>
      <c r="M1454" s="242">
        <f>COUNTIFS('تجربه‌گرها'!$B:$B,$A1454,'تجربه‌گرها'!$F:$F,M$1)</f>
        <v>0</v>
      </c>
      <c r="N1454" s="242">
        <f>COUNTIFS('تجربه‌گرها'!$B:$B,$A1454,'تجربه‌گرها'!$F:$F,N$1)</f>
        <v>0</v>
      </c>
      <c r="O1454" s="242">
        <f>COUNTIFS('تجربه‌گرها'!$B:$B,$A1454,'تجربه‌گرها'!$F:$F,O$1)</f>
        <v>0</v>
      </c>
      <c r="P1454" s="242">
        <f>COUNTIFS('تجربه‌گرها'!$B:$B,$A1454,'تجربه‌گرها'!$F:$F,P$1)</f>
        <v>0</v>
      </c>
      <c r="Q1454" s="242">
        <f>COUNTIFS('تجربه‌گرها'!$B:$B,$A1454,'تجربه‌گرها'!$F:$F,Q$1)</f>
        <v>1</v>
      </c>
      <c r="R1454" s="242">
        <f>COUNTIFS('تجربه‌گرها'!$B:$B,$A1454,'تجربه‌گرها'!$F:$F,R$1)</f>
        <v>0</v>
      </c>
      <c r="S1454" s="242">
        <f>COUNTIFS('تجربه‌گرها'!$B:$B,$A1454,'تجربه‌گرها'!$F:$F,S$1)</f>
        <v>0</v>
      </c>
      <c r="T1454" s="242">
        <f>COUNTIFS('تجربه‌گرها'!$B:$B,$A1454,'تجربه‌گرها'!$F:$F,T$1)</f>
        <v>0</v>
      </c>
      <c r="U1454" s="242"/>
      <c r="V1454" s="242"/>
      <c r="W1454" s="242"/>
      <c r="X1454" s="242"/>
      <c r="Y1454" s="242"/>
      <c r="Z1454" s="242"/>
      <c r="AA1454" s="242"/>
      <c r="AB1454" s="242"/>
    </row>
    <row r="1455" hidden="1">
      <c r="A1455" s="244" t="s">
        <v>7362</v>
      </c>
      <c r="B1455" s="245" t="str">
        <f>VLOOKUP(A1455,'تجربه‌گرها'!B:C,2,FALSE())</f>
        <v>09057579870</v>
      </c>
      <c r="C1455" s="242"/>
      <c r="D1455" s="242">
        <f t="shared" si="1"/>
        <v>1</v>
      </c>
      <c r="E1455" s="242">
        <f>COUNTIFS('تجربه‌گرها'!$B:$B,$A1455,'تجربه‌گرها'!$F:$F,E$1)</f>
        <v>0</v>
      </c>
      <c r="F1455" s="242">
        <f>COUNTIFS('تجربه‌گرها'!$B:$B,$A1455,'تجربه‌گرها'!$F:$F,F$1)</f>
        <v>0</v>
      </c>
      <c r="G1455" s="242">
        <f>COUNTIFS('تجربه‌گرها'!$B:$B,$A1455,'تجربه‌گرها'!$F:$F,G$1)</f>
        <v>0</v>
      </c>
      <c r="H1455" s="242">
        <f>COUNTIFS('تجربه‌گرها'!$B:$B,$A1455,'تجربه‌گرها'!$F:$F,H$1)</f>
        <v>0</v>
      </c>
      <c r="I1455" s="242">
        <f>COUNTIFS('تجربه‌گرها'!$B:$B,$A1455,'تجربه‌گرها'!$F:$F,I$1)</f>
        <v>0</v>
      </c>
      <c r="J1455" s="242">
        <f>COUNTIFS('تجربه‌گرها'!$B:$B,$A1455,'تجربه‌گرها'!$F:$F,J$1)</f>
        <v>0</v>
      </c>
      <c r="K1455" s="242">
        <f>COUNTIFS('تجربه‌گرها'!$B:$B,$A1455,'تجربه‌گرها'!$F:$F,K$1)</f>
        <v>0</v>
      </c>
      <c r="L1455" s="242">
        <f>COUNTIFS('تجربه‌گرها'!$B:$B,$A1455,'تجربه‌گرها'!$F:$F,L$1)</f>
        <v>0</v>
      </c>
      <c r="M1455" s="242">
        <f>COUNTIFS('تجربه‌گرها'!$B:$B,$A1455,'تجربه‌گرها'!$F:$F,M$1)</f>
        <v>0</v>
      </c>
      <c r="N1455" s="242">
        <f>COUNTIFS('تجربه‌گرها'!$B:$B,$A1455,'تجربه‌گرها'!$F:$F,N$1)</f>
        <v>0</v>
      </c>
      <c r="O1455" s="242">
        <f>COUNTIFS('تجربه‌گرها'!$B:$B,$A1455,'تجربه‌گرها'!$F:$F,O$1)</f>
        <v>0</v>
      </c>
      <c r="P1455" s="242">
        <f>COUNTIFS('تجربه‌گرها'!$B:$B,$A1455,'تجربه‌گرها'!$F:$F,P$1)</f>
        <v>0</v>
      </c>
      <c r="Q1455" s="242">
        <f>COUNTIFS('تجربه‌گرها'!$B:$B,$A1455,'تجربه‌گرها'!$F:$F,Q$1)</f>
        <v>1</v>
      </c>
      <c r="R1455" s="242">
        <f>COUNTIFS('تجربه‌گرها'!$B:$B,$A1455,'تجربه‌گرها'!$F:$F,R$1)</f>
        <v>0</v>
      </c>
      <c r="S1455" s="242">
        <f>COUNTIFS('تجربه‌گرها'!$B:$B,$A1455,'تجربه‌گرها'!$F:$F,S$1)</f>
        <v>0</v>
      </c>
      <c r="T1455" s="242">
        <f>COUNTIFS('تجربه‌گرها'!$B:$B,$A1455,'تجربه‌گرها'!$F:$F,T$1)</f>
        <v>0</v>
      </c>
      <c r="U1455" s="242"/>
      <c r="V1455" s="242"/>
      <c r="W1455" s="242"/>
      <c r="X1455" s="242"/>
      <c r="Y1455" s="242"/>
      <c r="Z1455" s="242"/>
      <c r="AA1455" s="242"/>
      <c r="AB1455" s="242"/>
    </row>
    <row r="1456" hidden="1">
      <c r="A1456" s="244" t="s">
        <v>7363</v>
      </c>
      <c r="B1456" s="245" t="str">
        <f>VLOOKUP(A1456,'تجربه‌گرها'!B:C,2,FALSE())</f>
        <v>09127748804</v>
      </c>
      <c r="C1456" s="242"/>
      <c r="D1456" s="242">
        <f t="shared" si="1"/>
        <v>1</v>
      </c>
      <c r="E1456" s="242">
        <f>COUNTIFS('تجربه‌گرها'!$B:$B,$A1456,'تجربه‌گرها'!$F:$F,E$1)</f>
        <v>0</v>
      </c>
      <c r="F1456" s="242">
        <f>COUNTIFS('تجربه‌گرها'!$B:$B,$A1456,'تجربه‌گرها'!$F:$F,F$1)</f>
        <v>0</v>
      </c>
      <c r="G1456" s="242">
        <f>COUNTIFS('تجربه‌گرها'!$B:$B,$A1456,'تجربه‌گرها'!$F:$F,G$1)</f>
        <v>0</v>
      </c>
      <c r="H1456" s="242">
        <f>COUNTIFS('تجربه‌گرها'!$B:$B,$A1456,'تجربه‌گرها'!$F:$F,H$1)</f>
        <v>0</v>
      </c>
      <c r="I1456" s="242">
        <f>COUNTIFS('تجربه‌گرها'!$B:$B,$A1456,'تجربه‌گرها'!$F:$F,I$1)</f>
        <v>0</v>
      </c>
      <c r="J1456" s="242">
        <f>COUNTIFS('تجربه‌گرها'!$B:$B,$A1456,'تجربه‌گرها'!$F:$F,J$1)</f>
        <v>0</v>
      </c>
      <c r="K1456" s="242">
        <f>COUNTIFS('تجربه‌گرها'!$B:$B,$A1456,'تجربه‌گرها'!$F:$F,K$1)</f>
        <v>0</v>
      </c>
      <c r="L1456" s="242">
        <f>COUNTIFS('تجربه‌گرها'!$B:$B,$A1456,'تجربه‌گرها'!$F:$F,L$1)</f>
        <v>0</v>
      </c>
      <c r="M1456" s="242">
        <f>COUNTIFS('تجربه‌گرها'!$B:$B,$A1456,'تجربه‌گرها'!$F:$F,M$1)</f>
        <v>0</v>
      </c>
      <c r="N1456" s="242">
        <f>COUNTIFS('تجربه‌گرها'!$B:$B,$A1456,'تجربه‌گرها'!$F:$F,N$1)</f>
        <v>0</v>
      </c>
      <c r="O1456" s="242">
        <f>COUNTIFS('تجربه‌گرها'!$B:$B,$A1456,'تجربه‌گرها'!$F:$F,O$1)</f>
        <v>0</v>
      </c>
      <c r="P1456" s="242">
        <f>COUNTIFS('تجربه‌گرها'!$B:$B,$A1456,'تجربه‌گرها'!$F:$F,P$1)</f>
        <v>0</v>
      </c>
      <c r="Q1456" s="242">
        <f>COUNTIFS('تجربه‌گرها'!$B:$B,$A1456,'تجربه‌گرها'!$F:$F,Q$1)</f>
        <v>1</v>
      </c>
      <c r="R1456" s="242">
        <f>COUNTIFS('تجربه‌گرها'!$B:$B,$A1456,'تجربه‌گرها'!$F:$F,R$1)</f>
        <v>0</v>
      </c>
      <c r="S1456" s="242">
        <f>COUNTIFS('تجربه‌گرها'!$B:$B,$A1456,'تجربه‌گرها'!$F:$F,S$1)</f>
        <v>0</v>
      </c>
      <c r="T1456" s="242">
        <f>COUNTIFS('تجربه‌گرها'!$B:$B,$A1456,'تجربه‌گرها'!$F:$F,T$1)</f>
        <v>0</v>
      </c>
      <c r="U1456" s="242"/>
      <c r="V1456" s="242"/>
      <c r="W1456" s="242"/>
      <c r="X1456" s="242"/>
      <c r="Y1456" s="242"/>
      <c r="Z1456" s="242"/>
      <c r="AA1456" s="242"/>
      <c r="AB1456" s="242"/>
    </row>
    <row r="1457" hidden="1">
      <c r="A1457" s="244" t="s">
        <v>7364</v>
      </c>
      <c r="B1457" s="245" t="str">
        <f>VLOOKUP(A1457,'تجربه‌گرها'!B:C,2,FALSE())</f>
        <v>09100875207</v>
      </c>
      <c r="C1457" s="242"/>
      <c r="D1457" s="242">
        <f t="shared" si="1"/>
        <v>1</v>
      </c>
      <c r="E1457" s="242">
        <f>COUNTIFS('تجربه‌گرها'!$B:$B,$A1457,'تجربه‌گرها'!$F:$F,E$1)</f>
        <v>0</v>
      </c>
      <c r="F1457" s="242">
        <f>COUNTIFS('تجربه‌گرها'!$B:$B,$A1457,'تجربه‌گرها'!$F:$F,F$1)</f>
        <v>0</v>
      </c>
      <c r="G1457" s="242">
        <f>COUNTIFS('تجربه‌گرها'!$B:$B,$A1457,'تجربه‌گرها'!$F:$F,G$1)</f>
        <v>0</v>
      </c>
      <c r="H1457" s="242">
        <f>COUNTIFS('تجربه‌گرها'!$B:$B,$A1457,'تجربه‌گرها'!$F:$F,H$1)</f>
        <v>0</v>
      </c>
      <c r="I1457" s="242">
        <f>COUNTIFS('تجربه‌گرها'!$B:$B,$A1457,'تجربه‌گرها'!$F:$F,I$1)</f>
        <v>0</v>
      </c>
      <c r="J1457" s="242">
        <f>COUNTIFS('تجربه‌گرها'!$B:$B,$A1457,'تجربه‌گرها'!$F:$F,J$1)</f>
        <v>0</v>
      </c>
      <c r="K1457" s="242">
        <f>COUNTIFS('تجربه‌گرها'!$B:$B,$A1457,'تجربه‌گرها'!$F:$F,K$1)</f>
        <v>0</v>
      </c>
      <c r="L1457" s="242">
        <f>COUNTIFS('تجربه‌گرها'!$B:$B,$A1457,'تجربه‌گرها'!$F:$F,L$1)</f>
        <v>0</v>
      </c>
      <c r="M1457" s="242">
        <f>COUNTIFS('تجربه‌گرها'!$B:$B,$A1457,'تجربه‌گرها'!$F:$F,M$1)</f>
        <v>0</v>
      </c>
      <c r="N1457" s="242">
        <f>COUNTIFS('تجربه‌گرها'!$B:$B,$A1457,'تجربه‌گرها'!$F:$F,N$1)</f>
        <v>0</v>
      </c>
      <c r="O1457" s="242">
        <f>COUNTIFS('تجربه‌گرها'!$B:$B,$A1457,'تجربه‌گرها'!$F:$F,O$1)</f>
        <v>0</v>
      </c>
      <c r="P1457" s="242">
        <f>COUNTIFS('تجربه‌گرها'!$B:$B,$A1457,'تجربه‌گرها'!$F:$F,P$1)</f>
        <v>0</v>
      </c>
      <c r="Q1457" s="242">
        <f>COUNTIFS('تجربه‌گرها'!$B:$B,$A1457,'تجربه‌گرها'!$F:$F,Q$1)</f>
        <v>1</v>
      </c>
      <c r="R1457" s="242">
        <f>COUNTIFS('تجربه‌گرها'!$B:$B,$A1457,'تجربه‌گرها'!$F:$F,R$1)</f>
        <v>0</v>
      </c>
      <c r="S1457" s="242">
        <f>COUNTIFS('تجربه‌گرها'!$B:$B,$A1457,'تجربه‌گرها'!$F:$F,S$1)</f>
        <v>0</v>
      </c>
      <c r="T1457" s="242">
        <f>COUNTIFS('تجربه‌گرها'!$B:$B,$A1457,'تجربه‌گرها'!$F:$F,T$1)</f>
        <v>0</v>
      </c>
      <c r="U1457" s="242"/>
      <c r="V1457" s="242"/>
      <c r="W1457" s="242"/>
      <c r="X1457" s="242"/>
      <c r="Y1457" s="242"/>
      <c r="Z1457" s="242"/>
      <c r="AA1457" s="242"/>
      <c r="AB1457" s="242"/>
    </row>
    <row r="1458" hidden="1">
      <c r="A1458" s="244" t="s">
        <v>7365</v>
      </c>
      <c r="B1458" s="245" t="str">
        <f>VLOOKUP(A1458,'تجربه‌گرها'!B:C,2,FALSE())</f>
        <v>09364734031</v>
      </c>
      <c r="C1458" s="242"/>
      <c r="D1458" s="242">
        <f t="shared" si="1"/>
        <v>1</v>
      </c>
      <c r="E1458" s="242">
        <f>COUNTIFS('تجربه‌گرها'!$B:$B,$A1458,'تجربه‌گرها'!$F:$F,E$1)</f>
        <v>0</v>
      </c>
      <c r="F1458" s="242">
        <f>COUNTIFS('تجربه‌گرها'!$B:$B,$A1458,'تجربه‌گرها'!$F:$F,F$1)</f>
        <v>0</v>
      </c>
      <c r="G1458" s="242">
        <f>COUNTIFS('تجربه‌گرها'!$B:$B,$A1458,'تجربه‌گرها'!$F:$F,G$1)</f>
        <v>0</v>
      </c>
      <c r="H1458" s="242">
        <f>COUNTIFS('تجربه‌گرها'!$B:$B,$A1458,'تجربه‌گرها'!$F:$F,H$1)</f>
        <v>0</v>
      </c>
      <c r="I1458" s="242">
        <f>COUNTIFS('تجربه‌گرها'!$B:$B,$A1458,'تجربه‌گرها'!$F:$F,I$1)</f>
        <v>0</v>
      </c>
      <c r="J1458" s="242">
        <f>COUNTIFS('تجربه‌گرها'!$B:$B,$A1458,'تجربه‌گرها'!$F:$F,J$1)</f>
        <v>0</v>
      </c>
      <c r="K1458" s="242">
        <f>COUNTIFS('تجربه‌گرها'!$B:$B,$A1458,'تجربه‌گرها'!$F:$F,K$1)</f>
        <v>0</v>
      </c>
      <c r="L1458" s="242">
        <f>COUNTIFS('تجربه‌گرها'!$B:$B,$A1458,'تجربه‌گرها'!$F:$F,L$1)</f>
        <v>0</v>
      </c>
      <c r="M1458" s="242">
        <f>COUNTIFS('تجربه‌گرها'!$B:$B,$A1458,'تجربه‌گرها'!$F:$F,M$1)</f>
        <v>0</v>
      </c>
      <c r="N1458" s="242">
        <f>COUNTIFS('تجربه‌گرها'!$B:$B,$A1458,'تجربه‌گرها'!$F:$F,N$1)</f>
        <v>0</v>
      </c>
      <c r="O1458" s="242">
        <f>COUNTIFS('تجربه‌گرها'!$B:$B,$A1458,'تجربه‌گرها'!$F:$F,O$1)</f>
        <v>0</v>
      </c>
      <c r="P1458" s="242">
        <f>COUNTIFS('تجربه‌گرها'!$B:$B,$A1458,'تجربه‌گرها'!$F:$F,P$1)</f>
        <v>0</v>
      </c>
      <c r="Q1458" s="242">
        <f>COUNTIFS('تجربه‌گرها'!$B:$B,$A1458,'تجربه‌گرها'!$F:$F,Q$1)</f>
        <v>1</v>
      </c>
      <c r="R1458" s="242">
        <f>COUNTIFS('تجربه‌گرها'!$B:$B,$A1458,'تجربه‌گرها'!$F:$F,R$1)</f>
        <v>0</v>
      </c>
      <c r="S1458" s="242">
        <f>COUNTIFS('تجربه‌گرها'!$B:$B,$A1458,'تجربه‌گرها'!$F:$F,S$1)</f>
        <v>0</v>
      </c>
      <c r="T1458" s="242">
        <f>COUNTIFS('تجربه‌گرها'!$B:$B,$A1458,'تجربه‌گرها'!$F:$F,T$1)</f>
        <v>0</v>
      </c>
      <c r="U1458" s="242"/>
      <c r="V1458" s="242"/>
      <c r="W1458" s="242"/>
      <c r="X1458" s="242"/>
      <c r="Y1458" s="242"/>
      <c r="Z1458" s="242"/>
      <c r="AA1458" s="242"/>
      <c r="AB1458" s="242"/>
    </row>
    <row r="1459" hidden="1">
      <c r="A1459" s="244" t="s">
        <v>7366</v>
      </c>
      <c r="B1459" s="245" t="str">
        <f>VLOOKUP(A1459,'تجربه‌گرها'!B:C,2,FALSE())</f>
        <v>09363007326</v>
      </c>
      <c r="C1459" s="242"/>
      <c r="D1459" s="242">
        <f t="shared" si="1"/>
        <v>1</v>
      </c>
      <c r="E1459" s="242">
        <f>COUNTIFS('تجربه‌گرها'!$B:$B,$A1459,'تجربه‌گرها'!$F:$F,E$1)</f>
        <v>0</v>
      </c>
      <c r="F1459" s="242">
        <f>COUNTIFS('تجربه‌گرها'!$B:$B,$A1459,'تجربه‌گرها'!$F:$F,F$1)</f>
        <v>0</v>
      </c>
      <c r="G1459" s="242">
        <f>COUNTIFS('تجربه‌گرها'!$B:$B,$A1459,'تجربه‌گرها'!$F:$F,G$1)</f>
        <v>0</v>
      </c>
      <c r="H1459" s="242">
        <f>COUNTIFS('تجربه‌گرها'!$B:$B,$A1459,'تجربه‌گرها'!$F:$F,H$1)</f>
        <v>0</v>
      </c>
      <c r="I1459" s="242">
        <f>COUNTIFS('تجربه‌گرها'!$B:$B,$A1459,'تجربه‌گرها'!$F:$F,I$1)</f>
        <v>0</v>
      </c>
      <c r="J1459" s="242">
        <f>COUNTIFS('تجربه‌گرها'!$B:$B,$A1459,'تجربه‌گرها'!$F:$F,J$1)</f>
        <v>0</v>
      </c>
      <c r="K1459" s="242">
        <f>COUNTIFS('تجربه‌گرها'!$B:$B,$A1459,'تجربه‌گرها'!$F:$F,K$1)</f>
        <v>0</v>
      </c>
      <c r="L1459" s="242">
        <f>COUNTIFS('تجربه‌گرها'!$B:$B,$A1459,'تجربه‌گرها'!$F:$F,L$1)</f>
        <v>0</v>
      </c>
      <c r="M1459" s="242">
        <f>COUNTIFS('تجربه‌گرها'!$B:$B,$A1459,'تجربه‌گرها'!$F:$F,M$1)</f>
        <v>0</v>
      </c>
      <c r="N1459" s="242">
        <f>COUNTIFS('تجربه‌گرها'!$B:$B,$A1459,'تجربه‌گرها'!$F:$F,N$1)</f>
        <v>0</v>
      </c>
      <c r="O1459" s="242">
        <f>COUNTIFS('تجربه‌گرها'!$B:$B,$A1459,'تجربه‌گرها'!$F:$F,O$1)</f>
        <v>0</v>
      </c>
      <c r="P1459" s="242">
        <f>COUNTIFS('تجربه‌گرها'!$B:$B,$A1459,'تجربه‌گرها'!$F:$F,P$1)</f>
        <v>0</v>
      </c>
      <c r="Q1459" s="242">
        <f>COUNTIFS('تجربه‌گرها'!$B:$B,$A1459,'تجربه‌گرها'!$F:$F,Q$1)</f>
        <v>1</v>
      </c>
      <c r="R1459" s="242">
        <f>COUNTIFS('تجربه‌گرها'!$B:$B,$A1459,'تجربه‌گرها'!$F:$F,R$1)</f>
        <v>0</v>
      </c>
      <c r="S1459" s="242">
        <f>COUNTIFS('تجربه‌گرها'!$B:$B,$A1459,'تجربه‌گرها'!$F:$F,S$1)</f>
        <v>0</v>
      </c>
      <c r="T1459" s="242">
        <f>COUNTIFS('تجربه‌گرها'!$B:$B,$A1459,'تجربه‌گرها'!$F:$F,T$1)</f>
        <v>0</v>
      </c>
      <c r="U1459" s="242"/>
      <c r="V1459" s="242"/>
      <c r="W1459" s="242"/>
      <c r="X1459" s="242"/>
      <c r="Y1459" s="242"/>
      <c r="Z1459" s="242"/>
      <c r="AA1459" s="242"/>
      <c r="AB1459" s="242"/>
    </row>
    <row r="1460" hidden="1">
      <c r="A1460" s="244" t="s">
        <v>7367</v>
      </c>
      <c r="B1460" s="245" t="str">
        <f>VLOOKUP(A1460,'تجربه‌گرها'!B:C,2,FALSE())</f>
        <v>09930003669</v>
      </c>
      <c r="C1460" s="242"/>
      <c r="D1460" s="242">
        <f t="shared" si="1"/>
        <v>1</v>
      </c>
      <c r="E1460" s="242">
        <f>COUNTIFS('تجربه‌گرها'!$B:$B,$A1460,'تجربه‌گرها'!$F:$F,E$1)</f>
        <v>0</v>
      </c>
      <c r="F1460" s="242">
        <f>COUNTIFS('تجربه‌گرها'!$B:$B,$A1460,'تجربه‌گرها'!$F:$F,F$1)</f>
        <v>0</v>
      </c>
      <c r="G1460" s="242">
        <f>COUNTIFS('تجربه‌گرها'!$B:$B,$A1460,'تجربه‌گرها'!$F:$F,G$1)</f>
        <v>0</v>
      </c>
      <c r="H1460" s="242">
        <f>COUNTIFS('تجربه‌گرها'!$B:$B,$A1460,'تجربه‌گرها'!$F:$F,H$1)</f>
        <v>0</v>
      </c>
      <c r="I1460" s="242">
        <f>COUNTIFS('تجربه‌گرها'!$B:$B,$A1460,'تجربه‌گرها'!$F:$F,I$1)</f>
        <v>0</v>
      </c>
      <c r="J1460" s="242">
        <f>COUNTIFS('تجربه‌گرها'!$B:$B,$A1460,'تجربه‌گرها'!$F:$F,J$1)</f>
        <v>0</v>
      </c>
      <c r="K1460" s="242">
        <f>COUNTIFS('تجربه‌گرها'!$B:$B,$A1460,'تجربه‌گرها'!$F:$F,K$1)</f>
        <v>0</v>
      </c>
      <c r="L1460" s="242">
        <f>COUNTIFS('تجربه‌گرها'!$B:$B,$A1460,'تجربه‌گرها'!$F:$F,L$1)</f>
        <v>0</v>
      </c>
      <c r="M1460" s="242">
        <f>COUNTIFS('تجربه‌گرها'!$B:$B,$A1460,'تجربه‌گرها'!$F:$F,M$1)</f>
        <v>0</v>
      </c>
      <c r="N1460" s="242">
        <f>COUNTIFS('تجربه‌گرها'!$B:$B,$A1460,'تجربه‌گرها'!$F:$F,N$1)</f>
        <v>0</v>
      </c>
      <c r="O1460" s="242">
        <f>COUNTIFS('تجربه‌گرها'!$B:$B,$A1460,'تجربه‌گرها'!$F:$F,O$1)</f>
        <v>0</v>
      </c>
      <c r="P1460" s="242">
        <f>COUNTIFS('تجربه‌گرها'!$B:$B,$A1460,'تجربه‌گرها'!$F:$F,P$1)</f>
        <v>0</v>
      </c>
      <c r="Q1460" s="242">
        <f>COUNTIFS('تجربه‌گرها'!$B:$B,$A1460,'تجربه‌گرها'!$F:$F,Q$1)</f>
        <v>1</v>
      </c>
      <c r="R1460" s="242">
        <f>COUNTIFS('تجربه‌گرها'!$B:$B,$A1460,'تجربه‌گرها'!$F:$F,R$1)</f>
        <v>0</v>
      </c>
      <c r="S1460" s="242">
        <f>COUNTIFS('تجربه‌گرها'!$B:$B,$A1460,'تجربه‌گرها'!$F:$F,S$1)</f>
        <v>0</v>
      </c>
      <c r="T1460" s="242">
        <f>COUNTIFS('تجربه‌گرها'!$B:$B,$A1460,'تجربه‌گرها'!$F:$F,T$1)</f>
        <v>0</v>
      </c>
      <c r="U1460" s="242"/>
      <c r="V1460" s="242"/>
      <c r="W1460" s="242"/>
      <c r="X1460" s="242"/>
      <c r="Y1460" s="242"/>
      <c r="Z1460" s="242"/>
      <c r="AA1460" s="242"/>
      <c r="AB1460" s="242"/>
    </row>
    <row r="1461" hidden="1">
      <c r="A1461" s="244" t="s">
        <v>7368</v>
      </c>
      <c r="B1461" s="245" t="str">
        <f>VLOOKUP(A1461,'تجربه‌گرها'!B:C,2,FALSE())</f>
        <v>09203933720</v>
      </c>
      <c r="C1461" s="242"/>
      <c r="D1461" s="242">
        <f t="shared" si="1"/>
        <v>1</v>
      </c>
      <c r="E1461" s="242">
        <f>COUNTIFS('تجربه‌گرها'!$B:$B,$A1461,'تجربه‌گرها'!$F:$F,E$1)</f>
        <v>0</v>
      </c>
      <c r="F1461" s="242">
        <f>COUNTIFS('تجربه‌گرها'!$B:$B,$A1461,'تجربه‌گرها'!$F:$F,F$1)</f>
        <v>0</v>
      </c>
      <c r="G1461" s="242">
        <f>COUNTIFS('تجربه‌گرها'!$B:$B,$A1461,'تجربه‌گرها'!$F:$F,G$1)</f>
        <v>0</v>
      </c>
      <c r="H1461" s="242">
        <f>COUNTIFS('تجربه‌گرها'!$B:$B,$A1461,'تجربه‌گرها'!$F:$F,H$1)</f>
        <v>0</v>
      </c>
      <c r="I1461" s="242">
        <f>COUNTIFS('تجربه‌گرها'!$B:$B,$A1461,'تجربه‌گرها'!$F:$F,I$1)</f>
        <v>0</v>
      </c>
      <c r="J1461" s="242">
        <f>COUNTIFS('تجربه‌گرها'!$B:$B,$A1461,'تجربه‌گرها'!$F:$F,J$1)</f>
        <v>0</v>
      </c>
      <c r="K1461" s="242">
        <f>COUNTIFS('تجربه‌گرها'!$B:$B,$A1461,'تجربه‌گرها'!$F:$F,K$1)</f>
        <v>0</v>
      </c>
      <c r="L1461" s="242">
        <f>COUNTIFS('تجربه‌گرها'!$B:$B,$A1461,'تجربه‌گرها'!$F:$F,L$1)</f>
        <v>0</v>
      </c>
      <c r="M1461" s="242">
        <f>COUNTIFS('تجربه‌گرها'!$B:$B,$A1461,'تجربه‌گرها'!$F:$F,M$1)</f>
        <v>0</v>
      </c>
      <c r="N1461" s="242">
        <f>COUNTIFS('تجربه‌گرها'!$B:$B,$A1461,'تجربه‌گرها'!$F:$F,N$1)</f>
        <v>0</v>
      </c>
      <c r="O1461" s="242">
        <f>COUNTIFS('تجربه‌گرها'!$B:$B,$A1461,'تجربه‌گرها'!$F:$F,O$1)</f>
        <v>0</v>
      </c>
      <c r="P1461" s="242">
        <f>COUNTIFS('تجربه‌گرها'!$B:$B,$A1461,'تجربه‌گرها'!$F:$F,P$1)</f>
        <v>0</v>
      </c>
      <c r="Q1461" s="242">
        <f>COUNTIFS('تجربه‌گرها'!$B:$B,$A1461,'تجربه‌گرها'!$F:$F,Q$1)</f>
        <v>1</v>
      </c>
      <c r="R1461" s="242">
        <f>COUNTIFS('تجربه‌گرها'!$B:$B,$A1461,'تجربه‌گرها'!$F:$F,R$1)</f>
        <v>0</v>
      </c>
      <c r="S1461" s="242">
        <f>COUNTIFS('تجربه‌گرها'!$B:$B,$A1461,'تجربه‌گرها'!$F:$F,S$1)</f>
        <v>0</v>
      </c>
      <c r="T1461" s="242">
        <f>COUNTIFS('تجربه‌گرها'!$B:$B,$A1461,'تجربه‌گرها'!$F:$F,T$1)</f>
        <v>0</v>
      </c>
      <c r="U1461" s="242"/>
      <c r="V1461" s="242"/>
      <c r="W1461" s="242"/>
      <c r="X1461" s="242"/>
      <c r="Y1461" s="242"/>
      <c r="Z1461" s="242"/>
      <c r="AA1461" s="242"/>
      <c r="AB1461" s="242"/>
    </row>
    <row r="1462" hidden="1">
      <c r="A1462" s="244" t="s">
        <v>203</v>
      </c>
      <c r="B1462" s="245" t="str">
        <f>VLOOKUP(A1462,'تجربه‌گرها'!B:C,2,FALSE())</f>
        <v>09125149807</v>
      </c>
      <c r="C1462" s="242"/>
      <c r="D1462" s="242">
        <f t="shared" si="1"/>
        <v>1</v>
      </c>
      <c r="E1462" s="242">
        <f>COUNTIFS('تجربه‌گرها'!$B:$B,$A1462,'تجربه‌گرها'!$F:$F,E$1)</f>
        <v>0</v>
      </c>
      <c r="F1462" s="242">
        <f>COUNTIFS('تجربه‌گرها'!$B:$B,$A1462,'تجربه‌گرها'!$F:$F,F$1)</f>
        <v>0</v>
      </c>
      <c r="G1462" s="242">
        <f>COUNTIFS('تجربه‌گرها'!$B:$B,$A1462,'تجربه‌گرها'!$F:$F,G$1)</f>
        <v>0</v>
      </c>
      <c r="H1462" s="242">
        <f>COUNTIFS('تجربه‌گرها'!$B:$B,$A1462,'تجربه‌گرها'!$F:$F,H$1)</f>
        <v>0</v>
      </c>
      <c r="I1462" s="242">
        <f>COUNTIFS('تجربه‌گرها'!$B:$B,$A1462,'تجربه‌گرها'!$F:$F,I$1)</f>
        <v>0</v>
      </c>
      <c r="J1462" s="242">
        <f>COUNTIFS('تجربه‌گرها'!$B:$B,$A1462,'تجربه‌گرها'!$F:$F,J$1)</f>
        <v>0</v>
      </c>
      <c r="K1462" s="242">
        <f>COUNTIFS('تجربه‌گرها'!$B:$B,$A1462,'تجربه‌گرها'!$F:$F,K$1)</f>
        <v>0</v>
      </c>
      <c r="L1462" s="242">
        <f>COUNTIFS('تجربه‌گرها'!$B:$B,$A1462,'تجربه‌گرها'!$F:$F,L$1)</f>
        <v>0</v>
      </c>
      <c r="M1462" s="242">
        <f>COUNTIFS('تجربه‌گرها'!$B:$B,$A1462,'تجربه‌گرها'!$F:$F,M$1)</f>
        <v>0</v>
      </c>
      <c r="N1462" s="242">
        <f>COUNTIFS('تجربه‌گرها'!$B:$B,$A1462,'تجربه‌گرها'!$F:$F,N$1)</f>
        <v>0</v>
      </c>
      <c r="O1462" s="242">
        <f>COUNTIFS('تجربه‌گرها'!$B:$B,$A1462,'تجربه‌گرها'!$F:$F,O$1)</f>
        <v>0</v>
      </c>
      <c r="P1462" s="242">
        <f>COUNTIFS('تجربه‌گرها'!$B:$B,$A1462,'تجربه‌گرها'!$F:$F,P$1)</f>
        <v>0</v>
      </c>
      <c r="Q1462" s="242">
        <f>COUNTIFS('تجربه‌گرها'!$B:$B,$A1462,'تجربه‌گرها'!$F:$F,Q$1)</f>
        <v>1</v>
      </c>
      <c r="R1462" s="242">
        <f>COUNTIFS('تجربه‌گرها'!$B:$B,$A1462,'تجربه‌گرها'!$F:$F,R$1)</f>
        <v>0</v>
      </c>
      <c r="S1462" s="242">
        <f>COUNTIFS('تجربه‌گرها'!$B:$B,$A1462,'تجربه‌گرها'!$F:$F,S$1)</f>
        <v>0</v>
      </c>
      <c r="T1462" s="242">
        <f>COUNTIFS('تجربه‌گرها'!$B:$B,$A1462,'تجربه‌گرها'!$F:$F,T$1)</f>
        <v>0</v>
      </c>
      <c r="U1462" s="242"/>
      <c r="V1462" s="242"/>
      <c r="W1462" s="242"/>
      <c r="X1462" s="242"/>
      <c r="Y1462" s="242"/>
      <c r="Z1462" s="242"/>
      <c r="AA1462" s="242"/>
      <c r="AB1462" s="242"/>
    </row>
    <row r="1463" hidden="1">
      <c r="A1463" s="244" t="s">
        <v>7369</v>
      </c>
      <c r="B1463" s="245" t="str">
        <f>VLOOKUP(A1463,'تجربه‌گرها'!B:C,2,FALSE())</f>
        <v>09224230126</v>
      </c>
      <c r="C1463" s="242"/>
      <c r="D1463" s="242">
        <f t="shared" si="1"/>
        <v>1</v>
      </c>
      <c r="E1463" s="242">
        <f>COUNTIFS('تجربه‌گرها'!$B:$B,$A1463,'تجربه‌گرها'!$F:$F,E$1)</f>
        <v>0</v>
      </c>
      <c r="F1463" s="242">
        <f>COUNTIFS('تجربه‌گرها'!$B:$B,$A1463,'تجربه‌گرها'!$F:$F,F$1)</f>
        <v>0</v>
      </c>
      <c r="G1463" s="242">
        <f>COUNTIFS('تجربه‌گرها'!$B:$B,$A1463,'تجربه‌گرها'!$F:$F,G$1)</f>
        <v>0</v>
      </c>
      <c r="H1463" s="242">
        <f>COUNTIFS('تجربه‌گرها'!$B:$B,$A1463,'تجربه‌گرها'!$F:$F,H$1)</f>
        <v>0</v>
      </c>
      <c r="I1463" s="242">
        <f>COUNTIFS('تجربه‌گرها'!$B:$B,$A1463,'تجربه‌گرها'!$F:$F,I$1)</f>
        <v>0</v>
      </c>
      <c r="J1463" s="242">
        <f>COUNTIFS('تجربه‌گرها'!$B:$B,$A1463,'تجربه‌گرها'!$F:$F,J$1)</f>
        <v>0</v>
      </c>
      <c r="K1463" s="242">
        <f>COUNTIFS('تجربه‌گرها'!$B:$B,$A1463,'تجربه‌گرها'!$F:$F,K$1)</f>
        <v>0</v>
      </c>
      <c r="L1463" s="242">
        <f>COUNTIFS('تجربه‌گرها'!$B:$B,$A1463,'تجربه‌گرها'!$F:$F,L$1)</f>
        <v>0</v>
      </c>
      <c r="M1463" s="242">
        <f>COUNTIFS('تجربه‌گرها'!$B:$B,$A1463,'تجربه‌گرها'!$F:$F,M$1)</f>
        <v>0</v>
      </c>
      <c r="N1463" s="242">
        <f>COUNTIFS('تجربه‌گرها'!$B:$B,$A1463,'تجربه‌گرها'!$F:$F,N$1)</f>
        <v>0</v>
      </c>
      <c r="O1463" s="242">
        <f>COUNTIFS('تجربه‌گرها'!$B:$B,$A1463,'تجربه‌گرها'!$F:$F,O$1)</f>
        <v>0</v>
      </c>
      <c r="P1463" s="242">
        <f>COUNTIFS('تجربه‌گرها'!$B:$B,$A1463,'تجربه‌گرها'!$F:$F,P$1)</f>
        <v>0</v>
      </c>
      <c r="Q1463" s="242">
        <f>COUNTIFS('تجربه‌گرها'!$B:$B,$A1463,'تجربه‌گرها'!$F:$F,Q$1)</f>
        <v>1</v>
      </c>
      <c r="R1463" s="242">
        <f>COUNTIFS('تجربه‌گرها'!$B:$B,$A1463,'تجربه‌گرها'!$F:$F,R$1)</f>
        <v>0</v>
      </c>
      <c r="S1463" s="242">
        <f>COUNTIFS('تجربه‌گرها'!$B:$B,$A1463,'تجربه‌گرها'!$F:$F,S$1)</f>
        <v>0</v>
      </c>
      <c r="T1463" s="242">
        <f>COUNTIFS('تجربه‌گرها'!$B:$B,$A1463,'تجربه‌گرها'!$F:$F,T$1)</f>
        <v>0</v>
      </c>
      <c r="U1463" s="242"/>
      <c r="V1463" s="242"/>
      <c r="W1463" s="242"/>
      <c r="X1463" s="242"/>
      <c r="Y1463" s="242"/>
      <c r="Z1463" s="242"/>
      <c r="AA1463" s="242"/>
      <c r="AB1463" s="242"/>
    </row>
    <row r="1464" hidden="1">
      <c r="A1464" s="244" t="s">
        <v>7370</v>
      </c>
      <c r="B1464" s="245" t="str">
        <f>VLOOKUP(A1464,'تجربه‌گرها'!B:C,2,FALSE())</f>
        <v>09213743525</v>
      </c>
      <c r="C1464" s="242"/>
      <c r="D1464" s="242">
        <f t="shared" si="1"/>
        <v>1</v>
      </c>
      <c r="E1464" s="242">
        <f>COUNTIFS('تجربه‌گرها'!$B:$B,$A1464,'تجربه‌گرها'!$F:$F,E$1)</f>
        <v>0</v>
      </c>
      <c r="F1464" s="242">
        <f>COUNTIFS('تجربه‌گرها'!$B:$B,$A1464,'تجربه‌گرها'!$F:$F,F$1)</f>
        <v>0</v>
      </c>
      <c r="G1464" s="242">
        <f>COUNTIFS('تجربه‌گرها'!$B:$B,$A1464,'تجربه‌گرها'!$F:$F,G$1)</f>
        <v>0</v>
      </c>
      <c r="H1464" s="242">
        <f>COUNTIFS('تجربه‌گرها'!$B:$B,$A1464,'تجربه‌گرها'!$F:$F,H$1)</f>
        <v>0</v>
      </c>
      <c r="I1464" s="242">
        <f>COUNTIFS('تجربه‌گرها'!$B:$B,$A1464,'تجربه‌گرها'!$F:$F,I$1)</f>
        <v>0</v>
      </c>
      <c r="J1464" s="242">
        <f>COUNTIFS('تجربه‌گرها'!$B:$B,$A1464,'تجربه‌گرها'!$F:$F,J$1)</f>
        <v>0</v>
      </c>
      <c r="K1464" s="242">
        <f>COUNTIFS('تجربه‌گرها'!$B:$B,$A1464,'تجربه‌گرها'!$F:$F,K$1)</f>
        <v>0</v>
      </c>
      <c r="L1464" s="242">
        <f>COUNTIFS('تجربه‌گرها'!$B:$B,$A1464,'تجربه‌گرها'!$F:$F,L$1)</f>
        <v>0</v>
      </c>
      <c r="M1464" s="242">
        <f>COUNTIFS('تجربه‌گرها'!$B:$B,$A1464,'تجربه‌گرها'!$F:$F,M$1)</f>
        <v>0</v>
      </c>
      <c r="N1464" s="242">
        <f>COUNTIFS('تجربه‌گرها'!$B:$B,$A1464,'تجربه‌گرها'!$F:$F,N$1)</f>
        <v>0</v>
      </c>
      <c r="O1464" s="242">
        <f>COUNTIFS('تجربه‌گرها'!$B:$B,$A1464,'تجربه‌گرها'!$F:$F,O$1)</f>
        <v>0</v>
      </c>
      <c r="P1464" s="242">
        <f>COUNTIFS('تجربه‌گرها'!$B:$B,$A1464,'تجربه‌گرها'!$F:$F,P$1)</f>
        <v>0</v>
      </c>
      <c r="Q1464" s="242">
        <f>COUNTIFS('تجربه‌گرها'!$B:$B,$A1464,'تجربه‌گرها'!$F:$F,Q$1)</f>
        <v>1</v>
      </c>
      <c r="R1464" s="242">
        <f>COUNTIFS('تجربه‌گرها'!$B:$B,$A1464,'تجربه‌گرها'!$F:$F,R$1)</f>
        <v>0</v>
      </c>
      <c r="S1464" s="242">
        <f>COUNTIFS('تجربه‌گرها'!$B:$B,$A1464,'تجربه‌گرها'!$F:$F,S$1)</f>
        <v>0</v>
      </c>
      <c r="T1464" s="242">
        <f>COUNTIFS('تجربه‌گرها'!$B:$B,$A1464,'تجربه‌گرها'!$F:$F,T$1)</f>
        <v>0</v>
      </c>
      <c r="U1464" s="242"/>
      <c r="V1464" s="242"/>
      <c r="W1464" s="242"/>
      <c r="X1464" s="242"/>
      <c r="Y1464" s="242"/>
      <c r="Z1464" s="242"/>
      <c r="AA1464" s="242"/>
      <c r="AB1464" s="242"/>
    </row>
    <row r="1465" hidden="1">
      <c r="A1465" s="244" t="s">
        <v>7013</v>
      </c>
      <c r="B1465" s="245" t="str">
        <f>VLOOKUP(A1465,'تجربه‌گرها'!B:C,2,FALSE())</f>
        <v>09122720062</v>
      </c>
      <c r="C1465" s="242"/>
      <c r="D1465" s="242">
        <f t="shared" si="1"/>
        <v>1</v>
      </c>
      <c r="E1465" s="242">
        <f>COUNTIFS('تجربه‌گرها'!$B:$B,$A1465,'تجربه‌گرها'!$F:$F,E$1)</f>
        <v>0</v>
      </c>
      <c r="F1465" s="242">
        <f>COUNTIFS('تجربه‌گرها'!$B:$B,$A1465,'تجربه‌گرها'!$F:$F,F$1)</f>
        <v>0</v>
      </c>
      <c r="G1465" s="242">
        <f>COUNTIFS('تجربه‌گرها'!$B:$B,$A1465,'تجربه‌گرها'!$F:$F,G$1)</f>
        <v>0</v>
      </c>
      <c r="H1465" s="242">
        <f>COUNTIFS('تجربه‌گرها'!$B:$B,$A1465,'تجربه‌گرها'!$F:$F,H$1)</f>
        <v>0</v>
      </c>
      <c r="I1465" s="242">
        <f>COUNTIFS('تجربه‌گرها'!$B:$B,$A1465,'تجربه‌گرها'!$F:$F,I$1)</f>
        <v>0</v>
      </c>
      <c r="J1465" s="242">
        <f>COUNTIFS('تجربه‌گرها'!$B:$B,$A1465,'تجربه‌گرها'!$F:$F,J$1)</f>
        <v>0</v>
      </c>
      <c r="K1465" s="242">
        <f>COUNTIFS('تجربه‌گرها'!$B:$B,$A1465,'تجربه‌گرها'!$F:$F,K$1)</f>
        <v>0</v>
      </c>
      <c r="L1465" s="242">
        <f>COUNTIFS('تجربه‌گرها'!$B:$B,$A1465,'تجربه‌گرها'!$F:$F,L$1)</f>
        <v>0</v>
      </c>
      <c r="M1465" s="242">
        <f>COUNTIFS('تجربه‌گرها'!$B:$B,$A1465,'تجربه‌گرها'!$F:$F,M$1)</f>
        <v>0</v>
      </c>
      <c r="N1465" s="242">
        <f>COUNTIFS('تجربه‌گرها'!$B:$B,$A1465,'تجربه‌گرها'!$F:$F,N$1)</f>
        <v>0</v>
      </c>
      <c r="O1465" s="242">
        <f>COUNTIFS('تجربه‌گرها'!$B:$B,$A1465,'تجربه‌گرها'!$F:$F,O$1)</f>
        <v>0</v>
      </c>
      <c r="P1465" s="242">
        <f>COUNTIFS('تجربه‌گرها'!$B:$B,$A1465,'تجربه‌گرها'!$F:$F,P$1)</f>
        <v>0</v>
      </c>
      <c r="Q1465" s="242">
        <f>COUNTIFS('تجربه‌گرها'!$B:$B,$A1465,'تجربه‌گرها'!$F:$F,Q$1)</f>
        <v>1</v>
      </c>
      <c r="R1465" s="242">
        <f>COUNTIFS('تجربه‌گرها'!$B:$B,$A1465,'تجربه‌گرها'!$F:$F,R$1)</f>
        <v>0</v>
      </c>
      <c r="S1465" s="242">
        <f>COUNTIFS('تجربه‌گرها'!$B:$B,$A1465,'تجربه‌گرها'!$F:$F,S$1)</f>
        <v>0</v>
      </c>
      <c r="T1465" s="242">
        <f>COUNTIFS('تجربه‌گرها'!$B:$B,$A1465,'تجربه‌گرها'!$F:$F,T$1)</f>
        <v>0</v>
      </c>
      <c r="U1465" s="242"/>
      <c r="V1465" s="242"/>
      <c r="W1465" s="242"/>
      <c r="X1465" s="242"/>
      <c r="Y1465" s="242"/>
      <c r="Z1465" s="242"/>
      <c r="AA1465" s="242"/>
      <c r="AB1465" s="242"/>
    </row>
    <row r="1466" hidden="1">
      <c r="A1466" s="244" t="s">
        <v>7371</v>
      </c>
      <c r="B1466" s="245" t="str">
        <f>VLOOKUP(A1466,'تجربه‌گرها'!B:C,2,FALSE())</f>
        <v>09129623066</v>
      </c>
      <c r="C1466" s="242"/>
      <c r="D1466" s="242">
        <f t="shared" si="1"/>
        <v>1</v>
      </c>
      <c r="E1466" s="242">
        <f>COUNTIFS('تجربه‌گرها'!$B:$B,$A1466,'تجربه‌گرها'!$F:$F,E$1)</f>
        <v>0</v>
      </c>
      <c r="F1466" s="242">
        <f>COUNTIFS('تجربه‌گرها'!$B:$B,$A1466,'تجربه‌گرها'!$F:$F,F$1)</f>
        <v>0</v>
      </c>
      <c r="G1466" s="242">
        <f>COUNTIFS('تجربه‌گرها'!$B:$B,$A1466,'تجربه‌گرها'!$F:$F,G$1)</f>
        <v>0</v>
      </c>
      <c r="H1466" s="242">
        <f>COUNTIFS('تجربه‌گرها'!$B:$B,$A1466,'تجربه‌گرها'!$F:$F,H$1)</f>
        <v>0</v>
      </c>
      <c r="I1466" s="242">
        <f>COUNTIFS('تجربه‌گرها'!$B:$B,$A1466,'تجربه‌گرها'!$F:$F,I$1)</f>
        <v>0</v>
      </c>
      <c r="J1466" s="242">
        <f>COUNTIFS('تجربه‌گرها'!$B:$B,$A1466,'تجربه‌گرها'!$F:$F,J$1)</f>
        <v>0</v>
      </c>
      <c r="K1466" s="242">
        <f>COUNTIFS('تجربه‌گرها'!$B:$B,$A1466,'تجربه‌گرها'!$F:$F,K$1)</f>
        <v>0</v>
      </c>
      <c r="L1466" s="242">
        <f>COUNTIFS('تجربه‌گرها'!$B:$B,$A1466,'تجربه‌گرها'!$F:$F,L$1)</f>
        <v>0</v>
      </c>
      <c r="M1466" s="242">
        <f>COUNTIFS('تجربه‌گرها'!$B:$B,$A1466,'تجربه‌گرها'!$F:$F,M$1)</f>
        <v>0</v>
      </c>
      <c r="N1466" s="242">
        <f>COUNTIFS('تجربه‌گرها'!$B:$B,$A1466,'تجربه‌گرها'!$F:$F,N$1)</f>
        <v>0</v>
      </c>
      <c r="O1466" s="242">
        <f>COUNTIFS('تجربه‌گرها'!$B:$B,$A1466,'تجربه‌گرها'!$F:$F,O$1)</f>
        <v>0</v>
      </c>
      <c r="P1466" s="242">
        <f>COUNTIFS('تجربه‌گرها'!$B:$B,$A1466,'تجربه‌گرها'!$F:$F,P$1)</f>
        <v>0</v>
      </c>
      <c r="Q1466" s="242">
        <f>COUNTIFS('تجربه‌گرها'!$B:$B,$A1466,'تجربه‌گرها'!$F:$F,Q$1)</f>
        <v>1</v>
      </c>
      <c r="R1466" s="242">
        <f>COUNTIFS('تجربه‌گرها'!$B:$B,$A1466,'تجربه‌گرها'!$F:$F,R$1)</f>
        <v>0</v>
      </c>
      <c r="S1466" s="242">
        <f>COUNTIFS('تجربه‌گرها'!$B:$B,$A1466,'تجربه‌گرها'!$F:$F,S$1)</f>
        <v>0</v>
      </c>
      <c r="T1466" s="242">
        <f>COUNTIFS('تجربه‌گرها'!$B:$B,$A1466,'تجربه‌گرها'!$F:$F,T$1)</f>
        <v>0</v>
      </c>
      <c r="U1466" s="242"/>
      <c r="V1466" s="242"/>
      <c r="W1466" s="242"/>
      <c r="X1466" s="242"/>
      <c r="Y1466" s="242"/>
      <c r="Z1466" s="242"/>
      <c r="AA1466" s="242"/>
      <c r="AB1466" s="242"/>
    </row>
    <row r="1467" hidden="1">
      <c r="A1467" s="244" t="s">
        <v>7372</v>
      </c>
      <c r="B1467" s="245" t="str">
        <f>VLOOKUP(A1467,'تجربه‌گرها'!B:C,2,FALSE())</f>
        <v>09021286617</v>
      </c>
      <c r="C1467" s="242"/>
      <c r="D1467" s="242">
        <f t="shared" si="1"/>
        <v>1</v>
      </c>
      <c r="E1467" s="242">
        <f>COUNTIFS('تجربه‌گرها'!$B:$B,$A1467,'تجربه‌گرها'!$F:$F,E$1)</f>
        <v>0</v>
      </c>
      <c r="F1467" s="242">
        <f>COUNTIFS('تجربه‌گرها'!$B:$B,$A1467,'تجربه‌گرها'!$F:$F,F$1)</f>
        <v>0</v>
      </c>
      <c r="G1467" s="242">
        <f>COUNTIFS('تجربه‌گرها'!$B:$B,$A1467,'تجربه‌گرها'!$F:$F,G$1)</f>
        <v>0</v>
      </c>
      <c r="H1467" s="242">
        <f>COUNTIFS('تجربه‌گرها'!$B:$B,$A1467,'تجربه‌گرها'!$F:$F,H$1)</f>
        <v>0</v>
      </c>
      <c r="I1467" s="242">
        <f>COUNTIFS('تجربه‌گرها'!$B:$B,$A1467,'تجربه‌گرها'!$F:$F,I$1)</f>
        <v>0</v>
      </c>
      <c r="J1467" s="242">
        <f>COUNTIFS('تجربه‌گرها'!$B:$B,$A1467,'تجربه‌گرها'!$F:$F,J$1)</f>
        <v>0</v>
      </c>
      <c r="K1467" s="242">
        <f>COUNTIFS('تجربه‌گرها'!$B:$B,$A1467,'تجربه‌گرها'!$F:$F,K$1)</f>
        <v>0</v>
      </c>
      <c r="L1467" s="242">
        <f>COUNTIFS('تجربه‌گرها'!$B:$B,$A1467,'تجربه‌گرها'!$F:$F,L$1)</f>
        <v>0</v>
      </c>
      <c r="M1467" s="242">
        <f>COUNTIFS('تجربه‌گرها'!$B:$B,$A1467,'تجربه‌گرها'!$F:$F,M$1)</f>
        <v>0</v>
      </c>
      <c r="N1467" s="242">
        <f>COUNTIFS('تجربه‌گرها'!$B:$B,$A1467,'تجربه‌گرها'!$F:$F,N$1)</f>
        <v>0</v>
      </c>
      <c r="O1467" s="242">
        <f>COUNTIFS('تجربه‌گرها'!$B:$B,$A1467,'تجربه‌گرها'!$F:$F,O$1)</f>
        <v>0</v>
      </c>
      <c r="P1467" s="242">
        <f>COUNTIFS('تجربه‌گرها'!$B:$B,$A1467,'تجربه‌گرها'!$F:$F,P$1)</f>
        <v>0</v>
      </c>
      <c r="Q1467" s="242">
        <f>COUNTIFS('تجربه‌گرها'!$B:$B,$A1467,'تجربه‌گرها'!$F:$F,Q$1)</f>
        <v>1</v>
      </c>
      <c r="R1467" s="242">
        <f>COUNTIFS('تجربه‌گرها'!$B:$B,$A1467,'تجربه‌گرها'!$F:$F,R$1)</f>
        <v>0</v>
      </c>
      <c r="S1467" s="242">
        <f>COUNTIFS('تجربه‌گرها'!$B:$B,$A1467,'تجربه‌گرها'!$F:$F,S$1)</f>
        <v>0</v>
      </c>
      <c r="T1467" s="242">
        <f>COUNTIFS('تجربه‌گرها'!$B:$B,$A1467,'تجربه‌گرها'!$F:$F,T$1)</f>
        <v>0</v>
      </c>
      <c r="U1467" s="242"/>
      <c r="V1467" s="242"/>
      <c r="W1467" s="242"/>
      <c r="X1467" s="242"/>
      <c r="Y1467" s="242"/>
      <c r="Z1467" s="242"/>
      <c r="AA1467" s="242"/>
      <c r="AB1467" s="242"/>
    </row>
    <row r="1468" hidden="1">
      <c r="A1468" s="244" t="s">
        <v>7373</v>
      </c>
      <c r="B1468" s="245" t="str">
        <f>VLOOKUP(A1468,'تجربه‌گرها'!B:C,2,FALSE())</f>
        <v>09125590950</v>
      </c>
      <c r="C1468" s="242"/>
      <c r="D1468" s="242">
        <f t="shared" si="1"/>
        <v>1</v>
      </c>
      <c r="E1468" s="242">
        <f>COUNTIFS('تجربه‌گرها'!$B:$B,$A1468,'تجربه‌گرها'!$F:$F,E$1)</f>
        <v>0</v>
      </c>
      <c r="F1468" s="242">
        <f>COUNTIFS('تجربه‌گرها'!$B:$B,$A1468,'تجربه‌گرها'!$F:$F,F$1)</f>
        <v>0</v>
      </c>
      <c r="G1468" s="242">
        <f>COUNTIFS('تجربه‌گرها'!$B:$B,$A1468,'تجربه‌گرها'!$F:$F,G$1)</f>
        <v>0</v>
      </c>
      <c r="H1468" s="242">
        <f>COUNTIFS('تجربه‌گرها'!$B:$B,$A1468,'تجربه‌گرها'!$F:$F,H$1)</f>
        <v>0</v>
      </c>
      <c r="I1468" s="242">
        <f>COUNTIFS('تجربه‌گرها'!$B:$B,$A1468,'تجربه‌گرها'!$F:$F,I$1)</f>
        <v>0</v>
      </c>
      <c r="J1468" s="242">
        <f>COUNTIFS('تجربه‌گرها'!$B:$B,$A1468,'تجربه‌گرها'!$F:$F,J$1)</f>
        <v>0</v>
      </c>
      <c r="K1468" s="242">
        <f>COUNTIFS('تجربه‌گرها'!$B:$B,$A1468,'تجربه‌گرها'!$F:$F,K$1)</f>
        <v>0</v>
      </c>
      <c r="L1468" s="242">
        <f>COUNTIFS('تجربه‌گرها'!$B:$B,$A1468,'تجربه‌گرها'!$F:$F,L$1)</f>
        <v>0</v>
      </c>
      <c r="M1468" s="242">
        <f>COUNTIFS('تجربه‌گرها'!$B:$B,$A1468,'تجربه‌گرها'!$F:$F,M$1)</f>
        <v>0</v>
      </c>
      <c r="N1468" s="242">
        <f>COUNTIFS('تجربه‌گرها'!$B:$B,$A1468,'تجربه‌گرها'!$F:$F,N$1)</f>
        <v>0</v>
      </c>
      <c r="O1468" s="242">
        <f>COUNTIFS('تجربه‌گرها'!$B:$B,$A1468,'تجربه‌گرها'!$F:$F,O$1)</f>
        <v>0</v>
      </c>
      <c r="P1468" s="242">
        <f>COUNTIFS('تجربه‌گرها'!$B:$B,$A1468,'تجربه‌گرها'!$F:$F,P$1)</f>
        <v>0</v>
      </c>
      <c r="Q1468" s="242">
        <f>COUNTIFS('تجربه‌گرها'!$B:$B,$A1468,'تجربه‌گرها'!$F:$F,Q$1)</f>
        <v>1</v>
      </c>
      <c r="R1468" s="242">
        <f>COUNTIFS('تجربه‌گرها'!$B:$B,$A1468,'تجربه‌گرها'!$F:$F,R$1)</f>
        <v>0</v>
      </c>
      <c r="S1468" s="242">
        <f>COUNTIFS('تجربه‌گرها'!$B:$B,$A1468,'تجربه‌گرها'!$F:$F,S$1)</f>
        <v>0</v>
      </c>
      <c r="T1468" s="242">
        <f>COUNTIFS('تجربه‌گرها'!$B:$B,$A1468,'تجربه‌گرها'!$F:$F,T$1)</f>
        <v>0</v>
      </c>
      <c r="U1468" s="242"/>
      <c r="V1468" s="242"/>
      <c r="W1468" s="242"/>
      <c r="X1468" s="242"/>
      <c r="Y1468" s="242"/>
      <c r="Z1468" s="242"/>
      <c r="AA1468" s="242"/>
      <c r="AB1468" s="242"/>
    </row>
    <row r="1469" hidden="1">
      <c r="A1469" s="244" t="s">
        <v>7374</v>
      </c>
      <c r="B1469" s="245" t="str">
        <f>VLOOKUP(A1469,'تجربه‌گرها'!B:C,2,FALSE())</f>
        <v>09367331661</v>
      </c>
      <c r="C1469" s="242"/>
      <c r="D1469" s="242">
        <f t="shared" si="1"/>
        <v>1</v>
      </c>
      <c r="E1469" s="242">
        <f>COUNTIFS('تجربه‌گرها'!$B:$B,$A1469,'تجربه‌گرها'!$F:$F,E$1)</f>
        <v>0</v>
      </c>
      <c r="F1469" s="242">
        <f>COUNTIFS('تجربه‌گرها'!$B:$B,$A1469,'تجربه‌گرها'!$F:$F,F$1)</f>
        <v>0</v>
      </c>
      <c r="G1469" s="242">
        <f>COUNTIFS('تجربه‌گرها'!$B:$B,$A1469,'تجربه‌گرها'!$F:$F,G$1)</f>
        <v>0</v>
      </c>
      <c r="H1469" s="242">
        <f>COUNTIFS('تجربه‌گرها'!$B:$B,$A1469,'تجربه‌گرها'!$F:$F,H$1)</f>
        <v>0</v>
      </c>
      <c r="I1469" s="242">
        <f>COUNTIFS('تجربه‌گرها'!$B:$B,$A1469,'تجربه‌گرها'!$F:$F,I$1)</f>
        <v>0</v>
      </c>
      <c r="J1469" s="242">
        <f>COUNTIFS('تجربه‌گرها'!$B:$B,$A1469,'تجربه‌گرها'!$F:$F,J$1)</f>
        <v>0</v>
      </c>
      <c r="K1469" s="242">
        <f>COUNTIFS('تجربه‌گرها'!$B:$B,$A1469,'تجربه‌گرها'!$F:$F,K$1)</f>
        <v>0</v>
      </c>
      <c r="L1469" s="242">
        <f>COUNTIFS('تجربه‌گرها'!$B:$B,$A1469,'تجربه‌گرها'!$F:$F,L$1)</f>
        <v>0</v>
      </c>
      <c r="M1469" s="242">
        <f>COUNTIFS('تجربه‌گرها'!$B:$B,$A1469,'تجربه‌گرها'!$F:$F,M$1)</f>
        <v>0</v>
      </c>
      <c r="N1469" s="242">
        <f>COUNTIFS('تجربه‌گرها'!$B:$B,$A1469,'تجربه‌گرها'!$F:$F,N$1)</f>
        <v>0</v>
      </c>
      <c r="O1469" s="242">
        <f>COUNTIFS('تجربه‌گرها'!$B:$B,$A1469,'تجربه‌گرها'!$F:$F,O$1)</f>
        <v>0</v>
      </c>
      <c r="P1469" s="242">
        <f>COUNTIFS('تجربه‌گرها'!$B:$B,$A1469,'تجربه‌گرها'!$F:$F,P$1)</f>
        <v>0</v>
      </c>
      <c r="Q1469" s="242">
        <f>COUNTIFS('تجربه‌گرها'!$B:$B,$A1469,'تجربه‌گرها'!$F:$F,Q$1)</f>
        <v>1</v>
      </c>
      <c r="R1469" s="242">
        <f>COUNTIFS('تجربه‌گرها'!$B:$B,$A1469,'تجربه‌گرها'!$F:$F,R$1)</f>
        <v>0</v>
      </c>
      <c r="S1469" s="242">
        <f>COUNTIFS('تجربه‌گرها'!$B:$B,$A1469,'تجربه‌گرها'!$F:$F,S$1)</f>
        <v>0</v>
      </c>
      <c r="T1469" s="242">
        <f>COUNTIFS('تجربه‌گرها'!$B:$B,$A1469,'تجربه‌گرها'!$F:$F,T$1)</f>
        <v>0</v>
      </c>
      <c r="U1469" s="242"/>
      <c r="V1469" s="242"/>
      <c r="W1469" s="242"/>
      <c r="X1469" s="242"/>
      <c r="Y1469" s="242"/>
      <c r="Z1469" s="242"/>
      <c r="AA1469" s="242"/>
      <c r="AB1469" s="242"/>
    </row>
    <row r="1470" hidden="1">
      <c r="A1470" s="244" t="s">
        <v>7375</v>
      </c>
      <c r="B1470" s="245" t="str">
        <f>VLOOKUP(A1470,'تجربه‌گرها'!B:C,2,FALSE())</f>
        <v>09105977161</v>
      </c>
      <c r="C1470" s="242"/>
      <c r="D1470" s="242">
        <f t="shared" si="1"/>
        <v>1</v>
      </c>
      <c r="E1470" s="242">
        <f>COUNTIFS('تجربه‌گرها'!$B:$B,$A1470,'تجربه‌گرها'!$F:$F,E$1)</f>
        <v>0</v>
      </c>
      <c r="F1470" s="242">
        <f>COUNTIFS('تجربه‌گرها'!$B:$B,$A1470,'تجربه‌گرها'!$F:$F,F$1)</f>
        <v>0</v>
      </c>
      <c r="G1470" s="242">
        <f>COUNTIFS('تجربه‌گرها'!$B:$B,$A1470,'تجربه‌گرها'!$F:$F,G$1)</f>
        <v>0</v>
      </c>
      <c r="H1470" s="242">
        <f>COUNTIFS('تجربه‌گرها'!$B:$B,$A1470,'تجربه‌گرها'!$F:$F,H$1)</f>
        <v>0</v>
      </c>
      <c r="I1470" s="242">
        <f>COUNTIFS('تجربه‌گرها'!$B:$B,$A1470,'تجربه‌گرها'!$F:$F,I$1)</f>
        <v>0</v>
      </c>
      <c r="J1470" s="242">
        <f>COUNTIFS('تجربه‌گرها'!$B:$B,$A1470,'تجربه‌گرها'!$F:$F,J$1)</f>
        <v>0</v>
      </c>
      <c r="K1470" s="242">
        <f>COUNTIFS('تجربه‌گرها'!$B:$B,$A1470,'تجربه‌گرها'!$F:$F,K$1)</f>
        <v>0</v>
      </c>
      <c r="L1470" s="242">
        <f>COUNTIFS('تجربه‌گرها'!$B:$B,$A1470,'تجربه‌گرها'!$F:$F,L$1)</f>
        <v>0</v>
      </c>
      <c r="M1470" s="242">
        <f>COUNTIFS('تجربه‌گرها'!$B:$B,$A1470,'تجربه‌گرها'!$F:$F,M$1)</f>
        <v>0</v>
      </c>
      <c r="N1470" s="242">
        <f>COUNTIFS('تجربه‌گرها'!$B:$B,$A1470,'تجربه‌گرها'!$F:$F,N$1)</f>
        <v>0</v>
      </c>
      <c r="O1470" s="242">
        <f>COUNTIFS('تجربه‌گرها'!$B:$B,$A1470,'تجربه‌گرها'!$F:$F,O$1)</f>
        <v>0</v>
      </c>
      <c r="P1470" s="242">
        <f>COUNTIFS('تجربه‌گرها'!$B:$B,$A1470,'تجربه‌گرها'!$F:$F,P$1)</f>
        <v>0</v>
      </c>
      <c r="Q1470" s="242">
        <f>COUNTIFS('تجربه‌گرها'!$B:$B,$A1470,'تجربه‌گرها'!$F:$F,Q$1)</f>
        <v>1</v>
      </c>
      <c r="R1470" s="242">
        <f>COUNTIFS('تجربه‌گرها'!$B:$B,$A1470,'تجربه‌گرها'!$F:$F,R$1)</f>
        <v>0</v>
      </c>
      <c r="S1470" s="242">
        <f>COUNTIFS('تجربه‌گرها'!$B:$B,$A1470,'تجربه‌گرها'!$F:$F,S$1)</f>
        <v>0</v>
      </c>
      <c r="T1470" s="242">
        <f>COUNTIFS('تجربه‌گرها'!$B:$B,$A1470,'تجربه‌گرها'!$F:$F,T$1)</f>
        <v>0</v>
      </c>
      <c r="U1470" s="242"/>
      <c r="V1470" s="242"/>
      <c r="W1470" s="242"/>
      <c r="X1470" s="242"/>
      <c r="Y1470" s="242"/>
      <c r="Z1470" s="242"/>
      <c r="AA1470" s="242"/>
      <c r="AB1470" s="242"/>
    </row>
    <row r="1471" hidden="1">
      <c r="A1471" s="244" t="s">
        <v>7376</v>
      </c>
      <c r="B1471" s="245" t="str">
        <f>VLOOKUP(A1471,'تجربه‌گرها'!B:C,2,FALSE())</f>
        <v>09981702541</v>
      </c>
      <c r="C1471" s="242"/>
      <c r="D1471" s="242">
        <f t="shared" si="1"/>
        <v>1</v>
      </c>
      <c r="E1471" s="242">
        <f>COUNTIFS('تجربه‌گرها'!$B:$B,$A1471,'تجربه‌گرها'!$F:$F,E$1)</f>
        <v>0</v>
      </c>
      <c r="F1471" s="242">
        <f>COUNTIFS('تجربه‌گرها'!$B:$B,$A1471,'تجربه‌گرها'!$F:$F,F$1)</f>
        <v>0</v>
      </c>
      <c r="G1471" s="242">
        <f>COUNTIFS('تجربه‌گرها'!$B:$B,$A1471,'تجربه‌گرها'!$F:$F,G$1)</f>
        <v>0</v>
      </c>
      <c r="H1471" s="242">
        <f>COUNTIFS('تجربه‌گرها'!$B:$B,$A1471,'تجربه‌گرها'!$F:$F,H$1)</f>
        <v>0</v>
      </c>
      <c r="I1471" s="242">
        <f>COUNTIFS('تجربه‌گرها'!$B:$B,$A1471,'تجربه‌گرها'!$F:$F,I$1)</f>
        <v>0</v>
      </c>
      <c r="J1471" s="242">
        <f>COUNTIFS('تجربه‌گرها'!$B:$B,$A1471,'تجربه‌گرها'!$F:$F,J$1)</f>
        <v>0</v>
      </c>
      <c r="K1471" s="242">
        <f>COUNTIFS('تجربه‌گرها'!$B:$B,$A1471,'تجربه‌گرها'!$F:$F,K$1)</f>
        <v>0</v>
      </c>
      <c r="L1471" s="242">
        <f>COUNTIFS('تجربه‌گرها'!$B:$B,$A1471,'تجربه‌گرها'!$F:$F,L$1)</f>
        <v>0</v>
      </c>
      <c r="M1471" s="242">
        <f>COUNTIFS('تجربه‌گرها'!$B:$B,$A1471,'تجربه‌گرها'!$F:$F,M$1)</f>
        <v>0</v>
      </c>
      <c r="N1471" s="242">
        <f>COUNTIFS('تجربه‌گرها'!$B:$B,$A1471,'تجربه‌گرها'!$F:$F,N$1)</f>
        <v>0</v>
      </c>
      <c r="O1471" s="242">
        <f>COUNTIFS('تجربه‌گرها'!$B:$B,$A1471,'تجربه‌گرها'!$F:$F,O$1)</f>
        <v>0</v>
      </c>
      <c r="P1471" s="242">
        <f>COUNTIFS('تجربه‌گرها'!$B:$B,$A1471,'تجربه‌گرها'!$F:$F,P$1)</f>
        <v>0</v>
      </c>
      <c r="Q1471" s="242">
        <f>COUNTIFS('تجربه‌گرها'!$B:$B,$A1471,'تجربه‌گرها'!$F:$F,Q$1)</f>
        <v>1</v>
      </c>
      <c r="R1471" s="242">
        <f>COUNTIFS('تجربه‌گرها'!$B:$B,$A1471,'تجربه‌گرها'!$F:$F,R$1)</f>
        <v>0</v>
      </c>
      <c r="S1471" s="242">
        <f>COUNTIFS('تجربه‌گرها'!$B:$B,$A1471,'تجربه‌گرها'!$F:$F,S$1)</f>
        <v>0</v>
      </c>
      <c r="T1471" s="242">
        <f>COUNTIFS('تجربه‌گرها'!$B:$B,$A1471,'تجربه‌گرها'!$F:$F,T$1)</f>
        <v>0</v>
      </c>
      <c r="U1471" s="242"/>
      <c r="V1471" s="242"/>
      <c r="W1471" s="242"/>
      <c r="X1471" s="242"/>
      <c r="Y1471" s="242"/>
      <c r="Z1471" s="242"/>
      <c r="AA1471" s="242"/>
      <c r="AB1471" s="242"/>
    </row>
    <row r="1472" hidden="1">
      <c r="A1472" s="244" t="s">
        <v>7377</v>
      </c>
      <c r="B1472" s="245" t="str">
        <f>VLOOKUP(A1472,'تجربه‌گرها'!B:C,2,FALSE())</f>
        <v>09121460905</v>
      </c>
      <c r="C1472" s="242"/>
      <c r="D1472" s="242">
        <f t="shared" si="1"/>
        <v>1</v>
      </c>
      <c r="E1472" s="242">
        <f>COUNTIFS('تجربه‌گرها'!$B:$B,$A1472,'تجربه‌گرها'!$F:$F,E$1)</f>
        <v>0</v>
      </c>
      <c r="F1472" s="242">
        <f>COUNTIFS('تجربه‌گرها'!$B:$B,$A1472,'تجربه‌گرها'!$F:$F,F$1)</f>
        <v>0</v>
      </c>
      <c r="G1472" s="242">
        <f>COUNTIFS('تجربه‌گرها'!$B:$B,$A1472,'تجربه‌گرها'!$F:$F,G$1)</f>
        <v>0</v>
      </c>
      <c r="H1472" s="242">
        <f>COUNTIFS('تجربه‌گرها'!$B:$B,$A1472,'تجربه‌گرها'!$F:$F,H$1)</f>
        <v>0</v>
      </c>
      <c r="I1472" s="242">
        <f>COUNTIFS('تجربه‌گرها'!$B:$B,$A1472,'تجربه‌گرها'!$F:$F,I$1)</f>
        <v>0</v>
      </c>
      <c r="J1472" s="242">
        <f>COUNTIFS('تجربه‌گرها'!$B:$B,$A1472,'تجربه‌گرها'!$F:$F,J$1)</f>
        <v>0</v>
      </c>
      <c r="K1472" s="242">
        <f>COUNTIFS('تجربه‌گرها'!$B:$B,$A1472,'تجربه‌گرها'!$F:$F,K$1)</f>
        <v>0</v>
      </c>
      <c r="L1472" s="242">
        <f>COUNTIFS('تجربه‌گرها'!$B:$B,$A1472,'تجربه‌گرها'!$F:$F,L$1)</f>
        <v>0</v>
      </c>
      <c r="M1472" s="242">
        <f>COUNTIFS('تجربه‌گرها'!$B:$B,$A1472,'تجربه‌گرها'!$F:$F,M$1)</f>
        <v>0</v>
      </c>
      <c r="N1472" s="242">
        <f>COUNTIFS('تجربه‌گرها'!$B:$B,$A1472,'تجربه‌گرها'!$F:$F,N$1)</f>
        <v>0</v>
      </c>
      <c r="O1472" s="242">
        <f>COUNTIFS('تجربه‌گرها'!$B:$B,$A1472,'تجربه‌گرها'!$F:$F,O$1)</f>
        <v>0</v>
      </c>
      <c r="P1472" s="242">
        <f>COUNTIFS('تجربه‌گرها'!$B:$B,$A1472,'تجربه‌گرها'!$F:$F,P$1)</f>
        <v>0</v>
      </c>
      <c r="Q1472" s="242">
        <f>COUNTIFS('تجربه‌گرها'!$B:$B,$A1472,'تجربه‌گرها'!$F:$F,Q$1)</f>
        <v>1</v>
      </c>
      <c r="R1472" s="242">
        <f>COUNTIFS('تجربه‌گرها'!$B:$B,$A1472,'تجربه‌گرها'!$F:$F,R$1)</f>
        <v>0</v>
      </c>
      <c r="S1472" s="242">
        <f>COUNTIFS('تجربه‌گرها'!$B:$B,$A1472,'تجربه‌گرها'!$F:$F,S$1)</f>
        <v>0</v>
      </c>
      <c r="T1472" s="242">
        <f>COUNTIFS('تجربه‌گرها'!$B:$B,$A1472,'تجربه‌گرها'!$F:$F,T$1)</f>
        <v>0</v>
      </c>
      <c r="U1472" s="242"/>
      <c r="V1472" s="242"/>
      <c r="W1472" s="242"/>
      <c r="X1472" s="242"/>
      <c r="Y1472" s="242"/>
      <c r="Z1472" s="242"/>
      <c r="AA1472" s="242"/>
      <c r="AB1472" s="242"/>
    </row>
    <row r="1473" hidden="1">
      <c r="A1473" s="244" t="s">
        <v>7378</v>
      </c>
      <c r="B1473" s="245" t="str">
        <f>VLOOKUP(A1473,'تجربه‌گرها'!B:C,2,FALSE())</f>
        <v>09127142056</v>
      </c>
      <c r="C1473" s="242"/>
      <c r="D1473" s="242">
        <f t="shared" si="1"/>
        <v>1</v>
      </c>
      <c r="E1473" s="242">
        <f>COUNTIFS('تجربه‌گرها'!$B:$B,$A1473,'تجربه‌گرها'!$F:$F,E$1)</f>
        <v>0</v>
      </c>
      <c r="F1473" s="242">
        <f>COUNTIFS('تجربه‌گرها'!$B:$B,$A1473,'تجربه‌گرها'!$F:$F,F$1)</f>
        <v>0</v>
      </c>
      <c r="G1473" s="242">
        <f>COUNTIFS('تجربه‌گرها'!$B:$B,$A1473,'تجربه‌گرها'!$F:$F,G$1)</f>
        <v>0</v>
      </c>
      <c r="H1473" s="242">
        <f>COUNTIFS('تجربه‌گرها'!$B:$B,$A1473,'تجربه‌گرها'!$F:$F,H$1)</f>
        <v>0</v>
      </c>
      <c r="I1473" s="242">
        <f>COUNTIFS('تجربه‌گرها'!$B:$B,$A1473,'تجربه‌گرها'!$F:$F,I$1)</f>
        <v>0</v>
      </c>
      <c r="J1473" s="242">
        <f>COUNTIFS('تجربه‌گرها'!$B:$B,$A1473,'تجربه‌گرها'!$F:$F,J$1)</f>
        <v>0</v>
      </c>
      <c r="K1473" s="242">
        <f>COUNTIFS('تجربه‌گرها'!$B:$B,$A1473,'تجربه‌گرها'!$F:$F,K$1)</f>
        <v>0</v>
      </c>
      <c r="L1473" s="242">
        <f>COUNTIFS('تجربه‌گرها'!$B:$B,$A1473,'تجربه‌گرها'!$F:$F,L$1)</f>
        <v>0</v>
      </c>
      <c r="M1473" s="242">
        <f>COUNTIFS('تجربه‌گرها'!$B:$B,$A1473,'تجربه‌گرها'!$F:$F,M$1)</f>
        <v>0</v>
      </c>
      <c r="N1473" s="242">
        <f>COUNTIFS('تجربه‌گرها'!$B:$B,$A1473,'تجربه‌گرها'!$F:$F,N$1)</f>
        <v>0</v>
      </c>
      <c r="O1473" s="242">
        <f>COUNTIFS('تجربه‌گرها'!$B:$B,$A1473,'تجربه‌گرها'!$F:$F,O$1)</f>
        <v>0</v>
      </c>
      <c r="P1473" s="242">
        <f>COUNTIFS('تجربه‌گرها'!$B:$B,$A1473,'تجربه‌گرها'!$F:$F,P$1)</f>
        <v>0</v>
      </c>
      <c r="Q1473" s="242">
        <f>COUNTIFS('تجربه‌گرها'!$B:$B,$A1473,'تجربه‌گرها'!$F:$F,Q$1)</f>
        <v>1</v>
      </c>
      <c r="R1473" s="242">
        <f>COUNTIFS('تجربه‌گرها'!$B:$B,$A1473,'تجربه‌گرها'!$F:$F,R$1)</f>
        <v>0</v>
      </c>
      <c r="S1473" s="242">
        <f>COUNTIFS('تجربه‌گرها'!$B:$B,$A1473,'تجربه‌گرها'!$F:$F,S$1)</f>
        <v>0</v>
      </c>
      <c r="T1473" s="242">
        <f>COUNTIFS('تجربه‌گرها'!$B:$B,$A1473,'تجربه‌گرها'!$F:$F,T$1)</f>
        <v>0</v>
      </c>
      <c r="U1473" s="242"/>
      <c r="V1473" s="242"/>
      <c r="W1473" s="242"/>
      <c r="X1473" s="242"/>
      <c r="Y1473" s="242"/>
      <c r="Z1473" s="242"/>
      <c r="AA1473" s="242"/>
      <c r="AB1473" s="242"/>
    </row>
    <row r="1474" hidden="1">
      <c r="A1474" s="244" t="s">
        <v>7379</v>
      </c>
      <c r="B1474" s="245" t="str">
        <f>VLOOKUP(A1474,'تجربه‌گرها'!B:C,2,FALSE())</f>
        <v>09126456654</v>
      </c>
      <c r="C1474" s="242"/>
      <c r="D1474" s="242">
        <f t="shared" si="1"/>
        <v>1</v>
      </c>
      <c r="E1474" s="242">
        <f>COUNTIFS('تجربه‌گرها'!$B:$B,$A1474,'تجربه‌گرها'!$F:$F,E$1)</f>
        <v>0</v>
      </c>
      <c r="F1474" s="242">
        <f>COUNTIFS('تجربه‌گرها'!$B:$B,$A1474,'تجربه‌گرها'!$F:$F,F$1)</f>
        <v>0</v>
      </c>
      <c r="G1474" s="242">
        <f>COUNTIFS('تجربه‌گرها'!$B:$B,$A1474,'تجربه‌گرها'!$F:$F,G$1)</f>
        <v>0</v>
      </c>
      <c r="H1474" s="242">
        <f>COUNTIFS('تجربه‌گرها'!$B:$B,$A1474,'تجربه‌گرها'!$F:$F,H$1)</f>
        <v>0</v>
      </c>
      <c r="I1474" s="242">
        <f>COUNTIFS('تجربه‌گرها'!$B:$B,$A1474,'تجربه‌گرها'!$F:$F,I$1)</f>
        <v>0</v>
      </c>
      <c r="J1474" s="242">
        <f>COUNTIFS('تجربه‌گرها'!$B:$B,$A1474,'تجربه‌گرها'!$F:$F,J$1)</f>
        <v>0</v>
      </c>
      <c r="K1474" s="242">
        <f>COUNTIFS('تجربه‌گرها'!$B:$B,$A1474,'تجربه‌گرها'!$F:$F,K$1)</f>
        <v>0</v>
      </c>
      <c r="L1474" s="242">
        <f>COUNTIFS('تجربه‌گرها'!$B:$B,$A1474,'تجربه‌گرها'!$F:$F,L$1)</f>
        <v>0</v>
      </c>
      <c r="M1474" s="242">
        <f>COUNTIFS('تجربه‌گرها'!$B:$B,$A1474,'تجربه‌گرها'!$F:$F,M$1)</f>
        <v>0</v>
      </c>
      <c r="N1474" s="242">
        <f>COUNTIFS('تجربه‌گرها'!$B:$B,$A1474,'تجربه‌گرها'!$F:$F,N$1)</f>
        <v>0</v>
      </c>
      <c r="O1474" s="242">
        <f>COUNTIFS('تجربه‌گرها'!$B:$B,$A1474,'تجربه‌گرها'!$F:$F,O$1)</f>
        <v>0</v>
      </c>
      <c r="P1474" s="242">
        <f>COUNTIFS('تجربه‌گرها'!$B:$B,$A1474,'تجربه‌گرها'!$F:$F,P$1)</f>
        <v>0</v>
      </c>
      <c r="Q1474" s="242">
        <f>COUNTIFS('تجربه‌گرها'!$B:$B,$A1474,'تجربه‌گرها'!$F:$F,Q$1)</f>
        <v>1</v>
      </c>
      <c r="R1474" s="242">
        <f>COUNTIFS('تجربه‌گرها'!$B:$B,$A1474,'تجربه‌گرها'!$F:$F,R$1)</f>
        <v>0</v>
      </c>
      <c r="S1474" s="242">
        <f>COUNTIFS('تجربه‌گرها'!$B:$B,$A1474,'تجربه‌گرها'!$F:$F,S$1)</f>
        <v>0</v>
      </c>
      <c r="T1474" s="242">
        <f>COUNTIFS('تجربه‌گرها'!$B:$B,$A1474,'تجربه‌گرها'!$F:$F,T$1)</f>
        <v>0</v>
      </c>
      <c r="U1474" s="242"/>
      <c r="V1474" s="242"/>
      <c r="W1474" s="242"/>
      <c r="X1474" s="242"/>
      <c r="Y1474" s="242"/>
      <c r="Z1474" s="242"/>
      <c r="AA1474" s="242"/>
      <c r="AB1474" s="242"/>
    </row>
    <row r="1475" hidden="1">
      <c r="A1475" s="244" t="s">
        <v>7380</v>
      </c>
      <c r="B1475" s="245" t="str">
        <f>VLOOKUP(A1475,'تجربه‌گرها'!B:C,2,FALSE())</f>
        <v>09124899799</v>
      </c>
      <c r="C1475" s="242"/>
      <c r="D1475" s="242">
        <f t="shared" si="1"/>
        <v>1</v>
      </c>
      <c r="E1475" s="242">
        <f>COUNTIFS('تجربه‌گرها'!$B:$B,$A1475,'تجربه‌گرها'!$F:$F,E$1)</f>
        <v>0</v>
      </c>
      <c r="F1475" s="242">
        <f>COUNTIFS('تجربه‌گرها'!$B:$B,$A1475,'تجربه‌گرها'!$F:$F,F$1)</f>
        <v>0</v>
      </c>
      <c r="G1475" s="242">
        <f>COUNTIFS('تجربه‌گرها'!$B:$B,$A1475,'تجربه‌گرها'!$F:$F,G$1)</f>
        <v>0</v>
      </c>
      <c r="H1475" s="242">
        <f>COUNTIFS('تجربه‌گرها'!$B:$B,$A1475,'تجربه‌گرها'!$F:$F,H$1)</f>
        <v>0</v>
      </c>
      <c r="I1475" s="242">
        <f>COUNTIFS('تجربه‌گرها'!$B:$B,$A1475,'تجربه‌گرها'!$F:$F,I$1)</f>
        <v>0</v>
      </c>
      <c r="J1475" s="242">
        <f>COUNTIFS('تجربه‌گرها'!$B:$B,$A1475,'تجربه‌گرها'!$F:$F,J$1)</f>
        <v>0</v>
      </c>
      <c r="K1475" s="242">
        <f>COUNTIFS('تجربه‌گرها'!$B:$B,$A1475,'تجربه‌گرها'!$F:$F,K$1)</f>
        <v>0</v>
      </c>
      <c r="L1475" s="242">
        <f>COUNTIFS('تجربه‌گرها'!$B:$B,$A1475,'تجربه‌گرها'!$F:$F,L$1)</f>
        <v>0</v>
      </c>
      <c r="M1475" s="242">
        <f>COUNTIFS('تجربه‌گرها'!$B:$B,$A1475,'تجربه‌گرها'!$F:$F,M$1)</f>
        <v>0</v>
      </c>
      <c r="N1475" s="242">
        <f>COUNTIFS('تجربه‌گرها'!$B:$B,$A1475,'تجربه‌گرها'!$F:$F,N$1)</f>
        <v>0</v>
      </c>
      <c r="O1475" s="242">
        <f>COUNTIFS('تجربه‌گرها'!$B:$B,$A1475,'تجربه‌گرها'!$F:$F,O$1)</f>
        <v>0</v>
      </c>
      <c r="P1475" s="242">
        <f>COUNTIFS('تجربه‌گرها'!$B:$B,$A1475,'تجربه‌گرها'!$F:$F,P$1)</f>
        <v>0</v>
      </c>
      <c r="Q1475" s="242">
        <f>COUNTIFS('تجربه‌گرها'!$B:$B,$A1475,'تجربه‌گرها'!$F:$F,Q$1)</f>
        <v>1</v>
      </c>
      <c r="R1475" s="242">
        <f>COUNTIFS('تجربه‌گرها'!$B:$B,$A1475,'تجربه‌گرها'!$F:$F,R$1)</f>
        <v>0</v>
      </c>
      <c r="S1475" s="242">
        <f>COUNTIFS('تجربه‌گرها'!$B:$B,$A1475,'تجربه‌گرها'!$F:$F,S$1)</f>
        <v>0</v>
      </c>
      <c r="T1475" s="242">
        <f>COUNTIFS('تجربه‌گرها'!$B:$B,$A1475,'تجربه‌گرها'!$F:$F,T$1)</f>
        <v>0</v>
      </c>
      <c r="U1475" s="242"/>
      <c r="V1475" s="242"/>
      <c r="W1475" s="242"/>
      <c r="X1475" s="242"/>
      <c r="Y1475" s="242"/>
      <c r="Z1475" s="242"/>
      <c r="AA1475" s="242"/>
      <c r="AB1475" s="242"/>
    </row>
    <row r="1476" hidden="1">
      <c r="A1476" s="244" t="s">
        <v>7381</v>
      </c>
      <c r="B1476" s="245" t="str">
        <f>VLOOKUP(A1476,'تجربه‌گرها'!B:C,2,FALSE())</f>
        <v>09353941627</v>
      </c>
      <c r="C1476" s="242"/>
      <c r="D1476" s="242">
        <f t="shared" si="1"/>
        <v>1</v>
      </c>
      <c r="E1476" s="242">
        <f>COUNTIFS('تجربه‌گرها'!$B:$B,$A1476,'تجربه‌گرها'!$F:$F,E$1)</f>
        <v>0</v>
      </c>
      <c r="F1476" s="242">
        <f>COUNTIFS('تجربه‌گرها'!$B:$B,$A1476,'تجربه‌گرها'!$F:$F,F$1)</f>
        <v>0</v>
      </c>
      <c r="G1476" s="242">
        <f>COUNTIFS('تجربه‌گرها'!$B:$B,$A1476,'تجربه‌گرها'!$F:$F,G$1)</f>
        <v>0</v>
      </c>
      <c r="H1476" s="242">
        <f>COUNTIFS('تجربه‌گرها'!$B:$B,$A1476,'تجربه‌گرها'!$F:$F,H$1)</f>
        <v>0</v>
      </c>
      <c r="I1476" s="242">
        <f>COUNTIFS('تجربه‌گرها'!$B:$B,$A1476,'تجربه‌گرها'!$F:$F,I$1)</f>
        <v>0</v>
      </c>
      <c r="J1476" s="242">
        <f>COUNTIFS('تجربه‌گرها'!$B:$B,$A1476,'تجربه‌گرها'!$F:$F,J$1)</f>
        <v>0</v>
      </c>
      <c r="K1476" s="242">
        <f>COUNTIFS('تجربه‌گرها'!$B:$B,$A1476,'تجربه‌گرها'!$F:$F,K$1)</f>
        <v>0</v>
      </c>
      <c r="L1476" s="242">
        <f>COUNTIFS('تجربه‌گرها'!$B:$B,$A1476,'تجربه‌گرها'!$F:$F,L$1)</f>
        <v>0</v>
      </c>
      <c r="M1476" s="242">
        <f>COUNTIFS('تجربه‌گرها'!$B:$B,$A1476,'تجربه‌گرها'!$F:$F,M$1)</f>
        <v>0</v>
      </c>
      <c r="N1476" s="242">
        <f>COUNTIFS('تجربه‌گرها'!$B:$B,$A1476,'تجربه‌گرها'!$F:$F,N$1)</f>
        <v>0</v>
      </c>
      <c r="O1476" s="242">
        <f>COUNTIFS('تجربه‌گرها'!$B:$B,$A1476,'تجربه‌گرها'!$F:$F,O$1)</f>
        <v>0</v>
      </c>
      <c r="P1476" s="242">
        <f>COUNTIFS('تجربه‌گرها'!$B:$B,$A1476,'تجربه‌گرها'!$F:$F,P$1)</f>
        <v>0</v>
      </c>
      <c r="Q1476" s="242">
        <f>COUNTIFS('تجربه‌گرها'!$B:$B,$A1476,'تجربه‌گرها'!$F:$F,Q$1)</f>
        <v>1</v>
      </c>
      <c r="R1476" s="242">
        <f>COUNTIFS('تجربه‌گرها'!$B:$B,$A1476,'تجربه‌گرها'!$F:$F,R$1)</f>
        <v>0</v>
      </c>
      <c r="S1476" s="242">
        <f>COUNTIFS('تجربه‌گرها'!$B:$B,$A1476,'تجربه‌گرها'!$F:$F,S$1)</f>
        <v>0</v>
      </c>
      <c r="T1476" s="242">
        <f>COUNTIFS('تجربه‌گرها'!$B:$B,$A1476,'تجربه‌گرها'!$F:$F,T$1)</f>
        <v>0</v>
      </c>
      <c r="U1476" s="242"/>
      <c r="V1476" s="242"/>
      <c r="W1476" s="242"/>
      <c r="X1476" s="242"/>
      <c r="Y1476" s="242"/>
      <c r="Z1476" s="242"/>
      <c r="AA1476" s="242"/>
      <c r="AB1476" s="242"/>
    </row>
    <row r="1477" hidden="1">
      <c r="A1477" s="244" t="s">
        <v>7382</v>
      </c>
      <c r="B1477" s="245" t="str">
        <f>VLOOKUP(A1477,'تجربه‌گرها'!B:C,2,FALSE())</f>
        <v>09375118168</v>
      </c>
      <c r="C1477" s="242"/>
      <c r="D1477" s="242">
        <f t="shared" si="1"/>
        <v>1</v>
      </c>
      <c r="E1477" s="242">
        <f>COUNTIFS('تجربه‌گرها'!$B:$B,$A1477,'تجربه‌گرها'!$F:$F,E$1)</f>
        <v>0</v>
      </c>
      <c r="F1477" s="242">
        <f>COUNTIFS('تجربه‌گرها'!$B:$B,$A1477,'تجربه‌گرها'!$F:$F,F$1)</f>
        <v>0</v>
      </c>
      <c r="G1477" s="242">
        <f>COUNTIFS('تجربه‌گرها'!$B:$B,$A1477,'تجربه‌گرها'!$F:$F,G$1)</f>
        <v>0</v>
      </c>
      <c r="H1477" s="242">
        <f>COUNTIFS('تجربه‌گرها'!$B:$B,$A1477,'تجربه‌گرها'!$F:$F,H$1)</f>
        <v>0</v>
      </c>
      <c r="I1477" s="242">
        <f>COUNTIFS('تجربه‌گرها'!$B:$B,$A1477,'تجربه‌گرها'!$F:$F,I$1)</f>
        <v>0</v>
      </c>
      <c r="J1477" s="242">
        <f>COUNTIFS('تجربه‌گرها'!$B:$B,$A1477,'تجربه‌گرها'!$F:$F,J$1)</f>
        <v>0</v>
      </c>
      <c r="K1477" s="242">
        <f>COUNTIFS('تجربه‌گرها'!$B:$B,$A1477,'تجربه‌گرها'!$F:$F,K$1)</f>
        <v>0</v>
      </c>
      <c r="L1477" s="242">
        <f>COUNTIFS('تجربه‌گرها'!$B:$B,$A1477,'تجربه‌گرها'!$F:$F,L$1)</f>
        <v>0</v>
      </c>
      <c r="M1477" s="242">
        <f>COUNTIFS('تجربه‌گرها'!$B:$B,$A1477,'تجربه‌گرها'!$F:$F,M$1)</f>
        <v>0</v>
      </c>
      <c r="N1477" s="242">
        <f>COUNTIFS('تجربه‌گرها'!$B:$B,$A1477,'تجربه‌گرها'!$F:$F,N$1)</f>
        <v>0</v>
      </c>
      <c r="O1477" s="242">
        <f>COUNTIFS('تجربه‌گرها'!$B:$B,$A1477,'تجربه‌گرها'!$F:$F,O$1)</f>
        <v>0</v>
      </c>
      <c r="P1477" s="242">
        <f>COUNTIFS('تجربه‌گرها'!$B:$B,$A1477,'تجربه‌گرها'!$F:$F,P$1)</f>
        <v>0</v>
      </c>
      <c r="Q1477" s="242">
        <f>COUNTIFS('تجربه‌گرها'!$B:$B,$A1477,'تجربه‌گرها'!$F:$F,Q$1)</f>
        <v>1</v>
      </c>
      <c r="R1477" s="242">
        <f>COUNTIFS('تجربه‌گرها'!$B:$B,$A1477,'تجربه‌گرها'!$F:$F,R$1)</f>
        <v>0</v>
      </c>
      <c r="S1477" s="242">
        <f>COUNTIFS('تجربه‌گرها'!$B:$B,$A1477,'تجربه‌گرها'!$F:$F,S$1)</f>
        <v>0</v>
      </c>
      <c r="T1477" s="242">
        <f>COUNTIFS('تجربه‌گرها'!$B:$B,$A1477,'تجربه‌گرها'!$F:$F,T$1)</f>
        <v>0</v>
      </c>
      <c r="U1477" s="242"/>
      <c r="V1477" s="242"/>
      <c r="W1477" s="242"/>
      <c r="X1477" s="242"/>
      <c r="Y1477" s="242"/>
      <c r="Z1477" s="242"/>
      <c r="AA1477" s="242"/>
      <c r="AB1477" s="242"/>
    </row>
    <row r="1478" hidden="1">
      <c r="A1478" s="244" t="s">
        <v>7383</v>
      </c>
      <c r="B1478" s="245" t="str">
        <f>VLOOKUP(A1478,'تجربه‌گرها'!B:C,2,FALSE())</f>
        <v>09196224657</v>
      </c>
      <c r="C1478" s="242"/>
      <c r="D1478" s="242">
        <f t="shared" si="1"/>
        <v>1</v>
      </c>
      <c r="E1478" s="242">
        <f>COUNTIFS('تجربه‌گرها'!$B:$B,$A1478,'تجربه‌گرها'!$F:$F,E$1)</f>
        <v>0</v>
      </c>
      <c r="F1478" s="242">
        <f>COUNTIFS('تجربه‌گرها'!$B:$B,$A1478,'تجربه‌گرها'!$F:$F,F$1)</f>
        <v>0</v>
      </c>
      <c r="G1478" s="242">
        <f>COUNTIFS('تجربه‌گرها'!$B:$B,$A1478,'تجربه‌گرها'!$F:$F,G$1)</f>
        <v>0</v>
      </c>
      <c r="H1478" s="242">
        <f>COUNTIFS('تجربه‌گرها'!$B:$B,$A1478,'تجربه‌گرها'!$F:$F,H$1)</f>
        <v>0</v>
      </c>
      <c r="I1478" s="242">
        <f>COUNTIFS('تجربه‌گرها'!$B:$B,$A1478,'تجربه‌گرها'!$F:$F,I$1)</f>
        <v>0</v>
      </c>
      <c r="J1478" s="242">
        <f>COUNTIFS('تجربه‌گرها'!$B:$B,$A1478,'تجربه‌گرها'!$F:$F,J$1)</f>
        <v>0</v>
      </c>
      <c r="K1478" s="242">
        <f>COUNTIFS('تجربه‌گرها'!$B:$B,$A1478,'تجربه‌گرها'!$F:$F,K$1)</f>
        <v>0</v>
      </c>
      <c r="L1478" s="242">
        <f>COUNTIFS('تجربه‌گرها'!$B:$B,$A1478,'تجربه‌گرها'!$F:$F,L$1)</f>
        <v>0</v>
      </c>
      <c r="M1478" s="242">
        <f>COUNTIFS('تجربه‌گرها'!$B:$B,$A1478,'تجربه‌گرها'!$F:$F,M$1)</f>
        <v>0</v>
      </c>
      <c r="N1478" s="242">
        <f>COUNTIFS('تجربه‌گرها'!$B:$B,$A1478,'تجربه‌گرها'!$F:$F,N$1)</f>
        <v>0</v>
      </c>
      <c r="O1478" s="242">
        <f>COUNTIFS('تجربه‌گرها'!$B:$B,$A1478,'تجربه‌گرها'!$F:$F,O$1)</f>
        <v>0</v>
      </c>
      <c r="P1478" s="242">
        <f>COUNTIFS('تجربه‌گرها'!$B:$B,$A1478,'تجربه‌گرها'!$F:$F,P$1)</f>
        <v>0</v>
      </c>
      <c r="Q1478" s="242">
        <f>COUNTIFS('تجربه‌گرها'!$B:$B,$A1478,'تجربه‌گرها'!$F:$F,Q$1)</f>
        <v>1</v>
      </c>
      <c r="R1478" s="242">
        <f>COUNTIFS('تجربه‌گرها'!$B:$B,$A1478,'تجربه‌گرها'!$F:$F,R$1)</f>
        <v>0</v>
      </c>
      <c r="S1478" s="242">
        <f>COUNTIFS('تجربه‌گرها'!$B:$B,$A1478,'تجربه‌گرها'!$F:$F,S$1)</f>
        <v>0</v>
      </c>
      <c r="T1478" s="242">
        <f>COUNTIFS('تجربه‌گرها'!$B:$B,$A1478,'تجربه‌گرها'!$F:$F,T$1)</f>
        <v>0</v>
      </c>
      <c r="U1478" s="242"/>
      <c r="V1478" s="242"/>
      <c r="W1478" s="242"/>
      <c r="X1478" s="242"/>
      <c r="Y1478" s="242"/>
      <c r="Z1478" s="242"/>
      <c r="AA1478" s="242"/>
      <c r="AB1478" s="242"/>
    </row>
    <row r="1479" hidden="1">
      <c r="A1479" s="244" t="s">
        <v>7384</v>
      </c>
      <c r="B1479" s="245" t="str">
        <f>VLOOKUP(A1479,'تجربه‌گرها'!B:C,2,FALSE())</f>
        <v>09124130904</v>
      </c>
      <c r="C1479" s="242"/>
      <c r="D1479" s="242">
        <f t="shared" si="1"/>
        <v>1</v>
      </c>
      <c r="E1479" s="242">
        <f>COUNTIFS('تجربه‌گرها'!$B:$B,$A1479,'تجربه‌گرها'!$F:$F,E$1)</f>
        <v>0</v>
      </c>
      <c r="F1479" s="242">
        <f>COUNTIFS('تجربه‌گرها'!$B:$B,$A1479,'تجربه‌گرها'!$F:$F,F$1)</f>
        <v>0</v>
      </c>
      <c r="G1479" s="242">
        <f>COUNTIFS('تجربه‌گرها'!$B:$B,$A1479,'تجربه‌گرها'!$F:$F,G$1)</f>
        <v>0</v>
      </c>
      <c r="H1479" s="242">
        <f>COUNTIFS('تجربه‌گرها'!$B:$B,$A1479,'تجربه‌گرها'!$F:$F,H$1)</f>
        <v>0</v>
      </c>
      <c r="I1479" s="242">
        <f>COUNTIFS('تجربه‌گرها'!$B:$B,$A1479,'تجربه‌گرها'!$F:$F,I$1)</f>
        <v>0</v>
      </c>
      <c r="J1479" s="242">
        <f>COUNTIFS('تجربه‌گرها'!$B:$B,$A1479,'تجربه‌گرها'!$F:$F,J$1)</f>
        <v>0</v>
      </c>
      <c r="K1479" s="242">
        <f>COUNTIFS('تجربه‌گرها'!$B:$B,$A1479,'تجربه‌گرها'!$F:$F,K$1)</f>
        <v>0</v>
      </c>
      <c r="L1479" s="242">
        <f>COUNTIFS('تجربه‌گرها'!$B:$B,$A1479,'تجربه‌گرها'!$F:$F,L$1)</f>
        <v>0</v>
      </c>
      <c r="M1479" s="242">
        <f>COUNTIFS('تجربه‌گرها'!$B:$B,$A1479,'تجربه‌گرها'!$F:$F,M$1)</f>
        <v>0</v>
      </c>
      <c r="N1479" s="242">
        <f>COUNTIFS('تجربه‌گرها'!$B:$B,$A1479,'تجربه‌گرها'!$F:$F,N$1)</f>
        <v>0</v>
      </c>
      <c r="O1479" s="242">
        <f>COUNTIFS('تجربه‌گرها'!$B:$B,$A1479,'تجربه‌گرها'!$F:$F,O$1)</f>
        <v>0</v>
      </c>
      <c r="P1479" s="242">
        <f>COUNTIFS('تجربه‌گرها'!$B:$B,$A1479,'تجربه‌گرها'!$F:$F,P$1)</f>
        <v>0</v>
      </c>
      <c r="Q1479" s="242">
        <f>COUNTIFS('تجربه‌گرها'!$B:$B,$A1479,'تجربه‌گرها'!$F:$F,Q$1)</f>
        <v>1</v>
      </c>
      <c r="R1479" s="242">
        <f>COUNTIFS('تجربه‌گرها'!$B:$B,$A1479,'تجربه‌گرها'!$F:$F,R$1)</f>
        <v>0</v>
      </c>
      <c r="S1479" s="242">
        <f>COUNTIFS('تجربه‌گرها'!$B:$B,$A1479,'تجربه‌گرها'!$F:$F,S$1)</f>
        <v>0</v>
      </c>
      <c r="T1479" s="242">
        <f>COUNTIFS('تجربه‌گرها'!$B:$B,$A1479,'تجربه‌گرها'!$F:$F,T$1)</f>
        <v>0</v>
      </c>
      <c r="U1479" s="242"/>
      <c r="V1479" s="242"/>
      <c r="W1479" s="242"/>
      <c r="X1479" s="242"/>
      <c r="Y1479" s="242"/>
      <c r="Z1479" s="242"/>
      <c r="AA1479" s="242"/>
      <c r="AB1479" s="242"/>
    </row>
    <row r="1480" hidden="1">
      <c r="A1480" s="244" t="s">
        <v>7385</v>
      </c>
      <c r="B1480" s="245" t="str">
        <f>VLOOKUP(A1480,'تجربه‌گرها'!B:C,2,FALSE())</f>
        <v>09128962498</v>
      </c>
      <c r="C1480" s="242"/>
      <c r="D1480" s="242">
        <f t="shared" si="1"/>
        <v>1</v>
      </c>
      <c r="E1480" s="242">
        <f>COUNTIFS('تجربه‌گرها'!$B:$B,$A1480,'تجربه‌گرها'!$F:$F,E$1)</f>
        <v>0</v>
      </c>
      <c r="F1480" s="242">
        <f>COUNTIFS('تجربه‌گرها'!$B:$B,$A1480,'تجربه‌گرها'!$F:$F,F$1)</f>
        <v>0</v>
      </c>
      <c r="G1480" s="242">
        <f>COUNTIFS('تجربه‌گرها'!$B:$B,$A1480,'تجربه‌گرها'!$F:$F,G$1)</f>
        <v>0</v>
      </c>
      <c r="H1480" s="242">
        <f>COUNTIFS('تجربه‌گرها'!$B:$B,$A1480,'تجربه‌گرها'!$F:$F,H$1)</f>
        <v>0</v>
      </c>
      <c r="I1480" s="242">
        <f>COUNTIFS('تجربه‌گرها'!$B:$B,$A1480,'تجربه‌گرها'!$F:$F,I$1)</f>
        <v>0</v>
      </c>
      <c r="J1480" s="242">
        <f>COUNTIFS('تجربه‌گرها'!$B:$B,$A1480,'تجربه‌گرها'!$F:$F,J$1)</f>
        <v>0</v>
      </c>
      <c r="K1480" s="242">
        <f>COUNTIFS('تجربه‌گرها'!$B:$B,$A1480,'تجربه‌گرها'!$F:$F,K$1)</f>
        <v>0</v>
      </c>
      <c r="L1480" s="242">
        <f>COUNTIFS('تجربه‌گرها'!$B:$B,$A1480,'تجربه‌گرها'!$F:$F,L$1)</f>
        <v>0</v>
      </c>
      <c r="M1480" s="242">
        <f>COUNTIFS('تجربه‌گرها'!$B:$B,$A1480,'تجربه‌گرها'!$F:$F,M$1)</f>
        <v>0</v>
      </c>
      <c r="N1480" s="242">
        <f>COUNTIFS('تجربه‌گرها'!$B:$B,$A1480,'تجربه‌گرها'!$F:$F,N$1)</f>
        <v>0</v>
      </c>
      <c r="O1480" s="242">
        <f>COUNTIFS('تجربه‌گرها'!$B:$B,$A1480,'تجربه‌گرها'!$F:$F,O$1)</f>
        <v>0</v>
      </c>
      <c r="P1480" s="242">
        <f>COUNTIFS('تجربه‌گرها'!$B:$B,$A1480,'تجربه‌گرها'!$F:$F,P$1)</f>
        <v>0</v>
      </c>
      <c r="Q1480" s="242">
        <f>COUNTIFS('تجربه‌گرها'!$B:$B,$A1480,'تجربه‌گرها'!$F:$F,Q$1)</f>
        <v>1</v>
      </c>
      <c r="R1480" s="242">
        <f>COUNTIFS('تجربه‌گرها'!$B:$B,$A1480,'تجربه‌گرها'!$F:$F,R$1)</f>
        <v>0</v>
      </c>
      <c r="S1480" s="242">
        <f>COUNTIFS('تجربه‌گرها'!$B:$B,$A1480,'تجربه‌گرها'!$F:$F,S$1)</f>
        <v>0</v>
      </c>
      <c r="T1480" s="242">
        <f>COUNTIFS('تجربه‌گرها'!$B:$B,$A1480,'تجربه‌گرها'!$F:$F,T$1)</f>
        <v>0</v>
      </c>
      <c r="U1480" s="242"/>
      <c r="V1480" s="242"/>
      <c r="W1480" s="242"/>
      <c r="X1480" s="242"/>
      <c r="Y1480" s="242"/>
      <c r="Z1480" s="242"/>
      <c r="AA1480" s="242"/>
      <c r="AB1480" s="242"/>
    </row>
    <row r="1481" hidden="1">
      <c r="A1481" s="244" t="s">
        <v>7386</v>
      </c>
      <c r="B1481" s="245" t="str">
        <f>VLOOKUP(A1481,'تجربه‌گرها'!B:C,2,FALSE())</f>
        <v>09025021621</v>
      </c>
      <c r="C1481" s="242"/>
      <c r="D1481" s="242">
        <f t="shared" si="1"/>
        <v>1</v>
      </c>
      <c r="E1481" s="242">
        <f>COUNTIFS('تجربه‌گرها'!$B:$B,$A1481,'تجربه‌گرها'!$F:$F,E$1)</f>
        <v>0</v>
      </c>
      <c r="F1481" s="242">
        <f>COUNTIFS('تجربه‌گرها'!$B:$B,$A1481,'تجربه‌گرها'!$F:$F,F$1)</f>
        <v>0</v>
      </c>
      <c r="G1481" s="242">
        <f>COUNTIFS('تجربه‌گرها'!$B:$B,$A1481,'تجربه‌گرها'!$F:$F,G$1)</f>
        <v>0</v>
      </c>
      <c r="H1481" s="242">
        <f>COUNTIFS('تجربه‌گرها'!$B:$B,$A1481,'تجربه‌گرها'!$F:$F,H$1)</f>
        <v>0</v>
      </c>
      <c r="I1481" s="242">
        <f>COUNTIFS('تجربه‌گرها'!$B:$B,$A1481,'تجربه‌گرها'!$F:$F,I$1)</f>
        <v>0</v>
      </c>
      <c r="J1481" s="242">
        <f>COUNTIFS('تجربه‌گرها'!$B:$B,$A1481,'تجربه‌گرها'!$F:$F,J$1)</f>
        <v>0</v>
      </c>
      <c r="K1481" s="242">
        <f>COUNTIFS('تجربه‌گرها'!$B:$B,$A1481,'تجربه‌گرها'!$F:$F,K$1)</f>
        <v>0</v>
      </c>
      <c r="L1481" s="242">
        <f>COUNTIFS('تجربه‌گرها'!$B:$B,$A1481,'تجربه‌گرها'!$F:$F,L$1)</f>
        <v>0</v>
      </c>
      <c r="M1481" s="242">
        <f>COUNTIFS('تجربه‌گرها'!$B:$B,$A1481,'تجربه‌گرها'!$F:$F,M$1)</f>
        <v>0</v>
      </c>
      <c r="N1481" s="242">
        <f>COUNTIFS('تجربه‌گرها'!$B:$B,$A1481,'تجربه‌گرها'!$F:$F,N$1)</f>
        <v>0</v>
      </c>
      <c r="O1481" s="242">
        <f>COUNTIFS('تجربه‌گرها'!$B:$B,$A1481,'تجربه‌گرها'!$F:$F,O$1)</f>
        <v>0</v>
      </c>
      <c r="P1481" s="242">
        <f>COUNTIFS('تجربه‌گرها'!$B:$B,$A1481,'تجربه‌گرها'!$F:$F,P$1)</f>
        <v>0</v>
      </c>
      <c r="Q1481" s="242">
        <f>COUNTIFS('تجربه‌گرها'!$B:$B,$A1481,'تجربه‌گرها'!$F:$F,Q$1)</f>
        <v>1</v>
      </c>
      <c r="R1481" s="242">
        <f>COUNTIFS('تجربه‌گرها'!$B:$B,$A1481,'تجربه‌گرها'!$F:$F,R$1)</f>
        <v>0</v>
      </c>
      <c r="S1481" s="242">
        <f>COUNTIFS('تجربه‌گرها'!$B:$B,$A1481,'تجربه‌گرها'!$F:$F,S$1)</f>
        <v>0</v>
      </c>
      <c r="T1481" s="242">
        <f>COUNTIFS('تجربه‌گرها'!$B:$B,$A1481,'تجربه‌گرها'!$F:$F,T$1)</f>
        <v>0</v>
      </c>
      <c r="U1481" s="242"/>
      <c r="V1481" s="242"/>
      <c r="W1481" s="242"/>
      <c r="X1481" s="242"/>
      <c r="Y1481" s="242"/>
      <c r="Z1481" s="242"/>
      <c r="AA1481" s="242"/>
      <c r="AB1481" s="242"/>
    </row>
    <row r="1482" hidden="1">
      <c r="A1482" s="244" t="s">
        <v>7387</v>
      </c>
      <c r="B1482" s="245" t="str">
        <f>VLOOKUP(A1482,'تجربه‌گرها'!B:C,2,FALSE())</f>
        <v>09193634757</v>
      </c>
      <c r="C1482" s="242"/>
      <c r="D1482" s="242">
        <f t="shared" si="1"/>
        <v>1</v>
      </c>
      <c r="E1482" s="242">
        <f>COUNTIFS('تجربه‌گرها'!$B:$B,$A1482,'تجربه‌گرها'!$F:$F,E$1)</f>
        <v>0</v>
      </c>
      <c r="F1482" s="242">
        <f>COUNTIFS('تجربه‌گرها'!$B:$B,$A1482,'تجربه‌گرها'!$F:$F,F$1)</f>
        <v>0</v>
      </c>
      <c r="G1482" s="242">
        <f>COUNTIFS('تجربه‌گرها'!$B:$B,$A1482,'تجربه‌گرها'!$F:$F,G$1)</f>
        <v>0</v>
      </c>
      <c r="H1482" s="242">
        <f>COUNTIFS('تجربه‌گرها'!$B:$B,$A1482,'تجربه‌گرها'!$F:$F,H$1)</f>
        <v>0</v>
      </c>
      <c r="I1482" s="242">
        <f>COUNTIFS('تجربه‌گرها'!$B:$B,$A1482,'تجربه‌گرها'!$F:$F,I$1)</f>
        <v>0</v>
      </c>
      <c r="J1482" s="242">
        <f>COUNTIFS('تجربه‌گرها'!$B:$B,$A1482,'تجربه‌گرها'!$F:$F,J$1)</f>
        <v>0</v>
      </c>
      <c r="K1482" s="242">
        <f>COUNTIFS('تجربه‌گرها'!$B:$B,$A1482,'تجربه‌گرها'!$F:$F,K$1)</f>
        <v>0</v>
      </c>
      <c r="L1482" s="242">
        <f>COUNTIFS('تجربه‌گرها'!$B:$B,$A1482,'تجربه‌گرها'!$F:$F,L$1)</f>
        <v>0</v>
      </c>
      <c r="M1482" s="242">
        <f>COUNTIFS('تجربه‌گرها'!$B:$B,$A1482,'تجربه‌گرها'!$F:$F,M$1)</f>
        <v>0</v>
      </c>
      <c r="N1482" s="242">
        <f>COUNTIFS('تجربه‌گرها'!$B:$B,$A1482,'تجربه‌گرها'!$F:$F,N$1)</f>
        <v>0</v>
      </c>
      <c r="O1482" s="242">
        <f>COUNTIFS('تجربه‌گرها'!$B:$B,$A1482,'تجربه‌گرها'!$F:$F,O$1)</f>
        <v>0</v>
      </c>
      <c r="P1482" s="242">
        <f>COUNTIFS('تجربه‌گرها'!$B:$B,$A1482,'تجربه‌گرها'!$F:$F,P$1)</f>
        <v>0</v>
      </c>
      <c r="Q1482" s="242">
        <f>COUNTIFS('تجربه‌گرها'!$B:$B,$A1482,'تجربه‌گرها'!$F:$F,Q$1)</f>
        <v>1</v>
      </c>
      <c r="R1482" s="242">
        <f>COUNTIFS('تجربه‌گرها'!$B:$B,$A1482,'تجربه‌گرها'!$F:$F,R$1)</f>
        <v>0</v>
      </c>
      <c r="S1482" s="242">
        <f>COUNTIFS('تجربه‌گرها'!$B:$B,$A1482,'تجربه‌گرها'!$F:$F,S$1)</f>
        <v>0</v>
      </c>
      <c r="T1482" s="242">
        <f>COUNTIFS('تجربه‌گرها'!$B:$B,$A1482,'تجربه‌گرها'!$F:$F,T$1)</f>
        <v>0</v>
      </c>
      <c r="U1482" s="242"/>
      <c r="V1482" s="242"/>
      <c r="W1482" s="242"/>
      <c r="X1482" s="242"/>
      <c r="Y1482" s="242"/>
      <c r="Z1482" s="242"/>
      <c r="AA1482" s="242"/>
      <c r="AB1482" s="242"/>
    </row>
    <row r="1483" hidden="1">
      <c r="A1483" s="244" t="s">
        <v>6959</v>
      </c>
      <c r="B1483" s="245" t="str">
        <f>VLOOKUP(A1483,'تجربه‌گرها'!B:C,2,FALSE())</f>
        <v>9188190776</v>
      </c>
      <c r="C1483" s="242"/>
      <c r="D1483" s="242">
        <f t="shared" si="1"/>
        <v>1</v>
      </c>
      <c r="E1483" s="242">
        <f>COUNTIFS('تجربه‌گرها'!$B:$B,$A1483,'تجربه‌گرها'!$F:$F,E$1)</f>
        <v>0</v>
      </c>
      <c r="F1483" s="242">
        <f>COUNTIFS('تجربه‌گرها'!$B:$B,$A1483,'تجربه‌گرها'!$F:$F,F$1)</f>
        <v>0</v>
      </c>
      <c r="G1483" s="242">
        <f>COUNTIFS('تجربه‌گرها'!$B:$B,$A1483,'تجربه‌گرها'!$F:$F,G$1)</f>
        <v>0</v>
      </c>
      <c r="H1483" s="242">
        <f>COUNTIFS('تجربه‌گرها'!$B:$B,$A1483,'تجربه‌گرها'!$F:$F,H$1)</f>
        <v>0</v>
      </c>
      <c r="I1483" s="242">
        <f>COUNTIFS('تجربه‌گرها'!$B:$B,$A1483,'تجربه‌گرها'!$F:$F,I$1)</f>
        <v>0</v>
      </c>
      <c r="J1483" s="242">
        <f>COUNTIFS('تجربه‌گرها'!$B:$B,$A1483,'تجربه‌گرها'!$F:$F,J$1)</f>
        <v>0</v>
      </c>
      <c r="K1483" s="242">
        <f>COUNTIFS('تجربه‌گرها'!$B:$B,$A1483,'تجربه‌گرها'!$F:$F,K$1)</f>
        <v>0</v>
      </c>
      <c r="L1483" s="242">
        <f>COUNTIFS('تجربه‌گرها'!$B:$B,$A1483,'تجربه‌گرها'!$F:$F,L$1)</f>
        <v>0</v>
      </c>
      <c r="M1483" s="242">
        <f>COUNTIFS('تجربه‌گرها'!$B:$B,$A1483,'تجربه‌گرها'!$F:$F,M$1)</f>
        <v>0</v>
      </c>
      <c r="N1483" s="242">
        <f>COUNTIFS('تجربه‌گرها'!$B:$B,$A1483,'تجربه‌گرها'!$F:$F,N$1)</f>
        <v>0</v>
      </c>
      <c r="O1483" s="242">
        <f>COUNTIFS('تجربه‌گرها'!$B:$B,$A1483,'تجربه‌گرها'!$F:$F,O$1)</f>
        <v>0</v>
      </c>
      <c r="P1483" s="242">
        <f>COUNTIFS('تجربه‌گرها'!$B:$B,$A1483,'تجربه‌گرها'!$F:$F,P$1)</f>
        <v>0</v>
      </c>
      <c r="Q1483" s="242">
        <f>COUNTIFS('تجربه‌گرها'!$B:$B,$A1483,'تجربه‌گرها'!$F:$F,Q$1)</f>
        <v>0</v>
      </c>
      <c r="R1483" s="242">
        <f>COUNTIFS('تجربه‌گرها'!$B:$B,$A1483,'تجربه‌گرها'!$F:$F,R$1)</f>
        <v>1</v>
      </c>
      <c r="S1483" s="242">
        <f>COUNTIFS('تجربه‌گرها'!$B:$B,$A1483,'تجربه‌گرها'!$F:$F,S$1)</f>
        <v>0</v>
      </c>
      <c r="T1483" s="242">
        <f>COUNTIFS('تجربه‌گرها'!$B:$B,$A1483,'تجربه‌گرها'!$F:$F,T$1)</f>
        <v>0</v>
      </c>
      <c r="U1483" s="242"/>
      <c r="V1483" s="242"/>
      <c r="W1483" s="242"/>
      <c r="X1483" s="242"/>
      <c r="Y1483" s="242"/>
      <c r="Z1483" s="242"/>
      <c r="AA1483" s="242"/>
      <c r="AB1483" s="242"/>
    </row>
    <row r="1484" hidden="1">
      <c r="A1484" s="244" t="s">
        <v>6964</v>
      </c>
      <c r="B1484" s="245" t="str">
        <f>VLOOKUP(A1484,'تجربه‌گرها'!B:C,2,FALSE())</f>
        <v>9125372263</v>
      </c>
      <c r="C1484" s="242"/>
      <c r="D1484" s="242">
        <f t="shared" si="1"/>
        <v>1</v>
      </c>
      <c r="E1484" s="242">
        <f>COUNTIFS('تجربه‌گرها'!$B:$B,$A1484,'تجربه‌گرها'!$F:$F,E$1)</f>
        <v>0</v>
      </c>
      <c r="F1484" s="242">
        <f>COUNTIFS('تجربه‌گرها'!$B:$B,$A1484,'تجربه‌گرها'!$F:$F,F$1)</f>
        <v>0</v>
      </c>
      <c r="G1484" s="242">
        <f>COUNTIFS('تجربه‌گرها'!$B:$B,$A1484,'تجربه‌گرها'!$F:$F,G$1)</f>
        <v>0</v>
      </c>
      <c r="H1484" s="242">
        <f>COUNTIFS('تجربه‌گرها'!$B:$B,$A1484,'تجربه‌گرها'!$F:$F,H$1)</f>
        <v>0</v>
      </c>
      <c r="I1484" s="242">
        <f>COUNTIFS('تجربه‌گرها'!$B:$B,$A1484,'تجربه‌گرها'!$F:$F,I$1)</f>
        <v>0</v>
      </c>
      <c r="J1484" s="242">
        <f>COUNTIFS('تجربه‌گرها'!$B:$B,$A1484,'تجربه‌گرها'!$F:$F,J$1)</f>
        <v>0</v>
      </c>
      <c r="K1484" s="242">
        <f>COUNTIFS('تجربه‌گرها'!$B:$B,$A1484,'تجربه‌گرها'!$F:$F,K$1)</f>
        <v>0</v>
      </c>
      <c r="L1484" s="242">
        <f>COUNTIFS('تجربه‌گرها'!$B:$B,$A1484,'تجربه‌گرها'!$F:$F,L$1)</f>
        <v>0</v>
      </c>
      <c r="M1484" s="242">
        <f>COUNTIFS('تجربه‌گرها'!$B:$B,$A1484,'تجربه‌گرها'!$F:$F,M$1)</f>
        <v>0</v>
      </c>
      <c r="N1484" s="242">
        <f>COUNTIFS('تجربه‌گرها'!$B:$B,$A1484,'تجربه‌گرها'!$F:$F,N$1)</f>
        <v>0</v>
      </c>
      <c r="O1484" s="242">
        <f>COUNTIFS('تجربه‌گرها'!$B:$B,$A1484,'تجربه‌گرها'!$F:$F,O$1)</f>
        <v>0</v>
      </c>
      <c r="P1484" s="242">
        <f>COUNTIFS('تجربه‌گرها'!$B:$B,$A1484,'تجربه‌گرها'!$F:$F,P$1)</f>
        <v>0</v>
      </c>
      <c r="Q1484" s="242">
        <f>COUNTIFS('تجربه‌گرها'!$B:$B,$A1484,'تجربه‌گرها'!$F:$F,Q$1)</f>
        <v>0</v>
      </c>
      <c r="R1484" s="242">
        <f>COUNTIFS('تجربه‌گرها'!$B:$B,$A1484,'تجربه‌گرها'!$F:$F,R$1)</f>
        <v>1</v>
      </c>
      <c r="S1484" s="242">
        <f>COUNTIFS('تجربه‌گرها'!$B:$B,$A1484,'تجربه‌گرها'!$F:$F,S$1)</f>
        <v>0</v>
      </c>
      <c r="T1484" s="242">
        <f>COUNTIFS('تجربه‌گرها'!$B:$B,$A1484,'تجربه‌گرها'!$F:$F,T$1)</f>
        <v>0</v>
      </c>
      <c r="U1484" s="242"/>
      <c r="V1484" s="242"/>
      <c r="W1484" s="242"/>
      <c r="X1484" s="242"/>
      <c r="Y1484" s="242"/>
      <c r="Z1484" s="242"/>
      <c r="AA1484" s="242"/>
      <c r="AB1484" s="242"/>
    </row>
    <row r="1485" hidden="1">
      <c r="A1485" s="244" t="s">
        <v>6967</v>
      </c>
      <c r="B1485" s="245" t="str">
        <f>VLOOKUP(A1485,'تجربه‌گرها'!B:C,2,FALSE())</f>
        <v>9177651627</v>
      </c>
      <c r="C1485" s="242"/>
      <c r="D1485" s="242">
        <f t="shared" si="1"/>
        <v>1</v>
      </c>
      <c r="E1485" s="242">
        <f>COUNTIFS('تجربه‌گرها'!$B:$B,$A1485,'تجربه‌گرها'!$F:$F,E$1)</f>
        <v>0</v>
      </c>
      <c r="F1485" s="242">
        <f>COUNTIFS('تجربه‌گرها'!$B:$B,$A1485,'تجربه‌گرها'!$F:$F,F$1)</f>
        <v>0</v>
      </c>
      <c r="G1485" s="242">
        <f>COUNTIFS('تجربه‌گرها'!$B:$B,$A1485,'تجربه‌گرها'!$F:$F,G$1)</f>
        <v>0</v>
      </c>
      <c r="H1485" s="242">
        <f>COUNTIFS('تجربه‌گرها'!$B:$B,$A1485,'تجربه‌گرها'!$F:$F,H$1)</f>
        <v>0</v>
      </c>
      <c r="I1485" s="242">
        <f>COUNTIFS('تجربه‌گرها'!$B:$B,$A1485,'تجربه‌گرها'!$F:$F,I$1)</f>
        <v>0</v>
      </c>
      <c r="J1485" s="242">
        <f>COUNTIFS('تجربه‌گرها'!$B:$B,$A1485,'تجربه‌گرها'!$F:$F,J$1)</f>
        <v>0</v>
      </c>
      <c r="K1485" s="242">
        <f>COUNTIFS('تجربه‌گرها'!$B:$B,$A1485,'تجربه‌گرها'!$F:$F,K$1)</f>
        <v>0</v>
      </c>
      <c r="L1485" s="242">
        <f>COUNTIFS('تجربه‌گرها'!$B:$B,$A1485,'تجربه‌گرها'!$F:$F,L$1)</f>
        <v>0</v>
      </c>
      <c r="M1485" s="242">
        <f>COUNTIFS('تجربه‌گرها'!$B:$B,$A1485,'تجربه‌گرها'!$F:$F,M$1)</f>
        <v>0</v>
      </c>
      <c r="N1485" s="242">
        <f>COUNTIFS('تجربه‌گرها'!$B:$B,$A1485,'تجربه‌گرها'!$F:$F,N$1)</f>
        <v>0</v>
      </c>
      <c r="O1485" s="242">
        <f>COUNTIFS('تجربه‌گرها'!$B:$B,$A1485,'تجربه‌گرها'!$F:$F,O$1)</f>
        <v>0</v>
      </c>
      <c r="P1485" s="242">
        <f>COUNTIFS('تجربه‌گرها'!$B:$B,$A1485,'تجربه‌گرها'!$F:$F,P$1)</f>
        <v>0</v>
      </c>
      <c r="Q1485" s="242">
        <f>COUNTIFS('تجربه‌گرها'!$B:$B,$A1485,'تجربه‌گرها'!$F:$F,Q$1)</f>
        <v>0</v>
      </c>
      <c r="R1485" s="242">
        <f>COUNTIFS('تجربه‌گرها'!$B:$B,$A1485,'تجربه‌گرها'!$F:$F,R$1)</f>
        <v>1</v>
      </c>
      <c r="S1485" s="242">
        <f>COUNTIFS('تجربه‌گرها'!$B:$B,$A1485,'تجربه‌گرها'!$F:$F,S$1)</f>
        <v>0</v>
      </c>
      <c r="T1485" s="242">
        <f>COUNTIFS('تجربه‌گرها'!$B:$B,$A1485,'تجربه‌گرها'!$F:$F,T$1)</f>
        <v>0</v>
      </c>
      <c r="U1485" s="242"/>
      <c r="V1485" s="242"/>
      <c r="W1485" s="242"/>
      <c r="X1485" s="242"/>
      <c r="Y1485" s="242"/>
      <c r="Z1485" s="242"/>
      <c r="AA1485" s="242"/>
      <c r="AB1485" s="242"/>
    </row>
    <row r="1486" hidden="1">
      <c r="A1486" s="244" t="s">
        <v>6970</v>
      </c>
      <c r="B1486" s="245" t="str">
        <f>VLOOKUP(A1486,'تجربه‌گرها'!B:C,2,FALSE())</f>
        <v>9170965865</v>
      </c>
      <c r="C1486" s="242"/>
      <c r="D1486" s="242">
        <f t="shared" si="1"/>
        <v>1</v>
      </c>
      <c r="E1486" s="242">
        <f>COUNTIFS('تجربه‌گرها'!$B:$B,$A1486,'تجربه‌گرها'!$F:$F,E$1)</f>
        <v>0</v>
      </c>
      <c r="F1486" s="242">
        <f>COUNTIFS('تجربه‌گرها'!$B:$B,$A1486,'تجربه‌گرها'!$F:$F,F$1)</f>
        <v>0</v>
      </c>
      <c r="G1486" s="242">
        <f>COUNTIFS('تجربه‌گرها'!$B:$B,$A1486,'تجربه‌گرها'!$F:$F,G$1)</f>
        <v>0</v>
      </c>
      <c r="H1486" s="242">
        <f>COUNTIFS('تجربه‌گرها'!$B:$B,$A1486,'تجربه‌گرها'!$F:$F,H$1)</f>
        <v>0</v>
      </c>
      <c r="I1486" s="242">
        <f>COUNTIFS('تجربه‌گرها'!$B:$B,$A1486,'تجربه‌گرها'!$F:$F,I$1)</f>
        <v>0</v>
      </c>
      <c r="J1486" s="242">
        <f>COUNTIFS('تجربه‌گرها'!$B:$B,$A1486,'تجربه‌گرها'!$F:$F,J$1)</f>
        <v>0</v>
      </c>
      <c r="K1486" s="242">
        <f>COUNTIFS('تجربه‌گرها'!$B:$B,$A1486,'تجربه‌گرها'!$F:$F,K$1)</f>
        <v>0</v>
      </c>
      <c r="L1486" s="242">
        <f>COUNTIFS('تجربه‌گرها'!$B:$B,$A1486,'تجربه‌گرها'!$F:$F,L$1)</f>
        <v>0</v>
      </c>
      <c r="M1486" s="242">
        <f>COUNTIFS('تجربه‌گرها'!$B:$B,$A1486,'تجربه‌گرها'!$F:$F,M$1)</f>
        <v>0</v>
      </c>
      <c r="N1486" s="242">
        <f>COUNTIFS('تجربه‌گرها'!$B:$B,$A1486,'تجربه‌گرها'!$F:$F,N$1)</f>
        <v>0</v>
      </c>
      <c r="O1486" s="242">
        <f>COUNTIFS('تجربه‌گرها'!$B:$B,$A1486,'تجربه‌گرها'!$F:$F,O$1)</f>
        <v>0</v>
      </c>
      <c r="P1486" s="242">
        <f>COUNTIFS('تجربه‌گرها'!$B:$B,$A1486,'تجربه‌گرها'!$F:$F,P$1)</f>
        <v>0</v>
      </c>
      <c r="Q1486" s="242">
        <f>COUNTIFS('تجربه‌گرها'!$B:$B,$A1486,'تجربه‌گرها'!$F:$F,Q$1)</f>
        <v>0</v>
      </c>
      <c r="R1486" s="242">
        <f>COUNTIFS('تجربه‌گرها'!$B:$B,$A1486,'تجربه‌گرها'!$F:$F,R$1)</f>
        <v>1</v>
      </c>
      <c r="S1486" s="242">
        <f>COUNTIFS('تجربه‌گرها'!$B:$B,$A1486,'تجربه‌گرها'!$F:$F,S$1)</f>
        <v>0</v>
      </c>
      <c r="T1486" s="242">
        <f>COUNTIFS('تجربه‌گرها'!$B:$B,$A1486,'تجربه‌گرها'!$F:$F,T$1)</f>
        <v>0</v>
      </c>
      <c r="U1486" s="242"/>
      <c r="V1486" s="242"/>
      <c r="W1486" s="242"/>
      <c r="X1486" s="242"/>
      <c r="Y1486" s="242"/>
      <c r="Z1486" s="242"/>
      <c r="AA1486" s="242"/>
      <c r="AB1486" s="242"/>
    </row>
    <row r="1487" hidden="1">
      <c r="A1487" s="244" t="s">
        <v>6974</v>
      </c>
      <c r="B1487" s="245" t="str">
        <f>VLOOKUP(A1487,'تجربه‌گرها'!B:C,2,FALSE())</f>
        <v>9179605680</v>
      </c>
      <c r="C1487" s="242"/>
      <c r="D1487" s="242">
        <f t="shared" si="1"/>
        <v>1</v>
      </c>
      <c r="E1487" s="242">
        <f>COUNTIFS('تجربه‌گرها'!$B:$B,$A1487,'تجربه‌گرها'!$F:$F,E$1)</f>
        <v>0</v>
      </c>
      <c r="F1487" s="242">
        <f>COUNTIFS('تجربه‌گرها'!$B:$B,$A1487,'تجربه‌گرها'!$F:$F,F$1)</f>
        <v>0</v>
      </c>
      <c r="G1487" s="242">
        <f>COUNTIFS('تجربه‌گرها'!$B:$B,$A1487,'تجربه‌گرها'!$F:$F,G$1)</f>
        <v>0</v>
      </c>
      <c r="H1487" s="242">
        <f>COUNTIFS('تجربه‌گرها'!$B:$B,$A1487,'تجربه‌گرها'!$F:$F,H$1)</f>
        <v>0</v>
      </c>
      <c r="I1487" s="242">
        <f>COUNTIFS('تجربه‌گرها'!$B:$B,$A1487,'تجربه‌گرها'!$F:$F,I$1)</f>
        <v>0</v>
      </c>
      <c r="J1487" s="242">
        <f>COUNTIFS('تجربه‌گرها'!$B:$B,$A1487,'تجربه‌گرها'!$F:$F,J$1)</f>
        <v>0</v>
      </c>
      <c r="K1487" s="242">
        <f>COUNTIFS('تجربه‌گرها'!$B:$B,$A1487,'تجربه‌گرها'!$F:$F,K$1)</f>
        <v>0</v>
      </c>
      <c r="L1487" s="242">
        <f>COUNTIFS('تجربه‌گرها'!$B:$B,$A1487,'تجربه‌گرها'!$F:$F,L$1)</f>
        <v>0</v>
      </c>
      <c r="M1487" s="242">
        <f>COUNTIFS('تجربه‌گرها'!$B:$B,$A1487,'تجربه‌گرها'!$F:$F,M$1)</f>
        <v>0</v>
      </c>
      <c r="N1487" s="242">
        <f>COUNTIFS('تجربه‌گرها'!$B:$B,$A1487,'تجربه‌گرها'!$F:$F,N$1)</f>
        <v>0</v>
      </c>
      <c r="O1487" s="242">
        <f>COUNTIFS('تجربه‌گرها'!$B:$B,$A1487,'تجربه‌گرها'!$F:$F,O$1)</f>
        <v>0</v>
      </c>
      <c r="P1487" s="242">
        <f>COUNTIFS('تجربه‌گرها'!$B:$B,$A1487,'تجربه‌گرها'!$F:$F,P$1)</f>
        <v>0</v>
      </c>
      <c r="Q1487" s="242">
        <f>COUNTIFS('تجربه‌گرها'!$B:$B,$A1487,'تجربه‌گرها'!$F:$F,Q$1)</f>
        <v>0</v>
      </c>
      <c r="R1487" s="242">
        <f>COUNTIFS('تجربه‌گرها'!$B:$B,$A1487,'تجربه‌گرها'!$F:$F,R$1)</f>
        <v>1</v>
      </c>
      <c r="S1487" s="242">
        <f>COUNTIFS('تجربه‌گرها'!$B:$B,$A1487,'تجربه‌گرها'!$F:$F,S$1)</f>
        <v>0</v>
      </c>
      <c r="T1487" s="242">
        <f>COUNTIFS('تجربه‌گرها'!$B:$B,$A1487,'تجربه‌گرها'!$F:$F,T$1)</f>
        <v>0</v>
      </c>
      <c r="U1487" s="242"/>
      <c r="V1487" s="242"/>
      <c r="W1487" s="242"/>
      <c r="X1487" s="242"/>
      <c r="Y1487" s="242"/>
      <c r="Z1487" s="242"/>
      <c r="AA1487" s="242"/>
      <c r="AB1487" s="242"/>
    </row>
    <row r="1488" hidden="1">
      <c r="A1488" s="244" t="s">
        <v>6977</v>
      </c>
      <c r="B1488" s="245" t="str">
        <f>VLOOKUP(A1488,'تجربه‌گرها'!B:C,2,FALSE())</f>
        <v>9127386077</v>
      </c>
      <c r="C1488" s="242"/>
      <c r="D1488" s="242">
        <f t="shared" si="1"/>
        <v>1</v>
      </c>
      <c r="E1488" s="242">
        <f>COUNTIFS('تجربه‌گرها'!$B:$B,$A1488,'تجربه‌گرها'!$F:$F,E$1)</f>
        <v>0</v>
      </c>
      <c r="F1488" s="242">
        <f>COUNTIFS('تجربه‌گرها'!$B:$B,$A1488,'تجربه‌گرها'!$F:$F,F$1)</f>
        <v>0</v>
      </c>
      <c r="G1488" s="242">
        <f>COUNTIFS('تجربه‌گرها'!$B:$B,$A1488,'تجربه‌گرها'!$F:$F,G$1)</f>
        <v>0</v>
      </c>
      <c r="H1488" s="242">
        <f>COUNTIFS('تجربه‌گرها'!$B:$B,$A1488,'تجربه‌گرها'!$F:$F,H$1)</f>
        <v>0</v>
      </c>
      <c r="I1488" s="242">
        <f>COUNTIFS('تجربه‌گرها'!$B:$B,$A1488,'تجربه‌گرها'!$F:$F,I$1)</f>
        <v>0</v>
      </c>
      <c r="J1488" s="242">
        <f>COUNTIFS('تجربه‌گرها'!$B:$B,$A1488,'تجربه‌گرها'!$F:$F,J$1)</f>
        <v>0</v>
      </c>
      <c r="K1488" s="242">
        <f>COUNTIFS('تجربه‌گرها'!$B:$B,$A1488,'تجربه‌گرها'!$F:$F,K$1)</f>
        <v>0</v>
      </c>
      <c r="L1488" s="242">
        <f>COUNTIFS('تجربه‌گرها'!$B:$B,$A1488,'تجربه‌گرها'!$F:$F,L$1)</f>
        <v>0</v>
      </c>
      <c r="M1488" s="242">
        <f>COUNTIFS('تجربه‌گرها'!$B:$B,$A1488,'تجربه‌گرها'!$F:$F,M$1)</f>
        <v>0</v>
      </c>
      <c r="N1488" s="242">
        <f>COUNTIFS('تجربه‌گرها'!$B:$B,$A1488,'تجربه‌گرها'!$F:$F,N$1)</f>
        <v>0</v>
      </c>
      <c r="O1488" s="242">
        <f>COUNTIFS('تجربه‌گرها'!$B:$B,$A1488,'تجربه‌گرها'!$F:$F,O$1)</f>
        <v>0</v>
      </c>
      <c r="P1488" s="242">
        <f>COUNTIFS('تجربه‌گرها'!$B:$B,$A1488,'تجربه‌گرها'!$F:$F,P$1)</f>
        <v>0</v>
      </c>
      <c r="Q1488" s="242">
        <f>COUNTIFS('تجربه‌گرها'!$B:$B,$A1488,'تجربه‌گرها'!$F:$F,Q$1)</f>
        <v>0</v>
      </c>
      <c r="R1488" s="242">
        <f>COUNTIFS('تجربه‌گرها'!$B:$B,$A1488,'تجربه‌گرها'!$F:$F,R$1)</f>
        <v>1</v>
      </c>
      <c r="S1488" s="242">
        <f>COUNTIFS('تجربه‌گرها'!$B:$B,$A1488,'تجربه‌گرها'!$F:$F,S$1)</f>
        <v>0</v>
      </c>
      <c r="T1488" s="242">
        <f>COUNTIFS('تجربه‌گرها'!$B:$B,$A1488,'تجربه‌گرها'!$F:$F,T$1)</f>
        <v>0</v>
      </c>
      <c r="U1488" s="242"/>
      <c r="V1488" s="242"/>
      <c r="W1488" s="242"/>
      <c r="X1488" s="242"/>
      <c r="Y1488" s="242"/>
      <c r="Z1488" s="242"/>
      <c r="AA1488" s="242"/>
      <c r="AB1488" s="242"/>
    </row>
    <row r="1489" hidden="1">
      <c r="A1489" s="244" t="s">
        <v>6979</v>
      </c>
      <c r="B1489" s="245" t="str">
        <f>VLOOKUP(A1489,'تجربه‌گرها'!B:C,2,FALSE())</f>
        <v>09107070389</v>
      </c>
      <c r="C1489" s="242"/>
      <c r="D1489" s="242">
        <f t="shared" si="1"/>
        <v>1</v>
      </c>
      <c r="E1489" s="242">
        <f>COUNTIFS('تجربه‌گرها'!$B:$B,$A1489,'تجربه‌گرها'!$F:$F,E$1)</f>
        <v>0</v>
      </c>
      <c r="F1489" s="242">
        <f>COUNTIFS('تجربه‌گرها'!$B:$B,$A1489,'تجربه‌گرها'!$F:$F,F$1)</f>
        <v>0</v>
      </c>
      <c r="G1489" s="242">
        <f>COUNTIFS('تجربه‌گرها'!$B:$B,$A1489,'تجربه‌گرها'!$F:$F,G$1)</f>
        <v>0</v>
      </c>
      <c r="H1489" s="242">
        <f>COUNTIFS('تجربه‌گرها'!$B:$B,$A1489,'تجربه‌گرها'!$F:$F,H$1)</f>
        <v>0</v>
      </c>
      <c r="I1489" s="242">
        <f>COUNTIFS('تجربه‌گرها'!$B:$B,$A1489,'تجربه‌گرها'!$F:$F,I$1)</f>
        <v>0</v>
      </c>
      <c r="J1489" s="242">
        <f>COUNTIFS('تجربه‌گرها'!$B:$B,$A1489,'تجربه‌گرها'!$F:$F,J$1)</f>
        <v>0</v>
      </c>
      <c r="K1489" s="242">
        <f>COUNTIFS('تجربه‌گرها'!$B:$B,$A1489,'تجربه‌گرها'!$F:$F,K$1)</f>
        <v>0</v>
      </c>
      <c r="L1489" s="242">
        <f>COUNTIFS('تجربه‌گرها'!$B:$B,$A1489,'تجربه‌گرها'!$F:$F,L$1)</f>
        <v>0</v>
      </c>
      <c r="M1489" s="242">
        <f>COUNTIFS('تجربه‌گرها'!$B:$B,$A1489,'تجربه‌گرها'!$F:$F,M$1)</f>
        <v>0</v>
      </c>
      <c r="N1489" s="242">
        <f>COUNTIFS('تجربه‌گرها'!$B:$B,$A1489,'تجربه‌گرها'!$F:$F,N$1)</f>
        <v>0</v>
      </c>
      <c r="O1489" s="242">
        <f>COUNTIFS('تجربه‌گرها'!$B:$B,$A1489,'تجربه‌گرها'!$F:$F,O$1)</f>
        <v>0</v>
      </c>
      <c r="P1489" s="242">
        <f>COUNTIFS('تجربه‌گرها'!$B:$B,$A1489,'تجربه‌گرها'!$F:$F,P$1)</f>
        <v>0</v>
      </c>
      <c r="Q1489" s="242">
        <f>COUNTIFS('تجربه‌گرها'!$B:$B,$A1489,'تجربه‌گرها'!$F:$F,Q$1)</f>
        <v>0</v>
      </c>
      <c r="R1489" s="242">
        <f>COUNTIFS('تجربه‌گرها'!$B:$B,$A1489,'تجربه‌گرها'!$F:$F,R$1)</f>
        <v>1</v>
      </c>
      <c r="S1489" s="242">
        <f>COUNTIFS('تجربه‌گرها'!$B:$B,$A1489,'تجربه‌گرها'!$F:$F,S$1)</f>
        <v>0</v>
      </c>
      <c r="T1489" s="242">
        <f>COUNTIFS('تجربه‌گرها'!$B:$B,$A1489,'تجربه‌گرها'!$F:$F,T$1)</f>
        <v>0</v>
      </c>
      <c r="U1489" s="242"/>
      <c r="V1489" s="242"/>
      <c r="W1489" s="242"/>
      <c r="X1489" s="242"/>
      <c r="Y1489" s="242"/>
      <c r="Z1489" s="242"/>
      <c r="AA1489" s="242"/>
      <c r="AB1489" s="242"/>
    </row>
    <row r="1490" hidden="1">
      <c r="A1490" s="244" t="s">
        <v>6982</v>
      </c>
      <c r="B1490" s="245" t="str">
        <f>VLOOKUP(A1490,'تجربه‌گرها'!B:C,2,FALSE())</f>
        <v>09164499302</v>
      </c>
      <c r="C1490" s="242"/>
      <c r="D1490" s="242">
        <f t="shared" si="1"/>
        <v>1</v>
      </c>
      <c r="E1490" s="242">
        <f>COUNTIFS('تجربه‌گرها'!$B:$B,$A1490,'تجربه‌گرها'!$F:$F,E$1)</f>
        <v>0</v>
      </c>
      <c r="F1490" s="242">
        <f>COUNTIFS('تجربه‌گرها'!$B:$B,$A1490,'تجربه‌گرها'!$F:$F,F$1)</f>
        <v>0</v>
      </c>
      <c r="G1490" s="242">
        <f>COUNTIFS('تجربه‌گرها'!$B:$B,$A1490,'تجربه‌گرها'!$F:$F,G$1)</f>
        <v>0</v>
      </c>
      <c r="H1490" s="242">
        <f>COUNTIFS('تجربه‌گرها'!$B:$B,$A1490,'تجربه‌گرها'!$F:$F,H$1)</f>
        <v>0</v>
      </c>
      <c r="I1490" s="242">
        <f>COUNTIFS('تجربه‌گرها'!$B:$B,$A1490,'تجربه‌گرها'!$F:$F,I$1)</f>
        <v>0</v>
      </c>
      <c r="J1490" s="242">
        <f>COUNTIFS('تجربه‌گرها'!$B:$B,$A1490,'تجربه‌گرها'!$F:$F,J$1)</f>
        <v>0</v>
      </c>
      <c r="K1490" s="242">
        <f>COUNTIFS('تجربه‌گرها'!$B:$B,$A1490,'تجربه‌گرها'!$F:$F,K$1)</f>
        <v>0</v>
      </c>
      <c r="L1490" s="242">
        <f>COUNTIFS('تجربه‌گرها'!$B:$B,$A1490,'تجربه‌گرها'!$F:$F,L$1)</f>
        <v>0</v>
      </c>
      <c r="M1490" s="242">
        <f>COUNTIFS('تجربه‌گرها'!$B:$B,$A1490,'تجربه‌گرها'!$F:$F,M$1)</f>
        <v>0</v>
      </c>
      <c r="N1490" s="242">
        <f>COUNTIFS('تجربه‌گرها'!$B:$B,$A1490,'تجربه‌گرها'!$F:$F,N$1)</f>
        <v>0</v>
      </c>
      <c r="O1490" s="242">
        <f>COUNTIFS('تجربه‌گرها'!$B:$B,$A1490,'تجربه‌گرها'!$F:$F,O$1)</f>
        <v>0</v>
      </c>
      <c r="P1490" s="242">
        <f>COUNTIFS('تجربه‌گرها'!$B:$B,$A1490,'تجربه‌گرها'!$F:$F,P$1)</f>
        <v>0</v>
      </c>
      <c r="Q1490" s="242">
        <f>COUNTIFS('تجربه‌گرها'!$B:$B,$A1490,'تجربه‌گرها'!$F:$F,Q$1)</f>
        <v>0</v>
      </c>
      <c r="R1490" s="242">
        <f>COUNTIFS('تجربه‌گرها'!$B:$B,$A1490,'تجربه‌گرها'!$F:$F,R$1)</f>
        <v>1</v>
      </c>
      <c r="S1490" s="242">
        <f>COUNTIFS('تجربه‌گرها'!$B:$B,$A1490,'تجربه‌گرها'!$F:$F,S$1)</f>
        <v>0</v>
      </c>
      <c r="T1490" s="242">
        <f>COUNTIFS('تجربه‌گرها'!$B:$B,$A1490,'تجربه‌گرها'!$F:$F,T$1)</f>
        <v>0</v>
      </c>
      <c r="U1490" s="242"/>
      <c r="V1490" s="242"/>
      <c r="W1490" s="242"/>
      <c r="X1490" s="242"/>
      <c r="Y1490" s="242"/>
      <c r="Z1490" s="242"/>
      <c r="AA1490" s="242"/>
      <c r="AB1490" s="242"/>
    </row>
    <row r="1491" hidden="1">
      <c r="A1491" s="244" t="s">
        <v>6986</v>
      </c>
      <c r="B1491" s="245" t="str">
        <f>VLOOKUP(A1491,'تجربه‌گرها'!B:C,2,FALSE())</f>
        <v>09179013909</v>
      </c>
      <c r="C1491" s="242"/>
      <c r="D1491" s="242">
        <f t="shared" si="1"/>
        <v>1</v>
      </c>
      <c r="E1491" s="242">
        <f>COUNTIFS('تجربه‌گرها'!$B:$B,$A1491,'تجربه‌گرها'!$F:$F,E$1)</f>
        <v>0</v>
      </c>
      <c r="F1491" s="242">
        <f>COUNTIFS('تجربه‌گرها'!$B:$B,$A1491,'تجربه‌گرها'!$F:$F,F$1)</f>
        <v>0</v>
      </c>
      <c r="G1491" s="242">
        <f>COUNTIFS('تجربه‌گرها'!$B:$B,$A1491,'تجربه‌گرها'!$F:$F,G$1)</f>
        <v>0</v>
      </c>
      <c r="H1491" s="242">
        <f>COUNTIFS('تجربه‌گرها'!$B:$B,$A1491,'تجربه‌گرها'!$F:$F,H$1)</f>
        <v>0</v>
      </c>
      <c r="I1491" s="242">
        <f>COUNTIFS('تجربه‌گرها'!$B:$B,$A1491,'تجربه‌گرها'!$F:$F,I$1)</f>
        <v>0</v>
      </c>
      <c r="J1491" s="242">
        <f>COUNTIFS('تجربه‌گرها'!$B:$B,$A1491,'تجربه‌گرها'!$F:$F,J$1)</f>
        <v>0</v>
      </c>
      <c r="K1491" s="242">
        <f>COUNTIFS('تجربه‌گرها'!$B:$B,$A1491,'تجربه‌گرها'!$F:$F,K$1)</f>
        <v>0</v>
      </c>
      <c r="L1491" s="242">
        <f>COUNTIFS('تجربه‌گرها'!$B:$B,$A1491,'تجربه‌گرها'!$F:$F,L$1)</f>
        <v>0</v>
      </c>
      <c r="M1491" s="242">
        <f>COUNTIFS('تجربه‌گرها'!$B:$B,$A1491,'تجربه‌گرها'!$F:$F,M$1)</f>
        <v>0</v>
      </c>
      <c r="N1491" s="242">
        <f>COUNTIFS('تجربه‌گرها'!$B:$B,$A1491,'تجربه‌گرها'!$F:$F,N$1)</f>
        <v>0</v>
      </c>
      <c r="O1491" s="242">
        <f>COUNTIFS('تجربه‌گرها'!$B:$B,$A1491,'تجربه‌گرها'!$F:$F,O$1)</f>
        <v>0</v>
      </c>
      <c r="P1491" s="242">
        <f>COUNTIFS('تجربه‌گرها'!$B:$B,$A1491,'تجربه‌گرها'!$F:$F,P$1)</f>
        <v>0</v>
      </c>
      <c r="Q1491" s="242">
        <f>COUNTIFS('تجربه‌گرها'!$B:$B,$A1491,'تجربه‌گرها'!$F:$F,Q$1)</f>
        <v>0</v>
      </c>
      <c r="R1491" s="242">
        <f>COUNTIFS('تجربه‌گرها'!$B:$B,$A1491,'تجربه‌گرها'!$F:$F,R$1)</f>
        <v>1</v>
      </c>
      <c r="S1491" s="242">
        <f>COUNTIFS('تجربه‌گرها'!$B:$B,$A1491,'تجربه‌گرها'!$F:$F,S$1)</f>
        <v>0</v>
      </c>
      <c r="T1491" s="242">
        <f>COUNTIFS('تجربه‌گرها'!$B:$B,$A1491,'تجربه‌گرها'!$F:$F,T$1)</f>
        <v>0</v>
      </c>
      <c r="U1491" s="242"/>
      <c r="V1491" s="242"/>
      <c r="W1491" s="242"/>
      <c r="X1491" s="242"/>
      <c r="Y1491" s="242"/>
      <c r="Z1491" s="242"/>
      <c r="AA1491" s="242"/>
      <c r="AB1491" s="242"/>
    </row>
    <row r="1492" hidden="1">
      <c r="A1492" s="244" t="s">
        <v>6988</v>
      </c>
      <c r="B1492" s="245" t="str">
        <f>VLOOKUP(A1492,'تجربه‌گرها'!B:C,2,FALSE())</f>
        <v>09037548996</v>
      </c>
      <c r="C1492" s="242"/>
      <c r="D1492" s="242">
        <f t="shared" si="1"/>
        <v>1</v>
      </c>
      <c r="E1492" s="242">
        <f>COUNTIFS('تجربه‌گرها'!$B:$B,$A1492,'تجربه‌گرها'!$F:$F,E$1)</f>
        <v>0</v>
      </c>
      <c r="F1492" s="242">
        <f>COUNTIFS('تجربه‌گرها'!$B:$B,$A1492,'تجربه‌گرها'!$F:$F,F$1)</f>
        <v>0</v>
      </c>
      <c r="G1492" s="242">
        <f>COUNTIFS('تجربه‌گرها'!$B:$B,$A1492,'تجربه‌گرها'!$F:$F,G$1)</f>
        <v>0</v>
      </c>
      <c r="H1492" s="242">
        <f>COUNTIFS('تجربه‌گرها'!$B:$B,$A1492,'تجربه‌گرها'!$F:$F,H$1)</f>
        <v>0</v>
      </c>
      <c r="I1492" s="242">
        <f>COUNTIFS('تجربه‌گرها'!$B:$B,$A1492,'تجربه‌گرها'!$F:$F,I$1)</f>
        <v>0</v>
      </c>
      <c r="J1492" s="242">
        <f>COUNTIFS('تجربه‌گرها'!$B:$B,$A1492,'تجربه‌گرها'!$F:$F,J$1)</f>
        <v>0</v>
      </c>
      <c r="K1492" s="242">
        <f>COUNTIFS('تجربه‌گرها'!$B:$B,$A1492,'تجربه‌گرها'!$F:$F,K$1)</f>
        <v>0</v>
      </c>
      <c r="L1492" s="242">
        <f>COUNTIFS('تجربه‌گرها'!$B:$B,$A1492,'تجربه‌گرها'!$F:$F,L$1)</f>
        <v>0</v>
      </c>
      <c r="M1492" s="242">
        <f>COUNTIFS('تجربه‌گرها'!$B:$B,$A1492,'تجربه‌گرها'!$F:$F,M$1)</f>
        <v>0</v>
      </c>
      <c r="N1492" s="242">
        <f>COUNTIFS('تجربه‌گرها'!$B:$B,$A1492,'تجربه‌گرها'!$F:$F,N$1)</f>
        <v>0</v>
      </c>
      <c r="O1492" s="242">
        <f>COUNTIFS('تجربه‌گرها'!$B:$B,$A1492,'تجربه‌گرها'!$F:$F,O$1)</f>
        <v>0</v>
      </c>
      <c r="P1492" s="242">
        <f>COUNTIFS('تجربه‌گرها'!$B:$B,$A1492,'تجربه‌گرها'!$F:$F,P$1)</f>
        <v>0</v>
      </c>
      <c r="Q1492" s="242">
        <f>COUNTIFS('تجربه‌گرها'!$B:$B,$A1492,'تجربه‌گرها'!$F:$F,Q$1)</f>
        <v>0</v>
      </c>
      <c r="R1492" s="242">
        <f>COUNTIFS('تجربه‌گرها'!$B:$B,$A1492,'تجربه‌گرها'!$F:$F,R$1)</f>
        <v>1</v>
      </c>
      <c r="S1492" s="242">
        <f>COUNTIFS('تجربه‌گرها'!$B:$B,$A1492,'تجربه‌گرها'!$F:$F,S$1)</f>
        <v>0</v>
      </c>
      <c r="T1492" s="242">
        <f>COUNTIFS('تجربه‌گرها'!$B:$B,$A1492,'تجربه‌گرها'!$F:$F,T$1)</f>
        <v>0</v>
      </c>
      <c r="U1492" s="242"/>
      <c r="V1492" s="242"/>
      <c r="W1492" s="242"/>
      <c r="X1492" s="242"/>
      <c r="Y1492" s="242"/>
      <c r="Z1492" s="242"/>
      <c r="AA1492" s="242"/>
      <c r="AB1492" s="242"/>
    </row>
    <row r="1493" hidden="1">
      <c r="A1493" s="244" t="s">
        <v>6991</v>
      </c>
      <c r="B1493" s="245" t="str">
        <f>VLOOKUP(A1493,'تجربه‌گرها'!B:C,2,FALSE())</f>
        <v>09177692758</v>
      </c>
      <c r="C1493" s="242"/>
      <c r="D1493" s="242">
        <f t="shared" si="1"/>
        <v>1</v>
      </c>
      <c r="E1493" s="242">
        <f>COUNTIFS('تجربه‌گرها'!$B:$B,$A1493,'تجربه‌گرها'!$F:$F,E$1)</f>
        <v>0</v>
      </c>
      <c r="F1493" s="242">
        <f>COUNTIFS('تجربه‌گرها'!$B:$B,$A1493,'تجربه‌گرها'!$F:$F,F$1)</f>
        <v>0</v>
      </c>
      <c r="G1493" s="242">
        <f>COUNTIFS('تجربه‌گرها'!$B:$B,$A1493,'تجربه‌گرها'!$F:$F,G$1)</f>
        <v>0</v>
      </c>
      <c r="H1493" s="242">
        <f>COUNTIFS('تجربه‌گرها'!$B:$B,$A1493,'تجربه‌گرها'!$F:$F,H$1)</f>
        <v>0</v>
      </c>
      <c r="I1493" s="242">
        <f>COUNTIFS('تجربه‌گرها'!$B:$B,$A1493,'تجربه‌گرها'!$F:$F,I$1)</f>
        <v>0</v>
      </c>
      <c r="J1493" s="242">
        <f>COUNTIFS('تجربه‌گرها'!$B:$B,$A1493,'تجربه‌گرها'!$F:$F,J$1)</f>
        <v>0</v>
      </c>
      <c r="K1493" s="242">
        <f>COUNTIFS('تجربه‌گرها'!$B:$B,$A1493,'تجربه‌گرها'!$F:$F,K$1)</f>
        <v>0</v>
      </c>
      <c r="L1493" s="242">
        <f>COUNTIFS('تجربه‌گرها'!$B:$B,$A1493,'تجربه‌گرها'!$F:$F,L$1)</f>
        <v>0</v>
      </c>
      <c r="M1493" s="242">
        <f>COUNTIFS('تجربه‌گرها'!$B:$B,$A1493,'تجربه‌گرها'!$F:$F,M$1)</f>
        <v>0</v>
      </c>
      <c r="N1493" s="242">
        <f>COUNTIFS('تجربه‌گرها'!$B:$B,$A1493,'تجربه‌گرها'!$F:$F,N$1)</f>
        <v>0</v>
      </c>
      <c r="O1493" s="242">
        <f>COUNTIFS('تجربه‌گرها'!$B:$B,$A1493,'تجربه‌گرها'!$F:$F,O$1)</f>
        <v>0</v>
      </c>
      <c r="P1493" s="242">
        <f>COUNTIFS('تجربه‌گرها'!$B:$B,$A1493,'تجربه‌گرها'!$F:$F,P$1)</f>
        <v>0</v>
      </c>
      <c r="Q1493" s="242">
        <f>COUNTIFS('تجربه‌گرها'!$B:$B,$A1493,'تجربه‌گرها'!$F:$F,Q$1)</f>
        <v>0</v>
      </c>
      <c r="R1493" s="242">
        <f>COUNTIFS('تجربه‌گرها'!$B:$B,$A1493,'تجربه‌گرها'!$F:$F,R$1)</f>
        <v>1</v>
      </c>
      <c r="S1493" s="242">
        <f>COUNTIFS('تجربه‌گرها'!$B:$B,$A1493,'تجربه‌گرها'!$F:$F,S$1)</f>
        <v>0</v>
      </c>
      <c r="T1493" s="242">
        <f>COUNTIFS('تجربه‌گرها'!$B:$B,$A1493,'تجربه‌گرها'!$F:$F,T$1)</f>
        <v>0</v>
      </c>
      <c r="U1493" s="242"/>
      <c r="V1493" s="242"/>
      <c r="W1493" s="242"/>
      <c r="X1493" s="242"/>
      <c r="Y1493" s="242"/>
      <c r="Z1493" s="242"/>
      <c r="AA1493" s="242"/>
      <c r="AB1493" s="242"/>
    </row>
    <row r="1494" hidden="1">
      <c r="A1494" s="244" t="s">
        <v>6993</v>
      </c>
      <c r="B1494" s="245" t="str">
        <f>VLOOKUP(A1494,'تجربه‌گرها'!B:C,2,FALSE())</f>
        <v>09102037087</v>
      </c>
      <c r="C1494" s="242"/>
      <c r="D1494" s="242">
        <f t="shared" si="1"/>
        <v>1</v>
      </c>
      <c r="E1494" s="242">
        <f>COUNTIFS('تجربه‌گرها'!$B:$B,$A1494,'تجربه‌گرها'!$F:$F,E$1)</f>
        <v>0</v>
      </c>
      <c r="F1494" s="242">
        <f>COUNTIFS('تجربه‌گرها'!$B:$B,$A1494,'تجربه‌گرها'!$F:$F,F$1)</f>
        <v>0</v>
      </c>
      <c r="G1494" s="242">
        <f>COUNTIFS('تجربه‌گرها'!$B:$B,$A1494,'تجربه‌گرها'!$F:$F,G$1)</f>
        <v>0</v>
      </c>
      <c r="H1494" s="242">
        <f>COUNTIFS('تجربه‌گرها'!$B:$B,$A1494,'تجربه‌گرها'!$F:$F,H$1)</f>
        <v>0</v>
      </c>
      <c r="I1494" s="242">
        <f>COUNTIFS('تجربه‌گرها'!$B:$B,$A1494,'تجربه‌گرها'!$F:$F,I$1)</f>
        <v>0</v>
      </c>
      <c r="J1494" s="242">
        <f>COUNTIFS('تجربه‌گرها'!$B:$B,$A1494,'تجربه‌گرها'!$F:$F,J$1)</f>
        <v>0</v>
      </c>
      <c r="K1494" s="242">
        <f>COUNTIFS('تجربه‌گرها'!$B:$B,$A1494,'تجربه‌گرها'!$F:$F,K$1)</f>
        <v>0</v>
      </c>
      <c r="L1494" s="242">
        <f>COUNTIFS('تجربه‌گرها'!$B:$B,$A1494,'تجربه‌گرها'!$F:$F,L$1)</f>
        <v>0</v>
      </c>
      <c r="M1494" s="242">
        <f>COUNTIFS('تجربه‌گرها'!$B:$B,$A1494,'تجربه‌گرها'!$F:$F,M$1)</f>
        <v>0</v>
      </c>
      <c r="N1494" s="242">
        <f>COUNTIFS('تجربه‌گرها'!$B:$B,$A1494,'تجربه‌گرها'!$F:$F,N$1)</f>
        <v>0</v>
      </c>
      <c r="O1494" s="242">
        <f>COUNTIFS('تجربه‌گرها'!$B:$B,$A1494,'تجربه‌گرها'!$F:$F,O$1)</f>
        <v>0</v>
      </c>
      <c r="P1494" s="242">
        <f>COUNTIFS('تجربه‌گرها'!$B:$B,$A1494,'تجربه‌گرها'!$F:$F,P$1)</f>
        <v>0</v>
      </c>
      <c r="Q1494" s="242">
        <f>COUNTIFS('تجربه‌گرها'!$B:$B,$A1494,'تجربه‌گرها'!$F:$F,Q$1)</f>
        <v>0</v>
      </c>
      <c r="R1494" s="242">
        <f>COUNTIFS('تجربه‌گرها'!$B:$B,$A1494,'تجربه‌گرها'!$F:$F,R$1)</f>
        <v>1</v>
      </c>
      <c r="S1494" s="242">
        <f>COUNTIFS('تجربه‌گرها'!$B:$B,$A1494,'تجربه‌گرها'!$F:$F,S$1)</f>
        <v>0</v>
      </c>
      <c r="T1494" s="242">
        <f>COUNTIFS('تجربه‌گرها'!$B:$B,$A1494,'تجربه‌گرها'!$F:$F,T$1)</f>
        <v>0</v>
      </c>
      <c r="U1494" s="242"/>
      <c r="V1494" s="242"/>
      <c r="W1494" s="242"/>
      <c r="X1494" s="242"/>
      <c r="Y1494" s="242"/>
      <c r="Z1494" s="242"/>
      <c r="AA1494" s="242"/>
      <c r="AB1494" s="242"/>
    </row>
    <row r="1495" hidden="1">
      <c r="A1495" s="244" t="s">
        <v>6996</v>
      </c>
      <c r="B1495" s="245" t="str">
        <f>VLOOKUP(A1495,'تجربه‌گرها'!B:C,2,FALSE())</f>
        <v>09139837180</v>
      </c>
      <c r="C1495" s="242"/>
      <c r="D1495" s="242">
        <f t="shared" si="1"/>
        <v>1</v>
      </c>
      <c r="E1495" s="242">
        <f>COUNTIFS('تجربه‌گرها'!$B:$B,$A1495,'تجربه‌گرها'!$F:$F,E$1)</f>
        <v>0</v>
      </c>
      <c r="F1495" s="242">
        <f>COUNTIFS('تجربه‌گرها'!$B:$B,$A1495,'تجربه‌گرها'!$F:$F,F$1)</f>
        <v>0</v>
      </c>
      <c r="G1495" s="242">
        <f>COUNTIFS('تجربه‌گرها'!$B:$B,$A1495,'تجربه‌گرها'!$F:$F,G$1)</f>
        <v>0</v>
      </c>
      <c r="H1495" s="242">
        <f>COUNTIFS('تجربه‌گرها'!$B:$B,$A1495,'تجربه‌گرها'!$F:$F,H$1)</f>
        <v>0</v>
      </c>
      <c r="I1495" s="242">
        <f>COUNTIFS('تجربه‌گرها'!$B:$B,$A1495,'تجربه‌گرها'!$F:$F,I$1)</f>
        <v>0</v>
      </c>
      <c r="J1495" s="242">
        <f>COUNTIFS('تجربه‌گرها'!$B:$B,$A1495,'تجربه‌گرها'!$F:$F,J$1)</f>
        <v>0</v>
      </c>
      <c r="K1495" s="242">
        <f>COUNTIFS('تجربه‌گرها'!$B:$B,$A1495,'تجربه‌گرها'!$F:$F,K$1)</f>
        <v>0</v>
      </c>
      <c r="L1495" s="242">
        <f>COUNTIFS('تجربه‌گرها'!$B:$B,$A1495,'تجربه‌گرها'!$F:$F,L$1)</f>
        <v>0</v>
      </c>
      <c r="M1495" s="242">
        <f>COUNTIFS('تجربه‌گرها'!$B:$B,$A1495,'تجربه‌گرها'!$F:$F,M$1)</f>
        <v>0</v>
      </c>
      <c r="N1495" s="242">
        <f>COUNTIFS('تجربه‌گرها'!$B:$B,$A1495,'تجربه‌گرها'!$F:$F,N$1)</f>
        <v>0</v>
      </c>
      <c r="O1495" s="242">
        <f>COUNTIFS('تجربه‌گرها'!$B:$B,$A1495,'تجربه‌گرها'!$F:$F,O$1)</f>
        <v>0</v>
      </c>
      <c r="P1495" s="242">
        <f>COUNTIFS('تجربه‌گرها'!$B:$B,$A1495,'تجربه‌گرها'!$F:$F,P$1)</f>
        <v>0</v>
      </c>
      <c r="Q1495" s="242">
        <f>COUNTIFS('تجربه‌گرها'!$B:$B,$A1495,'تجربه‌گرها'!$F:$F,Q$1)</f>
        <v>0</v>
      </c>
      <c r="R1495" s="242">
        <f>COUNTIFS('تجربه‌گرها'!$B:$B,$A1495,'تجربه‌گرها'!$F:$F,R$1)</f>
        <v>1</v>
      </c>
      <c r="S1495" s="242">
        <f>COUNTIFS('تجربه‌گرها'!$B:$B,$A1495,'تجربه‌گرها'!$F:$F,S$1)</f>
        <v>0</v>
      </c>
      <c r="T1495" s="242">
        <f>COUNTIFS('تجربه‌گرها'!$B:$B,$A1495,'تجربه‌گرها'!$F:$F,T$1)</f>
        <v>0</v>
      </c>
      <c r="U1495" s="242"/>
      <c r="V1495" s="242"/>
      <c r="W1495" s="242"/>
      <c r="X1495" s="242"/>
      <c r="Y1495" s="242"/>
      <c r="Z1495" s="242"/>
      <c r="AA1495" s="242"/>
      <c r="AB1495" s="242"/>
    </row>
    <row r="1496" hidden="1">
      <c r="A1496" s="244" t="s">
        <v>6998</v>
      </c>
      <c r="B1496" s="245" t="str">
        <f>VLOOKUP(A1496,'تجربه‌گرها'!B:C,2,FALSE())</f>
        <v>971553115182</v>
      </c>
      <c r="C1496" s="242"/>
      <c r="D1496" s="242">
        <f t="shared" si="1"/>
        <v>1</v>
      </c>
      <c r="E1496" s="242">
        <f>COUNTIFS('تجربه‌گرها'!$B:$B,$A1496,'تجربه‌گرها'!$F:$F,E$1)</f>
        <v>0</v>
      </c>
      <c r="F1496" s="242">
        <f>COUNTIFS('تجربه‌گرها'!$B:$B,$A1496,'تجربه‌گرها'!$F:$F,F$1)</f>
        <v>0</v>
      </c>
      <c r="G1496" s="242">
        <f>COUNTIFS('تجربه‌گرها'!$B:$B,$A1496,'تجربه‌گرها'!$F:$F,G$1)</f>
        <v>0</v>
      </c>
      <c r="H1496" s="242">
        <f>COUNTIFS('تجربه‌گرها'!$B:$B,$A1496,'تجربه‌گرها'!$F:$F,H$1)</f>
        <v>0</v>
      </c>
      <c r="I1496" s="242">
        <f>COUNTIFS('تجربه‌گرها'!$B:$B,$A1496,'تجربه‌گرها'!$F:$F,I$1)</f>
        <v>0</v>
      </c>
      <c r="J1496" s="242">
        <f>COUNTIFS('تجربه‌گرها'!$B:$B,$A1496,'تجربه‌گرها'!$F:$F,J$1)</f>
        <v>0</v>
      </c>
      <c r="K1496" s="242">
        <f>COUNTIFS('تجربه‌گرها'!$B:$B,$A1496,'تجربه‌گرها'!$F:$F,K$1)</f>
        <v>0</v>
      </c>
      <c r="L1496" s="242">
        <f>COUNTIFS('تجربه‌گرها'!$B:$B,$A1496,'تجربه‌گرها'!$F:$F,L$1)</f>
        <v>0</v>
      </c>
      <c r="M1496" s="242">
        <f>COUNTIFS('تجربه‌گرها'!$B:$B,$A1496,'تجربه‌گرها'!$F:$F,M$1)</f>
        <v>0</v>
      </c>
      <c r="N1496" s="242">
        <f>COUNTIFS('تجربه‌گرها'!$B:$B,$A1496,'تجربه‌گرها'!$F:$F,N$1)</f>
        <v>0</v>
      </c>
      <c r="O1496" s="242">
        <f>COUNTIFS('تجربه‌گرها'!$B:$B,$A1496,'تجربه‌گرها'!$F:$F,O$1)</f>
        <v>0</v>
      </c>
      <c r="P1496" s="242">
        <f>COUNTIFS('تجربه‌گرها'!$B:$B,$A1496,'تجربه‌گرها'!$F:$F,P$1)</f>
        <v>0</v>
      </c>
      <c r="Q1496" s="242">
        <f>COUNTIFS('تجربه‌گرها'!$B:$B,$A1496,'تجربه‌گرها'!$F:$F,Q$1)</f>
        <v>0</v>
      </c>
      <c r="R1496" s="242">
        <f>COUNTIFS('تجربه‌گرها'!$B:$B,$A1496,'تجربه‌گرها'!$F:$F,R$1)</f>
        <v>1</v>
      </c>
      <c r="S1496" s="242">
        <f>COUNTIFS('تجربه‌گرها'!$B:$B,$A1496,'تجربه‌گرها'!$F:$F,S$1)</f>
        <v>0</v>
      </c>
      <c r="T1496" s="242">
        <f>COUNTIFS('تجربه‌گرها'!$B:$B,$A1496,'تجربه‌گرها'!$F:$F,T$1)</f>
        <v>0</v>
      </c>
      <c r="U1496" s="242"/>
      <c r="V1496" s="242"/>
      <c r="W1496" s="242"/>
      <c r="X1496" s="242"/>
      <c r="Y1496" s="242"/>
      <c r="Z1496" s="242"/>
      <c r="AA1496" s="242"/>
      <c r="AB1496" s="242"/>
    </row>
    <row r="1497" hidden="1">
      <c r="A1497" s="244" t="s">
        <v>7001</v>
      </c>
      <c r="B1497" s="245" t="str">
        <f>VLOOKUP(A1497,'تجربه‌گرها'!B:C,2,FALSE())</f>
        <v>09388123337</v>
      </c>
      <c r="C1497" s="242"/>
      <c r="D1497" s="242">
        <f t="shared" si="1"/>
        <v>1</v>
      </c>
      <c r="E1497" s="242">
        <f>COUNTIFS('تجربه‌گرها'!$B:$B,$A1497,'تجربه‌گرها'!$F:$F,E$1)</f>
        <v>0</v>
      </c>
      <c r="F1497" s="242">
        <f>COUNTIFS('تجربه‌گرها'!$B:$B,$A1497,'تجربه‌گرها'!$F:$F,F$1)</f>
        <v>0</v>
      </c>
      <c r="G1497" s="242">
        <f>COUNTIFS('تجربه‌گرها'!$B:$B,$A1497,'تجربه‌گرها'!$F:$F,G$1)</f>
        <v>0</v>
      </c>
      <c r="H1497" s="242">
        <f>COUNTIFS('تجربه‌گرها'!$B:$B,$A1497,'تجربه‌گرها'!$F:$F,H$1)</f>
        <v>0</v>
      </c>
      <c r="I1497" s="242">
        <f>COUNTIFS('تجربه‌گرها'!$B:$B,$A1497,'تجربه‌گرها'!$F:$F,I$1)</f>
        <v>0</v>
      </c>
      <c r="J1497" s="242">
        <f>COUNTIFS('تجربه‌گرها'!$B:$B,$A1497,'تجربه‌گرها'!$F:$F,J$1)</f>
        <v>0</v>
      </c>
      <c r="K1497" s="242">
        <f>COUNTIFS('تجربه‌گرها'!$B:$B,$A1497,'تجربه‌گرها'!$F:$F,K$1)</f>
        <v>0</v>
      </c>
      <c r="L1497" s="242">
        <f>COUNTIFS('تجربه‌گرها'!$B:$B,$A1497,'تجربه‌گرها'!$F:$F,L$1)</f>
        <v>0</v>
      </c>
      <c r="M1497" s="242">
        <f>COUNTIFS('تجربه‌گرها'!$B:$B,$A1497,'تجربه‌گرها'!$F:$F,M$1)</f>
        <v>0</v>
      </c>
      <c r="N1497" s="242">
        <f>COUNTIFS('تجربه‌گرها'!$B:$B,$A1497,'تجربه‌گرها'!$F:$F,N$1)</f>
        <v>0</v>
      </c>
      <c r="O1497" s="242">
        <f>COUNTIFS('تجربه‌گرها'!$B:$B,$A1497,'تجربه‌گرها'!$F:$F,O$1)</f>
        <v>0</v>
      </c>
      <c r="P1497" s="242">
        <f>COUNTIFS('تجربه‌گرها'!$B:$B,$A1497,'تجربه‌گرها'!$F:$F,P$1)</f>
        <v>0</v>
      </c>
      <c r="Q1497" s="242">
        <f>COUNTIFS('تجربه‌گرها'!$B:$B,$A1497,'تجربه‌گرها'!$F:$F,Q$1)</f>
        <v>0</v>
      </c>
      <c r="R1497" s="242">
        <f>COUNTIFS('تجربه‌گرها'!$B:$B,$A1497,'تجربه‌گرها'!$F:$F,R$1)</f>
        <v>1</v>
      </c>
      <c r="S1497" s="242">
        <f>COUNTIFS('تجربه‌گرها'!$B:$B,$A1497,'تجربه‌گرها'!$F:$F,S$1)</f>
        <v>0</v>
      </c>
      <c r="T1497" s="242">
        <f>COUNTIFS('تجربه‌گرها'!$B:$B,$A1497,'تجربه‌گرها'!$F:$F,T$1)</f>
        <v>0</v>
      </c>
      <c r="U1497" s="242"/>
      <c r="V1497" s="242"/>
      <c r="W1497" s="242"/>
      <c r="X1497" s="242"/>
      <c r="Y1497" s="242"/>
      <c r="Z1497" s="242"/>
      <c r="AA1497" s="242"/>
      <c r="AB1497" s="242"/>
    </row>
    <row r="1498" hidden="1">
      <c r="A1498" s="244" t="s">
        <v>7008</v>
      </c>
      <c r="B1498" s="245" t="str">
        <f>VLOOKUP(A1498,'تجربه‌گرها'!B:C,2,FALSE())</f>
        <v>09127248961</v>
      </c>
      <c r="C1498" s="242"/>
      <c r="D1498" s="242">
        <f t="shared" si="1"/>
        <v>1</v>
      </c>
      <c r="E1498" s="242">
        <f>COUNTIFS('تجربه‌گرها'!$B:$B,$A1498,'تجربه‌گرها'!$F:$F,E$1)</f>
        <v>0</v>
      </c>
      <c r="F1498" s="242">
        <f>COUNTIFS('تجربه‌گرها'!$B:$B,$A1498,'تجربه‌گرها'!$F:$F,F$1)</f>
        <v>0</v>
      </c>
      <c r="G1498" s="242">
        <f>COUNTIFS('تجربه‌گرها'!$B:$B,$A1498,'تجربه‌گرها'!$F:$F,G$1)</f>
        <v>0</v>
      </c>
      <c r="H1498" s="242">
        <f>COUNTIFS('تجربه‌گرها'!$B:$B,$A1498,'تجربه‌گرها'!$F:$F,H$1)</f>
        <v>0</v>
      </c>
      <c r="I1498" s="242">
        <f>COUNTIFS('تجربه‌گرها'!$B:$B,$A1498,'تجربه‌گرها'!$F:$F,I$1)</f>
        <v>0</v>
      </c>
      <c r="J1498" s="242">
        <f>COUNTIFS('تجربه‌گرها'!$B:$B,$A1498,'تجربه‌گرها'!$F:$F,J$1)</f>
        <v>0</v>
      </c>
      <c r="K1498" s="242">
        <f>COUNTIFS('تجربه‌گرها'!$B:$B,$A1498,'تجربه‌گرها'!$F:$F,K$1)</f>
        <v>0</v>
      </c>
      <c r="L1498" s="242">
        <f>COUNTIFS('تجربه‌گرها'!$B:$B,$A1498,'تجربه‌گرها'!$F:$F,L$1)</f>
        <v>0</v>
      </c>
      <c r="M1498" s="242">
        <f>COUNTIFS('تجربه‌گرها'!$B:$B,$A1498,'تجربه‌گرها'!$F:$F,M$1)</f>
        <v>0</v>
      </c>
      <c r="N1498" s="242">
        <f>COUNTIFS('تجربه‌گرها'!$B:$B,$A1498,'تجربه‌گرها'!$F:$F,N$1)</f>
        <v>0</v>
      </c>
      <c r="O1498" s="242">
        <f>COUNTIFS('تجربه‌گرها'!$B:$B,$A1498,'تجربه‌گرها'!$F:$F,O$1)</f>
        <v>0</v>
      </c>
      <c r="P1498" s="242">
        <f>COUNTIFS('تجربه‌گرها'!$B:$B,$A1498,'تجربه‌گرها'!$F:$F,P$1)</f>
        <v>0</v>
      </c>
      <c r="Q1498" s="242">
        <f>COUNTIFS('تجربه‌گرها'!$B:$B,$A1498,'تجربه‌گرها'!$F:$F,Q$1)</f>
        <v>0</v>
      </c>
      <c r="R1498" s="242">
        <f>COUNTIFS('تجربه‌گرها'!$B:$B,$A1498,'تجربه‌گرها'!$F:$F,R$1)</f>
        <v>1</v>
      </c>
      <c r="S1498" s="242">
        <f>COUNTIFS('تجربه‌گرها'!$B:$B,$A1498,'تجربه‌گرها'!$F:$F,S$1)</f>
        <v>0</v>
      </c>
      <c r="T1498" s="242">
        <f>COUNTIFS('تجربه‌گرها'!$B:$B,$A1498,'تجربه‌گرها'!$F:$F,T$1)</f>
        <v>0</v>
      </c>
      <c r="U1498" s="242"/>
      <c r="V1498" s="242"/>
      <c r="W1498" s="242"/>
      <c r="X1498" s="242"/>
      <c r="Y1498" s="242"/>
      <c r="Z1498" s="242"/>
      <c r="AA1498" s="242"/>
      <c r="AB1498" s="242"/>
    </row>
    <row r="1499" hidden="1">
      <c r="A1499" s="244" t="s">
        <v>7016</v>
      </c>
      <c r="B1499" s="245" t="str">
        <f>VLOOKUP(A1499,'تجربه‌گرها'!B:C,2,FALSE())</f>
        <v>09913055185</v>
      </c>
      <c r="C1499" s="242"/>
      <c r="D1499" s="242">
        <f t="shared" si="1"/>
        <v>1</v>
      </c>
      <c r="E1499" s="242">
        <f>COUNTIFS('تجربه‌گرها'!$B:$B,$A1499,'تجربه‌گرها'!$F:$F,E$1)</f>
        <v>0</v>
      </c>
      <c r="F1499" s="242">
        <f>COUNTIFS('تجربه‌گرها'!$B:$B,$A1499,'تجربه‌گرها'!$F:$F,F$1)</f>
        <v>0</v>
      </c>
      <c r="G1499" s="242">
        <f>COUNTIFS('تجربه‌گرها'!$B:$B,$A1499,'تجربه‌گرها'!$F:$F,G$1)</f>
        <v>0</v>
      </c>
      <c r="H1499" s="242">
        <f>COUNTIFS('تجربه‌گرها'!$B:$B,$A1499,'تجربه‌گرها'!$F:$F,H$1)</f>
        <v>0</v>
      </c>
      <c r="I1499" s="242">
        <f>COUNTIFS('تجربه‌گرها'!$B:$B,$A1499,'تجربه‌گرها'!$F:$F,I$1)</f>
        <v>0</v>
      </c>
      <c r="J1499" s="242">
        <f>COUNTIFS('تجربه‌گرها'!$B:$B,$A1499,'تجربه‌گرها'!$F:$F,J$1)</f>
        <v>0</v>
      </c>
      <c r="K1499" s="242">
        <f>COUNTIFS('تجربه‌گرها'!$B:$B,$A1499,'تجربه‌گرها'!$F:$F,K$1)</f>
        <v>0</v>
      </c>
      <c r="L1499" s="242">
        <f>COUNTIFS('تجربه‌گرها'!$B:$B,$A1499,'تجربه‌گرها'!$F:$F,L$1)</f>
        <v>0</v>
      </c>
      <c r="M1499" s="242">
        <f>COUNTIFS('تجربه‌گرها'!$B:$B,$A1499,'تجربه‌گرها'!$F:$F,M$1)</f>
        <v>0</v>
      </c>
      <c r="N1499" s="242">
        <f>COUNTIFS('تجربه‌گرها'!$B:$B,$A1499,'تجربه‌گرها'!$F:$F,N$1)</f>
        <v>0</v>
      </c>
      <c r="O1499" s="242">
        <f>COUNTIFS('تجربه‌گرها'!$B:$B,$A1499,'تجربه‌گرها'!$F:$F,O$1)</f>
        <v>0</v>
      </c>
      <c r="P1499" s="242">
        <f>COUNTIFS('تجربه‌گرها'!$B:$B,$A1499,'تجربه‌گرها'!$F:$F,P$1)</f>
        <v>0</v>
      </c>
      <c r="Q1499" s="242">
        <f>COUNTIFS('تجربه‌گرها'!$B:$B,$A1499,'تجربه‌گرها'!$F:$F,Q$1)</f>
        <v>0</v>
      </c>
      <c r="R1499" s="242">
        <f>COUNTIFS('تجربه‌گرها'!$B:$B,$A1499,'تجربه‌گرها'!$F:$F,R$1)</f>
        <v>1</v>
      </c>
      <c r="S1499" s="242">
        <f>COUNTIFS('تجربه‌گرها'!$B:$B,$A1499,'تجربه‌گرها'!$F:$F,S$1)</f>
        <v>0</v>
      </c>
      <c r="T1499" s="242">
        <f>COUNTIFS('تجربه‌گرها'!$B:$B,$A1499,'تجربه‌گرها'!$F:$F,T$1)</f>
        <v>0</v>
      </c>
      <c r="U1499" s="242"/>
      <c r="V1499" s="242"/>
      <c r="W1499" s="242"/>
      <c r="X1499" s="242"/>
      <c r="Y1499" s="242"/>
      <c r="Z1499" s="242"/>
      <c r="AA1499" s="242"/>
      <c r="AB1499" s="242"/>
    </row>
    <row r="1500" hidden="1">
      <c r="A1500" s="244" t="s">
        <v>7021</v>
      </c>
      <c r="B1500" s="245" t="str">
        <f>VLOOKUP(A1500,'تجربه‌گرها'!B:C,2,FALSE())</f>
        <v>09123309066</v>
      </c>
      <c r="C1500" s="242"/>
      <c r="D1500" s="242">
        <f t="shared" si="1"/>
        <v>1</v>
      </c>
      <c r="E1500" s="242">
        <f>COUNTIFS('تجربه‌گرها'!$B:$B,$A1500,'تجربه‌گرها'!$F:$F,E$1)</f>
        <v>0</v>
      </c>
      <c r="F1500" s="242">
        <f>COUNTIFS('تجربه‌گرها'!$B:$B,$A1500,'تجربه‌گرها'!$F:$F,F$1)</f>
        <v>0</v>
      </c>
      <c r="G1500" s="242">
        <f>COUNTIFS('تجربه‌گرها'!$B:$B,$A1500,'تجربه‌گرها'!$F:$F,G$1)</f>
        <v>0</v>
      </c>
      <c r="H1500" s="242">
        <f>COUNTIFS('تجربه‌گرها'!$B:$B,$A1500,'تجربه‌گرها'!$F:$F,H$1)</f>
        <v>0</v>
      </c>
      <c r="I1500" s="242">
        <f>COUNTIFS('تجربه‌گرها'!$B:$B,$A1500,'تجربه‌گرها'!$F:$F,I$1)</f>
        <v>0</v>
      </c>
      <c r="J1500" s="242">
        <f>COUNTIFS('تجربه‌گرها'!$B:$B,$A1500,'تجربه‌گرها'!$F:$F,J$1)</f>
        <v>0</v>
      </c>
      <c r="K1500" s="242">
        <f>COUNTIFS('تجربه‌گرها'!$B:$B,$A1500,'تجربه‌گرها'!$F:$F,K$1)</f>
        <v>0</v>
      </c>
      <c r="L1500" s="242">
        <f>COUNTIFS('تجربه‌گرها'!$B:$B,$A1500,'تجربه‌گرها'!$F:$F,L$1)</f>
        <v>0</v>
      </c>
      <c r="M1500" s="242">
        <f>COUNTIFS('تجربه‌گرها'!$B:$B,$A1500,'تجربه‌گرها'!$F:$F,M$1)</f>
        <v>0</v>
      </c>
      <c r="N1500" s="242">
        <f>COUNTIFS('تجربه‌گرها'!$B:$B,$A1500,'تجربه‌گرها'!$F:$F,N$1)</f>
        <v>0</v>
      </c>
      <c r="O1500" s="242">
        <f>COUNTIFS('تجربه‌گرها'!$B:$B,$A1500,'تجربه‌گرها'!$F:$F,O$1)</f>
        <v>0</v>
      </c>
      <c r="P1500" s="242">
        <f>COUNTIFS('تجربه‌گرها'!$B:$B,$A1500,'تجربه‌گرها'!$F:$F,P$1)</f>
        <v>0</v>
      </c>
      <c r="Q1500" s="242">
        <f>COUNTIFS('تجربه‌گرها'!$B:$B,$A1500,'تجربه‌گرها'!$F:$F,Q$1)</f>
        <v>0</v>
      </c>
      <c r="R1500" s="242">
        <f>COUNTIFS('تجربه‌گرها'!$B:$B,$A1500,'تجربه‌گرها'!$F:$F,R$1)</f>
        <v>1</v>
      </c>
      <c r="S1500" s="242">
        <f>COUNTIFS('تجربه‌گرها'!$B:$B,$A1500,'تجربه‌گرها'!$F:$F,S$1)</f>
        <v>0</v>
      </c>
      <c r="T1500" s="242">
        <f>COUNTIFS('تجربه‌گرها'!$B:$B,$A1500,'تجربه‌گرها'!$F:$F,T$1)</f>
        <v>0</v>
      </c>
      <c r="U1500" s="242"/>
      <c r="V1500" s="242"/>
      <c r="W1500" s="242"/>
      <c r="X1500" s="242"/>
      <c r="Y1500" s="242"/>
      <c r="Z1500" s="242"/>
      <c r="AA1500" s="242"/>
      <c r="AB1500" s="242"/>
    </row>
    <row r="1501" hidden="1">
      <c r="A1501" s="244" t="s">
        <v>7026</v>
      </c>
      <c r="B1501" s="245" t="str">
        <f>VLOOKUP(A1501,'تجربه‌گرها'!B:C,2,FALSE())</f>
        <v>09210865357</v>
      </c>
      <c r="C1501" s="242"/>
      <c r="D1501" s="242">
        <f t="shared" si="1"/>
        <v>1</v>
      </c>
      <c r="E1501" s="242">
        <f>COUNTIFS('تجربه‌گرها'!$B:$B,$A1501,'تجربه‌گرها'!$F:$F,E$1)</f>
        <v>0</v>
      </c>
      <c r="F1501" s="242">
        <f>COUNTIFS('تجربه‌گرها'!$B:$B,$A1501,'تجربه‌گرها'!$F:$F,F$1)</f>
        <v>0</v>
      </c>
      <c r="G1501" s="242">
        <f>COUNTIFS('تجربه‌گرها'!$B:$B,$A1501,'تجربه‌گرها'!$F:$F,G$1)</f>
        <v>0</v>
      </c>
      <c r="H1501" s="242">
        <f>COUNTIFS('تجربه‌گرها'!$B:$B,$A1501,'تجربه‌گرها'!$F:$F,H$1)</f>
        <v>0</v>
      </c>
      <c r="I1501" s="242">
        <f>COUNTIFS('تجربه‌گرها'!$B:$B,$A1501,'تجربه‌گرها'!$F:$F,I$1)</f>
        <v>0</v>
      </c>
      <c r="J1501" s="242">
        <f>COUNTIFS('تجربه‌گرها'!$B:$B,$A1501,'تجربه‌گرها'!$F:$F,J$1)</f>
        <v>0</v>
      </c>
      <c r="K1501" s="242">
        <f>COUNTIFS('تجربه‌گرها'!$B:$B,$A1501,'تجربه‌گرها'!$F:$F,K$1)</f>
        <v>0</v>
      </c>
      <c r="L1501" s="242">
        <f>COUNTIFS('تجربه‌گرها'!$B:$B,$A1501,'تجربه‌گرها'!$F:$F,L$1)</f>
        <v>0</v>
      </c>
      <c r="M1501" s="242">
        <f>COUNTIFS('تجربه‌گرها'!$B:$B,$A1501,'تجربه‌گرها'!$F:$F,M$1)</f>
        <v>0</v>
      </c>
      <c r="N1501" s="242">
        <f>COUNTIFS('تجربه‌گرها'!$B:$B,$A1501,'تجربه‌گرها'!$F:$F,N$1)</f>
        <v>0</v>
      </c>
      <c r="O1501" s="242">
        <f>COUNTIFS('تجربه‌گرها'!$B:$B,$A1501,'تجربه‌گرها'!$F:$F,O$1)</f>
        <v>0</v>
      </c>
      <c r="P1501" s="242">
        <f>COUNTIFS('تجربه‌گرها'!$B:$B,$A1501,'تجربه‌گرها'!$F:$F,P$1)</f>
        <v>0</v>
      </c>
      <c r="Q1501" s="242">
        <f>COUNTIFS('تجربه‌گرها'!$B:$B,$A1501,'تجربه‌گرها'!$F:$F,Q$1)</f>
        <v>0</v>
      </c>
      <c r="R1501" s="242">
        <f>COUNTIFS('تجربه‌گرها'!$B:$B,$A1501,'تجربه‌گرها'!$F:$F,R$1)</f>
        <v>1</v>
      </c>
      <c r="S1501" s="242">
        <f>COUNTIFS('تجربه‌گرها'!$B:$B,$A1501,'تجربه‌گرها'!$F:$F,S$1)</f>
        <v>0</v>
      </c>
      <c r="T1501" s="242">
        <f>COUNTIFS('تجربه‌گرها'!$B:$B,$A1501,'تجربه‌گرها'!$F:$F,T$1)</f>
        <v>0</v>
      </c>
      <c r="U1501" s="242"/>
      <c r="V1501" s="242"/>
      <c r="W1501" s="242"/>
      <c r="X1501" s="242"/>
      <c r="Y1501" s="242"/>
      <c r="Z1501" s="242"/>
      <c r="AA1501" s="242"/>
      <c r="AB1501" s="242"/>
    </row>
    <row r="1502" hidden="1">
      <c r="A1502" s="244" t="s">
        <v>7031</v>
      </c>
      <c r="B1502" s="245" t="str">
        <f>VLOOKUP(A1502,'تجربه‌گرها'!B:C,2,FALSE())</f>
        <v>09136839287</v>
      </c>
      <c r="C1502" s="242"/>
      <c r="D1502" s="242">
        <f t="shared" si="1"/>
        <v>1</v>
      </c>
      <c r="E1502" s="242">
        <f>COUNTIFS('تجربه‌گرها'!$B:$B,$A1502,'تجربه‌گرها'!$F:$F,E$1)</f>
        <v>0</v>
      </c>
      <c r="F1502" s="242">
        <f>COUNTIFS('تجربه‌گرها'!$B:$B,$A1502,'تجربه‌گرها'!$F:$F,F$1)</f>
        <v>0</v>
      </c>
      <c r="G1502" s="242">
        <f>COUNTIFS('تجربه‌گرها'!$B:$B,$A1502,'تجربه‌گرها'!$F:$F,G$1)</f>
        <v>0</v>
      </c>
      <c r="H1502" s="242">
        <f>COUNTIFS('تجربه‌گرها'!$B:$B,$A1502,'تجربه‌گرها'!$F:$F,H$1)</f>
        <v>0</v>
      </c>
      <c r="I1502" s="242">
        <f>COUNTIFS('تجربه‌گرها'!$B:$B,$A1502,'تجربه‌گرها'!$F:$F,I$1)</f>
        <v>0</v>
      </c>
      <c r="J1502" s="242">
        <f>COUNTIFS('تجربه‌گرها'!$B:$B,$A1502,'تجربه‌گرها'!$F:$F,J$1)</f>
        <v>0</v>
      </c>
      <c r="K1502" s="242">
        <f>COUNTIFS('تجربه‌گرها'!$B:$B,$A1502,'تجربه‌گرها'!$F:$F,K$1)</f>
        <v>0</v>
      </c>
      <c r="L1502" s="242">
        <f>COUNTIFS('تجربه‌گرها'!$B:$B,$A1502,'تجربه‌گرها'!$F:$F,L$1)</f>
        <v>0</v>
      </c>
      <c r="M1502" s="242">
        <f>COUNTIFS('تجربه‌گرها'!$B:$B,$A1502,'تجربه‌گرها'!$F:$F,M$1)</f>
        <v>0</v>
      </c>
      <c r="N1502" s="242">
        <f>COUNTIFS('تجربه‌گرها'!$B:$B,$A1502,'تجربه‌گرها'!$F:$F,N$1)</f>
        <v>0</v>
      </c>
      <c r="O1502" s="242">
        <f>COUNTIFS('تجربه‌گرها'!$B:$B,$A1502,'تجربه‌گرها'!$F:$F,O$1)</f>
        <v>0</v>
      </c>
      <c r="P1502" s="242">
        <f>COUNTIFS('تجربه‌گرها'!$B:$B,$A1502,'تجربه‌گرها'!$F:$F,P$1)</f>
        <v>0</v>
      </c>
      <c r="Q1502" s="242">
        <f>COUNTIFS('تجربه‌گرها'!$B:$B,$A1502,'تجربه‌گرها'!$F:$F,Q$1)</f>
        <v>0</v>
      </c>
      <c r="R1502" s="242">
        <f>COUNTIFS('تجربه‌گرها'!$B:$B,$A1502,'تجربه‌گرها'!$F:$F,R$1)</f>
        <v>1</v>
      </c>
      <c r="S1502" s="242">
        <f>COUNTIFS('تجربه‌گرها'!$B:$B,$A1502,'تجربه‌گرها'!$F:$F,S$1)</f>
        <v>0</v>
      </c>
      <c r="T1502" s="242">
        <f>COUNTIFS('تجربه‌گرها'!$B:$B,$A1502,'تجربه‌گرها'!$F:$F,T$1)</f>
        <v>0</v>
      </c>
      <c r="U1502" s="242"/>
      <c r="V1502" s="242"/>
      <c r="W1502" s="242"/>
      <c r="X1502" s="242"/>
      <c r="Y1502" s="242"/>
      <c r="Z1502" s="242"/>
      <c r="AA1502" s="242"/>
      <c r="AB1502" s="242"/>
    </row>
    <row r="1503" hidden="1">
      <c r="A1503" s="244" t="s">
        <v>7037</v>
      </c>
      <c r="B1503" s="245" t="str">
        <f>VLOOKUP(A1503,'تجربه‌گرها'!B:C,2,FALSE())</f>
        <v>09380686761</v>
      </c>
      <c r="C1503" s="242"/>
      <c r="D1503" s="242">
        <f t="shared" si="1"/>
        <v>1</v>
      </c>
      <c r="E1503" s="242">
        <f>COUNTIFS('تجربه‌گرها'!$B:$B,$A1503,'تجربه‌گرها'!$F:$F,E$1)</f>
        <v>0</v>
      </c>
      <c r="F1503" s="242">
        <f>COUNTIFS('تجربه‌گرها'!$B:$B,$A1503,'تجربه‌گرها'!$F:$F,F$1)</f>
        <v>0</v>
      </c>
      <c r="G1503" s="242">
        <f>COUNTIFS('تجربه‌گرها'!$B:$B,$A1503,'تجربه‌گرها'!$F:$F,G$1)</f>
        <v>0</v>
      </c>
      <c r="H1503" s="242">
        <f>COUNTIFS('تجربه‌گرها'!$B:$B,$A1503,'تجربه‌گرها'!$F:$F,H$1)</f>
        <v>0</v>
      </c>
      <c r="I1503" s="242">
        <f>COUNTIFS('تجربه‌گرها'!$B:$B,$A1503,'تجربه‌گرها'!$F:$F,I$1)</f>
        <v>0</v>
      </c>
      <c r="J1503" s="242">
        <f>COUNTIFS('تجربه‌گرها'!$B:$B,$A1503,'تجربه‌گرها'!$F:$F,J$1)</f>
        <v>0</v>
      </c>
      <c r="K1503" s="242">
        <f>COUNTIFS('تجربه‌گرها'!$B:$B,$A1503,'تجربه‌گرها'!$F:$F,K$1)</f>
        <v>0</v>
      </c>
      <c r="L1503" s="242">
        <f>COUNTIFS('تجربه‌گرها'!$B:$B,$A1503,'تجربه‌گرها'!$F:$F,L$1)</f>
        <v>0</v>
      </c>
      <c r="M1503" s="242">
        <f>COUNTIFS('تجربه‌گرها'!$B:$B,$A1503,'تجربه‌گرها'!$F:$F,M$1)</f>
        <v>0</v>
      </c>
      <c r="N1503" s="242">
        <f>COUNTIFS('تجربه‌گرها'!$B:$B,$A1503,'تجربه‌گرها'!$F:$F,N$1)</f>
        <v>0</v>
      </c>
      <c r="O1503" s="242">
        <f>COUNTIFS('تجربه‌گرها'!$B:$B,$A1503,'تجربه‌گرها'!$F:$F,O$1)</f>
        <v>0</v>
      </c>
      <c r="P1503" s="242">
        <f>COUNTIFS('تجربه‌گرها'!$B:$B,$A1503,'تجربه‌گرها'!$F:$F,P$1)</f>
        <v>0</v>
      </c>
      <c r="Q1503" s="242">
        <f>COUNTIFS('تجربه‌گرها'!$B:$B,$A1503,'تجربه‌گرها'!$F:$F,Q$1)</f>
        <v>0</v>
      </c>
      <c r="R1503" s="242">
        <f>COUNTIFS('تجربه‌گرها'!$B:$B,$A1503,'تجربه‌گرها'!$F:$F,R$1)</f>
        <v>1</v>
      </c>
      <c r="S1503" s="242">
        <f>COUNTIFS('تجربه‌گرها'!$B:$B,$A1503,'تجربه‌گرها'!$F:$F,S$1)</f>
        <v>0</v>
      </c>
      <c r="T1503" s="242">
        <f>COUNTIFS('تجربه‌گرها'!$B:$B,$A1503,'تجربه‌گرها'!$F:$F,T$1)</f>
        <v>0</v>
      </c>
      <c r="U1503" s="242"/>
      <c r="V1503" s="242"/>
      <c r="W1503" s="242"/>
      <c r="X1503" s="242"/>
      <c r="Y1503" s="242"/>
      <c r="Z1503" s="242"/>
      <c r="AA1503" s="242"/>
      <c r="AB1503" s="242"/>
    </row>
    <row r="1504" hidden="1">
      <c r="A1504" s="244" t="s">
        <v>7046</v>
      </c>
      <c r="B1504" s="245" t="str">
        <f>VLOOKUP(A1504,'تجربه‌گرها'!B:C,2,FALSE())</f>
        <v>09216759528</v>
      </c>
      <c r="C1504" s="242"/>
      <c r="D1504" s="242">
        <f t="shared" si="1"/>
        <v>1</v>
      </c>
      <c r="E1504" s="242">
        <f>COUNTIFS('تجربه‌گرها'!$B:$B,$A1504,'تجربه‌گرها'!$F:$F,E$1)</f>
        <v>0</v>
      </c>
      <c r="F1504" s="242">
        <f>COUNTIFS('تجربه‌گرها'!$B:$B,$A1504,'تجربه‌گرها'!$F:$F,F$1)</f>
        <v>0</v>
      </c>
      <c r="G1504" s="242">
        <f>COUNTIFS('تجربه‌گرها'!$B:$B,$A1504,'تجربه‌گرها'!$F:$F,G$1)</f>
        <v>0</v>
      </c>
      <c r="H1504" s="242">
        <f>COUNTIFS('تجربه‌گرها'!$B:$B,$A1504,'تجربه‌گرها'!$F:$F,H$1)</f>
        <v>0</v>
      </c>
      <c r="I1504" s="242">
        <f>COUNTIFS('تجربه‌گرها'!$B:$B,$A1504,'تجربه‌گرها'!$F:$F,I$1)</f>
        <v>0</v>
      </c>
      <c r="J1504" s="242">
        <f>COUNTIFS('تجربه‌گرها'!$B:$B,$A1504,'تجربه‌گرها'!$F:$F,J$1)</f>
        <v>0</v>
      </c>
      <c r="K1504" s="242">
        <f>COUNTIFS('تجربه‌گرها'!$B:$B,$A1504,'تجربه‌گرها'!$F:$F,K$1)</f>
        <v>0</v>
      </c>
      <c r="L1504" s="242">
        <f>COUNTIFS('تجربه‌گرها'!$B:$B,$A1504,'تجربه‌گرها'!$F:$F,L$1)</f>
        <v>0</v>
      </c>
      <c r="M1504" s="242">
        <f>COUNTIFS('تجربه‌گرها'!$B:$B,$A1504,'تجربه‌گرها'!$F:$F,M$1)</f>
        <v>0</v>
      </c>
      <c r="N1504" s="242">
        <f>COUNTIFS('تجربه‌گرها'!$B:$B,$A1504,'تجربه‌گرها'!$F:$F,N$1)</f>
        <v>0</v>
      </c>
      <c r="O1504" s="242">
        <f>COUNTIFS('تجربه‌گرها'!$B:$B,$A1504,'تجربه‌گرها'!$F:$F,O$1)</f>
        <v>0</v>
      </c>
      <c r="P1504" s="242">
        <f>COUNTIFS('تجربه‌گرها'!$B:$B,$A1504,'تجربه‌گرها'!$F:$F,P$1)</f>
        <v>0</v>
      </c>
      <c r="Q1504" s="242">
        <f>COUNTIFS('تجربه‌گرها'!$B:$B,$A1504,'تجربه‌گرها'!$F:$F,Q$1)</f>
        <v>0</v>
      </c>
      <c r="R1504" s="242">
        <f>COUNTIFS('تجربه‌گرها'!$B:$B,$A1504,'تجربه‌گرها'!$F:$F,R$1)</f>
        <v>1</v>
      </c>
      <c r="S1504" s="242">
        <f>COUNTIFS('تجربه‌گرها'!$B:$B,$A1504,'تجربه‌گرها'!$F:$F,S$1)</f>
        <v>0</v>
      </c>
      <c r="T1504" s="242">
        <f>COUNTIFS('تجربه‌گرها'!$B:$B,$A1504,'تجربه‌گرها'!$F:$F,T$1)</f>
        <v>0</v>
      </c>
      <c r="U1504" s="242"/>
      <c r="V1504" s="242"/>
      <c r="W1504" s="242"/>
      <c r="X1504" s="242"/>
      <c r="Y1504" s="242"/>
      <c r="Z1504" s="242"/>
      <c r="AA1504" s="242"/>
      <c r="AB1504" s="242"/>
    </row>
    <row r="1505" hidden="1">
      <c r="A1505" s="244" t="s">
        <v>7053</v>
      </c>
      <c r="B1505" s="245" t="str">
        <f>VLOOKUP(A1505,'تجربه‌گرها'!B:C,2,FALSE())</f>
        <v>09197209132</v>
      </c>
      <c r="C1505" s="242"/>
      <c r="D1505" s="242">
        <f t="shared" si="1"/>
        <v>1</v>
      </c>
      <c r="E1505" s="242">
        <f>COUNTIFS('تجربه‌گرها'!$B:$B,$A1505,'تجربه‌گرها'!$F:$F,E$1)</f>
        <v>0</v>
      </c>
      <c r="F1505" s="242">
        <f>COUNTIFS('تجربه‌گرها'!$B:$B,$A1505,'تجربه‌گرها'!$F:$F,F$1)</f>
        <v>0</v>
      </c>
      <c r="G1505" s="242">
        <f>COUNTIFS('تجربه‌گرها'!$B:$B,$A1505,'تجربه‌گرها'!$F:$F,G$1)</f>
        <v>0</v>
      </c>
      <c r="H1505" s="242">
        <f>COUNTIFS('تجربه‌گرها'!$B:$B,$A1505,'تجربه‌گرها'!$F:$F,H$1)</f>
        <v>0</v>
      </c>
      <c r="I1505" s="242">
        <f>COUNTIFS('تجربه‌گرها'!$B:$B,$A1505,'تجربه‌گرها'!$F:$F,I$1)</f>
        <v>0</v>
      </c>
      <c r="J1505" s="242">
        <f>COUNTIFS('تجربه‌گرها'!$B:$B,$A1505,'تجربه‌گرها'!$F:$F,J$1)</f>
        <v>0</v>
      </c>
      <c r="K1505" s="242">
        <f>COUNTIFS('تجربه‌گرها'!$B:$B,$A1505,'تجربه‌گرها'!$F:$F,K$1)</f>
        <v>0</v>
      </c>
      <c r="L1505" s="242">
        <f>COUNTIFS('تجربه‌گرها'!$B:$B,$A1505,'تجربه‌گرها'!$F:$F,L$1)</f>
        <v>0</v>
      </c>
      <c r="M1505" s="242">
        <f>COUNTIFS('تجربه‌گرها'!$B:$B,$A1505,'تجربه‌گرها'!$F:$F,M$1)</f>
        <v>0</v>
      </c>
      <c r="N1505" s="242">
        <f>COUNTIFS('تجربه‌گرها'!$B:$B,$A1505,'تجربه‌گرها'!$F:$F,N$1)</f>
        <v>0</v>
      </c>
      <c r="O1505" s="242">
        <f>COUNTIFS('تجربه‌گرها'!$B:$B,$A1505,'تجربه‌گرها'!$F:$F,O$1)</f>
        <v>0</v>
      </c>
      <c r="P1505" s="242">
        <f>COUNTIFS('تجربه‌گرها'!$B:$B,$A1505,'تجربه‌گرها'!$F:$F,P$1)</f>
        <v>0</v>
      </c>
      <c r="Q1505" s="242">
        <f>COUNTIFS('تجربه‌گرها'!$B:$B,$A1505,'تجربه‌گرها'!$F:$F,Q$1)</f>
        <v>0</v>
      </c>
      <c r="R1505" s="242">
        <f>COUNTIFS('تجربه‌گرها'!$B:$B,$A1505,'تجربه‌گرها'!$F:$F,R$1)</f>
        <v>1</v>
      </c>
      <c r="S1505" s="242">
        <f>COUNTIFS('تجربه‌گرها'!$B:$B,$A1505,'تجربه‌گرها'!$F:$F,S$1)</f>
        <v>0</v>
      </c>
      <c r="T1505" s="242">
        <f>COUNTIFS('تجربه‌گرها'!$B:$B,$A1505,'تجربه‌گرها'!$F:$F,T$1)</f>
        <v>0</v>
      </c>
      <c r="U1505" s="242"/>
      <c r="V1505" s="242"/>
      <c r="W1505" s="242"/>
      <c r="X1505" s="242"/>
      <c r="Y1505" s="242"/>
      <c r="Z1505" s="242"/>
      <c r="AA1505" s="242"/>
      <c r="AB1505" s="242"/>
    </row>
    <row r="1506" hidden="1">
      <c r="A1506" s="244" t="s">
        <v>7058</v>
      </c>
      <c r="B1506" s="245" t="str">
        <f>VLOOKUP(A1506,'تجربه‌گرها'!B:C,2,FALSE())</f>
        <v>09172893176</v>
      </c>
      <c r="C1506" s="242"/>
      <c r="D1506" s="242">
        <f t="shared" si="1"/>
        <v>1</v>
      </c>
      <c r="E1506" s="242">
        <f>COUNTIFS('تجربه‌گرها'!$B:$B,$A1506,'تجربه‌گرها'!$F:$F,E$1)</f>
        <v>0</v>
      </c>
      <c r="F1506" s="242">
        <f>COUNTIFS('تجربه‌گرها'!$B:$B,$A1506,'تجربه‌گرها'!$F:$F,F$1)</f>
        <v>0</v>
      </c>
      <c r="G1506" s="242">
        <f>COUNTIFS('تجربه‌گرها'!$B:$B,$A1506,'تجربه‌گرها'!$F:$F,G$1)</f>
        <v>0</v>
      </c>
      <c r="H1506" s="242">
        <f>COUNTIFS('تجربه‌گرها'!$B:$B,$A1506,'تجربه‌گرها'!$F:$F,H$1)</f>
        <v>0</v>
      </c>
      <c r="I1506" s="242">
        <f>COUNTIFS('تجربه‌گرها'!$B:$B,$A1506,'تجربه‌گرها'!$F:$F,I$1)</f>
        <v>0</v>
      </c>
      <c r="J1506" s="242">
        <f>COUNTIFS('تجربه‌گرها'!$B:$B,$A1506,'تجربه‌گرها'!$F:$F,J$1)</f>
        <v>0</v>
      </c>
      <c r="K1506" s="242">
        <f>COUNTIFS('تجربه‌گرها'!$B:$B,$A1506,'تجربه‌گرها'!$F:$F,K$1)</f>
        <v>0</v>
      </c>
      <c r="L1506" s="242">
        <f>COUNTIFS('تجربه‌گرها'!$B:$B,$A1506,'تجربه‌گرها'!$F:$F,L$1)</f>
        <v>0</v>
      </c>
      <c r="M1506" s="242">
        <f>COUNTIFS('تجربه‌گرها'!$B:$B,$A1506,'تجربه‌گرها'!$F:$F,M$1)</f>
        <v>0</v>
      </c>
      <c r="N1506" s="242">
        <f>COUNTIFS('تجربه‌گرها'!$B:$B,$A1506,'تجربه‌گرها'!$F:$F,N$1)</f>
        <v>0</v>
      </c>
      <c r="O1506" s="242">
        <f>COUNTIFS('تجربه‌گرها'!$B:$B,$A1506,'تجربه‌گرها'!$F:$F,O$1)</f>
        <v>0</v>
      </c>
      <c r="P1506" s="242">
        <f>COUNTIFS('تجربه‌گرها'!$B:$B,$A1506,'تجربه‌گرها'!$F:$F,P$1)</f>
        <v>0</v>
      </c>
      <c r="Q1506" s="242">
        <f>COUNTIFS('تجربه‌گرها'!$B:$B,$A1506,'تجربه‌گرها'!$F:$F,Q$1)</f>
        <v>0</v>
      </c>
      <c r="R1506" s="242">
        <f>COUNTIFS('تجربه‌گرها'!$B:$B,$A1506,'تجربه‌گرها'!$F:$F,R$1)</f>
        <v>0</v>
      </c>
      <c r="S1506" s="242">
        <f>COUNTIFS('تجربه‌گرها'!$B:$B,$A1506,'تجربه‌گرها'!$F:$F,S$1)</f>
        <v>0</v>
      </c>
      <c r="T1506" s="242">
        <f>COUNTIFS('تجربه‌گرها'!$B:$B,$A1506,'تجربه‌گرها'!$F:$F,T$1)</f>
        <v>1</v>
      </c>
      <c r="U1506" s="242"/>
      <c r="V1506" s="242"/>
      <c r="W1506" s="242"/>
      <c r="X1506" s="242"/>
      <c r="Y1506" s="242"/>
      <c r="Z1506" s="242"/>
      <c r="AA1506" s="242"/>
      <c r="AB1506" s="242"/>
    </row>
    <row r="1507" hidden="1">
      <c r="A1507" s="244" t="s">
        <v>7066</v>
      </c>
      <c r="B1507" s="245" t="str">
        <f>VLOOKUP(A1507,'تجربه‌گرها'!B:C,2,FALSE())</f>
        <v>0971557567224</v>
      </c>
      <c r="C1507" s="242"/>
      <c r="D1507" s="242">
        <f t="shared" si="1"/>
        <v>1</v>
      </c>
      <c r="E1507" s="242">
        <f>COUNTIFS('تجربه‌گرها'!$B:$B,$A1507,'تجربه‌گرها'!$F:$F,E$1)</f>
        <v>0</v>
      </c>
      <c r="F1507" s="242">
        <f>COUNTIFS('تجربه‌گرها'!$B:$B,$A1507,'تجربه‌گرها'!$F:$F,F$1)</f>
        <v>0</v>
      </c>
      <c r="G1507" s="242">
        <f>COUNTIFS('تجربه‌گرها'!$B:$B,$A1507,'تجربه‌گرها'!$F:$F,G$1)</f>
        <v>0</v>
      </c>
      <c r="H1507" s="242">
        <f>COUNTIFS('تجربه‌گرها'!$B:$B,$A1507,'تجربه‌گرها'!$F:$F,H$1)</f>
        <v>0</v>
      </c>
      <c r="I1507" s="242">
        <f>COUNTIFS('تجربه‌گرها'!$B:$B,$A1507,'تجربه‌گرها'!$F:$F,I$1)</f>
        <v>0</v>
      </c>
      <c r="J1507" s="242">
        <f>COUNTIFS('تجربه‌گرها'!$B:$B,$A1507,'تجربه‌گرها'!$F:$F,J$1)</f>
        <v>0</v>
      </c>
      <c r="K1507" s="242">
        <f>COUNTIFS('تجربه‌گرها'!$B:$B,$A1507,'تجربه‌گرها'!$F:$F,K$1)</f>
        <v>0</v>
      </c>
      <c r="L1507" s="242">
        <f>COUNTIFS('تجربه‌گرها'!$B:$B,$A1507,'تجربه‌گرها'!$F:$F,L$1)</f>
        <v>0</v>
      </c>
      <c r="M1507" s="242">
        <f>COUNTIFS('تجربه‌گرها'!$B:$B,$A1507,'تجربه‌گرها'!$F:$F,M$1)</f>
        <v>0</v>
      </c>
      <c r="N1507" s="242">
        <f>COUNTIFS('تجربه‌گرها'!$B:$B,$A1507,'تجربه‌گرها'!$F:$F,N$1)</f>
        <v>0</v>
      </c>
      <c r="O1507" s="242">
        <f>COUNTIFS('تجربه‌گرها'!$B:$B,$A1507,'تجربه‌گرها'!$F:$F,O$1)</f>
        <v>0</v>
      </c>
      <c r="P1507" s="242">
        <f>COUNTIFS('تجربه‌گرها'!$B:$B,$A1507,'تجربه‌گرها'!$F:$F,P$1)</f>
        <v>0</v>
      </c>
      <c r="Q1507" s="242">
        <f>COUNTIFS('تجربه‌گرها'!$B:$B,$A1507,'تجربه‌گرها'!$F:$F,Q$1)</f>
        <v>0</v>
      </c>
      <c r="R1507" s="242">
        <f>COUNTIFS('تجربه‌گرها'!$B:$B,$A1507,'تجربه‌گرها'!$F:$F,R$1)</f>
        <v>0</v>
      </c>
      <c r="S1507" s="242">
        <f>COUNTIFS('تجربه‌گرها'!$B:$B,$A1507,'تجربه‌گرها'!$F:$F,S$1)</f>
        <v>0</v>
      </c>
      <c r="T1507" s="242">
        <f>COUNTIFS('تجربه‌گرها'!$B:$B,$A1507,'تجربه‌گرها'!$F:$F,T$1)</f>
        <v>1</v>
      </c>
      <c r="U1507" s="242"/>
      <c r="V1507" s="242"/>
      <c r="W1507" s="242"/>
      <c r="X1507" s="242"/>
      <c r="Y1507" s="242"/>
      <c r="Z1507" s="242"/>
      <c r="AA1507" s="242"/>
      <c r="AB1507" s="242"/>
    </row>
    <row r="1508" hidden="1">
      <c r="A1508" s="244" t="s">
        <v>7070</v>
      </c>
      <c r="B1508" s="245" t="str">
        <f>VLOOKUP(A1508,'تجربه‌گرها'!B:C,2,FALSE())</f>
        <v>09121070729</v>
      </c>
      <c r="C1508" s="242"/>
      <c r="D1508" s="242">
        <f t="shared" si="1"/>
        <v>1</v>
      </c>
      <c r="E1508" s="242">
        <f>COUNTIFS('تجربه‌گرها'!$B:$B,$A1508,'تجربه‌گرها'!$F:$F,E$1)</f>
        <v>0</v>
      </c>
      <c r="F1508" s="242">
        <f>COUNTIFS('تجربه‌گرها'!$B:$B,$A1508,'تجربه‌گرها'!$F:$F,F$1)</f>
        <v>0</v>
      </c>
      <c r="G1508" s="242">
        <f>COUNTIFS('تجربه‌گرها'!$B:$B,$A1508,'تجربه‌گرها'!$F:$F,G$1)</f>
        <v>0</v>
      </c>
      <c r="H1508" s="242">
        <f>COUNTIFS('تجربه‌گرها'!$B:$B,$A1508,'تجربه‌گرها'!$F:$F,H$1)</f>
        <v>0</v>
      </c>
      <c r="I1508" s="242">
        <f>COUNTIFS('تجربه‌گرها'!$B:$B,$A1508,'تجربه‌گرها'!$F:$F,I$1)</f>
        <v>0</v>
      </c>
      <c r="J1508" s="242">
        <f>COUNTIFS('تجربه‌گرها'!$B:$B,$A1508,'تجربه‌گرها'!$F:$F,J$1)</f>
        <v>0</v>
      </c>
      <c r="K1508" s="242">
        <f>COUNTIFS('تجربه‌گرها'!$B:$B,$A1508,'تجربه‌گرها'!$F:$F,K$1)</f>
        <v>0</v>
      </c>
      <c r="L1508" s="242">
        <f>COUNTIFS('تجربه‌گرها'!$B:$B,$A1508,'تجربه‌گرها'!$F:$F,L$1)</f>
        <v>0</v>
      </c>
      <c r="M1508" s="242">
        <f>COUNTIFS('تجربه‌گرها'!$B:$B,$A1508,'تجربه‌گرها'!$F:$F,M$1)</f>
        <v>0</v>
      </c>
      <c r="N1508" s="242">
        <f>COUNTIFS('تجربه‌گرها'!$B:$B,$A1508,'تجربه‌گرها'!$F:$F,N$1)</f>
        <v>0</v>
      </c>
      <c r="O1508" s="242">
        <f>COUNTIFS('تجربه‌گرها'!$B:$B,$A1508,'تجربه‌گرها'!$F:$F,O$1)</f>
        <v>0</v>
      </c>
      <c r="P1508" s="242">
        <f>COUNTIFS('تجربه‌گرها'!$B:$B,$A1508,'تجربه‌گرها'!$F:$F,P$1)</f>
        <v>0</v>
      </c>
      <c r="Q1508" s="242">
        <f>COUNTIFS('تجربه‌گرها'!$B:$B,$A1508,'تجربه‌گرها'!$F:$F,Q$1)</f>
        <v>0</v>
      </c>
      <c r="R1508" s="242">
        <f>COUNTIFS('تجربه‌گرها'!$B:$B,$A1508,'تجربه‌گرها'!$F:$F,R$1)</f>
        <v>0</v>
      </c>
      <c r="S1508" s="242">
        <f>COUNTIFS('تجربه‌گرها'!$B:$B,$A1508,'تجربه‌گرها'!$F:$F,S$1)</f>
        <v>0</v>
      </c>
      <c r="T1508" s="242">
        <f>COUNTIFS('تجربه‌گرها'!$B:$B,$A1508,'تجربه‌گرها'!$F:$F,T$1)</f>
        <v>1</v>
      </c>
      <c r="U1508" s="242"/>
      <c r="V1508" s="242"/>
      <c r="W1508" s="242"/>
      <c r="X1508" s="242"/>
      <c r="Y1508" s="242"/>
      <c r="Z1508" s="242"/>
      <c r="AA1508" s="242"/>
      <c r="AB1508" s="242"/>
    </row>
    <row r="1509" hidden="1">
      <c r="A1509" s="244" t="s">
        <v>7076</v>
      </c>
      <c r="B1509" s="245" t="str">
        <f>VLOOKUP(A1509,'تجربه‌گرها'!B:C,2,FALSE())</f>
        <v>09122508858</v>
      </c>
      <c r="C1509" s="242"/>
      <c r="D1509" s="242">
        <f t="shared" si="1"/>
        <v>1</v>
      </c>
      <c r="E1509" s="242">
        <f>COUNTIFS('تجربه‌گرها'!$B:$B,$A1509,'تجربه‌گرها'!$F:$F,E$1)</f>
        <v>0</v>
      </c>
      <c r="F1509" s="242">
        <f>COUNTIFS('تجربه‌گرها'!$B:$B,$A1509,'تجربه‌گرها'!$F:$F,F$1)</f>
        <v>0</v>
      </c>
      <c r="G1509" s="242">
        <f>COUNTIFS('تجربه‌گرها'!$B:$B,$A1509,'تجربه‌گرها'!$F:$F,G$1)</f>
        <v>0</v>
      </c>
      <c r="H1509" s="242">
        <f>COUNTIFS('تجربه‌گرها'!$B:$B,$A1509,'تجربه‌گرها'!$F:$F,H$1)</f>
        <v>0</v>
      </c>
      <c r="I1509" s="242">
        <f>COUNTIFS('تجربه‌گرها'!$B:$B,$A1509,'تجربه‌گرها'!$F:$F,I$1)</f>
        <v>0</v>
      </c>
      <c r="J1509" s="242">
        <f>COUNTIFS('تجربه‌گرها'!$B:$B,$A1509,'تجربه‌گرها'!$F:$F,J$1)</f>
        <v>0</v>
      </c>
      <c r="K1509" s="242">
        <f>COUNTIFS('تجربه‌گرها'!$B:$B,$A1509,'تجربه‌گرها'!$F:$F,K$1)</f>
        <v>0</v>
      </c>
      <c r="L1509" s="242">
        <f>COUNTIFS('تجربه‌گرها'!$B:$B,$A1509,'تجربه‌گرها'!$F:$F,L$1)</f>
        <v>0</v>
      </c>
      <c r="M1509" s="242">
        <f>COUNTIFS('تجربه‌گرها'!$B:$B,$A1509,'تجربه‌گرها'!$F:$F,M$1)</f>
        <v>0</v>
      </c>
      <c r="N1509" s="242">
        <f>COUNTIFS('تجربه‌گرها'!$B:$B,$A1509,'تجربه‌گرها'!$F:$F,N$1)</f>
        <v>0</v>
      </c>
      <c r="O1509" s="242">
        <f>COUNTIFS('تجربه‌گرها'!$B:$B,$A1509,'تجربه‌گرها'!$F:$F,O$1)</f>
        <v>0</v>
      </c>
      <c r="P1509" s="242">
        <f>COUNTIFS('تجربه‌گرها'!$B:$B,$A1509,'تجربه‌گرها'!$F:$F,P$1)</f>
        <v>0</v>
      </c>
      <c r="Q1509" s="242">
        <f>COUNTIFS('تجربه‌گرها'!$B:$B,$A1509,'تجربه‌گرها'!$F:$F,Q$1)</f>
        <v>0</v>
      </c>
      <c r="R1509" s="242">
        <f>COUNTIFS('تجربه‌گرها'!$B:$B,$A1509,'تجربه‌گرها'!$F:$F,R$1)</f>
        <v>0</v>
      </c>
      <c r="S1509" s="242">
        <f>COUNTIFS('تجربه‌گرها'!$B:$B,$A1509,'تجربه‌گرها'!$F:$F,S$1)</f>
        <v>0</v>
      </c>
      <c r="T1509" s="242">
        <f>COUNTIFS('تجربه‌گرها'!$B:$B,$A1509,'تجربه‌گرها'!$F:$F,T$1)</f>
        <v>1</v>
      </c>
      <c r="U1509" s="242"/>
      <c r="V1509" s="242"/>
      <c r="W1509" s="242"/>
      <c r="X1509" s="242"/>
      <c r="Y1509" s="242"/>
      <c r="Z1509" s="242"/>
      <c r="AA1509" s="242"/>
      <c r="AB1509" s="242"/>
    </row>
    <row r="1510" hidden="1">
      <c r="A1510" s="244" t="s">
        <v>7081</v>
      </c>
      <c r="B1510" s="245" t="str">
        <f>VLOOKUP(A1510,'تجربه‌گرها'!B:C,2,FALSE())</f>
        <v>09126359122</v>
      </c>
      <c r="C1510" s="242"/>
      <c r="D1510" s="242">
        <f t="shared" si="1"/>
        <v>1</v>
      </c>
      <c r="E1510" s="242">
        <f>COUNTIFS('تجربه‌گرها'!$B:$B,$A1510,'تجربه‌گرها'!$F:$F,E$1)</f>
        <v>0</v>
      </c>
      <c r="F1510" s="242">
        <f>COUNTIFS('تجربه‌گرها'!$B:$B,$A1510,'تجربه‌گرها'!$F:$F,F$1)</f>
        <v>0</v>
      </c>
      <c r="G1510" s="242">
        <f>COUNTIFS('تجربه‌گرها'!$B:$B,$A1510,'تجربه‌گرها'!$F:$F,G$1)</f>
        <v>0</v>
      </c>
      <c r="H1510" s="242">
        <f>COUNTIFS('تجربه‌گرها'!$B:$B,$A1510,'تجربه‌گرها'!$F:$F,H$1)</f>
        <v>0</v>
      </c>
      <c r="I1510" s="242">
        <f>COUNTIFS('تجربه‌گرها'!$B:$B,$A1510,'تجربه‌گرها'!$F:$F,I$1)</f>
        <v>0</v>
      </c>
      <c r="J1510" s="242">
        <f>COUNTIFS('تجربه‌گرها'!$B:$B,$A1510,'تجربه‌گرها'!$F:$F,J$1)</f>
        <v>0</v>
      </c>
      <c r="K1510" s="242">
        <f>COUNTIFS('تجربه‌گرها'!$B:$B,$A1510,'تجربه‌گرها'!$F:$F,K$1)</f>
        <v>0</v>
      </c>
      <c r="L1510" s="242">
        <f>COUNTIFS('تجربه‌گرها'!$B:$B,$A1510,'تجربه‌گرها'!$F:$F,L$1)</f>
        <v>0</v>
      </c>
      <c r="M1510" s="242">
        <f>COUNTIFS('تجربه‌گرها'!$B:$B,$A1510,'تجربه‌گرها'!$F:$F,M$1)</f>
        <v>0</v>
      </c>
      <c r="N1510" s="242">
        <f>COUNTIFS('تجربه‌گرها'!$B:$B,$A1510,'تجربه‌گرها'!$F:$F,N$1)</f>
        <v>0</v>
      </c>
      <c r="O1510" s="242">
        <f>COUNTIFS('تجربه‌گرها'!$B:$B,$A1510,'تجربه‌گرها'!$F:$F,O$1)</f>
        <v>0</v>
      </c>
      <c r="P1510" s="242">
        <f>COUNTIFS('تجربه‌گرها'!$B:$B,$A1510,'تجربه‌گرها'!$F:$F,P$1)</f>
        <v>0</v>
      </c>
      <c r="Q1510" s="242">
        <f>COUNTIFS('تجربه‌گرها'!$B:$B,$A1510,'تجربه‌گرها'!$F:$F,Q$1)</f>
        <v>0</v>
      </c>
      <c r="R1510" s="242">
        <f>COUNTIFS('تجربه‌گرها'!$B:$B,$A1510,'تجربه‌گرها'!$F:$F,R$1)</f>
        <v>0</v>
      </c>
      <c r="S1510" s="242">
        <f>COUNTIFS('تجربه‌گرها'!$B:$B,$A1510,'تجربه‌گرها'!$F:$F,S$1)</f>
        <v>0</v>
      </c>
      <c r="T1510" s="242">
        <f>COUNTIFS('تجربه‌گرها'!$B:$B,$A1510,'تجربه‌گرها'!$F:$F,T$1)</f>
        <v>1</v>
      </c>
      <c r="U1510" s="242"/>
      <c r="V1510" s="242"/>
      <c r="W1510" s="242"/>
      <c r="X1510" s="242"/>
      <c r="Y1510" s="242"/>
      <c r="Z1510" s="242"/>
      <c r="AA1510" s="242"/>
      <c r="AB1510" s="242"/>
    </row>
    <row r="1511" hidden="1">
      <c r="A1511" s="244" t="s">
        <v>7086</v>
      </c>
      <c r="B1511" s="245" t="str">
        <f>VLOOKUP(A1511,'تجربه‌گرها'!B:C,2,FALSE())</f>
        <v>09304914951</v>
      </c>
      <c r="C1511" s="242"/>
      <c r="D1511" s="242">
        <f t="shared" si="1"/>
        <v>1</v>
      </c>
      <c r="E1511" s="242">
        <f>COUNTIFS('تجربه‌گرها'!$B:$B,$A1511,'تجربه‌گرها'!$F:$F,E$1)</f>
        <v>0</v>
      </c>
      <c r="F1511" s="242">
        <f>COUNTIFS('تجربه‌گرها'!$B:$B,$A1511,'تجربه‌گرها'!$F:$F,F$1)</f>
        <v>0</v>
      </c>
      <c r="G1511" s="242">
        <f>COUNTIFS('تجربه‌گرها'!$B:$B,$A1511,'تجربه‌گرها'!$F:$F,G$1)</f>
        <v>0</v>
      </c>
      <c r="H1511" s="242">
        <f>COUNTIFS('تجربه‌گرها'!$B:$B,$A1511,'تجربه‌گرها'!$F:$F,H$1)</f>
        <v>0</v>
      </c>
      <c r="I1511" s="242">
        <f>COUNTIFS('تجربه‌گرها'!$B:$B,$A1511,'تجربه‌گرها'!$F:$F,I$1)</f>
        <v>0</v>
      </c>
      <c r="J1511" s="242">
        <f>COUNTIFS('تجربه‌گرها'!$B:$B,$A1511,'تجربه‌گرها'!$F:$F,J$1)</f>
        <v>0</v>
      </c>
      <c r="K1511" s="242">
        <f>COUNTIFS('تجربه‌گرها'!$B:$B,$A1511,'تجربه‌گرها'!$F:$F,K$1)</f>
        <v>0</v>
      </c>
      <c r="L1511" s="242">
        <f>COUNTIFS('تجربه‌گرها'!$B:$B,$A1511,'تجربه‌گرها'!$F:$F,L$1)</f>
        <v>0</v>
      </c>
      <c r="M1511" s="242">
        <f>COUNTIFS('تجربه‌گرها'!$B:$B,$A1511,'تجربه‌گرها'!$F:$F,M$1)</f>
        <v>0</v>
      </c>
      <c r="N1511" s="242">
        <f>COUNTIFS('تجربه‌گرها'!$B:$B,$A1511,'تجربه‌گرها'!$F:$F,N$1)</f>
        <v>0</v>
      </c>
      <c r="O1511" s="242">
        <f>COUNTIFS('تجربه‌گرها'!$B:$B,$A1511,'تجربه‌گرها'!$F:$F,O$1)</f>
        <v>0</v>
      </c>
      <c r="P1511" s="242">
        <f>COUNTIFS('تجربه‌گرها'!$B:$B,$A1511,'تجربه‌گرها'!$F:$F,P$1)</f>
        <v>0</v>
      </c>
      <c r="Q1511" s="242">
        <f>COUNTIFS('تجربه‌گرها'!$B:$B,$A1511,'تجربه‌گرها'!$F:$F,Q$1)</f>
        <v>0</v>
      </c>
      <c r="R1511" s="242">
        <f>COUNTIFS('تجربه‌گرها'!$B:$B,$A1511,'تجربه‌گرها'!$F:$F,R$1)</f>
        <v>0</v>
      </c>
      <c r="S1511" s="242">
        <f>COUNTIFS('تجربه‌گرها'!$B:$B,$A1511,'تجربه‌گرها'!$F:$F,S$1)</f>
        <v>0</v>
      </c>
      <c r="T1511" s="242">
        <f>COUNTIFS('تجربه‌گرها'!$B:$B,$A1511,'تجربه‌گرها'!$F:$F,T$1)</f>
        <v>1</v>
      </c>
      <c r="U1511" s="242"/>
      <c r="V1511" s="242"/>
      <c r="W1511" s="242"/>
      <c r="X1511" s="242"/>
      <c r="Y1511" s="242"/>
      <c r="Z1511" s="242"/>
      <c r="AA1511" s="242"/>
      <c r="AB1511" s="242"/>
    </row>
    <row r="1512" hidden="1">
      <c r="A1512" s="244" t="s">
        <v>7091</v>
      </c>
      <c r="B1512" s="245" t="str">
        <f>VLOOKUP(A1512,'تجربه‌گرها'!B:C,2,FALSE())</f>
        <v>09157571200</v>
      </c>
      <c r="C1512" s="242"/>
      <c r="D1512" s="242">
        <f t="shared" si="1"/>
        <v>1</v>
      </c>
      <c r="E1512" s="242">
        <f>COUNTIFS('تجربه‌گرها'!$B:$B,$A1512,'تجربه‌گرها'!$F:$F,E$1)</f>
        <v>0</v>
      </c>
      <c r="F1512" s="242">
        <f>COUNTIFS('تجربه‌گرها'!$B:$B,$A1512,'تجربه‌گرها'!$F:$F,F$1)</f>
        <v>0</v>
      </c>
      <c r="G1512" s="242">
        <f>COUNTIFS('تجربه‌گرها'!$B:$B,$A1512,'تجربه‌گرها'!$F:$F,G$1)</f>
        <v>0</v>
      </c>
      <c r="H1512" s="242">
        <f>COUNTIFS('تجربه‌گرها'!$B:$B,$A1512,'تجربه‌گرها'!$F:$F,H$1)</f>
        <v>0</v>
      </c>
      <c r="I1512" s="242">
        <f>COUNTIFS('تجربه‌گرها'!$B:$B,$A1512,'تجربه‌گرها'!$F:$F,I$1)</f>
        <v>0</v>
      </c>
      <c r="J1512" s="242">
        <f>COUNTIFS('تجربه‌گرها'!$B:$B,$A1512,'تجربه‌گرها'!$F:$F,J$1)</f>
        <v>0</v>
      </c>
      <c r="K1512" s="242">
        <f>COUNTIFS('تجربه‌گرها'!$B:$B,$A1512,'تجربه‌گرها'!$F:$F,K$1)</f>
        <v>0</v>
      </c>
      <c r="L1512" s="242">
        <f>COUNTIFS('تجربه‌گرها'!$B:$B,$A1512,'تجربه‌گرها'!$F:$F,L$1)</f>
        <v>0</v>
      </c>
      <c r="M1512" s="242">
        <f>COUNTIFS('تجربه‌گرها'!$B:$B,$A1512,'تجربه‌گرها'!$F:$F,M$1)</f>
        <v>0</v>
      </c>
      <c r="N1512" s="242">
        <f>COUNTIFS('تجربه‌گرها'!$B:$B,$A1512,'تجربه‌گرها'!$F:$F,N$1)</f>
        <v>0</v>
      </c>
      <c r="O1512" s="242">
        <f>COUNTIFS('تجربه‌گرها'!$B:$B,$A1512,'تجربه‌گرها'!$F:$F,O$1)</f>
        <v>0</v>
      </c>
      <c r="P1512" s="242">
        <f>COUNTIFS('تجربه‌گرها'!$B:$B,$A1512,'تجربه‌گرها'!$F:$F,P$1)</f>
        <v>0</v>
      </c>
      <c r="Q1512" s="242">
        <f>COUNTIFS('تجربه‌گرها'!$B:$B,$A1512,'تجربه‌گرها'!$F:$F,Q$1)</f>
        <v>0</v>
      </c>
      <c r="R1512" s="242">
        <f>COUNTIFS('تجربه‌گرها'!$B:$B,$A1512,'تجربه‌گرها'!$F:$F,R$1)</f>
        <v>0</v>
      </c>
      <c r="S1512" s="242">
        <f>COUNTIFS('تجربه‌گرها'!$B:$B,$A1512,'تجربه‌گرها'!$F:$F,S$1)</f>
        <v>0</v>
      </c>
      <c r="T1512" s="242">
        <f>COUNTIFS('تجربه‌گرها'!$B:$B,$A1512,'تجربه‌گرها'!$F:$F,T$1)</f>
        <v>1</v>
      </c>
      <c r="U1512" s="242"/>
      <c r="V1512" s="242"/>
      <c r="W1512" s="242"/>
      <c r="X1512" s="242"/>
      <c r="Y1512" s="242"/>
      <c r="Z1512" s="242"/>
      <c r="AA1512" s="242"/>
      <c r="AB1512" s="242"/>
    </row>
    <row r="1513" hidden="1">
      <c r="A1513" s="244" t="s">
        <v>7095</v>
      </c>
      <c r="B1513" s="245" t="str">
        <f>VLOOKUP(A1513,'تجربه‌گرها'!B:C,2,FALSE())</f>
        <v>09190677151</v>
      </c>
      <c r="C1513" s="242"/>
      <c r="D1513" s="242">
        <f t="shared" si="1"/>
        <v>1</v>
      </c>
      <c r="E1513" s="242">
        <f>COUNTIFS('تجربه‌گرها'!$B:$B,$A1513,'تجربه‌گرها'!$F:$F,E$1)</f>
        <v>0</v>
      </c>
      <c r="F1513" s="242">
        <f>COUNTIFS('تجربه‌گرها'!$B:$B,$A1513,'تجربه‌گرها'!$F:$F,F$1)</f>
        <v>0</v>
      </c>
      <c r="G1513" s="242">
        <f>COUNTIFS('تجربه‌گرها'!$B:$B,$A1513,'تجربه‌گرها'!$F:$F,G$1)</f>
        <v>0</v>
      </c>
      <c r="H1513" s="242">
        <f>COUNTIFS('تجربه‌گرها'!$B:$B,$A1513,'تجربه‌گرها'!$F:$F,H$1)</f>
        <v>0</v>
      </c>
      <c r="I1513" s="242">
        <f>COUNTIFS('تجربه‌گرها'!$B:$B,$A1513,'تجربه‌گرها'!$F:$F,I$1)</f>
        <v>0</v>
      </c>
      <c r="J1513" s="242">
        <f>COUNTIFS('تجربه‌گرها'!$B:$B,$A1513,'تجربه‌گرها'!$F:$F,J$1)</f>
        <v>0</v>
      </c>
      <c r="K1513" s="242">
        <f>COUNTIFS('تجربه‌گرها'!$B:$B,$A1513,'تجربه‌گرها'!$F:$F,K$1)</f>
        <v>0</v>
      </c>
      <c r="L1513" s="242">
        <f>COUNTIFS('تجربه‌گرها'!$B:$B,$A1513,'تجربه‌گرها'!$F:$F,L$1)</f>
        <v>0</v>
      </c>
      <c r="M1513" s="242">
        <f>COUNTIFS('تجربه‌گرها'!$B:$B,$A1513,'تجربه‌گرها'!$F:$F,M$1)</f>
        <v>0</v>
      </c>
      <c r="N1513" s="242">
        <f>COUNTIFS('تجربه‌گرها'!$B:$B,$A1513,'تجربه‌گرها'!$F:$F,N$1)</f>
        <v>0</v>
      </c>
      <c r="O1513" s="242">
        <f>COUNTIFS('تجربه‌گرها'!$B:$B,$A1513,'تجربه‌گرها'!$F:$F,O$1)</f>
        <v>0</v>
      </c>
      <c r="P1513" s="242">
        <f>COUNTIFS('تجربه‌گرها'!$B:$B,$A1513,'تجربه‌گرها'!$F:$F,P$1)</f>
        <v>0</v>
      </c>
      <c r="Q1513" s="242">
        <f>COUNTIFS('تجربه‌گرها'!$B:$B,$A1513,'تجربه‌گرها'!$F:$F,Q$1)</f>
        <v>0</v>
      </c>
      <c r="R1513" s="242">
        <f>COUNTIFS('تجربه‌گرها'!$B:$B,$A1513,'تجربه‌گرها'!$F:$F,R$1)</f>
        <v>0</v>
      </c>
      <c r="S1513" s="242">
        <f>COUNTIFS('تجربه‌گرها'!$B:$B,$A1513,'تجربه‌گرها'!$F:$F,S$1)</f>
        <v>0</v>
      </c>
      <c r="T1513" s="242">
        <f>COUNTIFS('تجربه‌گرها'!$B:$B,$A1513,'تجربه‌گرها'!$F:$F,T$1)</f>
        <v>1</v>
      </c>
      <c r="U1513" s="242"/>
      <c r="V1513" s="242"/>
      <c r="W1513" s="242"/>
      <c r="X1513" s="242"/>
      <c r="Y1513" s="242"/>
      <c r="Z1513" s="242"/>
      <c r="AA1513" s="242"/>
      <c r="AB1513" s="242"/>
    </row>
    <row r="1514" hidden="1">
      <c r="A1514" s="244" t="s">
        <v>7100</v>
      </c>
      <c r="B1514" s="245" t="str">
        <f>VLOOKUP(A1514,'تجربه‌گرها'!B:C,2,FALSE())</f>
        <v>09192413296</v>
      </c>
      <c r="C1514" s="242"/>
      <c r="D1514" s="242">
        <f t="shared" si="1"/>
        <v>1</v>
      </c>
      <c r="E1514" s="242">
        <f>COUNTIFS('تجربه‌گرها'!$B:$B,$A1514,'تجربه‌گرها'!$F:$F,E$1)</f>
        <v>0</v>
      </c>
      <c r="F1514" s="242">
        <f>COUNTIFS('تجربه‌گرها'!$B:$B,$A1514,'تجربه‌گرها'!$F:$F,F$1)</f>
        <v>0</v>
      </c>
      <c r="G1514" s="242">
        <f>COUNTIFS('تجربه‌گرها'!$B:$B,$A1514,'تجربه‌گرها'!$F:$F,G$1)</f>
        <v>0</v>
      </c>
      <c r="H1514" s="242">
        <f>COUNTIFS('تجربه‌گرها'!$B:$B,$A1514,'تجربه‌گرها'!$F:$F,H$1)</f>
        <v>0</v>
      </c>
      <c r="I1514" s="242">
        <f>COUNTIFS('تجربه‌گرها'!$B:$B,$A1514,'تجربه‌گرها'!$F:$F,I$1)</f>
        <v>0</v>
      </c>
      <c r="J1514" s="242">
        <f>COUNTIFS('تجربه‌گرها'!$B:$B,$A1514,'تجربه‌گرها'!$F:$F,J$1)</f>
        <v>0</v>
      </c>
      <c r="K1514" s="242">
        <f>COUNTIFS('تجربه‌گرها'!$B:$B,$A1514,'تجربه‌گرها'!$F:$F,K$1)</f>
        <v>0</v>
      </c>
      <c r="L1514" s="242">
        <f>COUNTIFS('تجربه‌گرها'!$B:$B,$A1514,'تجربه‌گرها'!$F:$F,L$1)</f>
        <v>0</v>
      </c>
      <c r="M1514" s="242">
        <f>COUNTIFS('تجربه‌گرها'!$B:$B,$A1514,'تجربه‌گرها'!$F:$F,M$1)</f>
        <v>0</v>
      </c>
      <c r="N1514" s="242">
        <f>COUNTIFS('تجربه‌گرها'!$B:$B,$A1514,'تجربه‌گرها'!$F:$F,N$1)</f>
        <v>0</v>
      </c>
      <c r="O1514" s="242">
        <f>COUNTIFS('تجربه‌گرها'!$B:$B,$A1514,'تجربه‌گرها'!$F:$F,O$1)</f>
        <v>0</v>
      </c>
      <c r="P1514" s="242">
        <f>COUNTIFS('تجربه‌گرها'!$B:$B,$A1514,'تجربه‌گرها'!$F:$F,P$1)</f>
        <v>0</v>
      </c>
      <c r="Q1514" s="242">
        <f>COUNTIFS('تجربه‌گرها'!$B:$B,$A1514,'تجربه‌گرها'!$F:$F,Q$1)</f>
        <v>0</v>
      </c>
      <c r="R1514" s="242">
        <f>COUNTIFS('تجربه‌گرها'!$B:$B,$A1514,'تجربه‌گرها'!$F:$F,R$1)</f>
        <v>0</v>
      </c>
      <c r="S1514" s="242">
        <f>COUNTIFS('تجربه‌گرها'!$B:$B,$A1514,'تجربه‌گرها'!$F:$F,S$1)</f>
        <v>0</v>
      </c>
      <c r="T1514" s="242">
        <f>COUNTIFS('تجربه‌گرها'!$B:$B,$A1514,'تجربه‌گرها'!$F:$F,T$1)</f>
        <v>1</v>
      </c>
      <c r="U1514" s="242"/>
      <c r="V1514" s="242"/>
      <c r="W1514" s="242"/>
      <c r="X1514" s="242"/>
      <c r="Y1514" s="242"/>
      <c r="Z1514" s="242"/>
      <c r="AA1514" s="242"/>
      <c r="AB1514" s="242"/>
    </row>
    <row r="1515" hidden="1">
      <c r="A1515" s="244" t="s">
        <v>7105</v>
      </c>
      <c r="B1515" s="245" t="str">
        <f>VLOOKUP(A1515,'تجربه‌گرها'!B:C,2,FALSE())</f>
        <v>09128133197</v>
      </c>
      <c r="C1515" s="242"/>
      <c r="D1515" s="242">
        <f t="shared" si="1"/>
        <v>1</v>
      </c>
      <c r="E1515" s="242">
        <f>COUNTIFS('تجربه‌گرها'!$B:$B,$A1515,'تجربه‌گرها'!$F:$F,E$1)</f>
        <v>0</v>
      </c>
      <c r="F1515" s="242">
        <f>COUNTIFS('تجربه‌گرها'!$B:$B,$A1515,'تجربه‌گرها'!$F:$F,F$1)</f>
        <v>0</v>
      </c>
      <c r="G1515" s="242">
        <f>COUNTIFS('تجربه‌گرها'!$B:$B,$A1515,'تجربه‌گرها'!$F:$F,G$1)</f>
        <v>0</v>
      </c>
      <c r="H1515" s="242">
        <f>COUNTIFS('تجربه‌گرها'!$B:$B,$A1515,'تجربه‌گرها'!$F:$F,H$1)</f>
        <v>0</v>
      </c>
      <c r="I1515" s="242">
        <f>COUNTIFS('تجربه‌گرها'!$B:$B,$A1515,'تجربه‌گرها'!$F:$F,I$1)</f>
        <v>0</v>
      </c>
      <c r="J1515" s="242">
        <f>COUNTIFS('تجربه‌گرها'!$B:$B,$A1515,'تجربه‌گرها'!$F:$F,J$1)</f>
        <v>0</v>
      </c>
      <c r="K1515" s="242">
        <f>COUNTIFS('تجربه‌گرها'!$B:$B,$A1515,'تجربه‌گرها'!$F:$F,K$1)</f>
        <v>0</v>
      </c>
      <c r="L1515" s="242">
        <f>COUNTIFS('تجربه‌گرها'!$B:$B,$A1515,'تجربه‌گرها'!$F:$F,L$1)</f>
        <v>0</v>
      </c>
      <c r="M1515" s="242">
        <f>COUNTIFS('تجربه‌گرها'!$B:$B,$A1515,'تجربه‌گرها'!$F:$F,M$1)</f>
        <v>0</v>
      </c>
      <c r="N1515" s="242">
        <f>COUNTIFS('تجربه‌گرها'!$B:$B,$A1515,'تجربه‌گرها'!$F:$F,N$1)</f>
        <v>0</v>
      </c>
      <c r="O1515" s="242">
        <f>COUNTIFS('تجربه‌گرها'!$B:$B,$A1515,'تجربه‌گرها'!$F:$F,O$1)</f>
        <v>0</v>
      </c>
      <c r="P1515" s="242">
        <f>COUNTIFS('تجربه‌گرها'!$B:$B,$A1515,'تجربه‌گرها'!$F:$F,P$1)</f>
        <v>0</v>
      </c>
      <c r="Q1515" s="242">
        <f>COUNTIFS('تجربه‌گرها'!$B:$B,$A1515,'تجربه‌گرها'!$F:$F,Q$1)</f>
        <v>0</v>
      </c>
      <c r="R1515" s="242">
        <f>COUNTIFS('تجربه‌گرها'!$B:$B,$A1515,'تجربه‌گرها'!$F:$F,R$1)</f>
        <v>0</v>
      </c>
      <c r="S1515" s="242">
        <f>COUNTIFS('تجربه‌گرها'!$B:$B,$A1515,'تجربه‌گرها'!$F:$F,S$1)</f>
        <v>0</v>
      </c>
      <c r="T1515" s="242">
        <f>COUNTIFS('تجربه‌گرها'!$B:$B,$A1515,'تجربه‌گرها'!$F:$F,T$1)</f>
        <v>1</v>
      </c>
      <c r="U1515" s="242"/>
      <c r="V1515" s="242"/>
      <c r="W1515" s="242"/>
      <c r="X1515" s="242"/>
      <c r="Y1515" s="242"/>
      <c r="Z1515" s="242"/>
      <c r="AA1515" s="242"/>
      <c r="AB1515" s="242"/>
    </row>
    <row r="1516" hidden="1">
      <c r="A1516" s="244" t="s">
        <v>7109</v>
      </c>
      <c r="B1516" s="245" t="str">
        <f>VLOOKUP(A1516,'تجربه‌گرها'!B:C,2,FALSE())</f>
        <v>09024852157</v>
      </c>
      <c r="C1516" s="242"/>
      <c r="D1516" s="242">
        <f t="shared" si="1"/>
        <v>1</v>
      </c>
      <c r="E1516" s="242">
        <f>COUNTIFS('تجربه‌گرها'!$B:$B,$A1516,'تجربه‌گرها'!$F:$F,E$1)</f>
        <v>0</v>
      </c>
      <c r="F1516" s="242">
        <f>COUNTIFS('تجربه‌گرها'!$B:$B,$A1516,'تجربه‌گرها'!$F:$F,F$1)</f>
        <v>0</v>
      </c>
      <c r="G1516" s="242">
        <f>COUNTIFS('تجربه‌گرها'!$B:$B,$A1516,'تجربه‌گرها'!$F:$F,G$1)</f>
        <v>0</v>
      </c>
      <c r="H1516" s="242">
        <f>COUNTIFS('تجربه‌گرها'!$B:$B,$A1516,'تجربه‌گرها'!$F:$F,H$1)</f>
        <v>0</v>
      </c>
      <c r="I1516" s="242">
        <f>COUNTIFS('تجربه‌گرها'!$B:$B,$A1516,'تجربه‌گرها'!$F:$F,I$1)</f>
        <v>0</v>
      </c>
      <c r="J1516" s="242">
        <f>COUNTIFS('تجربه‌گرها'!$B:$B,$A1516,'تجربه‌گرها'!$F:$F,J$1)</f>
        <v>0</v>
      </c>
      <c r="K1516" s="242">
        <f>COUNTIFS('تجربه‌گرها'!$B:$B,$A1516,'تجربه‌گرها'!$F:$F,K$1)</f>
        <v>0</v>
      </c>
      <c r="L1516" s="242">
        <f>COUNTIFS('تجربه‌گرها'!$B:$B,$A1516,'تجربه‌گرها'!$F:$F,L$1)</f>
        <v>0</v>
      </c>
      <c r="M1516" s="242">
        <f>COUNTIFS('تجربه‌گرها'!$B:$B,$A1516,'تجربه‌گرها'!$F:$F,M$1)</f>
        <v>0</v>
      </c>
      <c r="N1516" s="242">
        <f>COUNTIFS('تجربه‌گرها'!$B:$B,$A1516,'تجربه‌گرها'!$F:$F,N$1)</f>
        <v>0</v>
      </c>
      <c r="O1516" s="242">
        <f>COUNTIFS('تجربه‌گرها'!$B:$B,$A1516,'تجربه‌گرها'!$F:$F,O$1)</f>
        <v>0</v>
      </c>
      <c r="P1516" s="242">
        <f>COUNTIFS('تجربه‌گرها'!$B:$B,$A1516,'تجربه‌گرها'!$F:$F,P$1)</f>
        <v>0</v>
      </c>
      <c r="Q1516" s="242">
        <f>COUNTIFS('تجربه‌گرها'!$B:$B,$A1516,'تجربه‌گرها'!$F:$F,Q$1)</f>
        <v>0</v>
      </c>
      <c r="R1516" s="242">
        <f>COUNTIFS('تجربه‌گرها'!$B:$B,$A1516,'تجربه‌گرها'!$F:$F,R$1)</f>
        <v>0</v>
      </c>
      <c r="S1516" s="242">
        <f>COUNTIFS('تجربه‌گرها'!$B:$B,$A1516,'تجربه‌گرها'!$F:$F,S$1)</f>
        <v>0</v>
      </c>
      <c r="T1516" s="242">
        <f>COUNTIFS('تجربه‌گرها'!$B:$B,$A1516,'تجربه‌گرها'!$F:$F,T$1)</f>
        <v>1</v>
      </c>
      <c r="U1516" s="242"/>
      <c r="V1516" s="242"/>
      <c r="W1516" s="242"/>
      <c r="X1516" s="242"/>
      <c r="Y1516" s="242"/>
      <c r="Z1516" s="242"/>
      <c r="AA1516" s="242"/>
      <c r="AB1516" s="242"/>
    </row>
    <row r="1517" hidden="1">
      <c r="A1517" s="244" t="s">
        <v>7113</v>
      </c>
      <c r="B1517" s="245" t="str">
        <f>VLOOKUP(A1517,'تجربه‌گرها'!B:C,2,FALSE())</f>
        <v>09127522603</v>
      </c>
      <c r="C1517" s="242"/>
      <c r="D1517" s="242">
        <f t="shared" si="1"/>
        <v>1</v>
      </c>
      <c r="E1517" s="242">
        <f>COUNTIFS('تجربه‌گرها'!$B:$B,$A1517,'تجربه‌گرها'!$F:$F,E$1)</f>
        <v>0</v>
      </c>
      <c r="F1517" s="242">
        <f>COUNTIFS('تجربه‌گرها'!$B:$B,$A1517,'تجربه‌گرها'!$F:$F,F$1)</f>
        <v>0</v>
      </c>
      <c r="G1517" s="242">
        <f>COUNTIFS('تجربه‌گرها'!$B:$B,$A1517,'تجربه‌گرها'!$F:$F,G$1)</f>
        <v>0</v>
      </c>
      <c r="H1517" s="242">
        <f>COUNTIFS('تجربه‌گرها'!$B:$B,$A1517,'تجربه‌گرها'!$F:$F,H$1)</f>
        <v>0</v>
      </c>
      <c r="I1517" s="242">
        <f>COUNTIFS('تجربه‌گرها'!$B:$B,$A1517,'تجربه‌گرها'!$F:$F,I$1)</f>
        <v>0</v>
      </c>
      <c r="J1517" s="242">
        <f>COUNTIFS('تجربه‌گرها'!$B:$B,$A1517,'تجربه‌گرها'!$F:$F,J$1)</f>
        <v>0</v>
      </c>
      <c r="K1517" s="242">
        <f>COUNTIFS('تجربه‌گرها'!$B:$B,$A1517,'تجربه‌گرها'!$F:$F,K$1)</f>
        <v>0</v>
      </c>
      <c r="L1517" s="242">
        <f>COUNTIFS('تجربه‌گرها'!$B:$B,$A1517,'تجربه‌گرها'!$F:$F,L$1)</f>
        <v>0</v>
      </c>
      <c r="M1517" s="242">
        <f>COUNTIFS('تجربه‌گرها'!$B:$B,$A1517,'تجربه‌گرها'!$F:$F,M$1)</f>
        <v>0</v>
      </c>
      <c r="N1517" s="242">
        <f>COUNTIFS('تجربه‌گرها'!$B:$B,$A1517,'تجربه‌گرها'!$F:$F,N$1)</f>
        <v>0</v>
      </c>
      <c r="O1517" s="242">
        <f>COUNTIFS('تجربه‌گرها'!$B:$B,$A1517,'تجربه‌گرها'!$F:$F,O$1)</f>
        <v>0</v>
      </c>
      <c r="P1517" s="242">
        <f>COUNTIFS('تجربه‌گرها'!$B:$B,$A1517,'تجربه‌گرها'!$F:$F,P$1)</f>
        <v>0</v>
      </c>
      <c r="Q1517" s="242">
        <f>COUNTIFS('تجربه‌گرها'!$B:$B,$A1517,'تجربه‌گرها'!$F:$F,Q$1)</f>
        <v>0</v>
      </c>
      <c r="R1517" s="242">
        <f>COUNTIFS('تجربه‌گرها'!$B:$B,$A1517,'تجربه‌گرها'!$F:$F,R$1)</f>
        <v>0</v>
      </c>
      <c r="S1517" s="242">
        <f>COUNTIFS('تجربه‌گرها'!$B:$B,$A1517,'تجربه‌گرها'!$F:$F,S$1)</f>
        <v>0</v>
      </c>
      <c r="T1517" s="242">
        <f>COUNTIFS('تجربه‌گرها'!$B:$B,$A1517,'تجربه‌گرها'!$F:$F,T$1)</f>
        <v>1</v>
      </c>
      <c r="U1517" s="242"/>
      <c r="V1517" s="242"/>
      <c r="W1517" s="242"/>
      <c r="X1517" s="242"/>
      <c r="Y1517" s="242"/>
      <c r="Z1517" s="242"/>
      <c r="AA1517" s="242"/>
      <c r="AB1517" s="242"/>
    </row>
    <row r="1518" hidden="1">
      <c r="A1518" s="244" t="s">
        <v>7118</v>
      </c>
      <c r="B1518" s="245" t="str">
        <f>VLOOKUP(A1518,'تجربه‌گرها'!B:C,2,FALSE())</f>
        <v>09151877035</v>
      </c>
      <c r="C1518" s="242"/>
      <c r="D1518" s="242">
        <f t="shared" si="1"/>
        <v>1</v>
      </c>
      <c r="E1518" s="242">
        <f>COUNTIFS('تجربه‌گرها'!$B:$B,$A1518,'تجربه‌گرها'!$F:$F,E$1)</f>
        <v>0</v>
      </c>
      <c r="F1518" s="242">
        <f>COUNTIFS('تجربه‌گرها'!$B:$B,$A1518,'تجربه‌گرها'!$F:$F,F$1)</f>
        <v>0</v>
      </c>
      <c r="G1518" s="242">
        <f>COUNTIFS('تجربه‌گرها'!$B:$B,$A1518,'تجربه‌گرها'!$F:$F,G$1)</f>
        <v>0</v>
      </c>
      <c r="H1518" s="242">
        <f>COUNTIFS('تجربه‌گرها'!$B:$B,$A1518,'تجربه‌گرها'!$F:$F,H$1)</f>
        <v>0</v>
      </c>
      <c r="I1518" s="242">
        <f>COUNTIFS('تجربه‌گرها'!$B:$B,$A1518,'تجربه‌گرها'!$F:$F,I$1)</f>
        <v>0</v>
      </c>
      <c r="J1518" s="242">
        <f>COUNTIFS('تجربه‌گرها'!$B:$B,$A1518,'تجربه‌گرها'!$F:$F,J$1)</f>
        <v>0</v>
      </c>
      <c r="K1518" s="242">
        <f>COUNTIFS('تجربه‌گرها'!$B:$B,$A1518,'تجربه‌گرها'!$F:$F,K$1)</f>
        <v>0</v>
      </c>
      <c r="L1518" s="242">
        <f>COUNTIFS('تجربه‌گرها'!$B:$B,$A1518,'تجربه‌گرها'!$F:$F,L$1)</f>
        <v>0</v>
      </c>
      <c r="M1518" s="242">
        <f>COUNTIFS('تجربه‌گرها'!$B:$B,$A1518,'تجربه‌گرها'!$F:$F,M$1)</f>
        <v>0</v>
      </c>
      <c r="N1518" s="242">
        <f>COUNTIFS('تجربه‌گرها'!$B:$B,$A1518,'تجربه‌گرها'!$F:$F,N$1)</f>
        <v>0</v>
      </c>
      <c r="O1518" s="242">
        <f>COUNTIFS('تجربه‌گرها'!$B:$B,$A1518,'تجربه‌گرها'!$F:$F,O$1)</f>
        <v>0</v>
      </c>
      <c r="P1518" s="242">
        <f>COUNTIFS('تجربه‌گرها'!$B:$B,$A1518,'تجربه‌گرها'!$F:$F,P$1)</f>
        <v>0</v>
      </c>
      <c r="Q1518" s="242">
        <f>COUNTIFS('تجربه‌گرها'!$B:$B,$A1518,'تجربه‌گرها'!$F:$F,Q$1)</f>
        <v>0</v>
      </c>
      <c r="R1518" s="242">
        <f>COUNTIFS('تجربه‌گرها'!$B:$B,$A1518,'تجربه‌گرها'!$F:$F,R$1)</f>
        <v>0</v>
      </c>
      <c r="S1518" s="242">
        <f>COUNTIFS('تجربه‌گرها'!$B:$B,$A1518,'تجربه‌گرها'!$F:$F,S$1)</f>
        <v>0</v>
      </c>
      <c r="T1518" s="242">
        <f>COUNTIFS('تجربه‌گرها'!$B:$B,$A1518,'تجربه‌گرها'!$F:$F,T$1)</f>
        <v>1</v>
      </c>
      <c r="U1518" s="242"/>
      <c r="V1518" s="242"/>
      <c r="W1518" s="242"/>
      <c r="X1518" s="242"/>
      <c r="Y1518" s="242"/>
      <c r="Z1518" s="242"/>
      <c r="AA1518" s="242"/>
      <c r="AB1518" s="242"/>
    </row>
    <row r="1519" hidden="1">
      <c r="A1519" s="244" t="s">
        <v>7124</v>
      </c>
      <c r="B1519" s="245" t="str">
        <f>VLOOKUP(A1519,'تجربه‌گرها'!B:C,2,FALSE())</f>
        <v>09125984866</v>
      </c>
      <c r="C1519" s="242"/>
      <c r="D1519" s="242">
        <f t="shared" si="1"/>
        <v>1</v>
      </c>
      <c r="E1519" s="242">
        <f>COUNTIFS('تجربه‌گرها'!$B:$B,$A1519,'تجربه‌گرها'!$F:$F,E$1)</f>
        <v>0</v>
      </c>
      <c r="F1519" s="242">
        <f>COUNTIFS('تجربه‌گرها'!$B:$B,$A1519,'تجربه‌گرها'!$F:$F,F$1)</f>
        <v>0</v>
      </c>
      <c r="G1519" s="242">
        <f>COUNTIFS('تجربه‌گرها'!$B:$B,$A1519,'تجربه‌گرها'!$F:$F,G$1)</f>
        <v>0</v>
      </c>
      <c r="H1519" s="242">
        <f>COUNTIFS('تجربه‌گرها'!$B:$B,$A1519,'تجربه‌گرها'!$F:$F,H$1)</f>
        <v>0</v>
      </c>
      <c r="I1519" s="242">
        <f>COUNTIFS('تجربه‌گرها'!$B:$B,$A1519,'تجربه‌گرها'!$F:$F,I$1)</f>
        <v>0</v>
      </c>
      <c r="J1519" s="242">
        <f>COUNTIFS('تجربه‌گرها'!$B:$B,$A1519,'تجربه‌گرها'!$F:$F,J$1)</f>
        <v>0</v>
      </c>
      <c r="K1519" s="242">
        <f>COUNTIFS('تجربه‌گرها'!$B:$B,$A1519,'تجربه‌گرها'!$F:$F,K$1)</f>
        <v>0</v>
      </c>
      <c r="L1519" s="242">
        <f>COUNTIFS('تجربه‌گرها'!$B:$B,$A1519,'تجربه‌گرها'!$F:$F,L$1)</f>
        <v>0</v>
      </c>
      <c r="M1519" s="242">
        <f>COUNTIFS('تجربه‌گرها'!$B:$B,$A1519,'تجربه‌گرها'!$F:$F,M$1)</f>
        <v>0</v>
      </c>
      <c r="N1519" s="242">
        <f>COUNTIFS('تجربه‌گرها'!$B:$B,$A1519,'تجربه‌گرها'!$F:$F,N$1)</f>
        <v>0</v>
      </c>
      <c r="O1519" s="242">
        <f>COUNTIFS('تجربه‌گرها'!$B:$B,$A1519,'تجربه‌گرها'!$F:$F,O$1)</f>
        <v>0</v>
      </c>
      <c r="P1519" s="242">
        <f>COUNTIFS('تجربه‌گرها'!$B:$B,$A1519,'تجربه‌گرها'!$F:$F,P$1)</f>
        <v>0</v>
      </c>
      <c r="Q1519" s="242">
        <f>COUNTIFS('تجربه‌گرها'!$B:$B,$A1519,'تجربه‌گرها'!$F:$F,Q$1)</f>
        <v>0</v>
      </c>
      <c r="R1519" s="242">
        <f>COUNTIFS('تجربه‌گرها'!$B:$B,$A1519,'تجربه‌گرها'!$F:$F,R$1)</f>
        <v>0</v>
      </c>
      <c r="S1519" s="242">
        <f>COUNTIFS('تجربه‌گرها'!$B:$B,$A1519,'تجربه‌گرها'!$F:$F,S$1)</f>
        <v>0</v>
      </c>
      <c r="T1519" s="242">
        <f>COUNTIFS('تجربه‌گرها'!$B:$B,$A1519,'تجربه‌گرها'!$F:$F,T$1)</f>
        <v>1</v>
      </c>
      <c r="U1519" s="242"/>
      <c r="V1519" s="242"/>
      <c r="W1519" s="242"/>
      <c r="X1519" s="242"/>
      <c r="Y1519" s="242"/>
      <c r="Z1519" s="242"/>
      <c r="AA1519" s="242"/>
      <c r="AB1519" s="242"/>
    </row>
    <row r="1520" hidden="1">
      <c r="A1520" s="244" t="s">
        <v>7128</v>
      </c>
      <c r="B1520" s="245" t="str">
        <f>VLOOKUP(A1520,'تجربه‌گرها'!B:C,2,FALSE())</f>
        <v>09127217935</v>
      </c>
      <c r="C1520" s="242"/>
      <c r="D1520" s="242">
        <f t="shared" si="1"/>
        <v>1</v>
      </c>
      <c r="E1520" s="242">
        <f>COUNTIFS('تجربه‌گرها'!$B:$B,$A1520,'تجربه‌گرها'!$F:$F,E$1)</f>
        <v>0</v>
      </c>
      <c r="F1520" s="242">
        <f>COUNTIFS('تجربه‌گرها'!$B:$B,$A1520,'تجربه‌گرها'!$F:$F,F$1)</f>
        <v>0</v>
      </c>
      <c r="G1520" s="242">
        <f>COUNTIFS('تجربه‌گرها'!$B:$B,$A1520,'تجربه‌گرها'!$F:$F,G$1)</f>
        <v>0</v>
      </c>
      <c r="H1520" s="242">
        <f>COUNTIFS('تجربه‌گرها'!$B:$B,$A1520,'تجربه‌گرها'!$F:$F,H$1)</f>
        <v>0</v>
      </c>
      <c r="I1520" s="242">
        <f>COUNTIFS('تجربه‌گرها'!$B:$B,$A1520,'تجربه‌گرها'!$F:$F,I$1)</f>
        <v>0</v>
      </c>
      <c r="J1520" s="242">
        <f>COUNTIFS('تجربه‌گرها'!$B:$B,$A1520,'تجربه‌گرها'!$F:$F,J$1)</f>
        <v>0</v>
      </c>
      <c r="K1520" s="242">
        <f>COUNTIFS('تجربه‌گرها'!$B:$B,$A1520,'تجربه‌گرها'!$F:$F,K$1)</f>
        <v>0</v>
      </c>
      <c r="L1520" s="242">
        <f>COUNTIFS('تجربه‌گرها'!$B:$B,$A1520,'تجربه‌گرها'!$F:$F,L$1)</f>
        <v>0</v>
      </c>
      <c r="M1520" s="242">
        <f>COUNTIFS('تجربه‌گرها'!$B:$B,$A1520,'تجربه‌گرها'!$F:$F,M$1)</f>
        <v>0</v>
      </c>
      <c r="N1520" s="242">
        <f>COUNTIFS('تجربه‌گرها'!$B:$B,$A1520,'تجربه‌گرها'!$F:$F,N$1)</f>
        <v>0</v>
      </c>
      <c r="O1520" s="242">
        <f>COUNTIFS('تجربه‌گرها'!$B:$B,$A1520,'تجربه‌گرها'!$F:$F,O$1)</f>
        <v>0</v>
      </c>
      <c r="P1520" s="242">
        <f>COUNTIFS('تجربه‌گرها'!$B:$B,$A1520,'تجربه‌گرها'!$F:$F,P$1)</f>
        <v>0</v>
      </c>
      <c r="Q1520" s="242">
        <f>COUNTIFS('تجربه‌گرها'!$B:$B,$A1520,'تجربه‌گرها'!$F:$F,Q$1)</f>
        <v>0</v>
      </c>
      <c r="R1520" s="242">
        <f>COUNTIFS('تجربه‌گرها'!$B:$B,$A1520,'تجربه‌گرها'!$F:$F,R$1)</f>
        <v>0</v>
      </c>
      <c r="S1520" s="242">
        <f>COUNTIFS('تجربه‌گرها'!$B:$B,$A1520,'تجربه‌گرها'!$F:$F,S$1)</f>
        <v>0</v>
      </c>
      <c r="T1520" s="242">
        <f>COUNTIFS('تجربه‌گرها'!$B:$B,$A1520,'تجربه‌گرها'!$F:$F,T$1)</f>
        <v>1</v>
      </c>
      <c r="U1520" s="242"/>
      <c r="V1520" s="242"/>
      <c r="W1520" s="242"/>
      <c r="X1520" s="242"/>
      <c r="Y1520" s="242"/>
      <c r="Z1520" s="242"/>
      <c r="AA1520" s="242"/>
      <c r="AB1520" s="242"/>
    </row>
    <row r="1521" hidden="1">
      <c r="A1521" s="244" t="s">
        <v>7132</v>
      </c>
      <c r="B1521" s="245" t="str">
        <f>VLOOKUP(A1521,'تجربه‌گرها'!B:C,2,FALSE())</f>
        <v>09158859790</v>
      </c>
      <c r="C1521" s="242"/>
      <c r="D1521" s="242">
        <f t="shared" si="1"/>
        <v>1</v>
      </c>
      <c r="E1521" s="242">
        <f>COUNTIFS('تجربه‌گرها'!$B:$B,$A1521,'تجربه‌گرها'!$F:$F,E$1)</f>
        <v>0</v>
      </c>
      <c r="F1521" s="242">
        <f>COUNTIFS('تجربه‌گرها'!$B:$B,$A1521,'تجربه‌گرها'!$F:$F,F$1)</f>
        <v>0</v>
      </c>
      <c r="G1521" s="242">
        <f>COUNTIFS('تجربه‌گرها'!$B:$B,$A1521,'تجربه‌گرها'!$F:$F,G$1)</f>
        <v>0</v>
      </c>
      <c r="H1521" s="242">
        <f>COUNTIFS('تجربه‌گرها'!$B:$B,$A1521,'تجربه‌گرها'!$F:$F,H$1)</f>
        <v>0</v>
      </c>
      <c r="I1521" s="242">
        <f>COUNTIFS('تجربه‌گرها'!$B:$B,$A1521,'تجربه‌گرها'!$F:$F,I$1)</f>
        <v>0</v>
      </c>
      <c r="J1521" s="242">
        <f>COUNTIFS('تجربه‌گرها'!$B:$B,$A1521,'تجربه‌گرها'!$F:$F,J$1)</f>
        <v>0</v>
      </c>
      <c r="K1521" s="242">
        <f>COUNTIFS('تجربه‌گرها'!$B:$B,$A1521,'تجربه‌گرها'!$F:$F,K$1)</f>
        <v>0</v>
      </c>
      <c r="L1521" s="242">
        <f>COUNTIFS('تجربه‌گرها'!$B:$B,$A1521,'تجربه‌گرها'!$F:$F,L$1)</f>
        <v>0</v>
      </c>
      <c r="M1521" s="242">
        <f>COUNTIFS('تجربه‌گرها'!$B:$B,$A1521,'تجربه‌گرها'!$F:$F,M$1)</f>
        <v>0</v>
      </c>
      <c r="N1521" s="242">
        <f>COUNTIFS('تجربه‌گرها'!$B:$B,$A1521,'تجربه‌گرها'!$F:$F,N$1)</f>
        <v>0</v>
      </c>
      <c r="O1521" s="242">
        <f>COUNTIFS('تجربه‌گرها'!$B:$B,$A1521,'تجربه‌گرها'!$F:$F,O$1)</f>
        <v>0</v>
      </c>
      <c r="P1521" s="242">
        <f>COUNTIFS('تجربه‌گرها'!$B:$B,$A1521,'تجربه‌گرها'!$F:$F,P$1)</f>
        <v>0</v>
      </c>
      <c r="Q1521" s="242">
        <f>COUNTIFS('تجربه‌گرها'!$B:$B,$A1521,'تجربه‌گرها'!$F:$F,Q$1)</f>
        <v>0</v>
      </c>
      <c r="R1521" s="242">
        <f>COUNTIFS('تجربه‌گرها'!$B:$B,$A1521,'تجربه‌گرها'!$F:$F,R$1)</f>
        <v>0</v>
      </c>
      <c r="S1521" s="242">
        <f>COUNTIFS('تجربه‌گرها'!$B:$B,$A1521,'تجربه‌گرها'!$F:$F,S$1)</f>
        <v>0</v>
      </c>
      <c r="T1521" s="242">
        <f>COUNTIFS('تجربه‌گرها'!$B:$B,$A1521,'تجربه‌گرها'!$F:$F,T$1)</f>
        <v>1</v>
      </c>
      <c r="U1521" s="242"/>
      <c r="V1521" s="242"/>
      <c r="W1521" s="242"/>
      <c r="X1521" s="242"/>
      <c r="Y1521" s="242"/>
      <c r="Z1521" s="242"/>
      <c r="AA1521" s="242"/>
      <c r="AB1521" s="242"/>
    </row>
    <row r="1522" hidden="1">
      <c r="A1522" s="244" t="s">
        <v>7137</v>
      </c>
      <c r="B1522" s="245" t="str">
        <f>VLOOKUP(A1522,'تجربه‌گرها'!B:C,2,FALSE())</f>
        <v>09027223818</v>
      </c>
      <c r="C1522" s="242"/>
      <c r="D1522" s="242">
        <f t="shared" si="1"/>
        <v>1</v>
      </c>
      <c r="E1522" s="242">
        <f>COUNTIFS('تجربه‌گرها'!$B:$B,$A1522,'تجربه‌گرها'!$F:$F,E$1)</f>
        <v>0</v>
      </c>
      <c r="F1522" s="242">
        <f>COUNTIFS('تجربه‌گرها'!$B:$B,$A1522,'تجربه‌گرها'!$F:$F,F$1)</f>
        <v>0</v>
      </c>
      <c r="G1522" s="242">
        <f>COUNTIFS('تجربه‌گرها'!$B:$B,$A1522,'تجربه‌گرها'!$F:$F,G$1)</f>
        <v>0</v>
      </c>
      <c r="H1522" s="242">
        <f>COUNTIFS('تجربه‌گرها'!$B:$B,$A1522,'تجربه‌گرها'!$F:$F,H$1)</f>
        <v>0</v>
      </c>
      <c r="I1522" s="242">
        <f>COUNTIFS('تجربه‌گرها'!$B:$B,$A1522,'تجربه‌گرها'!$F:$F,I$1)</f>
        <v>0</v>
      </c>
      <c r="J1522" s="242">
        <f>COUNTIFS('تجربه‌گرها'!$B:$B,$A1522,'تجربه‌گرها'!$F:$F,J$1)</f>
        <v>0</v>
      </c>
      <c r="K1522" s="242">
        <f>COUNTIFS('تجربه‌گرها'!$B:$B,$A1522,'تجربه‌گرها'!$F:$F,K$1)</f>
        <v>0</v>
      </c>
      <c r="L1522" s="242">
        <f>COUNTIFS('تجربه‌گرها'!$B:$B,$A1522,'تجربه‌گرها'!$F:$F,L$1)</f>
        <v>0</v>
      </c>
      <c r="M1522" s="242">
        <f>COUNTIFS('تجربه‌گرها'!$B:$B,$A1522,'تجربه‌گرها'!$F:$F,M$1)</f>
        <v>0</v>
      </c>
      <c r="N1522" s="242">
        <f>COUNTIFS('تجربه‌گرها'!$B:$B,$A1522,'تجربه‌گرها'!$F:$F,N$1)</f>
        <v>0</v>
      </c>
      <c r="O1522" s="242">
        <f>COUNTIFS('تجربه‌گرها'!$B:$B,$A1522,'تجربه‌گرها'!$F:$F,O$1)</f>
        <v>0</v>
      </c>
      <c r="P1522" s="242">
        <f>COUNTIFS('تجربه‌گرها'!$B:$B,$A1522,'تجربه‌گرها'!$F:$F,P$1)</f>
        <v>0</v>
      </c>
      <c r="Q1522" s="242">
        <f>COUNTIFS('تجربه‌گرها'!$B:$B,$A1522,'تجربه‌گرها'!$F:$F,Q$1)</f>
        <v>0</v>
      </c>
      <c r="R1522" s="242">
        <f>COUNTIFS('تجربه‌گرها'!$B:$B,$A1522,'تجربه‌گرها'!$F:$F,R$1)</f>
        <v>0</v>
      </c>
      <c r="S1522" s="242">
        <f>COUNTIFS('تجربه‌گرها'!$B:$B,$A1522,'تجربه‌گرها'!$F:$F,S$1)</f>
        <v>0</v>
      </c>
      <c r="T1522" s="242">
        <f>COUNTIFS('تجربه‌گرها'!$B:$B,$A1522,'تجربه‌گرها'!$F:$F,T$1)</f>
        <v>1</v>
      </c>
      <c r="U1522" s="242"/>
      <c r="V1522" s="242"/>
      <c r="W1522" s="242"/>
      <c r="X1522" s="242"/>
      <c r="Y1522" s="242"/>
      <c r="Z1522" s="242"/>
      <c r="AA1522" s="242"/>
      <c r="AB1522" s="242"/>
    </row>
    <row r="1523" hidden="1">
      <c r="A1523" s="244" t="s">
        <v>7142</v>
      </c>
      <c r="B1523" s="245" t="str">
        <f>VLOOKUP(A1523,'تجربه‌گرها'!B:C,2,FALSE())</f>
        <v>09905499046</v>
      </c>
      <c r="C1523" s="242"/>
      <c r="D1523" s="242">
        <f t="shared" si="1"/>
        <v>1</v>
      </c>
      <c r="E1523" s="242">
        <f>COUNTIFS('تجربه‌گرها'!$B:$B,$A1523,'تجربه‌گرها'!$F:$F,E$1)</f>
        <v>0</v>
      </c>
      <c r="F1523" s="242">
        <f>COUNTIFS('تجربه‌گرها'!$B:$B,$A1523,'تجربه‌گرها'!$F:$F,F$1)</f>
        <v>0</v>
      </c>
      <c r="G1523" s="242">
        <f>COUNTIFS('تجربه‌گرها'!$B:$B,$A1523,'تجربه‌گرها'!$F:$F,G$1)</f>
        <v>0</v>
      </c>
      <c r="H1523" s="242">
        <f>COUNTIFS('تجربه‌گرها'!$B:$B,$A1523,'تجربه‌گرها'!$F:$F,H$1)</f>
        <v>0</v>
      </c>
      <c r="I1523" s="242">
        <f>COUNTIFS('تجربه‌گرها'!$B:$B,$A1523,'تجربه‌گرها'!$F:$F,I$1)</f>
        <v>0</v>
      </c>
      <c r="J1523" s="242">
        <f>COUNTIFS('تجربه‌گرها'!$B:$B,$A1523,'تجربه‌گرها'!$F:$F,J$1)</f>
        <v>0</v>
      </c>
      <c r="K1523" s="242">
        <f>COUNTIFS('تجربه‌گرها'!$B:$B,$A1523,'تجربه‌گرها'!$F:$F,K$1)</f>
        <v>0</v>
      </c>
      <c r="L1523" s="242">
        <f>COUNTIFS('تجربه‌گرها'!$B:$B,$A1523,'تجربه‌گرها'!$F:$F,L$1)</f>
        <v>0</v>
      </c>
      <c r="M1523" s="242">
        <f>COUNTIFS('تجربه‌گرها'!$B:$B,$A1523,'تجربه‌گرها'!$F:$F,M$1)</f>
        <v>0</v>
      </c>
      <c r="N1523" s="242">
        <f>COUNTIFS('تجربه‌گرها'!$B:$B,$A1523,'تجربه‌گرها'!$F:$F,N$1)</f>
        <v>0</v>
      </c>
      <c r="O1523" s="242">
        <f>COUNTIFS('تجربه‌گرها'!$B:$B,$A1523,'تجربه‌گرها'!$F:$F,O$1)</f>
        <v>0</v>
      </c>
      <c r="P1523" s="242">
        <f>COUNTIFS('تجربه‌گرها'!$B:$B,$A1523,'تجربه‌گرها'!$F:$F,P$1)</f>
        <v>0</v>
      </c>
      <c r="Q1523" s="242">
        <f>COUNTIFS('تجربه‌گرها'!$B:$B,$A1523,'تجربه‌گرها'!$F:$F,Q$1)</f>
        <v>0</v>
      </c>
      <c r="R1523" s="242">
        <f>COUNTIFS('تجربه‌گرها'!$B:$B,$A1523,'تجربه‌گرها'!$F:$F,R$1)</f>
        <v>0</v>
      </c>
      <c r="S1523" s="242">
        <f>COUNTIFS('تجربه‌گرها'!$B:$B,$A1523,'تجربه‌گرها'!$F:$F,S$1)</f>
        <v>0</v>
      </c>
      <c r="T1523" s="242">
        <f>COUNTIFS('تجربه‌گرها'!$B:$B,$A1523,'تجربه‌گرها'!$F:$F,T$1)</f>
        <v>1</v>
      </c>
      <c r="U1523" s="242"/>
      <c r="V1523" s="242"/>
      <c r="W1523" s="242"/>
      <c r="X1523" s="242"/>
      <c r="Y1523" s="242"/>
      <c r="Z1523" s="242"/>
      <c r="AA1523" s="242"/>
      <c r="AB1523" s="242"/>
    </row>
    <row r="1524" hidden="1">
      <c r="A1524" s="244" t="s">
        <v>7147</v>
      </c>
      <c r="B1524" s="245" t="str">
        <f>VLOOKUP(A1524,'تجربه‌گرها'!B:C,2,FALSE())</f>
        <v>09919295108</v>
      </c>
      <c r="C1524" s="242"/>
      <c r="D1524" s="242">
        <f t="shared" si="1"/>
        <v>1</v>
      </c>
      <c r="E1524" s="242">
        <f>COUNTIFS('تجربه‌گرها'!$B:$B,$A1524,'تجربه‌گرها'!$F:$F,E$1)</f>
        <v>0</v>
      </c>
      <c r="F1524" s="242">
        <f>COUNTIFS('تجربه‌گرها'!$B:$B,$A1524,'تجربه‌گرها'!$F:$F,F$1)</f>
        <v>0</v>
      </c>
      <c r="G1524" s="242">
        <f>COUNTIFS('تجربه‌گرها'!$B:$B,$A1524,'تجربه‌گرها'!$F:$F,G$1)</f>
        <v>0</v>
      </c>
      <c r="H1524" s="242">
        <f>COUNTIFS('تجربه‌گرها'!$B:$B,$A1524,'تجربه‌گرها'!$F:$F,H$1)</f>
        <v>0</v>
      </c>
      <c r="I1524" s="242">
        <f>COUNTIFS('تجربه‌گرها'!$B:$B,$A1524,'تجربه‌گرها'!$F:$F,I$1)</f>
        <v>0</v>
      </c>
      <c r="J1524" s="242">
        <f>COUNTIFS('تجربه‌گرها'!$B:$B,$A1524,'تجربه‌گرها'!$F:$F,J$1)</f>
        <v>0</v>
      </c>
      <c r="K1524" s="242">
        <f>COUNTIFS('تجربه‌گرها'!$B:$B,$A1524,'تجربه‌گرها'!$F:$F,K$1)</f>
        <v>0</v>
      </c>
      <c r="L1524" s="242">
        <f>COUNTIFS('تجربه‌گرها'!$B:$B,$A1524,'تجربه‌گرها'!$F:$F,L$1)</f>
        <v>0</v>
      </c>
      <c r="M1524" s="242">
        <f>COUNTIFS('تجربه‌گرها'!$B:$B,$A1524,'تجربه‌گرها'!$F:$F,M$1)</f>
        <v>0</v>
      </c>
      <c r="N1524" s="242">
        <f>COUNTIFS('تجربه‌گرها'!$B:$B,$A1524,'تجربه‌گرها'!$F:$F,N$1)</f>
        <v>0</v>
      </c>
      <c r="O1524" s="242">
        <f>COUNTIFS('تجربه‌گرها'!$B:$B,$A1524,'تجربه‌گرها'!$F:$F,O$1)</f>
        <v>0</v>
      </c>
      <c r="P1524" s="242">
        <f>COUNTIFS('تجربه‌گرها'!$B:$B,$A1524,'تجربه‌گرها'!$F:$F,P$1)</f>
        <v>0</v>
      </c>
      <c r="Q1524" s="242">
        <f>COUNTIFS('تجربه‌گرها'!$B:$B,$A1524,'تجربه‌گرها'!$F:$F,Q$1)</f>
        <v>0</v>
      </c>
      <c r="R1524" s="242">
        <f>COUNTIFS('تجربه‌گرها'!$B:$B,$A1524,'تجربه‌گرها'!$F:$F,R$1)</f>
        <v>0</v>
      </c>
      <c r="S1524" s="242">
        <f>COUNTIFS('تجربه‌گرها'!$B:$B,$A1524,'تجربه‌گرها'!$F:$F,S$1)</f>
        <v>0</v>
      </c>
      <c r="T1524" s="242">
        <f>COUNTIFS('تجربه‌گرها'!$B:$B,$A1524,'تجربه‌گرها'!$F:$F,T$1)</f>
        <v>1</v>
      </c>
      <c r="U1524" s="242"/>
      <c r="V1524" s="242"/>
      <c r="W1524" s="242"/>
      <c r="X1524" s="242"/>
      <c r="Y1524" s="242"/>
      <c r="Z1524" s="242"/>
      <c r="AA1524" s="242"/>
      <c r="AB1524" s="242"/>
    </row>
    <row r="1525" hidden="1">
      <c r="A1525" s="244" t="s">
        <v>7154</v>
      </c>
      <c r="B1525" s="245" t="str">
        <f>VLOOKUP(A1525,'تجربه‌گرها'!B:C,2,FALSE())</f>
        <v>09125814011</v>
      </c>
      <c r="C1525" s="242"/>
      <c r="D1525" s="242">
        <f t="shared" si="1"/>
        <v>1</v>
      </c>
      <c r="E1525" s="242">
        <f>COUNTIFS('تجربه‌گرها'!$B:$B,$A1525,'تجربه‌گرها'!$F:$F,E$1)</f>
        <v>0</v>
      </c>
      <c r="F1525" s="242">
        <f>COUNTIFS('تجربه‌گرها'!$B:$B,$A1525,'تجربه‌گرها'!$F:$F,F$1)</f>
        <v>0</v>
      </c>
      <c r="G1525" s="242">
        <f>COUNTIFS('تجربه‌گرها'!$B:$B,$A1525,'تجربه‌گرها'!$F:$F,G$1)</f>
        <v>0</v>
      </c>
      <c r="H1525" s="242">
        <f>COUNTIFS('تجربه‌گرها'!$B:$B,$A1525,'تجربه‌گرها'!$F:$F,H$1)</f>
        <v>0</v>
      </c>
      <c r="I1525" s="242">
        <f>COUNTIFS('تجربه‌گرها'!$B:$B,$A1525,'تجربه‌گرها'!$F:$F,I$1)</f>
        <v>0</v>
      </c>
      <c r="J1525" s="242">
        <f>COUNTIFS('تجربه‌گرها'!$B:$B,$A1525,'تجربه‌گرها'!$F:$F,J$1)</f>
        <v>0</v>
      </c>
      <c r="K1525" s="242">
        <f>COUNTIFS('تجربه‌گرها'!$B:$B,$A1525,'تجربه‌گرها'!$F:$F,K$1)</f>
        <v>0</v>
      </c>
      <c r="L1525" s="242">
        <f>COUNTIFS('تجربه‌گرها'!$B:$B,$A1525,'تجربه‌گرها'!$F:$F,L$1)</f>
        <v>0</v>
      </c>
      <c r="M1525" s="242">
        <f>COUNTIFS('تجربه‌گرها'!$B:$B,$A1525,'تجربه‌گرها'!$F:$F,M$1)</f>
        <v>0</v>
      </c>
      <c r="N1525" s="242">
        <f>COUNTIFS('تجربه‌گرها'!$B:$B,$A1525,'تجربه‌گرها'!$F:$F,N$1)</f>
        <v>0</v>
      </c>
      <c r="O1525" s="242">
        <f>COUNTIFS('تجربه‌گرها'!$B:$B,$A1525,'تجربه‌گرها'!$F:$F,O$1)</f>
        <v>0</v>
      </c>
      <c r="P1525" s="242">
        <f>COUNTIFS('تجربه‌گرها'!$B:$B,$A1525,'تجربه‌گرها'!$F:$F,P$1)</f>
        <v>0</v>
      </c>
      <c r="Q1525" s="242">
        <f>COUNTIFS('تجربه‌گرها'!$B:$B,$A1525,'تجربه‌گرها'!$F:$F,Q$1)</f>
        <v>0</v>
      </c>
      <c r="R1525" s="242">
        <f>COUNTIFS('تجربه‌گرها'!$B:$B,$A1525,'تجربه‌گرها'!$F:$F,R$1)</f>
        <v>0</v>
      </c>
      <c r="S1525" s="242">
        <f>COUNTIFS('تجربه‌گرها'!$B:$B,$A1525,'تجربه‌گرها'!$F:$F,S$1)</f>
        <v>0</v>
      </c>
      <c r="T1525" s="242">
        <f>COUNTIFS('تجربه‌گرها'!$B:$B,$A1525,'تجربه‌گرها'!$F:$F,T$1)</f>
        <v>1</v>
      </c>
      <c r="U1525" s="242"/>
      <c r="V1525" s="242"/>
      <c r="W1525" s="242"/>
      <c r="X1525" s="242"/>
      <c r="Y1525" s="242"/>
      <c r="Z1525" s="242"/>
      <c r="AA1525" s="242"/>
      <c r="AB1525" s="242"/>
    </row>
    <row r="1526" hidden="1">
      <c r="A1526" s="244" t="s">
        <v>7158</v>
      </c>
      <c r="B1526" s="245" t="str">
        <f>VLOOKUP(A1526,'تجربه‌گرها'!B:C,2,FALSE())</f>
        <v>09125287738</v>
      </c>
      <c r="C1526" s="242"/>
      <c r="D1526" s="242">
        <f t="shared" si="1"/>
        <v>1</v>
      </c>
      <c r="E1526" s="242">
        <f>COUNTIFS('تجربه‌گرها'!$B:$B,$A1526,'تجربه‌گرها'!$F:$F,E$1)</f>
        <v>0</v>
      </c>
      <c r="F1526" s="242">
        <f>COUNTIFS('تجربه‌گرها'!$B:$B,$A1526,'تجربه‌گرها'!$F:$F,F$1)</f>
        <v>0</v>
      </c>
      <c r="G1526" s="242">
        <f>COUNTIFS('تجربه‌گرها'!$B:$B,$A1526,'تجربه‌گرها'!$F:$F,G$1)</f>
        <v>0</v>
      </c>
      <c r="H1526" s="242">
        <f>COUNTIFS('تجربه‌گرها'!$B:$B,$A1526,'تجربه‌گرها'!$F:$F,H$1)</f>
        <v>0</v>
      </c>
      <c r="I1526" s="242">
        <f>COUNTIFS('تجربه‌گرها'!$B:$B,$A1526,'تجربه‌گرها'!$F:$F,I$1)</f>
        <v>0</v>
      </c>
      <c r="J1526" s="242">
        <f>COUNTIFS('تجربه‌گرها'!$B:$B,$A1526,'تجربه‌گرها'!$F:$F,J$1)</f>
        <v>0</v>
      </c>
      <c r="K1526" s="242">
        <f>COUNTIFS('تجربه‌گرها'!$B:$B,$A1526,'تجربه‌گرها'!$F:$F,K$1)</f>
        <v>0</v>
      </c>
      <c r="L1526" s="242">
        <f>COUNTIFS('تجربه‌گرها'!$B:$B,$A1526,'تجربه‌گرها'!$F:$F,L$1)</f>
        <v>0</v>
      </c>
      <c r="M1526" s="242">
        <f>COUNTIFS('تجربه‌گرها'!$B:$B,$A1526,'تجربه‌گرها'!$F:$F,M$1)</f>
        <v>0</v>
      </c>
      <c r="N1526" s="242">
        <f>COUNTIFS('تجربه‌گرها'!$B:$B,$A1526,'تجربه‌گرها'!$F:$F,N$1)</f>
        <v>0</v>
      </c>
      <c r="O1526" s="242">
        <f>COUNTIFS('تجربه‌گرها'!$B:$B,$A1526,'تجربه‌گرها'!$F:$F,O$1)</f>
        <v>0</v>
      </c>
      <c r="P1526" s="242">
        <f>COUNTIFS('تجربه‌گرها'!$B:$B,$A1526,'تجربه‌گرها'!$F:$F,P$1)</f>
        <v>0</v>
      </c>
      <c r="Q1526" s="242">
        <f>COUNTIFS('تجربه‌گرها'!$B:$B,$A1526,'تجربه‌گرها'!$F:$F,Q$1)</f>
        <v>0</v>
      </c>
      <c r="R1526" s="242">
        <f>COUNTIFS('تجربه‌گرها'!$B:$B,$A1526,'تجربه‌گرها'!$F:$F,R$1)</f>
        <v>0</v>
      </c>
      <c r="S1526" s="242">
        <f>COUNTIFS('تجربه‌گرها'!$B:$B,$A1526,'تجربه‌گرها'!$F:$F,S$1)</f>
        <v>0</v>
      </c>
      <c r="T1526" s="242">
        <f>COUNTIFS('تجربه‌گرها'!$B:$B,$A1526,'تجربه‌گرها'!$F:$F,T$1)</f>
        <v>1</v>
      </c>
      <c r="U1526" s="242"/>
      <c r="V1526" s="242"/>
      <c r="W1526" s="242"/>
      <c r="X1526" s="242"/>
      <c r="Y1526" s="242"/>
      <c r="Z1526" s="242"/>
      <c r="AA1526" s="242"/>
      <c r="AB1526" s="242"/>
    </row>
    <row r="1527" hidden="1">
      <c r="A1527" s="244" t="s">
        <v>7164</v>
      </c>
      <c r="B1527" s="245" t="str">
        <f>VLOOKUP(A1527,'تجربه‌گرها'!B:C,2,FALSE())</f>
        <v>09128756508</v>
      </c>
      <c r="C1527" s="242"/>
      <c r="D1527" s="242">
        <f t="shared" si="1"/>
        <v>1</v>
      </c>
      <c r="E1527" s="242">
        <f>COUNTIFS('تجربه‌گرها'!$B:$B,$A1527,'تجربه‌گرها'!$F:$F,E$1)</f>
        <v>0</v>
      </c>
      <c r="F1527" s="242">
        <f>COUNTIFS('تجربه‌گرها'!$B:$B,$A1527,'تجربه‌گرها'!$F:$F,F$1)</f>
        <v>0</v>
      </c>
      <c r="G1527" s="242">
        <f>COUNTIFS('تجربه‌گرها'!$B:$B,$A1527,'تجربه‌گرها'!$F:$F,G$1)</f>
        <v>0</v>
      </c>
      <c r="H1527" s="242">
        <f>COUNTIFS('تجربه‌گرها'!$B:$B,$A1527,'تجربه‌گرها'!$F:$F,H$1)</f>
        <v>0</v>
      </c>
      <c r="I1527" s="242">
        <f>COUNTIFS('تجربه‌گرها'!$B:$B,$A1527,'تجربه‌گرها'!$F:$F,I$1)</f>
        <v>0</v>
      </c>
      <c r="J1527" s="242">
        <f>COUNTIFS('تجربه‌گرها'!$B:$B,$A1527,'تجربه‌گرها'!$F:$F,J$1)</f>
        <v>0</v>
      </c>
      <c r="K1527" s="242">
        <f>COUNTIFS('تجربه‌گرها'!$B:$B,$A1527,'تجربه‌گرها'!$F:$F,K$1)</f>
        <v>0</v>
      </c>
      <c r="L1527" s="242">
        <f>COUNTIFS('تجربه‌گرها'!$B:$B,$A1527,'تجربه‌گرها'!$F:$F,L$1)</f>
        <v>0</v>
      </c>
      <c r="M1527" s="242">
        <f>COUNTIFS('تجربه‌گرها'!$B:$B,$A1527,'تجربه‌گرها'!$F:$F,M$1)</f>
        <v>0</v>
      </c>
      <c r="N1527" s="242">
        <f>COUNTIFS('تجربه‌گرها'!$B:$B,$A1527,'تجربه‌گرها'!$F:$F,N$1)</f>
        <v>0</v>
      </c>
      <c r="O1527" s="242">
        <f>COUNTIFS('تجربه‌گرها'!$B:$B,$A1527,'تجربه‌گرها'!$F:$F,O$1)</f>
        <v>0</v>
      </c>
      <c r="P1527" s="242">
        <f>COUNTIFS('تجربه‌گرها'!$B:$B,$A1527,'تجربه‌گرها'!$F:$F,P$1)</f>
        <v>0</v>
      </c>
      <c r="Q1527" s="242">
        <f>COUNTIFS('تجربه‌گرها'!$B:$B,$A1527,'تجربه‌گرها'!$F:$F,Q$1)</f>
        <v>0</v>
      </c>
      <c r="R1527" s="242">
        <f>COUNTIFS('تجربه‌گرها'!$B:$B,$A1527,'تجربه‌گرها'!$F:$F,R$1)</f>
        <v>0</v>
      </c>
      <c r="S1527" s="242">
        <f>COUNTIFS('تجربه‌گرها'!$B:$B,$A1527,'تجربه‌گرها'!$F:$F,S$1)</f>
        <v>0</v>
      </c>
      <c r="T1527" s="242">
        <f>COUNTIFS('تجربه‌گرها'!$B:$B,$A1527,'تجربه‌گرها'!$F:$F,T$1)</f>
        <v>1</v>
      </c>
      <c r="U1527" s="242"/>
      <c r="V1527" s="242"/>
      <c r="W1527" s="242"/>
      <c r="X1527" s="242"/>
      <c r="Y1527" s="242"/>
      <c r="Z1527" s="242"/>
      <c r="AA1527" s="242"/>
      <c r="AB1527" s="242"/>
    </row>
    <row r="1528" hidden="1">
      <c r="A1528" s="244" t="s">
        <v>7168</v>
      </c>
      <c r="B1528" s="245" t="str">
        <f>VLOOKUP(A1528,'تجربه‌گرها'!B:C,2,FALSE())</f>
        <v>09055221195</v>
      </c>
      <c r="C1528" s="242"/>
      <c r="D1528" s="242">
        <f t="shared" si="1"/>
        <v>1</v>
      </c>
      <c r="E1528" s="242">
        <f>COUNTIFS('تجربه‌گرها'!$B:$B,$A1528,'تجربه‌گرها'!$F:$F,E$1)</f>
        <v>0</v>
      </c>
      <c r="F1528" s="242">
        <f>COUNTIFS('تجربه‌گرها'!$B:$B,$A1528,'تجربه‌گرها'!$F:$F,F$1)</f>
        <v>0</v>
      </c>
      <c r="G1528" s="242">
        <f>COUNTIFS('تجربه‌گرها'!$B:$B,$A1528,'تجربه‌گرها'!$F:$F,G$1)</f>
        <v>0</v>
      </c>
      <c r="H1528" s="242">
        <f>COUNTIFS('تجربه‌گرها'!$B:$B,$A1528,'تجربه‌گرها'!$F:$F,H$1)</f>
        <v>0</v>
      </c>
      <c r="I1528" s="242">
        <f>COUNTIFS('تجربه‌گرها'!$B:$B,$A1528,'تجربه‌گرها'!$F:$F,I$1)</f>
        <v>0</v>
      </c>
      <c r="J1528" s="242">
        <f>COUNTIFS('تجربه‌گرها'!$B:$B,$A1528,'تجربه‌گرها'!$F:$F,J$1)</f>
        <v>0</v>
      </c>
      <c r="K1528" s="242">
        <f>COUNTIFS('تجربه‌گرها'!$B:$B,$A1528,'تجربه‌گرها'!$F:$F,K$1)</f>
        <v>0</v>
      </c>
      <c r="L1528" s="242">
        <f>COUNTIFS('تجربه‌گرها'!$B:$B,$A1528,'تجربه‌گرها'!$F:$F,L$1)</f>
        <v>0</v>
      </c>
      <c r="M1528" s="242">
        <f>COUNTIFS('تجربه‌گرها'!$B:$B,$A1528,'تجربه‌گرها'!$F:$F,M$1)</f>
        <v>0</v>
      </c>
      <c r="N1528" s="242">
        <f>COUNTIFS('تجربه‌گرها'!$B:$B,$A1528,'تجربه‌گرها'!$F:$F,N$1)</f>
        <v>0</v>
      </c>
      <c r="O1528" s="242">
        <f>COUNTIFS('تجربه‌گرها'!$B:$B,$A1528,'تجربه‌گرها'!$F:$F,O$1)</f>
        <v>0</v>
      </c>
      <c r="P1528" s="242">
        <f>COUNTIFS('تجربه‌گرها'!$B:$B,$A1528,'تجربه‌گرها'!$F:$F,P$1)</f>
        <v>0</v>
      </c>
      <c r="Q1528" s="242">
        <f>COUNTIFS('تجربه‌گرها'!$B:$B,$A1528,'تجربه‌گرها'!$F:$F,Q$1)</f>
        <v>0</v>
      </c>
      <c r="R1528" s="242">
        <f>COUNTIFS('تجربه‌گرها'!$B:$B,$A1528,'تجربه‌گرها'!$F:$F,R$1)</f>
        <v>0</v>
      </c>
      <c r="S1528" s="242">
        <f>COUNTIFS('تجربه‌گرها'!$B:$B,$A1528,'تجربه‌گرها'!$F:$F,S$1)</f>
        <v>0</v>
      </c>
      <c r="T1528" s="242">
        <f>COUNTIFS('تجربه‌گرها'!$B:$B,$A1528,'تجربه‌گرها'!$F:$F,T$1)</f>
        <v>1</v>
      </c>
      <c r="U1528" s="242"/>
      <c r="V1528" s="242"/>
      <c r="W1528" s="242"/>
      <c r="X1528" s="242"/>
      <c r="Y1528" s="242"/>
      <c r="Z1528" s="242"/>
      <c r="AA1528" s="242"/>
      <c r="AB1528" s="242"/>
    </row>
    <row r="1529" hidden="1">
      <c r="A1529" s="244" t="s">
        <v>7173</v>
      </c>
      <c r="B1529" s="245" t="str">
        <f>VLOOKUP(A1529,'تجربه‌گرها'!B:C,2,FALSE())</f>
        <v>09128177559</v>
      </c>
      <c r="C1529" s="242"/>
      <c r="D1529" s="242">
        <f t="shared" si="1"/>
        <v>1</v>
      </c>
      <c r="E1529" s="242">
        <f>COUNTIFS('تجربه‌گرها'!$B:$B,$A1529,'تجربه‌گرها'!$F:$F,E$1)</f>
        <v>0</v>
      </c>
      <c r="F1529" s="242">
        <f>COUNTIFS('تجربه‌گرها'!$B:$B,$A1529,'تجربه‌گرها'!$F:$F,F$1)</f>
        <v>0</v>
      </c>
      <c r="G1529" s="242">
        <f>COUNTIFS('تجربه‌گرها'!$B:$B,$A1529,'تجربه‌گرها'!$F:$F,G$1)</f>
        <v>0</v>
      </c>
      <c r="H1529" s="242">
        <f>COUNTIFS('تجربه‌گرها'!$B:$B,$A1529,'تجربه‌گرها'!$F:$F,H$1)</f>
        <v>0</v>
      </c>
      <c r="I1529" s="242">
        <f>COUNTIFS('تجربه‌گرها'!$B:$B,$A1529,'تجربه‌گرها'!$F:$F,I$1)</f>
        <v>0</v>
      </c>
      <c r="J1529" s="242">
        <f>COUNTIFS('تجربه‌گرها'!$B:$B,$A1529,'تجربه‌گرها'!$F:$F,J$1)</f>
        <v>0</v>
      </c>
      <c r="K1529" s="242">
        <f>COUNTIFS('تجربه‌گرها'!$B:$B,$A1529,'تجربه‌گرها'!$F:$F,K$1)</f>
        <v>0</v>
      </c>
      <c r="L1529" s="242">
        <f>COUNTIFS('تجربه‌گرها'!$B:$B,$A1529,'تجربه‌گرها'!$F:$F,L$1)</f>
        <v>0</v>
      </c>
      <c r="M1529" s="242">
        <f>COUNTIFS('تجربه‌گرها'!$B:$B,$A1529,'تجربه‌گرها'!$F:$F,M$1)</f>
        <v>0</v>
      </c>
      <c r="N1529" s="242">
        <f>COUNTIFS('تجربه‌گرها'!$B:$B,$A1529,'تجربه‌گرها'!$F:$F,N$1)</f>
        <v>0</v>
      </c>
      <c r="O1529" s="242">
        <f>COUNTIFS('تجربه‌گرها'!$B:$B,$A1529,'تجربه‌گرها'!$F:$F,O$1)</f>
        <v>0</v>
      </c>
      <c r="P1529" s="242">
        <f>COUNTIFS('تجربه‌گرها'!$B:$B,$A1529,'تجربه‌گرها'!$F:$F,P$1)</f>
        <v>0</v>
      </c>
      <c r="Q1529" s="242">
        <f>COUNTIFS('تجربه‌گرها'!$B:$B,$A1529,'تجربه‌گرها'!$F:$F,Q$1)</f>
        <v>0</v>
      </c>
      <c r="R1529" s="242">
        <f>COUNTIFS('تجربه‌گرها'!$B:$B,$A1529,'تجربه‌گرها'!$F:$F,R$1)</f>
        <v>0</v>
      </c>
      <c r="S1529" s="242">
        <f>COUNTIFS('تجربه‌گرها'!$B:$B,$A1529,'تجربه‌گرها'!$F:$F,S$1)</f>
        <v>0</v>
      </c>
      <c r="T1529" s="242">
        <f>COUNTIFS('تجربه‌گرها'!$B:$B,$A1529,'تجربه‌گرها'!$F:$F,T$1)</f>
        <v>1</v>
      </c>
      <c r="U1529" s="242"/>
      <c r="V1529" s="242"/>
      <c r="W1529" s="242"/>
      <c r="X1529" s="242"/>
      <c r="Y1529" s="242"/>
      <c r="Z1529" s="242"/>
      <c r="AA1529" s="242"/>
      <c r="AB1529" s="242"/>
    </row>
    <row r="1530" hidden="1">
      <c r="A1530" s="244" t="s">
        <v>7179</v>
      </c>
      <c r="B1530" s="245" t="str">
        <f>VLOOKUP(A1530,'تجربه‌گرها'!B:C,2,FALSE())</f>
        <v>09391209871</v>
      </c>
      <c r="C1530" s="242"/>
      <c r="D1530" s="242">
        <f t="shared" si="1"/>
        <v>1</v>
      </c>
      <c r="E1530" s="242">
        <f>COUNTIFS('تجربه‌گرها'!$B:$B,$A1530,'تجربه‌گرها'!$F:$F,E$1)</f>
        <v>0</v>
      </c>
      <c r="F1530" s="242">
        <f>COUNTIFS('تجربه‌گرها'!$B:$B,$A1530,'تجربه‌گرها'!$F:$F,F$1)</f>
        <v>0</v>
      </c>
      <c r="G1530" s="242">
        <f>COUNTIFS('تجربه‌گرها'!$B:$B,$A1530,'تجربه‌گرها'!$F:$F,G$1)</f>
        <v>0</v>
      </c>
      <c r="H1530" s="242">
        <f>COUNTIFS('تجربه‌گرها'!$B:$B,$A1530,'تجربه‌گرها'!$F:$F,H$1)</f>
        <v>0</v>
      </c>
      <c r="I1530" s="242">
        <f>COUNTIFS('تجربه‌گرها'!$B:$B,$A1530,'تجربه‌گرها'!$F:$F,I$1)</f>
        <v>0</v>
      </c>
      <c r="J1530" s="242">
        <f>COUNTIFS('تجربه‌گرها'!$B:$B,$A1530,'تجربه‌گرها'!$F:$F,J$1)</f>
        <v>0</v>
      </c>
      <c r="K1530" s="242">
        <f>COUNTIFS('تجربه‌گرها'!$B:$B,$A1530,'تجربه‌گرها'!$F:$F,K$1)</f>
        <v>0</v>
      </c>
      <c r="L1530" s="242">
        <f>COUNTIFS('تجربه‌گرها'!$B:$B,$A1530,'تجربه‌گرها'!$F:$F,L$1)</f>
        <v>0</v>
      </c>
      <c r="M1530" s="242">
        <f>COUNTIFS('تجربه‌گرها'!$B:$B,$A1530,'تجربه‌گرها'!$F:$F,M$1)</f>
        <v>0</v>
      </c>
      <c r="N1530" s="242">
        <f>COUNTIFS('تجربه‌گرها'!$B:$B,$A1530,'تجربه‌گرها'!$F:$F,N$1)</f>
        <v>0</v>
      </c>
      <c r="O1530" s="242">
        <f>COUNTIFS('تجربه‌گرها'!$B:$B,$A1530,'تجربه‌گرها'!$F:$F,O$1)</f>
        <v>0</v>
      </c>
      <c r="P1530" s="242">
        <f>COUNTIFS('تجربه‌گرها'!$B:$B,$A1530,'تجربه‌گرها'!$F:$F,P$1)</f>
        <v>0</v>
      </c>
      <c r="Q1530" s="242">
        <f>COUNTIFS('تجربه‌گرها'!$B:$B,$A1530,'تجربه‌گرها'!$F:$F,Q$1)</f>
        <v>0</v>
      </c>
      <c r="R1530" s="242">
        <f>COUNTIFS('تجربه‌گرها'!$B:$B,$A1530,'تجربه‌گرها'!$F:$F,R$1)</f>
        <v>0</v>
      </c>
      <c r="S1530" s="242">
        <f>COUNTIFS('تجربه‌گرها'!$B:$B,$A1530,'تجربه‌گرها'!$F:$F,S$1)</f>
        <v>0</v>
      </c>
      <c r="T1530" s="242">
        <f>COUNTIFS('تجربه‌گرها'!$B:$B,$A1530,'تجربه‌گرها'!$F:$F,T$1)</f>
        <v>1</v>
      </c>
      <c r="U1530" s="242"/>
      <c r="V1530" s="242"/>
      <c r="W1530" s="242"/>
      <c r="X1530" s="242"/>
      <c r="Y1530" s="242"/>
      <c r="Z1530" s="242"/>
      <c r="AA1530" s="242"/>
      <c r="AB1530" s="242"/>
    </row>
    <row r="1531" hidden="1">
      <c r="A1531" s="244" t="s">
        <v>7183</v>
      </c>
      <c r="B1531" s="245" t="str">
        <f>VLOOKUP(A1531,'تجربه‌گرها'!B:C,2,FALSE())</f>
        <v>09128397769</v>
      </c>
      <c r="C1531" s="242"/>
      <c r="D1531" s="242">
        <f t="shared" si="1"/>
        <v>1</v>
      </c>
      <c r="E1531" s="242">
        <f>COUNTIFS('تجربه‌گرها'!$B:$B,$A1531,'تجربه‌گرها'!$F:$F,E$1)</f>
        <v>0</v>
      </c>
      <c r="F1531" s="242">
        <f>COUNTIFS('تجربه‌گرها'!$B:$B,$A1531,'تجربه‌گرها'!$F:$F,F$1)</f>
        <v>0</v>
      </c>
      <c r="G1531" s="242">
        <f>COUNTIFS('تجربه‌گرها'!$B:$B,$A1531,'تجربه‌گرها'!$F:$F,G$1)</f>
        <v>0</v>
      </c>
      <c r="H1531" s="242">
        <f>COUNTIFS('تجربه‌گرها'!$B:$B,$A1531,'تجربه‌گرها'!$F:$F,H$1)</f>
        <v>0</v>
      </c>
      <c r="I1531" s="242">
        <f>COUNTIFS('تجربه‌گرها'!$B:$B,$A1531,'تجربه‌گرها'!$F:$F,I$1)</f>
        <v>0</v>
      </c>
      <c r="J1531" s="242">
        <f>COUNTIFS('تجربه‌گرها'!$B:$B,$A1531,'تجربه‌گرها'!$F:$F,J$1)</f>
        <v>0</v>
      </c>
      <c r="K1531" s="242">
        <f>COUNTIFS('تجربه‌گرها'!$B:$B,$A1531,'تجربه‌گرها'!$F:$F,K$1)</f>
        <v>0</v>
      </c>
      <c r="L1531" s="242">
        <f>COUNTIFS('تجربه‌گرها'!$B:$B,$A1531,'تجربه‌گرها'!$F:$F,L$1)</f>
        <v>0</v>
      </c>
      <c r="M1531" s="242">
        <f>COUNTIFS('تجربه‌گرها'!$B:$B,$A1531,'تجربه‌گرها'!$F:$F,M$1)</f>
        <v>0</v>
      </c>
      <c r="N1531" s="242">
        <f>COUNTIFS('تجربه‌گرها'!$B:$B,$A1531,'تجربه‌گرها'!$F:$F,N$1)</f>
        <v>0</v>
      </c>
      <c r="O1531" s="242">
        <f>COUNTIFS('تجربه‌گرها'!$B:$B,$A1531,'تجربه‌گرها'!$F:$F,O$1)</f>
        <v>0</v>
      </c>
      <c r="P1531" s="242">
        <f>COUNTIFS('تجربه‌گرها'!$B:$B,$A1531,'تجربه‌گرها'!$F:$F,P$1)</f>
        <v>0</v>
      </c>
      <c r="Q1531" s="242">
        <f>COUNTIFS('تجربه‌گرها'!$B:$B,$A1531,'تجربه‌گرها'!$F:$F,Q$1)</f>
        <v>0</v>
      </c>
      <c r="R1531" s="242">
        <f>COUNTIFS('تجربه‌گرها'!$B:$B,$A1531,'تجربه‌گرها'!$F:$F,R$1)</f>
        <v>0</v>
      </c>
      <c r="S1531" s="242">
        <f>COUNTIFS('تجربه‌گرها'!$B:$B,$A1531,'تجربه‌گرها'!$F:$F,S$1)</f>
        <v>0</v>
      </c>
      <c r="T1531" s="242">
        <f>COUNTIFS('تجربه‌گرها'!$B:$B,$A1531,'تجربه‌گرها'!$F:$F,T$1)</f>
        <v>1</v>
      </c>
      <c r="U1531" s="242"/>
      <c r="V1531" s="242"/>
      <c r="W1531" s="242"/>
      <c r="X1531" s="242"/>
      <c r="Y1531" s="242"/>
      <c r="Z1531" s="242"/>
      <c r="AA1531" s="242"/>
      <c r="AB1531" s="242"/>
    </row>
    <row r="1532" hidden="1">
      <c r="A1532" s="244" t="s">
        <v>7188</v>
      </c>
      <c r="B1532" s="245" t="str">
        <f>VLOOKUP(A1532,'تجربه‌گرها'!B:C,2,FALSE())</f>
        <v>09359338520</v>
      </c>
      <c r="C1532" s="242"/>
      <c r="D1532" s="242">
        <f t="shared" si="1"/>
        <v>1</v>
      </c>
      <c r="E1532" s="242">
        <f>COUNTIFS('تجربه‌گرها'!$B:$B,$A1532,'تجربه‌گرها'!$F:$F,E$1)</f>
        <v>0</v>
      </c>
      <c r="F1532" s="242">
        <f>COUNTIFS('تجربه‌گرها'!$B:$B,$A1532,'تجربه‌گرها'!$F:$F,F$1)</f>
        <v>0</v>
      </c>
      <c r="G1532" s="242">
        <f>COUNTIFS('تجربه‌گرها'!$B:$B,$A1532,'تجربه‌گرها'!$F:$F,G$1)</f>
        <v>0</v>
      </c>
      <c r="H1532" s="242">
        <f>COUNTIFS('تجربه‌گرها'!$B:$B,$A1532,'تجربه‌گرها'!$F:$F,H$1)</f>
        <v>0</v>
      </c>
      <c r="I1532" s="242">
        <f>COUNTIFS('تجربه‌گرها'!$B:$B,$A1532,'تجربه‌گرها'!$F:$F,I$1)</f>
        <v>0</v>
      </c>
      <c r="J1532" s="242">
        <f>COUNTIFS('تجربه‌گرها'!$B:$B,$A1532,'تجربه‌گرها'!$F:$F,J$1)</f>
        <v>0</v>
      </c>
      <c r="K1532" s="242">
        <f>COUNTIFS('تجربه‌گرها'!$B:$B,$A1532,'تجربه‌گرها'!$F:$F,K$1)</f>
        <v>0</v>
      </c>
      <c r="L1532" s="242">
        <f>COUNTIFS('تجربه‌گرها'!$B:$B,$A1532,'تجربه‌گرها'!$F:$F,L$1)</f>
        <v>0</v>
      </c>
      <c r="M1532" s="242">
        <f>COUNTIFS('تجربه‌گرها'!$B:$B,$A1532,'تجربه‌گرها'!$F:$F,M$1)</f>
        <v>0</v>
      </c>
      <c r="N1532" s="242">
        <f>COUNTIFS('تجربه‌گرها'!$B:$B,$A1532,'تجربه‌گرها'!$F:$F,N$1)</f>
        <v>0</v>
      </c>
      <c r="O1532" s="242">
        <f>COUNTIFS('تجربه‌گرها'!$B:$B,$A1532,'تجربه‌گرها'!$F:$F,O$1)</f>
        <v>0</v>
      </c>
      <c r="P1532" s="242">
        <f>COUNTIFS('تجربه‌گرها'!$B:$B,$A1532,'تجربه‌گرها'!$F:$F,P$1)</f>
        <v>0</v>
      </c>
      <c r="Q1532" s="242">
        <f>COUNTIFS('تجربه‌گرها'!$B:$B,$A1532,'تجربه‌گرها'!$F:$F,Q$1)</f>
        <v>0</v>
      </c>
      <c r="R1532" s="242">
        <f>COUNTIFS('تجربه‌گرها'!$B:$B,$A1532,'تجربه‌گرها'!$F:$F,R$1)</f>
        <v>0</v>
      </c>
      <c r="S1532" s="242">
        <f>COUNTIFS('تجربه‌گرها'!$B:$B,$A1532,'تجربه‌گرها'!$F:$F,S$1)</f>
        <v>0</v>
      </c>
      <c r="T1532" s="242">
        <f>COUNTIFS('تجربه‌گرها'!$B:$B,$A1532,'تجربه‌گرها'!$F:$F,T$1)</f>
        <v>1</v>
      </c>
      <c r="U1532" s="242"/>
      <c r="V1532" s="242"/>
      <c r="W1532" s="242"/>
      <c r="X1532" s="242"/>
      <c r="Y1532" s="242"/>
      <c r="Z1532" s="242"/>
      <c r="AA1532" s="242"/>
      <c r="AB1532" s="242"/>
    </row>
    <row r="1533" hidden="1">
      <c r="A1533" s="244" t="s">
        <v>7190</v>
      </c>
      <c r="B1533" s="245" t="str">
        <f>VLOOKUP(A1533,'تجربه‌گرها'!B:C,2,FALSE())</f>
        <v>09381330233</v>
      </c>
      <c r="C1533" s="242"/>
      <c r="D1533" s="242">
        <f t="shared" si="1"/>
        <v>1</v>
      </c>
      <c r="E1533" s="242">
        <f>COUNTIFS('تجربه‌گرها'!$B:$B,$A1533,'تجربه‌گرها'!$F:$F,E$1)</f>
        <v>0</v>
      </c>
      <c r="F1533" s="242">
        <f>COUNTIFS('تجربه‌گرها'!$B:$B,$A1533,'تجربه‌گرها'!$F:$F,F$1)</f>
        <v>0</v>
      </c>
      <c r="G1533" s="242">
        <f>COUNTIFS('تجربه‌گرها'!$B:$B,$A1533,'تجربه‌گرها'!$F:$F,G$1)</f>
        <v>0</v>
      </c>
      <c r="H1533" s="242">
        <f>COUNTIFS('تجربه‌گرها'!$B:$B,$A1533,'تجربه‌گرها'!$F:$F,H$1)</f>
        <v>0</v>
      </c>
      <c r="I1533" s="242">
        <f>COUNTIFS('تجربه‌گرها'!$B:$B,$A1533,'تجربه‌گرها'!$F:$F,I$1)</f>
        <v>0</v>
      </c>
      <c r="J1533" s="242">
        <f>COUNTIFS('تجربه‌گرها'!$B:$B,$A1533,'تجربه‌گرها'!$F:$F,J$1)</f>
        <v>0</v>
      </c>
      <c r="K1533" s="242">
        <f>COUNTIFS('تجربه‌گرها'!$B:$B,$A1533,'تجربه‌گرها'!$F:$F,K$1)</f>
        <v>0</v>
      </c>
      <c r="L1533" s="242">
        <f>COUNTIFS('تجربه‌گرها'!$B:$B,$A1533,'تجربه‌گرها'!$F:$F,L$1)</f>
        <v>0</v>
      </c>
      <c r="M1533" s="242">
        <f>COUNTIFS('تجربه‌گرها'!$B:$B,$A1533,'تجربه‌گرها'!$F:$F,M$1)</f>
        <v>0</v>
      </c>
      <c r="N1533" s="242">
        <f>COUNTIFS('تجربه‌گرها'!$B:$B,$A1533,'تجربه‌گرها'!$F:$F,N$1)</f>
        <v>0</v>
      </c>
      <c r="O1533" s="242">
        <f>COUNTIFS('تجربه‌گرها'!$B:$B,$A1533,'تجربه‌گرها'!$F:$F,O$1)</f>
        <v>0</v>
      </c>
      <c r="P1533" s="242">
        <f>COUNTIFS('تجربه‌گرها'!$B:$B,$A1533,'تجربه‌گرها'!$F:$F,P$1)</f>
        <v>0</v>
      </c>
      <c r="Q1533" s="242">
        <f>COUNTIFS('تجربه‌گرها'!$B:$B,$A1533,'تجربه‌گرها'!$F:$F,Q$1)</f>
        <v>0</v>
      </c>
      <c r="R1533" s="242">
        <f>COUNTIFS('تجربه‌گرها'!$B:$B,$A1533,'تجربه‌گرها'!$F:$F,R$1)</f>
        <v>0</v>
      </c>
      <c r="S1533" s="242">
        <f>COUNTIFS('تجربه‌گرها'!$B:$B,$A1533,'تجربه‌گرها'!$F:$F,S$1)</f>
        <v>0</v>
      </c>
      <c r="T1533" s="242">
        <f>COUNTIFS('تجربه‌گرها'!$B:$B,$A1533,'تجربه‌گرها'!$F:$F,T$1)</f>
        <v>1</v>
      </c>
      <c r="U1533" s="242"/>
      <c r="V1533" s="242"/>
      <c r="W1533" s="242"/>
      <c r="X1533" s="242"/>
      <c r="Y1533" s="242"/>
      <c r="Z1533" s="242"/>
      <c r="AA1533" s="242"/>
      <c r="AB1533" s="242"/>
    </row>
    <row r="1534" hidden="1">
      <c r="A1534" s="244" t="s">
        <v>7198</v>
      </c>
      <c r="B1534" s="245" t="str">
        <f>VLOOKUP(A1534,'تجربه‌گرها'!B:C,2,FALSE())</f>
        <v>09157500024</v>
      </c>
      <c r="C1534" s="242"/>
      <c r="D1534" s="242">
        <f t="shared" si="1"/>
        <v>1</v>
      </c>
      <c r="E1534" s="242">
        <f>COUNTIFS('تجربه‌گرها'!$B:$B,$A1534,'تجربه‌گرها'!$F:$F,E$1)</f>
        <v>0</v>
      </c>
      <c r="F1534" s="242">
        <f>COUNTIFS('تجربه‌گرها'!$B:$B,$A1534,'تجربه‌گرها'!$F:$F,F$1)</f>
        <v>0</v>
      </c>
      <c r="G1534" s="242">
        <f>COUNTIFS('تجربه‌گرها'!$B:$B,$A1534,'تجربه‌گرها'!$F:$F,G$1)</f>
        <v>0</v>
      </c>
      <c r="H1534" s="242">
        <f>COUNTIFS('تجربه‌گرها'!$B:$B,$A1534,'تجربه‌گرها'!$F:$F,H$1)</f>
        <v>0</v>
      </c>
      <c r="I1534" s="242">
        <f>COUNTIFS('تجربه‌گرها'!$B:$B,$A1534,'تجربه‌گرها'!$F:$F,I$1)</f>
        <v>0</v>
      </c>
      <c r="J1534" s="242">
        <f>COUNTIFS('تجربه‌گرها'!$B:$B,$A1534,'تجربه‌گرها'!$F:$F,J$1)</f>
        <v>0</v>
      </c>
      <c r="K1534" s="242">
        <f>COUNTIFS('تجربه‌گرها'!$B:$B,$A1534,'تجربه‌گرها'!$F:$F,K$1)</f>
        <v>0</v>
      </c>
      <c r="L1534" s="242">
        <f>COUNTIFS('تجربه‌گرها'!$B:$B,$A1534,'تجربه‌گرها'!$F:$F,L$1)</f>
        <v>0</v>
      </c>
      <c r="M1534" s="242">
        <f>COUNTIFS('تجربه‌گرها'!$B:$B,$A1534,'تجربه‌گرها'!$F:$F,M$1)</f>
        <v>0</v>
      </c>
      <c r="N1534" s="242">
        <f>COUNTIFS('تجربه‌گرها'!$B:$B,$A1534,'تجربه‌گرها'!$F:$F,N$1)</f>
        <v>0</v>
      </c>
      <c r="O1534" s="242">
        <f>COUNTIFS('تجربه‌گرها'!$B:$B,$A1534,'تجربه‌گرها'!$F:$F,O$1)</f>
        <v>0</v>
      </c>
      <c r="P1534" s="242">
        <f>COUNTIFS('تجربه‌گرها'!$B:$B,$A1534,'تجربه‌گرها'!$F:$F,P$1)</f>
        <v>0</v>
      </c>
      <c r="Q1534" s="242">
        <f>COUNTIFS('تجربه‌گرها'!$B:$B,$A1534,'تجربه‌گرها'!$F:$F,Q$1)</f>
        <v>0</v>
      </c>
      <c r="R1534" s="242">
        <f>COUNTIFS('تجربه‌گرها'!$B:$B,$A1534,'تجربه‌گرها'!$F:$F,R$1)</f>
        <v>0</v>
      </c>
      <c r="S1534" s="242">
        <f>COUNTIFS('تجربه‌گرها'!$B:$B,$A1534,'تجربه‌گرها'!$F:$F,S$1)</f>
        <v>0</v>
      </c>
      <c r="T1534" s="242">
        <f>COUNTIFS('تجربه‌گرها'!$B:$B,$A1534,'تجربه‌گرها'!$F:$F,T$1)</f>
        <v>1</v>
      </c>
      <c r="U1534" s="242"/>
      <c r="V1534" s="242"/>
      <c r="W1534" s="242"/>
      <c r="X1534" s="242"/>
      <c r="Y1534" s="242"/>
      <c r="Z1534" s="242"/>
      <c r="AA1534" s="242"/>
      <c r="AB1534" s="242"/>
    </row>
    <row r="1535" hidden="1">
      <c r="A1535" s="244" t="s">
        <v>7201</v>
      </c>
      <c r="B1535" s="245" t="str">
        <f>VLOOKUP(A1535,'تجربه‌گرها'!B:C,2,FALSE())</f>
        <v>09125599532</v>
      </c>
      <c r="C1535" s="242"/>
      <c r="D1535" s="242">
        <f t="shared" si="1"/>
        <v>1</v>
      </c>
      <c r="E1535" s="242">
        <f>COUNTIFS('تجربه‌گرها'!$B:$B,$A1535,'تجربه‌گرها'!$F:$F,E$1)</f>
        <v>0</v>
      </c>
      <c r="F1535" s="242">
        <f>COUNTIFS('تجربه‌گرها'!$B:$B,$A1535,'تجربه‌گرها'!$F:$F,F$1)</f>
        <v>0</v>
      </c>
      <c r="G1535" s="242">
        <f>COUNTIFS('تجربه‌گرها'!$B:$B,$A1535,'تجربه‌گرها'!$F:$F,G$1)</f>
        <v>0</v>
      </c>
      <c r="H1535" s="242">
        <f>COUNTIFS('تجربه‌گرها'!$B:$B,$A1535,'تجربه‌گرها'!$F:$F,H$1)</f>
        <v>0</v>
      </c>
      <c r="I1535" s="242">
        <f>COUNTIFS('تجربه‌گرها'!$B:$B,$A1535,'تجربه‌گرها'!$F:$F,I$1)</f>
        <v>0</v>
      </c>
      <c r="J1535" s="242">
        <f>COUNTIFS('تجربه‌گرها'!$B:$B,$A1535,'تجربه‌گرها'!$F:$F,J$1)</f>
        <v>0</v>
      </c>
      <c r="K1535" s="242">
        <f>COUNTIFS('تجربه‌گرها'!$B:$B,$A1535,'تجربه‌گرها'!$F:$F,K$1)</f>
        <v>0</v>
      </c>
      <c r="L1535" s="242">
        <f>COUNTIFS('تجربه‌گرها'!$B:$B,$A1535,'تجربه‌گرها'!$F:$F,L$1)</f>
        <v>0</v>
      </c>
      <c r="M1535" s="242">
        <f>COUNTIFS('تجربه‌گرها'!$B:$B,$A1535,'تجربه‌گرها'!$F:$F,M$1)</f>
        <v>0</v>
      </c>
      <c r="N1535" s="242">
        <f>COUNTIFS('تجربه‌گرها'!$B:$B,$A1535,'تجربه‌گرها'!$F:$F,N$1)</f>
        <v>0</v>
      </c>
      <c r="O1535" s="242">
        <f>COUNTIFS('تجربه‌گرها'!$B:$B,$A1535,'تجربه‌گرها'!$F:$F,O$1)</f>
        <v>0</v>
      </c>
      <c r="P1535" s="242">
        <f>COUNTIFS('تجربه‌گرها'!$B:$B,$A1535,'تجربه‌گرها'!$F:$F,P$1)</f>
        <v>0</v>
      </c>
      <c r="Q1535" s="242">
        <f>COUNTIFS('تجربه‌گرها'!$B:$B,$A1535,'تجربه‌گرها'!$F:$F,Q$1)</f>
        <v>0</v>
      </c>
      <c r="R1535" s="242">
        <f>COUNTIFS('تجربه‌گرها'!$B:$B,$A1535,'تجربه‌گرها'!$F:$F,R$1)</f>
        <v>0</v>
      </c>
      <c r="S1535" s="242">
        <f>COUNTIFS('تجربه‌گرها'!$B:$B,$A1535,'تجربه‌گرها'!$F:$F,S$1)</f>
        <v>0</v>
      </c>
      <c r="T1535" s="242">
        <f>COUNTIFS('تجربه‌گرها'!$B:$B,$A1535,'تجربه‌گرها'!$F:$F,T$1)</f>
        <v>1</v>
      </c>
      <c r="U1535" s="242"/>
      <c r="V1535" s="242"/>
      <c r="W1535" s="242"/>
      <c r="X1535" s="242"/>
      <c r="Y1535" s="242"/>
      <c r="Z1535" s="242"/>
      <c r="AA1535" s="242"/>
      <c r="AB1535" s="242"/>
    </row>
    <row r="1536" hidden="1">
      <c r="A1536" s="244" t="s">
        <v>7206</v>
      </c>
      <c r="B1536" s="245" t="str">
        <f>VLOOKUP(A1536,'تجربه‌گرها'!B:C,2,FALSE())</f>
        <v>09103908775</v>
      </c>
      <c r="C1536" s="242"/>
      <c r="D1536" s="242">
        <f t="shared" si="1"/>
        <v>1</v>
      </c>
      <c r="E1536" s="242">
        <f>COUNTIFS('تجربه‌گرها'!$B:$B,$A1536,'تجربه‌گرها'!$F:$F,E$1)</f>
        <v>0</v>
      </c>
      <c r="F1536" s="242">
        <f>COUNTIFS('تجربه‌گرها'!$B:$B,$A1536,'تجربه‌گرها'!$F:$F,F$1)</f>
        <v>0</v>
      </c>
      <c r="G1536" s="242">
        <f>COUNTIFS('تجربه‌گرها'!$B:$B,$A1536,'تجربه‌گرها'!$F:$F,G$1)</f>
        <v>0</v>
      </c>
      <c r="H1536" s="242">
        <f>COUNTIFS('تجربه‌گرها'!$B:$B,$A1536,'تجربه‌گرها'!$F:$F,H$1)</f>
        <v>0</v>
      </c>
      <c r="I1536" s="242">
        <f>COUNTIFS('تجربه‌گرها'!$B:$B,$A1536,'تجربه‌گرها'!$F:$F,I$1)</f>
        <v>0</v>
      </c>
      <c r="J1536" s="242">
        <f>COUNTIFS('تجربه‌گرها'!$B:$B,$A1536,'تجربه‌گرها'!$F:$F,J$1)</f>
        <v>0</v>
      </c>
      <c r="K1536" s="242">
        <f>COUNTIFS('تجربه‌گرها'!$B:$B,$A1536,'تجربه‌گرها'!$F:$F,K$1)</f>
        <v>0</v>
      </c>
      <c r="L1536" s="242">
        <f>COUNTIFS('تجربه‌گرها'!$B:$B,$A1536,'تجربه‌گرها'!$F:$F,L$1)</f>
        <v>0</v>
      </c>
      <c r="M1536" s="242">
        <f>COUNTIFS('تجربه‌گرها'!$B:$B,$A1536,'تجربه‌گرها'!$F:$F,M$1)</f>
        <v>0</v>
      </c>
      <c r="N1536" s="242">
        <f>COUNTIFS('تجربه‌گرها'!$B:$B,$A1536,'تجربه‌گرها'!$F:$F,N$1)</f>
        <v>0</v>
      </c>
      <c r="O1536" s="242">
        <f>COUNTIFS('تجربه‌گرها'!$B:$B,$A1536,'تجربه‌گرها'!$F:$F,O$1)</f>
        <v>0</v>
      </c>
      <c r="P1536" s="242">
        <f>COUNTIFS('تجربه‌گرها'!$B:$B,$A1536,'تجربه‌گرها'!$F:$F,P$1)</f>
        <v>0</v>
      </c>
      <c r="Q1536" s="242">
        <f>COUNTIFS('تجربه‌گرها'!$B:$B,$A1536,'تجربه‌گرها'!$F:$F,Q$1)</f>
        <v>0</v>
      </c>
      <c r="R1536" s="242">
        <f>COUNTIFS('تجربه‌گرها'!$B:$B,$A1536,'تجربه‌گرها'!$F:$F,R$1)</f>
        <v>0</v>
      </c>
      <c r="S1536" s="242">
        <f>COUNTIFS('تجربه‌گرها'!$B:$B,$A1536,'تجربه‌گرها'!$F:$F,S$1)</f>
        <v>0</v>
      </c>
      <c r="T1536" s="242">
        <f>COUNTIFS('تجربه‌گرها'!$B:$B,$A1536,'تجربه‌گرها'!$F:$F,T$1)</f>
        <v>1</v>
      </c>
      <c r="U1536" s="242"/>
      <c r="V1536" s="242"/>
      <c r="W1536" s="242"/>
      <c r="X1536" s="242"/>
      <c r="Y1536" s="242"/>
      <c r="Z1536" s="242"/>
      <c r="AA1536" s="242"/>
      <c r="AB1536" s="242"/>
    </row>
    <row r="1537" hidden="1">
      <c r="A1537" s="244" t="s">
        <v>7212</v>
      </c>
      <c r="B1537" s="245" t="str">
        <f>VLOOKUP(A1537,'تجربه‌گرها'!B:C,2,FALSE())</f>
        <v>09124922268</v>
      </c>
      <c r="C1537" s="242"/>
      <c r="D1537" s="242">
        <f t="shared" si="1"/>
        <v>1</v>
      </c>
      <c r="E1537" s="242">
        <f>COUNTIFS('تجربه‌گرها'!$B:$B,$A1537,'تجربه‌گرها'!$F:$F,E$1)</f>
        <v>0</v>
      </c>
      <c r="F1537" s="242">
        <f>COUNTIFS('تجربه‌گرها'!$B:$B,$A1537,'تجربه‌گرها'!$F:$F,F$1)</f>
        <v>0</v>
      </c>
      <c r="G1537" s="242">
        <f>COUNTIFS('تجربه‌گرها'!$B:$B,$A1537,'تجربه‌گرها'!$F:$F,G$1)</f>
        <v>0</v>
      </c>
      <c r="H1537" s="242">
        <f>COUNTIFS('تجربه‌گرها'!$B:$B,$A1537,'تجربه‌گرها'!$F:$F,H$1)</f>
        <v>0</v>
      </c>
      <c r="I1537" s="242">
        <f>COUNTIFS('تجربه‌گرها'!$B:$B,$A1537,'تجربه‌گرها'!$F:$F,I$1)</f>
        <v>0</v>
      </c>
      <c r="J1537" s="242">
        <f>COUNTIFS('تجربه‌گرها'!$B:$B,$A1537,'تجربه‌گرها'!$F:$F,J$1)</f>
        <v>0</v>
      </c>
      <c r="K1537" s="242">
        <f>COUNTIFS('تجربه‌گرها'!$B:$B,$A1537,'تجربه‌گرها'!$F:$F,K$1)</f>
        <v>0</v>
      </c>
      <c r="L1537" s="242">
        <f>COUNTIFS('تجربه‌گرها'!$B:$B,$A1537,'تجربه‌گرها'!$F:$F,L$1)</f>
        <v>0</v>
      </c>
      <c r="M1537" s="242">
        <f>COUNTIFS('تجربه‌گرها'!$B:$B,$A1537,'تجربه‌گرها'!$F:$F,M$1)</f>
        <v>0</v>
      </c>
      <c r="N1537" s="242">
        <f>COUNTIFS('تجربه‌گرها'!$B:$B,$A1537,'تجربه‌گرها'!$F:$F,N$1)</f>
        <v>0</v>
      </c>
      <c r="O1537" s="242">
        <f>COUNTIFS('تجربه‌گرها'!$B:$B,$A1537,'تجربه‌گرها'!$F:$F,O$1)</f>
        <v>0</v>
      </c>
      <c r="P1537" s="242">
        <f>COUNTIFS('تجربه‌گرها'!$B:$B,$A1537,'تجربه‌گرها'!$F:$F,P$1)</f>
        <v>0</v>
      </c>
      <c r="Q1537" s="242">
        <f>COUNTIFS('تجربه‌گرها'!$B:$B,$A1537,'تجربه‌گرها'!$F:$F,Q$1)</f>
        <v>0</v>
      </c>
      <c r="R1537" s="242">
        <f>COUNTIFS('تجربه‌گرها'!$B:$B,$A1537,'تجربه‌گرها'!$F:$F,R$1)</f>
        <v>0</v>
      </c>
      <c r="S1537" s="242">
        <f>COUNTIFS('تجربه‌گرها'!$B:$B,$A1537,'تجربه‌گرها'!$F:$F,S$1)</f>
        <v>0</v>
      </c>
      <c r="T1537" s="242">
        <f>COUNTIFS('تجربه‌گرها'!$B:$B,$A1537,'تجربه‌گرها'!$F:$F,T$1)</f>
        <v>1</v>
      </c>
      <c r="U1537" s="242"/>
      <c r="V1537" s="242"/>
      <c r="W1537" s="242"/>
      <c r="X1537" s="242"/>
      <c r="Y1537" s="242"/>
      <c r="Z1537" s="242"/>
      <c r="AA1537" s="242"/>
      <c r="AB1537" s="242"/>
    </row>
    <row r="1538" hidden="1">
      <c r="A1538" s="244" t="s">
        <v>7217</v>
      </c>
      <c r="B1538" s="245" t="str">
        <f>VLOOKUP(A1538,'تجربه‌گرها'!B:C,2,FALSE())</f>
        <v>09126521405</v>
      </c>
      <c r="C1538" s="242"/>
      <c r="D1538" s="242">
        <f t="shared" si="1"/>
        <v>1</v>
      </c>
      <c r="E1538" s="242">
        <f>COUNTIFS('تجربه‌گرها'!$B:$B,$A1538,'تجربه‌گرها'!$F:$F,E$1)</f>
        <v>0</v>
      </c>
      <c r="F1538" s="242">
        <f>COUNTIFS('تجربه‌گرها'!$B:$B,$A1538,'تجربه‌گرها'!$F:$F,F$1)</f>
        <v>0</v>
      </c>
      <c r="G1538" s="242">
        <f>COUNTIFS('تجربه‌گرها'!$B:$B,$A1538,'تجربه‌گرها'!$F:$F,G$1)</f>
        <v>0</v>
      </c>
      <c r="H1538" s="242">
        <f>COUNTIFS('تجربه‌گرها'!$B:$B,$A1538,'تجربه‌گرها'!$F:$F,H$1)</f>
        <v>0</v>
      </c>
      <c r="I1538" s="242">
        <f>COUNTIFS('تجربه‌گرها'!$B:$B,$A1538,'تجربه‌گرها'!$F:$F,I$1)</f>
        <v>0</v>
      </c>
      <c r="J1538" s="242">
        <f>COUNTIFS('تجربه‌گرها'!$B:$B,$A1538,'تجربه‌گرها'!$F:$F,J$1)</f>
        <v>0</v>
      </c>
      <c r="K1538" s="242">
        <f>COUNTIFS('تجربه‌گرها'!$B:$B,$A1538,'تجربه‌گرها'!$F:$F,K$1)</f>
        <v>0</v>
      </c>
      <c r="L1538" s="242">
        <f>COUNTIFS('تجربه‌گرها'!$B:$B,$A1538,'تجربه‌گرها'!$F:$F,L$1)</f>
        <v>0</v>
      </c>
      <c r="M1538" s="242">
        <f>COUNTIFS('تجربه‌گرها'!$B:$B,$A1538,'تجربه‌گرها'!$F:$F,M$1)</f>
        <v>0</v>
      </c>
      <c r="N1538" s="242">
        <f>COUNTIFS('تجربه‌گرها'!$B:$B,$A1538,'تجربه‌گرها'!$F:$F,N$1)</f>
        <v>0</v>
      </c>
      <c r="O1538" s="242">
        <f>COUNTIFS('تجربه‌گرها'!$B:$B,$A1538,'تجربه‌گرها'!$F:$F,O$1)</f>
        <v>0</v>
      </c>
      <c r="P1538" s="242">
        <f>COUNTIFS('تجربه‌گرها'!$B:$B,$A1538,'تجربه‌گرها'!$F:$F,P$1)</f>
        <v>0</v>
      </c>
      <c r="Q1538" s="242">
        <f>COUNTIFS('تجربه‌گرها'!$B:$B,$A1538,'تجربه‌گرها'!$F:$F,Q$1)</f>
        <v>0</v>
      </c>
      <c r="R1538" s="242">
        <f>COUNTIFS('تجربه‌گرها'!$B:$B,$A1538,'تجربه‌گرها'!$F:$F,R$1)</f>
        <v>0</v>
      </c>
      <c r="S1538" s="242">
        <f>COUNTIFS('تجربه‌گرها'!$B:$B,$A1538,'تجربه‌گرها'!$F:$F,S$1)</f>
        <v>0</v>
      </c>
      <c r="T1538" s="242">
        <f>COUNTIFS('تجربه‌گرها'!$B:$B,$A1538,'تجربه‌گرها'!$F:$F,T$1)</f>
        <v>1</v>
      </c>
      <c r="U1538" s="242"/>
      <c r="V1538" s="242"/>
      <c r="W1538" s="242"/>
      <c r="X1538" s="242"/>
      <c r="Y1538" s="242"/>
      <c r="Z1538" s="242"/>
      <c r="AA1538" s="242"/>
      <c r="AB1538" s="242"/>
    </row>
    <row r="1539" hidden="1">
      <c r="A1539" s="244" t="s">
        <v>7221</v>
      </c>
      <c r="B1539" s="245" t="str">
        <f>VLOOKUP(A1539,'تجربه‌گرها'!B:C,2,FALSE())</f>
        <v>09125391061</v>
      </c>
      <c r="C1539" s="242"/>
      <c r="D1539" s="242">
        <f t="shared" si="1"/>
        <v>1</v>
      </c>
      <c r="E1539" s="242">
        <f>COUNTIFS('تجربه‌گرها'!$B:$B,$A1539,'تجربه‌گرها'!$F:$F,E$1)</f>
        <v>0</v>
      </c>
      <c r="F1539" s="242">
        <f>COUNTIFS('تجربه‌گرها'!$B:$B,$A1539,'تجربه‌گرها'!$F:$F,F$1)</f>
        <v>0</v>
      </c>
      <c r="G1539" s="242">
        <f>COUNTIFS('تجربه‌گرها'!$B:$B,$A1539,'تجربه‌گرها'!$F:$F,G$1)</f>
        <v>0</v>
      </c>
      <c r="H1539" s="242">
        <f>COUNTIFS('تجربه‌گرها'!$B:$B,$A1539,'تجربه‌گرها'!$F:$F,H$1)</f>
        <v>0</v>
      </c>
      <c r="I1539" s="242">
        <f>COUNTIFS('تجربه‌گرها'!$B:$B,$A1539,'تجربه‌گرها'!$F:$F,I$1)</f>
        <v>0</v>
      </c>
      <c r="J1539" s="242">
        <f>COUNTIFS('تجربه‌گرها'!$B:$B,$A1539,'تجربه‌گرها'!$F:$F,J$1)</f>
        <v>0</v>
      </c>
      <c r="K1539" s="242">
        <f>COUNTIFS('تجربه‌گرها'!$B:$B,$A1539,'تجربه‌گرها'!$F:$F,K$1)</f>
        <v>0</v>
      </c>
      <c r="L1539" s="242">
        <f>COUNTIFS('تجربه‌گرها'!$B:$B,$A1539,'تجربه‌گرها'!$F:$F,L$1)</f>
        <v>0</v>
      </c>
      <c r="M1539" s="242">
        <f>COUNTIFS('تجربه‌گرها'!$B:$B,$A1539,'تجربه‌گرها'!$F:$F,M$1)</f>
        <v>0</v>
      </c>
      <c r="N1539" s="242">
        <f>COUNTIFS('تجربه‌گرها'!$B:$B,$A1539,'تجربه‌گرها'!$F:$F,N$1)</f>
        <v>0</v>
      </c>
      <c r="O1539" s="242">
        <f>COUNTIFS('تجربه‌گرها'!$B:$B,$A1539,'تجربه‌گرها'!$F:$F,O$1)</f>
        <v>0</v>
      </c>
      <c r="P1539" s="242">
        <f>COUNTIFS('تجربه‌گرها'!$B:$B,$A1539,'تجربه‌گرها'!$F:$F,P$1)</f>
        <v>0</v>
      </c>
      <c r="Q1539" s="242">
        <f>COUNTIFS('تجربه‌گرها'!$B:$B,$A1539,'تجربه‌گرها'!$F:$F,Q$1)</f>
        <v>0</v>
      </c>
      <c r="R1539" s="242">
        <f>COUNTIFS('تجربه‌گرها'!$B:$B,$A1539,'تجربه‌گرها'!$F:$F,R$1)</f>
        <v>0</v>
      </c>
      <c r="S1539" s="242">
        <f>COUNTIFS('تجربه‌گرها'!$B:$B,$A1539,'تجربه‌گرها'!$F:$F,S$1)</f>
        <v>0</v>
      </c>
      <c r="T1539" s="242">
        <f>COUNTIFS('تجربه‌گرها'!$B:$B,$A1539,'تجربه‌گرها'!$F:$F,T$1)</f>
        <v>1</v>
      </c>
      <c r="U1539" s="242"/>
      <c r="V1539" s="242"/>
      <c r="W1539" s="242"/>
      <c r="X1539" s="242"/>
      <c r="Y1539" s="242"/>
      <c r="Z1539" s="242"/>
      <c r="AA1539" s="242"/>
      <c r="AB1539" s="242"/>
    </row>
    <row r="1540" hidden="1">
      <c r="A1540" s="244" t="s">
        <v>7226</v>
      </c>
      <c r="B1540" s="245" t="str">
        <f>VLOOKUP(A1540,'تجربه‌گرها'!B:C,2,FALSE())</f>
        <v>09370604805</v>
      </c>
      <c r="C1540" s="242"/>
      <c r="D1540" s="242">
        <f t="shared" si="1"/>
        <v>1</v>
      </c>
      <c r="E1540" s="242">
        <f>COUNTIFS('تجربه‌گرها'!$B:$B,$A1540,'تجربه‌گرها'!$F:$F,E$1)</f>
        <v>0</v>
      </c>
      <c r="F1540" s="242">
        <f>COUNTIFS('تجربه‌گرها'!$B:$B,$A1540,'تجربه‌گرها'!$F:$F,F$1)</f>
        <v>0</v>
      </c>
      <c r="G1540" s="242">
        <f>COUNTIFS('تجربه‌گرها'!$B:$B,$A1540,'تجربه‌گرها'!$F:$F,G$1)</f>
        <v>0</v>
      </c>
      <c r="H1540" s="242">
        <f>COUNTIFS('تجربه‌گرها'!$B:$B,$A1540,'تجربه‌گرها'!$F:$F,H$1)</f>
        <v>0</v>
      </c>
      <c r="I1540" s="242">
        <f>COUNTIFS('تجربه‌گرها'!$B:$B,$A1540,'تجربه‌گرها'!$F:$F,I$1)</f>
        <v>0</v>
      </c>
      <c r="J1540" s="242">
        <f>COUNTIFS('تجربه‌گرها'!$B:$B,$A1540,'تجربه‌گرها'!$F:$F,J$1)</f>
        <v>0</v>
      </c>
      <c r="K1540" s="242">
        <f>COUNTIFS('تجربه‌گرها'!$B:$B,$A1540,'تجربه‌گرها'!$F:$F,K$1)</f>
        <v>0</v>
      </c>
      <c r="L1540" s="242">
        <f>COUNTIFS('تجربه‌گرها'!$B:$B,$A1540,'تجربه‌گرها'!$F:$F,L$1)</f>
        <v>0</v>
      </c>
      <c r="M1540" s="242">
        <f>COUNTIFS('تجربه‌گرها'!$B:$B,$A1540,'تجربه‌گرها'!$F:$F,M$1)</f>
        <v>0</v>
      </c>
      <c r="N1540" s="242">
        <f>COUNTIFS('تجربه‌گرها'!$B:$B,$A1540,'تجربه‌گرها'!$F:$F,N$1)</f>
        <v>0</v>
      </c>
      <c r="O1540" s="242">
        <f>COUNTIFS('تجربه‌گرها'!$B:$B,$A1540,'تجربه‌گرها'!$F:$F,O$1)</f>
        <v>0</v>
      </c>
      <c r="P1540" s="242">
        <f>COUNTIFS('تجربه‌گرها'!$B:$B,$A1540,'تجربه‌گرها'!$F:$F,P$1)</f>
        <v>0</v>
      </c>
      <c r="Q1540" s="242">
        <f>COUNTIFS('تجربه‌گرها'!$B:$B,$A1540,'تجربه‌گرها'!$F:$F,Q$1)</f>
        <v>0</v>
      </c>
      <c r="R1540" s="242">
        <f>COUNTIFS('تجربه‌گرها'!$B:$B,$A1540,'تجربه‌گرها'!$F:$F,R$1)</f>
        <v>0</v>
      </c>
      <c r="S1540" s="242">
        <f>COUNTIFS('تجربه‌گرها'!$B:$B,$A1540,'تجربه‌گرها'!$F:$F,S$1)</f>
        <v>0</v>
      </c>
      <c r="T1540" s="242">
        <f>COUNTIFS('تجربه‌گرها'!$B:$B,$A1540,'تجربه‌گرها'!$F:$F,T$1)</f>
        <v>1</v>
      </c>
      <c r="U1540" s="242"/>
      <c r="V1540" s="242"/>
      <c r="W1540" s="242"/>
      <c r="X1540" s="242"/>
      <c r="Y1540" s="242"/>
      <c r="Z1540" s="242"/>
      <c r="AA1540" s="242"/>
      <c r="AB1540" s="242"/>
    </row>
    <row r="1541" hidden="1">
      <c r="A1541" s="244" t="s">
        <v>7388</v>
      </c>
      <c r="B1541" s="245" t="str">
        <f>VLOOKUP(A1541,'تجربه‌گرها'!B:C,2,FALSE())</f>
        <v/>
      </c>
      <c r="C1541" s="242"/>
      <c r="D1541" s="242">
        <f t="shared" si="1"/>
        <v>0</v>
      </c>
      <c r="E1541" s="242">
        <f>COUNTIFS('تجربه‌گرها'!$B:$B,$A1541,'تجربه‌گرها'!$F:$F,E$1)</f>
        <v>0</v>
      </c>
      <c r="F1541" s="242">
        <f>COUNTIFS('تجربه‌گرها'!$B:$B,$A1541,'تجربه‌گرها'!$F:$F,F$1)</f>
        <v>0</v>
      </c>
      <c r="G1541" s="242">
        <f>COUNTIFS('تجربه‌گرها'!$B:$B,$A1541,'تجربه‌گرها'!$F:$F,G$1)</f>
        <v>0</v>
      </c>
      <c r="H1541" s="242">
        <f>COUNTIFS('تجربه‌گرها'!$B:$B,$A1541,'تجربه‌گرها'!$F:$F,H$1)</f>
        <v>0</v>
      </c>
      <c r="I1541" s="242">
        <f>COUNTIFS('تجربه‌گرها'!$B:$B,$A1541,'تجربه‌گرها'!$F:$F,I$1)</f>
        <v>0</v>
      </c>
      <c r="J1541" s="242">
        <f>COUNTIFS('تجربه‌گرها'!$B:$B,$A1541,'تجربه‌گرها'!$F:$F,J$1)</f>
        <v>0</v>
      </c>
      <c r="K1541" s="242">
        <f>COUNTIFS('تجربه‌گرها'!$B:$B,$A1541,'تجربه‌گرها'!$F:$F,K$1)</f>
        <v>0</v>
      </c>
      <c r="L1541" s="242">
        <f>COUNTIFS('تجربه‌گرها'!$B:$B,$A1541,'تجربه‌گرها'!$F:$F,L$1)</f>
        <v>0</v>
      </c>
      <c r="M1541" s="242">
        <f>COUNTIFS('تجربه‌گرها'!$B:$B,$A1541,'تجربه‌گرها'!$F:$F,M$1)</f>
        <v>0</v>
      </c>
      <c r="N1541" s="242">
        <f>COUNTIFS('تجربه‌گرها'!$B:$B,$A1541,'تجربه‌گرها'!$F:$F,N$1)</f>
        <v>0</v>
      </c>
      <c r="O1541" s="242">
        <f>COUNTIFS('تجربه‌گرها'!$B:$B,$A1541,'تجربه‌گرها'!$F:$F,O$1)</f>
        <v>0</v>
      </c>
      <c r="P1541" s="242">
        <f>COUNTIFS('تجربه‌گرها'!$B:$B,$A1541,'تجربه‌گرها'!$F:$F,P$1)</f>
        <v>0</v>
      </c>
      <c r="Q1541" s="242">
        <f>COUNTIFS('تجربه‌گرها'!$B:$B,$A1541,'تجربه‌گرها'!$F:$F,Q$1)</f>
        <v>0</v>
      </c>
      <c r="R1541" s="242">
        <f>COUNTIFS('تجربه‌گرها'!$B:$B,$A1541,'تجربه‌گرها'!$F:$F,R$1)</f>
        <v>0</v>
      </c>
      <c r="S1541" s="242">
        <f>COUNTIFS('تجربه‌گرها'!$B:$B,$A1541,'تجربه‌گرها'!$F:$F,S$1)</f>
        <v>0</v>
      </c>
      <c r="T1541" s="242">
        <f>COUNTIFS('تجربه‌گرها'!$B:$B,$A1541,'تجربه‌گرها'!$F:$F,T$1)</f>
        <v>0</v>
      </c>
      <c r="U1541" s="242"/>
      <c r="V1541" s="242"/>
      <c r="W1541" s="242"/>
      <c r="X1541" s="242"/>
      <c r="Y1541" s="242"/>
      <c r="Z1541" s="242"/>
      <c r="AA1541" s="242"/>
      <c r="AB1541" s="242"/>
    </row>
    <row r="1542" hidden="1">
      <c r="A1542" s="244"/>
      <c r="B1542" s="242" t="str">
        <f>VLOOKUP(A1542,'تجربه‌گرها'!B:C,2,FALSE())</f>
        <v>#N/A</v>
      </c>
      <c r="C1542" s="242"/>
      <c r="D1542" s="242">
        <f t="shared" si="1"/>
        <v>0</v>
      </c>
      <c r="E1542" s="242">
        <f>COUNTIFS('تجربه‌گرها'!$B:$B,$A1542,'تجربه‌گرها'!$F:$F,E$1)</f>
        <v>0</v>
      </c>
      <c r="F1542" s="242">
        <f>COUNTIFS('تجربه‌گرها'!$B:$B,$A1542,'تجربه‌گرها'!$F:$F,F$1)</f>
        <v>0</v>
      </c>
      <c r="G1542" s="242">
        <f>COUNTIFS('تجربه‌گرها'!$B:$B,$A1542,'تجربه‌گرها'!$F:$F,G$1)</f>
        <v>0</v>
      </c>
      <c r="H1542" s="242">
        <f>COUNTIFS('تجربه‌گرها'!$B:$B,$A1542,'تجربه‌گرها'!$F:$F,H$1)</f>
        <v>0</v>
      </c>
      <c r="I1542" s="242">
        <f>COUNTIFS('تجربه‌گرها'!$B:$B,$A1542,'تجربه‌گرها'!$F:$F,I$1)</f>
        <v>0</v>
      </c>
      <c r="J1542" s="242">
        <f>COUNTIFS('تجربه‌گرها'!$B:$B,$A1542,'تجربه‌گرها'!$F:$F,J$1)</f>
        <v>0</v>
      </c>
      <c r="K1542" s="242">
        <f>COUNTIFS('تجربه‌گرها'!$B:$B,$A1542,'تجربه‌گرها'!$F:$F,K$1)</f>
        <v>0</v>
      </c>
      <c r="L1542" s="242">
        <f>COUNTIFS('تجربه‌گرها'!$B:$B,$A1542,'تجربه‌گرها'!$F:$F,L$1)</f>
        <v>0</v>
      </c>
      <c r="M1542" s="242">
        <f>COUNTIFS('تجربه‌گرها'!$B:$B,$A1542,'تجربه‌گرها'!$F:$F,M$1)</f>
        <v>0</v>
      </c>
      <c r="N1542" s="242">
        <f>COUNTIFS('تجربه‌گرها'!$B:$B,$A1542,'تجربه‌گرها'!$F:$F,N$1)</f>
        <v>0</v>
      </c>
      <c r="O1542" s="242">
        <f>COUNTIFS('تجربه‌گرها'!$B:$B,$A1542,'تجربه‌گرها'!$F:$F,O$1)</f>
        <v>0</v>
      </c>
      <c r="P1542" s="242">
        <f>COUNTIFS('تجربه‌گرها'!$B:$B,$A1542,'تجربه‌گرها'!$F:$F,P$1)</f>
        <v>0</v>
      </c>
      <c r="Q1542" s="242">
        <f>COUNTIFS('تجربه‌گرها'!$B:$B,$A1542,'تجربه‌گرها'!$F:$F,Q$1)</f>
        <v>0</v>
      </c>
      <c r="R1542" s="242">
        <f>COUNTIFS('تجربه‌گرها'!$B:$B,$A1542,'تجربه‌گرها'!$F:$F,R$1)</f>
        <v>0</v>
      </c>
      <c r="S1542" s="242">
        <f>COUNTIFS('تجربه‌گرها'!$B:$B,$A1542,'تجربه‌گرها'!$F:$F,S$1)</f>
        <v>0</v>
      </c>
      <c r="T1542" s="242">
        <f>COUNTIFS('تجربه‌گرها'!$B:$B,$A1542,'تجربه‌گرها'!$F:$F,T$1)</f>
        <v>0</v>
      </c>
      <c r="U1542" s="242"/>
      <c r="V1542" s="242"/>
      <c r="W1542" s="242"/>
      <c r="X1542" s="242"/>
      <c r="Y1542" s="242"/>
      <c r="Z1542" s="242"/>
      <c r="AA1542" s="242"/>
      <c r="AB1542" s="242"/>
    </row>
    <row r="1543" hidden="1">
      <c r="A1543" s="244"/>
      <c r="B1543" s="242" t="str">
        <f>VLOOKUP(A1543,'تجربه‌گرها'!B:C,2,FALSE())</f>
        <v>#N/A</v>
      </c>
      <c r="C1543" s="242"/>
      <c r="D1543" s="242">
        <f t="shared" si="1"/>
        <v>0</v>
      </c>
      <c r="E1543" s="242">
        <f>COUNTIFS('تجربه‌گرها'!$B:$B,$A1543,'تجربه‌گرها'!$F:$F,E$1)</f>
        <v>0</v>
      </c>
      <c r="F1543" s="242">
        <f>COUNTIFS('تجربه‌گرها'!$B:$B,$A1543,'تجربه‌گرها'!$F:$F,F$1)</f>
        <v>0</v>
      </c>
      <c r="G1543" s="242">
        <f>COUNTIFS('تجربه‌گرها'!$B:$B,$A1543,'تجربه‌گرها'!$F:$F,G$1)</f>
        <v>0</v>
      </c>
      <c r="H1543" s="242">
        <f>COUNTIFS('تجربه‌گرها'!$B:$B,$A1543,'تجربه‌گرها'!$F:$F,H$1)</f>
        <v>0</v>
      </c>
      <c r="I1543" s="242">
        <f>COUNTIFS('تجربه‌گرها'!$B:$B,$A1543,'تجربه‌گرها'!$F:$F,I$1)</f>
        <v>0</v>
      </c>
      <c r="J1543" s="242">
        <f>COUNTIFS('تجربه‌گرها'!$B:$B,$A1543,'تجربه‌گرها'!$F:$F,J$1)</f>
        <v>0</v>
      </c>
      <c r="K1543" s="242">
        <f>COUNTIFS('تجربه‌گرها'!$B:$B,$A1543,'تجربه‌گرها'!$F:$F,K$1)</f>
        <v>0</v>
      </c>
      <c r="L1543" s="242">
        <f>COUNTIFS('تجربه‌گرها'!$B:$B,$A1543,'تجربه‌گرها'!$F:$F,L$1)</f>
        <v>0</v>
      </c>
      <c r="M1543" s="242">
        <f>COUNTIFS('تجربه‌گرها'!$B:$B,$A1543,'تجربه‌گرها'!$F:$F,M$1)</f>
        <v>0</v>
      </c>
      <c r="N1543" s="242">
        <f>COUNTIFS('تجربه‌گرها'!$B:$B,$A1543,'تجربه‌گرها'!$F:$F,N$1)</f>
        <v>0</v>
      </c>
      <c r="O1543" s="242">
        <f>COUNTIFS('تجربه‌گرها'!$B:$B,$A1543,'تجربه‌گرها'!$F:$F,O$1)</f>
        <v>0</v>
      </c>
      <c r="P1543" s="242">
        <f>COUNTIFS('تجربه‌گرها'!$B:$B,$A1543,'تجربه‌گرها'!$F:$F,P$1)</f>
        <v>0</v>
      </c>
      <c r="Q1543" s="242">
        <f>COUNTIFS('تجربه‌گرها'!$B:$B,$A1543,'تجربه‌گرها'!$F:$F,Q$1)</f>
        <v>0</v>
      </c>
      <c r="R1543" s="242">
        <f>COUNTIFS('تجربه‌گرها'!$B:$B,$A1543,'تجربه‌گرها'!$F:$F,R$1)</f>
        <v>0</v>
      </c>
      <c r="S1543" s="242">
        <f>COUNTIFS('تجربه‌گرها'!$B:$B,$A1543,'تجربه‌گرها'!$F:$F,S$1)</f>
        <v>0</v>
      </c>
      <c r="T1543" s="242">
        <f>COUNTIFS('تجربه‌گرها'!$B:$B,$A1543,'تجربه‌گرها'!$F:$F,T$1)</f>
        <v>0</v>
      </c>
      <c r="U1543" s="242"/>
      <c r="V1543" s="242"/>
      <c r="W1543" s="242"/>
      <c r="X1543" s="242"/>
      <c r="Y1543" s="242"/>
      <c r="Z1543" s="242"/>
      <c r="AA1543" s="242"/>
      <c r="AB1543" s="242"/>
    </row>
    <row r="1544" hidden="1">
      <c r="A1544" s="244"/>
      <c r="B1544" s="242" t="str">
        <f>VLOOKUP(A1544,'تجربه‌گرها'!B:C,2,FALSE())</f>
        <v>#N/A</v>
      </c>
      <c r="C1544" s="242"/>
      <c r="D1544" s="242">
        <f t="shared" si="1"/>
        <v>0</v>
      </c>
      <c r="E1544" s="242">
        <f>COUNTIFS('تجربه‌گرها'!$B:$B,$A1544,'تجربه‌گرها'!$F:$F,E$1)</f>
        <v>0</v>
      </c>
      <c r="F1544" s="242">
        <f>COUNTIFS('تجربه‌گرها'!$B:$B,$A1544,'تجربه‌گرها'!$F:$F,F$1)</f>
        <v>0</v>
      </c>
      <c r="G1544" s="242">
        <f>COUNTIFS('تجربه‌گرها'!$B:$B,$A1544,'تجربه‌گرها'!$F:$F,G$1)</f>
        <v>0</v>
      </c>
      <c r="H1544" s="242">
        <f>COUNTIFS('تجربه‌گرها'!$B:$B,$A1544,'تجربه‌گرها'!$F:$F,H$1)</f>
        <v>0</v>
      </c>
      <c r="I1544" s="242">
        <f>COUNTIFS('تجربه‌گرها'!$B:$B,$A1544,'تجربه‌گرها'!$F:$F,I$1)</f>
        <v>0</v>
      </c>
      <c r="J1544" s="242">
        <f>COUNTIFS('تجربه‌گرها'!$B:$B,$A1544,'تجربه‌گرها'!$F:$F,J$1)</f>
        <v>0</v>
      </c>
      <c r="K1544" s="242">
        <f>COUNTIFS('تجربه‌گرها'!$B:$B,$A1544,'تجربه‌گرها'!$F:$F,K$1)</f>
        <v>0</v>
      </c>
      <c r="L1544" s="242">
        <f>COUNTIFS('تجربه‌گرها'!$B:$B,$A1544,'تجربه‌گرها'!$F:$F,L$1)</f>
        <v>0</v>
      </c>
      <c r="M1544" s="242">
        <f>COUNTIFS('تجربه‌گرها'!$B:$B,$A1544,'تجربه‌گرها'!$F:$F,M$1)</f>
        <v>0</v>
      </c>
      <c r="N1544" s="242">
        <f>COUNTIFS('تجربه‌گرها'!$B:$B,$A1544,'تجربه‌گرها'!$F:$F,N$1)</f>
        <v>0</v>
      </c>
      <c r="O1544" s="242">
        <f>COUNTIFS('تجربه‌گرها'!$B:$B,$A1544,'تجربه‌گرها'!$F:$F,O$1)</f>
        <v>0</v>
      </c>
      <c r="P1544" s="242">
        <f>COUNTIFS('تجربه‌گرها'!$B:$B,$A1544,'تجربه‌گرها'!$F:$F,P$1)</f>
        <v>0</v>
      </c>
      <c r="Q1544" s="242">
        <f>COUNTIFS('تجربه‌گرها'!$B:$B,$A1544,'تجربه‌گرها'!$F:$F,Q$1)</f>
        <v>0</v>
      </c>
      <c r="R1544" s="242">
        <f>COUNTIFS('تجربه‌گرها'!$B:$B,$A1544,'تجربه‌گرها'!$F:$F,R$1)</f>
        <v>0</v>
      </c>
      <c r="S1544" s="242">
        <f>COUNTIFS('تجربه‌گرها'!$B:$B,$A1544,'تجربه‌گرها'!$F:$F,S$1)</f>
        <v>0</v>
      </c>
      <c r="T1544" s="242">
        <f>COUNTIFS('تجربه‌گرها'!$B:$B,$A1544,'تجربه‌گرها'!$F:$F,T$1)</f>
        <v>0</v>
      </c>
      <c r="U1544" s="242"/>
      <c r="V1544" s="242"/>
      <c r="W1544" s="242"/>
      <c r="X1544" s="242"/>
      <c r="Y1544" s="242"/>
      <c r="Z1544" s="242"/>
      <c r="AA1544" s="242"/>
      <c r="AB1544" s="242"/>
    </row>
    <row r="1545" hidden="1">
      <c r="A1545" s="244"/>
      <c r="B1545" s="242" t="str">
        <f>VLOOKUP(A1545,'تجربه‌گرها'!B:C,2,FALSE())</f>
        <v>#N/A</v>
      </c>
      <c r="C1545" s="242"/>
      <c r="D1545" s="242">
        <f t="shared" si="1"/>
        <v>0</v>
      </c>
      <c r="E1545" s="242">
        <f>COUNTIFS('تجربه‌گرها'!$B:$B,$A1545,'تجربه‌گرها'!$F:$F,E$1)</f>
        <v>0</v>
      </c>
      <c r="F1545" s="242">
        <f>COUNTIFS('تجربه‌گرها'!$B:$B,$A1545,'تجربه‌گرها'!$F:$F,F$1)</f>
        <v>0</v>
      </c>
      <c r="G1545" s="242">
        <f>COUNTIFS('تجربه‌گرها'!$B:$B,$A1545,'تجربه‌گرها'!$F:$F,G$1)</f>
        <v>0</v>
      </c>
      <c r="H1545" s="242">
        <f>COUNTIFS('تجربه‌گرها'!$B:$B,$A1545,'تجربه‌گرها'!$F:$F,H$1)</f>
        <v>0</v>
      </c>
      <c r="I1545" s="242">
        <f>COUNTIFS('تجربه‌گرها'!$B:$B,$A1545,'تجربه‌گرها'!$F:$F,I$1)</f>
        <v>0</v>
      </c>
      <c r="J1545" s="242">
        <f>COUNTIFS('تجربه‌گرها'!$B:$B,$A1545,'تجربه‌گرها'!$F:$F,J$1)</f>
        <v>0</v>
      </c>
      <c r="K1545" s="242">
        <f>COUNTIFS('تجربه‌گرها'!$B:$B,$A1545,'تجربه‌گرها'!$F:$F,K$1)</f>
        <v>0</v>
      </c>
      <c r="L1545" s="242">
        <f>COUNTIFS('تجربه‌گرها'!$B:$B,$A1545,'تجربه‌گرها'!$F:$F,L$1)</f>
        <v>0</v>
      </c>
      <c r="M1545" s="242">
        <f>COUNTIFS('تجربه‌گرها'!$B:$B,$A1545,'تجربه‌گرها'!$F:$F,M$1)</f>
        <v>0</v>
      </c>
      <c r="N1545" s="242">
        <f>COUNTIFS('تجربه‌گرها'!$B:$B,$A1545,'تجربه‌گرها'!$F:$F,N$1)</f>
        <v>0</v>
      </c>
      <c r="O1545" s="242">
        <f>COUNTIFS('تجربه‌گرها'!$B:$B,$A1545,'تجربه‌گرها'!$F:$F,O$1)</f>
        <v>0</v>
      </c>
      <c r="P1545" s="242">
        <f>COUNTIFS('تجربه‌گرها'!$B:$B,$A1545,'تجربه‌گرها'!$F:$F,P$1)</f>
        <v>0</v>
      </c>
      <c r="Q1545" s="242">
        <f>COUNTIFS('تجربه‌گرها'!$B:$B,$A1545,'تجربه‌گرها'!$F:$F,Q$1)</f>
        <v>0</v>
      </c>
      <c r="R1545" s="242">
        <f>COUNTIFS('تجربه‌گرها'!$B:$B,$A1545,'تجربه‌گرها'!$F:$F,R$1)</f>
        <v>0</v>
      </c>
      <c r="S1545" s="242">
        <f>COUNTIFS('تجربه‌گرها'!$B:$B,$A1545,'تجربه‌گرها'!$F:$F,S$1)</f>
        <v>0</v>
      </c>
      <c r="T1545" s="242">
        <f>COUNTIFS('تجربه‌گرها'!$B:$B,$A1545,'تجربه‌گرها'!$F:$F,T$1)</f>
        <v>0</v>
      </c>
      <c r="U1545" s="242"/>
      <c r="V1545" s="242"/>
      <c r="W1545" s="242"/>
      <c r="X1545" s="242"/>
      <c r="Y1545" s="242"/>
      <c r="Z1545" s="242"/>
      <c r="AA1545" s="242"/>
      <c r="AB1545" s="242"/>
    </row>
    <row r="1546" hidden="1">
      <c r="A1546" s="244"/>
      <c r="B1546" s="242" t="str">
        <f>VLOOKUP(A1546,'تجربه‌گرها'!B:C,2,FALSE())</f>
        <v>#N/A</v>
      </c>
      <c r="C1546" s="242"/>
      <c r="D1546" s="242">
        <f t="shared" si="1"/>
        <v>0</v>
      </c>
      <c r="E1546" s="242">
        <f>COUNTIFS('تجربه‌گرها'!$B:$B,$A1546,'تجربه‌گرها'!$F:$F,E$1)</f>
        <v>0</v>
      </c>
      <c r="F1546" s="242">
        <f>COUNTIFS('تجربه‌گرها'!$B:$B,$A1546,'تجربه‌گرها'!$F:$F,F$1)</f>
        <v>0</v>
      </c>
      <c r="G1546" s="242">
        <f>COUNTIFS('تجربه‌گرها'!$B:$B,$A1546,'تجربه‌گرها'!$F:$F,G$1)</f>
        <v>0</v>
      </c>
      <c r="H1546" s="242">
        <f>COUNTIFS('تجربه‌گرها'!$B:$B,$A1546,'تجربه‌گرها'!$F:$F,H$1)</f>
        <v>0</v>
      </c>
      <c r="I1546" s="242">
        <f>COUNTIFS('تجربه‌گرها'!$B:$B,$A1546,'تجربه‌گرها'!$F:$F,I$1)</f>
        <v>0</v>
      </c>
      <c r="J1546" s="242">
        <f>COUNTIFS('تجربه‌گرها'!$B:$B,$A1546,'تجربه‌گرها'!$F:$F,J$1)</f>
        <v>0</v>
      </c>
      <c r="K1546" s="242">
        <f>COUNTIFS('تجربه‌گرها'!$B:$B,$A1546,'تجربه‌گرها'!$F:$F,K$1)</f>
        <v>0</v>
      </c>
      <c r="L1546" s="242">
        <f>COUNTIFS('تجربه‌گرها'!$B:$B,$A1546,'تجربه‌گرها'!$F:$F,L$1)</f>
        <v>0</v>
      </c>
      <c r="M1546" s="242">
        <f>COUNTIFS('تجربه‌گرها'!$B:$B,$A1546,'تجربه‌گرها'!$F:$F,M$1)</f>
        <v>0</v>
      </c>
      <c r="N1546" s="242">
        <f>COUNTIFS('تجربه‌گرها'!$B:$B,$A1546,'تجربه‌گرها'!$F:$F,N$1)</f>
        <v>0</v>
      </c>
      <c r="O1546" s="242">
        <f>COUNTIFS('تجربه‌گرها'!$B:$B,$A1546,'تجربه‌گرها'!$F:$F,O$1)</f>
        <v>0</v>
      </c>
      <c r="P1546" s="242">
        <f>COUNTIFS('تجربه‌گرها'!$B:$B,$A1546,'تجربه‌گرها'!$F:$F,P$1)</f>
        <v>0</v>
      </c>
      <c r="Q1546" s="242">
        <f>COUNTIFS('تجربه‌گرها'!$B:$B,$A1546,'تجربه‌گرها'!$F:$F,Q$1)</f>
        <v>0</v>
      </c>
      <c r="R1546" s="242">
        <f>COUNTIFS('تجربه‌گرها'!$B:$B,$A1546,'تجربه‌گرها'!$F:$F,R$1)</f>
        <v>0</v>
      </c>
      <c r="S1546" s="242">
        <f>COUNTIFS('تجربه‌گرها'!$B:$B,$A1546,'تجربه‌گرها'!$F:$F,S$1)</f>
        <v>0</v>
      </c>
      <c r="T1546" s="242">
        <f>COUNTIFS('تجربه‌گرها'!$B:$B,$A1546,'تجربه‌گرها'!$F:$F,T$1)</f>
        <v>0</v>
      </c>
      <c r="U1546" s="242"/>
      <c r="V1546" s="242"/>
      <c r="W1546" s="242"/>
      <c r="X1546" s="242"/>
      <c r="Y1546" s="242"/>
      <c r="Z1546" s="242"/>
      <c r="AA1546" s="242"/>
      <c r="AB1546" s="242"/>
    </row>
    <row r="1547" hidden="1">
      <c r="A1547" s="244"/>
      <c r="B1547" s="242" t="str">
        <f>VLOOKUP(A1547,'تجربه‌گرها'!B:C,2,FALSE())</f>
        <v>#N/A</v>
      </c>
      <c r="C1547" s="242"/>
      <c r="D1547" s="242">
        <f t="shared" si="1"/>
        <v>0</v>
      </c>
      <c r="E1547" s="242">
        <f>COUNTIFS('تجربه‌گرها'!$B:$B,$A1547,'تجربه‌گرها'!$F:$F,E$1)</f>
        <v>0</v>
      </c>
      <c r="F1547" s="242">
        <f>COUNTIFS('تجربه‌گرها'!$B:$B,$A1547,'تجربه‌گرها'!$F:$F,F$1)</f>
        <v>0</v>
      </c>
      <c r="G1547" s="242">
        <f>COUNTIFS('تجربه‌گرها'!$B:$B,$A1547,'تجربه‌گرها'!$F:$F,G$1)</f>
        <v>0</v>
      </c>
      <c r="H1547" s="242">
        <f>COUNTIFS('تجربه‌گرها'!$B:$B,$A1547,'تجربه‌گرها'!$F:$F,H$1)</f>
        <v>0</v>
      </c>
      <c r="I1547" s="242">
        <f>COUNTIFS('تجربه‌گرها'!$B:$B,$A1547,'تجربه‌گرها'!$F:$F,I$1)</f>
        <v>0</v>
      </c>
      <c r="J1547" s="242">
        <f>COUNTIFS('تجربه‌گرها'!$B:$B,$A1547,'تجربه‌گرها'!$F:$F,J$1)</f>
        <v>0</v>
      </c>
      <c r="K1547" s="242">
        <f>COUNTIFS('تجربه‌گرها'!$B:$B,$A1547,'تجربه‌گرها'!$F:$F,K$1)</f>
        <v>0</v>
      </c>
      <c r="L1547" s="242">
        <f>COUNTIFS('تجربه‌گرها'!$B:$B,$A1547,'تجربه‌گرها'!$F:$F,L$1)</f>
        <v>0</v>
      </c>
      <c r="M1547" s="242">
        <f>COUNTIFS('تجربه‌گرها'!$B:$B,$A1547,'تجربه‌گرها'!$F:$F,M$1)</f>
        <v>0</v>
      </c>
      <c r="N1547" s="242">
        <f>COUNTIFS('تجربه‌گرها'!$B:$B,$A1547,'تجربه‌گرها'!$F:$F,N$1)</f>
        <v>0</v>
      </c>
      <c r="O1547" s="242">
        <f>COUNTIFS('تجربه‌گرها'!$B:$B,$A1547,'تجربه‌گرها'!$F:$F,O$1)</f>
        <v>0</v>
      </c>
      <c r="P1547" s="242">
        <f>COUNTIFS('تجربه‌گرها'!$B:$B,$A1547,'تجربه‌گرها'!$F:$F,P$1)</f>
        <v>0</v>
      </c>
      <c r="Q1547" s="242">
        <f>COUNTIFS('تجربه‌گرها'!$B:$B,$A1547,'تجربه‌گرها'!$F:$F,Q$1)</f>
        <v>0</v>
      </c>
      <c r="R1547" s="242">
        <f>COUNTIFS('تجربه‌گرها'!$B:$B,$A1547,'تجربه‌گرها'!$F:$F,R$1)</f>
        <v>0</v>
      </c>
      <c r="S1547" s="242">
        <f>COUNTIFS('تجربه‌گرها'!$B:$B,$A1547,'تجربه‌گرها'!$F:$F,S$1)</f>
        <v>0</v>
      </c>
      <c r="T1547" s="242">
        <f>COUNTIFS('تجربه‌گرها'!$B:$B,$A1547,'تجربه‌گرها'!$F:$F,T$1)</f>
        <v>0</v>
      </c>
      <c r="U1547" s="242"/>
      <c r="V1547" s="242"/>
      <c r="W1547" s="242"/>
      <c r="X1547" s="242"/>
      <c r="Y1547" s="242"/>
      <c r="Z1547" s="242"/>
      <c r="AA1547" s="242"/>
      <c r="AB1547" s="242"/>
    </row>
    <row r="1548" hidden="1">
      <c r="A1548" s="244"/>
      <c r="B1548" s="242" t="str">
        <f>VLOOKUP(A1548,'تجربه‌گرها'!B:C,2,FALSE())</f>
        <v>#N/A</v>
      </c>
      <c r="C1548" s="242"/>
      <c r="D1548" s="242">
        <f t="shared" si="1"/>
        <v>0</v>
      </c>
      <c r="E1548" s="242">
        <f>COUNTIFS('تجربه‌گرها'!$B:$B,$A1548,'تجربه‌گرها'!$F:$F,E$1)</f>
        <v>0</v>
      </c>
      <c r="F1548" s="242">
        <f>COUNTIFS('تجربه‌گرها'!$B:$B,$A1548,'تجربه‌گرها'!$F:$F,F$1)</f>
        <v>0</v>
      </c>
      <c r="G1548" s="242">
        <f>COUNTIFS('تجربه‌گرها'!$B:$B,$A1548,'تجربه‌گرها'!$F:$F,G$1)</f>
        <v>0</v>
      </c>
      <c r="H1548" s="242">
        <f>COUNTIFS('تجربه‌گرها'!$B:$B,$A1548,'تجربه‌گرها'!$F:$F,H$1)</f>
        <v>0</v>
      </c>
      <c r="I1548" s="242">
        <f>COUNTIFS('تجربه‌گرها'!$B:$B,$A1548,'تجربه‌گرها'!$F:$F,I$1)</f>
        <v>0</v>
      </c>
      <c r="J1548" s="242">
        <f>COUNTIFS('تجربه‌گرها'!$B:$B,$A1548,'تجربه‌گرها'!$F:$F,J$1)</f>
        <v>0</v>
      </c>
      <c r="K1548" s="242">
        <f>COUNTIFS('تجربه‌گرها'!$B:$B,$A1548,'تجربه‌گرها'!$F:$F,K$1)</f>
        <v>0</v>
      </c>
      <c r="L1548" s="242">
        <f>COUNTIFS('تجربه‌گرها'!$B:$B,$A1548,'تجربه‌گرها'!$F:$F,L$1)</f>
        <v>0</v>
      </c>
      <c r="M1548" s="242">
        <f>COUNTIFS('تجربه‌گرها'!$B:$B,$A1548,'تجربه‌گرها'!$F:$F,M$1)</f>
        <v>0</v>
      </c>
      <c r="N1548" s="242">
        <f>COUNTIFS('تجربه‌گرها'!$B:$B,$A1548,'تجربه‌گرها'!$F:$F,N$1)</f>
        <v>0</v>
      </c>
      <c r="O1548" s="242">
        <f>COUNTIFS('تجربه‌گرها'!$B:$B,$A1548,'تجربه‌گرها'!$F:$F,O$1)</f>
        <v>0</v>
      </c>
      <c r="P1548" s="242">
        <f>COUNTIFS('تجربه‌گرها'!$B:$B,$A1548,'تجربه‌گرها'!$F:$F,P$1)</f>
        <v>0</v>
      </c>
      <c r="Q1548" s="242">
        <f>COUNTIFS('تجربه‌گرها'!$B:$B,$A1548,'تجربه‌گرها'!$F:$F,Q$1)</f>
        <v>0</v>
      </c>
      <c r="R1548" s="242">
        <f>COUNTIFS('تجربه‌گرها'!$B:$B,$A1548,'تجربه‌گرها'!$F:$F,R$1)</f>
        <v>0</v>
      </c>
      <c r="S1548" s="242">
        <f>COUNTIFS('تجربه‌گرها'!$B:$B,$A1548,'تجربه‌گرها'!$F:$F,S$1)</f>
        <v>0</v>
      </c>
      <c r="T1548" s="242">
        <f>COUNTIFS('تجربه‌گرها'!$B:$B,$A1548,'تجربه‌گرها'!$F:$F,T$1)</f>
        <v>0</v>
      </c>
      <c r="U1548" s="242"/>
      <c r="V1548" s="242"/>
      <c r="W1548" s="242"/>
      <c r="X1548" s="242"/>
      <c r="Y1548" s="242"/>
      <c r="Z1548" s="242"/>
      <c r="AA1548" s="242"/>
      <c r="AB1548" s="242"/>
    </row>
    <row r="1549" hidden="1">
      <c r="A1549" s="244"/>
      <c r="B1549" s="242" t="str">
        <f>VLOOKUP(A1549,'تجربه‌گرها'!B:C,2,FALSE())</f>
        <v>#N/A</v>
      </c>
      <c r="C1549" s="242"/>
      <c r="D1549" s="242">
        <f t="shared" si="1"/>
        <v>0</v>
      </c>
      <c r="E1549" s="242">
        <f>COUNTIFS('تجربه‌گرها'!$B:$B,$A1549,'تجربه‌گرها'!$F:$F,E$1)</f>
        <v>0</v>
      </c>
      <c r="F1549" s="242">
        <f>COUNTIFS('تجربه‌گرها'!$B:$B,$A1549,'تجربه‌گرها'!$F:$F,F$1)</f>
        <v>0</v>
      </c>
      <c r="G1549" s="242">
        <f>COUNTIFS('تجربه‌گرها'!$B:$B,$A1549,'تجربه‌گرها'!$F:$F,G$1)</f>
        <v>0</v>
      </c>
      <c r="H1549" s="242">
        <f>COUNTIFS('تجربه‌گرها'!$B:$B,$A1549,'تجربه‌گرها'!$F:$F,H$1)</f>
        <v>0</v>
      </c>
      <c r="I1549" s="242">
        <f>COUNTIFS('تجربه‌گرها'!$B:$B,$A1549,'تجربه‌گرها'!$F:$F,I$1)</f>
        <v>0</v>
      </c>
      <c r="J1549" s="242">
        <f>COUNTIFS('تجربه‌گرها'!$B:$B,$A1549,'تجربه‌گرها'!$F:$F,J$1)</f>
        <v>0</v>
      </c>
      <c r="K1549" s="242">
        <f>COUNTIFS('تجربه‌گرها'!$B:$B,$A1549,'تجربه‌گرها'!$F:$F,K$1)</f>
        <v>0</v>
      </c>
      <c r="L1549" s="242">
        <f>COUNTIFS('تجربه‌گرها'!$B:$B,$A1549,'تجربه‌گرها'!$F:$F,L$1)</f>
        <v>0</v>
      </c>
      <c r="M1549" s="242">
        <f>COUNTIFS('تجربه‌گرها'!$B:$B,$A1549,'تجربه‌گرها'!$F:$F,M$1)</f>
        <v>0</v>
      </c>
      <c r="N1549" s="242">
        <f>COUNTIFS('تجربه‌گرها'!$B:$B,$A1549,'تجربه‌گرها'!$F:$F,N$1)</f>
        <v>0</v>
      </c>
      <c r="O1549" s="242">
        <f>COUNTIFS('تجربه‌گرها'!$B:$B,$A1549,'تجربه‌گرها'!$F:$F,O$1)</f>
        <v>0</v>
      </c>
      <c r="P1549" s="242">
        <f>COUNTIFS('تجربه‌گرها'!$B:$B,$A1549,'تجربه‌گرها'!$F:$F,P$1)</f>
        <v>0</v>
      </c>
      <c r="Q1549" s="242">
        <f>COUNTIFS('تجربه‌گرها'!$B:$B,$A1549,'تجربه‌گرها'!$F:$F,Q$1)</f>
        <v>0</v>
      </c>
      <c r="R1549" s="242">
        <f>COUNTIFS('تجربه‌گرها'!$B:$B,$A1549,'تجربه‌گرها'!$F:$F,R$1)</f>
        <v>0</v>
      </c>
      <c r="S1549" s="242">
        <f>COUNTIFS('تجربه‌گرها'!$B:$B,$A1549,'تجربه‌گرها'!$F:$F,S$1)</f>
        <v>0</v>
      </c>
      <c r="T1549" s="242">
        <f>COUNTIFS('تجربه‌گرها'!$B:$B,$A1549,'تجربه‌گرها'!$F:$F,T$1)</f>
        <v>0</v>
      </c>
      <c r="U1549" s="242"/>
      <c r="V1549" s="242"/>
      <c r="W1549" s="242"/>
      <c r="X1549" s="242"/>
      <c r="Y1549" s="242"/>
      <c r="Z1549" s="242"/>
      <c r="AA1549" s="242"/>
      <c r="AB1549" s="242"/>
    </row>
    <row r="1550">
      <c r="A1550" s="244"/>
      <c r="B1550" s="242" t="str">
        <f>VLOOKUP(A1550,'تجربه‌گرها'!B:C,2,FALSE())</f>
        <v>#N/A</v>
      </c>
      <c r="C1550" s="242"/>
      <c r="D1550" s="242">
        <f t="shared" si="1"/>
        <v>0</v>
      </c>
      <c r="E1550" s="242">
        <f>COUNTIFS('تجربه‌گرها'!$B:$B,$A1550,'تجربه‌گرها'!$F:$F,E$1)</f>
        <v>0</v>
      </c>
      <c r="F1550" s="242">
        <f>COUNTIFS('تجربه‌گرها'!$B:$B,$A1550,'تجربه‌گرها'!$F:$F,F$1)</f>
        <v>0</v>
      </c>
      <c r="G1550" s="242">
        <f>COUNTIFS('تجربه‌گرها'!$B:$B,$A1550,'تجربه‌گرها'!$F:$F,G$1)</f>
        <v>0</v>
      </c>
      <c r="H1550" s="242">
        <f>COUNTIFS('تجربه‌گرها'!$B:$B,$A1550,'تجربه‌گرها'!$F:$F,H$1)</f>
        <v>0</v>
      </c>
      <c r="I1550" s="242">
        <f>COUNTIFS('تجربه‌گرها'!$B:$B,$A1550,'تجربه‌گرها'!$F:$F,I$1)</f>
        <v>0</v>
      </c>
      <c r="J1550" s="242">
        <f>COUNTIFS('تجربه‌گرها'!$B:$B,$A1550,'تجربه‌گرها'!$F:$F,J$1)</f>
        <v>0</v>
      </c>
      <c r="K1550" s="242">
        <f>COUNTIFS('تجربه‌گرها'!$B:$B,$A1550,'تجربه‌گرها'!$F:$F,K$1)</f>
        <v>0</v>
      </c>
      <c r="L1550" s="242">
        <f>COUNTIFS('تجربه‌گرها'!$B:$B,$A1550,'تجربه‌گرها'!$F:$F,L$1)</f>
        <v>0</v>
      </c>
      <c r="M1550" s="242">
        <f>COUNTIFS('تجربه‌گرها'!$B:$B,$A1550,'تجربه‌گرها'!$F:$F,M$1)</f>
        <v>0</v>
      </c>
      <c r="N1550" s="242">
        <f>COUNTIFS('تجربه‌گرها'!$B:$B,$A1550,'تجربه‌گرها'!$F:$F,N$1)</f>
        <v>0</v>
      </c>
      <c r="O1550" s="242">
        <f>COUNTIFS('تجربه‌گرها'!$B:$B,$A1550,'تجربه‌گرها'!$F:$F,O$1)</f>
        <v>0</v>
      </c>
      <c r="P1550" s="242">
        <f>COUNTIFS('تجربه‌گرها'!$B:$B,$A1550,'تجربه‌گرها'!$F:$F,P$1)</f>
        <v>0</v>
      </c>
      <c r="Q1550" s="242">
        <f>COUNTIFS('تجربه‌گرها'!$B:$B,$A1550,'تجربه‌گرها'!$F:$F,Q$1)</f>
        <v>0</v>
      </c>
      <c r="R1550" s="242">
        <f>COUNTIFS('تجربه‌گرها'!$B:$B,$A1550,'تجربه‌گرها'!$F:$F,R$1)</f>
        <v>0</v>
      </c>
      <c r="S1550" s="242">
        <f>COUNTIFS('تجربه‌گرها'!$B:$B,$A1550,'تجربه‌گرها'!$F:$F,S$1)</f>
        <v>0</v>
      </c>
      <c r="T1550" s="242">
        <f>COUNTIFS('تجربه‌گرها'!$B:$B,$A1550,'تجربه‌گرها'!$F:$F,T$1)</f>
        <v>0</v>
      </c>
      <c r="U1550" s="242"/>
      <c r="V1550" s="242"/>
      <c r="W1550" s="242"/>
      <c r="X1550" s="242"/>
      <c r="Y1550" s="242"/>
      <c r="Z1550" s="242"/>
      <c r="AA1550" s="242"/>
      <c r="AB1550" s="242"/>
    </row>
    <row r="1551">
      <c r="A1551" s="244"/>
      <c r="B1551" s="242" t="str">
        <f>VLOOKUP(A1551,'تجربه‌گرها'!B:C,2,FALSE())</f>
        <v>#N/A</v>
      </c>
      <c r="C1551" s="242"/>
      <c r="D1551" s="242"/>
      <c r="E1551" s="242"/>
      <c r="F1551" s="242"/>
      <c r="G1551" s="242"/>
      <c r="H1551" s="242"/>
      <c r="I1551" s="242"/>
      <c r="J1551" s="242"/>
      <c r="K1551" s="242"/>
      <c r="L1551" s="242"/>
      <c r="M1551" s="242"/>
      <c r="N1551" s="242"/>
      <c r="O1551" s="242"/>
      <c r="P1551" s="242"/>
      <c r="Q1551" s="242"/>
      <c r="R1551" s="242"/>
      <c r="S1551" s="242"/>
      <c r="T1551" s="242"/>
      <c r="U1551" s="242"/>
      <c r="V1551" s="242"/>
      <c r="W1551" s="242"/>
      <c r="X1551" s="242"/>
      <c r="Y1551" s="242"/>
      <c r="Z1551" s="242"/>
      <c r="AA1551" s="242"/>
      <c r="AB1551" s="242"/>
    </row>
    <row r="1552">
      <c r="A1552" s="244"/>
      <c r="B1552" s="242" t="str">
        <f>VLOOKUP(A1552,'تجربه‌گرها'!B:C,2,FALSE())</f>
        <v>#N/A</v>
      </c>
      <c r="C1552" s="242"/>
      <c r="D1552" s="242"/>
      <c r="E1552" s="242"/>
      <c r="F1552" s="242"/>
      <c r="G1552" s="242"/>
      <c r="H1552" s="242"/>
      <c r="I1552" s="242"/>
      <c r="J1552" s="242"/>
      <c r="K1552" s="242"/>
      <c r="L1552" s="242"/>
      <c r="M1552" s="242"/>
      <c r="N1552" s="242"/>
      <c r="O1552" s="242"/>
      <c r="P1552" s="242"/>
      <c r="Q1552" s="242"/>
      <c r="R1552" s="242"/>
      <c r="S1552" s="242"/>
      <c r="T1552" s="242"/>
      <c r="U1552" s="242"/>
      <c r="V1552" s="242"/>
      <c r="W1552" s="242"/>
      <c r="X1552" s="242"/>
      <c r="Y1552" s="242"/>
      <c r="Z1552" s="242"/>
      <c r="AA1552" s="242"/>
      <c r="AB1552" s="242"/>
    </row>
    <row r="1553">
      <c r="A1553" s="244"/>
      <c r="B1553" s="242" t="str">
        <f>VLOOKUP(A1553,'تجربه‌گرها'!B:C,2,FALSE())</f>
        <v>#N/A</v>
      </c>
      <c r="C1553" s="242"/>
      <c r="D1553" s="242"/>
      <c r="E1553" s="242"/>
      <c r="F1553" s="242"/>
      <c r="G1553" s="242"/>
      <c r="H1553" s="242"/>
      <c r="I1553" s="242"/>
      <c r="J1553" s="242"/>
      <c r="K1553" s="242"/>
      <c r="L1553" s="242"/>
      <c r="M1553" s="242"/>
      <c r="N1553" s="242"/>
      <c r="O1553" s="242"/>
      <c r="P1553" s="242"/>
      <c r="Q1553" s="242"/>
      <c r="R1553" s="242"/>
      <c r="S1553" s="242"/>
      <c r="T1553" s="242"/>
      <c r="U1553" s="242"/>
      <c r="V1553" s="242"/>
      <c r="W1553" s="242"/>
      <c r="X1553" s="242"/>
      <c r="Y1553" s="242"/>
      <c r="Z1553" s="242"/>
      <c r="AA1553" s="242"/>
      <c r="AB1553" s="242"/>
    </row>
    <row r="1554">
      <c r="A1554" s="244"/>
      <c r="B1554" s="242" t="str">
        <f>VLOOKUP(A1554,'تجربه‌گرها'!B:C,2,FALSE())</f>
        <v>#N/A</v>
      </c>
      <c r="C1554" s="242"/>
      <c r="D1554" s="242"/>
      <c r="E1554" s="242"/>
      <c r="F1554" s="242"/>
      <c r="G1554" s="242"/>
      <c r="H1554" s="242"/>
      <c r="I1554" s="242"/>
      <c r="J1554" s="242"/>
      <c r="K1554" s="242"/>
      <c r="L1554" s="242"/>
      <c r="M1554" s="242"/>
      <c r="N1554" s="242"/>
      <c r="O1554" s="242"/>
      <c r="P1554" s="242"/>
      <c r="Q1554" s="242"/>
      <c r="R1554" s="242"/>
      <c r="S1554" s="242"/>
      <c r="T1554" s="242"/>
      <c r="U1554" s="242"/>
      <c r="V1554" s="242"/>
      <c r="W1554" s="242"/>
      <c r="X1554" s="242"/>
      <c r="Y1554" s="242"/>
      <c r="Z1554" s="242"/>
      <c r="AA1554" s="242"/>
      <c r="AB1554" s="242"/>
    </row>
    <row r="1555">
      <c r="A1555" s="244"/>
      <c r="B1555" s="242" t="str">
        <f>VLOOKUP(A1555,'تجربه‌گرها'!B:C,2,FALSE())</f>
        <v>#N/A</v>
      </c>
      <c r="C1555" s="242"/>
      <c r="D1555" s="242"/>
      <c r="E1555" s="242"/>
      <c r="F1555" s="242"/>
      <c r="G1555" s="242"/>
      <c r="H1555" s="242"/>
      <c r="I1555" s="242"/>
      <c r="J1555" s="242"/>
      <c r="K1555" s="242"/>
      <c r="L1555" s="242"/>
      <c r="M1555" s="242"/>
      <c r="N1555" s="242"/>
      <c r="O1555" s="242"/>
      <c r="P1555" s="242"/>
      <c r="Q1555" s="242"/>
      <c r="R1555" s="242"/>
      <c r="S1555" s="242"/>
      <c r="T1555" s="242"/>
      <c r="U1555" s="242"/>
      <c r="V1555" s="242"/>
      <c r="W1555" s="242"/>
      <c r="X1555" s="242"/>
      <c r="Y1555" s="242"/>
      <c r="Z1555" s="242"/>
      <c r="AA1555" s="242"/>
      <c r="AB1555" s="242"/>
    </row>
    <row r="1556">
      <c r="A1556" s="244"/>
      <c r="B1556" s="242" t="str">
        <f>VLOOKUP(A1556,'تجربه‌گرها'!B:C,2,FALSE())</f>
        <v>#N/A</v>
      </c>
      <c r="C1556" s="242"/>
      <c r="D1556" s="242"/>
      <c r="E1556" s="242"/>
      <c r="F1556" s="242"/>
      <c r="G1556" s="242"/>
      <c r="H1556" s="242"/>
      <c r="I1556" s="242"/>
      <c r="J1556" s="242"/>
      <c r="K1556" s="242"/>
      <c r="L1556" s="242"/>
      <c r="M1556" s="242"/>
      <c r="N1556" s="242"/>
      <c r="O1556" s="242"/>
      <c r="P1556" s="242"/>
      <c r="Q1556" s="242"/>
      <c r="R1556" s="242"/>
      <c r="S1556" s="242"/>
      <c r="T1556" s="242"/>
      <c r="U1556" s="242"/>
      <c r="V1556" s="242"/>
      <c r="W1556" s="242"/>
      <c r="X1556" s="242"/>
      <c r="Y1556" s="242"/>
      <c r="Z1556" s="242"/>
      <c r="AA1556" s="242"/>
      <c r="AB1556" s="242"/>
    </row>
    <row r="1557">
      <c r="A1557" s="244"/>
      <c r="B1557" s="242" t="str">
        <f>VLOOKUP(A1557,'تجربه‌گرها'!B:C,2,FALSE())</f>
        <v>#N/A</v>
      </c>
      <c r="C1557" s="242"/>
      <c r="D1557" s="242"/>
      <c r="E1557" s="242"/>
      <c r="F1557" s="242"/>
      <c r="G1557" s="242"/>
      <c r="H1557" s="242"/>
      <c r="I1557" s="242"/>
      <c r="J1557" s="242"/>
      <c r="K1557" s="242"/>
      <c r="L1557" s="242"/>
      <c r="M1557" s="242"/>
      <c r="N1557" s="242"/>
      <c r="O1557" s="242"/>
      <c r="P1557" s="242"/>
      <c r="Q1557" s="242"/>
      <c r="R1557" s="242"/>
      <c r="S1557" s="242"/>
      <c r="T1557" s="242"/>
      <c r="U1557" s="242"/>
      <c r="V1557" s="242"/>
      <c r="W1557" s="242"/>
      <c r="X1557" s="242"/>
      <c r="Y1557" s="242"/>
      <c r="Z1557" s="242"/>
      <c r="AA1557" s="242"/>
      <c r="AB1557" s="242"/>
    </row>
    <row r="1558">
      <c r="A1558" s="244"/>
      <c r="B1558" s="242" t="str">
        <f>VLOOKUP(A1558,'تجربه‌گرها'!B:C,2,FALSE())</f>
        <v>#N/A</v>
      </c>
      <c r="C1558" s="242"/>
      <c r="D1558" s="242"/>
      <c r="E1558" s="242"/>
      <c r="F1558" s="242"/>
      <c r="G1558" s="242"/>
      <c r="H1558" s="242"/>
      <c r="I1558" s="242"/>
      <c r="J1558" s="242"/>
      <c r="K1558" s="242"/>
      <c r="L1558" s="242"/>
      <c r="M1558" s="242"/>
      <c r="N1558" s="242"/>
      <c r="O1558" s="242"/>
      <c r="P1558" s="242"/>
      <c r="Q1558" s="242"/>
      <c r="R1558" s="242"/>
      <c r="S1558" s="242"/>
      <c r="T1558" s="242"/>
      <c r="U1558" s="242"/>
      <c r="V1558" s="242"/>
      <c r="W1558" s="242"/>
      <c r="X1558" s="242"/>
      <c r="Y1558" s="242"/>
      <c r="Z1558" s="242"/>
      <c r="AA1558" s="242"/>
      <c r="AB1558" s="242"/>
    </row>
    <row r="1559">
      <c r="A1559" s="244"/>
      <c r="B1559" s="242" t="str">
        <f>VLOOKUP(A1559,'تجربه‌گرها'!B:C,2,FALSE())</f>
        <v>#N/A</v>
      </c>
      <c r="C1559" s="242"/>
      <c r="D1559" s="242"/>
      <c r="E1559" s="242"/>
      <c r="F1559" s="242"/>
      <c r="G1559" s="242"/>
      <c r="H1559" s="242"/>
      <c r="I1559" s="242"/>
      <c r="J1559" s="242"/>
      <c r="K1559" s="242"/>
      <c r="L1559" s="242"/>
      <c r="M1559" s="242"/>
      <c r="N1559" s="242"/>
      <c r="O1559" s="242"/>
      <c r="P1559" s="242"/>
      <c r="Q1559" s="242"/>
      <c r="R1559" s="242"/>
      <c r="S1559" s="242"/>
      <c r="T1559" s="242"/>
      <c r="U1559" s="242"/>
      <c r="V1559" s="242"/>
      <c r="W1559" s="242"/>
      <c r="X1559" s="242"/>
      <c r="Y1559" s="242"/>
      <c r="Z1559" s="242"/>
      <c r="AA1559" s="242"/>
      <c r="AB1559" s="242"/>
    </row>
    <row r="1560">
      <c r="A1560" s="244"/>
      <c r="B1560" s="242" t="str">
        <f>VLOOKUP(A1560,'تجربه‌گرها'!B:C,2,FALSE())</f>
        <v>#N/A</v>
      </c>
      <c r="C1560" s="242"/>
      <c r="D1560" s="242"/>
      <c r="E1560" s="242"/>
      <c r="F1560" s="242"/>
      <c r="G1560" s="242"/>
      <c r="H1560" s="242"/>
      <c r="I1560" s="242"/>
      <c r="J1560" s="242"/>
      <c r="K1560" s="242"/>
      <c r="L1560" s="242"/>
      <c r="M1560" s="242"/>
      <c r="N1560" s="242"/>
      <c r="O1560" s="242"/>
      <c r="P1560" s="242"/>
      <c r="Q1560" s="242"/>
      <c r="R1560" s="242"/>
      <c r="S1560" s="242"/>
      <c r="T1560" s="242"/>
      <c r="U1560" s="242"/>
      <c r="V1560" s="242"/>
      <c r="W1560" s="242"/>
      <c r="X1560" s="242"/>
      <c r="Y1560" s="242"/>
      <c r="Z1560" s="242"/>
      <c r="AA1560" s="242"/>
      <c r="AB1560" s="242"/>
    </row>
    <row r="1561">
      <c r="A1561" s="244"/>
      <c r="B1561" s="242" t="str">
        <f>VLOOKUP(A1561,'تجربه‌گرها'!B:C,2,FALSE())</f>
        <v>#N/A</v>
      </c>
      <c r="C1561" s="242"/>
      <c r="D1561" s="242"/>
      <c r="E1561" s="242"/>
      <c r="F1561" s="242"/>
      <c r="G1561" s="242"/>
      <c r="H1561" s="242"/>
      <c r="I1561" s="242"/>
      <c r="J1561" s="242"/>
      <c r="K1561" s="242"/>
      <c r="L1561" s="242"/>
      <c r="M1561" s="242"/>
      <c r="N1561" s="242"/>
      <c r="O1561" s="242"/>
      <c r="P1561" s="242"/>
      <c r="Q1561" s="242"/>
      <c r="R1561" s="242"/>
      <c r="S1561" s="242"/>
      <c r="T1561" s="242"/>
      <c r="U1561" s="242"/>
      <c r="V1561" s="242"/>
      <c r="W1561" s="242"/>
      <c r="X1561" s="242"/>
      <c r="Y1561" s="242"/>
      <c r="Z1561" s="242"/>
      <c r="AA1561" s="242"/>
      <c r="AB1561" s="242"/>
    </row>
    <row r="1562">
      <c r="A1562" s="244"/>
      <c r="B1562" s="242" t="str">
        <f>VLOOKUP(A1562,'تجربه‌گرها'!B:C,2,FALSE())</f>
        <v>#N/A</v>
      </c>
      <c r="C1562" s="242"/>
      <c r="D1562" s="242"/>
      <c r="E1562" s="242"/>
      <c r="F1562" s="242"/>
      <c r="G1562" s="242"/>
      <c r="H1562" s="242"/>
      <c r="I1562" s="242"/>
      <c r="J1562" s="242"/>
      <c r="K1562" s="242"/>
      <c r="L1562" s="242"/>
      <c r="M1562" s="242"/>
      <c r="N1562" s="242"/>
      <c r="O1562" s="242"/>
      <c r="P1562" s="242"/>
      <c r="Q1562" s="242"/>
      <c r="R1562" s="242"/>
      <c r="S1562" s="242"/>
      <c r="T1562" s="242"/>
      <c r="U1562" s="242"/>
      <c r="V1562" s="242"/>
      <c r="W1562" s="242"/>
      <c r="X1562" s="242"/>
      <c r="Y1562" s="242"/>
      <c r="Z1562" s="242"/>
      <c r="AA1562" s="242"/>
      <c r="AB1562" s="242"/>
    </row>
    <row r="1563">
      <c r="A1563" s="244"/>
      <c r="B1563" s="242" t="str">
        <f>VLOOKUP(A1563,'تجربه‌گرها'!B:C,2,FALSE())</f>
        <v>#N/A</v>
      </c>
      <c r="C1563" s="242"/>
      <c r="D1563" s="242"/>
      <c r="E1563" s="242"/>
      <c r="F1563" s="242"/>
      <c r="G1563" s="242"/>
      <c r="H1563" s="242"/>
      <c r="I1563" s="242"/>
      <c r="J1563" s="242"/>
      <c r="K1563" s="242"/>
      <c r="L1563" s="242"/>
      <c r="M1563" s="242"/>
      <c r="N1563" s="242"/>
      <c r="O1563" s="242"/>
      <c r="P1563" s="242"/>
      <c r="Q1563" s="242"/>
      <c r="R1563" s="242"/>
      <c r="S1563" s="242"/>
      <c r="T1563" s="242"/>
      <c r="U1563" s="242"/>
      <c r="V1563" s="242"/>
      <c r="W1563" s="242"/>
      <c r="X1563" s="242"/>
      <c r="Y1563" s="242"/>
      <c r="Z1563" s="242"/>
      <c r="AA1563" s="242"/>
      <c r="AB1563" s="242"/>
    </row>
    <row r="1564">
      <c r="A1564" s="244"/>
      <c r="B1564" s="242" t="str">
        <f>VLOOKUP(A1564,'تجربه‌گرها'!B:C,2,FALSE())</f>
        <v>#N/A</v>
      </c>
      <c r="C1564" s="242"/>
      <c r="D1564" s="242"/>
      <c r="E1564" s="242"/>
      <c r="F1564" s="242"/>
      <c r="G1564" s="242"/>
      <c r="H1564" s="242"/>
      <c r="I1564" s="242"/>
      <c r="J1564" s="242"/>
      <c r="K1564" s="242"/>
      <c r="L1564" s="242"/>
      <c r="M1564" s="242"/>
      <c r="N1564" s="242"/>
      <c r="O1564" s="242"/>
      <c r="P1564" s="242"/>
      <c r="Q1564" s="242"/>
      <c r="R1564" s="242"/>
      <c r="S1564" s="242"/>
      <c r="T1564" s="242"/>
      <c r="U1564" s="242"/>
      <c r="V1564" s="242"/>
      <c r="W1564" s="242"/>
      <c r="X1564" s="242"/>
      <c r="Y1564" s="242"/>
      <c r="Z1564" s="242"/>
      <c r="AA1564" s="242"/>
      <c r="AB1564" s="242"/>
    </row>
    <row r="1565">
      <c r="A1565" s="244"/>
      <c r="B1565" s="242" t="str">
        <f>VLOOKUP(A1565,'تجربه‌گرها'!B:C,2,FALSE())</f>
        <v>#N/A</v>
      </c>
      <c r="C1565" s="242"/>
      <c r="D1565" s="242"/>
      <c r="E1565" s="242"/>
      <c r="F1565" s="242"/>
      <c r="G1565" s="242"/>
      <c r="H1565" s="242"/>
      <c r="I1565" s="242"/>
      <c r="J1565" s="242"/>
      <c r="K1565" s="242"/>
      <c r="L1565" s="242"/>
      <c r="M1565" s="242"/>
      <c r="N1565" s="242"/>
      <c r="O1565" s="242"/>
      <c r="P1565" s="242"/>
      <c r="Q1565" s="242"/>
      <c r="R1565" s="242"/>
      <c r="S1565" s="242"/>
      <c r="T1565" s="242"/>
      <c r="U1565" s="242"/>
      <c r="V1565" s="242"/>
      <c r="W1565" s="242"/>
      <c r="X1565" s="242"/>
      <c r="Y1565" s="242"/>
      <c r="Z1565" s="242"/>
      <c r="AA1565" s="242"/>
      <c r="AB1565" s="242"/>
    </row>
    <row r="1566">
      <c r="A1566" s="244"/>
      <c r="B1566" s="242" t="str">
        <f>VLOOKUP(A1566,'تجربه‌گرها'!B:C,2,FALSE())</f>
        <v>#N/A</v>
      </c>
      <c r="C1566" s="242"/>
      <c r="D1566" s="242"/>
      <c r="E1566" s="242"/>
      <c r="F1566" s="242"/>
      <c r="G1566" s="242"/>
      <c r="H1566" s="242"/>
      <c r="I1566" s="242"/>
      <c r="J1566" s="242"/>
      <c r="K1566" s="242"/>
      <c r="L1566" s="242"/>
      <c r="M1566" s="242"/>
      <c r="N1566" s="242"/>
      <c r="O1566" s="242"/>
      <c r="P1566" s="242"/>
      <c r="Q1566" s="242"/>
      <c r="R1566" s="242"/>
      <c r="S1566" s="242"/>
      <c r="T1566" s="242"/>
      <c r="U1566" s="242"/>
      <c r="V1566" s="242"/>
      <c r="W1566" s="242"/>
      <c r="X1566" s="242"/>
      <c r="Y1566" s="242"/>
      <c r="Z1566" s="242"/>
      <c r="AA1566" s="242"/>
      <c r="AB1566" s="242"/>
    </row>
    <row r="1567">
      <c r="A1567" s="244"/>
      <c r="B1567" s="242" t="str">
        <f>VLOOKUP(A1567,'تجربه‌گرها'!B:C,2,FALSE())</f>
        <v>#N/A</v>
      </c>
      <c r="C1567" s="242"/>
      <c r="D1567" s="242"/>
      <c r="E1567" s="242"/>
      <c r="F1567" s="242"/>
      <c r="G1567" s="242"/>
      <c r="H1567" s="242"/>
      <c r="I1567" s="242"/>
      <c r="J1567" s="242"/>
      <c r="K1567" s="242"/>
      <c r="L1567" s="242"/>
      <c r="M1567" s="242"/>
      <c r="N1567" s="242"/>
      <c r="O1567" s="242"/>
      <c r="P1567" s="242"/>
      <c r="Q1567" s="242"/>
      <c r="R1567" s="242"/>
      <c r="S1567" s="242"/>
      <c r="T1567" s="242"/>
      <c r="U1567" s="242"/>
      <c r="V1567" s="242"/>
      <c r="W1567" s="242"/>
      <c r="X1567" s="242"/>
      <c r="Y1567" s="242"/>
      <c r="Z1567" s="242"/>
      <c r="AA1567" s="242"/>
      <c r="AB1567" s="242"/>
    </row>
    <row r="1568">
      <c r="A1568" s="244"/>
      <c r="B1568" s="242" t="str">
        <f>VLOOKUP(A1568,'تجربه‌گرها'!B:C,2,FALSE())</f>
        <v>#N/A</v>
      </c>
      <c r="C1568" s="242"/>
      <c r="D1568" s="242"/>
      <c r="E1568" s="242"/>
      <c r="F1568" s="242"/>
      <c r="G1568" s="242"/>
      <c r="H1568" s="242"/>
      <c r="I1568" s="242"/>
      <c r="J1568" s="242"/>
      <c r="K1568" s="242"/>
      <c r="L1568" s="242"/>
      <c r="M1568" s="242"/>
      <c r="N1568" s="242"/>
      <c r="O1568" s="242"/>
      <c r="P1568" s="242"/>
      <c r="Q1568" s="242"/>
      <c r="R1568" s="242"/>
      <c r="S1568" s="242"/>
      <c r="T1568" s="242"/>
      <c r="U1568" s="242"/>
      <c r="V1568" s="242"/>
      <c r="W1568" s="242"/>
      <c r="X1568" s="242"/>
      <c r="Y1568" s="242"/>
      <c r="Z1568" s="242"/>
      <c r="AA1568" s="242"/>
      <c r="AB1568" s="242"/>
    </row>
    <row r="1569">
      <c r="A1569" s="244"/>
      <c r="B1569" s="242" t="str">
        <f>VLOOKUP(A1569,'تجربه‌گرها'!B:C,2,FALSE())</f>
        <v>#N/A</v>
      </c>
      <c r="C1569" s="242"/>
      <c r="D1569" s="242"/>
      <c r="E1569" s="242"/>
      <c r="F1569" s="242"/>
      <c r="G1569" s="242"/>
      <c r="H1569" s="242"/>
      <c r="I1569" s="242"/>
      <c r="J1569" s="242"/>
      <c r="K1569" s="242"/>
      <c r="L1569" s="242"/>
      <c r="M1569" s="242"/>
      <c r="N1569" s="242"/>
      <c r="O1569" s="242"/>
      <c r="P1569" s="242"/>
      <c r="Q1569" s="242"/>
      <c r="R1569" s="242"/>
      <c r="S1569" s="242"/>
      <c r="T1569" s="242"/>
      <c r="U1569" s="242"/>
      <c r="V1569" s="242"/>
      <c r="W1569" s="242"/>
      <c r="X1569" s="242"/>
      <c r="Y1569" s="242"/>
      <c r="Z1569" s="242"/>
      <c r="AA1569" s="242"/>
      <c r="AB1569" s="242"/>
    </row>
    <row r="1570">
      <c r="A1570" s="244"/>
      <c r="B1570" s="242" t="str">
        <f>VLOOKUP(A1570,'تجربه‌گرها'!B:C,2,FALSE())</f>
        <v>#N/A</v>
      </c>
      <c r="C1570" s="242"/>
      <c r="D1570" s="242"/>
      <c r="E1570" s="242"/>
      <c r="F1570" s="242"/>
      <c r="G1570" s="242"/>
      <c r="H1570" s="242"/>
      <c r="I1570" s="242"/>
      <c r="J1570" s="242"/>
      <c r="K1570" s="242"/>
      <c r="L1570" s="242"/>
      <c r="M1570" s="242"/>
      <c r="N1570" s="242"/>
      <c r="O1570" s="242"/>
      <c r="P1570" s="242"/>
      <c r="Q1570" s="242"/>
      <c r="R1570" s="242"/>
      <c r="S1570" s="242"/>
      <c r="T1570" s="242"/>
      <c r="U1570" s="242"/>
      <c r="V1570" s="242"/>
      <c r="W1570" s="242"/>
      <c r="X1570" s="242"/>
      <c r="Y1570" s="242"/>
      <c r="Z1570" s="242"/>
      <c r="AA1570" s="242"/>
      <c r="AB1570" s="242"/>
    </row>
    <row r="1571">
      <c r="A1571" s="244"/>
      <c r="B1571" s="242" t="str">
        <f>VLOOKUP(A1571,'تجربه‌گرها'!B:C,2,FALSE())</f>
        <v>#N/A</v>
      </c>
      <c r="C1571" s="242"/>
      <c r="D1571" s="242"/>
      <c r="E1571" s="242"/>
      <c r="F1571" s="242"/>
      <c r="G1571" s="242"/>
      <c r="H1571" s="242"/>
      <c r="I1571" s="242"/>
      <c r="J1571" s="242"/>
      <c r="K1571" s="242"/>
      <c r="L1571" s="242"/>
      <c r="M1571" s="242"/>
      <c r="N1571" s="242"/>
      <c r="O1571" s="242"/>
      <c r="P1571" s="242"/>
      <c r="Q1571" s="242"/>
      <c r="R1571" s="242"/>
      <c r="S1571" s="242"/>
      <c r="T1571" s="242"/>
      <c r="U1571" s="242"/>
      <c r="V1571" s="242"/>
      <c r="W1571" s="242"/>
      <c r="X1571" s="242"/>
      <c r="Y1571" s="242"/>
      <c r="Z1571" s="242"/>
      <c r="AA1571" s="242"/>
      <c r="AB1571" s="242"/>
    </row>
    <row r="1572">
      <c r="A1572" s="244"/>
      <c r="B1572" s="242" t="str">
        <f>VLOOKUP(A1572,'تجربه‌گرها'!B:C,2,FALSE())</f>
        <v>#N/A</v>
      </c>
      <c r="C1572" s="242"/>
      <c r="D1572" s="242"/>
      <c r="E1572" s="242"/>
      <c r="F1572" s="242"/>
      <c r="G1572" s="242"/>
      <c r="H1572" s="242"/>
      <c r="I1572" s="242"/>
      <c r="J1572" s="242"/>
      <c r="K1572" s="242"/>
      <c r="L1572" s="242"/>
      <c r="M1572" s="242"/>
      <c r="N1572" s="242"/>
      <c r="O1572" s="242"/>
      <c r="P1572" s="242"/>
      <c r="Q1572" s="242"/>
      <c r="R1572" s="242"/>
      <c r="S1572" s="242"/>
      <c r="T1572" s="242"/>
      <c r="U1572" s="242"/>
      <c r="V1572" s="242"/>
      <c r="W1572" s="242"/>
      <c r="X1572" s="242"/>
      <c r="Y1572" s="242"/>
      <c r="Z1572" s="242"/>
      <c r="AA1572" s="242"/>
      <c r="AB1572" s="242"/>
    </row>
    <row r="1573">
      <c r="A1573" s="244"/>
      <c r="B1573" s="242" t="str">
        <f>VLOOKUP(A1573,'تجربه‌گرها'!B:C,2,FALSE())</f>
        <v>#N/A</v>
      </c>
      <c r="C1573" s="242"/>
      <c r="D1573" s="242"/>
      <c r="E1573" s="242"/>
      <c r="F1573" s="242"/>
      <c r="G1573" s="242"/>
      <c r="H1573" s="242"/>
      <c r="I1573" s="242"/>
      <c r="J1573" s="242"/>
      <c r="K1573" s="242"/>
      <c r="L1573" s="242"/>
      <c r="M1573" s="242"/>
      <c r="N1573" s="242"/>
      <c r="O1573" s="242"/>
      <c r="P1573" s="242"/>
      <c r="Q1573" s="242"/>
      <c r="R1573" s="242"/>
      <c r="S1573" s="242"/>
      <c r="T1573" s="242"/>
      <c r="U1573" s="242"/>
      <c r="V1573" s="242"/>
      <c r="W1573" s="242"/>
      <c r="X1573" s="242"/>
      <c r="Y1573" s="242"/>
      <c r="Z1573" s="242"/>
      <c r="AA1573" s="242"/>
      <c r="AB1573" s="242"/>
    </row>
    <row r="1574">
      <c r="A1574" s="244"/>
      <c r="B1574" s="242" t="str">
        <f>VLOOKUP(A1574,'تجربه‌گرها'!B:C,2,FALSE())</f>
        <v>#N/A</v>
      </c>
      <c r="C1574" s="242"/>
      <c r="D1574" s="242"/>
      <c r="E1574" s="242"/>
      <c r="F1574" s="242"/>
      <c r="G1574" s="242"/>
      <c r="H1574" s="242"/>
      <c r="I1574" s="242"/>
      <c r="J1574" s="242"/>
      <c r="K1574" s="242"/>
      <c r="L1574" s="242"/>
      <c r="M1574" s="242"/>
      <c r="N1574" s="242"/>
      <c r="O1574" s="242"/>
      <c r="P1574" s="242"/>
      <c r="Q1574" s="242"/>
      <c r="R1574" s="242"/>
      <c r="S1574" s="242"/>
      <c r="T1574" s="242"/>
      <c r="U1574" s="242"/>
      <c r="V1574" s="242"/>
      <c r="W1574" s="242"/>
      <c r="X1574" s="242"/>
      <c r="Y1574" s="242"/>
      <c r="Z1574" s="242"/>
      <c r="AA1574" s="242"/>
      <c r="AB1574" s="242"/>
    </row>
    <row r="1575">
      <c r="A1575" s="244"/>
      <c r="B1575" s="242" t="str">
        <f>VLOOKUP(A1575,'تجربه‌گرها'!B:C,2,FALSE())</f>
        <v>#N/A</v>
      </c>
      <c r="C1575" s="242"/>
      <c r="D1575" s="242"/>
      <c r="E1575" s="242"/>
      <c r="F1575" s="242"/>
      <c r="G1575" s="242"/>
      <c r="H1575" s="242"/>
      <c r="I1575" s="242"/>
      <c r="J1575" s="242"/>
      <c r="K1575" s="242"/>
      <c r="L1575" s="242"/>
      <c r="M1575" s="242"/>
      <c r="N1575" s="242"/>
      <c r="O1575" s="242"/>
      <c r="P1575" s="242"/>
      <c r="Q1575" s="242"/>
      <c r="R1575" s="242"/>
      <c r="S1575" s="242"/>
      <c r="T1575" s="242"/>
      <c r="U1575" s="242"/>
      <c r="V1575" s="242"/>
      <c r="W1575" s="242"/>
      <c r="X1575" s="242"/>
      <c r="Y1575" s="242"/>
      <c r="Z1575" s="242"/>
      <c r="AA1575" s="242"/>
      <c r="AB1575" s="242"/>
    </row>
    <row r="1576">
      <c r="A1576" s="244"/>
      <c r="B1576" s="242" t="str">
        <f>VLOOKUP(A1576,'تجربه‌گرها'!B:C,2,FALSE())</f>
        <v>#N/A</v>
      </c>
      <c r="C1576" s="242"/>
      <c r="D1576" s="242"/>
      <c r="E1576" s="242"/>
      <c r="F1576" s="242"/>
      <c r="G1576" s="242"/>
      <c r="H1576" s="242"/>
      <c r="I1576" s="242"/>
      <c r="J1576" s="242"/>
      <c r="K1576" s="242"/>
      <c r="L1576" s="242"/>
      <c r="M1576" s="242"/>
      <c r="N1576" s="242"/>
      <c r="O1576" s="242"/>
      <c r="P1576" s="242"/>
      <c r="Q1576" s="242"/>
      <c r="R1576" s="242"/>
      <c r="S1576" s="242"/>
      <c r="T1576" s="242"/>
      <c r="U1576" s="242"/>
      <c r="V1576" s="242"/>
      <c r="W1576" s="242"/>
      <c r="X1576" s="242"/>
      <c r="Y1576" s="242"/>
      <c r="Z1576" s="242"/>
      <c r="AA1576" s="242"/>
      <c r="AB1576" s="242"/>
    </row>
    <row r="1577">
      <c r="A1577" s="244"/>
      <c r="B1577" s="242"/>
      <c r="C1577" s="242"/>
      <c r="D1577" s="242"/>
      <c r="E1577" s="242"/>
      <c r="F1577" s="242"/>
      <c r="G1577" s="242"/>
      <c r="H1577" s="242"/>
      <c r="I1577" s="242"/>
      <c r="J1577" s="242"/>
      <c r="K1577" s="242"/>
      <c r="L1577" s="242"/>
      <c r="M1577" s="242"/>
      <c r="N1577" s="242"/>
      <c r="O1577" s="242"/>
      <c r="P1577" s="242"/>
      <c r="Q1577" s="242"/>
      <c r="R1577" s="242"/>
      <c r="S1577" s="242"/>
      <c r="T1577" s="242"/>
      <c r="U1577" s="242"/>
      <c r="V1577" s="242"/>
      <c r="W1577" s="242"/>
      <c r="X1577" s="242"/>
      <c r="Y1577" s="242"/>
      <c r="Z1577" s="242"/>
      <c r="AA1577" s="242"/>
      <c r="AB1577" s="242"/>
    </row>
    <row r="1578">
      <c r="A1578" s="244"/>
      <c r="B1578" s="242"/>
      <c r="C1578" s="242"/>
      <c r="D1578" s="242"/>
      <c r="E1578" s="242"/>
      <c r="F1578" s="242"/>
      <c r="G1578" s="242"/>
      <c r="H1578" s="242"/>
      <c r="I1578" s="242"/>
      <c r="J1578" s="242"/>
      <c r="K1578" s="242"/>
      <c r="L1578" s="242"/>
      <c r="M1578" s="242"/>
      <c r="N1578" s="242"/>
      <c r="O1578" s="242"/>
      <c r="P1578" s="242"/>
      <c r="Q1578" s="242"/>
      <c r="R1578" s="242"/>
      <c r="S1578" s="242"/>
      <c r="T1578" s="242"/>
      <c r="U1578" s="242"/>
      <c r="V1578" s="242"/>
      <c r="W1578" s="242"/>
      <c r="X1578" s="242"/>
      <c r="Y1578" s="242"/>
      <c r="Z1578" s="242"/>
      <c r="AA1578" s="242"/>
      <c r="AB1578" s="242"/>
    </row>
    <row r="1579">
      <c r="A1579" s="244"/>
      <c r="B1579" s="242"/>
      <c r="C1579" s="242"/>
      <c r="D1579" s="242"/>
      <c r="E1579" s="242"/>
      <c r="F1579" s="242"/>
      <c r="G1579" s="242"/>
      <c r="H1579" s="242"/>
      <c r="I1579" s="242"/>
      <c r="J1579" s="242"/>
      <c r="K1579" s="242"/>
      <c r="L1579" s="242"/>
      <c r="M1579" s="242"/>
      <c r="N1579" s="242"/>
      <c r="O1579" s="242"/>
      <c r="P1579" s="242"/>
      <c r="Q1579" s="242"/>
      <c r="R1579" s="242"/>
      <c r="S1579" s="242"/>
      <c r="T1579" s="242"/>
      <c r="U1579" s="242"/>
      <c r="V1579" s="242"/>
      <c r="W1579" s="242"/>
      <c r="X1579" s="242"/>
      <c r="Y1579" s="242"/>
      <c r="Z1579" s="242"/>
      <c r="AA1579" s="242"/>
      <c r="AB1579" s="242"/>
    </row>
    <row r="1580">
      <c r="A1580" s="244"/>
      <c r="B1580" s="242"/>
      <c r="C1580" s="242"/>
      <c r="D1580" s="242"/>
      <c r="E1580" s="242"/>
      <c r="F1580" s="242"/>
      <c r="G1580" s="242"/>
      <c r="H1580" s="242"/>
      <c r="I1580" s="242"/>
      <c r="J1580" s="242"/>
      <c r="K1580" s="242"/>
      <c r="L1580" s="242"/>
      <c r="M1580" s="242"/>
      <c r="N1580" s="242"/>
      <c r="O1580" s="242"/>
      <c r="P1580" s="242"/>
      <c r="Q1580" s="242"/>
      <c r="R1580" s="242"/>
      <c r="S1580" s="242"/>
      <c r="T1580" s="242"/>
      <c r="U1580" s="242"/>
      <c r="V1580" s="242"/>
      <c r="W1580" s="242"/>
      <c r="X1580" s="242"/>
      <c r="Y1580" s="242"/>
      <c r="Z1580" s="242"/>
      <c r="AA1580" s="242"/>
      <c r="AB1580" s="242"/>
    </row>
    <row r="1581">
      <c r="A1581" s="244"/>
      <c r="B1581" s="242"/>
      <c r="C1581" s="242"/>
      <c r="D1581" s="242"/>
      <c r="E1581" s="242"/>
      <c r="F1581" s="242"/>
      <c r="G1581" s="242"/>
      <c r="H1581" s="242"/>
      <c r="I1581" s="242"/>
      <c r="J1581" s="242"/>
      <c r="K1581" s="242"/>
      <c r="L1581" s="242"/>
      <c r="M1581" s="242"/>
      <c r="N1581" s="242"/>
      <c r="O1581" s="242"/>
      <c r="P1581" s="242"/>
      <c r="Q1581" s="242"/>
      <c r="R1581" s="242"/>
      <c r="S1581" s="242"/>
      <c r="T1581" s="242"/>
      <c r="U1581" s="242"/>
      <c r="V1581" s="242"/>
      <c r="W1581" s="242"/>
      <c r="X1581" s="242"/>
      <c r="Y1581" s="242"/>
      <c r="Z1581" s="242"/>
      <c r="AA1581" s="242"/>
      <c r="AB1581" s="242"/>
    </row>
    <row r="1582">
      <c r="A1582" s="244"/>
      <c r="B1582" s="242"/>
      <c r="C1582" s="242"/>
      <c r="D1582" s="242"/>
      <c r="E1582" s="242"/>
      <c r="F1582" s="242"/>
      <c r="G1582" s="242"/>
      <c r="H1582" s="242"/>
      <c r="I1582" s="242"/>
      <c r="J1582" s="242"/>
      <c r="K1582" s="242"/>
      <c r="L1582" s="242"/>
      <c r="M1582" s="242"/>
      <c r="N1582" s="242"/>
      <c r="O1582" s="242"/>
      <c r="P1582" s="242"/>
      <c r="Q1582" s="242"/>
      <c r="R1582" s="242"/>
      <c r="S1582" s="242"/>
      <c r="T1582" s="242"/>
      <c r="U1582" s="242"/>
      <c r="V1582" s="242"/>
      <c r="W1582" s="242"/>
      <c r="X1582" s="242"/>
      <c r="Y1582" s="242"/>
      <c r="Z1582" s="242"/>
      <c r="AA1582" s="242"/>
      <c r="AB1582" s="242"/>
    </row>
    <row r="1583">
      <c r="A1583" s="244"/>
      <c r="B1583" s="242"/>
      <c r="C1583" s="242"/>
      <c r="D1583" s="242"/>
      <c r="E1583" s="242"/>
      <c r="F1583" s="242"/>
      <c r="G1583" s="242"/>
      <c r="H1583" s="242"/>
      <c r="I1583" s="242"/>
      <c r="J1583" s="242"/>
      <c r="K1583" s="242"/>
      <c r="L1583" s="242"/>
      <c r="M1583" s="242"/>
      <c r="N1583" s="242"/>
      <c r="O1583" s="242"/>
      <c r="P1583" s="242"/>
      <c r="Q1583" s="242"/>
      <c r="R1583" s="242"/>
      <c r="S1583" s="242"/>
      <c r="T1583" s="242"/>
      <c r="U1583" s="242"/>
      <c r="V1583" s="242"/>
      <c r="W1583" s="242"/>
      <c r="X1583" s="242"/>
      <c r="Y1583" s="242"/>
      <c r="Z1583" s="242"/>
      <c r="AA1583" s="242"/>
      <c r="AB1583" s="242"/>
    </row>
    <row r="1584">
      <c r="A1584" s="244"/>
      <c r="B1584" s="242"/>
      <c r="C1584" s="242"/>
      <c r="D1584" s="242"/>
      <c r="E1584" s="242"/>
      <c r="F1584" s="242"/>
      <c r="G1584" s="242"/>
      <c r="H1584" s="242"/>
      <c r="I1584" s="242"/>
      <c r="J1584" s="242"/>
      <c r="K1584" s="242"/>
      <c r="L1584" s="242"/>
      <c r="M1584" s="242"/>
      <c r="N1584" s="242"/>
      <c r="O1584" s="242"/>
      <c r="P1584" s="242"/>
      <c r="Q1584" s="242"/>
      <c r="R1584" s="242"/>
      <c r="S1584" s="242"/>
      <c r="T1584" s="242"/>
      <c r="U1584" s="242"/>
      <c r="V1584" s="242"/>
      <c r="W1584" s="242"/>
      <c r="X1584" s="242"/>
      <c r="Y1584" s="242"/>
      <c r="Z1584" s="242"/>
      <c r="AA1584" s="242"/>
      <c r="AB1584" s="242"/>
    </row>
    <row r="1585">
      <c r="A1585" s="244"/>
      <c r="B1585" s="242"/>
      <c r="C1585" s="242"/>
      <c r="D1585" s="242"/>
      <c r="E1585" s="242"/>
      <c r="F1585" s="242"/>
      <c r="G1585" s="242"/>
      <c r="H1585" s="242"/>
      <c r="I1585" s="242"/>
      <c r="J1585" s="242"/>
      <c r="K1585" s="242"/>
      <c r="L1585" s="242"/>
      <c r="M1585" s="242"/>
      <c r="N1585" s="242"/>
      <c r="O1585" s="242"/>
      <c r="P1585" s="242"/>
      <c r="Q1585" s="242"/>
      <c r="R1585" s="242"/>
      <c r="S1585" s="242"/>
      <c r="T1585" s="242"/>
      <c r="U1585" s="242"/>
      <c r="V1585" s="242"/>
      <c r="W1585" s="242"/>
      <c r="X1585" s="242"/>
      <c r="Y1585" s="242"/>
      <c r="Z1585" s="242"/>
      <c r="AA1585" s="242"/>
      <c r="AB1585" s="242"/>
    </row>
    <row r="1586">
      <c r="A1586" s="244"/>
      <c r="B1586" s="242"/>
      <c r="C1586" s="242"/>
      <c r="D1586" s="242"/>
      <c r="E1586" s="242"/>
      <c r="F1586" s="242"/>
      <c r="G1586" s="242"/>
      <c r="H1586" s="242"/>
      <c r="I1586" s="242"/>
      <c r="J1586" s="242"/>
      <c r="K1586" s="242"/>
      <c r="L1586" s="242"/>
      <c r="M1586" s="242"/>
      <c r="N1586" s="242"/>
      <c r="O1586" s="242"/>
      <c r="P1586" s="242"/>
      <c r="Q1586" s="242"/>
      <c r="R1586" s="242"/>
      <c r="S1586" s="242"/>
      <c r="T1586" s="242"/>
      <c r="U1586" s="242"/>
      <c r="V1586" s="242"/>
      <c r="W1586" s="242"/>
      <c r="X1586" s="242"/>
      <c r="Y1586" s="242"/>
      <c r="Z1586" s="242"/>
      <c r="AA1586" s="242"/>
      <c r="AB1586" s="242"/>
    </row>
    <row r="1587">
      <c r="A1587" s="244"/>
      <c r="B1587" s="242"/>
      <c r="C1587" s="242"/>
      <c r="D1587" s="242"/>
      <c r="E1587" s="242"/>
      <c r="F1587" s="242"/>
      <c r="G1587" s="242"/>
      <c r="H1587" s="242"/>
      <c r="I1587" s="242"/>
      <c r="J1587" s="242"/>
      <c r="K1587" s="242"/>
      <c r="L1587" s="242"/>
      <c r="M1587" s="242"/>
      <c r="N1587" s="242"/>
      <c r="O1587" s="242"/>
      <c r="P1587" s="242"/>
      <c r="Q1587" s="242"/>
      <c r="R1587" s="242"/>
      <c r="S1587" s="242"/>
      <c r="T1587" s="242"/>
      <c r="U1587" s="242"/>
      <c r="V1587" s="242"/>
      <c r="W1587" s="242"/>
      <c r="X1587" s="242"/>
      <c r="Y1587" s="242"/>
      <c r="Z1587" s="242"/>
      <c r="AA1587" s="242"/>
      <c r="AB1587" s="242"/>
    </row>
    <row r="1588">
      <c r="A1588" s="244"/>
      <c r="B1588" s="242"/>
      <c r="C1588" s="242"/>
      <c r="D1588" s="242"/>
      <c r="E1588" s="242"/>
      <c r="F1588" s="242"/>
      <c r="G1588" s="242"/>
      <c r="H1588" s="242"/>
      <c r="I1588" s="242"/>
      <c r="J1588" s="242"/>
      <c r="K1588" s="242"/>
      <c r="L1588" s="242"/>
      <c r="M1588" s="242"/>
      <c r="N1588" s="242"/>
      <c r="O1588" s="242"/>
      <c r="P1588" s="242"/>
      <c r="Q1588" s="242"/>
      <c r="R1588" s="242"/>
      <c r="S1588" s="242"/>
      <c r="T1588" s="242"/>
      <c r="U1588" s="242"/>
      <c r="V1588" s="242"/>
      <c r="W1588" s="242"/>
      <c r="X1588" s="242"/>
      <c r="Y1588" s="242"/>
      <c r="Z1588" s="242"/>
      <c r="AA1588" s="242"/>
      <c r="AB1588" s="242"/>
    </row>
    <row r="1589">
      <c r="A1589" s="244"/>
      <c r="B1589" s="242"/>
      <c r="C1589" s="242"/>
      <c r="D1589" s="242"/>
      <c r="E1589" s="242"/>
      <c r="F1589" s="242"/>
      <c r="G1589" s="242"/>
      <c r="H1589" s="242"/>
      <c r="I1589" s="242"/>
      <c r="J1589" s="242"/>
      <c r="K1589" s="242"/>
      <c r="L1589" s="242"/>
      <c r="M1589" s="242"/>
      <c r="N1589" s="242"/>
      <c r="O1589" s="242"/>
      <c r="P1589" s="242"/>
      <c r="Q1589" s="242"/>
      <c r="R1589" s="242"/>
      <c r="S1589" s="242"/>
      <c r="T1589" s="242"/>
      <c r="U1589" s="242"/>
      <c r="V1589" s="242"/>
      <c r="W1589" s="242"/>
      <c r="X1589" s="242"/>
      <c r="Y1589" s="242"/>
      <c r="Z1589" s="242"/>
      <c r="AA1589" s="242"/>
      <c r="AB1589" s="242"/>
    </row>
    <row r="1590">
      <c r="A1590" s="244"/>
      <c r="B1590" s="242"/>
      <c r="C1590" s="242"/>
      <c r="D1590" s="242"/>
      <c r="E1590" s="242"/>
      <c r="F1590" s="242"/>
      <c r="G1590" s="242"/>
      <c r="H1590" s="242"/>
      <c r="I1590" s="242"/>
      <c r="J1590" s="242"/>
      <c r="K1590" s="242"/>
      <c r="L1590" s="242"/>
      <c r="M1590" s="242"/>
      <c r="N1590" s="242"/>
      <c r="O1590" s="242"/>
      <c r="P1590" s="242"/>
      <c r="Q1590" s="242"/>
      <c r="R1590" s="242"/>
      <c r="S1590" s="242"/>
      <c r="T1590" s="242"/>
      <c r="U1590" s="242"/>
      <c r="V1590" s="242"/>
      <c r="W1590" s="242"/>
      <c r="X1590" s="242"/>
      <c r="Y1590" s="242"/>
      <c r="Z1590" s="242"/>
      <c r="AA1590" s="242"/>
      <c r="AB1590" s="242"/>
    </row>
    <row r="1591">
      <c r="A1591" s="244"/>
      <c r="B1591" s="242"/>
      <c r="C1591" s="242"/>
      <c r="D1591" s="242"/>
      <c r="E1591" s="242"/>
      <c r="F1591" s="242"/>
      <c r="G1591" s="242"/>
      <c r="H1591" s="242"/>
      <c r="I1591" s="242"/>
      <c r="J1591" s="242"/>
      <c r="K1591" s="242"/>
      <c r="L1591" s="242"/>
      <c r="M1591" s="242"/>
      <c r="N1591" s="242"/>
      <c r="O1591" s="242"/>
      <c r="P1591" s="242"/>
      <c r="Q1591" s="242"/>
      <c r="R1591" s="242"/>
      <c r="S1591" s="242"/>
      <c r="T1591" s="242"/>
      <c r="U1591" s="242"/>
      <c r="V1591" s="242"/>
      <c r="W1591" s="242"/>
      <c r="X1591" s="242"/>
      <c r="Y1591" s="242"/>
      <c r="Z1591" s="242"/>
      <c r="AA1591" s="242"/>
      <c r="AB1591" s="242"/>
    </row>
    <row r="1592">
      <c r="A1592" s="244"/>
      <c r="B1592" s="242"/>
      <c r="C1592" s="242"/>
      <c r="D1592" s="242"/>
      <c r="E1592" s="242"/>
      <c r="F1592" s="242"/>
      <c r="G1592" s="242"/>
      <c r="H1592" s="242"/>
      <c r="I1592" s="242"/>
      <c r="J1592" s="242"/>
      <c r="K1592" s="242"/>
      <c r="L1592" s="242"/>
      <c r="M1592" s="242"/>
      <c r="N1592" s="242"/>
      <c r="O1592" s="242"/>
      <c r="P1592" s="242"/>
      <c r="Q1592" s="242"/>
      <c r="R1592" s="242"/>
      <c r="S1592" s="242"/>
      <c r="T1592" s="242"/>
      <c r="U1592" s="242"/>
      <c r="V1592" s="242"/>
      <c r="W1592" s="242"/>
      <c r="X1592" s="242"/>
      <c r="Y1592" s="242"/>
      <c r="Z1592" s="242"/>
      <c r="AA1592" s="242"/>
      <c r="AB1592" s="242"/>
    </row>
    <row r="1593">
      <c r="A1593" s="244"/>
      <c r="B1593" s="242"/>
      <c r="C1593" s="242"/>
      <c r="D1593" s="242"/>
      <c r="E1593" s="242"/>
      <c r="F1593" s="242"/>
      <c r="G1593" s="242"/>
      <c r="H1593" s="242"/>
      <c r="I1593" s="242"/>
      <c r="J1593" s="242"/>
      <c r="K1593" s="242"/>
      <c r="L1593" s="242"/>
      <c r="M1593" s="242"/>
      <c r="N1593" s="242"/>
      <c r="O1593" s="242"/>
      <c r="P1593" s="242"/>
      <c r="Q1593" s="242"/>
      <c r="R1593" s="242"/>
      <c r="S1593" s="242"/>
      <c r="T1593" s="242"/>
      <c r="U1593" s="242"/>
      <c r="V1593" s="242"/>
      <c r="W1593" s="242"/>
      <c r="X1593" s="242"/>
      <c r="Y1593" s="242"/>
      <c r="Z1593" s="242"/>
      <c r="AA1593" s="242"/>
      <c r="AB1593" s="242"/>
    </row>
    <row r="1594">
      <c r="A1594" s="244"/>
      <c r="B1594" s="242"/>
      <c r="C1594" s="242"/>
      <c r="D1594" s="242"/>
      <c r="E1594" s="242"/>
      <c r="F1594" s="242"/>
      <c r="G1594" s="242"/>
      <c r="H1594" s="242"/>
      <c r="I1594" s="242"/>
      <c r="J1594" s="242"/>
      <c r="K1594" s="242"/>
      <c r="L1594" s="242"/>
      <c r="M1594" s="242"/>
      <c r="N1594" s="242"/>
      <c r="O1594" s="242"/>
      <c r="P1594" s="242"/>
      <c r="Q1594" s="242"/>
      <c r="R1594" s="242"/>
      <c r="S1594" s="242"/>
      <c r="T1594" s="242"/>
      <c r="U1594" s="242"/>
      <c r="V1594" s="242"/>
      <c r="W1594" s="242"/>
      <c r="X1594" s="242"/>
      <c r="Y1594" s="242"/>
      <c r="Z1594" s="242"/>
      <c r="AA1594" s="242"/>
      <c r="AB1594" s="242"/>
    </row>
    <row r="1595">
      <c r="A1595" s="244"/>
      <c r="B1595" s="242"/>
      <c r="C1595" s="242"/>
      <c r="D1595" s="242"/>
      <c r="E1595" s="242"/>
      <c r="F1595" s="242"/>
      <c r="G1595" s="242"/>
      <c r="H1595" s="242"/>
      <c r="I1595" s="242"/>
      <c r="J1595" s="242"/>
      <c r="K1595" s="242"/>
      <c r="L1595" s="242"/>
      <c r="M1595" s="242"/>
      <c r="N1595" s="242"/>
      <c r="O1595" s="242"/>
      <c r="P1595" s="242"/>
      <c r="Q1595" s="242"/>
      <c r="R1595" s="242"/>
      <c r="S1595" s="242"/>
      <c r="T1595" s="242"/>
      <c r="U1595" s="242"/>
      <c r="V1595" s="242"/>
      <c r="W1595" s="242"/>
      <c r="X1595" s="242"/>
      <c r="Y1595" s="242"/>
      <c r="Z1595" s="242"/>
      <c r="AA1595" s="242"/>
      <c r="AB1595" s="242"/>
    </row>
    <row r="1596">
      <c r="A1596" s="244"/>
      <c r="B1596" s="242"/>
      <c r="C1596" s="242"/>
      <c r="D1596" s="242"/>
      <c r="E1596" s="242"/>
      <c r="F1596" s="242"/>
      <c r="G1596" s="242"/>
      <c r="H1596" s="242"/>
      <c r="I1596" s="242"/>
      <c r="J1596" s="242"/>
      <c r="K1596" s="242"/>
      <c r="L1596" s="242"/>
      <c r="M1596" s="242"/>
      <c r="N1596" s="242"/>
      <c r="O1596" s="242"/>
      <c r="P1596" s="242"/>
      <c r="Q1596" s="242"/>
      <c r="R1596" s="242"/>
      <c r="S1596" s="242"/>
      <c r="T1596" s="242"/>
      <c r="U1596" s="242"/>
      <c r="V1596" s="242"/>
      <c r="W1596" s="242"/>
      <c r="X1596" s="242"/>
      <c r="Y1596" s="242"/>
      <c r="Z1596" s="242"/>
      <c r="AA1596" s="242"/>
      <c r="AB1596" s="242"/>
    </row>
    <row r="1597">
      <c r="A1597" s="244"/>
      <c r="B1597" s="242"/>
      <c r="C1597" s="242"/>
      <c r="D1597" s="242"/>
      <c r="E1597" s="242"/>
      <c r="F1597" s="242"/>
      <c r="G1597" s="242"/>
      <c r="H1597" s="242"/>
      <c r="I1597" s="242"/>
      <c r="J1597" s="242"/>
      <c r="K1597" s="242"/>
      <c r="L1597" s="242"/>
      <c r="M1597" s="242"/>
      <c r="N1597" s="242"/>
      <c r="O1597" s="242"/>
      <c r="P1597" s="242"/>
      <c r="Q1597" s="242"/>
      <c r="R1597" s="242"/>
      <c r="S1597" s="242"/>
      <c r="T1597" s="242"/>
      <c r="U1597" s="242"/>
      <c r="V1597" s="242"/>
      <c r="W1597" s="242"/>
      <c r="X1597" s="242"/>
      <c r="Y1597" s="242"/>
      <c r="Z1597" s="242"/>
      <c r="AA1597" s="242"/>
      <c r="AB1597" s="242"/>
    </row>
    <row r="1598">
      <c r="A1598" s="244"/>
      <c r="B1598" s="242"/>
      <c r="C1598" s="242"/>
      <c r="D1598" s="242"/>
      <c r="E1598" s="242"/>
      <c r="F1598" s="242"/>
      <c r="G1598" s="242"/>
      <c r="H1598" s="242"/>
      <c r="I1598" s="242"/>
      <c r="J1598" s="242"/>
      <c r="K1598" s="242"/>
      <c r="L1598" s="242"/>
      <c r="M1598" s="242"/>
      <c r="N1598" s="242"/>
      <c r="O1598" s="242"/>
      <c r="P1598" s="242"/>
      <c r="Q1598" s="242"/>
      <c r="R1598" s="242"/>
      <c r="S1598" s="242"/>
      <c r="T1598" s="242"/>
      <c r="U1598" s="242"/>
      <c r="V1598" s="242"/>
      <c r="W1598" s="242"/>
      <c r="X1598" s="242"/>
      <c r="Y1598" s="242"/>
      <c r="Z1598" s="242"/>
      <c r="AA1598" s="242"/>
      <c r="AB1598" s="242"/>
    </row>
    <row r="1599">
      <c r="A1599" s="244"/>
      <c r="B1599" s="242"/>
      <c r="C1599" s="242"/>
      <c r="D1599" s="242"/>
      <c r="E1599" s="242"/>
      <c r="F1599" s="242"/>
      <c r="G1599" s="242"/>
      <c r="H1599" s="242"/>
      <c r="I1599" s="242"/>
      <c r="J1599" s="242"/>
      <c r="K1599" s="242"/>
      <c r="L1599" s="242"/>
      <c r="M1599" s="242"/>
      <c r="N1599" s="242"/>
      <c r="O1599" s="242"/>
      <c r="P1599" s="242"/>
      <c r="Q1599" s="242"/>
      <c r="R1599" s="242"/>
      <c r="S1599" s="242"/>
      <c r="T1599" s="242"/>
      <c r="U1599" s="242"/>
      <c r="V1599" s="242"/>
      <c r="W1599" s="242"/>
      <c r="X1599" s="242"/>
      <c r="Y1599" s="242"/>
      <c r="Z1599" s="242"/>
      <c r="AA1599" s="242"/>
      <c r="AB1599" s="242"/>
    </row>
    <row r="1600">
      <c r="A1600" s="244"/>
      <c r="B1600" s="242"/>
      <c r="C1600" s="242"/>
      <c r="D1600" s="242"/>
      <c r="E1600" s="242"/>
      <c r="F1600" s="242"/>
      <c r="G1600" s="242"/>
      <c r="H1600" s="242"/>
      <c r="I1600" s="242"/>
      <c r="J1600" s="242"/>
      <c r="K1600" s="242"/>
      <c r="L1600" s="242"/>
      <c r="M1600" s="242"/>
      <c r="N1600" s="242"/>
      <c r="O1600" s="242"/>
      <c r="P1600" s="242"/>
      <c r="Q1600" s="242"/>
      <c r="R1600" s="242"/>
      <c r="S1600" s="242"/>
      <c r="T1600" s="242"/>
      <c r="U1600" s="242"/>
      <c r="V1600" s="242"/>
      <c r="W1600" s="242"/>
      <c r="X1600" s="242"/>
      <c r="Y1600" s="242"/>
      <c r="Z1600" s="242"/>
      <c r="AA1600" s="242"/>
      <c r="AB1600" s="242"/>
    </row>
    <row r="1601">
      <c r="A1601" s="244"/>
      <c r="B1601" s="242"/>
      <c r="C1601" s="242"/>
      <c r="D1601" s="242"/>
      <c r="E1601" s="242"/>
      <c r="F1601" s="242"/>
      <c r="G1601" s="242"/>
      <c r="H1601" s="242"/>
      <c r="I1601" s="242"/>
      <c r="J1601" s="242"/>
      <c r="K1601" s="242"/>
      <c r="L1601" s="242"/>
      <c r="M1601" s="242"/>
      <c r="N1601" s="242"/>
      <c r="O1601" s="242"/>
      <c r="P1601" s="242"/>
      <c r="Q1601" s="242"/>
      <c r="R1601" s="242"/>
      <c r="S1601" s="242"/>
      <c r="T1601" s="242"/>
      <c r="U1601" s="242"/>
      <c r="V1601" s="242"/>
      <c r="W1601" s="242"/>
      <c r="X1601" s="242"/>
      <c r="Y1601" s="242"/>
      <c r="Z1601" s="242"/>
      <c r="AA1601" s="242"/>
      <c r="AB1601" s="242"/>
    </row>
    <row r="1602">
      <c r="A1602" s="244"/>
      <c r="B1602" s="242"/>
      <c r="C1602" s="242"/>
      <c r="D1602" s="242"/>
      <c r="E1602" s="242"/>
      <c r="F1602" s="242"/>
      <c r="G1602" s="242"/>
      <c r="H1602" s="242"/>
      <c r="I1602" s="242"/>
      <c r="J1602" s="242"/>
      <c r="K1602" s="242"/>
      <c r="L1602" s="242"/>
      <c r="M1602" s="242"/>
      <c r="N1602" s="242"/>
      <c r="O1602" s="242"/>
      <c r="P1602" s="242"/>
      <c r="Q1602" s="242"/>
      <c r="R1602" s="242"/>
      <c r="S1602" s="242"/>
      <c r="T1602" s="242"/>
      <c r="U1602" s="242"/>
      <c r="V1602" s="242"/>
      <c r="W1602" s="242"/>
      <c r="X1602" s="242"/>
      <c r="Y1602" s="242"/>
      <c r="Z1602" s="242"/>
      <c r="AA1602" s="242"/>
      <c r="AB1602" s="242"/>
    </row>
    <row r="1603">
      <c r="A1603" s="244"/>
      <c r="B1603" s="242"/>
      <c r="C1603" s="242"/>
      <c r="D1603" s="242"/>
      <c r="E1603" s="242"/>
      <c r="F1603" s="242"/>
      <c r="G1603" s="242"/>
      <c r="H1603" s="242"/>
      <c r="I1603" s="242"/>
      <c r="J1603" s="242"/>
      <c r="K1603" s="242"/>
      <c r="L1603" s="242"/>
      <c r="M1603" s="242"/>
      <c r="N1603" s="242"/>
      <c r="O1603" s="242"/>
      <c r="P1603" s="242"/>
      <c r="Q1603" s="242"/>
      <c r="R1603" s="242"/>
      <c r="S1603" s="242"/>
      <c r="T1603" s="242"/>
      <c r="U1603" s="242"/>
      <c r="V1603" s="242"/>
      <c r="W1603" s="242"/>
      <c r="X1603" s="242"/>
      <c r="Y1603" s="242"/>
      <c r="Z1603" s="242"/>
      <c r="AA1603" s="242"/>
      <c r="AB1603" s="242"/>
    </row>
    <row r="1604">
      <c r="A1604" s="244"/>
      <c r="B1604" s="242"/>
      <c r="C1604" s="242"/>
      <c r="D1604" s="242"/>
      <c r="E1604" s="242"/>
      <c r="F1604" s="242"/>
      <c r="G1604" s="242"/>
      <c r="H1604" s="242"/>
      <c r="I1604" s="242"/>
      <c r="J1604" s="242"/>
      <c r="K1604" s="242"/>
      <c r="L1604" s="242"/>
      <c r="M1604" s="242"/>
      <c r="N1604" s="242"/>
      <c r="O1604" s="242"/>
      <c r="P1604" s="242"/>
      <c r="Q1604" s="242"/>
      <c r="R1604" s="242"/>
      <c r="S1604" s="242"/>
      <c r="T1604" s="242"/>
      <c r="U1604" s="242"/>
      <c r="V1604" s="242"/>
      <c r="W1604" s="242"/>
      <c r="X1604" s="242"/>
      <c r="Y1604" s="242"/>
      <c r="Z1604" s="242"/>
      <c r="AA1604" s="242"/>
      <c r="AB1604" s="242"/>
    </row>
    <row r="1605">
      <c r="A1605" s="244"/>
      <c r="B1605" s="242"/>
      <c r="C1605" s="242"/>
      <c r="D1605" s="242"/>
      <c r="E1605" s="242"/>
      <c r="F1605" s="242"/>
      <c r="G1605" s="242"/>
      <c r="H1605" s="242"/>
      <c r="I1605" s="242"/>
      <c r="J1605" s="242"/>
      <c r="K1605" s="242"/>
      <c r="L1605" s="242"/>
      <c r="M1605" s="242"/>
      <c r="N1605" s="242"/>
      <c r="O1605" s="242"/>
      <c r="P1605" s="242"/>
      <c r="Q1605" s="242"/>
      <c r="R1605" s="242"/>
      <c r="S1605" s="242"/>
      <c r="T1605" s="242"/>
      <c r="U1605" s="242"/>
      <c r="V1605" s="242"/>
      <c r="W1605" s="242"/>
      <c r="X1605" s="242"/>
      <c r="Y1605" s="242"/>
      <c r="Z1605" s="242"/>
      <c r="AA1605" s="242"/>
      <c r="AB1605" s="242"/>
    </row>
    <row r="1606">
      <c r="A1606" s="244"/>
      <c r="B1606" s="242"/>
      <c r="C1606" s="242"/>
      <c r="D1606" s="242"/>
      <c r="E1606" s="242"/>
      <c r="F1606" s="242"/>
      <c r="G1606" s="242"/>
      <c r="H1606" s="242"/>
      <c r="I1606" s="242"/>
      <c r="J1606" s="242"/>
      <c r="K1606" s="242"/>
      <c r="L1606" s="242"/>
      <c r="M1606" s="242"/>
      <c r="N1606" s="242"/>
      <c r="O1606" s="242"/>
      <c r="P1606" s="242"/>
      <c r="Q1606" s="242"/>
      <c r="R1606" s="242"/>
      <c r="S1606" s="242"/>
      <c r="T1606" s="242"/>
      <c r="U1606" s="242"/>
      <c r="V1606" s="242"/>
      <c r="W1606" s="242"/>
      <c r="X1606" s="242"/>
      <c r="Y1606" s="242"/>
      <c r="Z1606" s="242"/>
      <c r="AA1606" s="242"/>
      <c r="AB1606" s="242"/>
    </row>
    <row r="1607">
      <c r="A1607" s="244"/>
      <c r="B1607" s="242"/>
      <c r="C1607" s="242"/>
      <c r="D1607" s="242"/>
      <c r="E1607" s="242"/>
      <c r="F1607" s="242"/>
      <c r="G1607" s="242"/>
      <c r="H1607" s="242"/>
      <c r="I1607" s="242"/>
      <c r="J1607" s="242"/>
      <c r="K1607" s="242"/>
      <c r="L1607" s="242"/>
      <c r="M1607" s="242"/>
      <c r="N1607" s="242"/>
      <c r="O1607" s="242"/>
      <c r="P1607" s="242"/>
      <c r="Q1607" s="242"/>
      <c r="R1607" s="242"/>
      <c r="S1607" s="242"/>
      <c r="T1607" s="242"/>
      <c r="U1607" s="242"/>
      <c r="V1607" s="242"/>
      <c r="W1607" s="242"/>
      <c r="X1607" s="242"/>
      <c r="Y1607" s="242"/>
      <c r="Z1607" s="242"/>
      <c r="AA1607" s="242"/>
      <c r="AB1607" s="242"/>
    </row>
    <row r="1608">
      <c r="A1608" s="244"/>
      <c r="B1608" s="242"/>
      <c r="C1608" s="242"/>
      <c r="D1608" s="242"/>
      <c r="E1608" s="242"/>
      <c r="F1608" s="242"/>
      <c r="G1608" s="242"/>
      <c r="H1608" s="242"/>
      <c r="I1608" s="242"/>
      <c r="J1608" s="242"/>
      <c r="K1608" s="242"/>
      <c r="L1608" s="242"/>
      <c r="M1608" s="242"/>
      <c r="N1608" s="242"/>
      <c r="O1608" s="242"/>
      <c r="P1608" s="242"/>
      <c r="Q1608" s="242"/>
      <c r="R1608" s="242"/>
      <c r="S1608" s="242"/>
      <c r="T1608" s="242"/>
      <c r="U1608" s="242"/>
      <c r="V1608" s="242"/>
      <c r="W1608" s="242"/>
      <c r="X1608" s="242"/>
      <c r="Y1608" s="242"/>
      <c r="Z1608" s="242"/>
      <c r="AA1608" s="242"/>
      <c r="AB1608" s="242"/>
    </row>
    <row r="1609">
      <c r="A1609" s="244"/>
      <c r="B1609" s="242"/>
      <c r="C1609" s="242"/>
      <c r="D1609" s="242"/>
      <c r="E1609" s="242"/>
      <c r="F1609" s="242"/>
      <c r="G1609" s="242"/>
      <c r="H1609" s="242"/>
      <c r="I1609" s="242"/>
      <c r="J1609" s="242"/>
      <c r="K1609" s="242"/>
      <c r="L1609" s="242"/>
      <c r="M1609" s="242"/>
      <c r="N1609" s="242"/>
      <c r="O1609" s="242"/>
      <c r="P1609" s="242"/>
      <c r="Q1609" s="242"/>
      <c r="R1609" s="242"/>
      <c r="S1609" s="242"/>
      <c r="T1609" s="242"/>
      <c r="U1609" s="242"/>
      <c r="V1609" s="242"/>
      <c r="W1609" s="242"/>
      <c r="X1609" s="242"/>
      <c r="Y1609" s="242"/>
      <c r="Z1609" s="242"/>
      <c r="AA1609" s="242"/>
      <c r="AB1609" s="242"/>
    </row>
    <row r="1610">
      <c r="A1610" s="244"/>
      <c r="B1610" s="242"/>
      <c r="C1610" s="242"/>
      <c r="D1610" s="242"/>
      <c r="E1610" s="242"/>
      <c r="F1610" s="242"/>
      <c r="G1610" s="242"/>
      <c r="H1610" s="242"/>
      <c r="I1610" s="242"/>
      <c r="J1610" s="242"/>
      <c r="K1610" s="242"/>
      <c r="L1610" s="242"/>
      <c r="M1610" s="242"/>
      <c r="N1610" s="242"/>
      <c r="O1610" s="242"/>
      <c r="P1610" s="242"/>
      <c r="Q1610" s="242"/>
      <c r="R1610" s="242"/>
      <c r="S1610" s="242"/>
      <c r="T1610" s="242"/>
      <c r="U1610" s="242"/>
      <c r="V1610" s="242"/>
      <c r="W1610" s="242"/>
      <c r="X1610" s="242"/>
      <c r="Y1610" s="242"/>
      <c r="Z1610" s="242"/>
      <c r="AA1610" s="242"/>
      <c r="AB1610" s="242"/>
    </row>
    <row r="1611">
      <c r="A1611" s="244"/>
      <c r="B1611" s="242"/>
      <c r="C1611" s="242"/>
      <c r="D1611" s="242"/>
      <c r="E1611" s="242"/>
      <c r="F1611" s="242"/>
      <c r="G1611" s="242"/>
      <c r="H1611" s="242"/>
      <c r="I1611" s="242"/>
      <c r="J1611" s="242"/>
      <c r="K1611" s="242"/>
      <c r="L1611" s="242"/>
      <c r="M1611" s="242"/>
      <c r="N1611" s="242"/>
      <c r="O1611" s="242"/>
      <c r="P1611" s="242"/>
      <c r="Q1611" s="242"/>
      <c r="R1611" s="242"/>
      <c r="S1611" s="242"/>
      <c r="T1611" s="242"/>
      <c r="U1611" s="242"/>
      <c r="V1611" s="242"/>
      <c r="W1611" s="242"/>
      <c r="X1611" s="242"/>
      <c r="Y1611" s="242"/>
      <c r="Z1611" s="242"/>
      <c r="AA1611" s="242"/>
      <c r="AB1611" s="242"/>
    </row>
    <row r="1612">
      <c r="A1612" s="244"/>
      <c r="B1612" s="242"/>
      <c r="C1612" s="242"/>
      <c r="D1612" s="242"/>
      <c r="E1612" s="242"/>
      <c r="F1612" s="242"/>
      <c r="G1612" s="242"/>
      <c r="H1612" s="242"/>
      <c r="I1612" s="242"/>
      <c r="J1612" s="242"/>
      <c r="K1612" s="242"/>
      <c r="L1612" s="242"/>
      <c r="M1612" s="242"/>
      <c r="N1612" s="242"/>
      <c r="O1612" s="242"/>
      <c r="P1612" s="242"/>
      <c r="Q1612" s="242"/>
      <c r="R1612" s="242"/>
      <c r="S1612" s="242"/>
      <c r="T1612" s="242"/>
      <c r="U1612" s="242"/>
      <c r="V1612" s="242"/>
      <c r="W1612" s="242"/>
      <c r="X1612" s="242"/>
      <c r="Y1612" s="242"/>
      <c r="Z1612" s="242"/>
      <c r="AA1612" s="242"/>
      <c r="AB1612" s="242"/>
    </row>
    <row r="1613">
      <c r="A1613" s="244"/>
      <c r="B1613" s="242"/>
      <c r="C1613" s="242"/>
      <c r="D1613" s="242"/>
      <c r="E1613" s="242"/>
      <c r="F1613" s="242"/>
      <c r="G1613" s="242"/>
      <c r="H1613" s="242"/>
      <c r="I1613" s="242"/>
      <c r="J1613" s="242"/>
      <c r="K1613" s="242"/>
      <c r="L1613" s="242"/>
      <c r="M1613" s="242"/>
      <c r="N1613" s="242"/>
      <c r="O1613" s="242"/>
      <c r="P1613" s="242"/>
      <c r="Q1613" s="242"/>
      <c r="R1613" s="242"/>
      <c r="S1613" s="242"/>
      <c r="T1613" s="242"/>
      <c r="U1613" s="242"/>
      <c r="V1613" s="242"/>
      <c r="W1613" s="242"/>
      <c r="X1613" s="242"/>
      <c r="Y1613" s="242"/>
      <c r="Z1613" s="242"/>
      <c r="AA1613" s="242"/>
      <c r="AB1613" s="242"/>
    </row>
    <row r="1614">
      <c r="A1614" s="244"/>
      <c r="B1614" s="242"/>
      <c r="C1614" s="242"/>
      <c r="D1614" s="242"/>
      <c r="E1614" s="242"/>
      <c r="F1614" s="242"/>
      <c r="G1614" s="242"/>
      <c r="H1614" s="242"/>
      <c r="I1614" s="242"/>
      <c r="J1614" s="242"/>
      <c r="K1614" s="242"/>
      <c r="L1614" s="242"/>
      <c r="M1614" s="242"/>
      <c r="N1614" s="242"/>
      <c r="O1614" s="242"/>
      <c r="P1614" s="242"/>
      <c r="Q1614" s="242"/>
      <c r="R1614" s="242"/>
      <c r="S1614" s="242"/>
      <c r="T1614" s="242"/>
      <c r="U1614" s="242"/>
      <c r="V1614" s="242"/>
      <c r="W1614" s="242"/>
      <c r="X1614" s="242"/>
      <c r="Y1614" s="242"/>
      <c r="Z1614" s="242"/>
      <c r="AA1614" s="242"/>
      <c r="AB1614" s="242"/>
    </row>
    <row r="1615">
      <c r="A1615" s="244"/>
      <c r="B1615" s="242"/>
      <c r="C1615" s="242"/>
      <c r="D1615" s="242"/>
      <c r="E1615" s="242"/>
      <c r="F1615" s="242"/>
      <c r="G1615" s="242"/>
      <c r="H1615" s="242"/>
      <c r="I1615" s="242"/>
      <c r="J1615" s="242"/>
      <c r="K1615" s="242"/>
      <c r="L1615" s="242"/>
      <c r="M1615" s="242"/>
      <c r="N1615" s="242"/>
      <c r="O1615" s="242"/>
      <c r="P1615" s="242"/>
      <c r="Q1615" s="242"/>
      <c r="R1615" s="242"/>
      <c r="S1615" s="242"/>
      <c r="T1615" s="242"/>
      <c r="U1615" s="242"/>
      <c r="V1615" s="242"/>
      <c r="W1615" s="242"/>
      <c r="X1615" s="242"/>
      <c r="Y1615" s="242"/>
      <c r="Z1615" s="242"/>
      <c r="AA1615" s="242"/>
      <c r="AB1615" s="242"/>
    </row>
    <row r="1616">
      <c r="A1616" s="244"/>
      <c r="B1616" s="242"/>
      <c r="C1616" s="242"/>
      <c r="D1616" s="242"/>
      <c r="E1616" s="242"/>
      <c r="F1616" s="242"/>
      <c r="G1616" s="242"/>
      <c r="H1616" s="242"/>
      <c r="I1616" s="242"/>
      <c r="J1616" s="242"/>
      <c r="K1616" s="242"/>
      <c r="L1616" s="242"/>
      <c r="M1616" s="242"/>
      <c r="N1616" s="242"/>
      <c r="O1616" s="242"/>
      <c r="P1616" s="242"/>
      <c r="Q1616" s="242"/>
      <c r="R1616" s="242"/>
      <c r="S1616" s="242"/>
      <c r="T1616" s="242"/>
      <c r="U1616" s="242"/>
      <c r="V1616" s="242"/>
      <c r="W1616" s="242"/>
      <c r="X1616" s="242"/>
      <c r="Y1616" s="242"/>
      <c r="Z1616" s="242"/>
      <c r="AA1616" s="242"/>
      <c r="AB1616" s="242"/>
    </row>
    <row r="1617">
      <c r="A1617" s="244"/>
      <c r="B1617" s="242"/>
      <c r="C1617" s="242"/>
      <c r="D1617" s="242"/>
      <c r="E1617" s="242"/>
      <c r="F1617" s="242"/>
      <c r="G1617" s="242"/>
      <c r="H1617" s="242"/>
      <c r="I1617" s="242"/>
      <c r="J1617" s="242"/>
      <c r="K1617" s="242"/>
      <c r="L1617" s="242"/>
      <c r="M1617" s="242"/>
      <c r="N1617" s="242"/>
      <c r="O1617" s="242"/>
      <c r="P1617" s="242"/>
      <c r="Q1617" s="242"/>
      <c r="R1617" s="242"/>
      <c r="S1617" s="242"/>
      <c r="T1617" s="242"/>
      <c r="U1617" s="242"/>
      <c r="V1617" s="242"/>
      <c r="W1617" s="242"/>
      <c r="X1617" s="242"/>
      <c r="Y1617" s="242"/>
      <c r="Z1617" s="242"/>
      <c r="AA1617" s="242"/>
      <c r="AB1617" s="242"/>
    </row>
    <row r="1618">
      <c r="A1618" s="244"/>
      <c r="B1618" s="242"/>
      <c r="C1618" s="242"/>
      <c r="D1618" s="242"/>
      <c r="E1618" s="242"/>
      <c r="F1618" s="242"/>
      <c r="G1618" s="242"/>
      <c r="H1618" s="242"/>
      <c r="I1618" s="242"/>
      <c r="J1618" s="242"/>
      <c r="K1618" s="242"/>
      <c r="L1618" s="242"/>
      <c r="M1618" s="242"/>
      <c r="N1618" s="242"/>
      <c r="O1618" s="242"/>
      <c r="P1618" s="242"/>
      <c r="Q1618" s="242"/>
      <c r="R1618" s="242"/>
      <c r="S1618" s="242"/>
      <c r="T1618" s="242"/>
      <c r="U1618" s="242"/>
      <c r="V1618" s="242"/>
      <c r="W1618" s="242"/>
      <c r="X1618" s="242"/>
      <c r="Y1618" s="242"/>
      <c r="Z1618" s="242"/>
      <c r="AA1618" s="242"/>
      <c r="AB1618" s="242"/>
    </row>
    <row r="1619">
      <c r="A1619" s="244"/>
      <c r="B1619" s="242"/>
      <c r="C1619" s="242"/>
      <c r="D1619" s="242"/>
      <c r="E1619" s="242"/>
      <c r="F1619" s="242"/>
      <c r="G1619" s="242"/>
      <c r="H1619" s="242"/>
      <c r="I1619" s="242"/>
      <c r="J1619" s="242"/>
      <c r="K1619" s="242"/>
      <c r="L1619" s="242"/>
      <c r="M1619" s="242"/>
      <c r="N1619" s="242"/>
      <c r="O1619" s="242"/>
      <c r="P1619" s="242"/>
      <c r="Q1619" s="242"/>
      <c r="R1619" s="242"/>
      <c r="S1619" s="242"/>
      <c r="T1619" s="242"/>
      <c r="U1619" s="242"/>
      <c r="V1619" s="242"/>
      <c r="W1619" s="242"/>
      <c r="X1619" s="242"/>
      <c r="Y1619" s="242"/>
      <c r="Z1619" s="242"/>
      <c r="AA1619" s="242"/>
      <c r="AB1619" s="242"/>
    </row>
    <row r="1620">
      <c r="A1620" s="244"/>
      <c r="B1620" s="242"/>
      <c r="C1620" s="242"/>
      <c r="D1620" s="242"/>
      <c r="E1620" s="242"/>
      <c r="F1620" s="242"/>
      <c r="G1620" s="242"/>
      <c r="H1620" s="242"/>
      <c r="I1620" s="242"/>
      <c r="J1620" s="242"/>
      <c r="K1620" s="242"/>
      <c r="L1620" s="242"/>
      <c r="M1620" s="242"/>
      <c r="N1620" s="242"/>
      <c r="O1620" s="242"/>
      <c r="P1620" s="242"/>
      <c r="Q1620" s="242"/>
      <c r="R1620" s="242"/>
      <c r="S1620" s="242"/>
      <c r="T1620" s="242"/>
      <c r="U1620" s="242"/>
      <c r="V1620" s="242"/>
      <c r="W1620" s="242"/>
      <c r="X1620" s="242"/>
      <c r="Y1620" s="242"/>
      <c r="Z1620" s="242"/>
      <c r="AA1620" s="242"/>
      <c r="AB1620" s="242"/>
    </row>
    <row r="1621">
      <c r="A1621" s="244"/>
      <c r="B1621" s="242"/>
      <c r="C1621" s="242"/>
      <c r="D1621" s="242"/>
      <c r="E1621" s="242"/>
      <c r="F1621" s="242"/>
      <c r="G1621" s="242"/>
      <c r="H1621" s="242"/>
      <c r="I1621" s="242"/>
      <c r="J1621" s="242"/>
      <c r="K1621" s="242"/>
      <c r="L1621" s="242"/>
      <c r="M1621" s="242"/>
      <c r="N1621" s="242"/>
      <c r="O1621" s="242"/>
      <c r="P1621" s="242"/>
      <c r="Q1621" s="242"/>
      <c r="R1621" s="242"/>
      <c r="S1621" s="242"/>
      <c r="T1621" s="242"/>
      <c r="U1621" s="242"/>
      <c r="V1621" s="242"/>
      <c r="W1621" s="242"/>
      <c r="X1621" s="242"/>
      <c r="Y1621" s="242"/>
      <c r="Z1621" s="242"/>
      <c r="AA1621" s="242"/>
      <c r="AB1621" s="242"/>
    </row>
    <row r="1622">
      <c r="A1622" s="244"/>
      <c r="B1622" s="242"/>
      <c r="C1622" s="242"/>
      <c r="D1622" s="242"/>
      <c r="E1622" s="242"/>
      <c r="F1622" s="242"/>
      <c r="G1622" s="242"/>
      <c r="H1622" s="242"/>
      <c r="I1622" s="242"/>
      <c r="J1622" s="242"/>
      <c r="K1622" s="242"/>
      <c r="L1622" s="242"/>
      <c r="M1622" s="242"/>
      <c r="N1622" s="242"/>
      <c r="O1622" s="242"/>
      <c r="P1622" s="242"/>
      <c r="Q1622" s="242"/>
      <c r="R1622" s="242"/>
      <c r="S1622" s="242"/>
      <c r="T1622" s="242"/>
      <c r="U1622" s="242"/>
      <c r="V1622" s="242"/>
      <c r="W1622" s="242"/>
      <c r="X1622" s="242"/>
      <c r="Y1622" s="242"/>
      <c r="Z1622" s="242"/>
      <c r="AA1622" s="242"/>
      <c r="AB1622" s="242"/>
    </row>
    <row r="1623">
      <c r="A1623" s="244"/>
      <c r="B1623" s="242"/>
      <c r="C1623" s="242"/>
      <c r="D1623" s="242"/>
      <c r="E1623" s="242"/>
      <c r="F1623" s="242"/>
      <c r="G1623" s="242"/>
      <c r="H1623" s="242"/>
      <c r="I1623" s="242"/>
      <c r="J1623" s="242"/>
      <c r="K1623" s="242"/>
      <c r="L1623" s="242"/>
      <c r="M1623" s="242"/>
      <c r="N1623" s="242"/>
      <c r="O1623" s="242"/>
      <c r="P1623" s="242"/>
      <c r="Q1623" s="242"/>
      <c r="R1623" s="242"/>
      <c r="S1623" s="242"/>
      <c r="T1623" s="242"/>
      <c r="U1623" s="242"/>
      <c r="V1623" s="242"/>
      <c r="W1623" s="242"/>
      <c r="X1623" s="242"/>
      <c r="Y1623" s="242"/>
      <c r="Z1623" s="242"/>
      <c r="AA1623" s="242"/>
      <c r="AB1623" s="242"/>
    </row>
    <row r="1624">
      <c r="A1624" s="244"/>
      <c r="B1624" s="242"/>
      <c r="C1624" s="242"/>
      <c r="D1624" s="242"/>
      <c r="E1624" s="242"/>
      <c r="F1624" s="242"/>
      <c r="G1624" s="242"/>
      <c r="H1624" s="242"/>
      <c r="I1624" s="242"/>
      <c r="J1624" s="242"/>
      <c r="K1624" s="242"/>
      <c r="L1624" s="242"/>
      <c r="M1624" s="242"/>
      <c r="N1624" s="242"/>
      <c r="O1624" s="242"/>
      <c r="P1624" s="242"/>
      <c r="Q1624" s="242"/>
      <c r="R1624" s="242"/>
      <c r="S1624" s="242"/>
      <c r="T1624" s="242"/>
      <c r="U1624" s="242"/>
      <c r="V1624" s="242"/>
      <c r="W1624" s="242"/>
      <c r="X1624" s="242"/>
      <c r="Y1624" s="242"/>
      <c r="Z1624" s="242"/>
      <c r="AA1624" s="242"/>
      <c r="AB1624" s="242"/>
    </row>
    <row r="1625">
      <c r="A1625" s="244"/>
      <c r="B1625" s="242"/>
      <c r="C1625" s="242"/>
      <c r="D1625" s="242"/>
      <c r="E1625" s="242"/>
      <c r="F1625" s="242"/>
      <c r="G1625" s="242"/>
      <c r="H1625" s="242"/>
      <c r="I1625" s="242"/>
      <c r="J1625" s="242"/>
      <c r="K1625" s="242"/>
      <c r="L1625" s="242"/>
      <c r="M1625" s="242"/>
      <c r="N1625" s="242"/>
      <c r="O1625" s="242"/>
      <c r="P1625" s="242"/>
      <c r="Q1625" s="242"/>
      <c r="R1625" s="242"/>
      <c r="S1625" s="242"/>
      <c r="T1625" s="242"/>
      <c r="U1625" s="242"/>
      <c r="V1625" s="242"/>
      <c r="W1625" s="242"/>
      <c r="X1625" s="242"/>
      <c r="Y1625" s="242"/>
      <c r="Z1625" s="242"/>
      <c r="AA1625" s="242"/>
      <c r="AB1625" s="242"/>
    </row>
    <row r="1626">
      <c r="A1626" s="244"/>
      <c r="B1626" s="242"/>
      <c r="C1626" s="242"/>
      <c r="D1626" s="242"/>
      <c r="E1626" s="242"/>
      <c r="F1626" s="242"/>
      <c r="G1626" s="242"/>
      <c r="H1626" s="242"/>
      <c r="I1626" s="242"/>
      <c r="J1626" s="242"/>
      <c r="K1626" s="242"/>
      <c r="L1626" s="242"/>
      <c r="M1626" s="242"/>
      <c r="N1626" s="242"/>
      <c r="O1626" s="242"/>
      <c r="P1626" s="242"/>
      <c r="Q1626" s="242"/>
      <c r="R1626" s="242"/>
      <c r="S1626" s="242"/>
      <c r="T1626" s="242"/>
      <c r="U1626" s="242"/>
      <c r="V1626" s="242"/>
      <c r="W1626" s="242"/>
      <c r="X1626" s="242"/>
      <c r="Y1626" s="242"/>
      <c r="Z1626" s="242"/>
      <c r="AA1626" s="242"/>
      <c r="AB1626" s="242"/>
    </row>
    <row r="1627">
      <c r="A1627" s="244"/>
      <c r="B1627" s="242"/>
      <c r="C1627" s="242"/>
      <c r="D1627" s="242"/>
      <c r="E1627" s="242"/>
      <c r="F1627" s="242"/>
      <c r="G1627" s="242"/>
      <c r="H1627" s="242"/>
      <c r="I1627" s="242"/>
      <c r="J1627" s="242"/>
      <c r="K1627" s="242"/>
      <c r="L1627" s="242"/>
      <c r="M1627" s="242"/>
      <c r="N1627" s="242"/>
      <c r="O1627" s="242"/>
      <c r="P1627" s="242"/>
      <c r="Q1627" s="242"/>
      <c r="R1627" s="242"/>
      <c r="S1627" s="242"/>
      <c r="T1627" s="242"/>
      <c r="U1627" s="242"/>
      <c r="V1627" s="242"/>
      <c r="W1627" s="242"/>
      <c r="X1627" s="242"/>
      <c r="Y1627" s="242"/>
      <c r="Z1627" s="242"/>
      <c r="AA1627" s="242"/>
      <c r="AB1627" s="242"/>
    </row>
    <row r="1628">
      <c r="A1628" s="244"/>
      <c r="B1628" s="242"/>
      <c r="C1628" s="242"/>
      <c r="D1628" s="242"/>
      <c r="E1628" s="242"/>
      <c r="F1628" s="242"/>
      <c r="G1628" s="242"/>
      <c r="H1628" s="242"/>
      <c r="I1628" s="242"/>
      <c r="J1628" s="242"/>
      <c r="K1628" s="242"/>
      <c r="L1628" s="242"/>
      <c r="M1628" s="242"/>
      <c r="N1628" s="242"/>
      <c r="O1628" s="242"/>
      <c r="P1628" s="242"/>
      <c r="Q1628" s="242"/>
      <c r="R1628" s="242"/>
      <c r="S1628" s="242"/>
      <c r="T1628" s="242"/>
      <c r="U1628" s="242"/>
      <c r="V1628" s="242"/>
      <c r="W1628" s="242"/>
      <c r="X1628" s="242"/>
      <c r="Y1628" s="242"/>
      <c r="Z1628" s="242"/>
      <c r="AA1628" s="242"/>
      <c r="AB1628" s="242"/>
    </row>
    <row r="1629">
      <c r="A1629" s="244"/>
      <c r="B1629" s="242"/>
      <c r="C1629" s="242"/>
      <c r="D1629" s="242"/>
      <c r="E1629" s="242"/>
      <c r="F1629" s="242"/>
      <c r="G1629" s="242"/>
      <c r="H1629" s="242"/>
      <c r="I1629" s="242"/>
      <c r="J1629" s="242"/>
      <c r="K1629" s="242"/>
      <c r="L1629" s="242"/>
      <c r="M1629" s="242"/>
      <c r="N1629" s="242"/>
      <c r="O1629" s="242"/>
      <c r="P1629" s="242"/>
      <c r="Q1629" s="242"/>
      <c r="R1629" s="242"/>
      <c r="S1629" s="242"/>
      <c r="T1629" s="242"/>
      <c r="U1629" s="242"/>
      <c r="V1629" s="242"/>
      <c r="W1629" s="242"/>
      <c r="X1629" s="242"/>
      <c r="Y1629" s="242"/>
      <c r="Z1629" s="242"/>
      <c r="AA1629" s="242"/>
      <c r="AB1629" s="242"/>
    </row>
    <row r="1630">
      <c r="A1630" s="244"/>
      <c r="B1630" s="242"/>
      <c r="C1630" s="242"/>
      <c r="D1630" s="242"/>
      <c r="E1630" s="242"/>
      <c r="F1630" s="242"/>
      <c r="G1630" s="242"/>
      <c r="H1630" s="242"/>
      <c r="I1630" s="242"/>
      <c r="J1630" s="242"/>
      <c r="K1630" s="242"/>
      <c r="L1630" s="242"/>
      <c r="M1630" s="242"/>
      <c r="N1630" s="242"/>
      <c r="O1630" s="242"/>
      <c r="P1630" s="242"/>
      <c r="Q1630" s="242"/>
      <c r="R1630" s="242"/>
      <c r="S1630" s="242"/>
      <c r="T1630" s="242"/>
      <c r="U1630" s="242"/>
      <c r="V1630" s="242"/>
      <c r="W1630" s="242"/>
      <c r="X1630" s="242"/>
      <c r="Y1630" s="242"/>
      <c r="Z1630" s="242"/>
      <c r="AA1630" s="242"/>
      <c r="AB1630" s="242"/>
    </row>
    <row r="1631">
      <c r="A1631" s="244"/>
      <c r="B1631" s="242"/>
      <c r="C1631" s="242"/>
      <c r="D1631" s="242"/>
      <c r="E1631" s="242"/>
      <c r="F1631" s="242"/>
      <c r="G1631" s="242"/>
      <c r="H1631" s="242"/>
      <c r="I1631" s="242"/>
      <c r="J1631" s="242"/>
      <c r="K1631" s="242"/>
      <c r="L1631" s="242"/>
      <c r="M1631" s="242"/>
      <c r="N1631" s="242"/>
      <c r="O1631" s="242"/>
      <c r="P1631" s="242"/>
      <c r="Q1631" s="242"/>
      <c r="R1631" s="242"/>
      <c r="S1631" s="242"/>
      <c r="T1631" s="242"/>
      <c r="U1631" s="242"/>
      <c r="V1631" s="242"/>
      <c r="W1631" s="242"/>
      <c r="X1631" s="242"/>
      <c r="Y1631" s="242"/>
      <c r="Z1631" s="242"/>
      <c r="AA1631" s="242"/>
      <c r="AB1631" s="242"/>
    </row>
    <row r="1632">
      <c r="A1632" s="244"/>
      <c r="B1632" s="242"/>
      <c r="C1632" s="242"/>
      <c r="D1632" s="242"/>
      <c r="E1632" s="242"/>
      <c r="F1632" s="242"/>
      <c r="G1632" s="242"/>
      <c r="H1632" s="242"/>
      <c r="I1632" s="242"/>
      <c r="J1632" s="242"/>
      <c r="K1632" s="242"/>
      <c r="L1632" s="242"/>
      <c r="M1632" s="242"/>
      <c r="N1632" s="242"/>
      <c r="O1632" s="242"/>
      <c r="P1632" s="242"/>
      <c r="Q1632" s="242"/>
      <c r="R1632" s="242"/>
      <c r="S1632" s="242"/>
      <c r="T1632" s="242"/>
      <c r="U1632" s="242"/>
      <c r="V1632" s="242"/>
      <c r="W1632" s="242"/>
      <c r="X1632" s="242"/>
      <c r="Y1632" s="242"/>
      <c r="Z1632" s="242"/>
      <c r="AA1632" s="242"/>
      <c r="AB1632" s="242"/>
    </row>
    <row r="1633">
      <c r="A1633" s="244"/>
      <c r="B1633" s="242"/>
      <c r="C1633" s="242"/>
      <c r="D1633" s="242"/>
      <c r="E1633" s="242"/>
      <c r="F1633" s="242"/>
      <c r="G1633" s="242"/>
      <c r="H1633" s="242"/>
      <c r="I1633" s="242"/>
      <c r="J1633" s="242"/>
      <c r="K1633" s="242"/>
      <c r="L1633" s="242"/>
      <c r="M1633" s="242"/>
      <c r="N1633" s="242"/>
      <c r="O1633" s="242"/>
      <c r="P1633" s="242"/>
      <c r="Q1633" s="242"/>
      <c r="R1633" s="242"/>
      <c r="S1633" s="242"/>
      <c r="T1633" s="242"/>
      <c r="U1633" s="242"/>
      <c r="V1633" s="242"/>
      <c r="W1633" s="242"/>
      <c r="X1633" s="242"/>
      <c r="Y1633" s="242"/>
      <c r="Z1633" s="242"/>
      <c r="AA1633" s="242"/>
      <c r="AB1633" s="242"/>
    </row>
    <row r="1634">
      <c r="A1634" s="244"/>
      <c r="B1634" s="242"/>
      <c r="C1634" s="242"/>
      <c r="D1634" s="242"/>
      <c r="E1634" s="242"/>
      <c r="F1634" s="242"/>
      <c r="G1634" s="242"/>
      <c r="H1634" s="242"/>
      <c r="I1634" s="242"/>
      <c r="J1634" s="242"/>
      <c r="K1634" s="242"/>
      <c r="L1634" s="242"/>
      <c r="M1634" s="242"/>
      <c r="N1634" s="242"/>
      <c r="O1634" s="242"/>
      <c r="P1634" s="242"/>
      <c r="Q1634" s="242"/>
      <c r="R1634" s="242"/>
      <c r="S1634" s="242"/>
      <c r="T1634" s="242"/>
      <c r="U1634" s="242"/>
      <c r="V1634" s="242"/>
      <c r="W1634" s="242"/>
      <c r="X1634" s="242"/>
      <c r="Y1634" s="242"/>
      <c r="Z1634" s="242"/>
      <c r="AA1634" s="242"/>
      <c r="AB1634" s="242"/>
    </row>
    <row r="1635">
      <c r="A1635" s="244"/>
      <c r="B1635" s="242"/>
      <c r="C1635" s="242"/>
      <c r="D1635" s="242"/>
      <c r="E1635" s="242"/>
      <c r="F1635" s="242"/>
      <c r="G1635" s="242"/>
      <c r="H1635" s="242"/>
      <c r="I1635" s="242"/>
      <c r="J1635" s="242"/>
      <c r="K1635" s="242"/>
      <c r="L1635" s="242"/>
      <c r="M1635" s="242"/>
      <c r="N1635" s="242"/>
      <c r="O1635" s="242"/>
      <c r="P1635" s="242"/>
      <c r="Q1635" s="242"/>
      <c r="R1635" s="242"/>
      <c r="S1635" s="242"/>
      <c r="T1635" s="242"/>
      <c r="U1635" s="242"/>
      <c r="V1635" s="242"/>
      <c r="W1635" s="242"/>
      <c r="X1635" s="242"/>
      <c r="Y1635" s="242"/>
      <c r="Z1635" s="242"/>
      <c r="AA1635" s="242"/>
      <c r="AB1635" s="242"/>
    </row>
    <row r="1636">
      <c r="A1636" s="244"/>
      <c r="B1636" s="242"/>
      <c r="C1636" s="242"/>
      <c r="D1636" s="242"/>
      <c r="E1636" s="242"/>
      <c r="F1636" s="242"/>
      <c r="G1636" s="242"/>
      <c r="H1636" s="242"/>
      <c r="I1636" s="242"/>
      <c r="J1636" s="242"/>
      <c r="K1636" s="242"/>
      <c r="L1636" s="242"/>
      <c r="M1636" s="242"/>
      <c r="N1636" s="242"/>
      <c r="O1636" s="242"/>
      <c r="P1636" s="242"/>
      <c r="Q1636" s="242"/>
      <c r="R1636" s="242"/>
      <c r="S1636" s="242"/>
      <c r="T1636" s="242"/>
      <c r="U1636" s="242"/>
      <c r="V1636" s="242"/>
      <c r="W1636" s="242"/>
      <c r="X1636" s="242"/>
      <c r="Y1636" s="242"/>
      <c r="Z1636" s="242"/>
      <c r="AA1636" s="242"/>
      <c r="AB1636" s="242"/>
    </row>
    <row r="1637">
      <c r="A1637" s="244"/>
      <c r="B1637" s="242"/>
      <c r="C1637" s="242"/>
      <c r="D1637" s="242"/>
      <c r="E1637" s="242"/>
      <c r="F1637" s="242"/>
      <c r="G1637" s="242"/>
      <c r="H1637" s="242"/>
      <c r="I1637" s="242"/>
      <c r="J1637" s="242"/>
      <c r="K1637" s="242"/>
      <c r="L1637" s="242"/>
      <c r="M1637" s="242"/>
      <c r="N1637" s="242"/>
      <c r="O1637" s="242"/>
      <c r="P1637" s="242"/>
      <c r="Q1637" s="242"/>
      <c r="R1637" s="242"/>
      <c r="S1637" s="242"/>
      <c r="T1637" s="242"/>
      <c r="U1637" s="242"/>
      <c r="V1637" s="242"/>
      <c r="W1637" s="242"/>
      <c r="X1637" s="242"/>
      <c r="Y1637" s="242"/>
      <c r="Z1637" s="242"/>
      <c r="AA1637" s="242"/>
      <c r="AB1637" s="242"/>
    </row>
    <row r="1638">
      <c r="A1638" s="244"/>
      <c r="B1638" s="242"/>
      <c r="C1638" s="242"/>
      <c r="D1638" s="242"/>
      <c r="E1638" s="242"/>
      <c r="F1638" s="242"/>
      <c r="G1638" s="242"/>
      <c r="H1638" s="242"/>
      <c r="I1638" s="242"/>
      <c r="J1638" s="242"/>
      <c r="K1638" s="242"/>
      <c r="L1638" s="242"/>
      <c r="M1638" s="242"/>
      <c r="N1638" s="242"/>
      <c r="O1638" s="242"/>
      <c r="P1638" s="242"/>
      <c r="Q1638" s="242"/>
      <c r="R1638" s="242"/>
      <c r="S1638" s="242"/>
      <c r="T1638" s="242"/>
      <c r="U1638" s="242"/>
      <c r="V1638" s="242"/>
      <c r="W1638" s="242"/>
      <c r="X1638" s="242"/>
      <c r="Y1638" s="242"/>
      <c r="Z1638" s="242"/>
      <c r="AA1638" s="242"/>
      <c r="AB1638" s="242"/>
    </row>
    <row r="1639">
      <c r="A1639" s="244"/>
      <c r="B1639" s="242"/>
      <c r="C1639" s="242"/>
      <c r="D1639" s="242"/>
      <c r="E1639" s="242"/>
      <c r="F1639" s="242"/>
      <c r="G1639" s="242"/>
      <c r="H1639" s="242"/>
      <c r="I1639" s="242"/>
      <c r="J1639" s="242"/>
      <c r="K1639" s="242"/>
      <c r="L1639" s="242"/>
      <c r="M1639" s="242"/>
      <c r="N1639" s="242"/>
      <c r="O1639" s="242"/>
      <c r="P1639" s="242"/>
      <c r="Q1639" s="242"/>
      <c r="R1639" s="242"/>
      <c r="S1639" s="242"/>
      <c r="T1639" s="242"/>
      <c r="U1639" s="242"/>
      <c r="V1639" s="242"/>
      <c r="W1639" s="242"/>
      <c r="X1639" s="242"/>
      <c r="Y1639" s="242"/>
      <c r="Z1639" s="242"/>
      <c r="AA1639" s="242"/>
      <c r="AB1639" s="242"/>
    </row>
    <row r="1640">
      <c r="A1640" s="244"/>
      <c r="B1640" s="242"/>
      <c r="C1640" s="242"/>
      <c r="D1640" s="242"/>
      <c r="E1640" s="242"/>
      <c r="F1640" s="242"/>
      <c r="G1640" s="242"/>
      <c r="H1640" s="242"/>
      <c r="I1640" s="242"/>
      <c r="J1640" s="242"/>
      <c r="K1640" s="242"/>
      <c r="L1640" s="242"/>
      <c r="M1640" s="242"/>
      <c r="N1640" s="242"/>
      <c r="O1640" s="242"/>
      <c r="P1640" s="242"/>
      <c r="Q1640" s="242"/>
      <c r="R1640" s="242"/>
      <c r="S1640" s="242"/>
      <c r="T1640" s="242"/>
      <c r="U1640" s="242"/>
      <c r="V1640" s="242"/>
      <c r="W1640" s="242"/>
      <c r="X1640" s="242"/>
      <c r="Y1640" s="242"/>
      <c r="Z1640" s="242"/>
      <c r="AA1640" s="242"/>
      <c r="AB1640" s="242"/>
    </row>
    <row r="1641">
      <c r="A1641" s="244"/>
      <c r="B1641" s="242"/>
      <c r="C1641" s="242"/>
      <c r="D1641" s="242"/>
      <c r="E1641" s="242"/>
      <c r="F1641" s="242"/>
      <c r="G1641" s="242"/>
      <c r="H1641" s="242"/>
      <c r="I1641" s="242"/>
      <c r="J1641" s="242"/>
      <c r="K1641" s="242"/>
      <c r="L1641" s="242"/>
      <c r="M1641" s="242"/>
      <c r="N1641" s="242"/>
      <c r="O1641" s="242"/>
      <c r="P1641" s="242"/>
      <c r="Q1641" s="242"/>
      <c r="R1641" s="242"/>
      <c r="S1641" s="242"/>
      <c r="T1641" s="242"/>
      <c r="U1641" s="242"/>
      <c r="V1641" s="242"/>
      <c r="W1641" s="242"/>
      <c r="X1641" s="242"/>
      <c r="Y1641" s="242"/>
      <c r="Z1641" s="242"/>
      <c r="AA1641" s="242"/>
      <c r="AB1641" s="242"/>
    </row>
    <row r="1642">
      <c r="A1642" s="244"/>
      <c r="B1642" s="242"/>
      <c r="C1642" s="242"/>
      <c r="D1642" s="242"/>
      <c r="E1642" s="242"/>
      <c r="F1642" s="242"/>
      <c r="G1642" s="242"/>
      <c r="H1642" s="242"/>
      <c r="I1642" s="242"/>
      <c r="J1642" s="242"/>
      <c r="K1642" s="242"/>
      <c r="L1642" s="242"/>
      <c r="M1642" s="242"/>
      <c r="N1642" s="242"/>
      <c r="O1642" s="242"/>
      <c r="P1642" s="242"/>
      <c r="Q1642" s="242"/>
      <c r="R1642" s="242"/>
      <c r="S1642" s="242"/>
      <c r="T1642" s="242"/>
      <c r="U1642" s="242"/>
      <c r="V1642" s="242"/>
      <c r="W1642" s="242"/>
      <c r="X1642" s="242"/>
      <c r="Y1642" s="242"/>
      <c r="Z1642" s="242"/>
      <c r="AA1642" s="242"/>
      <c r="AB1642" s="242"/>
    </row>
    <row r="1643">
      <c r="A1643" s="244"/>
      <c r="B1643" s="242"/>
      <c r="C1643" s="242"/>
      <c r="D1643" s="242"/>
      <c r="E1643" s="242"/>
      <c r="F1643" s="242"/>
      <c r="G1643" s="242"/>
      <c r="H1643" s="242"/>
      <c r="I1643" s="242"/>
      <c r="J1643" s="242"/>
      <c r="K1643" s="242"/>
      <c r="L1643" s="242"/>
      <c r="M1643" s="242"/>
      <c r="N1643" s="242"/>
      <c r="O1643" s="242"/>
      <c r="P1643" s="242"/>
      <c r="Q1643" s="242"/>
      <c r="R1643" s="242"/>
      <c r="S1643" s="242"/>
      <c r="T1643" s="242"/>
      <c r="U1643" s="242"/>
      <c r="V1643" s="242"/>
      <c r="W1643" s="242"/>
      <c r="X1643" s="242"/>
      <c r="Y1643" s="242"/>
      <c r="Z1643" s="242"/>
      <c r="AA1643" s="242"/>
      <c r="AB1643" s="242"/>
    </row>
    <row r="1644">
      <c r="A1644" s="244"/>
      <c r="B1644" s="242"/>
      <c r="C1644" s="242"/>
      <c r="D1644" s="242"/>
      <c r="E1644" s="242"/>
      <c r="F1644" s="242"/>
      <c r="G1644" s="242"/>
      <c r="H1644" s="242"/>
      <c r="I1644" s="242"/>
      <c r="J1644" s="242"/>
      <c r="K1644" s="242"/>
      <c r="L1644" s="242"/>
      <c r="M1644" s="242"/>
      <c r="N1644" s="242"/>
      <c r="O1644" s="242"/>
      <c r="P1644" s="242"/>
      <c r="Q1644" s="242"/>
      <c r="R1644" s="242"/>
      <c r="S1644" s="242"/>
      <c r="T1644" s="242"/>
      <c r="U1644" s="242"/>
      <c r="V1644" s="242"/>
      <c r="W1644" s="242"/>
      <c r="X1644" s="242"/>
      <c r="Y1644" s="242"/>
      <c r="Z1644" s="242"/>
      <c r="AA1644" s="242"/>
      <c r="AB1644" s="242"/>
    </row>
    <row r="1645">
      <c r="A1645" s="244"/>
      <c r="B1645" s="242"/>
      <c r="C1645" s="242"/>
      <c r="D1645" s="242"/>
      <c r="E1645" s="242"/>
      <c r="F1645" s="242"/>
      <c r="G1645" s="242"/>
      <c r="H1645" s="242"/>
      <c r="I1645" s="242"/>
      <c r="J1645" s="242"/>
      <c r="K1645" s="242"/>
      <c r="L1645" s="242"/>
      <c r="M1645" s="242"/>
      <c r="N1645" s="242"/>
      <c r="O1645" s="242"/>
      <c r="P1645" s="242"/>
      <c r="Q1645" s="242"/>
      <c r="R1645" s="242"/>
      <c r="S1645" s="242"/>
      <c r="T1645" s="242"/>
      <c r="U1645" s="242"/>
      <c r="V1645" s="242"/>
      <c r="W1645" s="242"/>
      <c r="X1645" s="242"/>
      <c r="Y1645" s="242"/>
      <c r="Z1645" s="242"/>
      <c r="AA1645" s="242"/>
      <c r="AB1645" s="242"/>
    </row>
    <row r="1646">
      <c r="A1646" s="244"/>
      <c r="B1646" s="242"/>
      <c r="C1646" s="242"/>
      <c r="D1646" s="242"/>
      <c r="E1646" s="242"/>
      <c r="F1646" s="242"/>
      <c r="G1646" s="242"/>
      <c r="H1646" s="242"/>
      <c r="I1646" s="242"/>
      <c r="J1646" s="242"/>
      <c r="K1646" s="242"/>
      <c r="L1646" s="242"/>
      <c r="M1646" s="242"/>
      <c r="N1646" s="242"/>
      <c r="O1646" s="242"/>
      <c r="P1646" s="242"/>
      <c r="Q1646" s="242"/>
      <c r="R1646" s="242"/>
      <c r="S1646" s="242"/>
      <c r="T1646" s="242"/>
      <c r="U1646" s="242"/>
      <c r="V1646" s="242"/>
      <c r="W1646" s="242"/>
      <c r="X1646" s="242"/>
      <c r="Y1646" s="242"/>
      <c r="Z1646" s="242"/>
      <c r="AA1646" s="242"/>
      <c r="AB1646" s="242"/>
    </row>
    <row r="1647">
      <c r="A1647" s="244"/>
      <c r="B1647" s="242"/>
      <c r="C1647" s="242"/>
      <c r="D1647" s="242"/>
      <c r="E1647" s="242"/>
      <c r="F1647" s="242"/>
      <c r="G1647" s="242"/>
      <c r="H1647" s="242"/>
      <c r="I1647" s="242"/>
      <c r="J1647" s="242"/>
      <c r="K1647" s="242"/>
      <c r="L1647" s="242"/>
      <c r="M1647" s="242"/>
      <c r="N1647" s="242"/>
      <c r="O1647" s="242"/>
      <c r="P1647" s="242"/>
      <c r="Q1647" s="242"/>
      <c r="R1647" s="242"/>
      <c r="S1647" s="242"/>
      <c r="T1647" s="242"/>
      <c r="U1647" s="242"/>
      <c r="V1647" s="242"/>
      <c r="W1647" s="242"/>
      <c r="X1647" s="242"/>
      <c r="Y1647" s="242"/>
      <c r="Z1647" s="242"/>
      <c r="AA1647" s="242"/>
      <c r="AB1647" s="242"/>
    </row>
    <row r="1648">
      <c r="A1648" s="244"/>
      <c r="B1648" s="242"/>
      <c r="C1648" s="242"/>
      <c r="D1648" s="242"/>
      <c r="E1648" s="242"/>
      <c r="F1648" s="242"/>
      <c r="G1648" s="242"/>
      <c r="H1648" s="242"/>
      <c r="I1648" s="242"/>
      <c r="J1648" s="242"/>
      <c r="K1648" s="242"/>
      <c r="L1648" s="242"/>
      <c r="M1648" s="242"/>
      <c r="N1648" s="242"/>
      <c r="O1648" s="242"/>
      <c r="P1648" s="242"/>
      <c r="Q1648" s="242"/>
      <c r="R1648" s="242"/>
      <c r="S1648" s="242"/>
      <c r="T1648" s="242"/>
      <c r="U1648" s="242"/>
      <c r="V1648" s="242"/>
      <c r="W1648" s="242"/>
      <c r="X1648" s="242"/>
      <c r="Y1648" s="242"/>
      <c r="Z1648" s="242"/>
      <c r="AA1648" s="242"/>
      <c r="AB1648" s="242"/>
    </row>
    <row r="1649">
      <c r="A1649" s="244"/>
      <c r="B1649" s="242"/>
      <c r="C1649" s="242"/>
      <c r="D1649" s="242"/>
      <c r="E1649" s="242"/>
      <c r="F1649" s="242"/>
      <c r="G1649" s="242"/>
      <c r="H1649" s="242"/>
      <c r="I1649" s="242"/>
      <c r="J1649" s="242"/>
      <c r="K1649" s="242"/>
      <c r="L1649" s="242"/>
      <c r="M1649" s="242"/>
      <c r="N1649" s="242"/>
      <c r="O1649" s="242"/>
      <c r="P1649" s="242"/>
      <c r="Q1649" s="242"/>
      <c r="R1649" s="242"/>
      <c r="S1649" s="242"/>
      <c r="T1649" s="242"/>
      <c r="U1649" s="242"/>
      <c r="V1649" s="242"/>
      <c r="W1649" s="242"/>
      <c r="X1649" s="242"/>
      <c r="Y1649" s="242"/>
      <c r="Z1649" s="242"/>
      <c r="AA1649" s="242"/>
      <c r="AB1649" s="242"/>
    </row>
    <row r="1650">
      <c r="A1650" s="244"/>
      <c r="B1650" s="242"/>
      <c r="C1650" s="242"/>
      <c r="D1650" s="242"/>
      <c r="E1650" s="242"/>
      <c r="F1650" s="242"/>
      <c r="G1650" s="242"/>
      <c r="H1650" s="242"/>
      <c r="I1650" s="242"/>
      <c r="J1650" s="242"/>
      <c r="K1650" s="242"/>
      <c r="L1650" s="242"/>
      <c r="M1650" s="242"/>
      <c r="N1650" s="242"/>
      <c r="O1650" s="242"/>
      <c r="P1650" s="242"/>
      <c r="Q1650" s="242"/>
      <c r="R1650" s="242"/>
      <c r="S1650" s="242"/>
      <c r="T1650" s="242"/>
      <c r="U1650" s="242"/>
      <c r="V1650" s="242"/>
      <c r="W1650" s="242"/>
      <c r="X1650" s="242"/>
      <c r="Y1650" s="242"/>
      <c r="Z1650" s="242"/>
      <c r="AA1650" s="242"/>
      <c r="AB1650" s="242"/>
    </row>
    <row r="1651">
      <c r="A1651" s="244"/>
      <c r="B1651" s="242"/>
      <c r="C1651" s="242"/>
      <c r="D1651" s="242"/>
      <c r="E1651" s="242"/>
      <c r="F1651" s="242"/>
      <c r="G1651" s="242"/>
      <c r="H1651" s="242"/>
      <c r="I1651" s="242"/>
      <c r="J1651" s="242"/>
      <c r="K1651" s="242"/>
      <c r="L1651" s="242"/>
      <c r="M1651" s="242"/>
      <c r="N1651" s="242"/>
      <c r="O1651" s="242"/>
      <c r="P1651" s="242"/>
      <c r="Q1651" s="242"/>
      <c r="R1651" s="242"/>
      <c r="S1651" s="242"/>
      <c r="T1651" s="242"/>
      <c r="U1651" s="242"/>
      <c r="V1651" s="242"/>
      <c r="W1651" s="242"/>
      <c r="X1651" s="242"/>
      <c r="Y1651" s="242"/>
      <c r="Z1651" s="242"/>
      <c r="AA1651" s="242"/>
      <c r="AB1651" s="242"/>
    </row>
    <row r="1652">
      <c r="A1652" s="244"/>
      <c r="B1652" s="242"/>
      <c r="C1652" s="242"/>
      <c r="D1652" s="242"/>
      <c r="E1652" s="242"/>
      <c r="F1652" s="242"/>
      <c r="G1652" s="242"/>
      <c r="H1652" s="242"/>
      <c r="I1652" s="242"/>
      <c r="J1652" s="242"/>
      <c r="K1652" s="242"/>
      <c r="L1652" s="242"/>
      <c r="M1652" s="242"/>
      <c r="N1652" s="242"/>
      <c r="O1652" s="242"/>
      <c r="P1652" s="242"/>
      <c r="Q1652" s="242"/>
      <c r="R1652" s="242"/>
      <c r="S1652" s="242"/>
      <c r="T1652" s="242"/>
      <c r="U1652" s="242"/>
      <c r="V1652" s="242"/>
      <c r="W1652" s="242"/>
      <c r="X1652" s="242"/>
      <c r="Y1652" s="242"/>
      <c r="Z1652" s="242"/>
      <c r="AA1652" s="242"/>
      <c r="AB1652" s="242"/>
    </row>
    <row r="1653">
      <c r="A1653" s="244"/>
      <c r="B1653" s="242"/>
      <c r="C1653" s="242"/>
      <c r="D1653" s="242"/>
      <c r="E1653" s="242"/>
      <c r="F1653" s="242"/>
      <c r="G1653" s="242"/>
      <c r="H1653" s="242"/>
      <c r="I1653" s="242"/>
      <c r="J1653" s="242"/>
      <c r="K1653" s="242"/>
      <c r="L1653" s="242"/>
      <c r="M1653" s="242"/>
      <c r="N1653" s="242"/>
      <c r="O1653" s="242"/>
      <c r="P1653" s="242"/>
      <c r="Q1653" s="242"/>
      <c r="R1653" s="242"/>
      <c r="S1653" s="242"/>
      <c r="T1653" s="242"/>
      <c r="U1653" s="242"/>
      <c r="V1653" s="242"/>
      <c r="W1653" s="242"/>
      <c r="X1653" s="242"/>
      <c r="Y1653" s="242"/>
      <c r="Z1653" s="242"/>
      <c r="AA1653" s="242"/>
      <c r="AB1653" s="242"/>
    </row>
    <row r="1654">
      <c r="A1654" s="244"/>
      <c r="B1654" s="242"/>
      <c r="C1654" s="242"/>
      <c r="D1654" s="242"/>
      <c r="E1654" s="242"/>
      <c r="F1654" s="242"/>
      <c r="G1654" s="242"/>
      <c r="H1654" s="242"/>
      <c r="I1654" s="242"/>
      <c r="J1654" s="242"/>
      <c r="K1654" s="242"/>
      <c r="L1654" s="242"/>
      <c r="M1654" s="242"/>
      <c r="N1654" s="242"/>
      <c r="O1654" s="242"/>
      <c r="P1654" s="242"/>
      <c r="Q1654" s="242"/>
      <c r="R1654" s="242"/>
      <c r="S1654" s="242"/>
      <c r="T1654" s="242"/>
      <c r="U1654" s="242"/>
      <c r="V1654" s="242"/>
      <c r="W1654" s="242"/>
      <c r="X1654" s="242"/>
      <c r="Y1654" s="242"/>
      <c r="Z1654" s="242"/>
      <c r="AA1654" s="242"/>
      <c r="AB1654" s="242"/>
    </row>
    <row r="1655">
      <c r="A1655" s="244"/>
      <c r="B1655" s="242"/>
      <c r="C1655" s="242"/>
      <c r="D1655" s="242"/>
      <c r="E1655" s="242"/>
      <c r="F1655" s="242"/>
      <c r="G1655" s="242"/>
      <c r="H1655" s="242"/>
      <c r="I1655" s="242"/>
      <c r="J1655" s="242"/>
      <c r="K1655" s="242"/>
      <c r="L1655" s="242"/>
      <c r="M1655" s="242"/>
      <c r="N1655" s="242"/>
      <c r="O1655" s="242"/>
      <c r="P1655" s="242"/>
      <c r="Q1655" s="242"/>
      <c r="R1655" s="242"/>
      <c r="S1655" s="242"/>
      <c r="T1655" s="242"/>
      <c r="U1655" s="242"/>
      <c r="V1655" s="242"/>
      <c r="W1655" s="242"/>
      <c r="X1655" s="242"/>
      <c r="Y1655" s="242"/>
      <c r="Z1655" s="242"/>
      <c r="AA1655" s="242"/>
      <c r="AB1655" s="242"/>
    </row>
    <row r="1656">
      <c r="A1656" s="244"/>
      <c r="B1656" s="242"/>
      <c r="C1656" s="242"/>
      <c r="D1656" s="242"/>
      <c r="E1656" s="242"/>
      <c r="F1656" s="242"/>
      <c r="G1656" s="242"/>
      <c r="H1656" s="242"/>
      <c r="I1656" s="242"/>
      <c r="J1656" s="242"/>
      <c r="K1656" s="242"/>
      <c r="L1656" s="242"/>
      <c r="M1656" s="242"/>
      <c r="N1656" s="242"/>
      <c r="O1656" s="242"/>
      <c r="P1656" s="242"/>
      <c r="Q1656" s="242"/>
      <c r="R1656" s="242"/>
      <c r="S1656" s="242"/>
      <c r="T1656" s="242"/>
      <c r="U1656" s="242"/>
      <c r="V1656" s="242"/>
      <c r="W1656" s="242"/>
      <c r="X1656" s="242"/>
      <c r="Y1656" s="242"/>
      <c r="Z1656" s="242"/>
      <c r="AA1656" s="242"/>
      <c r="AB1656" s="242"/>
    </row>
    <row r="1657">
      <c r="A1657" s="244"/>
      <c r="B1657" s="242"/>
      <c r="C1657" s="242"/>
      <c r="D1657" s="242"/>
      <c r="E1657" s="242"/>
      <c r="F1657" s="242"/>
      <c r="G1657" s="242"/>
      <c r="H1657" s="242"/>
      <c r="I1657" s="242"/>
      <c r="J1657" s="242"/>
      <c r="K1657" s="242"/>
      <c r="L1657" s="242"/>
      <c r="M1657" s="242"/>
      <c r="N1657" s="242"/>
      <c r="O1657" s="242"/>
      <c r="P1657" s="242"/>
      <c r="Q1657" s="242"/>
      <c r="R1657" s="242"/>
      <c r="S1657" s="242"/>
      <c r="T1657" s="242"/>
      <c r="U1657" s="242"/>
      <c r="V1657" s="242"/>
      <c r="W1657" s="242"/>
      <c r="X1657" s="242"/>
      <c r="Y1657" s="242"/>
      <c r="Z1657" s="242"/>
      <c r="AA1657" s="242"/>
      <c r="AB1657" s="242"/>
    </row>
    <row r="1658">
      <c r="A1658" s="244"/>
      <c r="B1658" s="242"/>
      <c r="C1658" s="242"/>
      <c r="D1658" s="242"/>
      <c r="E1658" s="242"/>
      <c r="F1658" s="242"/>
      <c r="G1658" s="242"/>
      <c r="H1658" s="242"/>
      <c r="I1658" s="242"/>
      <c r="J1658" s="242"/>
      <c r="K1658" s="242"/>
      <c r="L1658" s="242"/>
      <c r="M1658" s="242"/>
      <c r="N1658" s="242"/>
      <c r="O1658" s="242"/>
      <c r="P1658" s="242"/>
      <c r="Q1658" s="242"/>
      <c r="R1658" s="242"/>
      <c r="S1658" s="242"/>
      <c r="T1658" s="242"/>
      <c r="U1658" s="242"/>
      <c r="V1658" s="242"/>
      <c r="W1658" s="242"/>
      <c r="X1658" s="242"/>
      <c r="Y1658" s="242"/>
      <c r="Z1658" s="242"/>
      <c r="AA1658" s="242"/>
      <c r="AB1658" s="242"/>
    </row>
    <row r="1659">
      <c r="A1659" s="244"/>
      <c r="B1659" s="242"/>
      <c r="C1659" s="242"/>
      <c r="D1659" s="242"/>
      <c r="E1659" s="242"/>
      <c r="F1659" s="242"/>
      <c r="G1659" s="242"/>
      <c r="H1659" s="242"/>
      <c r="I1659" s="242"/>
      <c r="J1659" s="242"/>
      <c r="K1659" s="242"/>
      <c r="L1659" s="242"/>
      <c r="M1659" s="242"/>
      <c r="N1659" s="242"/>
      <c r="O1659" s="242"/>
      <c r="P1659" s="242"/>
      <c r="Q1659" s="242"/>
      <c r="R1659" s="242"/>
      <c r="S1659" s="242"/>
      <c r="T1659" s="242"/>
      <c r="U1659" s="242"/>
      <c r="V1659" s="242"/>
      <c r="W1659" s="242"/>
      <c r="X1659" s="242"/>
      <c r="Y1659" s="242"/>
      <c r="Z1659" s="242"/>
      <c r="AA1659" s="242"/>
      <c r="AB1659" s="242"/>
    </row>
    <row r="1660">
      <c r="A1660" s="244"/>
      <c r="B1660" s="242"/>
      <c r="C1660" s="242"/>
      <c r="D1660" s="242"/>
      <c r="E1660" s="242"/>
      <c r="F1660" s="242"/>
      <c r="G1660" s="242"/>
      <c r="H1660" s="242"/>
      <c r="I1660" s="242"/>
      <c r="J1660" s="242"/>
      <c r="K1660" s="242"/>
      <c r="L1660" s="242"/>
      <c r="M1660" s="242"/>
      <c r="N1660" s="242"/>
      <c r="O1660" s="242"/>
      <c r="P1660" s="242"/>
      <c r="Q1660" s="242"/>
      <c r="R1660" s="242"/>
      <c r="S1660" s="242"/>
      <c r="T1660" s="242"/>
      <c r="U1660" s="242"/>
      <c r="V1660" s="242"/>
      <c r="W1660" s="242"/>
      <c r="X1660" s="242"/>
      <c r="Y1660" s="242"/>
      <c r="Z1660" s="242"/>
      <c r="AA1660" s="242"/>
      <c r="AB1660" s="242"/>
    </row>
    <row r="1661">
      <c r="A1661" s="244"/>
      <c r="B1661" s="242"/>
      <c r="C1661" s="242"/>
      <c r="D1661" s="242"/>
      <c r="E1661" s="242"/>
      <c r="F1661" s="242"/>
      <c r="G1661" s="242"/>
      <c r="H1661" s="242"/>
      <c r="I1661" s="242"/>
      <c r="J1661" s="242"/>
      <c r="K1661" s="242"/>
      <c r="L1661" s="242"/>
      <c r="M1661" s="242"/>
      <c r="N1661" s="242"/>
      <c r="O1661" s="242"/>
      <c r="P1661" s="242"/>
      <c r="Q1661" s="242"/>
      <c r="R1661" s="242"/>
      <c r="S1661" s="242"/>
      <c r="T1661" s="242"/>
      <c r="U1661" s="242"/>
      <c r="V1661" s="242"/>
      <c r="W1661" s="242"/>
      <c r="X1661" s="242"/>
      <c r="Y1661" s="242"/>
      <c r="Z1661" s="242"/>
      <c r="AA1661" s="242"/>
      <c r="AB1661" s="242"/>
    </row>
    <row r="1662">
      <c r="A1662" s="244"/>
      <c r="B1662" s="242"/>
      <c r="C1662" s="242"/>
      <c r="D1662" s="242"/>
      <c r="E1662" s="242"/>
      <c r="F1662" s="242"/>
      <c r="G1662" s="242"/>
      <c r="H1662" s="242"/>
      <c r="I1662" s="242"/>
      <c r="J1662" s="242"/>
      <c r="K1662" s="242"/>
      <c r="L1662" s="242"/>
      <c r="M1662" s="242"/>
      <c r="N1662" s="242"/>
      <c r="O1662" s="242"/>
      <c r="P1662" s="242"/>
      <c r="Q1662" s="242"/>
      <c r="R1662" s="242"/>
      <c r="S1662" s="242"/>
      <c r="T1662" s="242"/>
      <c r="U1662" s="242"/>
      <c r="V1662" s="242"/>
      <c r="W1662" s="242"/>
      <c r="X1662" s="242"/>
      <c r="Y1662" s="242"/>
      <c r="Z1662" s="242"/>
      <c r="AA1662" s="242"/>
      <c r="AB1662" s="242"/>
    </row>
    <row r="1663">
      <c r="A1663" s="244"/>
      <c r="B1663" s="242"/>
      <c r="C1663" s="242"/>
      <c r="D1663" s="242"/>
      <c r="E1663" s="242"/>
      <c r="F1663" s="242"/>
      <c r="G1663" s="242"/>
      <c r="H1663" s="242"/>
      <c r="I1663" s="242"/>
      <c r="J1663" s="242"/>
      <c r="K1663" s="242"/>
      <c r="L1663" s="242"/>
      <c r="M1663" s="242"/>
      <c r="N1663" s="242"/>
      <c r="O1663" s="242"/>
      <c r="P1663" s="242"/>
      <c r="Q1663" s="242"/>
      <c r="R1663" s="242"/>
      <c r="S1663" s="242"/>
      <c r="T1663" s="242"/>
      <c r="U1663" s="242"/>
      <c r="V1663" s="242"/>
      <c r="W1663" s="242"/>
      <c r="X1663" s="242"/>
      <c r="Y1663" s="242"/>
      <c r="Z1663" s="242"/>
      <c r="AA1663" s="242"/>
      <c r="AB1663" s="242"/>
    </row>
    <row r="1664">
      <c r="A1664" s="244"/>
      <c r="B1664" s="242"/>
      <c r="C1664" s="242"/>
      <c r="D1664" s="242"/>
      <c r="E1664" s="242"/>
      <c r="F1664" s="242"/>
      <c r="G1664" s="242"/>
      <c r="H1664" s="242"/>
      <c r="I1664" s="242"/>
      <c r="J1664" s="242"/>
      <c r="K1664" s="242"/>
      <c r="L1664" s="242"/>
      <c r="M1664" s="242"/>
      <c r="N1664" s="242"/>
      <c r="O1664" s="242"/>
      <c r="P1664" s="242"/>
      <c r="Q1664" s="242"/>
      <c r="R1664" s="242"/>
      <c r="S1664" s="242"/>
      <c r="T1664" s="242"/>
      <c r="U1664" s="242"/>
      <c r="V1664" s="242"/>
      <c r="W1664" s="242"/>
      <c r="X1664" s="242"/>
      <c r="Y1664" s="242"/>
      <c r="Z1664" s="242"/>
      <c r="AA1664" s="242"/>
      <c r="AB1664" s="242"/>
    </row>
    <row r="1665">
      <c r="A1665" s="244"/>
      <c r="B1665" s="242"/>
      <c r="C1665" s="242"/>
      <c r="D1665" s="242"/>
      <c r="E1665" s="242"/>
      <c r="F1665" s="242"/>
      <c r="G1665" s="242"/>
      <c r="H1665" s="242"/>
      <c r="I1665" s="242"/>
      <c r="J1665" s="242"/>
      <c r="K1665" s="242"/>
      <c r="L1665" s="242"/>
      <c r="M1665" s="242"/>
      <c r="N1665" s="242"/>
      <c r="O1665" s="242"/>
      <c r="P1665" s="242"/>
      <c r="Q1665" s="242"/>
      <c r="R1665" s="242"/>
      <c r="S1665" s="242"/>
      <c r="T1665" s="242"/>
      <c r="U1665" s="242"/>
      <c r="V1665" s="242"/>
      <c r="W1665" s="242"/>
      <c r="X1665" s="242"/>
      <c r="Y1665" s="242"/>
      <c r="Z1665" s="242"/>
      <c r="AA1665" s="242"/>
      <c r="AB1665" s="242"/>
    </row>
    <row r="1666">
      <c r="A1666" s="244"/>
      <c r="B1666" s="242"/>
      <c r="C1666" s="242"/>
      <c r="D1666" s="242"/>
      <c r="E1666" s="242"/>
      <c r="F1666" s="242"/>
      <c r="G1666" s="242"/>
      <c r="H1666" s="242"/>
      <c r="I1666" s="242"/>
      <c r="J1666" s="242"/>
      <c r="K1666" s="242"/>
      <c r="L1666" s="242"/>
      <c r="M1666" s="242"/>
      <c r="N1666" s="242"/>
      <c r="O1666" s="242"/>
      <c r="P1666" s="242"/>
      <c r="Q1666" s="242"/>
      <c r="R1666" s="242"/>
      <c r="S1666" s="242"/>
      <c r="T1666" s="242"/>
      <c r="U1666" s="242"/>
      <c r="V1666" s="242"/>
      <c r="W1666" s="242"/>
      <c r="X1666" s="242"/>
      <c r="Y1666" s="242"/>
      <c r="Z1666" s="242"/>
      <c r="AA1666" s="242"/>
      <c r="AB1666" s="242"/>
    </row>
    <row r="1667">
      <c r="A1667" s="244"/>
      <c r="B1667" s="242"/>
      <c r="C1667" s="242"/>
      <c r="D1667" s="242"/>
      <c r="E1667" s="242"/>
      <c r="F1667" s="242"/>
      <c r="G1667" s="242"/>
      <c r="H1667" s="242"/>
      <c r="I1667" s="242"/>
      <c r="J1667" s="242"/>
      <c r="K1667" s="242"/>
      <c r="L1667" s="242"/>
      <c r="M1667" s="242"/>
      <c r="N1667" s="242"/>
      <c r="O1667" s="242"/>
      <c r="P1667" s="242"/>
      <c r="Q1667" s="242"/>
      <c r="R1667" s="242"/>
      <c r="S1667" s="242"/>
      <c r="T1667" s="242"/>
      <c r="U1667" s="242"/>
      <c r="V1667" s="242"/>
      <c r="W1667" s="242"/>
      <c r="X1667" s="242"/>
      <c r="Y1667" s="242"/>
      <c r="Z1667" s="242"/>
      <c r="AA1667" s="242"/>
      <c r="AB1667" s="242"/>
    </row>
    <row r="1668">
      <c r="A1668" s="244"/>
      <c r="B1668" s="242"/>
      <c r="C1668" s="242"/>
      <c r="D1668" s="242"/>
      <c r="E1668" s="242"/>
      <c r="F1668" s="242"/>
      <c r="G1668" s="242"/>
      <c r="H1668" s="242"/>
      <c r="I1668" s="242"/>
      <c r="J1668" s="242"/>
      <c r="K1668" s="242"/>
      <c r="L1668" s="242"/>
      <c r="M1668" s="242"/>
      <c r="N1668" s="242"/>
      <c r="O1668" s="242"/>
      <c r="P1668" s="242"/>
      <c r="Q1668" s="242"/>
      <c r="R1668" s="242"/>
      <c r="S1668" s="242"/>
      <c r="T1668" s="242"/>
      <c r="U1668" s="242"/>
      <c r="V1668" s="242"/>
      <c r="W1668" s="242"/>
      <c r="X1668" s="242"/>
      <c r="Y1668" s="242"/>
      <c r="Z1668" s="242"/>
      <c r="AA1668" s="242"/>
      <c r="AB1668" s="242"/>
    </row>
    <row r="1669">
      <c r="A1669" s="244"/>
      <c r="B1669" s="242"/>
      <c r="C1669" s="242"/>
      <c r="D1669" s="242"/>
      <c r="E1669" s="242"/>
      <c r="F1669" s="242"/>
      <c r="G1669" s="242"/>
      <c r="H1669" s="242"/>
      <c r="I1669" s="242"/>
      <c r="J1669" s="242"/>
      <c r="K1669" s="242"/>
      <c r="L1669" s="242"/>
      <c r="M1669" s="242"/>
      <c r="N1669" s="242"/>
      <c r="O1669" s="242"/>
      <c r="P1669" s="242"/>
      <c r="Q1669" s="242"/>
      <c r="R1669" s="242"/>
      <c r="S1669" s="242"/>
      <c r="T1669" s="242"/>
      <c r="U1669" s="242"/>
      <c r="V1669" s="242"/>
      <c r="W1669" s="242"/>
      <c r="X1669" s="242"/>
      <c r="Y1669" s="242"/>
      <c r="Z1669" s="242"/>
      <c r="AA1669" s="242"/>
      <c r="AB1669" s="242"/>
    </row>
    <row r="1670">
      <c r="A1670" s="244"/>
      <c r="B1670" s="242"/>
      <c r="C1670" s="242"/>
      <c r="D1670" s="242"/>
      <c r="E1670" s="242"/>
      <c r="F1670" s="242"/>
      <c r="G1670" s="242"/>
      <c r="H1670" s="242"/>
      <c r="I1670" s="242"/>
      <c r="J1670" s="242"/>
      <c r="K1670" s="242"/>
      <c r="L1670" s="242"/>
      <c r="M1670" s="242"/>
      <c r="N1670" s="242"/>
      <c r="O1670" s="242"/>
      <c r="P1670" s="242"/>
      <c r="Q1670" s="242"/>
      <c r="R1670" s="242"/>
      <c r="S1670" s="242"/>
      <c r="T1670" s="242"/>
      <c r="U1670" s="242"/>
      <c r="V1670" s="242"/>
      <c r="W1670" s="242"/>
      <c r="X1670" s="242"/>
      <c r="Y1670" s="242"/>
      <c r="Z1670" s="242"/>
      <c r="AA1670" s="242"/>
      <c r="AB1670" s="242"/>
    </row>
    <row r="1671">
      <c r="A1671" s="244"/>
      <c r="B1671" s="242"/>
      <c r="C1671" s="242"/>
      <c r="D1671" s="242"/>
      <c r="E1671" s="242"/>
      <c r="F1671" s="242"/>
      <c r="G1671" s="242"/>
      <c r="H1671" s="242"/>
      <c r="I1671" s="242"/>
      <c r="J1671" s="242"/>
      <c r="K1671" s="242"/>
      <c r="L1671" s="242"/>
      <c r="M1671" s="242"/>
      <c r="N1671" s="242"/>
      <c r="O1671" s="242"/>
      <c r="P1671" s="242"/>
      <c r="Q1671" s="242"/>
      <c r="R1671" s="242"/>
      <c r="S1671" s="242"/>
      <c r="T1671" s="242"/>
      <c r="U1671" s="242"/>
      <c r="V1671" s="242"/>
      <c r="W1671" s="242"/>
      <c r="X1671" s="242"/>
      <c r="Y1671" s="242"/>
      <c r="Z1671" s="242"/>
      <c r="AA1671" s="242"/>
      <c r="AB1671" s="242"/>
    </row>
    <row r="1672">
      <c r="A1672" s="244"/>
      <c r="B1672" s="242"/>
      <c r="C1672" s="242"/>
      <c r="D1672" s="242"/>
      <c r="E1672" s="242"/>
      <c r="F1672" s="242"/>
      <c r="G1672" s="242"/>
      <c r="H1672" s="242"/>
      <c r="I1672" s="242"/>
      <c r="J1672" s="242"/>
      <c r="K1672" s="242"/>
      <c r="L1672" s="242"/>
      <c r="M1672" s="242"/>
      <c r="N1672" s="242"/>
      <c r="O1672" s="242"/>
      <c r="P1672" s="242"/>
      <c r="Q1672" s="242"/>
      <c r="R1672" s="242"/>
      <c r="S1672" s="242"/>
      <c r="T1672" s="242"/>
      <c r="U1672" s="242"/>
      <c r="V1672" s="242"/>
      <c r="W1672" s="242"/>
      <c r="X1672" s="242"/>
      <c r="Y1672" s="242"/>
      <c r="Z1672" s="242"/>
      <c r="AA1672" s="242"/>
      <c r="AB1672" s="242"/>
    </row>
    <row r="1673">
      <c r="A1673" s="244"/>
      <c r="B1673" s="242"/>
      <c r="C1673" s="242"/>
      <c r="D1673" s="242"/>
      <c r="E1673" s="242"/>
      <c r="F1673" s="242"/>
      <c r="G1673" s="242"/>
      <c r="H1673" s="242"/>
      <c r="I1673" s="242"/>
      <c r="J1673" s="242"/>
      <c r="K1673" s="242"/>
      <c r="L1673" s="242"/>
      <c r="M1673" s="242"/>
      <c r="N1673" s="242"/>
      <c r="O1673" s="242"/>
      <c r="P1673" s="242"/>
      <c r="Q1673" s="242"/>
      <c r="R1673" s="242"/>
      <c r="S1673" s="242"/>
      <c r="T1673" s="242"/>
      <c r="U1673" s="242"/>
      <c r="V1673" s="242"/>
      <c r="W1673" s="242"/>
      <c r="X1673" s="242"/>
      <c r="Y1673" s="242"/>
      <c r="Z1673" s="242"/>
      <c r="AA1673" s="242"/>
      <c r="AB1673" s="242"/>
    </row>
    <row r="1674">
      <c r="A1674" s="244"/>
      <c r="B1674" s="242"/>
      <c r="C1674" s="242"/>
      <c r="D1674" s="242"/>
      <c r="E1674" s="242"/>
      <c r="F1674" s="242"/>
      <c r="G1674" s="242"/>
      <c r="H1674" s="242"/>
      <c r="I1674" s="242"/>
      <c r="J1674" s="242"/>
      <c r="K1674" s="242"/>
      <c r="L1674" s="242"/>
      <c r="M1674" s="242"/>
      <c r="N1674" s="242"/>
      <c r="O1674" s="242"/>
      <c r="P1674" s="242"/>
      <c r="Q1674" s="242"/>
      <c r="R1674" s="242"/>
      <c r="S1674" s="242"/>
      <c r="T1674" s="242"/>
      <c r="U1674" s="242"/>
      <c r="V1674" s="242"/>
      <c r="W1674" s="242"/>
      <c r="X1674" s="242"/>
      <c r="Y1674" s="242"/>
      <c r="Z1674" s="242"/>
      <c r="AA1674" s="242"/>
      <c r="AB1674" s="242"/>
    </row>
    <row r="1675">
      <c r="A1675" s="244"/>
      <c r="B1675" s="242"/>
      <c r="C1675" s="242"/>
      <c r="D1675" s="242"/>
      <c r="E1675" s="242"/>
      <c r="F1675" s="242"/>
      <c r="G1675" s="242"/>
      <c r="H1675" s="242"/>
      <c r="I1675" s="242"/>
      <c r="J1675" s="242"/>
      <c r="K1675" s="242"/>
      <c r="L1675" s="242"/>
      <c r="M1675" s="242"/>
      <c r="N1675" s="242"/>
      <c r="O1675" s="242"/>
      <c r="P1675" s="242"/>
      <c r="Q1675" s="242"/>
      <c r="R1675" s="242"/>
      <c r="S1675" s="242"/>
      <c r="T1675" s="242"/>
      <c r="U1675" s="242"/>
      <c r="V1675" s="242"/>
      <c r="W1675" s="242"/>
      <c r="X1675" s="242"/>
      <c r="Y1675" s="242"/>
      <c r="Z1675" s="242"/>
      <c r="AA1675" s="242"/>
      <c r="AB1675" s="242"/>
    </row>
    <row r="1676">
      <c r="A1676" s="244"/>
      <c r="B1676" s="242"/>
      <c r="C1676" s="242"/>
      <c r="D1676" s="242"/>
      <c r="E1676" s="242"/>
      <c r="F1676" s="242"/>
      <c r="G1676" s="242"/>
      <c r="H1676" s="242"/>
      <c r="I1676" s="242"/>
      <c r="J1676" s="242"/>
      <c r="K1676" s="242"/>
      <c r="L1676" s="242"/>
      <c r="M1676" s="242"/>
      <c r="N1676" s="242"/>
      <c r="O1676" s="242"/>
      <c r="P1676" s="242"/>
      <c r="Q1676" s="242"/>
      <c r="R1676" s="242"/>
      <c r="S1676" s="242"/>
      <c r="T1676" s="242"/>
      <c r="U1676" s="242"/>
      <c r="V1676" s="242"/>
      <c r="W1676" s="242"/>
      <c r="X1676" s="242"/>
      <c r="Y1676" s="242"/>
      <c r="Z1676" s="242"/>
      <c r="AA1676" s="242"/>
      <c r="AB1676" s="242"/>
    </row>
    <row r="1677">
      <c r="A1677" s="244"/>
      <c r="B1677" s="242"/>
      <c r="C1677" s="242"/>
      <c r="D1677" s="242"/>
      <c r="E1677" s="242"/>
      <c r="F1677" s="242"/>
      <c r="G1677" s="242"/>
      <c r="H1677" s="242"/>
      <c r="I1677" s="242"/>
      <c r="J1677" s="242"/>
      <c r="K1677" s="242"/>
      <c r="L1677" s="242"/>
      <c r="M1677" s="242"/>
      <c r="N1677" s="242"/>
      <c r="O1677" s="242"/>
      <c r="P1677" s="242"/>
      <c r="Q1677" s="242"/>
      <c r="R1677" s="242"/>
      <c r="S1677" s="242"/>
      <c r="T1677" s="242"/>
      <c r="U1677" s="242"/>
      <c r="V1677" s="242"/>
      <c r="W1677" s="242"/>
      <c r="X1677" s="242"/>
      <c r="Y1677" s="242"/>
      <c r="Z1677" s="242"/>
      <c r="AA1677" s="242"/>
      <c r="AB1677" s="242"/>
    </row>
    <row r="1678">
      <c r="A1678" s="244"/>
      <c r="B1678" s="242"/>
      <c r="C1678" s="242"/>
      <c r="D1678" s="242"/>
      <c r="E1678" s="242"/>
      <c r="F1678" s="242"/>
      <c r="G1678" s="242"/>
      <c r="H1678" s="242"/>
      <c r="I1678" s="242"/>
      <c r="J1678" s="242"/>
      <c r="K1678" s="242"/>
      <c r="L1678" s="242"/>
      <c r="M1678" s="242"/>
      <c r="N1678" s="242"/>
      <c r="O1678" s="242"/>
      <c r="P1678" s="242"/>
      <c r="Q1678" s="242"/>
      <c r="R1678" s="242"/>
      <c r="S1678" s="242"/>
      <c r="T1678" s="242"/>
      <c r="U1678" s="242"/>
      <c r="V1678" s="242"/>
      <c r="W1678" s="242"/>
      <c r="X1678" s="242"/>
      <c r="Y1678" s="242"/>
      <c r="Z1678" s="242"/>
      <c r="AA1678" s="242"/>
      <c r="AB1678" s="242"/>
    </row>
    <row r="1679">
      <c r="A1679" s="244"/>
      <c r="B1679" s="242"/>
      <c r="C1679" s="242"/>
      <c r="D1679" s="242"/>
      <c r="E1679" s="242"/>
      <c r="F1679" s="242"/>
      <c r="G1679" s="242"/>
      <c r="H1679" s="242"/>
      <c r="I1679" s="242"/>
      <c r="J1679" s="242"/>
      <c r="K1679" s="242"/>
      <c r="L1679" s="242"/>
      <c r="M1679" s="242"/>
      <c r="N1679" s="242"/>
      <c r="O1679" s="242"/>
      <c r="P1679" s="242"/>
      <c r="Q1679" s="242"/>
      <c r="R1679" s="242"/>
      <c r="S1679" s="242"/>
      <c r="T1679" s="242"/>
      <c r="U1679" s="242"/>
      <c r="V1679" s="242"/>
      <c r="W1679" s="242"/>
      <c r="X1679" s="242"/>
      <c r="Y1679" s="242"/>
      <c r="Z1679" s="242"/>
      <c r="AA1679" s="242"/>
      <c r="AB1679" s="242"/>
    </row>
    <row r="1680">
      <c r="A1680" s="244"/>
      <c r="B1680" s="242"/>
      <c r="C1680" s="242"/>
      <c r="D1680" s="242"/>
      <c r="E1680" s="242"/>
      <c r="F1680" s="242"/>
      <c r="G1680" s="242"/>
      <c r="H1680" s="242"/>
      <c r="I1680" s="242"/>
      <c r="J1680" s="242"/>
      <c r="K1680" s="242"/>
      <c r="L1680" s="242"/>
      <c r="M1680" s="242"/>
      <c r="N1680" s="242"/>
      <c r="O1680" s="242"/>
      <c r="P1680" s="242"/>
      <c r="Q1680" s="242"/>
      <c r="R1680" s="242"/>
      <c r="S1680" s="242"/>
      <c r="T1680" s="242"/>
      <c r="U1680" s="242"/>
      <c r="V1680" s="242"/>
      <c r="W1680" s="242"/>
      <c r="X1680" s="242"/>
      <c r="Y1680" s="242"/>
      <c r="Z1680" s="242"/>
      <c r="AA1680" s="242"/>
      <c r="AB1680" s="242"/>
    </row>
    <row r="1681">
      <c r="A1681" s="244"/>
      <c r="B1681" s="242"/>
      <c r="C1681" s="242"/>
      <c r="D1681" s="242"/>
      <c r="E1681" s="242"/>
      <c r="F1681" s="242"/>
      <c r="G1681" s="242"/>
      <c r="H1681" s="242"/>
      <c r="I1681" s="242"/>
      <c r="J1681" s="242"/>
      <c r="K1681" s="242"/>
      <c r="L1681" s="242"/>
      <c r="M1681" s="242"/>
      <c r="N1681" s="242"/>
      <c r="O1681" s="242"/>
      <c r="P1681" s="242"/>
      <c r="Q1681" s="242"/>
      <c r="R1681" s="242"/>
      <c r="S1681" s="242"/>
      <c r="T1681" s="242"/>
      <c r="U1681" s="242"/>
      <c r="V1681" s="242"/>
      <c r="W1681" s="242"/>
      <c r="X1681" s="242"/>
      <c r="Y1681" s="242"/>
      <c r="Z1681" s="242"/>
      <c r="AA1681" s="242"/>
      <c r="AB1681" s="242"/>
    </row>
    <row r="1682">
      <c r="A1682" s="244"/>
      <c r="B1682" s="242"/>
      <c r="C1682" s="242"/>
      <c r="D1682" s="242"/>
      <c r="E1682" s="242"/>
      <c r="F1682" s="242"/>
      <c r="G1682" s="242"/>
      <c r="H1682" s="242"/>
      <c r="I1682" s="242"/>
      <c r="J1682" s="242"/>
      <c r="K1682" s="242"/>
      <c r="L1682" s="242"/>
      <c r="M1682" s="242"/>
      <c r="N1682" s="242"/>
      <c r="O1682" s="242"/>
      <c r="P1682" s="242"/>
      <c r="Q1682" s="242"/>
      <c r="R1682" s="242"/>
      <c r="S1682" s="242"/>
      <c r="T1682" s="242"/>
      <c r="U1682" s="242"/>
      <c r="V1682" s="242"/>
      <c r="W1682" s="242"/>
      <c r="X1682" s="242"/>
      <c r="Y1682" s="242"/>
      <c r="Z1682" s="242"/>
      <c r="AA1682" s="242"/>
      <c r="AB1682" s="242"/>
    </row>
    <row r="1683">
      <c r="A1683" s="244"/>
      <c r="B1683" s="242"/>
      <c r="C1683" s="242"/>
      <c r="D1683" s="242"/>
      <c r="E1683" s="242"/>
      <c r="F1683" s="242"/>
      <c r="G1683" s="242"/>
      <c r="H1683" s="242"/>
      <c r="I1683" s="242"/>
      <c r="J1683" s="242"/>
      <c r="K1683" s="242"/>
      <c r="L1683" s="242"/>
      <c r="M1683" s="242"/>
      <c r="N1683" s="242"/>
      <c r="O1683" s="242"/>
      <c r="P1683" s="242"/>
      <c r="Q1683" s="242"/>
      <c r="R1683" s="242"/>
      <c r="S1683" s="242"/>
      <c r="T1683" s="242"/>
      <c r="U1683" s="242"/>
      <c r="V1683" s="242"/>
      <c r="W1683" s="242"/>
      <c r="X1683" s="242"/>
      <c r="Y1683" s="242"/>
      <c r="Z1683" s="242"/>
      <c r="AA1683" s="242"/>
      <c r="AB1683" s="242"/>
    </row>
    <row r="1684">
      <c r="A1684" s="244"/>
      <c r="B1684" s="242"/>
      <c r="C1684" s="242"/>
      <c r="D1684" s="242"/>
      <c r="E1684" s="242"/>
      <c r="F1684" s="242"/>
      <c r="G1684" s="242"/>
      <c r="H1684" s="242"/>
      <c r="I1684" s="242"/>
      <c r="J1684" s="242"/>
      <c r="K1684" s="242"/>
      <c r="L1684" s="242"/>
      <c r="M1684" s="242"/>
      <c r="N1684" s="242"/>
      <c r="O1684" s="242"/>
      <c r="P1684" s="242"/>
      <c r="Q1684" s="242"/>
      <c r="R1684" s="242"/>
      <c r="S1684" s="242"/>
      <c r="T1684" s="242"/>
      <c r="U1684" s="242"/>
      <c r="V1684" s="242"/>
      <c r="W1684" s="242"/>
      <c r="X1684" s="242"/>
      <c r="Y1684" s="242"/>
      <c r="Z1684" s="242"/>
      <c r="AA1684" s="242"/>
      <c r="AB1684" s="242"/>
    </row>
    <row r="1685">
      <c r="A1685" s="244"/>
      <c r="B1685" s="242"/>
      <c r="C1685" s="242"/>
      <c r="D1685" s="242"/>
      <c r="E1685" s="242"/>
      <c r="F1685" s="242"/>
      <c r="G1685" s="242"/>
      <c r="H1685" s="242"/>
      <c r="I1685" s="242"/>
      <c r="J1685" s="242"/>
      <c r="K1685" s="242"/>
      <c r="L1685" s="242"/>
      <c r="M1685" s="242"/>
      <c r="N1685" s="242"/>
      <c r="O1685" s="242"/>
      <c r="P1685" s="242"/>
      <c r="Q1685" s="242"/>
      <c r="R1685" s="242"/>
      <c r="S1685" s="242"/>
      <c r="T1685" s="242"/>
      <c r="U1685" s="242"/>
      <c r="V1685" s="242"/>
      <c r="W1685" s="242"/>
      <c r="X1685" s="242"/>
      <c r="Y1685" s="242"/>
      <c r="Z1685" s="242"/>
      <c r="AA1685" s="242"/>
      <c r="AB1685" s="242"/>
    </row>
    <row r="1686">
      <c r="A1686" s="244"/>
      <c r="B1686" s="242"/>
      <c r="C1686" s="242"/>
      <c r="D1686" s="242"/>
      <c r="E1686" s="242"/>
      <c r="F1686" s="242"/>
      <c r="G1686" s="242"/>
      <c r="H1686" s="242"/>
      <c r="I1686" s="242"/>
      <c r="J1686" s="242"/>
      <c r="K1686" s="242"/>
      <c r="L1686" s="242"/>
      <c r="M1686" s="242"/>
      <c r="N1686" s="242"/>
      <c r="O1686" s="242"/>
      <c r="P1686" s="242"/>
      <c r="Q1686" s="242"/>
      <c r="R1686" s="242"/>
      <c r="S1686" s="242"/>
      <c r="T1686" s="242"/>
      <c r="U1686" s="242"/>
      <c r="V1686" s="242"/>
      <c r="W1686" s="242"/>
      <c r="X1686" s="242"/>
      <c r="Y1686" s="242"/>
      <c r="Z1686" s="242"/>
      <c r="AA1686" s="242"/>
      <c r="AB1686" s="242"/>
    </row>
    <row r="1687">
      <c r="A1687" s="244"/>
      <c r="B1687" s="242"/>
      <c r="C1687" s="242"/>
      <c r="D1687" s="242"/>
      <c r="E1687" s="242"/>
      <c r="F1687" s="242"/>
      <c r="G1687" s="242"/>
      <c r="H1687" s="242"/>
      <c r="I1687" s="242"/>
      <c r="J1687" s="242"/>
      <c r="K1687" s="242"/>
      <c r="L1687" s="242"/>
      <c r="M1687" s="242"/>
      <c r="N1687" s="242"/>
      <c r="O1687" s="242"/>
      <c r="P1687" s="242"/>
      <c r="Q1687" s="242"/>
      <c r="R1687" s="242"/>
      <c r="S1687" s="242"/>
      <c r="T1687" s="242"/>
      <c r="U1687" s="242"/>
      <c r="V1687" s="242"/>
      <c r="W1687" s="242"/>
      <c r="X1687" s="242"/>
      <c r="Y1687" s="242"/>
      <c r="Z1687" s="242"/>
      <c r="AA1687" s="242"/>
      <c r="AB1687" s="242"/>
    </row>
    <row r="1688">
      <c r="A1688" s="244"/>
      <c r="B1688" s="242"/>
      <c r="C1688" s="242"/>
      <c r="D1688" s="242"/>
      <c r="E1688" s="242"/>
      <c r="F1688" s="242"/>
      <c r="G1688" s="242"/>
      <c r="H1688" s="242"/>
      <c r="I1688" s="242"/>
      <c r="J1688" s="242"/>
      <c r="K1688" s="242"/>
      <c r="L1688" s="242"/>
      <c r="M1688" s="242"/>
      <c r="N1688" s="242"/>
      <c r="O1688" s="242"/>
      <c r="P1688" s="242"/>
      <c r="Q1688" s="242"/>
      <c r="R1688" s="242"/>
      <c r="S1688" s="242"/>
      <c r="T1688" s="242"/>
      <c r="U1688" s="242"/>
      <c r="V1688" s="242"/>
      <c r="W1688" s="242"/>
      <c r="X1688" s="242"/>
      <c r="Y1688" s="242"/>
      <c r="Z1688" s="242"/>
      <c r="AA1688" s="242"/>
      <c r="AB1688" s="242"/>
    </row>
    <row r="1689">
      <c r="A1689" s="244"/>
      <c r="B1689" s="242"/>
      <c r="C1689" s="242"/>
      <c r="D1689" s="242"/>
      <c r="E1689" s="242"/>
      <c r="F1689" s="242"/>
      <c r="G1689" s="242"/>
      <c r="H1689" s="242"/>
      <c r="I1689" s="242"/>
      <c r="J1689" s="242"/>
      <c r="K1689" s="242"/>
      <c r="L1689" s="242"/>
      <c r="M1689" s="242"/>
      <c r="N1689" s="242"/>
      <c r="O1689" s="242"/>
      <c r="P1689" s="242"/>
      <c r="Q1689" s="242"/>
      <c r="R1689" s="242"/>
      <c r="S1689" s="242"/>
      <c r="T1689" s="242"/>
      <c r="U1689" s="242"/>
      <c r="V1689" s="242"/>
      <c r="W1689" s="242"/>
      <c r="X1689" s="242"/>
      <c r="Y1689" s="242"/>
      <c r="Z1689" s="242"/>
      <c r="AA1689" s="242"/>
      <c r="AB1689" s="242"/>
    </row>
    <row r="1690">
      <c r="A1690" s="244"/>
      <c r="B1690" s="242"/>
      <c r="C1690" s="242"/>
      <c r="D1690" s="242"/>
      <c r="E1690" s="242"/>
      <c r="F1690" s="242"/>
      <c r="G1690" s="242"/>
      <c r="H1690" s="242"/>
      <c r="I1690" s="242"/>
      <c r="J1690" s="242"/>
      <c r="K1690" s="242"/>
      <c r="L1690" s="242"/>
      <c r="M1690" s="242"/>
      <c r="N1690" s="242"/>
      <c r="O1690" s="242"/>
      <c r="P1690" s="242"/>
      <c r="Q1690" s="242"/>
      <c r="R1690" s="242"/>
      <c r="S1690" s="242"/>
      <c r="T1690" s="242"/>
      <c r="U1690" s="242"/>
      <c r="V1690" s="242"/>
      <c r="W1690" s="242"/>
      <c r="X1690" s="242"/>
      <c r="Y1690" s="242"/>
      <c r="Z1690" s="242"/>
      <c r="AA1690" s="242"/>
      <c r="AB1690" s="242"/>
    </row>
    <row r="1691">
      <c r="A1691" s="244"/>
      <c r="B1691" s="242"/>
      <c r="C1691" s="242"/>
      <c r="D1691" s="242"/>
      <c r="E1691" s="242"/>
      <c r="F1691" s="242"/>
      <c r="G1691" s="242"/>
      <c r="H1691" s="242"/>
      <c r="I1691" s="242"/>
      <c r="J1691" s="242"/>
      <c r="K1691" s="242"/>
      <c r="L1691" s="242"/>
      <c r="M1691" s="242"/>
      <c r="N1691" s="242"/>
      <c r="O1691" s="242"/>
      <c r="P1691" s="242"/>
      <c r="Q1691" s="242"/>
      <c r="R1691" s="242"/>
      <c r="S1691" s="242"/>
      <c r="T1691" s="242"/>
      <c r="U1691" s="242"/>
      <c r="V1691" s="242"/>
      <c r="W1691" s="242"/>
      <c r="X1691" s="242"/>
      <c r="Y1691" s="242"/>
      <c r="Z1691" s="242"/>
      <c r="AA1691" s="242"/>
      <c r="AB1691" s="242"/>
    </row>
    <row r="1692">
      <c r="A1692" s="244"/>
      <c r="B1692" s="242"/>
      <c r="C1692" s="242"/>
      <c r="D1692" s="242"/>
      <c r="E1692" s="242"/>
      <c r="F1692" s="242"/>
      <c r="G1692" s="242"/>
      <c r="H1692" s="242"/>
      <c r="I1692" s="242"/>
      <c r="J1692" s="242"/>
      <c r="K1692" s="242"/>
      <c r="L1692" s="242"/>
      <c r="M1692" s="242"/>
      <c r="N1692" s="242"/>
      <c r="O1692" s="242"/>
      <c r="P1692" s="242"/>
      <c r="Q1692" s="242"/>
      <c r="R1692" s="242"/>
      <c r="S1692" s="242"/>
      <c r="T1692" s="242"/>
      <c r="U1692" s="242"/>
      <c r="V1692" s="242"/>
      <c r="W1692" s="242"/>
      <c r="X1692" s="242"/>
      <c r="Y1692" s="242"/>
      <c r="Z1692" s="242"/>
      <c r="AA1692" s="242"/>
      <c r="AB1692" s="242"/>
    </row>
    <row r="1693">
      <c r="A1693" s="244"/>
      <c r="B1693" s="242"/>
      <c r="C1693" s="242"/>
      <c r="D1693" s="242"/>
      <c r="E1693" s="242"/>
      <c r="F1693" s="242"/>
      <c r="G1693" s="242"/>
      <c r="H1693" s="242"/>
      <c r="I1693" s="242"/>
      <c r="J1693" s="242"/>
      <c r="K1693" s="242"/>
      <c r="L1693" s="242"/>
      <c r="M1693" s="242"/>
      <c r="N1693" s="242"/>
      <c r="O1693" s="242"/>
      <c r="P1693" s="242"/>
      <c r="Q1693" s="242"/>
      <c r="R1693" s="242"/>
      <c r="S1693" s="242"/>
      <c r="T1693" s="242"/>
      <c r="U1693" s="242"/>
      <c r="V1693" s="242"/>
      <c r="W1693" s="242"/>
      <c r="X1693" s="242"/>
      <c r="Y1693" s="242"/>
      <c r="Z1693" s="242"/>
      <c r="AA1693" s="242"/>
      <c r="AB1693" s="242"/>
    </row>
    <row r="1694">
      <c r="A1694" s="244"/>
      <c r="B1694" s="242"/>
      <c r="C1694" s="242"/>
      <c r="D1694" s="242"/>
      <c r="E1694" s="242"/>
      <c r="F1694" s="242"/>
      <c r="G1694" s="242"/>
      <c r="H1694" s="242"/>
      <c r="I1694" s="242"/>
      <c r="J1694" s="242"/>
      <c r="K1694" s="242"/>
      <c r="L1694" s="242"/>
      <c r="M1694" s="242"/>
      <c r="N1694" s="242"/>
      <c r="O1694" s="242"/>
      <c r="P1694" s="242"/>
      <c r="Q1694" s="242"/>
      <c r="R1694" s="242"/>
      <c r="S1694" s="242"/>
      <c r="T1694" s="242"/>
      <c r="U1694" s="242"/>
      <c r="V1694" s="242"/>
      <c r="W1694" s="242"/>
      <c r="X1694" s="242"/>
      <c r="Y1694" s="242"/>
      <c r="Z1694" s="242"/>
      <c r="AA1694" s="242"/>
      <c r="AB1694" s="242"/>
    </row>
    <row r="1695">
      <c r="A1695" s="244"/>
      <c r="B1695" s="242"/>
      <c r="C1695" s="242"/>
      <c r="D1695" s="242"/>
      <c r="E1695" s="242"/>
      <c r="F1695" s="242"/>
      <c r="G1695" s="242"/>
      <c r="H1695" s="242"/>
      <c r="I1695" s="242"/>
      <c r="J1695" s="242"/>
      <c r="K1695" s="242"/>
      <c r="L1695" s="242"/>
      <c r="M1695" s="242"/>
      <c r="N1695" s="242"/>
      <c r="O1695" s="242"/>
      <c r="P1695" s="242"/>
      <c r="Q1695" s="242"/>
      <c r="R1695" s="242"/>
      <c r="S1695" s="242"/>
      <c r="T1695" s="242"/>
      <c r="U1695" s="242"/>
      <c r="V1695" s="242"/>
      <c r="W1695" s="242"/>
      <c r="X1695" s="242"/>
      <c r="Y1695" s="242"/>
      <c r="Z1695" s="242"/>
      <c r="AA1695" s="242"/>
      <c r="AB1695" s="242"/>
    </row>
    <row r="1696">
      <c r="A1696" s="244"/>
      <c r="B1696" s="242"/>
      <c r="C1696" s="242"/>
      <c r="D1696" s="242"/>
      <c r="E1696" s="242"/>
      <c r="F1696" s="242"/>
      <c r="G1696" s="242"/>
      <c r="H1696" s="242"/>
      <c r="I1696" s="242"/>
      <c r="J1696" s="242"/>
      <c r="K1696" s="242"/>
      <c r="L1696" s="242"/>
      <c r="M1696" s="242"/>
      <c r="N1696" s="242"/>
      <c r="O1696" s="242"/>
      <c r="P1696" s="242"/>
      <c r="Q1696" s="242"/>
      <c r="R1696" s="242"/>
      <c r="S1696" s="242"/>
      <c r="T1696" s="242"/>
      <c r="U1696" s="242"/>
      <c r="V1696" s="242"/>
      <c r="W1696" s="242"/>
      <c r="X1696" s="242"/>
      <c r="Y1696" s="242"/>
      <c r="Z1696" s="242"/>
      <c r="AA1696" s="242"/>
      <c r="AB1696" s="242"/>
    </row>
    <row r="1697">
      <c r="A1697" s="244"/>
      <c r="B1697" s="242"/>
      <c r="C1697" s="242"/>
      <c r="D1697" s="242"/>
      <c r="E1697" s="242"/>
      <c r="F1697" s="242"/>
      <c r="G1697" s="242"/>
      <c r="H1697" s="242"/>
      <c r="I1697" s="242"/>
      <c r="J1697" s="242"/>
      <c r="K1697" s="242"/>
      <c r="L1697" s="242"/>
      <c r="M1697" s="242"/>
      <c r="N1697" s="242"/>
      <c r="O1697" s="242"/>
      <c r="P1697" s="242"/>
      <c r="Q1697" s="242"/>
      <c r="R1697" s="242"/>
      <c r="S1697" s="242"/>
      <c r="T1697" s="242"/>
      <c r="U1697" s="242"/>
      <c r="V1697" s="242"/>
      <c r="W1697" s="242"/>
      <c r="X1697" s="242"/>
      <c r="Y1697" s="242"/>
      <c r="Z1697" s="242"/>
      <c r="AA1697" s="242"/>
      <c r="AB1697" s="242"/>
    </row>
    <row r="1698">
      <c r="A1698" s="244"/>
      <c r="B1698" s="242"/>
      <c r="C1698" s="242"/>
      <c r="D1698" s="242"/>
      <c r="E1698" s="242"/>
      <c r="F1698" s="242"/>
      <c r="G1698" s="242"/>
      <c r="H1698" s="242"/>
      <c r="I1698" s="242"/>
      <c r="J1698" s="242"/>
      <c r="K1698" s="242"/>
      <c r="L1698" s="242"/>
      <c r="M1698" s="242"/>
      <c r="N1698" s="242"/>
      <c r="O1698" s="242"/>
      <c r="P1698" s="242"/>
      <c r="Q1698" s="242"/>
      <c r="R1698" s="242"/>
      <c r="S1698" s="242"/>
      <c r="T1698" s="242"/>
      <c r="U1698" s="242"/>
      <c r="V1698" s="242"/>
      <c r="W1698" s="242"/>
      <c r="X1698" s="242"/>
      <c r="Y1698" s="242"/>
      <c r="Z1698" s="242"/>
      <c r="AA1698" s="242"/>
      <c r="AB1698" s="242"/>
    </row>
    <row r="1699">
      <c r="A1699" s="244"/>
      <c r="B1699" s="242"/>
      <c r="C1699" s="242"/>
      <c r="D1699" s="242"/>
      <c r="E1699" s="242"/>
      <c r="F1699" s="242"/>
      <c r="G1699" s="242"/>
      <c r="H1699" s="242"/>
      <c r="I1699" s="242"/>
      <c r="J1699" s="242"/>
      <c r="K1699" s="242"/>
      <c r="L1699" s="242"/>
      <c r="M1699" s="242"/>
      <c r="N1699" s="242"/>
      <c r="O1699" s="242"/>
      <c r="P1699" s="242"/>
      <c r="Q1699" s="242"/>
      <c r="R1699" s="242"/>
      <c r="S1699" s="242"/>
      <c r="T1699" s="242"/>
      <c r="U1699" s="242"/>
      <c r="V1699" s="242"/>
      <c r="W1699" s="242"/>
      <c r="X1699" s="242"/>
      <c r="Y1699" s="242"/>
      <c r="Z1699" s="242"/>
      <c r="AA1699" s="242"/>
      <c r="AB1699" s="242"/>
    </row>
    <row r="1700">
      <c r="A1700" s="244"/>
      <c r="B1700" s="242"/>
      <c r="C1700" s="242"/>
      <c r="D1700" s="242"/>
      <c r="E1700" s="242"/>
      <c r="F1700" s="242"/>
      <c r="G1700" s="242"/>
      <c r="H1700" s="242"/>
      <c r="I1700" s="242"/>
      <c r="J1700" s="242"/>
      <c r="K1700" s="242"/>
      <c r="L1700" s="242"/>
      <c r="M1700" s="242"/>
      <c r="N1700" s="242"/>
      <c r="O1700" s="242"/>
      <c r="P1700" s="242"/>
      <c r="Q1700" s="242"/>
      <c r="R1700" s="242"/>
      <c r="S1700" s="242"/>
      <c r="T1700" s="242"/>
      <c r="U1700" s="242"/>
      <c r="V1700" s="242"/>
      <c r="W1700" s="242"/>
      <c r="X1700" s="242"/>
      <c r="Y1700" s="242"/>
      <c r="Z1700" s="242"/>
      <c r="AA1700" s="242"/>
      <c r="AB1700" s="242"/>
    </row>
    <row r="1701">
      <c r="A1701" s="244"/>
      <c r="B1701" s="242"/>
      <c r="C1701" s="242"/>
      <c r="D1701" s="242"/>
      <c r="E1701" s="242"/>
      <c r="F1701" s="242"/>
      <c r="G1701" s="242"/>
      <c r="H1701" s="242"/>
      <c r="I1701" s="242"/>
      <c r="J1701" s="242"/>
      <c r="K1701" s="242"/>
      <c r="L1701" s="242"/>
      <c r="M1701" s="242"/>
      <c r="N1701" s="242"/>
      <c r="O1701" s="242"/>
      <c r="P1701" s="242"/>
      <c r="Q1701" s="242"/>
      <c r="R1701" s="242"/>
      <c r="S1701" s="242"/>
      <c r="T1701" s="242"/>
      <c r="U1701" s="242"/>
      <c r="V1701" s="242"/>
      <c r="W1701" s="242"/>
      <c r="X1701" s="242"/>
      <c r="Y1701" s="242"/>
      <c r="Z1701" s="242"/>
      <c r="AA1701" s="242"/>
      <c r="AB1701" s="242"/>
    </row>
    <row r="1702">
      <c r="A1702" s="244"/>
      <c r="B1702" s="242"/>
      <c r="C1702" s="242"/>
      <c r="D1702" s="242"/>
      <c r="E1702" s="242"/>
      <c r="F1702" s="242"/>
      <c r="G1702" s="242"/>
      <c r="H1702" s="242"/>
      <c r="I1702" s="242"/>
      <c r="J1702" s="242"/>
      <c r="K1702" s="242"/>
      <c r="L1702" s="242"/>
      <c r="M1702" s="242"/>
      <c r="N1702" s="242"/>
      <c r="O1702" s="242"/>
      <c r="P1702" s="242"/>
      <c r="Q1702" s="242"/>
      <c r="R1702" s="242"/>
      <c r="S1702" s="242"/>
      <c r="T1702" s="242"/>
      <c r="U1702" s="242"/>
      <c r="V1702" s="242"/>
      <c r="W1702" s="242"/>
      <c r="X1702" s="242"/>
      <c r="Y1702" s="242"/>
      <c r="Z1702" s="242"/>
      <c r="AA1702" s="242"/>
      <c r="AB1702" s="242"/>
    </row>
    <row r="1703">
      <c r="A1703" s="244"/>
      <c r="B1703" s="242"/>
      <c r="C1703" s="242"/>
      <c r="D1703" s="242"/>
      <c r="E1703" s="242"/>
      <c r="F1703" s="242"/>
      <c r="G1703" s="242"/>
      <c r="H1703" s="242"/>
      <c r="I1703" s="242"/>
      <c r="J1703" s="242"/>
      <c r="K1703" s="242"/>
      <c r="L1703" s="242"/>
      <c r="M1703" s="242"/>
      <c r="N1703" s="242"/>
      <c r="O1703" s="242"/>
      <c r="P1703" s="242"/>
      <c r="Q1703" s="242"/>
      <c r="R1703" s="242"/>
      <c r="S1703" s="242"/>
      <c r="T1703" s="242"/>
      <c r="U1703" s="242"/>
      <c r="V1703" s="242"/>
      <c r="W1703" s="242"/>
      <c r="X1703" s="242"/>
      <c r="Y1703" s="242"/>
      <c r="Z1703" s="242"/>
      <c r="AA1703" s="242"/>
      <c r="AB1703" s="242"/>
    </row>
    <row r="1704">
      <c r="A1704" s="244"/>
      <c r="B1704" s="242"/>
      <c r="C1704" s="242"/>
      <c r="D1704" s="242"/>
      <c r="E1704" s="242"/>
      <c r="F1704" s="242"/>
      <c r="G1704" s="242"/>
      <c r="H1704" s="242"/>
      <c r="I1704" s="242"/>
      <c r="J1704" s="242"/>
      <c r="K1704" s="242"/>
      <c r="L1704" s="242"/>
      <c r="M1704" s="242"/>
      <c r="N1704" s="242"/>
      <c r="O1704" s="242"/>
      <c r="P1704" s="242"/>
      <c r="Q1704" s="242"/>
      <c r="R1704" s="242"/>
      <c r="S1704" s="242"/>
      <c r="T1704" s="242"/>
      <c r="U1704" s="242"/>
      <c r="V1704" s="242"/>
      <c r="W1704" s="242"/>
      <c r="X1704" s="242"/>
      <c r="Y1704" s="242"/>
      <c r="Z1704" s="242"/>
      <c r="AA1704" s="242"/>
      <c r="AB1704" s="242"/>
    </row>
  </sheetData>
  <autoFilter ref="$A$1:$T$1549">
    <filterColumn colId="3">
      <filters>
        <filter val="2"/>
        <filter val="3"/>
        <filter val="4"/>
        <filter val="5"/>
      </filters>
    </filterColumn>
  </autoFil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5.75"/>
  </cols>
  <sheetData>
    <row r="1">
      <c r="A1" s="246" t="s">
        <v>6787</v>
      </c>
      <c r="C1" s="246"/>
    </row>
    <row r="2">
      <c r="A2" s="247">
        <v>2.0100805772602E13</v>
      </c>
    </row>
    <row r="3">
      <c r="A3" s="247" t="s">
        <v>7389</v>
      </c>
    </row>
    <row r="4">
      <c r="A4" s="248" t="s">
        <v>7390</v>
      </c>
    </row>
    <row r="5">
      <c r="A5" s="248" t="s">
        <v>7391</v>
      </c>
    </row>
    <row r="6">
      <c r="A6" s="248" t="s">
        <v>7392</v>
      </c>
    </row>
    <row r="7">
      <c r="A7" s="248" t="s">
        <v>7393</v>
      </c>
    </row>
    <row r="8">
      <c r="A8" s="248" t="s">
        <v>7394</v>
      </c>
    </row>
    <row r="9">
      <c r="A9" s="248" t="s">
        <v>7395</v>
      </c>
    </row>
    <row r="10">
      <c r="A10" s="248" t="s">
        <v>7396</v>
      </c>
    </row>
    <row r="11">
      <c r="A11" s="248" t="s">
        <v>7397</v>
      </c>
    </row>
    <row r="12">
      <c r="A12" s="248" t="s">
        <v>7398</v>
      </c>
    </row>
    <row r="13">
      <c r="A13" s="248" t="s">
        <v>7399</v>
      </c>
    </row>
    <row r="14">
      <c r="A14" s="248" t="s">
        <v>7400</v>
      </c>
    </row>
    <row r="15">
      <c r="A15" s="248" t="s">
        <v>7401</v>
      </c>
    </row>
    <row r="16">
      <c r="A16" s="248"/>
    </row>
  </sheetData>
  <drawing r:id="rId1"/>
</worksheet>
</file>